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t;&gt; Execution" sheetId="1" r:id="rId5"/>
    <sheet state="hidden" name="📍Bảng confirm EXT - 2404 Quota" sheetId="2" r:id="rId6"/>
    <sheet state="visible" name="INT | Influencer Execution Trac" sheetId="3" r:id="rId7"/>
    <sheet state="visible" name="INT | Influencer Performance Tr" sheetId="4" r:id="rId8"/>
    <sheet state="hidden" name="List địa điểm RCM" sheetId="5" r:id="rId9"/>
    <sheet state="hidden" name="INT | Influencer Workplan" sheetId="6" r:id="rId10"/>
    <sheet state="hidden" name="Draft" sheetId="7" r:id="rId11"/>
    <sheet state="visible" name="&gt;&gt; Quotation" sheetId="8" r:id="rId12"/>
    <sheet state="visible" name="INT | 1805 Quotation | End-user" sheetId="9" r:id="rId13"/>
    <sheet state="hidden" name="32 Quotation | End-user Group" sheetId="10" r:id="rId14"/>
    <sheet state="hidden" name="INT | Quotation | End-user Grou" sheetId="11" r:id="rId15"/>
    <sheet state="hidden" name="183 Quotation | End-user Group" sheetId="12" r:id="rId16"/>
    <sheet state="hidden" name="164 Quotation | End-user Group" sheetId="13" r:id="rId17"/>
    <sheet state="hidden" name="INT | 2204 Quotation | End-user" sheetId="14" r:id="rId18"/>
    <sheet state="hidden" name="EXT | 2204 Quotation | End-user" sheetId="15" r:id="rId19"/>
    <sheet state="hidden" name="KH Suggest" sheetId="16" r:id="rId20"/>
    <sheet state="hidden" name="EXT | 214 Quotation | End-user " sheetId="17" r:id="rId21"/>
    <sheet state="hidden" name="Master timeline" sheetId="18" r:id="rId22"/>
    <sheet state="hidden" name="Draft| List Scouting" sheetId="19" r:id="rId23"/>
    <sheet state="hidden" name="EXT - 164 Quotation | End-user " sheetId="20" r:id="rId24"/>
    <sheet state="hidden" name="INT | 0805 Quotation | End-user" sheetId="21" r:id="rId25"/>
    <sheet state="hidden" name="EXT | 0805 Quotation | End-user" sheetId="22" r:id="rId26"/>
    <sheet state="visible" name="Reconcile" sheetId="23" r:id="rId27"/>
    <sheet state="visible" name="EXT | 1805 Quotation | End-user" sheetId="24" r:id="rId28"/>
  </sheets>
  <definedNames>
    <definedName hidden="1" localSheetId="2" name="Z_58294A64_C2C3_45A6_91F9_B5C5C07A553D_.wvu.FilterData">'INT | Influencer Execution Trac'!$A$3:$AR$49</definedName>
    <definedName hidden="1" localSheetId="16" name="Z_39996A8C_728C_43A0_9466_BCA8143660DF_.wvu.FilterData">'EXT | 214 Quotation | End-user '!$T$19:$T$107</definedName>
  </definedNames>
  <calcPr/>
  <customWorkbookViews>
    <customWorkbookView activeSheetId="0" maximized="1" windowHeight="0" windowWidth="0" guid="{58294A64-C2C3-45A6-91F9-B5C5C07A553D}" name="Cá nhân"/>
    <customWorkbookView activeSheetId="0" maximized="1" windowHeight="0" windowWidth="0" guid="{39996A8C-728C-43A0-9466-BCA8143660D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tc={0bdaafe5-e4be-4449-a7ce-207537b5824f}</author>
    <author>tc={196a19da-4e97-4e7e-a498-3e62c4a6e053}</author>
    <author>tc={1b61b089-ad59-4b08-9042-7cc86a477399}</author>
    <author>tc={23d513ee-2ec5-402b-a33e-ce294b54b491}</author>
    <author>tc={68b9a317-497b-4776-9c6c-dd949f5897f8}</author>
    <author>tc={74fa867c-9b34-4223-886b-1afc81b7775e}</author>
    <author>tc={7c745b9a-e842-4068-83e6-d8d685256616}</author>
    <author>tc={838848d1-4a59-466f-af20-c54c9f8f1de1}</author>
    <author>tc={84a2c940-e6d7-4f90-aa31-cf4ec5a5168c}</author>
    <author>tc={91273025-c8db-43ba-909b-80d377d67c88}</author>
    <author>tc={a5e6400d-d73c-4dbb-9d5d-23eb5a18ae04}</author>
    <author>tc={a627bbae-0baf-4bd1-aaac-ee48b1764b50}</author>
    <author>tc={a92c73d7-f259-4f58-b0b8-e94637b80633}</author>
    <author>tc={b332041d-118f-496e-a2e5-2314ad182d25}</author>
    <author>tc={b465fbc7-0b65-40fe-82e2-4c4a7fba91c0}</author>
    <author>tc={d3cc25ac-a01c-43ce-9463-08bb80bdbe83}</author>
    <author>tc={e04278af-a3f9-4f31-bc85-0aacced977b9}</author>
    <author>tc={ed8eccd9-9021-496f-b602-87122d47a47e}</author>
  </authors>
  <commentList>
    <comment authorId="0" xr:uid="{0bdaafe5-e4be-4449-a7ce-207537b5824f}" ref="A1">
      <text>
        <t xml:space="preserve">[Threaded comment]
 Your version of Excel allows you to read this threaded comment; however, any edits to it will get removed if the file is opened in a newer version of Excel. Learn more: https://go.microsoft.com/fwlink/?linkid=870924
Comment:
	em update demo nhen chị @thanhngan.le@pmax.com.vn
Assigned to thanhngan.le@pmax.com.vn
</t>
      </text>
    </comment>
    <comment authorId="1" xr:uid="{196a19da-4e97-4e7e-a498-3e62c4a6e053}" ref="A1">
      <text>
        <t xml:space="preserve">[Threaded comment]
 Your version of Excel allows you to read this threaded comment; however, any edits to it will get removed if the file is opened in a newer version of Excel. Learn more: https://go.microsoft.com/fwlink/?linkid=870924
Comment:
	mom ơi hỗ trợ em push nhen @thanhngan.le@pmax.com.vn
1 total reaction
Thanh Ngan Le (Account team) reacted with 😘 at 2026-05-25 11:29 AM
Assigned to thanhngan.le@pmax.com.vn
</t>
      </text>
    </comment>
    <comment authorId="2" xr:uid="{1b61b089-ad59-4b08-9042-7cc86a477399}" ref="A1">
      <text>
        <t xml:space="preserve">[Threaded comment]
 Your version of Excel allows you to read this threaded comment; however, any edits to it will get removed if the file is opened in a newer version of Excel. Learn more: https://go.microsoft.com/fwlink/?linkid=870924
Comment:
	dời sau 15/5
Reply:
	đã đủ thông tin, quay 17 (chủ nhật)
Reply:
	em mới uodate lại địa chỉ nhen chị @thanhngan.le@pmax.com.vn
</t>
      </text>
    </comment>
    <comment authorId="3" xr:uid="{23d513ee-2ec5-402b-a33e-ce294b54b491}" ref="A1">
      <text>
        <t xml:space="preserve">[Threaded comment]
 Your version of Excel allows you to read this threaded comment; however, any edits to it will get removed if the file is opened in a newer version of Excel. Learn more: https://go.microsoft.com/fwlink/?linkid=870924
Comment:
	đợi check lại giá
</t>
      </text>
    </comment>
    <comment authorId="4" xr:uid="{68b9a317-497b-4776-9c6c-dd949f5897f8}" ref="A1">
      <text>
        <t xml:space="preserve">[Threaded comment]
 Your version of Excel allows you to read this threaded comment; however, any edits to it will get removed if the file is opened in a newer version of Excel. Learn more: https://go.microsoft.com/fwlink/?linkid=870924
Comment:
	@quoctan.hoang@pmax.com.vn check giúp em 2 link demo R1 + R2 của bạn này giống nhau ạ
Assigned to quoctan.hoang@pmax.com.vn
Reply:
	bạn sẽ update video round trong cùng link drive và xoá link cũ nhe @thaiha.doan@pmax.com.vn
Reassigned to thaiha.doan@pmax.com.vn
Reply:
	vậy nào bạn có update demo R2 anh notify em với nha ạ, tại để link ở đây em tưởng bạn có demo round 2 mới rồi dễ bị nhầm ý ạ 
thankyou anh @quoctan.hoang@pmax.com.vn
Reassigned to quoctan.hoang@pmax.com.vn
Reply:
	ủa là round 2 rùi á
</t>
      </text>
    </comment>
    <comment authorId="5" xr:uid="{74fa867c-9b34-4223-886b-1afc81b7775e}" ref="A1">
      <text>
        <t xml:space="preserve">[Threaded comment]
 Your version of Excel allows you to read this threaded comment; however, any edits to it will get removed if the file is opened in a newer version of Excel. Learn more: https://go.microsoft.com/fwlink/?linkid=870924
Comment:
	duyệt
</t>
      </text>
    </comment>
    <comment authorId="6" xr:uid="{7c745b9a-e842-4068-83e6-d8d685256616}" ref="A1">
      <text>
        <t xml:space="preserve">[Threaded comment]
 Your version of Excel allows you to read this threaded comment; however, any edits to it will get removed if the file is opened in a newer version of Excel. Learn more: https://go.microsoft.com/fwlink/?linkid=870924
Comment:
	chưa có Script round 2 - pending mai quay nha
</t>
      </text>
    </comment>
    <comment authorId="7" xr:uid="{838848d1-4a59-466f-af20-c54c9f8f1de1}" ref="A1">
      <text>
        <t xml:space="preserve">[Threaded comment]
 Your version of Excel allows you to read this threaded comment; however, any edits to it will get removed if the file is opened in a newer version of Excel. Learn more: https://go.microsoft.com/fwlink/?linkid=870924
Comment:
	há lu chị @thanhngan.le@pmax.com.vn em update
Assigned to thanhngan.le@pmax.com.vn
</t>
      </text>
    </comment>
    <comment authorId="8" xr:uid="{84a2c940-e6d7-4f90-aa31-cf4ec5a5168c}" ref="A1">
      <text>
        <t xml:space="preserve">[Threaded comment]
 Your version of Excel allows you to read this threaded comment; however, any edits to it will get removed if the file is opened in a newer version of Excel. Learn more: https://go.microsoft.com/fwlink/?linkid=870924
Comment:
	check script 2 bạn này nha, Phương đi chill còn cần revise nè @quoctan.hoang@pmax.com.vn
Assigned to quoctan.hoang@pmax.com.vn
Reply:
	ukkiela em đang dí
</t>
      </text>
    </comment>
    <comment authorId="9" xr:uid="{91273025-c8db-43ba-909b-80d377d67c88}" ref="A1">
      <text>
        <t xml:space="preserve">[Threaded comment]
 Your version of Excel allows you to read this threaded comment; however, any edits to it will get removed if the file is opened in a newer version of Excel. Learn more: https://go.microsoft.com/fwlink/?linkid=870924
Comment:
	bạn này cũng nhầm link với bạn 13. Chu Cao Food nè Tấn, check lại nhaa @quoctan.hoang@pmax.com.vn
Assigned to quoctan.hoang@pmax.com.vn
Reply:
	Hi Hà ơi update lại rùi nhen
1 total reaction
Thai Ha Doan (Account) reacted with 🥰 at 2026-06-04 13:14 PM
</t>
      </text>
    </comment>
    <comment authorId="10" xr:uid="{a5e6400d-d73c-4dbb-9d5d-23eb5a18ae04}" ref="A1">
      <text>
        <t xml:space="preserve">[Threaded comment]
 Your version of Excel allows you to read this threaded comment; however, any edits to it will get removed if the file is opened in a newer version of Excel. Learn more: https://go.microsoft.com/fwlink/?linkid=870924
Comment:
	có feedback chưa chị ui
</t>
      </text>
    </comment>
    <comment authorId="11" xr:uid="{a627bbae-0baf-4bd1-aaac-ee48b1764b50}" ref="A1">
      <text>
        <t xml:space="preserve">[Threaded comment]
 Your version of Excel allows you to read this threaded comment; however, any edits to it will get removed if the file is opened in a newer version of Excel. Learn more: https://go.microsoft.com/fwlink/?linkid=870924
Comment:
	cam: đã chuyển EXT
</t>
      </text>
    </comment>
    <comment authorId="12" xr:uid="{a92c73d7-f259-4f58-b0b8-e94637b80633}" ref="A1">
      <text>
        <t xml:space="preserve">[Threaded comment]
 Your version of Excel allows you to read this threaded comment; however, any edits to it will get removed if the file is opened in a newer version of Excel. Learn more: https://go.microsoft.com/fwlink/?linkid=870924
Comment:
	@quoctan.hoang@pmax.com.vn ui s c k copy được hình ta
Assigned to quoctan.hoang@pmax.com.vn
Reply:
	thường em phải chụp màn hình :))) em k hiểu sao cái gg sheet nó bị khờ
1 total reaction
Thanh Ngan Le (Account team) reacted with 😅 at 2026-05-07 09:25 AM
</t>
      </text>
    </comment>
    <comment authorId="13" xr:uid="{b332041d-118f-496e-a2e5-2314ad182d25}" ref="A1">
      <text>
        <t xml:space="preserve">[Threaded comment]
 Your version of Excel allows you to read this threaded comment; however, any edits to it will get removed if the file is opened in a newer version of Excel. Learn more: https://go.microsoft.com/fwlink/?linkid=870924
Comment:
	sao link final demo của bạn này lại giống link final của bạn 13. Chu Cao Food thế Tấn ơi, Tấn check lại nha thankyouu @quoctan.hoang@pmax.com.vn
Assigned to quoctan.hoang@pmax.com.vn
Reply:
	hi Hà ơi update lại rùi nhen
1 total reaction
Thai Ha Doan (Account) reacted with 🥰 at 2026-06-04 13:13 PM
</t>
      </text>
    </comment>
    <comment authorId="14" xr:uid="{b465fbc7-0b65-40fe-82e2-4c4a7fba91c0}" ref="A1">
      <text>
        <t xml:space="preserve">[Threaded comment]
 Your version of Excel allows you to read this threaded comment; however, any edits to it will get removed if the file is opened in a newer version of Excel. Learn more: https://go.microsoft.com/fwlink/?linkid=870924
Comment:
	c input leadtime dựa trên lúc có feedbacks nha
@quoctan.hoang@pmax.com.vn
</t>
      </text>
    </comment>
    <comment authorId="15" xr:uid="{d3cc25ac-a01c-43ce-9463-08bb80bdbe83}" ref="A1">
      <text>
        <t xml:space="preserve">[Threaded comment]
 Your version of Excel allows you to read this threaded comment; however, any edits to it will get removed if the file is opened in a newer version of Excel. Learn more: https://go.microsoft.com/fwlink/?linkid=870924
Comment:
	đã chuyển
</t>
      </text>
    </comment>
    <comment authorId="16" xr:uid="{e04278af-a3f9-4f31-bc85-0aacced977b9}" ref="A1">
      <text>
        <t xml:space="preserve">[Threaded comment]
 Your version of Excel allows you to read this threaded comment; however, any edits to it will get removed if the file is opened in a newer version of Excel. Learn more: https://go.microsoft.com/fwlink/?linkid=870924
Comment:
	em update demo Lulu @thanhngan.le@pmax.com.vn
1 total reaction
Thanh Ngan Le (Account team) reacted with 🩷 at 2026-05-18 04:20 AM
Assigned to thanhngan.le@pmax.com.vn
</t>
      </text>
    </comment>
    <comment authorId="17" xr:uid="{ed8eccd9-9021-496f-b602-87122d47a47e}" ref="A1">
      <text>
        <t xml:space="preserve">[Threaded comment]
 Your version of Excel allows you to read this threaded comment; however, any edits to it will get removed if the file is opened in a newer version of Excel. Learn more: https://go.microsoft.com/fwlink/?linkid=870924
Comment:
	em chưa thấy feedback nữa chị push mạnh giúp em với chứ thấy đầu feedback stuck qué nè @thanhngan.le@pmax.com.vn
Assigned to thanhngan.le@pmax.com.vn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tc={05e5f178-1562-4944-9c39-4ca352cba272}</author>
    <author>tc={083cacbb-219f-4abf-bf2d-161f4bce96ff}</author>
    <author>tc={09b27b60-6c08-4305-9192-445f8bb57bb8}</author>
    <author>tc={0a18d8bb-78a2-4e3a-b676-3f041cc0da98}</author>
    <author>tc={0a34cb5f-4a16-4067-898a-00d4aade05e8}</author>
    <author>tc={0b868674-c69c-401f-829d-b23ed1916217}</author>
    <author>tc={0d488846-1931-47f9-a6d5-16d7c39886c4}</author>
    <author>tc={0e1159ec-c8c3-41a2-a602-aae222292a5d}</author>
    <author>tc={0f47b099-510b-445f-98fd-f70088904472}</author>
    <author>tc={10189d7c-93f6-448d-8f10-e22e01cd7c59}</author>
    <author>tc={12185cb9-d686-4485-bf67-8e5eec688930}</author>
    <author>tc={1243a0fb-0f87-49fe-a4fb-70842474023a}</author>
    <author>tc={12bcfa57-9f09-4be0-8afc-0db80a7d848f}</author>
    <author>tc={144edb12-5094-4919-acc4-4013bca4439c}</author>
    <author>tc={14dd14b9-31b4-4431-97f7-bbbd21aa4be1}</author>
    <author>tc={1888c6a3-fd00-4a8e-9067-39f64252ace2}</author>
    <author>tc={18e02031-974e-4079-a74c-7ef97c6155be}</author>
    <author>tc={18fb0efd-9469-464d-a1cc-bd3ac0ede6e4}</author>
    <author>tc={1ad43a38-66a8-417b-816d-636d4ae53aef}</author>
    <author>tc={1d27b244-10f7-4eb3-811c-94437a5802fd}</author>
    <author>tc={1d314cac-1692-4b8f-b8bf-b0d0ad91f7ac}</author>
    <author>tc={1dc850cb-0398-4fc3-800a-eb435616ed11}</author>
    <author>tc={202f52a9-8f68-465b-b50f-bdf72f3ef5b1}</author>
    <author>tc={2086ba6c-0211-4321-94aa-f071d8f1e5ec}</author>
    <author>tc={231193b2-efca-4741-8ae7-9f7c0e5311eb}</author>
    <author>tc={23c02594-91b9-43a6-a79e-930fce0cdf55}</author>
    <author>tc={273a0a11-9cff-4861-abc8-16ec89b33a82}</author>
    <author>tc={2748d1ba-6048-4d07-922f-bf830ca7ea70}</author>
    <author>tc={27720e7a-5580-4db2-9f40-a2e0e5a55d8c}</author>
    <author>tc={2823b123-7189-4547-8d3f-b5d33172e88e}</author>
    <author>tc={291b88db-9595-4c50-95d1-7f8ecada87d9}</author>
    <author>tc={2bb713cc-fc3f-4c2a-8ac3-d5b45440f195}</author>
    <author>tc={2f29a65b-c6e6-47a7-85f0-928defe97eac}</author>
    <author>tc={33c43927-9bee-42d8-904d-306e2c6f2a52}</author>
    <author>tc={34f891fb-1b02-4950-ad01-ad3af2465e70}</author>
    <author>tc={36d8ec6a-20d7-4b5a-baf5-3bfaea696459}</author>
    <author>tc={36e9feab-cbbc-4150-8aef-3c0994460d70}</author>
    <author>tc={380a3d69-27e5-4ae7-b998-b29d3cab72f3}</author>
    <author>tc={38a4b669-28fb-4c94-b5a5-e7fae7e61186}</author>
    <author>tc={38cd1f2d-c120-475f-b5dc-08aab824f875}</author>
    <author>tc={3adcc72e-2cad-4b48-82af-6ef06cfb3fd2}</author>
    <author>tc={3c66e5bf-a7d2-4064-b75e-3da9ed055c6c}</author>
    <author>tc={3eba6510-4f4a-4dae-9796-e6601a6780f9}</author>
    <author>tc={40417fa6-945f-436f-b001-e3756aaf42a3}</author>
    <author>tc={411e0caf-27fe-4016-8ce7-0f57781ccafd}</author>
    <author>tc={426c26d5-6ff7-4bc0-92b8-aa24975c79c7}</author>
    <author>tc={429ca42e-4a7e-4f9a-b845-49f7e75d12e5}</author>
    <author>tc={42b57bf2-7642-4121-b6d2-0dc85d018986}</author>
    <author>tc={43da0bf4-ff19-4115-a49f-c452c9a2c3aa}</author>
    <author>tc={43f49300-96f7-4c08-bd74-4d8bfbac7294}</author>
    <author>tc={448cef17-cb8b-484a-b15a-03a028cf32ac}</author>
    <author>tc={45df1ffe-5c78-4e49-b74d-e7a9df02cbf3}</author>
    <author>tc={4735db3b-180f-45a0-99ea-52cf0db83831}</author>
    <author>tc={4892774d-81b5-40e1-b0bf-920f4bd6f2e5}</author>
    <author>tc={48f8f816-678b-4107-9d3b-739d4558d18b}</author>
    <author>tc={4e840601-447d-40f9-b3ae-2af573d5b476}</author>
    <author>tc={4ef16cad-b6e3-414e-b599-2afc68dafded}</author>
    <author>tc={506ab122-4c29-4f59-875d-c52634d2d4cd}</author>
    <author>tc={50846105-0f55-4778-b1dc-fcb05dcf58dc}</author>
    <author>tc={51906752-676d-454a-bef7-2bd1a0672f1d}</author>
    <author>tc={527a7a63-d0f7-444c-9720-3e987ae4c061}</author>
    <author>tc={54748ba0-228b-43c3-b78c-7cbdaf1150a3}</author>
    <author>tc={55a7759c-07e5-4442-9a12-37773d340a4b}</author>
    <author>tc={58b1231f-bc25-471f-918d-54699e593e2d}</author>
    <author>tc={5b332c43-4516-45e7-8949-5e36fb420ac9}</author>
    <author>tc={5c1c038a-02a7-48ab-a826-49af6c8b1384}</author>
    <author>tc={5d1d44ea-4b5d-49e2-981f-912928e5f140}</author>
    <author>tc={5fbde703-6917-4ebb-b618-93eabd87bd6e}</author>
    <author>tc={611aff1b-3f7b-4935-b9cd-ccc7a7db2150}</author>
    <author>tc={6356599f-4422-4b74-8333-7d819040c31a}</author>
    <author>tc={63fa3613-938c-4ab8-bbae-2db0adfae023}</author>
    <author>tc={6464a1d3-88d6-46f5-8c19-23ad42f6a27b}</author>
    <author>tc={65f389a3-9d78-486a-9324-6c310dfaf0ed}</author>
    <author>tc={669c87ff-2518-42e1-80fa-587942ea9553}</author>
    <author>tc={694555b6-c997-46f6-9765-0e4b2833682f}</author>
    <author>tc={6b2b0f3f-669e-4600-ac8f-f65fc4fb536a}</author>
    <author>tc={6bdac609-8489-41b8-bc01-e87fedf3a50f}</author>
    <author>tc={6e1066cd-705a-4244-90bd-5cac214b40a4}</author>
    <author>tc={70c5d2de-5353-46f8-98b3-2d443c539ed2}</author>
    <author>tc={72e1e94d-376f-4242-b12e-805439bd796b}</author>
    <author>tc={73ad9053-6cb3-446f-aacb-097624be54b5}</author>
    <author>tc={75247b42-631d-40b9-ade3-8b59258964ec}</author>
    <author>tc={75b86234-7223-425b-8b0c-f91c7eebc4fb}</author>
    <author>tc={75c6216a-98f8-4252-bf8c-d10ee39ba67c}</author>
    <author>tc={779f6fb5-509c-4954-9f68-f4f981acb212}</author>
    <author>tc={7a79609d-2da7-4272-a1cf-444af04ce354}</author>
    <author>tc={7abd563a-4501-4945-b3a2-e770be37e271}</author>
    <author>tc={7c25dbe9-930f-4e8e-8b34-c75d11aed3c0}</author>
    <author>tc={7d278e42-9ec5-4f59-9cc5-8891e6e65a61}</author>
    <author>tc={7da9f12a-7570-464f-b67e-ec411f2d73c8}</author>
    <author>tc={7dab69d6-b66c-4933-b790-93f6edfcc9ee}</author>
    <author>tc={7fa8d51a-521c-40f0-8eb9-800c910f515e}</author>
    <author>tc={88626ec1-b792-440c-b991-18b667692d27}</author>
    <author>tc={891395af-42c4-4faf-807a-4a583ff96456}</author>
    <author>tc={89164080-0119-4df1-adb4-0fcfb57a9d9d}</author>
    <author>tc={897b2436-9a74-4112-85fe-7100d2dabc90}</author>
    <author>tc={8fed5fd5-1e7f-41c1-a144-218c6b6283b2}</author>
    <author>tc={95937430-4e85-4bec-b739-97ab872336f6}</author>
    <author>tc={96e40018-b009-479c-8a72-7de9490285fb}</author>
    <author>tc={9ebb3ce6-3be4-482a-80fc-08af0e317f29}</author>
    <author>tc={a678fa00-0bcd-462c-b648-51c96a347307}</author>
    <author>tc={a8875bd0-c2b4-474a-8210-fc6ba0091515}</author>
    <author>tc={a8b91e13-7983-4fcf-bbca-1b31a075e225}</author>
    <author>tc={aa0a8c3a-5318-4673-90f9-2606ff909796}</author>
    <author>tc={aed1401e-4c84-4d6f-a958-cf8bf1dcf201}</author>
    <author>tc={b0554432-b0c0-4c44-9ff1-0639dc28b7bf}</author>
    <author>tc={b10227ab-cda7-4ab2-a173-0aa7c8277357}</author>
    <author>tc={b14835d5-125c-4b34-ba31-223093ab797a}</author>
    <author>tc={b16027f0-024f-4762-852a-5a078c1853af}</author>
    <author>tc={b1cc2607-7b9b-4cf8-a6cb-dd132b80c027}</author>
    <author>tc={b1cecb69-f79c-4cbf-b539-59e634813bb5}</author>
    <author>tc={b20af9af-d49b-423c-8f16-b51eaafdd31b}</author>
    <author>tc={b3411ec6-1550-417d-8c10-c9f10901cc00}</author>
    <author>tc={b424475e-7503-4ac7-943f-db2d5d956c4e}</author>
    <author>tc={b5878764-217a-4122-a2d0-0c902ae21178}</author>
    <author>tc={b5bdb8c3-7896-47d3-842e-1b84ffa819cd}</author>
    <author>tc={b5ec548e-4cd4-4eee-9231-ab2865d40265}</author>
    <author>tc={b73ddcd3-4e45-4462-a41c-b873e1f45b82}</author>
    <author>tc={b75aaf18-6c4e-49fc-a7bb-4d2d59fde1ae}</author>
    <author>tc={b8bfdd86-5b4d-4333-b18b-2f9cabb6d1b2}</author>
    <author>tc={bb680ace-22e0-43e0-841e-2ad9c757e6bd}</author>
    <author>tc={bc4e4f20-bcd2-496d-bf02-2c51f69b6eb4}</author>
    <author>tc={be10a18f-ea5f-4e31-8aa5-116c71a77a5a}</author>
    <author>tc={be18a7b6-f321-4d93-b83d-d275e88476f5}</author>
    <author>tc={bef87fd0-1494-4add-8d7b-018ec458798c}</author>
    <author>tc={c02484b3-f28a-48fd-a0ea-1f5a434ef623}</author>
    <author>tc={c50c4984-ceec-4540-879d-e7f7d86f768f}</author>
    <author>tc={c5f3ef9c-0a97-4915-8bfb-c0f91e6c0a67}</author>
    <author>tc={c609fb12-0f73-44f8-a1a8-7370b041d2db}</author>
    <author>tc={c825dbf4-b218-444a-9020-0bf8b858a7bc}</author>
    <author>tc={c87d4f05-fdb0-47aa-92df-7ec7fe7c0aaf}</author>
    <author>tc={c8ab47b0-9c04-44ed-9c51-3c9ea3e76579}</author>
    <author>tc={ca278d1c-8ff3-4ac3-9e41-8224d164adfe}</author>
    <author>tc={cdeae657-fd69-4970-b15a-0123afe9c82c}</author>
    <author>tc={d027a95b-fde4-4e90-916a-9e082cde0ed2}</author>
    <author>tc={d2c103c4-b7a9-4548-bf3f-803935e1dcdc}</author>
    <author>tc={d4277bcc-1e58-4699-990d-f96309ea7cd8}</author>
    <author>tc={d5f782f5-de25-4db6-9451-40f62bf008f0}</author>
    <author>tc={d6b4d281-9a76-4ef4-9f8c-86ad8f6add14}</author>
    <author>tc={d78d6bbe-6e9e-46d6-ac99-a1575ff7751c}</author>
    <author>tc={da31acd8-8f73-4be9-be33-ffb960236aee}</author>
    <author>tc={daba2eb4-a364-472b-869c-1e5e35ed4188}</author>
    <author>tc={db96dd92-f250-4030-9b5f-f7f5d4807a33}</author>
    <author>tc={ddbb7d02-b6aa-4cd6-a3d6-3596c9fb44c1}</author>
    <author>tc={dea0efe0-0ee3-42eb-b8b0-e86df52ecef0}</author>
    <author>tc={e1f872c6-61d9-4b65-818d-405693568981}</author>
    <author>tc={e2faf145-ef8f-443c-aa5a-df2af227a157}</author>
    <author>tc={e447b875-26be-47f3-a29e-6ba9e9d2f1e5}</author>
    <author>tc={e5ade292-f39b-4bb6-b765-02e763667cba}</author>
    <author>tc={e6c87c62-1ac6-40de-a2c2-5d9e2a6703b4}</author>
    <author>tc={e7381940-4980-48b5-b189-20c2e0952eda}</author>
    <author>tc={ec76f7bd-7c04-4579-907c-3db05d9ead4a}</author>
    <author>tc={ee29f471-13a2-4fd7-afb3-88db5e6710af}</author>
    <author>tc={ef003172-bb21-40de-be66-ec85040f25fb}</author>
    <author>tc={f139c37e-b7e2-4d7c-8348-fea92a0773a9}</author>
    <author>tc={f34f397b-0d01-4f6c-9748-8be43afcb667}</author>
    <author>tc={f4df3f4d-9582-4e1b-98ce-ac4b5e8bfb4d}</author>
    <author>tc={f7d8bde1-7212-4a22-8ec0-ee3db755d2a7}</author>
    <author>tc={f8cdcd55-68e7-4cde-b235-97ee13bbd18d}</author>
    <author>tc={f91aacee-63f7-4a39-ba85-bb44a7eedc90}</author>
    <author>tc={f9734ba1-e17e-4b57-8d05-45ab613843db}</author>
    <author>tc={fa1e0de8-f25c-4775-b9d3-3d2d881f6112}</author>
    <author>tc={fbc1e55a-5704-42dc-b53d-3c3a69fbc650}</author>
    <author>tc={fc10d179-f947-40e5-85b2-9ced1ff44b71}</author>
    <author>tc={fc206737-57a6-40ae-b401-4d522080133e}</author>
    <author>tc={fd651b80-49d0-4c76-8585-ac9bb7555898}</author>
  </authors>
  <commentList>
    <comment authorId="0" ref="J3">
      <text>
        <t xml:space="preserve">xám: đã đi quay
xanh lá: đang đi quay
Xanh dương: địa điểm + tgian ok &gt;&gt; next step sẽ đi check với KH
K tô mau: tgian + địa điểm chưa có hoặc đang chưa ok, check lại nhen'</t>
      </text>
    </comment>
    <comment authorId="1" xr:uid="{05e5f178-1562-4944-9c39-4ca352cba272}" ref="J34">
      <text>
        <t xml:space="preserve">[Threaded comment]
 Your version of Excel allows you to read this threaded comment; however, any edits to it will get removed if the file is opened in a newer version of Excel. Learn more: https://go.microsoft.com/fwlink/?linkid=870924
Comment:
	cho chị địa chỉ ở Đồng Nai nha hoặc brand sẽ propose địa điểm ở Đnai nha
</t>
      </text>
    </comment>
    <comment authorId="2" xr:uid="{083cacbb-219f-4abf-bf2d-161f4bce96ff}" ref="J34">
      <text>
        <t xml:space="preserve">[Threaded comment]
 Your version of Excel allows you to read this threaded comment; however, any edits to it will get removed if the file is opened in a newer version of Excel. Learn more: https://go.microsoft.com/fwlink/?linkid=870924
Comment:
	bạn này chưa confirm script @quoctan.hoang@pmax.com.vn
</t>
      </text>
    </comment>
    <comment authorId="3" xr:uid="{09b27b60-6c08-4305-9192-445f8bb57bb8}" ref="Q36">
      <text>
        <t xml:space="preserve">[Threaded comment]
 Your version of Excel allows you to read this threaded comment; however, any edits to it will get removed if the file is opened in a newer version of Excel. Learn more: https://go.microsoft.com/fwlink/?linkid=870924
Comment:
	chị Cứu em nhoé
Reply:
	@thanhngan.le@pmax.com.vn
Reply:
	okiii mai brand check sớm nha
</t>
      </text>
    </comment>
    <comment authorId="4" xr:uid="{0a18d8bb-78a2-4e3a-b676-3f041cc0da98}" ref="Q19">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t>
      </text>
    </comment>
    <comment authorId="5" xr:uid="{0a34cb5f-4a16-4067-898a-00d4aade05e8}" ref="X46">
      <text>
        <t xml:space="preserve">[Threaded comment]
 Your version of Excel allows you to read this threaded comment; however, any edits to it will get removed if the file is opened in a newer version of Excel. Learn more: https://go.microsoft.com/fwlink/?linkid=870924
Comment:
	hi chị @thanhngan.le@pmax.com.vn em update R2
Assigned to thanhngan.le@pmax.com.vn
Reply:
	cho em xin status con này với chị @thanhngan.le@pmax.com.vn
</t>
      </text>
    </comment>
    <comment authorId="6" xr:uid="{0b868674-c69c-401f-829d-b23ed1916217}" ref="S45">
      <text>
        <t xml:space="preserve">[Threaded comment]
 Your version of Excel allows you to read this threaded comment; however, any edits to it will get removed if the file is opened in a newer version of Excel. Learn more: https://go.microsoft.com/fwlink/?linkid=870924
Comment:
	em update thêm bạn này nha @thanhngan.le@pmax.com.vn
Assigned to thanhngan.le@pmax.com.vn
</t>
      </text>
    </comment>
    <comment authorId="7" xr:uid="{0d488846-1931-47f9-a6d5-16d7c39886c4}" ref="AG8">
      <text>
        <t xml:space="preserve">[Threaded comment]
 Your version of Excel allows you to read this threaded comment; however, any edits to it will get removed if the file is opened in a newer version of Excel. Learn more: https://go.microsoft.com/fwlink/?linkid=870924
Comment:
	update lịch nhe
</t>
      </text>
    </comment>
    <comment authorId="8" xr:uid="{0e1159ec-c8c3-41a2-a602-aae222292a5d}" ref="U9">
      <text>
        <t xml:space="preserve">[Threaded comment]
 Your version of Excel allows you to read this threaded comment; however, any edits to it will get removed if the file is opened in a newer version of Excel. Learn more: https://go.microsoft.com/fwlink/?linkid=870924
Comment:
	em update nho chị @thanhngan.le@pmax.com.vn
1 total reaction
Thanh Ngan Le (Account team) reacted with 🩷 at 2026-05-18 07:12 AM
</t>
      </text>
    </comment>
    <comment authorId="9" xr:uid="{0f47b099-510b-445f-98fd-f70088904472}" ref="U34">
      <text>
        <t xml:space="preserve">[Threaded comment]
 Your version of Excel allows you to read this threaded comment; however, any edits to it will get removed if the file is opened in a newer version of Excel. Learn more: https://go.microsoft.com/fwlink/?linkid=870924
Comment:
	chị Ngân ơi @thanhngan.le@pmax.com.vn
Assigned to thanhngan.le@pmax.com.vn
</t>
      </text>
    </comment>
    <comment authorId="10" xr:uid="{10189d7c-93f6-448d-8f10-e22e01cd7c59}" ref="AD31">
      <text>
        <t xml:space="preserve">[Threaded comment]
 Your version of Excel allows you to read this threaded comment; however, any edits to it will get removed if the file is opened in a newer version of Excel. Learn more: https://go.microsoft.com/fwlink/?linkid=870924
Comment:
	mới update nhen team ui @thanhngan.le@pmax.com.vn @thaiha.doan@pmax.com.vn
</t>
      </text>
    </comment>
    <comment authorId="11" xr:uid="{12185cb9-d686-4485-bf67-8e5eec688930}" ref="Q13">
      <text>
        <t xml:space="preserve">[Threaded comment]
 Your version of Excel allows you to read this threaded comment; however, any edits to it will get removed if the file is opened in a newer version of Excel. Learn more: https://go.microsoft.com/fwlink/?linkid=870924
Comment:
	em update script R2 nhen chị @thanhngan.le@pmax.com.vn
1 total reaction
Thanh Ngan Le (Account team) reacted with 🩷 at 2026-05-15 07:55 AM
</t>
      </text>
    </comment>
    <comment authorId="12" xr:uid="{1243a0fb-0f87-49fe-a4fb-70842474023a}" ref="W25">
      <text>
        <t xml:space="preserve">[Threaded comment]
 Your version of Excel allows you to read this threaded comment; however, any edits to it will get removed if the file is opened in a newer version of Excel. Learn more: https://go.microsoft.com/fwlink/?linkid=870924
Comment:
	mình bị miss bạn này á chị @thanhngan.le@pmax.com.vn
Assigned to thanhngan.le@pmax.com.vn
Reply:
	c update nha
</t>
      </text>
    </comment>
    <comment authorId="13" xr:uid="{12bcfa57-9f09-4be0-8afc-0db80a7d848f}" ref="Z6">
      <text>
        <t xml:space="preserve">[Threaded comment]
 Your version of Excel allows you to read this threaded comment; however, any edits to it will get removed if the file is opened in a newer version of Excel. Learn more: https://go.microsoft.com/fwlink/?linkid=870924
Comment:
	chị @thanhngan.le@pmax.com.vn clarify giúp em next step con này với, là sẽ giữ lại voice cũ và thêm text phải không. Như vậy thì các bạn sẽ khó chịu á nhen
Assigned to thanhngan.le@pmax.com.vn
Reply:
	cut hẳn luôn phần VO khi đọc tên món ăn á Tấn ui
Reply:
	sure với em chỉnh xong cái này là sẽ collect caption để air dần nhe mom @thanhngan.le@pmax.com.vn
</t>
      </text>
    </comment>
    <comment authorId="14" xr:uid="{144edb12-5094-4919-acc4-4013bca4439c}" ref="AB45">
      <text>
        <t xml:space="preserve">[Threaded comment]
 Your version of Excel allows you to read this threaded comment; however, any edits to it will get removed if the file is opened in a newer version of Excel. Learn more: https://go.microsoft.com/fwlink/?linkid=870924
Comment:
	này là caption ha chị @thanhngan.le@pmax.com.vn
Assigned to thanhngan.le@pmax.com.vn
</t>
      </text>
    </comment>
    <comment authorId="15" xr:uid="{14dd14b9-31b4-4431-97f7-bbbd21aa4be1}" ref="W11">
      <text>
        <t xml:space="preserve">[Threaded comment]
 Your version of Excel allows you to read this threaded comment; however, any edits to it will get removed if the file is opened in a newer version of Excel. Learn more: https://go.microsoft.com/fwlink/?linkid=870924
Comment:
	fbs nhen @quoctan.hoang@pmax.com.vn
Assigned to quoctan.hoang@pmax.com.vn
Reply:
	chị ơi mom này chọn gì zạ
</t>
      </text>
    </comment>
    <comment authorId="16" xr:uid="{1888c6a3-fd00-4a8e-9067-39f64252ace2}" ref="Q8">
      <text>
        <t xml:space="preserve">[Threaded comment]
 Your version of Excel allows you to read this threaded comment; however, any edits to it will get removed if the file is opened in a newer version of Excel. Learn more: https://go.microsoft.com/fwlink/?linkid=870924
Comment:
	Update nè @quoctan.hoang@pmax.com.vn
Assigned to quoctan.hoang@pmax.com.vn
Reply:
	em update rùi chị ui, chị check giúp em nhe
1 total reaction
Thanh Ngan Le (Account team) reacted with 🧡 at 2026-05-12 08:43 AM
</t>
      </text>
    </comment>
    <comment authorId="17" xr:uid="{18e02031-974e-4079-a74c-7ef97c6155be}" ref="U20">
      <text>
        <t xml:space="preserve">[Threaded comment]
 Your version of Excel allows you to read this threaded comment; however, any edits to it will get removed if the file is opened in a newer version of Excel. Learn more: https://go.microsoft.com/fwlink/?linkid=870924
Comment:
	há lu chị @thanhngan.le@pmax.com.vn em update
Assigned to thanhngan.le@pmax.com.vn
</t>
      </text>
    </comment>
    <comment authorId="18" xr:uid="{18fb0efd-9469-464d-a1cc-bd3ac0ede6e4}" ref="AE38">
      <text>
        <t xml:space="preserve">[Threaded comment]
 Your version of Excel allows you to read this threaded comment; however, any edits to it will get removed if the file is opened in a newer version of Excel. Learn more: https://go.microsoft.com/fwlink/?linkid=870924
Comment:
	phần cmt có fbs lun rùi push mí bạn revise lun nhen @quoctan.hoang@pmax.com.vn
Assigned to quoctan.hoang@pmax.com.vn
</t>
      </text>
    </comment>
    <comment authorId="19" xr:uid="{1ad43a38-66a8-417b-816d-636d4ae53aef}" ref="AB5">
      <text>
        <t xml:space="preserve">[Threaded comment]
 Your version of Excel allows you to read this threaded comment; however, any edits to it will get removed if the file is opened in a newer version of Excel. Learn more: https://go.microsoft.com/fwlink/?linkid=870924
Comment:
	con này final confirm chưa chị @thanhngan.le@pmax.com.vn
</t>
      </text>
    </comment>
    <comment authorId="20" xr:uid="{1d27b244-10f7-4eb3-811c-94437a5802fd}" ref="X36">
      <text>
        <t xml:space="preserve">[Threaded comment]
 Your version of Excel allows you to read this threaded comment; however, any edits to it will get removed if the file is opened in a newer version of Excel. Learn more: https://go.microsoft.com/fwlink/?linkid=870924
Comment:
	link demo R2 giống link demo R1, check nha @quoctan.hoang@pmax.com.vn
Assigned to quoctan.hoang@pmax.com.vn
Reply:
	hi team ơi, Tấn có note 1 lần với mình là các bạn KOC sẽ sử dụng chung 1 link drive, và upload video lên (kèm xoá video round), nên bản chất sẽ chung 1 link á
</t>
      </text>
    </comment>
    <comment authorId="21" xr:uid="{1d314cac-1692-4b8f-b8bf-b0d0ad91f7ac}" ref="U47">
      <text>
        <t xml:space="preserve">[Threaded comment]
 Your version of Excel allows you to read this threaded comment; however, any edits to it will get removed if the file is opened in a newer version of Excel. Learn more: https://go.microsoft.com/fwlink/?linkid=870924
Comment:
	em update nhe chị @thanhngan.le@pmax.com.vn
Assigned to thanhngan.le@pmax.com.vn
</t>
      </text>
    </comment>
    <comment authorId="22" xr:uid="{1dc850cb-0398-4fc3-800a-eb435616ed11}" ref="U36">
      <text>
        <t xml:space="preserve">[Threaded comment]
 Your version of Excel allows you to read this threaded comment; however, any edits to it will get removed if the file is opened in a newer version of Excel. Learn more: https://go.microsoft.com/fwlink/?linkid=870924
Comment:
	em lên R1 nhe chị @thanhngan.le@pmax.com.vn
Assigned to thanhngan.le@pmax.com.vn
</t>
      </text>
    </comment>
    <comment authorId="23" xr:uid="{202f52a9-8f68-465b-b50f-bdf72f3ef5b1}" ref="X47">
      <text>
        <t xml:space="preserve">[Threaded comment]
 Your version of Excel allows you to read this threaded comment; however, any edits to it will get removed if the file is opened in a newer version of Excel. Learn more: https://go.microsoft.com/fwlink/?linkid=870924
Comment:
	em update nhe mom @thanhngan.le@pmax.com.vn
Assigned to thanhngan.le@pmax.com.vn
</t>
      </text>
    </comment>
    <comment authorId="24" xr:uid="{2086ba6c-0211-4321-94aa-f071d8f1e5ec}" ref="U11">
      <text>
        <t xml:space="preserve">[Threaded comment]
 Your version of Excel allows you to read this threaded comment; however, any edits to it will get removed if the file is opened in a newer version of Excel. Learn more: https://go.microsoft.com/fwlink/?linkid=870924
Comment:
	chị @thanhngan.le@pmax.com.vn em update
</t>
      </text>
    </comment>
    <comment authorId="25" xr:uid="{231193b2-efca-4741-8ae7-9f7c0e5311eb}" ref="P13">
      <text>
        <t xml:space="preserve">[Threaded comment]
 Your version of Excel allows you to read this threaded comment; however, any edits to it will get removed if the file is opened in a newer version of Excel. Learn more: https://go.microsoft.com/fwlink/?linkid=870924
Comment:
	chị ơi em cần feedbackkkkkk @thanhngan.le@pmax.com.vn
Reply:
	update nhen Tấn ui
</t>
      </text>
    </comment>
    <comment authorId="26" xr:uid="{23c02594-91b9-43a6-a79e-930fce0cdf55}" ref="X41">
      <text>
        <t xml:space="preserve">[Threaded comment]
 Your version of Excel allows you to read this threaded comment; however, any edits to it will get removed if the file is opened in a newer version of Excel. Learn more: https://go.microsoft.com/fwlink/?linkid=870924
Comment:
	em update nhe chị @thanhngan.le@pmax.com.vn
Assigned to thanhngan.le@pmax.com.vn
</t>
      </text>
    </comment>
    <comment authorId="27" xr:uid="{273a0a11-9cff-4861-abc8-16ec89b33a82}" ref="AF41">
      <text>
        <t xml:space="preserve">[Threaded comment]
 Your version of Excel allows you to read this threaded comment; however, any edits to it will get removed if the file is opened in a newer version of Excel. Learn more: https://go.microsoft.com/fwlink/?linkid=870924
Comment:
	Feedback brand team:
Leo: Bỏ ""Vietnam"". Đã dùng từ quán thì không cần thêm vào, trừ khi dùng từ chuỗi"
@quoctan.hoang@pmax.com.vn check nha ạ
Assigned to quoctan.hoang@pmax.com.vn
Reply:
	chữ Vietnam ở đâu zạaa
Reply:
	hashtag nha: #FiveStar #FiveStarVietnam #GaRanFiveStar #GaDay
@quoctan.hoang@pmax.com.vn
Reply:
	cc chị @thanhngan.le@pmax.com.vn phần hashtag này là brand confirm với team rùi đúng hong chị.
Reply:
	confirm rồi nha Tấn, bản này đúng rồi nha @quoctan.hoang@pmax.com.vn
</t>
      </text>
    </comment>
    <comment authorId="28" xr:uid="{2748d1ba-6048-4d07-922f-bf830ca7ea70}" ref="AB5">
      <text>
        <t xml:space="preserve">[Threaded comment]
 Your version of Excel allows you to read this threaded comment; however, any edits to it will get removed if the file is opened in a newer version of Excel. Learn more: https://go.microsoft.com/fwlink/?linkid=870924
Comment:
	đã update status mới nhất tất cả các bạn ạ (highlight xanh lá cây), @quoctan.hoang@pmax.com.vn check nha thankyou 
cc chị @thanhngan.le@pmax.com.vn
Assigned to quoctan.hoang@pmax.com.vn
</t>
      </text>
    </comment>
    <comment authorId="29" xr:uid="{27720e7a-5580-4db2-9f40-a2e0e5a55d8c}" ref="AA39">
      <text>
        <t xml:space="preserve">[Threaded comment]
 Your version of Excel allows you to read this threaded comment; however, any edits to it will get removed if the file is opened in a newer version of Excel. Learn more: https://go.microsoft.com/fwlink/?linkid=870924
Comment:
	gô gô @thanhngan.le@pmax.com.vn
Assigned to thanhngan.le@pmax.com.vn
Reply:
	ok c nhận tin nha
</t>
      </text>
    </comment>
    <comment authorId="30" xr:uid="{2823b123-7189-4547-8d3f-b5d33172e88e}" ref="AF42">
      <text>
        <t xml:space="preserve">[Threaded comment]
 Your version of Excel allows you to read this threaded comment; however, any edits to it will get removed if the file is opened in a newer version of Excel. Learn more: https://go.microsoft.com/fwlink/?linkid=870924
Comment:
	em update nhe
</t>
      </text>
    </comment>
    <comment authorId="31" xr:uid="{291b88db-9595-4c50-95d1-7f8ecada87d9}" ref="U21">
      <text>
        <t xml:space="preserve">[Threaded comment]
 Your version of Excel allows you to read this threaded comment; however, any edits to it will get removed if the file is opened in a newer version of Excel. Learn more: https://go.microsoft.com/fwlink/?linkid=870924
Comment:
	chị ơi em gửi nhe
</t>
      </text>
    </comment>
    <comment authorId="32" xr:uid="{2bb713cc-fc3f-4c2a-8ac3-d5b45440f195}" ref="Q25">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1 total reaction
Thanh Ngan Le (Account team) reacted with 🩷 at 2026-05-12 09:42 AM
</t>
      </text>
    </comment>
    <comment authorId="33" xr:uid="{2f29a65b-c6e6-47a7-85f0-928defe97eac}" ref="Z27">
      <text>
        <t xml:space="preserve">[Threaded comment]
 Your version of Excel allows you to read this threaded comment; however, any edits to it will get removed if the file is opened in a newer version of Excel. Learn more: https://go.microsoft.com/fwlink/?linkid=870924
Comment:
	ví dụ như bạn này nè, mình có fbs sửa text nên note v INT hem hiểu nha @thaiha.doan@pmax.com.vn
Assigned to thaiha.doan@pmax.com.vn
Reply:
	em đã sửa ạ
</t>
      </text>
    </comment>
    <comment authorId="34" xr:uid="{33c43927-9bee-42d8-904d-306e2c6f2a52}" ref="U25">
      <text>
        <t xml:space="preserve">[Threaded comment]
 Your version of Excel allows you to read this threaded comment; however, any edits to it will get removed if the file is opened in a newer version of Excel. Learn more: https://go.microsoft.com/fwlink/?linkid=870924
Comment:
	em lên demo R1 nhe chị @thanhngan.le@pmax.com.vn
Assigned to thanhngan.le@pmax.com.vn
</t>
      </text>
    </comment>
    <comment authorId="35" xr:uid="{34f891fb-1b02-4950-ad01-ad3af2465e70}" ref="B17">
      <text>
        <t xml:space="preserve">[Threaded comment]
 Your version of Excel allows you to read this threaded comment; however, any edits to it will get removed if the file is opened in a newer version of Excel. Learn more: https://go.microsoft.com/fwlink/?linkid=870924
Comment:
	@thanhngan.le@pmax.com.vn
</t>
      </text>
    </comment>
    <comment authorId="36" xr:uid="{36d8ec6a-20d7-4b5a-baf5-3bfaea696459}" ref="J47">
      <text>
        <t xml:space="preserve">[Threaded comment]
 Your version of Excel allows you to read this threaded comment; however, any edits to it will get removed if the file is opened in a newer version of Excel. Learn more: https://go.microsoft.com/fwlink/?linkid=870924
Comment:
	em update lại case miên man dời qua 14/5 nhen chị @thanhngan.le@pmax.com.vn
Assigned to thanhngan.le@pmax.com.vn
Reply:
	giờ ở HN phải đi quay tầm 15/05 nha Tấn ui
</t>
      </text>
    </comment>
    <comment authorId="37" xr:uid="{36e9feab-cbbc-4150-8aef-3c0994460d70}" ref="X36">
      <text>
        <t xml:space="preserve">[Threaded comment]
 Your version of Excel allows you to read this threaded comment; however, any edits to it will get removed if the file is opened in a newer version of Excel. Learn more: https://go.microsoft.com/fwlink/?linkid=870924
Comment:
	còn bạn này chưa có demo R2 thôi, Tấn đuổi nốt nha @quoctan.hoang@pmax.com.vn
Assigned to quoctan.hoang@pmax.com.vn
Reply:
	ráng lúm rùi :)))
1 total reaction
Thai Ha Doan (Account) reacted with 🥲 at 2026-06-07 14:37 PM
Reply:
	em update rùi nhen chị @thanhngan.le@pmax.com.vn @thaiha.doan@pmax.com.vn
</t>
      </text>
    </comment>
    <comment authorId="38" xr:uid="{380a3d69-27e5-4ae7-b998-b29d3cab72f3}" ref="J20">
      <text>
        <t xml:space="preserve">[Threaded comment]
 Your version of Excel allows you to read this threaded comment; however, any edits to it will get removed if the file is opened in a newer version of Excel. Learn more: https://go.microsoft.com/fwlink/?linkid=870924
Comment:
	em update nhen @thanhngan.le@pmax.com.vn
Reply:
	thời gian
</t>
      </text>
    </comment>
    <comment authorId="39" xr:uid="{38a4b669-28fb-4c94-b5a5-e7fae7e61186}" ref="AA45">
      <text>
        <t xml:space="preserve">[Threaded comment]
 Your version of Excel allows you to read this threaded comment; however, any edits to it will get removed if the file is opened in a newer version of Excel. Learn more: https://go.microsoft.com/fwlink/?linkid=870924
Comment:
	em update lại round revise cái final comment nhen chị @thanhngan.le@pmax.com.vn ,cc @thaiha.doan@pmax.com.vn
Assigned to thanhngan.le@pmax.com.vn
</t>
      </text>
    </comment>
    <comment authorId="40" xr:uid="{38cd1f2d-c120-475f-b5dc-08aab824f875}" ref="N29">
      <text>
        <t xml:space="preserve">[Threaded comment]
 Your version of Excel allows you to read this threaded comment; however, any edits to it will get removed if the file is opened in a newer version of Excel. Learn more: https://go.microsoft.com/fwlink/?linkid=870924
Comment:
	lên đơn mom @thanhngan.le@pmax.com.vn
Assigned to thanhngan.le@pmax.com.vn
</t>
      </text>
    </comment>
    <comment authorId="41" xr:uid="{3adcc72e-2cad-4b48-82af-6ef06cfb3fd2}" ref="AA42">
      <text>
        <t xml:space="preserve">[Threaded comment]
 Your version of Excel allows you to read this threaded comment; however, any edits to it will get removed if the file is opened in a newer version of Excel. Learn more: https://go.microsoft.com/fwlink/?linkid=870924
Comment:
	confirm rồi mà không thấy link final demo nè Tấn ơi, check nhaa @quoctan.hoang@pmax.com.vn
Assigned to quoctan.hoang@pmax.com.vn
Reply:
	thường thì nếu brand đã confirm thì Tấn mặc định demo R2 là final demo á team, vậy chắc để Tấn add thêm nha
</t>
      </text>
    </comment>
    <comment authorId="42" xr:uid="{3c66e5bf-a7d2-4064-b75e-3da9ed055c6c}" ref="AB6">
      <text>
        <t xml:space="preserve">[Threaded comment]
 Your version of Excel allows you to read this threaded comment; however, any edits to it will get removed if the file is opened in a newer version of Excel. Learn more: https://go.microsoft.com/fwlink/?linkid=870924
Comment:
	check update mới (highlight xanh nước biển) nha @quoctan.hoang@pmax.com.vn
Assigned to quoctan.hoang@pmax.com.vn
</t>
      </text>
    </comment>
    <comment authorId="43" xr:uid="{3eba6510-4f4a-4dae-9796-e6601a6780f9}" ref="AD39">
      <text>
        <t xml:space="preserve">[Threaded comment]
 Your version of Excel allows you to read this threaded comment; however, any edits to it will get removed if the file is opened in a newer version of Excel. Learn more: https://go.microsoft.com/fwlink/?linkid=870924
Comment:
	#FiveStar #FiveStarVietnam #GaRanFiveStar #GaDay
</t>
      </text>
    </comment>
    <comment authorId="44" xr:uid="{40417fa6-945f-436f-b001-e3756aaf42a3}" ref="Q45">
      <text>
        <t xml:space="preserve">[Threaded comment]
 Your version of Excel allows you to read this threaded comment; however, any edits to it will get removed if the file is opened in a newer version of Excel. Learn more: https://go.microsoft.com/fwlink/?linkid=870924
Comment:
	bạn này mai quay rùi mà ch có script nè @quoctan.hoang@pmax.com.vn
Assigned to quoctan.hoang@pmax.com.vn
</t>
      </text>
    </comment>
    <comment authorId="45" xr:uid="{411e0caf-27fe-4016-8ce7-0f57781ccafd}" ref="AF40">
      <text>
        <t xml:space="preserve">[Threaded comment]
 Your version of Excel allows you to read this threaded comment; however, any edits to it will get removed if the file is opened in a newer version of Excel. Learn more: https://go.microsoft.com/fwlink/?linkid=870924
Comment:
	này uki chưa tô xanh giúp em với nhe @thanhngan.le@pmax.com.vn
Assigned to thanhngan.le@pmax.com.vn
</t>
      </text>
    </comment>
    <comment authorId="46" xr:uid="{426c26d5-6ff7-4bc0-92b8-aa24975c79c7}" ref="Z45">
      <text>
        <t xml:space="preserve">[Threaded comment]
 Your version of Excel allows you to read this threaded comment; however, any edits to it will get removed if the file is opened in a newer version of Excel. Learn more: https://go.microsoft.com/fwlink/?linkid=870924
Comment:
	phần này đã finalize chưa zạ
Reply:
	há lu chị @thanhngan.le@pmax.com.vn , phần này đã finalize chưa zạ để em shoot qua cho bạn
</t>
      </text>
    </comment>
    <comment authorId="47" xr:uid="{429ca42e-4a7e-4f9a-b845-49f7e75d12e5}" ref="J47">
      <text>
        <t xml:space="preserve">[Threaded comment]
 Your version of Excel allows you to read this threaded comment; however, any edits to it will get removed if the file is opened in a newer version of Excel. Learn more: https://go.microsoft.com/fwlink/?linkid=870924
Comment:
	địa điểm này oke t7 pahir hem @thanhngan.le@pmax.com.vn
Assigned to thanhngan.le@pmax.com.vn
</t>
      </text>
    </comment>
    <comment authorId="48" xr:uid="{42b57bf2-7642-4121-b6d2-0dc85d018986}" ref="X43">
      <text>
        <t xml:space="preserve">[Threaded comment]
 Your version of Excel allows you to read this threaded comment; however, any edits to it will get removed if the file is opened in a newer version of Excel. Learn more: https://go.microsoft.com/fwlink/?linkid=870924
Comment:
	em update nhe
Reply:
	@thanhngan.le@pmax.com.vn
</t>
      </text>
    </comment>
    <comment authorId="49" xr:uid="{43da0bf4-ff19-4115-a49f-c452c9a2c3aa}" ref="J16">
      <text>
        <t xml:space="preserve">[Threaded comment]
 Your version of Excel allows you to read this threaded comment; however, any edits to it will get removed if the file is opened in a newer version of Excel. Learn more: https://go.microsoft.com/fwlink/?linkid=870924
Comment:
	em update thêm chị @thanhngan.le@pmax.com.vn
</t>
      </text>
    </comment>
    <comment authorId="50" xr:uid="{43f49300-96f7-4c08-bd74-4d8bfbac7294}" ref="U13">
      <text>
        <t xml:space="preserve">[Threaded comment]
 Your version of Excel allows you to read this threaded comment; however, any edits to it will get removed if the file is opened in a newer version of Excel. Learn more: https://go.microsoft.com/fwlink/?linkid=870924
Comment:
	há lu mom @thanhngan.le@pmax.com.vn hỗ trợ em
Assigned to thanhngan.le@pmax.com.vn
</t>
      </text>
    </comment>
    <comment authorId="51" xr:uid="{448cef17-cb8b-484a-b15a-03a028cf32ac}" ref="Z11">
      <text>
        <t xml:space="preserve">[Threaded comment]
 Your version of Excel allows you to read this threaded comment; however, any edits to it will get removed if the file is opened in a newer version of Excel. Learn more: https://go.microsoft.com/fwlink/?linkid=870924
Comment:
	Tấn check feedback R2 mới update nha @quoctan.hoang@pmax.com.vn
Assigned to quoctan.hoang@pmax.com.vn
</t>
      </text>
    </comment>
    <comment authorId="52" xr:uid="{45df1ffe-5c78-4e49-b74d-e7a9df02cbf3}" ref="J3">
      <text>
        <t xml:space="preserve">[Threaded comment]
 Your version of Excel allows you to read this threaded comment; however, any edits to it will get removed if the file is opened in a newer version of Excel. Learn more: https://go.microsoft.com/fwlink/?linkid=870924
Comment:
	Check với KOL/ Community thời gian địa điểm nha @quoctan.hoang@pmax.com.vn
Assigned to quoctan.hoang@pmax.com.vn
</t>
      </text>
    </comment>
    <comment authorId="53" xr:uid="{4735db3b-180f-45a0-99ea-52cf0db83831}" ref="AA6">
      <text>
        <t xml:space="preserve">[Threaded comment]
 Your version of Excel allows you to read this threaded comment; however, any edits to it will get removed if the file is opened in a newer version of Excel. Learn more: https://go.microsoft.com/fwlink/?linkid=870924
Comment:
	@thanhngan.le@pmax.com.vn em update final demo
Assigned to thanhngan.le@pmax.com.vn
</t>
      </text>
    </comment>
    <comment authorId="54" xr:uid="{4892774d-81b5-40e1-b0bf-920f4bd6f2e5}" ref="Z9">
      <text>
        <t xml:space="preserve">[Threaded comment]
 Your version of Excel allows you to read this threaded comment; however, any edits to it will get removed if the file is opened in a newer version of Excel. Learn more: https://go.microsoft.com/fwlink/?linkid=870924
Comment:
	hú @quoctan.hoang@pmax.com.vn lẹ lẹ cho 2 bạn chỉnh tuần sau air nha + check caption
Assigned to quoctan.hoang@pmax.com.vn
</t>
      </text>
    </comment>
    <comment authorId="55" xr:uid="{48f8f816-678b-4107-9d3b-739d4558d18b}" ref="N26">
      <text>
        <t xml:space="preserve">[Threaded comment]
 Your version of Excel allows you to read this threaded comment; however, any edits to it will get removed if the file is opened in a newer version of Excel. Learn more: https://go.microsoft.com/fwlink/?linkid=870924
Comment:
	case này em chưa thấy feedback mom ơi
Reply:
	@thanhngan.le@pmax.com.vn
Reply:
	@thanhngan.le@pmax.com.vn case này em chưa thấy feedback để push  script r2
Reply:
	c update nha
</t>
      </text>
    </comment>
    <comment authorId="56" xr:uid="{4e840601-447d-40f9-b3ae-2af573d5b476}" ref="AE45">
      <text>
        <t xml:space="preserve">[Threaded comment]
 Your version of Excel allows you to read this threaded comment; however, any edits to it will get removed if the file is opened in a newer version of Excel. Learn more: https://go.microsoft.com/fwlink/?linkid=870924
Comment:
	sửa cmt nhen @quoctan.hoang@pmax.com.vn
Assigned to quoctan.hoang@pmax.com.vn
</t>
      </text>
    </comment>
    <comment authorId="57" xr:uid="{4ef16cad-b6e3-414e-b599-2afc68dafded}" ref="J6">
      <text>
        <t xml:space="preserve">[Threaded comment]
 Your version of Excel allows you to read this threaded comment; however, any edits to it will get removed if the file is opened in a newer version of Excel. Learn more: https://go.microsoft.com/fwlink/?linkid=870924
Comment:
	Script bạn này ok, điều chỉnh xíu thui check lại đi quay nha @quoctan.hoang@pmax.com.vn
Assigned to quoctan.hoang@pmax.com.vn
</t>
      </text>
    </comment>
    <comment authorId="58" xr:uid="{506ab122-4c29-4f59-875d-c52634d2d4cd}" ref="Q20">
      <text>
        <t xml:space="preserve">[Threaded comment]
 Your version of Excel allows you to read this threaded comment; however, any edits to it will get removed if the file is opened in a newer version of Excel. Learn more: https://go.microsoft.com/fwlink/?linkid=870924
Comment:
	em update nhen
</t>
      </text>
    </comment>
    <comment authorId="59" xr:uid="{50846105-0f55-4778-b1dc-fcb05dcf58dc}" ref="U43">
      <text>
        <t xml:space="preserve">[Threaded comment]
 Your version of Excel allows you to read this threaded comment; however, any edits to it will get removed if the file is opened in a newer version of Excel. Learn more: https://go.microsoft.com/fwlink/?linkid=870924
Comment:
	em up demo nhen chị @thanhngan.le@pmax.com.vn
Assigned to thanhngan.le@pmax.com.vn
Reply:
	đang bị miss á chị @thanhngan.le@pmax.com.vn
1 total reaction
Thanh Ngan Le (Account team) reacted with ♥️ at 2026-05-25 11:42 AM
Reply:
	chị @thanhngan.le@pmax.com.vn ơi, case nào sao stuck dữ z không có feedback lun hẻ
</t>
      </text>
    </comment>
    <comment authorId="60" xr:uid="{51906752-676d-454a-bef7-2bd1a0672f1d}" ref="AF9">
      <text>
        <t xml:space="preserve">[Threaded comment]
 Your version of Excel allows you to read this threaded comment; however, any edits to it will get removed if the file is opened in a newer version of Excel. Learn more: https://go.microsoft.com/fwlink/?linkid=870924
Comment:
	em update revised nhen chị @thanhngan.le@pmax.com.vn
Assigned to thanhngan.le@pmax.com.vn
</t>
      </text>
    </comment>
    <comment authorId="61" xr:uid="{527a7a63-d0f7-444c-9720-3e987ae4c061}" ref="J29">
      <text>
        <t xml:space="preserve">[Threaded comment]
 Your version of Excel allows you to read this threaded comment; however, any edits to it will get removed if the file is opened in a newer version of Excel. Learn more: https://go.microsoft.com/fwlink/?linkid=870924
Comment:
	chị @thanhngan.le@pmax.com.vn ơi, lịch case này chị check giúp em đừng quên nhe
Assigned to thanhngan.le@pmax.com.vn
</t>
      </text>
    </comment>
    <comment authorId="62" xr:uid="{54748ba0-228b-43c3-b78c-7cbdaf1150a3}" ref="Z36">
      <text>
        <t xml:space="preserve">[Threaded comment]
 Your version of Excel allows you to read this threaded comment; however, any edits to it will get removed if the file is opened in a newer version of Excel. Learn more: https://go.microsoft.com/fwlink/?linkid=870924
Comment:
	team ui miss nhà bé sushi
</t>
      </text>
    </comment>
    <comment authorId="63" xr:uid="{55a7759c-07e5-4442-9a12-37773d340a4b}" ref="AB28">
      <text>
        <t xml:space="preserve">[Threaded comment]
 Your version of Excel allows you to read this threaded comment; however, any edits to it will get removed if the file is opened in a newer version of Excel. Learn more: https://go.microsoft.com/fwlink/?linkid=870924
Comment:
	team ơi xin brand giùm Tấn case này đi, vì qua 2 round rùi, nếu chỉ cắt chữ rẻ là phải voice off lại gần full luôn mà 2 round trước chưa hề aware gì về vấn đề này á @thanhngan.le@pmax.com.vn @thaiha.doan@pmax.com.vn
Assigned to thanhngan.le@pmax.com.vn
</t>
      </text>
    </comment>
    <comment authorId="64" xr:uid="{58b1231f-bc25-471f-918d-54699e593e2d}" ref="W7">
      <text>
        <t xml:space="preserve">[Threaded comment]
 Your version of Excel allows you to read this threaded comment; however, any edits to it will get removed if the file is opened in a newer version of Excel. Learn more: https://go.microsoft.com/fwlink/?linkid=870924
Comment:
	bạn này c dơn fbs nhen @quoctan.hoang@pmax.com.vn
Assigned to quoctan.hoang@pmax.com.vn
Reply:
	eiiiii có feedback add thêm là phải để ở R2 á, chứ em track hong hết được
</t>
      </text>
    </comment>
    <comment authorId="65" xr:uid="{5b332c43-4516-45e7-8949-5e36fb420ac9}" ref="X25">
      <text>
        <t xml:space="preserve">[Threaded comment]
 Your version of Excel allows you to read this threaded comment; however, any edits to it will get removed if the file is opened in a newer version of Excel. Learn more: https://go.microsoft.com/fwlink/?linkid=870924
Comment:
	folder trống ạ @quoctan.hoang@pmax.com.vn check lại nha
Assigned to quoctan.hoang@pmax.com.vn
Reply:
	ukii cảm ơn Hà Tấn báo team r
1 total reaction
Thai Ha Doan (Account) reacted with 😍 at 2026-06-04 04:41 AM
</t>
      </text>
    </comment>
    <comment authorId="66" xr:uid="{5c1c038a-02a7-48ab-a826-49af6c8b1384}" ref="Q6">
      <text>
        <t xml:space="preserve">[Threaded comment]
 Your version of Excel allows you to read this threaded comment; however, any edits to it will get removed if the file is opened in a newer version of Excel. Learn more: https://go.microsoft.com/fwlink/?linkid=870924
Comment:
	updated script R2
</t>
      </text>
    </comment>
    <comment authorId="67" xr:uid="{5d1d44ea-4b5d-49e2-981f-912928e5f140}" ref="Z40">
      <text>
        <t xml:space="preserve">[Threaded comment]
 Your version of Excel allows you to read this threaded comment; however, any edits to it will get removed if the file is opened in a newer version of Excel. Learn more: https://go.microsoft.com/fwlink/?linkid=870924
Comment:
	phần này em chưa thấy feedback á chị @thanhngan.le@pmax.com.vn
Assigned to thanhngan.le@pmax.com.vn
Reply:
	umm c đang push ùi nha
</t>
      </text>
    </comment>
    <comment authorId="68" xr:uid="{5fbde703-6917-4ebb-b618-93eabd87bd6e}" ref="AD10">
      <text>
        <t xml:space="preserve">[Threaded comment]
 Your version of Excel allows you to read this threaded comment; however, any edits to it will get removed if the file is opened in a newer version of Excel. Learn more: https://go.microsoft.com/fwlink/?linkid=870924
Comment:
	feedback giúp em nhe @thanhngan.le@pmax.com.vn
Assigned to thanhngan.le@pmax.com.vn
</t>
      </text>
    </comment>
    <comment authorId="69" xr:uid="{611aff1b-3f7b-4935-b9cd-ccc7a7db2150}" ref="J6">
      <text>
        <t xml:space="preserve">[Threaded comment]
 Your version of Excel allows you to read this threaded comment; however, any edits to it will get removed if the file is opened in a newer version of Excel. Learn more: https://go.microsoft.com/fwlink/?linkid=870924
Comment:
	kiosk mở cuawt từ 10h nha @quoctan.hoang@pmax.com.vn
Assigned to quoctan.hoang@pmax.com.vn
Reply:
	Checking lịch đi quay khác
</t>
      </text>
    </comment>
    <comment authorId="70" xr:uid="{6356599f-4422-4b74-8333-7d819040c31a}" ref="AD18">
      <text>
        <t xml:space="preserve">[Threaded comment]
 Your version of Excel allows you to read this threaded comment; however, any edits to it will get removed if the file is opened in a newer version of Excel. Learn more: https://go.microsoft.com/fwlink/?linkid=870924
Comment:
	này chưa có caption hẻ @quoctan.hoang@pmax.com.vn
Assigned to quoctan.hoang@pmax.com.vn
Reply:
	rùi nề mom ơi
</t>
      </text>
    </comment>
    <comment authorId="71" xr:uid="{63fa3613-938c-4ab8-bbae-2db0adfae023}" ref="AB32">
      <text>
        <t xml:space="preserve">[Threaded comment]
 Your version of Excel allows you to read this threaded comment; however, any edits to it will get removed if the file is opened in a newer version of Excel. Learn more: https://go.microsoft.com/fwlink/?linkid=870924
Comment:
	sao qua 2 round rùi mà vẫn còn nhiều feedback tồn đọng z team ui @thanhngan.le@pmax.com.vn @thaiha.doan@pmax.com.vn 
Bên mình có note với brand hong zạ, tại phát sinh round là charge thêm tiền á
Assigned to thanhngan.le@pmax.com.vn
</t>
      </text>
    </comment>
    <comment authorId="72" xr:uid="{6464a1d3-88d6-46f5-8c19-23ad42f6a27b}" ref="Q43">
      <text>
        <t xml:space="preserve">[Threaded comment]
 Your version of Excel allows you to read this threaded comment; however, any edits to it will get removed if the file is opened in a newer version of Excel. Learn more: https://go.microsoft.com/fwlink/?linkid=870924
Comment:
	chị ơi em update @thanhngan.le@pmax.com.vn
Reply:
	@thanhngan.le@pmax.com.vn cho em xin feedback với
Reply:
	done nha
</t>
      </text>
    </comment>
    <comment authorId="73" xr:uid="{65f389a3-9d78-486a-9324-6c310dfaf0ed}" ref="U7">
      <text>
        <t xml:space="preserve">[Threaded comment]
 Your version of Excel allows you to read this threaded comment; however, any edits to it will get removed if the file is opened in a newer version of Excel. Learn more: https://go.microsoft.com/fwlink/?linkid=870924
Comment:
	em update demo @thanhngan.le@pmax.com.vn
</t>
      </text>
    </comment>
    <comment authorId="74" xr:uid="{669c87ff-2518-42e1-80fa-587942ea9553}" ref="AA44">
      <text>
        <t xml:space="preserve">[Threaded comment]
 Your version of Excel allows you to read this threaded comment; however, any edits to it will get removed if the file is opened in a newer version of Excel. Learn more: https://go.microsoft.com/fwlink/?linkid=870924
Comment:
	chị check giúp em nhe @thanhngan.le@pmax.com.vn
Assigned to thanhngan.le@pmax.com.vn
Reply:
	cho em xin status con này với chị @thanhngan.le@pmax.com.vn
</t>
      </text>
    </comment>
    <comment authorId="75" xr:uid="{694555b6-c997-46f6-9765-0e4b2833682f}" ref="AA47">
      <text>
        <t xml:space="preserve">[Threaded comment]
 Your version of Excel allows you to read this threaded comment; however, any edits to it will get removed if the file is opened in a newer version of Excel. Learn more: https://go.microsoft.com/fwlink/?linkid=870924
Comment:
	update nhen mấy mom @thanhngan.le@pmax.com.vn @thaiha.doan@pmax.com.vn
Assigned to thanhngan.le@pmax.com.vn
</t>
      </text>
    </comment>
    <comment authorId="76" xr:uid="{6b2b0f3f-669e-4600-ac8f-f65fc4fb536a}" ref="Z7">
      <text>
        <t xml:space="preserve">[Threaded comment]
 Your version of Excel allows you to read this threaded comment; however, any edits to it will get removed if the file is opened in a newer version of Excel. Learn more: https://go.microsoft.com/fwlink/?linkid=870924
Comment:
	@quoctan.hoang@pmax.com.vn ơi, Hàng về. Mấy bạn màu xanh lá cây nhen. Mấy bạn mà sửa minor sắp ok r thì check lịch đăng giúp c lun nhen
Assigned to quoctan.hoang@pmax.com.vn
</t>
      </text>
    </comment>
    <comment authorId="77" xr:uid="{6bdac609-8489-41b8-bc01-e87fedf3a50f}" ref="J43">
      <text>
        <t xml:space="preserve">[Threaded comment]
 Your version of Excel allows you to read this threaded comment; however, any edits to it will get removed if the file is opened in a newer version of Excel. Learn more: https://go.microsoft.com/fwlink/?linkid=870924
Comment:
	@thanhngan.le@pmax.com.vn confirm giúp em địa điểm này vẫn oke t7 pahir k
Assigned to thanhngan.le@pmax.com.vn
Reply:
	để check với brand nha chứ bển note chỉ có ngã cầu j mới k được á
</t>
      </text>
    </comment>
    <comment authorId="78" xr:uid="{6e1066cd-705a-4244-90bd-5cac214b40a4}" ref="J25">
      <text>
        <t xml:space="preserve">[Threaded comment]
 Your version of Excel allows you to read this threaded comment; however, any edits to it will get removed if the file is opened in a newer version of Excel. Learn more: https://go.microsoft.com/fwlink/?linkid=870924
Comment:
	update địa chỉ chi tiết @quoctan.hoang@pmax.com.vn
Assigned to quoctan.hoang@pmax.com.vn
Reply:
	em update nhen chị @thanhngan.le@pmax.com.vn
Reply:
	ở HN là 15 trở đi nha
</t>
      </text>
    </comment>
    <comment authorId="79" xr:uid="{70c5d2de-5353-46f8-98b3-2d443c539ed2}" ref="AD6">
      <text>
        <t xml:space="preserve">[Threaded comment]
 Your version of Excel allows you to read this threaded comment; however, any edits to it will get removed if the file is opened in a newer version of Excel. Learn more: https://go.microsoft.com/fwlink/?linkid=870924
Comment:
	check caption giúp em với nhen @thanhngan.le@pmax.com.vn
Assigned to thanhngan.le@pmax.com.vn
</t>
      </text>
    </comment>
    <comment authorId="80" xr:uid="{72e1e94d-376f-4242-b12e-805439bd796b}" ref="X7">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Assigned to thanhngan.le@pmax.com.vn
</t>
      </text>
    </comment>
    <comment authorId="81" xr:uid="{73ad9053-6cb3-446f-aacb-097624be54b5}" ref="U46">
      <text>
        <t xml:space="preserve">[Threaded comment]
 Your version of Excel allows you to read this threaded comment; however, any edits to it will get removed if the file is opened in a newer version of Excel. Learn more: https://go.microsoft.com/fwlink/?linkid=870924
Comment:
	em update nhen @thanhngan.le@pmax.com.vn
Assigned to thanhngan.le@pmax.com.vn
</t>
      </text>
    </comment>
    <comment authorId="82" xr:uid="{75247b42-631d-40b9-ade3-8b59258964ec}" ref="U5">
      <text>
        <t xml:space="preserve">[Threaded comment]
 Your version of Excel allows you to read this threaded comment; however, any edits to it will get removed if the file is opened in a newer version of Excel. Learn more: https://go.microsoft.com/fwlink/?linkid=870924
Comment:
	em update demo nhen chị @thanhngan.le@pmax.com.vn
Assigned to thanhngan.le@pmax.com.vn
</t>
      </text>
    </comment>
    <comment authorId="83" xr:uid="{75b86234-7223-425b-8b0c-f91c7eebc4fb}" ref="AD8">
      <text>
        <t xml:space="preserve">[Threaded comment]
 Your version of Excel allows you to read this threaded comment; however, any edits to it will get removed if the file is opened in a newer version of Excel. Learn more: https://go.microsoft.com/fwlink/?linkid=870924
Comment:
	em update, đẩy final bạn này giúp em i chị @thanhngan.le@pmax.com.vn
Assigned to thanhngan.le@pmax.com.vn
</t>
      </text>
    </comment>
    <comment authorId="84" xr:uid="{75c6216a-98f8-4252-bf8c-d10ee39ba67c}" ref="X44">
      <text>
        <t xml:space="preserve">[Threaded comment]
 Your version of Excel allows you to read this threaded comment; however, any edits to it will get removed if the file is opened in a newer version of Excel. Learn more: https://go.microsoft.com/fwlink/?linkid=870924
Comment:
	vẫn còn đoạn 0:44 sửa chỗ này r c bán KH round 2 nha @quoctan.hoang@pmax.com.vn
Assigned to quoctan.hoang@pmax.com.vn
</t>
      </text>
    </comment>
    <comment authorId="85" xr:uid="{779f6fb5-509c-4954-9f68-f4f981acb212}" ref="N36">
      <text>
        <t xml:space="preserve">[Threaded comment]
 Your version of Excel allows you to read this threaded comment; however, any edits to it will get removed if the file is opened in a newer version of Excel. Learn more: https://go.microsoft.com/fwlink/?linkid=870924
Comment:
	chị @thanhngan.le@pmax.com.vn check giúp em script này với nhen, này mới round 1
</t>
      </text>
    </comment>
    <comment authorId="86" xr:uid="{7a79609d-2da7-4272-a1cf-444af04ce354}" ref="X21">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1 total reaction
Thanh Ngan Le (Account team) reacted with 🩷 at 2026-05-22 07:54 AM
Assigned to thanhngan.le@pmax.com.vn
</t>
      </text>
    </comment>
    <comment authorId="87" xr:uid="{7abd563a-4501-4945-b3a2-e770be37e271}" ref="U26">
      <text>
        <t xml:space="preserve">[Threaded comment]
 Your version of Excel allows you to read this threaded comment; however, any edits to it will get removed if the file is opened in a newer version of Excel. Learn more: https://go.microsoft.com/fwlink/?linkid=870924
Comment:
	há lu mom @thanhngan.le@pmax.com.vn
Assigned to thanhngan.le@pmax.com.vn
</t>
      </text>
    </comment>
    <comment authorId="88" xr:uid="{7c25dbe9-930f-4e8e-8b34-c75d11aed3c0}" ref="U19">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Assigned to thanhngan.le@pmax.com.vn
</t>
      </text>
    </comment>
    <comment authorId="89" xr:uid="{7d278e42-9ec5-4f59-9cc5-8891e6e65a61}" ref="I6">
      <text>
        <t xml:space="preserve">[Threaded comment]
 Your version of Excel allows you to read this threaded comment; however, any edits to it will get removed if the file is opened in a newer version of Excel. Learn more: https://go.microsoft.com/fwlink/?linkid=870924
Comment:
	bạn lulu này em chưa thấy confirm outfit nữa, hong biết em có bị miss hong ta
Reply:
	@thanhngan.le@pmax.com.vn
</t>
      </text>
    </comment>
    <comment authorId="90" xr:uid="{7da9f12a-7570-464f-b67e-ec411f2d73c8}" ref="J18">
      <text>
        <t xml:space="preserve">[Threaded comment]
 Your version of Excel allows you to read this threaded comment; however, any edits to it will get removed if the file is opened in a newer version of Excel. Learn more: https://go.microsoft.com/fwlink/?linkid=870924
Comment:
	bạn này chưa bổ sung outfit
</t>
      </text>
    </comment>
    <comment authorId="91" xr:uid="{7dab69d6-b66c-4933-b790-93f6edfcc9ee}" ref="X17">
      <text>
        <t xml:space="preserve">[Threaded comment]
 Your version of Excel allows you to read this threaded comment; however, any edits to it will get removed if the file is opened in a newer version of Excel. Learn more: https://go.microsoft.com/fwlink/?linkid=870924
Comment:
	9mấy bạn hili hồng) cũng còn rất nhiều bạn đã cos fbs của brand mà chưa gửi lại demo á @quoctan.hoang@pmax.com.vn , push luôn gom giúp c nha vì bên brand này proceed lâu nên mình gom nhiều hạn chế update lắt nhắt để bển check 1 lần luôn nha
Assigned to quoctan.hoang@pmax.com.vn
Reply:
	gửi rùi nho
</t>
      </text>
    </comment>
    <comment authorId="92" xr:uid="{7fa8d51a-521c-40f0-8eb9-800c910f515e}" ref="U41">
      <text>
        <t xml:space="preserve">[Threaded comment]
 Your version of Excel allows you to read this threaded comment; however, any edits to it will get removed if the file is opened in a newer version of Excel. Learn more: https://go.microsoft.com/fwlink/?linkid=870924
Comment:
	em update nhen
Reply:
	ƠI, sao ít ảnh mà còn chất lượng thấp dữ zậy hỏi page còn chụp ảnh khác hong chứ 25M v s KH buy được
Reply:
	em update rùi á chị @thanhngan.le@pmax.com.vn ơi
Reply:
	chị ơi bị miss con này @thanhngan.le@pmax.com.vn
Reply:
	ráng đừng miss con nì giúp em nhe @thanhngan.le@pmax.com.vn
Reply:
	hong cóa miss mà chất lượng ảnh cải thiện được có xíu xiu à ha 🥹
Reply:
	chị @thanhngan.le@pmax.com.vn ơi push măn măn giúp em với
Reply:
	có rùi nhen
</t>
      </text>
    </comment>
    <comment authorId="93" xr:uid="{88626ec1-b792-440c-b991-18b667692d27}" ref="Q16">
      <text>
        <t xml:space="preserve">[Threaded comment]
 Your version of Excel allows you to read this threaded comment; however, any edits to it will get removed if the file is opened in a newer version of Excel. Learn more: https://go.microsoft.com/fwlink/?linkid=870924
Comment:
	em update nhen
Reply:
	@thanhngan.le@pmax.com.vn
</t>
      </text>
    </comment>
    <comment authorId="94" xr:uid="{891395af-42c4-4faf-807a-4a583ff96456}" ref="X8">
      <text>
        <t xml:space="preserve">[Threaded comment]
 Your version of Excel allows you to read this threaded comment; however, any edits to it will get removed if the file is opened in a newer version of Excel. Learn more: https://go.microsoft.com/fwlink/?linkid=870924
Comment:
	chị @thanhngan.le@pmax.com.vn ơi em gửi demo R2
Assigned to thanhngan.le@pmax.com.vn
Reply:
	em chưa thí feedback á
Reply:
	mới update hqua s nay fbs kipjppppp
</t>
      </text>
    </comment>
    <comment authorId="95" xr:uid="{89164080-0119-4df1-adb4-0fcfb57a9d9d}" ref="AA40">
      <text>
        <t xml:space="preserve">[Threaded comment]
 Your version of Excel allows you to read this threaded comment; however, any edits to it will get removed if the file is opened in a newer version of Excel. Learn more: https://go.microsoft.com/fwlink/?linkid=870924
Comment:
	@thanhngan.le@pmax.com.vn hú hú
Assigned to thanhngan.le@pmax.com.vn
Reply:
	ủa con này chưa có fbs R2 brand team s có Final demo hay z
Reply:
	ủa z em add lộn á để xoá :)))
Reply:
	em update nhe chị @thanhngan.le@pmax.com.vn 
Con này final push để air lun hen
</t>
      </text>
    </comment>
    <comment authorId="96" xr:uid="{897b2436-9a74-4112-85fe-7100d2dabc90}" ref="AA34">
      <text>
        <t xml:space="preserve">[Threaded comment]
 Your version of Excel allows you to read this threaded comment; however, any edits to it will get removed if the file is opened in a newer version of Excel. Learn more: https://go.microsoft.com/fwlink/?linkid=870924
Comment:
	Cho Hà xin link final demo bạn này nha Tấn ơi, confirm rồi mà bị mất link nè @quoctan.hoang@pmax.com.vn
Assigned to quoctan.hoang@pmax.com.vn
Reply:
	rùi nhen
</t>
      </text>
    </comment>
    <comment authorId="97" xr:uid="{8fed5fd5-1e7f-41c1-a144-218c6b6283b2}" ref="U23">
      <text>
        <t xml:space="preserve">[Threaded comment]
 Your version of Excel allows you to read this threaded comment; however, any edits to it will get removed if the file is opened in a newer version of Excel. Learn more: https://go.microsoft.com/fwlink/?linkid=870924
Comment:
	em gửi link demo
Reply:
	dễ thưn za, để check nha
</t>
      </text>
    </comment>
    <comment authorId="98" xr:uid="{95937430-4e85-4bec-b739-97ab872336f6}" ref="AB45">
      <text>
        <t xml:space="preserve">[Threaded comment]
 Your version of Excel allows you to read this threaded comment; however, any edits to it will get removed if the file is opened in a newer version of Excel. Learn more: https://go.microsoft.com/fwlink/?linkid=870924
Comment:
	vd như post này là clip ok r nè @thaiha.doan@pmax.com.vn , note confirm + revise caption nha
Assigned to thaiha.doan@pmax.com.vn
</t>
      </text>
    </comment>
    <comment authorId="99" xr:uid="{96e40018-b009-479c-8a72-7de9490285fb}" ref="U31">
      <text>
        <t xml:space="preserve">[Threaded comment]
 Your version of Excel allows you to read this threaded comment; however, any edits to it will get removed if the file is opened in a newer version of Excel. Learn more: https://go.microsoft.com/fwlink/?linkid=870924
Comment:
	em lên demo R1 nhe chị @thanhngan.le@pmax.com.vn
Assigned to thanhngan.le@pmax.com.vn
</t>
      </text>
    </comment>
    <comment authorId="100" xr:uid="{9ebb3ce6-3be4-482a-80fc-08af0e317f29}" ref="AA8">
      <text>
        <t xml:space="preserve">[Threaded comment]
 Your version of Excel allows you to read this threaded comment; however, any edits to it will get removed if the file is opened in a newer version of Excel. Learn more: https://go.microsoft.com/fwlink/?linkid=870924
Comment:
	ráng khum chỉnh giúp em với nhe @thanhngan.le@pmax.com.vn
Assigned to thanhngan.le@pmax.com.vn
</t>
      </text>
    </comment>
    <comment authorId="101" xr:uid="{a678fa00-0bcd-462c-b648-51c96a347307}" ref="J11">
      <text>
        <t xml:space="preserve">[Threaded comment]
 Your version of Excel allows you to read this threaded comment; however, any edits to it will get removed if the file is opened in a newer version of Excel. Learn more: https://go.microsoft.com/fwlink/?linkid=870924
Comment:
	update thời gian nha @quoctan.hoang@pmax.com.vn
Assigned to quoctan.hoang@pmax.com.vn
Reply:
	mom ơi đi đơn @thanhngan.le@pmax.com.vn
Reassigned to thanhngan.le@pmax.com.vn
</t>
      </text>
    </comment>
    <comment authorId="102" xr:uid="{a8875bd0-c2b4-474a-8210-fc6ba0091515}" ref="X6">
      <text>
        <t xml:space="preserve">[Threaded comment]
 Your version of Excel allows you to read this threaded comment; however, any edits to it will get removed if the file is opened in a newer version of Excel. Learn more: https://go.microsoft.com/fwlink/?linkid=870924
Comment:
	há lu chị @thanhngan.le@pmax.com.vn em update
1 total reaction
Thanh Ngan Le (Account team) reacted with 🩷 at 2026-05-20 08:37 AM
Assigned to thanhngan.le@pmax.com.vn
Reply:
	chị @thanhngan.le@pmax.com.vn ơi case này chưa có feedback hẻ
Reply:
	cóa fbs rùi nhen
</t>
      </text>
    </comment>
    <comment authorId="103" xr:uid="{a8b91e13-7983-4fcf-bbca-1b31a075e225}" ref="W13">
      <text>
        <t xml:space="preserve">[Threaded comment]
 Your version of Excel allows you to read this threaded comment; however, any edits to it will get removed if the file is opened in a newer version of Excel. Learn more: https://go.microsoft.com/fwlink/?linkid=870924
Comment:
	fbs nha @quoctan.hoang@pmax.com.vn
Assigned to quoctan.hoang@pmax.com.vn
</t>
      </text>
    </comment>
    <comment authorId="104" xr:uid="{aa0a8c3a-5318-4673-90f9-2606ff909796}" ref="J46">
      <text>
        <t xml:space="preserve">[Threaded comment]
 Your version of Excel allows you to read this threaded comment; however, any edits to it will get removed if the file is opened in a newer version of Excel. Learn more: https://go.microsoft.com/fwlink/?linkid=870924
Comment:
	có phải đc này hong note rõ ra nha 7. OUTLET - HKD GÀ RÁN FIVE STAR THU HÀ - 37/3 Huỳnh Tấn Phát, Xã Nhà Bè, TPHCM
@quoctan.hoang@pmax.com.vn
Assigned to quoctan.hoang@pmax.com.vn
</t>
      </text>
    </comment>
    <comment authorId="105" xr:uid="{aed1401e-4c84-4d6f-a958-cf8bf1dcf201}" ref="U17">
      <text>
        <t xml:space="preserve">[Threaded comment]
 Your version of Excel allows you to read this threaded comment; however, any edits to it will get removed if the file is opened in a newer version of Excel. Learn more: https://go.microsoft.com/fwlink/?linkid=870924
Comment:
	em lên demo R1 nhe chị @thanhngan.le@pmax.com.vn
Assigned to thanhngan.le@pmax.com.vn
Reply:
	mở access nha
</t>
      </text>
    </comment>
    <comment authorId="106" xr:uid="{b0554432-b0c0-4c44-9ff1-0639dc28b7bf}" ref="AA7">
      <text>
        <t xml:space="preserve">[Threaded comment]
 Your version of Excel allows you to read this threaded comment; however, any edits to it will get removed if the file is opened in a newer version of Excel. Learn more: https://go.microsoft.com/fwlink/?linkid=870924
Comment:
	em gửi nhe chị @thanhngan.le@pmax.com.vn
Assigned to thanhngan.le@pmax.com.vn
Reply:
	em gửi version xoá watermark nhen chị @thanhngan.le@pmax.com.vn
1 total reaction
Thanh Ngan Le (Account team) reacted with 😘 at 2026-06-03 07:05 AM
</t>
      </text>
    </comment>
    <comment authorId="107" xr:uid="{b10227ab-cda7-4ab2-a173-0aa7c8277357}" ref="Q17">
      <text>
        <t xml:space="preserve">[Threaded comment]
 Your version of Excel allows you to read this threaded comment; however, any edits to it will get removed if the file is opened in a newer version of Excel. Learn more: https://go.microsoft.com/fwlink/?linkid=870924
Comment:
	em udate nhen chị @thanhngan.le@pmax.com.vn
</t>
      </text>
    </comment>
    <comment authorId="108" xr:uid="{b14835d5-125c-4b34-ba31-223093ab797a}" ref="X42">
      <text>
        <t xml:space="preserve">[Threaded comment]
 Your version of Excel allows you to read this threaded comment; however, any edits to it will get removed if the file is opened in a newer version of Excel. Learn more: https://go.microsoft.com/fwlink/?linkid=870924
Comment:
	em update community nha chị @thanhngan.le@pmax.com.vn
Assigned to thanhngan.le@pmax.com.vn
Reply:
	dí nhe mom @thanhngan.le@pmax.com.vn
</t>
      </text>
    </comment>
    <comment authorId="109" xr:uid="{b16027f0-024f-4762-852a-5a078c1853af}" ref="AB33">
      <text>
        <t xml:space="preserve">[Threaded comment]
 Your version of Excel allows you to read this threaded comment; however, any edits to it will get removed if the file is opened in a newer version of Excel. Learn more: https://go.microsoft.com/fwlink/?linkid=870924
Comment:
	sao qua 2 round rùi mà vẫn còn nhiều feedback tồn đọng z team ui @thanhngan.le@pmax.com.vn @thaiha.doan@pmax.com.vn 
Bên mình có note với brand hong zạ, tại phát sinh round là charge thêm tiền á
Assigned to thanhngan.le@pmax.com.vn
</t>
      </text>
    </comment>
    <comment authorId="110" xr:uid="{b1cc2607-7b9b-4cf8-a6cb-dd132b80c027}" ref="AF7">
      <text>
        <t xml:space="preserve">[Threaded comment]
 Your version of Excel allows you to read this threaded comment; however, any edits to it will get removed if the file is opened in a newer version of Excel. Learn more: https://go.microsoft.com/fwlink/?linkid=870924
Comment:
	em gửi caption nhe chị @thanhngan.le@pmax.com.vn
Assigned to thanhngan.le@pmax.com.vn
</t>
      </text>
    </comment>
    <comment authorId="111" xr:uid="{b1cecb69-f79c-4cbf-b539-59e634813bb5}" ref="Z47">
      <text>
        <t xml:space="preserve">[Threaded comment]
 Your version of Excel allows you to read this threaded comment; however, any edits to it will get removed if the file is opened in a newer version of Excel. Learn more: https://go.microsoft.com/fwlink/?linkid=870924
Comment:
	mình bị miss bạn nì @thanhngan.le@pmax.com.vn
Assigned to thanhngan.le@pmax.com.vn
</t>
      </text>
    </comment>
    <comment authorId="112" xr:uid="{b20af9af-d49b-423c-8f16-b51eaafdd31b}" ref="N13">
      <text>
        <t xml:space="preserve">[Threaded comment]
 Your version of Excel allows you to read this threaded comment; however, any edits to it will get removed if the file is opened in a newer version of Excel. Learn more: https://go.microsoft.com/fwlink/?linkid=870924
Comment:
	update script R1 chị @thanhngan.le@pmax.com.vn
Reply:
	oke để check lìn
</t>
      </text>
    </comment>
    <comment authorId="113" xr:uid="{b3411ec6-1550-417d-8c10-c9f10901cc00}" ref="Z44">
      <text>
        <t xml:space="preserve">[Threaded comment]
 Your version of Excel allows you to read this threaded comment; however, any edits to it will get removed if the file is opened in a newer version of Excel. Learn more: https://go.microsoft.com/fwlink/?linkid=870924
Comment:
	fbs round 2 nha @quoctan.hoang@pmax.com.vn
Assigned to quoctan.hoang@pmax.com.vn
</t>
      </text>
    </comment>
    <comment authorId="114" xr:uid="{b424475e-7503-4ac7-943f-db2d5d956c4e}" ref="AA21">
      <text>
        <t xml:space="preserve">[Threaded comment]
 Your version of Excel allows you to read this threaded comment; however, any edits to it will get removed if the file is opened in a newer version of Excel. Learn more: https://go.microsoft.com/fwlink/?linkid=870924
Comment:
	yuhi update final nhe chị @thanhngan.le@pmax.com.vn
Assigned to thanhngan.le@pmax.com.vn
</t>
      </text>
    </comment>
    <comment authorId="115" xr:uid="{b5878764-217a-4122-a2d0-0c902ae21178}" ref="AA45">
      <text>
        <t xml:space="preserve">[Threaded comment]
 Your version of Excel allows you to read this threaded comment; however, any edits to it will get removed if the file is opened in a newer version of Excel. Learn more: https://go.microsoft.com/fwlink/?linkid=870924
Comment:
	em đổi lại link đã chỉnh chả giò gai jor theo cái brand note rùi nhen chị @thanhngan.le@pmax.com.vn (cc @thaiha.doan@pmax.com.vn
Assigned to thanhngan.le@pmax.com.vn
</t>
      </text>
    </comment>
    <comment authorId="116" xr:uid="{b5bdb8c3-7896-47d3-842e-1b84ffa819cd}" ref="Q26">
      <text>
        <t xml:space="preserve">[Threaded comment]
 Your version of Excel allows you to read this threaded comment; however, any edits to it will get removed if the file is opened in a newer version of Excel. Learn more: https://go.microsoft.com/fwlink/?linkid=870924
Comment:
	bạn này có lịch quay ùi mà ch có script round 2 ne @quoctan.hoang@pmax.com.vn
Assigned to quoctan.hoang@pmax.com.vn
</t>
      </text>
    </comment>
    <comment authorId="117" xr:uid="{b5ec548e-4cd4-4eee-9231-ab2865d40265}" ref="W45">
      <text>
        <t xml:space="preserve">[Threaded comment]
 Your version of Excel allows you to read this threaded comment; however, any edits to it will get removed if the file is opened in a newer version of Excel. Learn more: https://go.microsoft.com/fwlink/?linkid=870924
Comment:
	bạn này team fbs nha @quoctan.hoang@pmax.com.vn
Assigned to quoctan.hoang@pmax.com.vn
</t>
      </text>
    </comment>
    <comment authorId="118" xr:uid="{b73ddcd3-4e45-4462-a41c-b873e1f45b82}" ref="J8">
      <text>
        <t xml:space="preserve">[Threaded comment]
 Your version of Excel allows you to read this threaded comment; however, any edits to it will get removed if the file is opened in a newer version of Excel. Learn more: https://go.microsoft.com/fwlink/?linkid=870924
Comment:
	Checking lịch đi quay
Reply:
	Với chị @thanhngan.le@pmax.com.vn ơi, check giúp em địa điểm này với, bạn KOC hỏi là nó nằm ở dĩ an hẻ tại tìm hong thấy trên map
Reply:
	có gì brand cho bạn xin định vị lun nhen @thanhngan.le@pmax.com.vn
Reply:
	Địa chỉ nha: https://www.facebook.com/share/p/1Dw8gLG1TG/
Reply:
	em cũm gửi cái này xong bạn kiu nó nằm ở dĩ an :)))
Reply:
	đường này ngay trung tâm Thủ Đức, gần Đặng Văn Bi mà hong phải Dĩ An gì đâu
</t>
      </text>
    </comment>
    <comment authorId="119" xr:uid="{b75aaf18-6c4e-49fc-a7bb-4d2d59fde1ae}" ref="U6">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Assigned to thanhngan.le@pmax.com.vn
</t>
      </text>
    </comment>
    <comment authorId="120" xr:uid="{b8bfdd86-5b4d-4333-b18b-2f9cabb6d1b2}" ref="W19">
      <text>
        <t xml:space="preserve">[Threaded comment]
 Your version of Excel allows you to read this threaded comment; however, any edits to it will get removed if the file is opened in a newer version of Excel. Learn more: https://go.microsoft.com/fwlink/?linkid=870924
Comment:
	@quoctan.hoang@pmax.com.vn ơi, bạn Chu Cao Food này output chán quá, brand team fbs dữ dội lun, e note với vendor vì chất lượng í ẹ quá nên fbs khá nhiều, cân nhắc bạn này 3 round nha vì output kém quá
Assigned to quoctan.hoang@pmax.com.vn
</t>
      </text>
    </comment>
    <comment authorId="121" xr:uid="{bb680ace-22e0-43e0-841e-2ad9c757e6bd}" ref="U29">
      <text>
        <t xml:space="preserve">[Threaded comment]
 Your version of Excel allows you to read this threaded comment; however, any edits to it will get removed if the file is opened in a newer version of Excel. Learn more: https://go.microsoft.com/fwlink/?linkid=870924
Comment:
	em lên demo bánh ú nhen @thanhngan.le@pmax.com.vn
1 total reaction
Thanh Ngan Le (Account team) reacted with 😘 at 2026-05-30 16:03 PM
Assigned to thanhngan.le@pmax.com.vn
</t>
      </text>
    </comment>
    <comment authorId="122" xr:uid="{bc4e4f20-bcd2-496d-bf02-2c51f69b6eb4}" ref="Z8">
      <text>
        <t xml:space="preserve">[Threaded comment]
 Your version of Excel allows you to read this threaded comment; however, any edits to it will get removed if the file is opened in a newer version of Excel. Learn more: https://go.microsoft.com/fwlink/?linkid=870924
Comment:
	@quoctan.hoang@pmax.com.vn  input caption lun nha, sắp xếp bạn này sang tuần air lun nha
Assigned to quoctan.hoang@pmax.com.vn
</t>
      </text>
    </comment>
    <comment authorId="123" xr:uid="{be10a18f-ea5f-4e31-8aa5-116c71a77a5a}" ref="Q11">
      <text>
        <t xml:space="preserve">[Threaded comment]
 Your version of Excel allows you to read this threaded comment; however, any edits to it will get removed if the file is opened in a newer version of Excel. Learn more: https://go.microsoft.com/fwlink/?linkid=870924
Comment:
	@thanhngan.le@pmax.com.vn em update nhen
</t>
      </text>
    </comment>
    <comment authorId="124" xr:uid="{be18a7b6-f321-4d93-b83d-d275e88476f5}" ref="X31">
      <text>
        <t xml:space="preserve">[Threaded comment]
 Your version of Excel allows you to read this threaded comment; however, any edits to it will get removed if the file is opened in a newer version of Excel. Learn more: https://go.microsoft.com/fwlink/?linkid=870924
Comment:
	đi đơn cho mom @thanhngan.le@pmax.com.vn
Assigned to thanhngan.le@pmax.com.vn
</t>
      </text>
    </comment>
    <comment authorId="125" xr:uid="{bef87fd0-1494-4add-8d7b-018ec458798c}" ref="AD18">
      <text>
        <t xml:space="preserve">[Threaded comment]
 Your version of Excel allows you to read this threaded comment; however, any edits to it will get removed if the file is opened in a newer version of Excel. Learn more: https://go.microsoft.com/fwlink/?linkid=870924
Comment:
	bạn này brand chưa feedback caption ha team ui @thanhngan.le@pmax.com.vn @thaiha.doan@pmax.com.vn
Reply:
	đã có nha
</t>
      </text>
    </comment>
    <comment authorId="126" xr:uid="{c02484b3-f28a-48fd-a0ea-1f5a434ef623}" ref="T46">
      <text>
        <t xml:space="preserve">[Threaded comment]
 Your version of Excel allows you to read this threaded comment; however, any edits to it will get removed if the file is opened in a newer version of Excel. Learn more: https://go.microsoft.com/fwlink/?linkid=870924
Comment:
	em update sheet round 3 nhen chị @thanhngan.le@pmax.com.vn
Assigned to thanhngan.le@pmax.com.vn
</t>
      </text>
    </comment>
    <comment authorId="127" xr:uid="{c50c4984-ceec-4540-879d-e7f7d86f768f}" ref="Z29">
      <text>
        <t xml:space="preserve">[Threaded comment]
 Your version of Excel allows you to read this threaded comment; however, any edits to it will get removed if the file is opened in a newer version of Excel. Learn more: https://go.microsoft.com/fwlink/?linkid=870924
Comment:
	há lu mình bị miss cái nì @thaiha.doan@pmax.com.vn @thanhngan.le@pmax.com.vn
1 total reaction
Thai Ha Doan (Account) reacted with ❤️ at 2026-06-09 05:12 AM
Assigned to thaiha.doan@pmax.com.vn
</t>
      </text>
    </comment>
    <comment authorId="128" xr:uid="{c5f3ef9c-0a97-4915-8bfb-c0f91e6c0a67}" ref="Y44">
      <text>
        <t xml:space="preserve">[Threaded comment]
 Your version of Excel allows you to read this threaded comment; however, any edits to it will get removed if the file is opened in a newer version of Excel. Learn more: https://go.microsoft.com/fwlink/?linkid=870924
Comment:
	khi nào mình có feedback tag em nha chị @thanhngan.le@pmax.com.vn
Assigned to thanhngan.le@pmax.com.vn
</t>
      </text>
    </comment>
    <comment authorId="129" xr:uid="{c609fb12-0f73-44f8-a1a8-7370b041d2db}" ref="W8">
      <text>
        <t xml:space="preserve">[Threaded comment]
 Your version of Excel allows you to read this threaded comment; however, any edits to it will get removed if the file is opened in a newer version of Excel. Learn more: https://go.microsoft.com/fwlink/?linkid=870924
Comment:
	Fbs mới nha @quoctan.hoang@pmax.com.vn
Assigned to quoctan.hoang@pmax.com.vn
</t>
      </text>
    </comment>
    <comment authorId="130" xr:uid="{c825dbf4-b218-444a-9020-0bf8b858a7bc}" ref="X40">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Assigned to thanhngan.le@pmax.com.vn
Reply:
	không duyệt 45 luôn á Tấn ơi, với xin thêm hình nha bạn này ít hình quá
</t>
      </text>
    </comment>
    <comment authorId="131" xr:uid="{c87d4f05-fdb0-47aa-92df-7ec7fe7c0aaf}" ref="J19">
      <text>
        <t xml:space="preserve">[Threaded comment]
 Your version of Excel allows you to read this threaded comment; however, any edits to it will get removed if the file is opened in a newer version of Excel. Learn more: https://go.microsoft.com/fwlink/?linkid=870924
Comment:
	tgian địa điểm nha, nếu HN là phải 15 trở đi
</t>
      </text>
    </comment>
    <comment authorId="132" xr:uid="{c8ab47b0-9c04-44ed-9c51-3c9ea3e76579}" ref="AD42">
      <text>
        <t xml:space="preserve">[Threaded comment]
 Your version of Excel allows you to read this threaded comment; however, any edits to it will get removed if the file is opened in a newer version of Excel. Learn more: https://go.microsoft.com/fwlink/?linkid=870924
Comment:
	em note trước case này chỉ feedback 1 lần về caption và ảnh nên brand check kỹ giúp em với nhen
</t>
      </text>
    </comment>
    <comment authorId="133" xr:uid="{ca278d1c-8ff3-4ac3-9e41-8224d164adfe}" ref="AA13">
      <text>
        <t xml:space="preserve">[Threaded comment]
 Your version of Excel allows you to read this threaded comment; however, any edits to it will get removed if the file is opened in a newer version of Excel. Learn more: https://go.microsoft.com/fwlink/?linkid=870924
Comment:
	bạn này confirm rồi mà nhở @quoctan.hoang@pmax.com.vn ơi, sao bị mất lịnk final demo hả
Assigned to quoctan.hoang@pmax.com.vn
Reply:
	ủa phần này chưa gửi demo lun mà sao có cf hay zị :)))
Reply:
	số thứ tự 2 sheet INT với EXT lệch nhau nên Hà nhìn nhầm =)))) sori Tấn
</t>
      </text>
    </comment>
    <comment authorId="134" xr:uid="{cdeae657-fd69-4970-b15a-0123afe9c82c}" ref="W29">
      <text>
        <t xml:space="preserve">[Threaded comment]
 Your version of Excel allows you to read this threaded comment; however, any edits to it will get removed if the file is opened in a newer version of Excel. Learn more: https://go.microsoft.com/fwlink/?linkid=870924
Comment:
	check nha @quoctan.hoang@pmax.com.vn
Assigned to quoctan.hoang@pmax.com.vn
</t>
      </text>
    </comment>
    <comment authorId="135" xr:uid="{d027a95b-fde4-4e90-916a-9e082cde0ed2}" ref="AB12">
      <text>
        <t xml:space="preserve">[Threaded comment]
 Your version of Excel allows you to read this threaded comment; however, any edits to it will get removed if the file is opened in a newer version of Excel. Learn more: https://go.microsoft.com/fwlink/?linkid=870924
Comment:
	Tấn check các ô highlight xanh nước biển mới update nha @quoctan.hoang@pmax.com.vn
Assigned to quoctan.hoang@pmax.com.vn
</t>
      </text>
    </comment>
    <comment authorId="136" xr:uid="{d2c103c4-b7a9-4548-bf3f-803935e1dcdc}" ref="J23">
      <text>
        <t xml:space="preserve">[Threaded comment]
 Your version of Excel allows you to read this threaded comment; however, any edits to it will get removed if the file is opened in a newer version of Excel. Learn more: https://go.microsoft.com/fwlink/?linkid=870924
Comment:
	chị ơi em update @thanhngan.le@pmax.com.vn
</t>
      </text>
    </comment>
    <comment authorId="137" xr:uid="{d4277bcc-1e58-4699-990d-f96309ea7cd8}" ref="U22">
      <text>
        <t xml:space="preserve">[Threaded comment]
 Your version of Excel allows you to read this threaded comment; however, any edits to it will get removed if the file is opened in a newer version of Excel. Learn more: https://go.microsoft.com/fwlink/?linkid=870924
Comment:
	em update nhe chị @thanhngan.le@pmax.com.vn
Assigned to thanhngan.le@pmax.com.vn
Reply:
	có feedback chưa chị ui
</t>
      </text>
    </comment>
    <comment authorId="138" xr:uid="{d5f782f5-de25-4db6-9451-40f62bf008f0}" ref="AB16">
      <text>
        <t xml:space="preserve">[Threaded comment]
 Your version of Excel allows you to read this threaded comment; however, any edits to it will get removed if the file is opened in a newer version of Excel. Learn more: https://go.microsoft.com/fwlink/?linkid=870924
Comment:
	check update mới highlight xanh nước biển nha @quoctan.hoang@pmax.com.vn
Assigned to quoctan.hoang@pmax.com.vn
</t>
      </text>
    </comment>
    <comment authorId="139" xr:uid="{d6b4d281-9a76-4ef4-9f8c-86ad8f6add14}" ref="U45">
      <text>
        <t xml:space="preserve">[Threaded comment]
 Your version of Excel allows you to read this threaded comment; however, any edits to it will get removed if the file is opened in a newer version of Excel. Learn more: https://go.microsoft.com/fwlink/?linkid=870924
Comment:
	em update demo nho @thanhngan.le@pmax.com.vn
Assigned to thanhngan.le@pmax.com.vn
</t>
      </text>
    </comment>
    <comment authorId="140" xr:uid="{d78d6bbe-6e9e-46d6-ac99-a1575ff7751c}" ref="W23">
      <text>
        <t xml:space="preserve">[Threaded comment]
 Your version of Excel allows you to read this threaded comment; however, any edits to it will get removed if the file is opened in a newer version of Excel. Learn more: https://go.microsoft.com/fwlink/?linkid=870924
Comment:
	được cho em xin feedback lun nhen chị @thanhngan.le@pmax.com.vn
</t>
      </text>
    </comment>
    <comment authorId="141" xr:uid="{da31acd8-8f73-4be9-be33-ffb960236aee}" ref="AA9">
      <text>
        <t xml:space="preserve">[Threaded comment]
 Your version of Excel allows you to read this threaded comment; however, any edits to it will get removed if the file is opened in a newer version of Excel. Learn more: https://go.microsoft.com/fwlink/?linkid=870924
Comment:
	em gửi lại final round nhe @thanhngan.le@pmax.com.vn
Assigned to thanhngan.le@pmax.com.vn
</t>
      </text>
    </comment>
    <comment authorId="142" xr:uid="{daba2eb4-a364-472b-869c-1e5e35ed4188}" ref="AA43">
      <text>
        <t xml:space="preserve">[Threaded comment]
 Your version of Excel allows you to read this threaded comment; however, any edits to it will get removed if the file is opened in a newer version of Excel. Learn more: https://go.microsoft.com/fwlink/?linkid=870924
Comment:
	update nhe @thanhngan.le@pmax.com.vn @thaiha.doan@pmax.com.vn
Assigned to thanhngan.le@pmax.com.vn
</t>
      </text>
    </comment>
    <comment authorId="143" xr:uid="{db96dd92-f250-4030-9b5f-f7f5d4807a33}" ref="AB46">
      <text>
        <t xml:space="preserve">[Threaded comment]
 Your version of Excel allows you to read this threaded comment; however, any edits to it will get removed if the file is opened in a newer version of Excel. Learn more: https://go.microsoft.com/fwlink/?linkid=870924
Comment:
	có 9 bạn cf r nè @quoctan.hoang@pmax.com.vn
Assigned to quoctan.hoang@pmax.com.vn
</t>
      </text>
    </comment>
    <comment authorId="144" xr:uid="{ddbb7d02-b6aa-4cd6-a3d6-3596c9fb44c1}" ref="AA23">
      <text>
        <t xml:space="preserve">[Threaded comment]
 Your version of Excel allows you to read this threaded comment; however, any edits to it will get removed if the file is opened in a newer version of Excel. Learn more: https://go.microsoft.com/fwlink/?linkid=870924
Comment:
	ship final nhe mom
</t>
      </text>
    </comment>
    <comment authorId="145" xr:uid="{dea0efe0-0ee3-42eb-b8b0-e86df52ecef0}" ref="S46">
      <text>
        <t xml:space="preserve">[Threaded comment]
 Your version of Excel allows you to read this threaded comment; however, any edits to it will get removed if the file is opened in a newer version of Excel. Learn more: https://go.microsoft.com/fwlink/?linkid=870924
Comment:
	cho em xin feedback với nhen chị @thanhngan.le@pmax.com.vn
Assigned to thanhngan.le@pmax.com.vn
</t>
      </text>
    </comment>
    <comment authorId="146" xr:uid="{e1f872c6-61d9-4b65-818d-405693568981}" ref="AA16">
      <text>
        <t xml:space="preserve">[Threaded comment]
 Your version of Excel allows you to read this threaded comment; however, any edits to it will get removed if the file is opened in a newer version of Excel. Learn more: https://go.microsoft.com/fwlink/?linkid=870924
Comment:
	em reup lai video nhà mây nhe @thanhngan.le@pmax.com.vn @thaiha.doan@pmax.com.vn 
Video này có thấy confirm và chỉ cần bỏ cái bubble text thì em collect ngày air luôn nha
1 total reaction
Thanh Ngan Le (Account team) reacted with 🩷 at 2026-06-04 11:24 AM
Assigned to thanhngan.le@pmax.com.vn
</t>
      </text>
    </comment>
    <comment authorId="147" xr:uid="{e2faf145-ef8f-443c-aa5a-df2af227a157}" ref="J36">
      <text>
        <t xml:space="preserve">[Threaded comment]
 Your version of Excel allows you to read this threaded comment; however, any edits to it will get removed if the file is opened in a newer version of Excel. Learn more: https://go.microsoft.com/fwlink/?linkid=870924
Comment:
	mai chị dí em con này nha
</t>
      </text>
    </comment>
    <comment authorId="148" xr:uid="{e447b875-26be-47f3-a29e-6ba9e9d2f1e5}" ref="J19">
      <text>
        <t xml:space="preserve">[Threaded comment]
 Your version of Excel allows you to read this threaded comment; however, any edits to it will get removed if the file is opened in a newer version of Excel. Learn more: https://go.microsoft.com/fwlink/?linkid=870924
Comment:
	em update nhen chị @thanhngan.le@pmax.com.vn
1 total reaction
Thanh Ngan Le (Account team) reacted with ♥️ at 2026-05-15 07:41 AM
Assigned to thanhngan.le@pmax.com.vn
</t>
      </text>
    </comment>
    <comment authorId="149" xr:uid="{e5ade292-f39b-4bb6-b765-02e763667cba}" ref="J27">
      <text>
        <t xml:space="preserve">[Threaded comment]
 Your version of Excel allows you to read this threaded comment; however, any edits to it will get removed if the file is opened in a newer version of Excel. Learn more: https://go.microsoft.com/fwlink/?linkid=870924
Comment:
	em update bạn mới nìa chị @thanhngan.le@pmax.com.vn
Assigned to thanhngan.le@pmax.com.vn
</t>
      </text>
    </comment>
    <comment authorId="150" xr:uid="{e6c87c62-1ac6-40de-a2c2-5d9e2a6703b4}" ref="X5">
      <text>
        <t xml:space="preserve">[Threaded comment]
 Your version of Excel allows you to read this threaded comment; however, any edits to it will get removed if the file is opened in a newer version of Excel. Learn more: https://go.microsoft.com/fwlink/?linkid=870924
Comment:
	em lên R2 nhe chị @thanhngan.le@pmax.com.vn
Assigned to thanhngan.le@pmax.com.vn
</t>
      </text>
    </comment>
    <comment authorId="151" xr:uid="{e7381940-4980-48b5-b189-20c2e0952eda}" ref="X22">
      <text>
        <t xml:space="preserve">[Threaded comment]
 Your version of Excel allows you to read this threaded comment; however, any edits to it will get removed if the file is opened in a newer version of Excel. Learn more: https://go.microsoft.com/fwlink/?linkid=870924
Comment:
	em update koi nam ăng nhe chị @thanhngan.le@pmax.com.vn
Assigned to thanhngan.le@pmax.com.vn
Reply:
	tô đỏ đê
</t>
      </text>
    </comment>
    <comment authorId="152" xr:uid="{ec76f7bd-7c04-4579-907c-3db05d9ead4a}" ref="X9">
      <text>
        <t xml:space="preserve">[Threaded comment]
 Your version of Excel allows you to read this threaded comment; however, any edits to it will get removed if the file is opened in a newer version of Excel. Learn more: https://go.microsoft.com/fwlink/?linkid=870924
Comment:
	chị @thanhngan.le@pmax.com.vn ơi em gửi nhe
Assigned to thanhngan.le@pmax.com.vn
</t>
      </text>
    </comment>
    <comment authorId="153" xr:uid="{ee29f471-13a2-4fd7-afb3-88db5e6710af}" ref="Q23">
      <text>
        <t xml:space="preserve">[Threaded comment]
 Your version of Excel allows you to read this threaded comment; however, any edits to it will get removed if the file is opened in a newer version of Excel. Learn more: https://go.microsoft.com/fwlink/?linkid=870924
Comment:
	so ri mom em quơn, em gửi nhen @thanhngan.le@pmax.com.vn
</t>
      </text>
    </comment>
    <comment authorId="154" xr:uid="{ef003172-bb21-40de-be66-ec85040f25fb}" ref="J25">
      <text>
        <t xml:space="preserve">[Threaded comment]
 Your version of Excel allows you to read this threaded comment; however, any edits to it will get removed if the file is opened in a newer version of Excel. Learn more: https://go.microsoft.com/fwlink/?linkid=870924
Comment:
	update thời gian @quoctan.hoang@pmax.com.vn
Assigned to quoctan.hoang@pmax.com.vn
</t>
      </text>
    </comment>
    <comment authorId="155" xr:uid="{f139c37e-b7e2-4d7c-8348-fea92a0773a9}" ref="AA10">
      <text>
        <t xml:space="preserve">[Threaded comment]
 Your version of Excel allows you to read this threaded comment; however, any edits to it will get removed if the file is opened in a newer version of Excel. Learn more: https://go.microsoft.com/fwlink/?linkid=870924
Comment:
	ship final mom @thanhngan.le@pmax.com.vn
Assigned to thanhngan.le@pmax.com.vn
Reply:
	ok nhận tin nha
</t>
      </text>
    </comment>
    <comment authorId="156" xr:uid="{f34f397b-0d01-4f6c-9748-8be43afcb667}" ref="X19">
      <text>
        <t xml:space="preserve">[Threaded comment]
 Your version of Excel allows you to read this threaded comment; however, any edits to it will get removed if the file is opened in a newer version of Excel. Learn more: https://go.microsoft.com/fwlink/?linkid=870924
Comment:
	up lên mà hồi hộp nè @thanhngan.le@pmax.com.vn :))) cục zàng của chúm ta
Assigned to thanhngan.le@pmax.com.vn
</t>
      </text>
    </comment>
    <comment authorId="157" xr:uid="{f4df3f4d-9582-4e1b-98ce-ac4b5e8bfb4d}" ref="X29">
      <text>
        <t xml:space="preserve">[Threaded comment]
 Your version of Excel allows you to read this threaded comment; however, any edits to it will get removed if the file is opened in a newer version of Excel. Learn more: https://go.microsoft.com/fwlink/?linkid=870924
Comment:
	còn có 3 bạn ch có demo R2 thui, ráng push để c shoot hết 1 lần cho brand lun được hem @quoctan.hoang@pmax.com.vn
Assigned to quoctan.hoang@pmax.com.vn
</t>
      </text>
    </comment>
    <comment authorId="158" xr:uid="{f7d8bde1-7212-4a22-8ec0-ee3db755d2a7}" ref="J34">
      <text>
        <t xml:space="preserve">[Threaded comment]
 Your version of Excel allows you to read this threaded comment; however, any edits to it will get removed if the file is opened in a newer version of Excel. Learn more: https://go.microsoft.com/fwlink/?linkid=870924
Comment:
	địa chỉ ở ĐN brand prpose nhen @quoctan.hoang@pmax.com.vn 
Đồng Nai:
HKD Cẩm Tiên - 1224, khu phố Phú Trạch, Phường Tân Triều, Tỉnh Đồng Nai, Việt Nam
HKD Gà Rán Tài Tú - Khu Phố Long Đức 1, Phường Tam Phước, Tỉnh Đồng Nai
HKD Hiệp Quyết - Khu phố Hiệp Tâm 1 TT. Định Quán, Huyện Định Quán, Tỉnh Đồng Nai, Việt Nam
Võ Thị Yến Nhi - Số 59 tổ 1, khu phố Hiệp Quyết, TT. Định Quán, huyện Định Quán, tỉnh Đồng Nai
HKD Phương Uyên - 86 Hùng Vương, Xã Xuân Lộc, Tỉnh Đồng Nai
Assigned to quoctan.hoang@pmax.com.vn
</t>
      </text>
    </comment>
    <comment authorId="159" xr:uid="{f8cdcd55-68e7-4cde-b235-97ee13bbd18d}" ref="J31">
      <text>
        <t xml:space="preserve">[Threaded comment]
 Your version of Excel allows you to read this threaded comment; however, any edits to it will get removed if the file is opened in a newer version of Excel. Learn more: https://go.microsoft.com/fwlink/?linkid=870924
Comment:
	update địa chỉ chi tiết + script round 2
</t>
      </text>
    </comment>
    <comment authorId="160" xr:uid="{f91aacee-63f7-4a39-ba85-bb44a7eedc90}" ref="J13">
      <text>
        <t xml:space="preserve">[Threaded comment]
 Your version of Excel allows you to read this threaded comment; however, any edits to it will get removed if the file is opened in a newer version of Excel. Learn more: https://go.microsoft.com/fwlink/?linkid=870924
Comment:
	bạn này chắc dời nha, chưa có script round 1 nựa
</t>
      </text>
    </comment>
    <comment authorId="161" xr:uid="{f9734ba1-e17e-4b57-8d05-45ab613843db}" ref="Q47">
      <text>
        <t xml:space="preserve">[Threaded comment]
 Your version of Excel allows you to read this threaded comment; however, any edits to it will get removed if the file is opened in a newer version of Excel. Learn more: https://go.microsoft.com/fwlink/?linkid=870924
Comment:
	mom ơi em update @thanhngan.le@pmax.com.vn
</t>
      </text>
    </comment>
    <comment authorId="162" xr:uid="{fa1e0de8-f25c-4775-b9d3-3d2d881f6112}" ref="J11">
      <text>
        <t xml:space="preserve">[Threaded comment]
 Your version of Excel allows you to read this threaded comment; however, any edits to it will get removed if the file is opened in a newer version of Excel. Learn more: https://go.microsoft.com/fwlink/?linkid=870924
Comment:
	Checking lịch quay
Reply:
	chị @thanhngan.le@pmax.com.vn em update ngày
Reply:
	thêm địa điểm chi tiết nha
Reply:
	mom ơi em update @thanhngan.le@pmax.com.vn
</t>
      </text>
    </comment>
    <comment authorId="163" xr:uid="{fbc1e55a-5704-42dc-b53d-3c3a69fbc650}" ref="Q5">
      <text>
        <t xml:space="preserve">[Threaded comment]
 Your version of Excel allows you to read this threaded comment; however, any edits to it will get removed if the file is opened in a newer version of Excel. Learn more: https://go.microsoft.com/fwlink/?linkid=870924
Comment:
	em update script nhen chị @thanhngan.le@pmax.com.vn
</t>
      </text>
    </comment>
    <comment authorId="164" xr:uid="{fc10d179-f947-40e5-85b2-9ced1ff44b71}" ref="J5">
      <text>
        <t xml:space="preserve">[Threaded comment]
 Your version of Excel allows you to read this threaded comment; however, any edits to it will get removed if the file is opened in a newer version of Excel. Learn more: https://go.microsoft.com/fwlink/?linkid=870924
Comment:
	update giúp c địa chỉ chi tiết ở Đồng Nai nha @quoctan.hoang@pmax.com.vn
Assigned to quoctan.hoang@pmax.com.vn
Reply:
	mom ơi em update nè @thanhngan.le@pmax.com.vn
</t>
      </text>
    </comment>
    <comment authorId="165" xr:uid="{fc206737-57a6-40ae-b401-4d522080133e}" ref="J26">
      <text>
        <t xml:space="preserve">[Threaded comment]
 Your version of Excel allows you to read this threaded comment; however, any edits to it will get removed if the file is opened in a newer version of Excel. Learn more: https://go.microsoft.com/fwlink/?linkid=870924
Comment:
	chị check lại giúp em, em mới đổi site bạn này @thanhngan.le@pmax.com.vn
Assigned to thanhngan.le@pmax.com.vn
</t>
      </text>
    </comment>
    <comment authorId="166" xr:uid="{fd651b80-49d0-4c76-8585-ac9bb7555898}" ref="AD9">
      <text>
        <t xml:space="preserve">[Threaded comment]
 Your version of Excel allows you to read this threaded comment; however, any edits to it will get removed if the file is opened in a newer version of Excel. Learn more: https://go.microsoft.com/fwlink/?linkid=870924
Comment:
	em update lun thư Bonny nhe
Reply:
	cc chị @thanhngan.le@pmax.com.vn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tc={24076599-22b6-4bbd-9c58-ddccfc47d4b4}</author>
  </authors>
  <commentList>
    <comment authorId="0" xr:uid="{24076599-22b6-4bbd-9c58-ddccfc47d4b4}" ref="H65">
      <text>
        <t xml:space="preserve">[Threaded comment]
 Your version of Excel allows you to read this threaded comment; however, any edits to it will get removed if the file is opened in a newer version of Excel. Learn more: https://go.microsoft.com/fwlink/?linkid=870924
Comment:
	check lại SOW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tc={e5024d4c-f0c3-4502-b9b8-fcd5deb3388a}</author>
  </authors>
  <commentList>
    <comment authorId="0" xr:uid="{e5024d4c-f0c3-4502-b9b8-fcd5deb3388a}" ref="T45">
      <text>
        <t xml:space="preserve">[Threaded comment]
 Your version of Excel allows you to read this threaded comment; however, any edits to it will get removed if the file is opened in a newer version of Excel. Learn more: https://go.microsoft.com/fwlink/?linkid=870924
Comment:
	@thanhngan.le@pmax.com.vn  confirm là luôn package mua SDHA á, em merge lại nha
1 total reaction
Thanh Ngan Le (Account team) reacted with 🩷 at 2026-04-15 05:17 AM
Assigned to thanhngan.le@pmax.com.vn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tc={1a680c81-cb28-4af3-9540-ec47b60205e9}</author>
  </authors>
  <commentList>
    <comment authorId="0" xr:uid="{1a680c81-cb28-4af3-9540-ec47b60205e9}" ref="B44">
      <text>
        <t xml:space="preserve">[Threaded comment]
 Your version of Excel allows you to read this threaded comment; however, any edits to it will get removed if the file is opened in a newer version of Excel. Learn more: https://go.microsoft.com/fwlink/?linkid=870924
Comment:
	chọn bạn này thay thế cho bạn Review Nghiệp dư nha @quoctan.hoang@pmax.com.vn
Assigned to quoctan.hoang@pmax.com.vn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tc={20ee0859-6e60-4ed6-8ef2-33d87370fa81}</author>
  </authors>
  <commentList>
    <comment authorId="0" xr:uid="{20ee0859-6e60-4ed6-8ef2-33d87370fa81}" ref="C31">
      <text>
        <t xml:space="preserve">[Threaded comment]
 Your version of Excel allows you to read this threaded comment; however, any edits to it will get removed if the file is opened in a newer version of Excel. Learn more: https://go.microsoft.com/fwlink/?linkid=870924
Comment:
	anh sửa lại cái này nha @quoctan.hoang@pmax.com.vn
Assigned to quoctan.hoang@pmax.com.vn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tc={ceaa2972-47cf-459f-b0ab-75393c028820}</author>
  </authors>
  <commentList>
    <comment authorId="0" xr:uid="{ceaa2972-47cf-459f-b0ab-75393c028820}" ref="E12">
      <text>
        <t xml:space="preserve">[Threaded comment]
 Your version of Excel allows you to read this threaded comment; however, any edits to it will get removed if the file is opened in a newer version of Excel. Learn more: https://go.microsoft.com/fwlink/?linkid=870924
Comment:
	cái này gom thành 1 cục luôn hả @quoctan.hoang@pmax.com.vn
Assigned to quoctan.hoang@pmax.com.vn
Reply:
	Bữa em nói gom 1 cục lun mè
</t>
      </text>
    </comment>
  </commentList>
</comments>
</file>

<file path=xl/sharedStrings.xml><?xml version="1.0" encoding="utf-8"?>
<sst xmlns="http://schemas.openxmlformats.org/spreadsheetml/2006/main" count="10382" uniqueCount="2629">
  <si>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</si>
  <si>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t>No</t>
  </si>
  <si>
    <t>Booking</t>
  </si>
  <si>
    <t>Unit</t>
  </si>
  <si>
    <t>Outcomes Quantity</t>
  </si>
  <si>
    <t>Total Cost</t>
  </si>
  <si>
    <t>KOL &amp; Community</t>
  </si>
  <si>
    <t>Video Post</t>
  </si>
  <si>
    <t>SDHA</t>
  </si>
  <si>
    <t xml:space="preserve">Video Post </t>
  </si>
  <si>
    <t>Photo Post</t>
  </si>
  <si>
    <t>Comment</t>
  </si>
  <si>
    <t>Total (exl AF, exl VAT)</t>
  </si>
  <si>
    <t>AF</t>
  </si>
  <si>
    <t>Total  (inc AF, exl VAT)</t>
  </si>
  <si>
    <t>Total  (inc AF, VAT)</t>
  </si>
  <si>
    <t>No.</t>
  </si>
  <si>
    <t>Name</t>
  </si>
  <si>
    <t>Platform</t>
  </si>
  <si>
    <t>Followers</t>
  </si>
  <si>
    <t>Tiers</t>
  </si>
  <si>
    <t>Link</t>
  </si>
  <si>
    <t>Location</t>
  </si>
  <si>
    <t>SOW</t>
  </si>
  <si>
    <t>Pick</t>
  </si>
  <si>
    <t>Unit cost
( Estimated)</t>
  </si>
  <si>
    <t>KPI View</t>
  </si>
  <si>
    <t>KPI Engagement</t>
  </si>
  <si>
    <t>CPV</t>
  </si>
  <si>
    <t>CPE</t>
  </si>
  <si>
    <t>Total cost</t>
  </si>
  <si>
    <t>Rationale</t>
  </si>
  <si>
    <t>NOTE</t>
  </si>
  <si>
    <t>PMAX' NOTE</t>
  </si>
  <si>
    <t>Vote</t>
  </si>
  <si>
    <t>FOODY REVIEWER</t>
  </si>
  <si>
    <t>Confirmed</t>
  </si>
  <si>
    <t>Thắng Lợi</t>
  </si>
  <si>
    <t>Tiktok</t>
  </si>
  <si>
    <t>426.5K</t>
  </si>
  <si>
    <t>Micro</t>
  </si>
  <si>
    <t>Đồng Nai</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</si>
  <si>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</si>
  <si>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</si>
  <si>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t>Review khá đa dạng, từ các nhà hàng cao cấp đến các món nướng vỉa hè -&gt; audience target khá dàn trải
ER cao (6%)</t>
  </si>
  <si>
    <t>Confirm</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</si>
  <si>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</si>
  <si>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Tháng</t>
  </si>
  <si>
    <t>Lulu Review</t>
  </si>
  <si>
    <t>336.4K</t>
  </si>
  <si>
    <t>Hồ Chí Minh</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</si>
  <si>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</si>
  <si>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</si>
  <si>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t>Review khá đa dạng các lĩnh vực -&gt; audience target khá dàn trải</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</si>
  <si>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</si>
  <si>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Hello Lập Đây</t>
  </si>
  <si>
    <t>260K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</si>
  <si>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</si>
  <si>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</si>
  <si>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t>Tuyến content dàn trải nhưng khá tự nhiên</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</si>
  <si>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</si>
  <si>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Huyền Nhi</t>
  </si>
  <si>
    <t>118.1K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</si>
  <si>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</si>
  <si>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</si>
  <si>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t>ER ổn (4)
Giá phù hợp với KPI
Nội dung ẩm thực là chính</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</si>
  <si>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</si>
  <si>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Thư Bonny</t>
  </si>
  <si>
    <t>114.7K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</si>
  <si>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</si>
  <si>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</si>
  <si>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t xml:space="preserve">ER cao 
KPI ok 
Review khá đa dạng </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</si>
  <si>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</si>
  <si>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Considering</t>
  </si>
  <si>
    <t>Nuchuu nè</t>
  </si>
  <si>
    <t>756K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</si>
  <si>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</si>
  <si>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</si>
  <si>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t>Có review quán ăn vặt của chủ kênh vào 23/1 (có món gà)</t>
  </si>
  <si>
    <t>PMAX Updated KPI</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</si>
  <si>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</si>
  <si>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
  </si>
  <si>
    <t>Lên ký Cùng Khoa</t>
  </si>
  <si>
    <t>726.4K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</si>
  <si>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</si>
  <si>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</si>
  <si>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t>ER hơi thấp (2%), cost per engagement cao</t>
  </si>
  <si>
    <t>Không phù hợp</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</si>
  <si>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</si>
  <si>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Ăn ngon cùng Puu</t>
  </si>
  <si>
    <t>345.4K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</si>
  <si>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</si>
  <si>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</si>
  <si>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t>KPI View cao
ER hơi thấp (2,67%)</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</si>
  <si>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</si>
  <si>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Thồn</t>
  </si>
  <si>
    <t>197.2K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</si>
  <si>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</si>
  <si>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</si>
  <si>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t>ER cao nhưng KPI Engagement khá thấp ( chỉ 2000) -&gt; đẩy cost per E lên cao
Review khá đa dạng,</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</si>
  <si>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</si>
  <si>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New Propose</t>
  </si>
  <si>
    <t>Đi Ăn Chưa 🍪</t>
  </si>
  <si>
    <t>289.3K</t>
  </si>
  <si>
    <t>https://www.tiktok.com/@bobiengan?_t=ZS-8tu0m1Vyokq&amp;_r=1u0odLK9R3&amp;_r=1</t>
  </si>
  <si>
    <t xml:space="preserve">Hà Nội </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</si>
  <si>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</si>
  <si>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có định vị rõ về ăn uống, dễ tạo cảm giác rủ rê và kích thích người xem đi ăn ngay. Tên kênh mang tính call-to-action tự nhiên, phù hợp với nhóm khán giả chủ động tìm recommendation món/quán, thích nội dung review nhanh, visual ngon mắt và reaction thực tế.
</t>
    </r>
    <r>
      <rPr>
        <rFont val="Be Vietnam Pro"/>
        <b/>
        <color theme="1"/>
        <sz val="11.0"/>
      </rPr>
      <t xml:space="preserve">Lý do phù hợp
</t>
    </r>
    <r>
      <rPr>
        <rFont val="Be Vietnam Pro"/>
        <color theme="1"/>
        <sz val="11.0"/>
      </rPr>
      <t>Đi Ăn Chưa phù hợp để truyền tải Fivestar như một lựa chọn ăn uống tiện, ngon và dễ chốt kèo. Tinh thần “đi ăn chưa” match tốt với thông điệp rủ bạn bè cùng ăn gà rán, giúp nội dung brand trở nên tự nhiên, gần gũi và có khả năng kích thích hành động thử món.</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</si>
  <si>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</si>
  <si>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t>Brand Propose</t>
  </si>
  <si>
    <t>A dinosaur in the kitchen</t>
  </si>
  <si>
    <t>294.8K</t>
  </si>
  <si>
    <t>https://www.tiktok.com/@phamtrang.2401</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</si>
  <si>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</si>
  <si>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</si>
  <si>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</si>
  <si>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Ăn Sập Hà Nội</t>
  </si>
  <si>
    <t>1.5M</t>
  </si>
  <si>
    <t>Macro</t>
  </si>
  <si>
    <t>https://www.tiktok.com/@ansaphanoi</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</si>
  <si>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</si>
  <si>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KOC không nhận job</t>
  </si>
  <si>
    <t>Đề xuất thêm</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</si>
  <si>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</si>
  <si>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Nguyên Hí Mắt To</t>
  </si>
  <si>
    <t>629.9K</t>
  </si>
  <si>
    <t>https://www.tiktok.com/@nguyenhimatto</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</si>
  <si>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</si>
  <si>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</si>
  <si>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Ninh Tito</t>
  </si>
  <si>
    <t>459.7K</t>
  </si>
  <si>
    <t>https://www.tiktok.com/@ninhtito</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</si>
  <si>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</si>
  <si>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</si>
  <si>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FOODY UGC</t>
  </si>
  <si>
    <t>a</t>
  </si>
  <si>
    <t>TP HCM</t>
  </si>
  <si>
    <t>Nhà Mây</t>
  </si>
  <si>
    <t>187.9K</t>
  </si>
  <si>
    <t>link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</si>
  <si>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</si>
  <si>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</si>
  <si>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t>Kênh gia đình, có trẻ phù hợp tệp khách của FS
ER cao, giá hợp lý</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</si>
  <si>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</si>
  <si>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 xml:space="preserve">Đi chill cùng Phương phiêu </t>
  </si>
  <si>
    <t>57.7K</t>
  </si>
  <si>
    <t>Nano</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</si>
  <si>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</si>
  <si>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</si>
  <si>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t xml:space="preserve">Tệp khán giả học sinh sinh viên phù hợp
ER thấp nhưng do KPI view cao -&gt; ok
</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</si>
  <si>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</si>
  <si>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🍊𝐕 𝐈 𝐓 𝐀 𝐌 𝐈 𝐍 𝐂🍊</t>
  </si>
  <si>
    <t>10.1K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</si>
  <si>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</si>
  <si>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</si>
  <si>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t>Cost ổn với KPI, quay đồ ăn khá đẹp
Nội dung xoay quanh ăn uống</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</si>
  <si>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</si>
  <si>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NHÀ MOM DIỆP</t>
  </si>
  <si>
    <t>108K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</si>
  <si>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</si>
  <si>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</si>
  <si>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t>Kênh gia đình, có bé, ER thấp, giá cost khá cao so với các kênh tương tự, ít focus vào food</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</si>
  <si>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</si>
  <si>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Chu Cao Food</t>
  </si>
  <si>
    <t>67.4K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</si>
  <si>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</si>
  <si>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</si>
  <si>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t>gần 1 tháng chưa ra video mới, chất lượng video hình ảnh âm thanh chưa thật sự tốt 
Giá cao so với mặt bằng
Tuy nhiên đọc bình luận thấy có tệp khách hàng trung thành với kênh</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</si>
  <si>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</si>
  <si>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Hi Ân nè</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</si>
  <si>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</si>
  <si>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</si>
  <si>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t>Chủ yếu về thức ăn
Giá hơi cao so với mặt bằng nếu tính ra Cost per view/Engagement</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</si>
  <si>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</si>
  <si>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vuvicungyuhi</t>
  </si>
  <si>
    <t>82.9K</t>
  </si>
  <si>
    <t>https://www.tiktok.com/@vuvicungyuhi</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</si>
  <si>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</si>
  <si>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</si>
  <si>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</si>
  <si>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Koi Nam Ăng</t>
  </si>
  <si>
    <t>70.5K</t>
  </si>
  <si>
    <t>https://www.tiktok.com/@koinamang</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</si>
  <si>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</si>
  <si>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</si>
  <si>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</si>
  <si>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New propose</t>
  </si>
  <si>
    <t>Vie ở sài gòn</t>
  </si>
  <si>
    <t>64.7K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</si>
  <si>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</si>
  <si>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</si>
  <si>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</si>
  <si>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Tô thu hà</t>
  </si>
  <si>
    <t>28k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</si>
  <si>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</si>
  <si>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</si>
  <si>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</si>
  <si>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Phước đi đâu ? 🏇🏻</t>
  </si>
  <si>
    <t>639K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</si>
  <si>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</si>
  <si>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</si>
  <si>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</si>
  <si>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b</t>
  </si>
  <si>
    <t>Khu Vực miền Bắc</t>
  </si>
  <si>
    <t>Dương Bảo Anh</t>
  </si>
  <si>
    <t>20.1K</t>
  </si>
  <si>
    <t>https://www.tiktok.com/@duongbaoanh2kk?_r=1&amp;_t=ZS-94n5aTW7D9A</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</si>
  <si>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</si>
  <si>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</si>
  <si>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t xml:space="preserve">Nội dung dàn trải nhiều chủ đề, khu vực Hà Nội, có ER cao </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</si>
  <si>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</si>
  <si>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Nguyệt Thư</t>
  </si>
  <si>
    <t>tiktok.com/@vunguyetthu</t>
  </si>
  <si>
    <t>Hải Dương</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</si>
  <si>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</si>
  <si>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Hải Dương, thường review nhà hàng và thời trang, ER + View ổn</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</si>
  <si>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</si>
  <si>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phương thảo</t>
  </si>
  <si>
    <t>18K</t>
  </si>
  <si>
    <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</si>
  <si>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</si>
  <si>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Hà Nội, review đa dạng, tương tác thấp nhưng view khá cao</t>
  </si>
  <si>
    <t>Cân nhắc</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</si>
  <si>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</si>
  <si>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Nhà Em Bơ Xinh 🌤️</t>
  </si>
  <si>
    <t>https://www.tiktok.com/@nhaembebo2025?_t=ZS-8xFQzvmAh6O&amp;_r=1</t>
  </si>
  <si>
    <t>Hải Phòng</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</si>
  <si>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</si>
  <si>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Hải Phòng, View cao nhưng ER thấp, tuy nhiên duy trì ổn định, chủ đề mẹ và bé chủ yếu</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</si>
  <si>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</si>
  <si>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Mẹ bé Nai</t>
  </si>
  <si>
    <t>62K</t>
  </si>
  <si>
    <t>https://www.tiktok.com/@minhphuong130595?_r=1&amp;_t=ZS-94ac29NM9v3</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</si>
  <si>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</si>
  <si>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Hải Phòng, tần suất đăng video khá thấp, view ít trong giai đoạn 3 tháng trở lại đây, chủ đề mẹ và bé chủ yếu</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</si>
  <si>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</si>
  <si>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Brand propose</t>
  </si>
  <si>
    <t>Khánh Huyền (Đói chưa &gt;&lt;)</t>
  </si>
  <si>
    <t>80.9K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</si>
  <si>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</si>
  <si>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</si>
  <si>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</si>
  <si>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Nguyen Mai Ha My</t>
  </si>
  <si>
    <t>47.9K</t>
  </si>
  <si>
    <t>https://www.tiktok.com/@ng.hamii</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</si>
  <si>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</si>
  <si>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</si>
  <si>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</si>
  <si>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Bộ trưởng bộ tích cực</t>
  </si>
  <si>
    <t>20.5K</t>
  </si>
  <si>
    <t>https://www.tiktok.com/@ahthunek_</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</si>
  <si>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</si>
  <si>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</si>
  <si>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</si>
  <si>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Tuấn food không phét</t>
  </si>
  <si>
    <t>18.5K</t>
  </si>
  <si>
    <t>https://www.tiktok.com/@tuanfoodkhongphet</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</si>
  <si>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</si>
  <si>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</si>
  <si>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</si>
  <si>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Hương</t>
  </si>
  <si>
    <t>86K</t>
  </si>
  <si>
    <t xml:space="preserve"> https://www.tiktok.com/@tranngocyen230</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</si>
  <si>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</si>
  <si>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</si>
  <si>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Mẹ Tấm Cám</t>
  </si>
  <si>
    <t>146K</t>
  </si>
  <si>
    <t>https://www.tiktok.com/@thanhhuongrv</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</si>
  <si>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</si>
  <si>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</si>
  <si>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c</t>
  </si>
  <si>
    <t xml:space="preserve">Khu vực miền Nam </t>
  </si>
  <si>
    <t>Zăn Zăn Daily ✨</t>
  </si>
  <si>
    <t>60K</t>
  </si>
  <si>
    <t>https://www.tiktok.com/@zan.riviu?_r=1&amp;_t=ZS-94n3uOkLyE8</t>
  </si>
  <si>
    <t>Bình Dương</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</si>
  <si>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</si>
  <si>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</si>
  <si>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t>Khu vực Bình Dương, nội dung đa dạng, ER cao (nhưng chủ yếu là tim)</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</si>
  <si>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</si>
  <si>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Phương Đi Chill 🌈</t>
  </si>
  <si>
    <t>https://www.tiktok.com/@phuongoychillthoy</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</si>
  <si>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</si>
  <si>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RE cao nhưng view thấp, Chủ yếu về ăn uống, TA phù hợp FS, giá cao</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</si>
  <si>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</si>
  <si>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Đức Tân Bình</t>
  </si>
  <si>
    <t>42.4K</t>
  </si>
  <si>
    <t>https://www.tiktok.com/@huynhhongocduc</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</si>
  <si>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</si>
  <si>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ER cao nhưng view thấp -&gt; Awareness không cao
Nội dung xoay quanh ẩm thực chủ yếu</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</si>
  <si>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</si>
  <si>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Nguyễn Ly</t>
  </si>
  <si>
    <t>130K</t>
  </si>
  <si>
    <t>http://www.tiktok.com/@lysambonreview</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</si>
  <si>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</si>
  <si>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</si>
  <si>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d</t>
  </si>
  <si>
    <t>Khu vực miền Tây</t>
  </si>
  <si>
    <t>Nhà Bé Sushi</t>
  </si>
  <si>
    <t>https://www.tiktok.com/@meshushi121</t>
  </si>
  <si>
    <t>Cần Thơ</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</si>
  <si>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</si>
  <si>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</si>
  <si>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t>ER cao 
Có review đa dạng, khu vực Cần Thơ</t>
  </si>
  <si>
    <t xml:space="preserve"> </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</si>
  <si>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</si>
  <si>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Dương Nhi</t>
  </si>
  <si>
    <t>https://www.tiktok.com/@duongnhicm</t>
  </si>
  <si>
    <t>Sóc Trăng</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</si>
  <si>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</si>
  <si>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ER hiện tại khá thấp, tuy nhiên có kinh nghiệm nhận booking nhiều (PS, Vinamilk, Laz,...)</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</si>
  <si>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</si>
  <si>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 xml:space="preserve">Góc nhỏ của Chii </t>
  </si>
  <si>
    <t>428K</t>
  </si>
  <si>
    <t>www.tiktok.com/@hachireview74</t>
  </si>
  <si>
    <t>Đồng Tháp</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</si>
  <si>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</si>
  <si>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</si>
  <si>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FOODY COMMUNITY</t>
  </si>
  <si>
    <t>Địa điểm ăn uống (Fanpage)</t>
  </si>
  <si>
    <t>Facebook</t>
  </si>
  <si>
    <t>5.2M</t>
  </si>
  <si>
    <t>Mass</t>
  </si>
  <si>
    <t>Sản xuất và đăng tải Photo Post (rối đa 10 ảnh) check-in tại Five Star Kiosk, đưa tin và review sản phẩm gà rán, theo định hướng nhãn hàng.</t>
  </si>
  <si>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</si>
  <si>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t>Thèm (Fanpage)</t>
  </si>
  <si>
    <t>2M</t>
  </si>
  <si>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</si>
  <si>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t>Không Sợ Đói (Group)</t>
  </si>
  <si>
    <t>1.3M</t>
  </si>
  <si>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</si>
  <si>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t>Măm Măn Sài gòn (Group)</t>
  </si>
  <si>
    <t>780.6K</t>
  </si>
  <si>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</si>
  <si>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t>Đảo Đồ Ăn (Group)</t>
  </si>
  <si>
    <t>508.4K</t>
  </si>
  <si>
    <t>Sản xuất và đăng tải Photo Post (tối đa 10 ảnh) check-in tại Five Star Kiosk, đưa tin và review sản phẩm gà rán, theo định hướng nhãn hàng.</t>
  </si>
  <si>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</si>
  <si>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t>Hà Nội Ăn Gì?</t>
  </si>
  <si>
    <t>1M</t>
  </si>
  <si>
    <t>Sản xuất và đăng tải Video Post (60-120s) check-in tại Five Star Kiosk, đưa tin và review sản phẩm gà rán, theo định hướng nhãn hàng.</t>
  </si>
  <si>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</si>
  <si>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t>Vi vu Sài Gòn</t>
  </si>
  <si>
    <t>292.7K</t>
  </si>
  <si>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</si>
  <si>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t>Thong dong đó đây</t>
  </si>
  <si>
    <t>100.2K</t>
  </si>
  <si>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</si>
  <si>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t>SÀI GÒN MAP</t>
  </si>
  <si>
    <t>154.5K</t>
  </si>
  <si>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</si>
  <si>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t xml:space="preserve">Phê Hà Nội </t>
  </si>
  <si>
    <t>141.2K</t>
  </si>
  <si>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</si>
  <si>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t>SEEDING PACKAGE</t>
  </si>
  <si>
    <t>Comment Seeding</t>
  </si>
  <si>
    <t>Gói Seeding (bao gồm sản xuất nội dung) theo yêu cầu và dán bình luận trên các post được chỉ định của Nhãn hàng
- Account: người thật, nam &amp; nữ, trong khoảng 18 - 30 tuổi, Việt Nam only, hình ảnh liên quan đến lifestyle, sinh viên, người đi làm, gia đình
- Bao gồm chi phí soạn nội dung comment
- Số lượng comment: 2.000 comments</t>
  </si>
  <si>
    <t>TOTAL</t>
  </si>
  <si>
    <t>AGENCY FEE</t>
  </si>
  <si>
    <t>TOTAL COST (EXCLUDING VAT)</t>
  </si>
  <si>
    <t>TOTAL COST (INCLUDING VAT)</t>
  </si>
  <si>
    <r>
      <rPr>
        <rFont val="Be Vietnam Pro"/>
        <b/>
        <color theme="1"/>
        <sz val="20.0"/>
      </rPr>
      <t xml:space="preserve">PMAX | </t>
    </r>
    <r>
      <rPr>
        <rFont val="Be Vietnam Pro"/>
        <b/>
        <color rgb="FFED2229"/>
        <sz val="20.0"/>
      </rPr>
      <t>C.P.GROUP VIETNAM</t>
    </r>
    <r>
      <rPr>
        <rFont val="Be Vietnam Pro"/>
        <b/>
        <color theme="1"/>
        <sz val="20.0"/>
      </rPr>
      <t xml:space="preserve"> - INFLUENCERS WORKPLAN</t>
    </r>
  </si>
  <si>
    <t>XM</t>
  </si>
  <si>
    <t>Meci</t>
  </si>
  <si>
    <t>T5A</t>
  </si>
  <si>
    <t>Influencer</t>
  </si>
  <si>
    <t>Outfit Tracking</t>
  </si>
  <si>
    <t>Địa điểm quay + thời gian</t>
  </si>
  <si>
    <t>Outfit</t>
  </si>
  <si>
    <t xml:space="preserve">Tình trạng </t>
  </si>
  <si>
    <t>SCRIPT R1</t>
  </si>
  <si>
    <t>Feedback PMAX R1</t>
  </si>
  <si>
    <t>Feedback Brand team R1</t>
  </si>
  <si>
    <t>SCRIPT R2</t>
  </si>
  <si>
    <t>Feedback PMAX R2</t>
  </si>
  <si>
    <t>Feedback Brand team R2</t>
  </si>
  <si>
    <t>DEMO R1</t>
  </si>
  <si>
    <t>DEMO R2</t>
  </si>
  <si>
    <t>Final Demo</t>
  </si>
  <si>
    <t>Status</t>
  </si>
  <si>
    <t xml:space="preserve">Final Demo Revise </t>
  </si>
  <si>
    <t>Caption</t>
  </si>
  <si>
    <t>Feedbacks caption</t>
  </si>
  <si>
    <t>Caption Revised</t>
  </si>
  <si>
    <t>Lịch Air dự kiến</t>
  </si>
  <si>
    <t>LINK AIR</t>
  </si>
  <si>
    <t>GHI CHÚ</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</si>
  <si>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</si>
  <si>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13/5 19h00
BASIC SHOP -  Nguyễn Thị Thuận - Số 67 Đường 9, phường Trường Thọ, TP. Thủ Đức, TP. HCM</t>
  </si>
  <si>
    <t>Đã quay</t>
  </si>
  <si>
    <t>- Câu hook đầu tiên có thể gắn thêm context rõ ràng để tạo sự quen thuộc &gt; ví dụ: có những hôm trời mưa lạnh lạnh bụng thì đói mà không đi đâu xa được, đang đi trên đường mà bụng đói,v.v.
- “Chỗ cứu đói cực nhanh” hiện còn khá generic, vì brand fastfood nào cũng có thể nói vậy. Có thể bổ sung chi tiết về kiosk Five Star nổi bật hoặc độ phủ quen thuộc ở nhiều góc phố để tạo cảm giác gần gũi.
- Phần review món ăn hiện tại hơi flat &gt; có thể thêm reaction, thêm chi tiết về món ăn (hương vị, độ giòn,v.v.) để tạo sự hấp dẫn  
- CTA chưa đủ mạnh, có thể thay bằng “Món nào ở Five Star mọi người thấy underrated nhất?”; “Ai giống mình, đi ngang chỉ định mua 1 món nhưng cuối cùng cầm nguyên bịch?”; “Có ai ban đầu không kỳ vọng nhiều nhưng ăn rồi bị ghiền không?”
- Gắn thêm địa chỉ về địa điểm Five Star mà bạn đã ghé</t>
  </si>
  <si>
    <t>https://docs.google.com/spreadsheets/d/1sek28q8dSpx6DU8QYhlKU5FqtCePEZaUhxd1o63zgyI/edit?gid=771502114#gid=771502114</t>
  </si>
  <si>
    <t>Đã update script và Outfit chờ team check</t>
  </si>
  <si>
    <t>Remove từ kiosk
Còn lại ok</t>
  </si>
  <si>
    <t>https://drive.google.com/drive/folders/15ODXPBRTw5WmN8MAY5ueU-3G_tHaar-8</t>
  </si>
  <si>
    <t>0:04 Bỏ địa chỉ, thời gian
0:20 - Mention tên các món xiên que đặc biệt thay vì chỉ nói bò viên cá viên - Xúc xích toperdo, chả giò gai jor, gà nugget
Cho màu món ăn tươi hơn, tăng saturation, sáng hơn</t>
  </si>
  <si>
    <t>https://drive.google.com/file/d/1W_rLKrdvJSUqVmyRZnA2Vx3-PkXcG-_A/view?usp=drive_link</t>
  </si>
  <si>
    <t>chỉnh text giá tham khảo rẻ &gt; giá hợp lý
1:01 - Five Star chi nhánh .. ghi địa chỉ, bỏ basic shop
Add cta kêu gọi ghé five star gần nhà
Leo's comment:
0:28: Gà miếng nhưng text là "gà nugget" =&gt; Sai tên sản phẩm, sửa thành "gà giòn giòn"
0:31: "Gà không bị khô đâu" nhưng cảnh xé gá hơi lâu =&gt; Cắt ngắn cảnh xé gà lại
0:35: Bỏ text "bò viên, cá viên" đổi thành "chả cá hàn quốc, chả giò gai jor thái lan"
0:41: Bỏ text "xúc xích toperdo, chả giò gai jor" đổi thành "xúc xích sumo, gà nugget, gà popcorn"</t>
  </si>
  <si>
    <t>https://drive.google.com/file/d/1h74wlhoDoRD_Y03lKWFQV6RdRRRdzK7N/view?usp=drivesdk</t>
  </si>
  <si>
    <t>Nếu hnay bạn phân vân ăn gì thử có thể cân nhắc Fivestar nhé #FiveStarVietnam #GaDau</t>
  </si>
  <si>
    <t>https://vt.tiktok.com/ZSQ1XDNsR/</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</si>
  <si>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</si>
  <si>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 xml:space="preserve">11h00 sáng T6-15/5: 
Địa điểm quay: B8/28M Đường Hưng Nhơn, xã Tân Nhựt, huyện Bình Chánh </t>
  </si>
  <si>
    <r>
      <rPr>
        <rFont val="Be Vietnam Pro"/>
        <color theme="1"/>
        <sz val="11.0"/>
      </rPr>
      <t xml:space="preserve">Cảnh 2: 
- Chỉnh lại lời thoại — chi tiết “màu vàng huyền thoại của Five Star” chưa thật sự đúng vì màu nhận diện chính của Five Star là đỏ và vàng.
- Thêm lời thoại theo hướng đi ngang nghe tiếng “xèo xèo” hoặc ngửi thấy mùi gà chiên quá hấp dẫn nên bị thu hút và quẹo vào mua, dù ban đầu chỉ định ghé mua nước.
Cảnh 3: Chỉnh text - Gần 1000 điểm bán trên 30+ tỉnh thành
Cảnh 4: 
- Chỉnh text - Menu siêu đa dạng Nhanh - Gọn - Ngon &gt; </t>
    </r>
    <r>
      <rPr>
        <rFont val="Be Vietnam Pro"/>
        <b/>
        <color theme="1"/>
        <sz val="11.0"/>
      </rPr>
      <t>mình ko nhấn mạnh về giá rẻ</t>
    </r>
    <r>
      <rPr>
        <rFont val="Be Vietnam Pro"/>
        <color theme="1"/>
        <sz val="11.0"/>
      </rPr>
      <t xml:space="preserve"> &gt;&gt; </t>
    </r>
    <r>
      <rPr>
        <rFont val="Be Vietnam Pro"/>
        <b/>
        <color rgb="FF980000"/>
        <sz val="12.0"/>
      </rPr>
      <t>Note point này cho các bạn KOL luôn nha</t>
    </r>
    <r>
      <rPr>
        <rFont val="Be Vietnam Pro"/>
        <color theme="1"/>
        <sz val="11.0"/>
      </rPr>
      <t xml:space="preserve">
Cảnh 5: Câu thoại đầu chưa link rõ ràng tới đoạn sau &gt; gợi ý có thể nói rõ là tại sao những món này lại phù hợp với người lười đợi từ đầu luôn. 
Gắn text thêm địa chỉ về địa điểm Five Star mà bạn đã ghé 
Overall ok có thể quay cận món nhiều hơn</t>
    </r>
  </si>
  <si>
    <t xml:space="preserve">Do có thay đổi về địa chỉ review nên nhờ bạn thay bằng share link trong caption để mn có thể tìm các quán fivestar gần các bạn: https://fivestarnearyou.cp.com.vn/
ko cần add text địa chỉ lên clip nữa nhé mà chỉ kêu gọi vào link để tìm quán nha. </t>
  </si>
  <si>
    <t>https://drive.google.com/drive/folders/1WLes2-C3PZsK0zl4ZA5D5yJ1xAYDkhWR</t>
  </si>
  <si>
    <t xml:space="preserve">Gà tatsutaage /ta-chư-ta-gê/ &gt; đọc chỉnh lại
0:23 - thay đoạn này bằng đoạn zoom in vô menu (như khúc sau) nếu còn source nha
Leo's comment: 
1. Đoạn 00:46 - Tên đúng "chả giò gai jor" </t>
  </si>
  <si>
    <r>
      <rPr>
        <rFont val="Be Vietnam Pro"/>
        <color theme="1"/>
        <sz val="11.0"/>
      </rPr>
      <t xml:space="preserve">Leo's comment: 
Phần sửa lồng vào sau nghe hơi miễn cưỡng. Còn lại ổn
</t>
    </r>
    <r>
      <rPr>
        <rFont val="Be Vietnam Pro"/>
        <b/>
        <color theme="1"/>
        <sz val="11.0"/>
      </rPr>
      <t>=&gt; VO sẽ đổi thành text add in</t>
    </r>
  </si>
  <si>
    <t>https://drive.google.com/file/d/1pmsQfzjtuZdATJQ_yn_7jK7w3fMZe-n8/view</t>
  </si>
  <si>
    <t xml:space="preserve">Gà chiên nóng hổi, cắn một miếng da giòn rụm, thịt bên trong vẫn mọng nước.
#FiveStarVietnam #GaDau #FiveStar #GaRanFiveStar </t>
  </si>
  <si>
    <t>27/5</t>
  </si>
  <si>
    <t>https://www.tiktok.com/@lulureview_/video/7644513610072460551?_r=1&amp;_t=ZS-96jI4dZLIL1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</si>
  <si>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</si>
  <si>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r>
      <rPr>
        <rFont val="Be Vietnam Pro"/>
        <b/>
        <color rgb="FFFF0000"/>
        <sz val="11.0"/>
      </rPr>
      <t xml:space="preserve">Đã đi quay
</t>
    </r>
    <r>
      <rPr>
        <rFont val="Be Vietnam Pro"/>
        <color theme="1"/>
        <sz val="11.0"/>
      </rPr>
      <t>- 16h ngày 12/5
- OUTLET - HKD GÀ RÁN FIVE STAR THU HÀ - 37/3 Huỳnh Tấn Phát, Xã Nhà Bè, TPHCM</t>
    </r>
  </si>
  <si>
    <t xml:space="preserve">Trang phục: nhờ bạn chọn áo màu tươi hơn (đỏ hoặc vàng)
Phân cảnh Body:
- Đã đi ăn ngoài phải chọn ăn ngon &gt; Sau câu này thêm 1 câu tại sao lại chọn Five Star &gt; gợi ý: do gần nhà, do đi ngang qua thấy thèm, v.v.
- Về giá &gt; mình ko nhắc từ khóa rẻ hay mắc &gt; chỉnh lại theo hướng phần ăn đầy đặn / xịn so với mức giá hoặc sử dụng các từ khóa như giá dễ chịu, ai cũng mua dc
Cảnh outro: Câu còn lập thì có quan tâm ko &gt; hơi bị khó hiểu
Gắn text thêm địa chỉ về địa điểm Five Star mà bạn đã ghé </t>
  </si>
  <si>
    <t>Remove từ kiosk
Ko cần add địa chỉ lên video &gt; đổi thành share link website sang phần comment</t>
  </si>
  <si>
    <t>Demo Hello Lập Đây.mp4</t>
  </si>
  <si>
    <t xml:space="preserve">1:11 - zoom in hoặc là thay cảnh &gt; để ko thấy rõ cái dây điện với đống bụi ở trên tường vì khúc đó mình đang nói về việc sạch sẽ
1:24 - Text trên clip - "Tập đoàn C.P. đến từ Thái Lan" ko phải là "tập đoàn C.P. Thái Lan"
</t>
  </si>
  <si>
    <t>Revised R1.mp4</t>
  </si>
  <si>
    <t>Phần feedback sau sẽ được gom để xử lý ở demo R2
Leo's comment: 
1. 00:24 - liệt kê các món xiên que: "Cá viên, bò viên, chả cá..." đổi thành "cá viên, bò viên, xúc xích phô mai.. đặc biệt còn có chả giò kiểu thái (or) chả giò gai jor" nghe có signature hơn là chỉ liệt kê những món bình thường 
2. 00:36 - remove cảnh + thoại "khách đông cỡ này luôn" - cảnh thật chưa đủ đông, nghe hơi miễn cưỡng. 
3. Đoạn 01:12 - "cửa hàng sạch sẻ" nên đổi cảnh quay cửa hàng, đang lồng trên cảnh staff chế biến gà, không match phần hình và phần tiếng.</t>
  </si>
  <si>
    <t>Five star (fix 3).mp4</t>
  </si>
  <si>
    <t>CAPTION: Brand gà rán này xứng đáng viral hơn gấp 10 lần</t>
  </si>
  <si>
    <t>Chỉnh lại Brand gà rán &gt; Thương hiệu / Brand thức ăn nhanh</t>
  </si>
  <si>
    <t>Thương hiệu gà rán này xứng đáng viral hơn gấp 10 lần #hellolapday #FiveStarVietnam #GaDau #FiveStar #GaRanFiveStar</t>
  </si>
  <si>
    <r>
      <rPr>
        <rFont val="Be Vietnam Pro"/>
        <color rgb="FF000000"/>
        <sz val="11.0"/>
        <u/>
      </rPr>
      <t xml:space="preserve">
- tiktok: </t>
    </r>
    <r>
      <rPr>
        <rFont val="Be Vietnam Pro"/>
        <color rgb="FF1155CC"/>
        <sz val="11.0"/>
        <u/>
      </rPr>
      <t>https://vt.tiktok.com/ZSxt8cXaM/</t>
    </r>
    <r>
      <rPr>
        <rFont val="Be Vietnam Pro"/>
        <color rgb="FF000000"/>
        <sz val="11.0"/>
        <u/>
      </rPr>
      <t xml:space="preserve">
- reup insta: https://www.instagram.com/reel/DY9hZnczdim/?igsh=MWk3cnVvcjlwZ3VndA==
</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</si>
  <si>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</si>
  <si>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11h00 t7 16/5 quay, 
ĐỊa điểm: BASIC SHOP -  Nguyễn Thị Thuận - Số 67 Đường 9, phường Trường Thọ, TP. Thủ Đức, TP. HCM</t>
  </si>
  <si>
    <t>Trang phục ok
Tập đoàn CP Group &gt; Bỏ chữ Group
Bổ sung thêm ý về việc an tâm về chất lượng và an toàn thực phẩm
Bỏ đoạn "mà ko thấy áp lực chi phí"
- Add thêm địa chỉ Five Star</t>
  </si>
  <si>
    <t>https://docs.google.com/spreadsheets/d/1TlMiQyjUC_8vG--FMqD48heIruNjrv0a_-BycV6vMug/edit?gid=80012582#gid=80012582</t>
  </si>
  <si>
    <t>Đã input thêm Outfit
Team KOC đã điều chỉnh theo feedback của brand</t>
  </si>
  <si>
    <t>Remove từ kiosk
Remove địa chỉ &gt; add website tìm quán ở comment
Còn lại ok</t>
  </si>
  <si>
    <t>https://drive.google.com/file/d/1BQQEQ3ggRs06IXWejYz58QsoKTgGPsd1/view</t>
  </si>
  <si>
    <t>0:03: chỉnh text theo hướng - Five Star - Thế giới ăn vặt, thiên đường ăn no có món gà rán siêu đỉnh &gt; highlight về sự đa dạng và món gà rán signature
0:27 &gt; hình món khoai tây chiên hơi thường &gt; đẩy món gà rán lên, có các món khác thì mình cho lên nha
- Có mấy góc bạn cầm đĩa gà hình như bị lặp lại 2-3 lần trong clip, mình còn góc khác thì thay giúp chị nha
Các món xiên que &gt; khi liệt kê add 1 món signature chả giò gai jor (trong đĩa bạn có order) &gt; gọi tên món thay vì chỉ gọi là xiên que thông thường
Text: Đa dạng các loại xiêu que &gt; chỉnh chút theo hướng "Menu xiên que đa dạng với nhiều món ngon lạ miệng"
1:00 - hot dog tên món là "hot dog Torpedo"
1:05 - remove cảnh bàn trống có 1 ng ngồi
Nên add CTA kêu gọi ghé quán &gt; địa chỉ nằm ở link</t>
  </si>
  <si>
    <t>https://drive.google.com/file/d/1FHJD-DVN5yvqkgqVIHgOR6tfsrWjR9ht/view?usp=drivesdk</t>
  </si>
  <si>
    <t xml:space="preserve">Chỉnh text: Tập đoàn C.P. Việt Nam
0:26 - highlight món gà nugget ngôi sao
Còn lại ok </t>
  </si>
  <si>
    <t>https://drive.google.com/file/d/1qJxaezCXrSlDXG29sDkksX_jZKoB9ZqM/view?usp=drivesdk</t>
  </si>
  <si>
    <t xml:space="preserve">Fan gà rán thì lưu ngay quán Five Star nha mọi người ơii, có thêm đồ ăn vặt và các món ăn no nữa nè
#FiveStarVietnam #GaDau #FiveStar #GaRanFiveStar </t>
  </si>
  <si>
    <t>29/5</t>
  </si>
  <si>
    <t>https://www.tiktok.com/@hhuyennhiii/video/7644779715093482772?_r=1&amp;_t=ZS-96jFcDqShi1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</si>
  <si>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</si>
  <si>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r>
      <rPr>
        <rFont val="Be Vietnam Pro"/>
        <b/>
        <color rgb="FFFF0000"/>
        <sz val="11.0"/>
      </rPr>
      <t xml:space="preserve">Đã đi quay
</t>
    </r>
    <r>
      <rPr>
        <rFont val="Be Vietnam Pro"/>
        <color theme="1"/>
        <sz val="11.0"/>
      </rPr>
      <t>Lịch quay: 10h 12/5
Địa điểm: BASIC SHOP -  Nguyễn Thị Thuận - Số 67 Đường 9, phường Trường Thọ, TP. Thủ Đức, TP. HCM</t>
    </r>
  </si>
  <si>
    <t>- Highlight thêm về sự tiện lợi, giá dễ chịu / khẩu phần đầy đặn so với mức giá / ai cũng có thể thưởng thức
- Gắn thêm địa chỉ về địa điểm Five Star mà bạn đã ghé và thêm CTA</t>
  </si>
  <si>
    <t xml:space="preserve">Script ok
Do có thay đổi về địa chỉ review nên nhờ bạn thay bằng share link trong caption để mn có thể tìm các quán fivestar gần các bạn: https://fivestarnearyou.cp.com.vn/
ko cần add text địa chỉ lên clip nữa nhé mà chỉ kêu gọi vào link để tìm quán nha. </t>
  </si>
  <si>
    <t>Demo Five Star - Thư Bonny</t>
  </si>
  <si>
    <t xml:space="preserve">Mình remove đoạn bạn nói order về nhà thì ok hơn (1:51-1:52)
Leo's comment: 
1. Clip có quá nhiều tạp âm, khó giữ người xem hết 
2. Remove 01:12 - 01:22, màu xiên gà hơi tối, nhìn không đủ hấp dẫn, cũng khó hình dung là món gì.
3. 01:35 - Bổ sung "đùi góc tư tẩm ướp" </t>
  </si>
  <si>
    <t>https://drive.google.com/file/d/1QjurRtSs_004WtM0egChyuALFNen9LNO/view?usp=drivesdk</t>
  </si>
  <si>
    <t xml:space="preserve">Vẫn còn tạp âm &gt; tiếng xe to
Nhi's comment 
Nên mention thêm đến giá cả của FS ví dụ "Giá cả hợp lý"
Còn lại ok
</t>
  </si>
  <si>
    <t>https://drive.google.com/file/d/1OyIKU1LjE8w9vI3IK6QMT15pNHB9X5v3/view?usp=drivesdk</t>
  </si>
  <si>
    <t xml:space="preserve">Nhớ tới hương vị của Five Star là phải đi ăn NGAY VÀ LUÔN
#FiveStarVietnam #GaDau #FiveStar #GaRanFiveStar </t>
  </si>
  <si>
    <t>có thể chỉnh theo hướng nhớ là phải đi liền ko 
Leo's comment:
Cả clip vẫn còn tạp âm (tiếng xe, tiếng gà gáy..) 0:41: Tiếng xe to hơn tiếng nhai da gà. 
Hình ảnh ổn, trừ âm thanh =&gt; Cố gắng fix âm thanh</t>
  </si>
  <si>
    <t>"Nhớ tới hương vị của Five Star là phải đi ăn NGAY VÀ LUÔN
#FiveStarVietnam #GaDau #FiveStar #GaRanFiveStar "</t>
  </si>
  <si>
    <t>https://www.tiktok.com/@thubonny/video/7646757218007715079?_r=1&amp;_t=ZS-96sF5iS0M78</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</si>
  <si>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</si>
  <si>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- 15-17h ngày 13/5
- PREAMIUM KIOSK 3*3 - HKD FIVE STAR ĐINH ĐỨC THIỆN - 1/26 Đinh Đức Thiện, xã Bình Chánh, TP HCM</t>
  </si>
  <si>
    <t>- Nhờ bạn chọn áo nào màu tươi hơn, năng động hơn nhe
- Bên cạnh mùi vị tuổi thơ &gt; add thêm những câu nhận xét là so với ký ức tuổi thơ thì Five Star có gì mới hơn (ví dụ store nhìn chuẩn chỉnh hơn, chuyên nghiệp hơn, món ăn đa dạng hơn, v.v)
- Ko nhắc tới từ khóa "rẻ" &gt; thay bằng giá dễ chịu, giá hợp lý, khẩu phần chất lượng hơn so với giá
- Gắn thêm địa chỉ về địa điểm Five Star mà bạn đã ghé</t>
  </si>
  <si>
    <t xml:space="preserve">Script ok nhé, thay chữ kiosk bằng "quán" giúp chị nha. 
Do có thay đổi về địa chỉ review nên nhờ bạn thay bằng share link trong caption để mn có thể tìm các quán fivestar gần các bạn: https://fivestarnearyou.cp.com.vn/
ko cần add text địa chỉ lên clip nữa nhé mà chỉ kêu gọi vào link để tìm quán nha. </t>
  </si>
  <si>
    <t>Fivestar.mov</t>
  </si>
  <si>
    <t xml:space="preserve">Màu sắc món &gt; tươi hơn, tăng saturation
0:39 - có thể kéo dài đoạn đổ sốt một chút ko
1:19 &gt; remove đoạn chiên &gt; dầu hơi nâu
Sai chính tả "Chuẩn Chỉnh"
Leo's comment: 
1. Đoạn 00:59 - add sai tên món =&gt; Đổi lại tên món "Gà Nugget" + thoại: hình ngôi sao nhìn thú vị..
2. Đoạn 01:31 - đổi "đám bạn" thành "nhóm bạn"
</t>
  </si>
  <si>
    <t>FIVESTARFIX.mov</t>
  </si>
  <si>
    <t xml:space="preserve">Ức gà - ko bị khô &gt; đổi thành ức gà mọng nước juicy 
0:43: "lười có xương" -&gt; bỏ đoạn này </t>
  </si>
  <si>
    <t>Fivestar</t>
  </si>
  <si>
    <t>CAPTION: Món ăn tuổi thơ của tôi</t>
  </si>
  <si>
    <t>28/5</t>
  </si>
  <si>
    <t>https://vt.tiktok.com/ZSx45rKrU/</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</si>
  <si>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</si>
  <si>
    <t xml:space="preserve">Ăn Ngon Cùng Puu Quay ngày 15/5 - 13h00
MINI SHOP - Five Star Mega Q12 - Số 2 đường Trương Thị Hoa, KP 4A, Tân Thới Hiệp, TPHCM
</t>
  </si>
  <si>
    <t>- CP Group &gt; đổi thành tập đoàn CP
- Bổ sung thêm ý về sự đa dạng (nhiều món người lớn con nít đều ăn được, từ món ăn no tới món ăn vặt)  
- Thêm ý về việc ăn 1 mình hay ăn nhiều người đều siêu hợp 
- Gắn thêm địa chỉ về địa điểm Five Star mà bạn đã ghé</t>
  </si>
  <si>
    <t>https://docs.google.com/spreadsheets/d/1jC0a00h3FsNPkNZqCO8tCfHq8Ux2lS9cjcq9OYS5YDw/edit?gid=1937930012#gid=1937930012</t>
  </si>
  <si>
    <r>
      <rPr>
        <rFont val="Be Vietnam Pro"/>
        <color theme="1"/>
        <sz val="11.0"/>
      </rPr>
      <t xml:space="preserve">Trang phục ok 
Script ok nhé
</t>
    </r>
    <r>
      <rPr>
        <rFont val="Be Vietnam Pro"/>
        <b/>
        <color theme="1"/>
        <sz val="11.0"/>
      </rPr>
      <t>Thêm CTA: "Xem Store gần nhất bên dưới phần comment" + Cmt link web</t>
    </r>
  </si>
  <si>
    <t>https://drive.google.com/drive/folders/110dLNgTuRhRmD7fAW9mPfIvRAASVPXpA</t>
  </si>
  <si>
    <t xml:space="preserve">Khúc đầu gà bị ám xanh
Bỏ địa chỉ chi tiết
Gà tẩm ướt &gt; đùi gà góc tư tẩm ướt
Highlight một số xiên que lạ miệng hoặc đọc tên món chi tiết &gt; chả giò gai jor, hotdog xúc xích phô mai tẩm khoai tây, v.v
Đoạn cuối &gt; chọn gà rán hay xiên que ở five star &gt; Chọn </t>
  </si>
  <si>
    <t>Thiếu CTA cuối clip</t>
  </si>
  <si>
    <t>"Top 1 địa chỉ gà trong lòng Pu đó chính là Fivestar này nè cả nhà ơi
#FiveStarVietnam #GaDau"</t>
  </si>
  <si>
    <r>
      <rPr>
        <rFont val="Be Vietnam Pro"/>
        <color theme="1"/>
        <sz val="11.0"/>
      </rPr>
      <t xml:space="preserve">ok
</t>
    </r>
    <r>
      <rPr>
        <rFont val="Be Vietnam Pro"/>
        <b/>
        <color theme="1"/>
        <sz val="11.0"/>
      </rPr>
      <t>Leo: Top 1 địa chỉ gà rán trong lòng Pu đó chính là Fivestar này nè cả nhà ơi
#FiveStarVietnam #GaDau #GaRan</t>
    </r>
  </si>
  <si>
    <t>14/6</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</si>
  <si>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sz val="11.0"/>
      </rPr>
      <t xml:space="preserve"> Link 
</t>
    </r>
    <r>
      <rPr>
        <rFont val="Be Vietnam Pro"/>
        <sz val="11.0"/>
      </rPr>
      <t>"01 tháng Sử dụng hình ảnh không độc quyền trên digital only
*Bao gồm: Code Ads và reup kênh brand có chạy quảng cáo"</t>
    </r>
  </si>
  <si>
    <t>Thứ 5 ngày 21/5 (11h trưa) địa điểm Ngãi Cầu</t>
  </si>
  <si>
    <t>Đã confirm lịch</t>
  </si>
  <si>
    <t>https://docs.google.com/spreadsheets/d/1z-HdLijlKbGSj5qe5SrB_0F34ISWgdy1XuSDOjDegrg/edit?gid=0#gid=0</t>
  </si>
  <si>
    <t xml:space="preserve">Trang phục ok
- Opening &gt; chỉnh lại ko nhấn mạnh vào việc rẻ mà đổi thành giá dễ chịu, ko đau ví mà khẩu phần thì chất lượng
- 7 Eleven k thuộc CP &gt; remove
- Chỉnh CP Group &gt; Tập đoàn C.P.  
- Nội dung đang focus vào giá rẻ, giá mềm khá nhiều &gt; chỉnh lại để tập trung vào sự tiện lợi, chất lượng món ăn </t>
  </si>
  <si>
    <t>https://docs.google.com/spreadsheets/d/1z-HdLijlKbGSj5qe5SrB_0F34ISWgdy1XuSDOjDegrg/edit?gid=1633982349#gid=1633982349</t>
  </si>
  <si>
    <t>Team đã update outfit + script</t>
  </si>
  <si>
    <r>
      <rPr>
        <rFont val="Be Vietnam Pro"/>
        <color theme="1"/>
        <sz val="11.0"/>
      </rPr>
      <t xml:space="preserve">Script ok
</t>
    </r>
    <r>
      <rPr>
        <rFont val="Be Vietnam Pro"/>
        <b/>
        <color theme="1"/>
        <sz val="11.0"/>
      </rPr>
      <t>Thêm CTA: "Xem Store gần nhất bên dưới phần comment" + Cmt link web</t>
    </r>
  </si>
  <si>
    <t>https://drive.google.com/file/d/1QWiIeGyMi5lPxKIJ3cVXH9IjQi11wUNE/view?usp=drivesdk</t>
  </si>
  <si>
    <t xml:space="preserve">Đọc tên các món xiên que luôn nhé&gt; chả giò gai jor, hotdog xúc xích phô mai tẩm khoai tây, v.v
Phần má đùi &gt; đùi góc tư tẩm tiêu
</t>
  </si>
  <si>
    <t>https://drive.google.com/file/d/1a9cTmTDG8Q4oW3-jqPiq0IK9eus3n2ML/view?usp=drivesdk</t>
  </si>
  <si>
    <t>Chất lượng video thấp
1:06, màu miếng gà tươi hơn
0:36 - gà nugget ngôi sao &gt; nếu ko add VO thì add text giúp c
Leo's comment
1:03 - 1:08: Bỏ "Điểm thấy hơi tiếc là không có nhiều sauce đi kèm lắm" nội dung này sẽ làm hạn chế nhu cầu khách hàng. Có thể giữ idea "mua gà về rồi tự chế sauce ăn kèm" để mang tính sáng tạo</t>
  </si>
  <si>
    <t>https://drive.google.com/file/d/1VYvbOQfbuMKOKGFAvVH6GgciZr8rN3NX/view?usp=drivesdk</t>
  </si>
  <si>
    <t xml:space="preserve"> muốn ăn gà rán ngon, giá HSSV, 
đa dạng lựa chọn thì ghé Five Star</t>
  </si>
  <si>
    <t>Đổi thành giá siêu hời / giá dễ tiếp cận</t>
  </si>
  <si>
    <t xml:space="preserve"> muốn ăn gà rán ngon, giá siêu hời, 
đa dạng lựa chọn thì ghé Five Star</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</si>
  <si>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</si>
  <si>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Ngày Quay: "20/5 (19h)
3) basic shop Thị Thắm: Viết Xuân - Hà Đông hà nội
https://fivestarnearyou.cp.com.vn/?Longtitude=105.7684087&amp;Latitude=20.9698673"</t>
  </si>
  <si>
    <t>https://docs.google.com/spreadsheets/d/1qrkChaVikylLImYDjoO9c9LJguLywYjcZlrLUc7Q0hI/edit?gid=0#gid=0</t>
  </si>
  <si>
    <t>Add thêm ý về chất lượng sản phẩm &gt; tươi ngon, k bị bở, miếng nào chắc miếng đó, v.v</t>
  </si>
  <si>
    <t>https://docs.google.com/spreadsheets/d/1qrkChaVikylLImYDjoO9c9LJguLywYjcZlrLUc7Q0hI/edit?gid=1924183939#gid=1924183939</t>
  </si>
  <si>
    <t>Trang phục ok 
Script ok nhé</t>
  </si>
  <si>
    <t>https://drive.google.com/file/d/1kQpIV8620mDHm-rlSMxU6fggdmfaQJjL/view?usp=drivesdk</t>
  </si>
  <si>
    <t>Đoạn đầu VO chưa match với scene
Highlight thêm 1 số món xiên que như chả giò gai jor, hotdog xúc xích phô mai tẩm khoai tây, v.v.
Cho màu các món tươi hơn</t>
  </si>
  <si>
    <t>https://drive.google.com/file/d/1z8o7htdhrZZ_rAseU7a6rqR9Js2gAuoM/view?usp=drivesdk</t>
  </si>
  <si>
    <t xml:space="preserve">0:03: bị cắt mất địa chỉ
0:34: ""hotdog tẩm khoai tây"" -&gt; sửa hotdog xúc xích phô mai tẩm khoai tây
chỉnh thêm cho clip sáng chút - màu ok </t>
  </si>
  <si>
    <t>cap:Five Star - địa điểm mà tui luôn ghé khi chưa biết ăn gì</t>
  </si>
  <si>
    <t>ok</t>
  </si>
  <si>
    <t>13/6</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</si>
  <si>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</si>
  <si>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16/05 - 16h00
Số 67 Đường 9, phường Trường Thọ, TP. Thủ Đức, TP. HCM</t>
  </si>
  <si>
    <t>- Bổ sung thêm context ở khúc đầu để rõ ý với tạo sự quen thuộc hơn &gt; đón bé từ trường học về 
- Thêm góc nhìn của bé &gt; ý kiến của bé về món ăn, reaction khi ăn &gt; bé yêu thích như thế nào
- Có thể bổ sung thêm yếu tố đa dạng, nhiều món từ ăn no tới ăn vặt
- CTA chưa hấp dẫn&gt; có thể chỉnh theo hướng "Muốn ăn nhanh, tiện mà vẫn ngon miệng thì Five Star là một option khá đáng thử" hoặc là "Hôm nào muốn đổi bữa cho đỡ ngán cơm nhà mà ko phải đi xa, thử dẫn bé ghé Five Star ăn nhanh một bữa nóng giòn nhé!"</t>
  </si>
  <si>
    <t>https://docs.google.com/spreadsheets/d/1xQ1mD1D5YIQbOnp-TcVfi31RHqUWCR8Z0vOrkp-JFkc/edit?gid=1550874505#gid=1550874505</t>
  </si>
  <si>
    <r>
      <rPr>
        <rFont val="Be Vietnam Pro"/>
        <color theme="1"/>
        <sz val="11.0"/>
      </rPr>
      <t xml:space="preserve">Remove từ kiosk
Remove từ "rẻ"
</t>
    </r>
    <r>
      <rPr>
        <rFont val="Be Vietnam Pro"/>
        <b/>
        <color theme="1"/>
        <sz val="11.0"/>
      </rPr>
      <t>Ko cần gắn địa chỉ lên video, add website CH fivestarnearyou.cp.com.vn ở phần comment</t>
    </r>
  </si>
  <si>
    <t>https://drive.google.com/file/d/1x8QOtbLWnADBcJywmLn0W5ait-HDHlKo/view</t>
  </si>
  <si>
    <t xml:space="preserve">Frame 1 chưa theo sát script
Remove đoạn dưới 300k &gt; ko nhắc về giá rẻ
Remove địa chỉ cuối clip &gt; kêu gọi tới website
Add text / hoặc thêm review ngắn các món xiên que, nêu tên cụ thể như hotdog xúc xích phô mai tẩm khoai tây, chả giò gai jor, gà nugget ngôi sao
Màu clip tổng thể hơi tối &gt; cho sáng lên
</t>
  </si>
  <si>
    <t>https://drive.google.com/file/d/1keeYRqLAubhlGzyjqcHeWfszahdAURLY/view?usp=sharing</t>
  </si>
  <si>
    <t>Frame 1 chưa theo sát script
0:20 - cho clip chậm lại chút để đọc text
CTA thêm ghé tiệm five star gần nhà
Leo's comment:
0:16 - 0:18: Màu dầu hơi tối, chỉnh màu sáng hơn (trong trường hợp chỉnh sáng không được thì remove đoạn này)
0:40: Thoại của nhân vật con gái nói nhanh và âm thanh hơi chói, khó nghe. Nói chậm và rõ ý lại</t>
  </si>
  <si>
    <t>Five Star.mp4</t>
  </si>
  <si>
    <t>Đã revise text pop up -&gt; Confirm</t>
  </si>
  <si>
    <t>"Món yêu thích của e bé nhà Mây là gà Fivestar đó cả nhà ơi
#FiveStarVietnam #GaDau"</t>
  </si>
  <si>
    <r>
      <rPr>
        <rFont val="Be Vietnam Pro"/>
        <color theme="1"/>
      </rPr>
      <t xml:space="preserve">ok
</t>
    </r>
    <r>
      <rPr>
        <rFont val="Be Vietnam Pro"/>
        <b/>
        <color theme="1"/>
      </rPr>
      <t>Leo: Hashtag - #FiveStarVietnam #GaDau #GaRan</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</si>
  <si>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</si>
  <si>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17h thứ 2 18/2 HN nha
"Ngãi cầu Hà Nội</t>
  </si>
  <si>
    <t>- Review thêm hương vị các món xiên que (nóng hổi, thơm ngon, v.v.)
- Add thêm tiếng cắn gà / tiếng ăn các món cho thêm hấp dẫn
- Add thêm địa chỉ Five Star</t>
  </si>
  <si>
    <t>https://docs.google.com/spreadsheets/d/1fpgklNz15kb8DM2y7cMvWmIrrpZJ52PQO1AcoqBHmEA/edit?gid=335140389#gid=335140389</t>
  </si>
  <si>
    <r>
      <rPr>
        <rFont val="Be Vietnam Pro"/>
        <color theme="1"/>
        <sz val="11.0"/>
      </rPr>
      <t xml:space="preserve">Trang phục ok
Script ok 
</t>
    </r>
    <r>
      <rPr>
        <rFont val="Be Vietnam Pro"/>
        <b/>
        <color theme="1"/>
        <sz val="11.0"/>
      </rPr>
      <t>Thêm CTA: "Xem Store gần nhất bên dưới phần comment" + Cmt link web</t>
    </r>
  </si>
  <si>
    <t>https://drive.google.com/file/d/1Vo1WLNbMtD_wKSf6FcK2245x0oUL2Au6/view?usp=drivesdk</t>
  </si>
  <si>
    <t>0:22 - giấy trên bàn &gt; làm mờ đi vì làm hình tổng thể ko đẹp mắt
Màu sắc đồ ăn cho tươi hơn, sáng hơn
liệt kê các món xiên que &gt; sử dụng đúng tên món như chả giò gai jor, hotdog xúc xích phô mai, v.v.
Leo's comment:
Mở bài hơi dài, tốn 18 giây (chiếm 38%) thời lượng clip =&gt; Cắt ngắn lại, giới thiệu về brand, về sản phẩm nhiều hơn
0:20 - 0:30: Nên thêm text tên món</t>
  </si>
  <si>
    <t>https://drive.google.com/file/d/1eF6shCgyyvjXuLPZACynSS5SwkfR5qDC/view?usp=drivesdk</t>
  </si>
  <si>
    <t xml:space="preserve">Thiếu CTA cuối clip
0:11 - clip hơi mờ &gt; làm cho nét sharpen, rõ hơn
0:22 - sai tên món &gt; đùi gà góc tư
Leo's commet:
0:18: Vẫn còn "K" phải đợi </t>
  </si>
  <si>
    <t>"Tan ca mà lười nấu ăn, thì Phương hay đến Fivestar để ăn nè. Nhanh tiện, mà giá cả quá ư là hợp lí nữa! 
#FiveStarVietnam #GaDau"</t>
  </si>
  <si>
    <t>Caption ko hấp dẫn, chưa highlight dc vị ngon / điểm làm FS đặc biệt &gt; nhanh, tiện, hợp vệ sinh là điều cơ bản hệ thống fastfood nào cũng phải có</t>
  </si>
  <si>
    <t>"""Tan ca mà lười nấu ăn, thì Phương hay đến Fivestar để ăn nè. Nhanh tiện, mà giá cả quá ư là hợp lí nữa! 
#FiveStarVietnam #GaDau"""</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</si>
  <si>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</si>
  <si>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14/5 - 12h00
PREAMIUM KIOSK 4*3 - HKD PHAN TẤN TÀI  -  223 Ấp 2, xã Bình Chánh, TP HCM</t>
  </si>
  <si>
    <t>- Thay vì rủ bạn NV chính đi bằng cách nói đi cái này hay nè &gt; chỉnh thành hướng tạo cảm giác “Five Star là chỗ quen thuộc nhưng lúc nào cũng thấy thích ghé”, để tăng sự yêu thích và cảm giác đặc biệt hơn với brand. Ví dụ như : “Đi Five Star hông, lâu rồi chưa ăn lại mà tự nhiên nhớ.”, “Không biết ăn gì là auto nghĩ tới Five Star luôn á.”, “Em biết chỗ này nè, mỗi lần bí kèo ăn là lại muốn ghé.”
- Review thêm về độ phủ của Five Star (ở nhiều nơi, nhất là mấy khu dân cư / trường học &gt; tùy theo quan sát của bạn KOC)
- Review thêm hương vị của các món xiên que hoặc về độ nóng, độ giòn, độ juicy / dai ngon ăn kèm sốt thì ntn
- Add thêm địa chỉ Five Star</t>
  </si>
  <si>
    <t>https://docs.google.com/spreadsheets/d/1Zs-sbAumg9ydXNKSreenvInyRfXK3lg9oVTB-V7R3bY/edit?gid=137961595#gid=137961595</t>
  </si>
  <si>
    <r>
      <rPr>
        <rFont val="Be Vietnam Pro"/>
        <color theme="1"/>
        <sz val="11.0"/>
      </rPr>
      <t xml:space="preserve">Trang phục chọn màu sắc tươi năng động hơn
Remove từ kiosk
Còn lại ok 
</t>
    </r>
    <r>
      <rPr>
        <rFont val="Be Vietnam Pro"/>
        <b/>
        <color theme="1"/>
        <sz val="11.0"/>
      </rPr>
      <t>Thêm CTA: "Xem Store gần nhất bên dưới phần comment" + Cmt link web</t>
    </r>
  </si>
  <si>
    <t>Bỏ địa chỉ
Xiên que, highlight text thêm các món đặc biệt / lạ như chả giò gai jor (bạn nữ có ăn) 0:41, hotdog xúc xích phô mai tẩm khoai tây 0:43
Đoạn show đồ ăn 0:30s trở đi &gt; cho màu sắc tươi hơn và sáng hơn</t>
  </si>
  <si>
    <t>https://drive.google.com/file/d/18El277CcGBgrfq_x9z3o9IyPtWrXKCY4/view?usp=drivesdk</t>
  </si>
  <si>
    <t>Leo's comment:
0:45: "Phần da tẩm vị hơi đậm" nghe như là chê mặn hơn là khen sự đậm đà =&gt; Đổi "Phần da tẩm vị đậm đà"</t>
  </si>
  <si>
    <t>https://drive.google.com/file/d/126XMma-dkzPcV3-Uut9x2qxhXLqiFHIR/view?usp=drivesdk</t>
  </si>
  <si>
    <t>Confirm (Add CTA / share địa chỉ Five Star)</t>
  </si>
  <si>
    <t>"Mấy ngày công việc nhiều, không biết ăn gì thì Fivestar là món ngon mà 2 vợ chồng mình chọn
#FiveStarVietnam #GaDau"</t>
  </si>
  <si>
    <t>Leo: Ok</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</si>
  <si>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</si>
  <si>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T2 18/05 15h
BASIC SHOP -  Nguyễn Thị Thuận - Số 67 Đường 9, phường Trường Thọ, TP. Thủ Đức, TP. HCM</t>
  </si>
  <si>
    <t>- Khi nói về mọng nước, có thể quay cận cảnh miếng gà
- Nên có khúc trả lời cho câu "Hôm nay mình ăn thử lại xem còn ngon như trong trí nhớ không nha."
- Add thêm địa chỉ Five Star</t>
  </si>
  <si>
    <t>https://docs.google.com/spreadsheets/d/191E4WQVYqKQGCKUc6VNpr6XcIAnFaPVzZakBmOWs_dE/edit?gid=476608211#gid=476608211</t>
  </si>
  <si>
    <r>
      <rPr>
        <rFont val="Be Vietnam Pro"/>
        <color theme="1"/>
        <sz val="11.0"/>
      </rPr>
      <t>Remove từ Kiosk
Còn lại ok</t>
    </r>
    <r>
      <rPr>
        <rFont val="Be Vietnam Pro"/>
        <b/>
        <color theme="1"/>
        <sz val="11.0"/>
      </rPr>
      <t>, Thêm CTA: "Xem Store gần nhất bên dưới phần comment" + Cmt link web</t>
    </r>
  </si>
  <si>
    <t>https://drive.google.com/drive/folders/10RsGeU0svEawSYop60YVJ8WO2n4-KhtB</t>
  </si>
  <si>
    <r>
      <rPr>
        <rFont val="Be Vietnam Pro"/>
        <color theme="1"/>
        <sz val="11.0"/>
      </rPr>
      <t xml:space="preserve">- Đoạn đầu đang khác script "" kiểu đang không biết ăn gì mà cứ đi ngang thấy Five Star là tự động tấp vô""
- Âm thanh đang chưa ổn định, lúc to lúc nhỏ 
- Có thể treat text theo kiểu khác thay vì pop up từng chữ
"- Ko để địa chỉ, chỉ share phần link địa chỉ ở comment
- Giọng VO khó nghe, như có tiếng ồn giọng hơi nghẹt
- Cho tiếng rán to hơn
1:20 - tên món là: HOTDOG XÚC XÍCH PHÔ MAI TẨM KHOAI TÂY"
</t>
    </r>
    <r>
      <rPr>
        <rFont val="Be Vietnam Pro"/>
        <b/>
        <color theme="1"/>
        <sz val="11.0"/>
      </rPr>
      <t xml:space="preserve">Nhi's comment:
</t>
    </r>
    <r>
      <rPr>
        <rFont val="Be Vietnam Pro"/>
        <color theme="1"/>
        <sz val="11.0"/>
      </rPr>
      <t xml:space="preserve">- 1:59: sai lỗi chính tả "recommend"
- Voice chưa trôi chảy, nhiều từ "kiểu như là", à ờ hơi nhiều
</t>
    </r>
    <r>
      <rPr>
        <rFont val="Be Vietnam Pro"/>
        <b/>
        <color theme="1"/>
        <sz val="11.0"/>
      </rPr>
      <t xml:space="preserve">Leo's comment:
</t>
    </r>
    <r>
      <rPr>
        <rFont val="Be Vietnam Pro"/>
        <color theme="1"/>
        <sz val="11.0"/>
      </rPr>
      <t>- Nguyên video chỗ nào có hiệu ứng text bay phấp phới thì bỏ hết
- 00:22: Bỏ "đông đông vui vui" cảnh trước vắng cảnh sau nói đông vui không khớp
- 00:28: Bỏ source nhún nhảy + vuốt tóc bấm điện thoại, giữ thông tin chờ món nhanh ... thay bằng source hình khác
- 00:34: Nghe tiếng xèo xèo nên đi kèm với source chiên gà. Thích lớp da vàng giòn nên đi kèm với source cầm miếng gà. Hiện tại tiếng và hình đang lệch nhau (cảm giác tiếng đi trước, hình theo sau) 
- 00:41: Giọng nghẹt nghe không rõ, "không có bị khô" dễ nghe thành "không có bị hôi" =&gt; fix âm thanh
- 00:43: Nhìn "miếng gà thấy tan trong miệng luôn" nghe kì, không tạo cảm giác giòn, đổi thành "nhìn miếng gà màu vàng ươm sau khi mới chiên, cảm giác sẽ giòn rụm khi nhai luôn á"
- 00:53: "Ở đây là một cái thức ăn nhanh, ăn xong thấy khá chất lượng luôn" &gt; chỉnh lại "Đây là chuỗi thức ăn nhanh có gà rán và nhiều món nữa, mà nãy giờ ăn tui thấy chất lượng khá là tốt luôn"
- 01:03: Remove source cầm dĩa gà khá trống nhưng lại nói đầy đặn, nghe hơi miễn cưỡng. "Giá phù hợp cho một (phần/người)? =&gt; Edit lỗi, fix. 
- 02:01: Bỏ "ăn mấy món này về tập thể dục đã luôn" 
- 02:09: Bỏ " FS lúc nào cũng có người đứng ăn". Bỏ "tiêu chí thứ nhất" vì sau khi liệt kê cũng không có thêm tiêu chí 2 và 3 nên không cần thiết</t>
    </r>
  </si>
  <si>
    <t>FIVE STAR - Chu Cao Food</t>
  </si>
  <si>
    <t xml:space="preserve">Tiếng hơi lớn hơi bị ồm
0:33 &amp; 1:27  - lúc bạn nói chưa match với VO
</t>
  </si>
  <si>
    <t>https://drive.google.com/file/d/1Ee_jefL9ivLqDX_6vK1glOjjKN7Q7wHX/view?usp=drivesdk</t>
  </si>
  <si>
    <r>
      <rPr>
        <rFont val="Be Vietnam Pro"/>
        <color theme="1"/>
        <sz val="11.0"/>
      </rPr>
      <t>Nhiều chỗ VO ko khớp &gt; có thể thay scene cho phù hợp
Giảm bớt độ lớn của VO
Leo's comment: Tiếng hơi rè, không khớp hình. 0:30 - 0:36 nói cái gì không hiểu, lặp từ "đặc biệt", "bị hôi" là sao? 
1:02 - 1:05  "chả cá hàn quốc,</t>
    </r>
    <r>
      <rPr>
        <rFont val="Be Vietnam Pro"/>
        <i/>
        <color theme="1"/>
        <sz val="11.0"/>
      </rPr>
      <t xml:space="preserve"> </t>
    </r>
    <r>
      <rPr>
        <rFont val="Be Vietnam Pro"/>
        <b/>
        <i/>
        <color theme="1"/>
        <sz val="11.0"/>
      </rPr>
      <t>dog</t>
    </r>
    <r>
      <rPr>
        <rFont val="Be Vietnam Pro"/>
        <color theme="1"/>
        <sz val="11.0"/>
      </rPr>
      <t>, xúc xích đức,</t>
    </r>
    <r>
      <rPr>
        <rFont val="Be Vietnam Pro"/>
        <i/>
        <color theme="1"/>
        <sz val="11.0"/>
      </rPr>
      <t xml:space="preserve"> </t>
    </r>
    <r>
      <rPr>
        <rFont val="Be Vietnam Pro"/>
        <b/>
        <i/>
        <color theme="1"/>
        <sz val="11.0"/>
      </rPr>
      <t>hô</t>
    </r>
    <r>
      <rPr>
        <rFont val="Be Vietnam Pro"/>
        <b/>
        <color theme="1"/>
        <sz val="11.0"/>
      </rPr>
      <t xml:space="preserve"> </t>
    </r>
    <r>
      <rPr>
        <rFont val="Be Vietnam Pro"/>
        <color theme="1"/>
        <sz val="11.0"/>
      </rPr>
      <t>mai..." ???? Không thể hiểu được đang lồng nội dung gì</t>
    </r>
  </si>
  <si>
    <t>Nếu hôm nay chưa biết ăn gì thì thử tự thưởng cho mình 1 phần gà Five Star nha 😭🍗 #FiveStarVietnam #GaDau</t>
  </si>
  <si>
    <t xml:space="preserve">Có clip chưa ha?
Về caption - Five Star ko chỉ có gà &gt; highlight là Gà &amp; các món ăn vặt - ăn no </t>
  </si>
  <si>
    <t>"Tui muốn ăn gà, mà người iu tui muốn ăn xiên que. Hổng sợ tranh nhau nữa vì tui đã có Fivestar, đa dạng món ăn mà ngon bổ rẻ
#FiveStarVietnam #GaDau"</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</si>
  <si>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</si>
  <si>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13h00 15/5, thứ 6
BASIC SHOP - Nguyễn Thị Thuận - Số 67 Đường 9, phường Trường Thọ, TP. Thủ Đức, TP. HCM</t>
  </si>
  <si>
    <t>- Bổ sung thêm context hoặc cảm xúc cá nhân / đặc điểm unique mà bạn thấy Fivestar có mà chỗ khác chưa có để tạo sự khác biệt, gần gũi và đáng nhớ cho ng xem hơn</t>
  </si>
  <si>
    <t>https://docs.google.com/spreadsheets/d/14zMYJFq84bLogXppl5iBijvsYFm90xU8MuxJDdbrRZ4/edit?gid=1983410445#gid=1983410445</t>
  </si>
  <si>
    <r>
      <rPr>
        <rFont val="Be Vietnam Pro"/>
        <b/>
        <color theme="1"/>
        <sz val="11.0"/>
      </rPr>
      <t xml:space="preserve">Thêm CTA: "Xem Store gần nhất bên dưới phần comment" + Cmt link web
</t>
    </r>
    <r>
      <rPr>
        <rFont val="Be Vietnam Pro"/>
        <color theme="1"/>
        <sz val="11.0"/>
      </rPr>
      <t xml:space="preserve">Script và trang phục ok </t>
    </r>
  </si>
  <si>
    <t>https://drive.google.com/file/d/19qrXjrJe-qlyzar7iRfiheO-QPwlJR4O/view?usp=drive_link</t>
  </si>
  <si>
    <t>Màu các món hơi tối, chưa dc tươi
Bỏ chỉ có 9k, chỉ có 10k, chưa tới 300 &gt; ko highlight việc rẻ, có thể nói giá hời (theo script)
Five star chicken &gt; remove chữ chicken, font chữ đang để shading đen làm che món ăn
Remove địa chỉ</t>
  </si>
  <si>
    <t>https://drive.google.com/file/d/18J0RawbXOkA9mYVVANfpCAohF9Hrz5TD/view?usp=drivesdk</t>
  </si>
  <si>
    <t>0:39 - 0:43: nói tên các món xiên que + chèn thêm text
Leo's comment:
0:32 - 0:33: Remove, nhìn phần thịt và xương không đủ juicy, không tạo cảm giác mềm mọng</t>
  </si>
  <si>
    <t>https://drive.google.com/file/d/1F0SA7JeRx1EqdmlRkFGSBF_SaabxMNu8/view?usp=drivesdk</t>
  </si>
  <si>
    <t xml:space="preserve">Mỗi lần thèm đồ chiên là trong đầu chỉ hiện lên Five Star thôi á 🍗✨ #FiveStarVietnam #GaDau
</t>
  </si>
  <si>
    <t>Ok</t>
  </si>
  <si>
    <t>https://vt.tiktok.com/ZSQJJgvLk/</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</si>
  <si>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</si>
  <si>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r>
      <rPr>
        <rFont val="Be Vietnam Pro"/>
        <b/>
        <color theme="1"/>
        <sz val="11.0"/>
      </rPr>
      <t xml:space="preserve">Thời gian: 13/5 - 11h00
</t>
    </r>
    <r>
      <rPr>
        <rFont val="Be Vietnam Pro"/>
        <color theme="1"/>
        <sz val="11.0"/>
      </rPr>
      <t xml:space="preserve">
7. OUTLET - HKD GÀ RÁN FIVE STAR THU HÀ - 37/3 Huỳnh Tấn Phát, Xã Nhà Bè, TPHCM</t>
    </r>
  </si>
  <si>
    <t>https://docs.google.com/spreadsheets/d/1hY2b8b5_EtKYxGXaNgirKjOArXXbMdXlIgAe3-7WkNw/edit?gid=0#gid=0</t>
  </si>
  <si>
    <t>Trang phục năng động hơn, màu tươi hơn
- Idea opening về việc từng thấy kiosk Five Star ở Thái ok, 
- Đoạn nói về “gà rán Thái Lan” hơi chưa thực tế vì thực ra trải nghiệm khác biệt giữa Thái và Việt Nam chủ yếu nằm ở phần sốt/vị địa phương hóa hơn là bản thân món gà.
- Đoạn “không biết ở Việt Nam cũng có Five Star” đang chưa tự nhiên và thiếu hợp lý. Có thể chỉnh theo hướng cảm giác bất ngờ vì gặp lại brand từng thấy ở VN ngay tại Thái Lan &gt; nên giờ muốn thử để xem có giống vị ko.
- Chỉnh lại "Five Star là thương hiệu thức ăn nhanh đến từ Thái Lan với hơn 5000 điểm bán, thuộc tập đoàn CP Việt Nam" &gt; Five Star là thương hiệu thức ăn nhanh đến từ tập đoàn CP của Thái Lan với gần 1000 điểm bán.</t>
  </si>
  <si>
    <r>
      <rPr>
        <rFont val="Be Vietnam Pro"/>
        <color theme="1"/>
        <sz val="11.0"/>
      </rPr>
      <t xml:space="preserve">"Remove từ khóa ""bình dân""
Còn lại ok
</t>
    </r>
    <r>
      <rPr>
        <rFont val="Be Vietnam Pro"/>
        <b/>
        <color theme="1"/>
        <sz val="11.0"/>
      </rPr>
      <t>Thêm CTA: "Xem Store gần nhất bên dưới phần comment" + Cmt link web</t>
    </r>
  </si>
  <si>
    <t>https://drive.google.com/file/d/1wQIqstwbnbealKyyFsN0sumUkzSEeYAn/view?usp=drivesdk</t>
  </si>
  <si>
    <t>0:51 - Remove keyword "Giá cả bình dân" hoặc thay bằng "giá cả hợp lý" 
Remove đoạn chỉ từ 10-25k luôn
Khi liệt kê các món xiên que &gt; bên cạnh bò viên, cá viên thì đặc biệt còn có các món chả giò Gai Jor, Chả cá hàn quốc chiên</t>
  </si>
  <si>
    <t>https://drive.google.com/file/d/1KeJ_kihAFCrhD7fNant8IKnYB43OjuCU/view?usp=drivesdk</t>
  </si>
  <si>
    <t xml:space="preserve">đoạn này bạn chưa sửa: chả giò Gai Jor, Chả cá hàn quốc chiên, xúc xích sumo
Mấy đoạn bạn cầm hộp thức ăn màu bị lạnh, chưa tươi
</t>
  </si>
  <si>
    <t>https://drive.google.com/file/d/16bpYZ2ZbxWQPkEa828FQZyQTt6JkgZ9U/view?usp=drivesdk</t>
  </si>
  <si>
    <t>Thử gà rán Fivestar chưa mấy bà?</t>
  </si>
  <si>
    <t>https://www.tiktok.com/@vuvicungyuhi/video/7645645226396241160?is_from_webapp=1&amp;sender_device=pc&amp;web_id=7637478982196135431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</si>
  <si>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</si>
  <si>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Thời gian quay: 14/5 - 10h00
MINI SHOP - Five Star Mega Q12 - Số 2 đường Trương Thị Hoa, KP 4A, Tân Thới Hiệp, TPHCM</t>
  </si>
  <si>
    <t>https://docs.google.com/spreadsheets/d/1ElUYUftJAo28QUTzMDf6W8D9d5rKU9kobs52VaXPhHo/edit?gid=0#gid=0</t>
  </si>
  <si>
    <t>- Đổi màu áo vàng hoặc đỏ nha
- Giá mềm &gt; đổi hết thành giá hợp lý hoặc chất lượng so với giá
- Nếu được có thể bổ sung thêm vài tình huống/thời điểm cụ thể để gợi mở nhu cầu ăn một cách tự nhiên hơn, giúp Five Star xuất hiện như lựa chọn quen thuộc trong nhiều khoảnh khắc hằng ngày.
- Add địa chỉ FS bạn ghé</t>
  </si>
  <si>
    <t>https://docs.google.com/spreadsheets/d/1ElUYUftJAo28QUTzMDf6W8D9d5rKU9kobs52VaXPhHo/edit?gid=409127678#gid=409127678</t>
  </si>
  <si>
    <r>
      <rPr>
        <rFont val="Be Vietnam Pro"/>
        <color theme="1"/>
        <sz val="11.0"/>
      </rPr>
      <t xml:space="preserve">Script và trang phục ok 
</t>
    </r>
    <r>
      <rPr>
        <rFont val="Be Vietnam Pro"/>
        <b/>
        <color theme="1"/>
        <sz val="11.0"/>
      </rPr>
      <t>Thêm CTA: "Xem Store gần nhất bên dưới phần comment" + Cmt link web</t>
    </r>
  </si>
  <si>
    <t>https://drive.google.com/file/d/1_ZH_c0Qo6GswWsr-zONSIpj6y2RG5PCK/view?usp=drivesdk</t>
  </si>
  <si>
    <t>Spaghetty &gt; sai chính tả &gt; spaghetti
0:01 &gt; làm blur cái túi màu vàng trên tủ &gt; che cái túi này trong mọi frame xuất hiện
Bỏ giá
Xúc xích sumo
0:09 Chả giò Gai Jor &gt; ko phải chả giò xiên que
0:10 Hotdog xúc xích phô mai tẩm khoai tây
Gà nugget hình ngôi sao
Màu hơi ám xanh, màu sắc chưa tươi
Xúc xích vs phô mai que &gt; cũng cũng chưa đặc biệt &gt; có thể remove cảnh này luôn nếu bạn thấy ko ngon</t>
  </si>
  <si>
    <t>https://drive.google.com/file/d/1LNhGaEE6QISIynkDb-q-U5JMbX22yDom/view?usp=drivesdk</t>
  </si>
  <si>
    <t xml:space="preserve">1:05 - sai VO &gt; chả giò xiên que &gt; chả giò gai jor
Leo's comment:
0:07: Sai tên xúc xích =&gt; Đổi thành "Xúc xích Horapa" 
0:09: Sai tên =&gt; Đổi thành "Xúc xích hotdog phô mai tẩm khoai tây"
0:07 - 0:12: Tạp âm =&gt; Fix âm thanh
0:13 - 0:16: Remove, không quay cho pepsi </t>
  </si>
  <si>
    <t>https://drive.google.com/file/d/1f8AMm7IEJ9TmpSEhkx8Wh6bMl_R-maIr/view?usp=drivesdk</t>
  </si>
  <si>
    <t>Lần đầu ăn thử Five Star ??</t>
  </si>
  <si>
    <t>Ok nh chưa có cllip final</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</si>
  <si>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</si>
  <si>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- 11-12h ngày 14/5
- MINI SHOP - Five Star Mega Q12 - Số 2 đường Trương Thị Hoa, KP 4A, Tân Thới Hiệp, TPHCM</t>
  </si>
  <si>
    <t xml:space="preserve">- Khi nói về giá dễ chịu, nhắc kèm với chất lượng món. Ví dụ: Khẩu phần / chất lượng thơm ngon an toàn 
- CTA ghé Five Star + add địa chỉ
- Trang phục ok </t>
  </si>
  <si>
    <t>https://docs.google.com/spreadsheets/d/1sFqEAfN8N0lcOoXThx0t58Z8JdMal5nNG1sEjaYr_5A/edit?gid=1560319503#gid=1560319503</t>
  </si>
  <si>
    <t xml:space="preserve">Script ok </t>
  </si>
  <si>
    <t xml:space="preserve">DEMO 
</t>
  </si>
  <si>
    <t>Khúc cuối thiếu CTA
Remove đoạn "chỉ hơn 200k", chỉ cần highlight giá hợp lý chất lượng món ăn  &gt; đoạn này ko có trong script
Món ăn cho màu tươi hơn, khúc gần kính bị ám xanh</t>
  </si>
  <si>
    <t>có thể thêm text - Chicken nugget hình ngôi sao
Nhi's comment 
0:37 - Lúc này hành động đang là xé miếng gà thì nên nhắc đến "gà giòn rụm, bên trong mọng nước" sẽ hợp lý hơn 
còn lại ok</t>
  </si>
  <si>
    <t>Revised R2.mp4</t>
  </si>
  <si>
    <t xml:space="preserve">CAPTION: Đồ ăn ngon sẽ làm mọi người có mood lại </t>
  </si>
  <si>
    <t>https://www.tiktok.com/@vieinhcm/video/7644541637095443720?_r=1&amp;_t=ZS-96iB9ChjAgv</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</si>
  <si>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</si>
  <si>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r>
      <rPr>
        <rFont val="Be Vietnam Pro"/>
        <sz val="11.0"/>
      </rPr>
      <t xml:space="preserve">11h30 ngày 19/5
1) shop Five star ngãi cầu: Ngã 3 ngãi cầu - an khánh- Hà Nội
</t>
    </r>
    <r>
      <rPr>
        <rFont val="Be Vietnam Pro"/>
        <color rgb="FF1155CC"/>
        <sz val="11.0"/>
        <u/>
      </rPr>
      <t>https://fivestarnearyou.cp.com.vn/?Longtitude=105.72529189288616&amp;Latitude=20.990128247353965</t>
    </r>
  </si>
  <si>
    <t>- Không dùng từ rẻ &gt; giá hợp lý, mềm, dễ chịu
- CTA khúc cuối &gt; bổ sung ý như đoạn opening là kêu gọi ghé khi bận bù đầu mà vẫn muốn ăn gì ngon tiện nhanh</t>
  </si>
  <si>
    <t>https://docs.google.com/spreadsheets/d/1v_4l8kffwO5HDSDp9f0NMZ20h7cM9EQfqTMr2OwgAO4/edit?gid=544064614#gid=544064614</t>
  </si>
  <si>
    <r>
      <rPr>
        <rFont val="Be Vietnam Pro"/>
        <color theme="1"/>
        <sz val="11.0"/>
      </rPr>
      <t xml:space="preserve">Script &amp; trang phục ok
</t>
    </r>
    <r>
      <rPr>
        <rFont val="Be Vietnam Pro"/>
        <b/>
        <color theme="1"/>
        <sz val="11.0"/>
      </rPr>
      <t>Thêm CTA: "Xem Store gần nhất bên dưới phần comment" + Cmt link web</t>
    </r>
  </si>
  <si>
    <t>https://drive.google.com/drive/folders/17OaMFofAT9QZKayRtDBwvKrEDFY0qFNi</t>
  </si>
  <si>
    <t xml:space="preserve">Bỏ hình con gà ở trên Five Star
0:19, đằng sau dây điện lòng thòng hơi khó coi &gt; có cách nào làm mờ đi ko 
cho màu đồ ăn sáng hơn
0:33 Bỏ chữ product hook_xiên que (trong VO và text) 
CTA dẫn đến các quán Five Star gần đó
Leo's comment:
0:20 - 0:23: Kéo sáng, bàn ăn nhìn tối
</t>
  </si>
  <si>
    <t>Five Star( dương bảo anh)</t>
  </si>
  <si>
    <t>0:19 - vẫn có dây điện lòng thòng ở sau &gt; làm mờ còn lại ok
Leo's comment:
- 0:10: Thay giúp bằng hiệu ứng làm mờ hoặc hình chữ nhật trắng để che hẵn, đang bôi bằng tay nhìn hơi nham nhở</t>
  </si>
  <si>
    <t>Đồ ăn nhanh nhưng trải nghiệm thì không hề “qua loa” nha mí mom ơi 😭🍗 #FiveStarVietnam #GaDau</t>
  </si>
  <si>
    <t>Caption Ok</t>
  </si>
  <si>
    <t>16/6</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</si>
  <si>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</si>
  <si>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 xml:space="preserve">18/5 - 11h45 - Hà Nội cô Sâu thích đi chơ
4) outlet CN Phố xóm Yên Nghĩa 
 </t>
  </si>
  <si>
    <t xml:space="preserve">Ko dùng từ khóa rẻ, ko đắt &gt; đổi thành "giá mềm, dễ chịu, giá hời"
Highlight thêm về chất lượng &gt; tươi ngon, khẩu phần hay miếng gà chất lượng,v.v.
Trang phục ok </t>
  </si>
  <si>
    <t>Thêm CTA: "Xem Store gần nhất bên dưới phần comment" + Cmt link web</t>
  </si>
  <si>
    <t>https://drive.google.com/drive/folders/1YndvQ1ScckTHVKucJFIX6S6MjM8RgtrG</t>
  </si>
  <si>
    <t>Màu hơi lạnh &gt; cho tươi hơn
khúc 0:41 &gt; tiếng cắn giòn ko khớp với hình
0:57 - chả giò gai jor
0:58 - gà nướng - đùi góc tư
0:58 - hot dog xúc xích phô mai tẩm khoai tây</t>
  </si>
  <si>
    <t>Ăn thử một lần là hiểu vì sao tui recommend Five Star hoài 😭 #FiveStarVietnam #GaDau</t>
  </si>
  <si>
    <t>https://www.tiktok.com/@vunguyetthu/video/7647513882709314834</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</si>
  <si>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</si>
  <si>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Thời gian: 15/5 - 12h00
3) basic shop Thị Thắm: Viết Xuân - Hà Đông hà nội</t>
  </si>
  <si>
    <t>https://docs.google.com/spreadsheets/d/1-Tou9o64WjWdG5dHbESWyKyghnsgtgjtYtvRWVBT8eM/edit?gid=0#gid=0</t>
  </si>
  <si>
    <t>- Bổ sung thêm tình huống hoặc thời điểm hoặc lý do để thuyết phục người xem ghé Five Star. Ví dụ như: những hôm thèm gà ngang mà ko biết đi đâu, down mood, v.v.</t>
  </si>
  <si>
    <t>https://docs.google.com/spreadsheets/d/1-Tou9o64WjWdG5dHbESWyKyghnsgtgjtYtvRWVBT8eM/edit?gid=1629455125#gid=1629455125</t>
  </si>
  <si>
    <r>
      <rPr>
        <rFont val="Be Vietnam Pro"/>
        <color theme="1"/>
        <sz val="11.0"/>
      </rPr>
      <t xml:space="preserve">Remove từ kiosk
Còn lại ok
</t>
    </r>
    <r>
      <rPr>
        <rFont val="Be Vietnam Pro"/>
        <b/>
        <color theme="1"/>
        <sz val="11.0"/>
      </rPr>
      <t>Thêm CTA: "Xem Store gần nhất bên dưới phần comment" + Cmt link web</t>
    </r>
  </si>
  <si>
    <t>https://drive.google.com/drive/folders/1IoEjLiuFyydLpkFb1FZlOKKYhvHwsAKU</t>
  </si>
  <si>
    <t>chỉnh lại chút &gt; ko thua gì các brand gà rán khác &gt; thay vì brand lớn
Gà nugget hình ngôi sao</t>
  </si>
  <si>
    <t>0:20: sửa text "gà nugget" -&gt; gà nugget hình ngôi sao</t>
  </si>
  <si>
    <t>"Gà ở đây vỏ siêu giòn mà sốt chua ngọt cũng ngonn cáa ✨ 
"</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</si>
  <si>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t>
    </r>
    <r>
      <rPr>
        <rFont val="Be Vietnam Pro"/>
        <sz val="11.0"/>
      </rPr>
      <t xml:space="preserve"> Link 
</t>
    </r>
    <r>
      <rPr>
        <rFont val="Be Vietnam Pro"/>
        <sz val="11.0"/>
      </rPr>
      <t>"01 tháng Sử dụng hình ảnh không độc quyền trên digital only
*Bao gồm: Code Ads và reup kênh brand có chạy quảng cáo"</t>
    </r>
  </si>
  <si>
    <r>
      <rPr>
        <rFont val="Be Vietnam Pro"/>
        <sz val="11.0"/>
      </rPr>
      <t xml:space="preserve">
19/5 ( 19h30)
3) basic shop Thị Thắm: Viết Xuân - Hà Đông hà nội
</t>
    </r>
    <r>
      <rPr>
        <rFont val="Be Vietnam Pro"/>
        <color rgb="FF1155CC"/>
        <sz val="11.0"/>
        <u/>
      </rPr>
      <t>https://fivestarnearyou.cp.com.vn/?Longtitude=105.7684087&amp;Latitude=20.9698673</t>
    </r>
  </si>
  <si>
    <t>https://docs.google.com/spreadsheets/d/1dJYfbH8b6VPdopiloXVCki9tb8tEfNmJswmXBej_IuY/edit?gid=0#gid=0</t>
  </si>
  <si>
    <t>Trang phục ok
- Bổ sung thêm tình huống hoặc thời điểm hoặc lý do để thuyết phục người xem ghé Five Star. Ví dụ như: những hôm thèm gà ngang mà ko biết đi đâu, down mood, v.v.
- Review luôn các món khác bên cạnh gà nha</t>
  </si>
  <si>
    <t>https://docs.google.com/spreadsheets/d/1dJYfbH8b6VPdopiloXVCki9tb8tEfNmJswmXBej_IuY/edit?gid=2147041016#gid=2147041016</t>
  </si>
  <si>
    <t>Khúc đầu đang theo hướng ngon mà giá ok &gt; chỉnh lại: gà rán siêu ngon mà còn chất lượng, tiện lợi mà giá mềm</t>
  </si>
  <si>
    <t>https://drive.google.com/file/d/1i5y7qeKhPxPWxi9rUEcOqDfE-RruS7Ds/view?usp=drivesdk</t>
  </si>
  <si>
    <t>Bỏ thoại chỉ có 39k 
Viên chiên &gt; đọc tên của các món thay tên xiên que thông thường như trong order của bạn có &gt; chả giò gai jor, hot dog xúc xích phô mai tẩm khoai tây</t>
  </si>
  <si>
    <t>https://drive.google.com/file/d/1UBhSebjZtII_oloZVUbhXPWoijbkfptQ/view?usp=drivesdk</t>
  </si>
  <si>
    <t xml:space="preserve">phần xiên que ko có VO thì có thể gắn text, same comment </t>
  </si>
  <si>
    <t>https://drive.google.com/file/d/1ZRnaN3wKQ3O_eeiVTHfU_XCsfByghDlc/view?usp=drivesdk</t>
  </si>
  <si>
    <t>VO &gt; remove các từ kháo rẻ còn lại ok</t>
  </si>
  <si>
    <t>"Quán gà rán tủ tui mê 
có nhiều cơ sở lắm nè 
mọi người đã thử chưa ?"</t>
  </si>
  <si>
    <t>Caption Ok nhưng chưa có clip final</t>
  </si>
  <si>
    <t>Bánh Ú 🇻🇳</t>
  </si>
  <si>
    <t>22.6K</t>
  </si>
  <si>
    <t>https://www.tiktok.com/@banhudaayyy?_r=1&amp;_t=ZS-96SZmB6SpNM</t>
  </si>
  <si>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t>
  </si>
  <si>
    <t xml:space="preserve">19h 25/5 
 Nguyễn Viết Xuân - Hà Đông - Hà Nội
</t>
  </si>
  <si>
    <t>https://docs.google.com/spreadsheets/d/16r94Uhc-qr9PG0gK2UeQAbXC_QauJPiw69iHxyJwxcc/edit?usp=sharing</t>
  </si>
  <si>
    <t>https://drive.google.com/file/d/1TLD5wGiqwJt9CCm74kCtjLmacn9Q_Kdm/view?usp=drivesdk</t>
  </si>
  <si>
    <t>0:36 - 0:40: thêm text tên các món ăn
0:39: sai tên món -&gt; chả giò gai jor"
0:08 - màu sắc ok nhưng quầy bị tối
0:48 - khi quán hơi đông &gt; cảnh đằng sau vắng &gt; ko hợp lý lắm &gt; có thể remove VO nói khi quán đông</t>
  </si>
  <si>
    <t>https://drive.google.com/file/d/1rlzwgOq0PWq6fG1dmeEl0LV5iYQonkOI/view?usp=drivesdk</t>
  </si>
  <si>
    <t>Gà rán ngon lại gần nhà thì chỉ có Five Star</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</si>
  <si>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</si>
  <si>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T4 15h 13/05
BASIC SHOP - Nguyễn Thị Thuận - Số 67 Đường 9, phường Trường Thọ, TP. Thủ Đức, TP. HCM</t>
  </si>
  <si>
    <t>- Review thêm vị của 1 số món khác cạnh Gà 
- Add text địa chỉ kiosk</t>
  </si>
  <si>
    <t>https://docs.google.com/spreadsheets/d/1ZhzA7f0EEVZSZERZ6T98bKeCW85zp9ua9X8yo01_CDM/edit?gid=871204788#gid=871204788</t>
  </si>
  <si>
    <r>
      <rPr>
        <rFont val="Be Vietnam Pro"/>
        <color theme="1"/>
        <sz val="11.0"/>
      </rPr>
      <t xml:space="preserve">Script &amp; trang phục ok
</t>
    </r>
    <r>
      <rPr>
        <rFont val="Be Vietnam Pro"/>
        <b/>
        <color theme="1"/>
        <sz val="11.0"/>
      </rPr>
      <t>Thêm CTA: "Xem Store gần nhất bên dưới phần comment" + Cmt link web</t>
    </r>
  </si>
  <si>
    <t>https://drive.google.com/file/d/1bRU2TqH8q5zPYkAQuTaWxdYHemFj0fd_/view?usp=drivesdk</t>
  </si>
  <si>
    <t>Tên món xiên que &gt; đọc tên hay chèn text chính xác tên
0:58: có hai mẹ con nên ko thấy đông khách lắm &gt; remove VO nói đông khách
Leo's comment:
0:34: Bỏ VO "chả quế" không có món này trong menu</t>
  </si>
  <si>
    <t>https://drive.google.com/file/d/1nOym0BHk3CDWARQsI_YUwBTK9Yz2JPGx/view?usp=drivesdk</t>
  </si>
  <si>
    <t>Vẫn thiếu CTA
Add text đúng các tên món xiên que bạn show</t>
  </si>
  <si>
    <t>Ngày mưa mà muốn ăn gà rán cùng với các loại xiên qua thì cứ tới Fivestar nha mng. Đồ ăn nóng hổi, giòn giòn mà giá cả quá hợp lí</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</si>
  <si>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sz val="11.0"/>
      </rPr>
      <t xml:space="preserve"> Link 
</t>
    </r>
    <r>
      <rPr>
        <rFont val="Be Vietnam Pro"/>
        <sz val="11.0"/>
      </rPr>
      <t>"01 tháng Sử dụng hình ảnh không độc quyền trên digital only
*Bao gồm: Code Ads và reup kênh brand có chạy quảng cáo"</t>
    </r>
  </si>
  <si>
    <r>
      <rPr>
        <rFont val="Be Vietnam Pro"/>
        <sz val="11.0"/>
      </rPr>
      <t xml:space="preserve">thứ 7 ngày 16/5 lúc 18h
3) basic shop Thị Thắm: Viết Xuân - Hà Đông hà nội
</t>
    </r>
    <r>
      <rPr>
        <rFont val="Be Vietnam Pro"/>
        <color rgb="FF1155CC"/>
        <sz val="11.0"/>
        <u/>
      </rPr>
      <t>https://fivestarnearyou.cp.com.vn/?Longtitude=105.7684087&amp;Latitude=20.9698673</t>
    </r>
  </si>
  <si>
    <t>- Review thêm vị và chất lượng các món xiên que
- "Không cần lên kế hoạch trước, không cần chờ đợi lâu, chỉ cần ghé qua là có ngay một phần ăn" &gt; phần ăn như thế nào?
- add text địa chỉ kiosk</t>
  </si>
  <si>
    <t>https://docs.google.com/spreadsheets/d/1uFmHyUA8c77qUKk6WPFkRM-bCzcgemvAJT4YpHjKU1M/edit?gid=985365261#gid=985365261</t>
  </si>
  <si>
    <t>còn câu chưa chỉnh - "Không cần lên kế hoạch trước, không cần chờ đợi lâu, chỉ cần ghé qua là có ngay một phần ăn" &gt; phần ăn như thế nào &gt; gợi ý - phần ăn siêu nhiều với giá siêu hời, phần ăn nóng hổi order là có ngay? 
&gt; Có thể add thêm lúc bạn quay</t>
  </si>
  <si>
    <t>https://drive.google.com/file/d/1LDe8C7Hg4HgxV-t6dIn5fYfzZkjEO6l_/view?usp=drive_link</t>
  </si>
  <si>
    <t>Gọi tên món cho đúng nha &gt; đùi gà góc tư tầm tiêu
HÌnh xúc xích nhưng VO là chả giò
Đọc tên các món xiên que cho đúng &gt; chả giò gai jor, hot dog xúc xích phô mai tẩm khoai tây, xúc xích sumo
Ko nói giá siêu hạt dẻ &gt; giá mềm, dễ chịu, hợp lý
Ko cần mention địa chỉ ở khúc đầu trên text
Frame cuối nếu mention địa chỉ &gt; kêu gọi thêm mọi người tới quán gần nhà vì Five Star có nhiều chi nhánh</t>
  </si>
  <si>
    <t>https://drive.google.com/file/d/13PRMu6rqiok3LdKpppBpSY2cRnLBYAi_/view?usp=drivesdk</t>
  </si>
  <si>
    <t>phù hợp với hssv, dân văn phòng &gt; add lên text
same cmt</t>
  </si>
  <si>
    <t>https://drive.google.com/file/d/141U7EOEvNY_4xTolh6R8QStMFTC8eDgZ/view?usp=drivesdk</t>
  </si>
  <si>
    <t>Vẫn chưa chỉnh chỗ chả giò còn lại ok</t>
  </si>
  <si>
    <t>"Tiệm gà yêu thích của Phương từ thời còn là học sinh đó chính là gà Fivestar nè, tiện, gọn mà quá nhanh và quá ngon
#FiveStarVietnam #GaDau"</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</si>
  <si>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sz val="11.0"/>
      </rPr>
      <t xml:space="preserve"> Link 
</t>
    </r>
    <r>
      <rPr>
        <rFont val="Be Vietnam Pro"/>
        <sz val="11.0"/>
      </rPr>
      <t>"01 tháng Sử dụng hình ảnh không độc quyền trên digital only
*Bao gồm: Code Ads và reup kênh brand có chạy quảng cáo"</t>
    </r>
  </si>
  <si>
    <t>16/5 - 16h - Bình Dương. Kênh: Đức Tân Bình
1. PREAMIUM KIOSK 4*3        Hộ Kinh Doanh Đỗ Thị Thu Hồng        Số 98, đường Trần Tử Bình, ấp Tân Định 3, Xã Củ Chi, TP. HCM</t>
  </si>
  <si>
    <t xml:space="preserve">- Chưa biết CN nào nên ko biết phải CN mới không &gt; nên để đảm bảo thì KOC có thể đưa địa chỉ quán để team check nha, hoặc ko thì remove ý về CN mới
- Không mở đầu với việc hết tiền cuối tháng &gt; vì team ko muốn gắn liền với giá rẻ
- Ko nhắc giá hạt dẻ &gt; đổi thành giá hợp lý, giá dễ chịu, mềm </t>
  </si>
  <si>
    <t>https://docs.google.com/spreadsheets/d/1lt3E1B2b2qUAC6cYVT7NB805xBZGdfWfOiL1656BC0g/edit?gid=978883368#gid=978883368</t>
  </si>
  <si>
    <t>Remove từ kiosk
Ko dùng từ rẻ &gt; đổi thành hời
Bạn đi CN ở củ chi &gt; mà trong script đang để là đồng nai</t>
  </si>
  <si>
    <t>https://drive.google.com/file/d/1BkXcgms9Vd5tj4I2vnBxqBY-y36BHvvs/view?usp=drive_link</t>
  </si>
  <si>
    <t>Text khúc đầu bị khó nhìn &gt; nhiều màu và tối
0:32 - hot dog xúc xích phô mai tẩm khoai tây, Hot dog  xúc xích phô mai
ko dùng từ rẻ &gt; ko highlight việc rẻ, chỉ nói giá hời, hợp lý</t>
  </si>
  <si>
    <t>https://drive.google.com/file/d/1XWw1i_WFPBCcsqW9luPL694uHyFhmr2t/view?usp=drivesdk</t>
  </si>
  <si>
    <t>Leo's comment:
0:34 "Xúc xích hotdog..." chứ không phải hotdog xúc xích, chỉnh text và tiếng</t>
  </si>
  <si>
    <t>https://drive.google.com/file/d/1jqPVWc0iHQs98Qo15XJ1FBDgMzWcY1E4/view?usp=drivesdk</t>
  </si>
  <si>
    <t>vẫn chưa chỉnh theo feedback phần text xúc xích
Gà nugget hình ngôi sao &gt; text 
CTA &gt; đến five star gần nhất ko có</t>
  </si>
  <si>
    <t>Một món vừa tiện vừa dễ ăn cho cả gia đình thì tui vote Five Star nha 🍗 #FiveStarVietnam #GaDau</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</si>
  <si>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</si>
  <si>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t>17g ngày 16/5 
PREAMIUM KIOSK 4*3 - HKD PHAN TẤN TÀI  -  223 Ấp 2, xã Bình Chánh, TP HCM</t>
  </si>
  <si>
    <t>- Khúc đầu chưa có điểm nhấn, hạn chế nhắc từ review
- Review kỹ hơn phần hương vị và chất lượng món ăn so với giá 
- Add text địa chỉ kiosk</t>
  </si>
  <si>
    <t>https://docs.google.com/spreadsheets/d/1jtk6BCNAw-jnbFSu2pxRRbrxpwCHVeCHGWt7dLAr_9E/edit?gid=587180911#gid=587180911</t>
  </si>
  <si>
    <r>
      <rPr>
        <rFont val="Be Vietnam Pro"/>
        <color theme="1"/>
        <sz val="11.0"/>
      </rPr>
      <t xml:space="preserve">Script &amp; trang phục ok
</t>
    </r>
    <r>
      <rPr>
        <rFont val="Be Vietnam Pro"/>
        <b/>
        <color theme="1"/>
        <sz val="11.0"/>
      </rPr>
      <t>Thêm CTA: "Xem Store gần nhất bên dưới phần comment" + Cmt link web</t>
    </r>
  </si>
  <si>
    <t>https://drive.google.com/drive/folders/1Sp5ULQg_Nu-h32nZnI4lP3_Pp98IGOFR</t>
  </si>
  <si>
    <t>Hình bạn ăn đang bị tối &gt; sáng với tươi hơn
thiếu CTA &gt; kêu gọi các bạn tới quán Five Star gần nhất</t>
  </si>
  <si>
    <t>https://drive.google.com/file/d/1RirYHb64UuE6VwiTk7eaJeHb4Ekwt5N9/view?usp=drivesdk</t>
  </si>
  <si>
    <t>Gà nóng, da giòn, ăn lúc đói là chạm đáy hạnh phúc luôn FiveStar ơi 😭 #FiveStarVietnam #GaDau</t>
  </si>
  <si>
    <r>
      <rPr>
        <rFont val="Be Vietnam Pro"/>
        <color theme="1"/>
        <sz val="11.0"/>
      </rPr>
      <t xml:space="preserve">
</t>
    </r>
    <r>
      <rPr>
        <rFont val="Be Vietnam Pro"/>
        <b/>
        <color theme="1"/>
        <sz val="11.0"/>
      </rPr>
      <t xml:space="preserve">Caption: Gà nóng, da giòn, ăn lúc đói là đỉnh nóc hạnh phúc luôn FiveStar ơi 😭 #FiveStarVietnam #GaDau
</t>
    </r>
    <r>
      <rPr>
        <rFont val="Be Vietnam Pro"/>
        <color theme="1"/>
        <sz val="11.0"/>
      </rPr>
      <t>Chạm đáy nghe khổ quá :((</t>
    </r>
  </si>
  <si>
    <t>https://www.tiktok.com/@lysambonreview/video/7647516576224185620</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</si>
  <si>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r>
      <rPr>
        <rFont val="Be Vietnam Pro"/>
        <color rgb="FF000000"/>
        <sz val="11.0"/>
      </rPr>
      <t>"01 tháng Sử dụng hình ảnh không độc quyền trên digital only
*Bao gồm: Code Ads và reup kênh brand có chạy quảng cáo"</t>
    </r>
  </si>
  <si>
    <r>
      <rPr>
        <rFont val="Be Vietnam Pro"/>
        <sz val="11.0"/>
      </rPr>
      <t xml:space="preserve">13/5- 13h - Cần Thơ
Fivestar ngã 6 hậu giang: </t>
    </r>
    <r>
      <rPr>
        <rFont val="Be Vietnam Pro"/>
        <color rgb="FF1155CC"/>
        <sz val="11.0"/>
        <u/>
      </rPr>
      <t>https://goo.gl/maps/qYtJdih4aZFAcWmB7</t>
    </r>
  </si>
  <si>
    <t>https://docs.google.com/spreadsheets/d/1t-7Q5oGMoWXh30EwMS3VIVjf3VlpRjXbjQu-7kPX60A/edit?gid=0#gid=0</t>
  </si>
  <si>
    <t xml:space="preserve">- Review thêm vị xiên que
- Ko dùng từ khóa rẻ &gt; đổi thành giá hợp lý / giá mềm, ngon - bổ - tiện lợi
- câu cuối &gt; đủ chất bị hơi quá &gt; đổi thành "...đỡ ngán cơm nhà mà vẫn tiện lợi, nhanh gọn và chất lượng cho bé thì ghé..." </t>
  </si>
  <si>
    <t>https://docs.google.com/spreadsheets/d/1t-7Q5oGMoWXh30EwMS3VIVjf3VlpRjXbjQu-7kPX60A/edit?gid=911497265#gid=911497265</t>
  </si>
  <si>
    <r>
      <rPr>
        <rFont val="Be Vietnam Pro"/>
        <color theme="1"/>
        <sz val="11.0"/>
      </rPr>
      <t xml:space="preserve">Đủ chất &gt; sửa lại khúc này giúp c nha, còn lại ok
</t>
    </r>
    <r>
      <rPr>
        <rFont val="Be Vietnam Pro"/>
        <b/>
        <color theme="1"/>
        <sz val="11.0"/>
      </rPr>
      <t>Thêm CTA: "Xem Store gần nhất bên dưới phần comment" + Cmt link web</t>
    </r>
  </si>
  <si>
    <t>https://drive.google.com/drive/folders/1popF1KGVp0UiLgw4ne5gDIiH7CtG3Wuf</t>
  </si>
  <si>
    <t>Cho màu đồ ăn tươi hơn, màu hiện tại hơi lạnh
Các món xiên que &gt; liệt kê tên chính xác</t>
  </si>
  <si>
    <t>"Top 1 quán đồ chiên nhanh tiện lợi tui iu thích đó chính là Fivestar nè các mom ơi
Một món vừa tiện vừa dễ ăn cho cả gia đình thì tui vote Five Star nha 🍗 #FiveStarVietnam #GaDau"</t>
  </si>
  <si>
    <t>Photo Post không update hạng mục này</t>
  </si>
  <si>
    <t>Đang quay</t>
  </si>
  <si>
    <t>https://drive.google.com/drive/u/2/folders/18fhk1nYoP55xczYSJAJPpHe0uGZBAtS6</t>
  </si>
  <si>
    <t>Bỏ hình số 9
HÌnh số 1,3,5,13 lên đầu
Hình số 8 logo bị cắt</t>
  </si>
  <si>
    <r>
      <rPr>
        <rFont val="Arial"/>
        <color rgb="FF1155CC"/>
        <sz val="11.0"/>
        <u/>
      </rPr>
      <t xml:space="preserve">LInk hình </t>
    </r>
    <r>
      <rPr>
        <rFont val="Arial"/>
        <sz val="11.0"/>
      </rPr>
      <t xml:space="preserve">
</t>
    </r>
  </si>
  <si>
    <t>Đã điều chỉnh lại số thứ tự hình
Hình 8 logo bị cắt =&gt; bỏ hình đó luôn ạ</t>
  </si>
  <si>
    <t>Hình ok</t>
  </si>
  <si>
    <t xml:space="preserve">LInk hình </t>
  </si>
  <si>
    <t xml:space="preserve">Gu của mọi nhà GÀ RÁN gắn bó biết bao thế hệ
Nhắc tới tên thôi là thấy cả 1 hành trình gắn bó trong sự nghiệp ăn uống của mình =)) Từ thời học sinh, lên sinh viên, rồi giờ ra trường đi làm thế mà Gà rán Fivestar vẫn có sức hút riêng nha.
Chắc ai cũng như mình đã từng Fivestar phải không nào! Vừa tiện lợi, nhanh, gọn, lẹ mà gà rán thì mãi "cuốn" thôi: lớp da giòn rụm, bên trong vẫn giữ được độ mềm và mọng nước.
Cắn miếng gà nóng giòn là đỉnh nhất, có hương vị đặc trưng riêng, lớp bột giòn và tẩm ướp đậm vừa phải, dễ hợp gu, ăn không bị ngán.
Mà đâu chỉ có gà đâu, lúc xưa có mấy món đơn giản: gà lắc, khoai tây,... chứ giờ bạt ngàn món cho dân tình mình tha hồ chọn: gợi ý mấy món xiên que nha cả nhà: nóng hổi vừa tiện lại vừa ngon.
Giá mềm dễ chịu, menu có đủ từ món ăn vặt đến ăn no, đi 1 mình hay đi nhóm đều dễ chọn.
Sáng thì có gà rán burger, trưa tối có mì Ý. Mà thú thiệt mình cũng mê mì Ý ở đây lắm nha, ăn kèm gà viên hay mấy loại xiên que là "dính" lắm nha.
Ưu điểm mà mình thích nhất, là đi đâu cũng dễ thấy, mua nhanh, lấy liền không phải chờ lâu.
Đặc biệt, ngoài những Kiosk bán mang đi nhanh giờ còn có nhiều cửa hàng xịn sò cho dân tình mình ngồi lại luôn đó.
Thèm gà rán, xiên que, ăn vặt hay ăn no thì cứ ngại gì không tấp chỗ quen thuộc Fivestar vừa nhanh lại vừa mờ lem: ăn sáng, trưa, chiều, tối hay đơn giản thòm thèm muốn ăn thôi!
Còn chưa biết hay muốn tìm tọa độ Fivestar gần nhất thì dễ ợt à cả nhà. Cứ search: Hệ thống Gà rán Fivestar là ra, rồi chọn cho mình vị trí tấp ưng ý nhất thôi &lt;3
Bật mí với cả nhà là lúc nào cũng có khuyến mãi đó nha, đợt này mình đi đang có tặng xôi ấy, nên cả nhà nắm bắt để được ưu đãi hời nè!
</t>
  </si>
  <si>
    <r>
      <rPr>
        <rFont val="Be Vietnam Pro"/>
        <sz val="11.0"/>
      </rPr>
      <t xml:space="preserve">Xiên que - highlight thêm 1 số món xiên que đặc biệt: Chả giò Gai Jor, Chả Cá Chiên Hàn Quốc, Hotdog Xúc xích Phô mai Tẩm Khoai Tây, Xúc xích toperdo, Gà Nugget ngôi sao, v.v.
Chắc ai cũng như mình đã từng Fivestar phải không nào! &gt; từng gì ah? thiếu từ
đơn giản thòm thèm muốn ăn thôi! &gt; bỏ chữ thòm
Share link dẫn tới </t>
    </r>
    <r>
      <rPr>
        <rFont val="Be Vietnam Pro"/>
        <color rgb="FF1155CC"/>
        <sz val="11.0"/>
      </rPr>
      <t>https://fivestarnearyou.cp.com.vn/</t>
    </r>
  </si>
  <si>
    <t xml:space="preserve">Gu của mọi nhà GÀ RÁN gắn bó biết bao thế hệ
Nhắc tới tên thôi là thấy cả 1 hành trình gắn bó trong sự nghiệp ăn uống của mình =)) Từ thời học sinh, lên sinh viên, rồi giờ ra trường đi làm thế mà Gà rán Fivestar vẫn có sức hút riêng nha.
Chắc ai cũng như mình đã từng thử Fivestar phải không nào! Vừa tiện lợi, nhanh, gọn, lẹ mà gà rán thì mãi ""cuốn"" thôi: lớp da giòn rụm, bên trong vẫn giữ được độ mềm và mọng nước.
Cắn miếng gà nóng giòn là đỉnh nhất, có hương vị đặc trưng riêng, lớp bột giòn và tẩm ướp đậm vừa phải, dễ hợp gu, ăn không bị ngán.
Mà đâu chỉ có gà đâu, lúc xưa có mấy món đơn giản: gà lắc, khoai tây,... chứ giờ bạt ngàn món cho dân tình mình tha hồ chọn: gợi ý mấy món xiên que như: chả giò Gai Jor, chả cá chiên Hàn Quốc, hotdog xúc xích phô mai tẩm khoai tây, xúc xích toperdo, gà nugget ngôi sao, v.v. nhìn là muốn lấy mỗi loại một cây. Ai ăn no thì có burger, mì Ý, cơm… nha cả nhà: nóng hổi vừa tiện lại vừa ngon.
Giá mềm dễ chịu, menu có đủ từ món ăn vặt đến ăn no, đi 1 mình hay đi nhóm đều dễ chọn.
Sáng thì có gà rán burger, trưa tối có mì Ý. Mà thú thiệt mình cũng mê mì Ý ở đây lắm nha, ăn kèm gà viên hay mấy loại xiên que là ""dính"" lắm nha.
Ưu điểm mà mình thích nhất, là đi đâu cũng dễ thấy, mua nhanh, lấy liền không phải chờ lâu.
Đặc biệt, ngoài những Kiosk bán mang đi nhanh giờ còn có nhiều cửa hàng xịn sò cho dân tình mình ngồi lại luôn đó.
Thèm gà rán, xiên que, ăn vặt hay ăn no thì cứ ngại gì không tấp chỗ quen thuộc Fivestar vừa nhanh lại vừa mờ lem: ăn sáng, trưa, chiều, tối hay đơn giản thèm muốn ăn thôi!
Còn chưa biết hay muốn tìm tọa độ Fivestar gần nhất thì dễ ợt à cả nhà. Cứ search: Hệ thống Gà rán Fivestar là ra, rồi chọn cho mình vị trí tấp ưng ý nhất thôi &lt;3
Bật mí với cả nhà là lúc nào cũng có khuyến mãi đó nha, đợt này mình đi đang có tặng xôi ấy, nên cả nhà nắm bắt để được ưu đãi hời nè!
Xiên que, gà rán, mì ý ở đây nè https://fivestarnearyou.cp.com.vn/ </t>
  </si>
  <si>
    <t>https://www.facebook.com/share/p/1BEEgaStVN/?mibextid=wwXIfr</t>
  </si>
  <si>
    <t>https://drive.google.com/drive/u/2/folders/11BREkfdsiSkqXHPqIoTuB_X3TVhndd7_</t>
  </si>
  <si>
    <t>Bỏ hình số 1
Chọn hình 21, 18, 2 (chỉnh lại chỗ logo), 4,9
Hình số 2 bị cắt logo</t>
  </si>
  <si>
    <r>
      <rPr>
        <rFont val="Arial"/>
        <color rgb="FF1155CC"/>
        <sz val="11.0"/>
        <u/>
      </rPr>
      <t>LINK HÌNH</t>
    </r>
    <r>
      <rPr>
        <rFont val="Arial"/>
        <sz val="11.0"/>
      </rPr>
      <t xml:space="preserve">
</t>
    </r>
  </si>
  <si>
    <t>hình số 1 =&gt; đã bỏ
hình số 2 bị cắt logo =&gt; đã cắt</t>
  </si>
  <si>
    <t>Nếu chỉ pick 10 hình: 2, 4,6, 7, 12 (cho màu tươi lên), 9,16, 18,21, 13</t>
  </si>
  <si>
    <t>link hình pick</t>
  </si>
  <si>
    <t>Không biết từ bao giờ mà cứ nhắc tới đồ ăn nhanh là trong đầu mình auto hiện ra hình ảnh mấy kiosk vàng đỏ quen thuộc 😆 Hồi còn đi học tan trường là tụ tập mua gà rán ăn cho đã cái miệng, tới giờ đi làm rồi mà lâu lâu thèm vẫn tấp vô mua như một thói quen luôn á.
Công nhận Gà rán Fivestar có cái sức hút rất riêng nha. Gà lúc nào cũng nóng hổi, lớp da giòn nghe “rộp rộp” vui tai cực, còn phần thịt bên trong vẫn mềm và juicy chứ không bị khô. Cái vị tẩm ướp cũng vừa miệng, không quá nặng gia vị nên ăn hoài vẫn thấy hợp gu.
Mình thích nhất là kiểu tiện cực kỳ. Đói bụng ghé mua cái là có ngay, không phải đợi lâu. Đi đâu cũng dễ bắt gặp nên nhiều hôm chỉ cần chạy ngang thấy mùi thơm thôi là tự động quẹo vô 😭
Giờ menu cũng đa dạng hơn hồi xưa nhiều lắm nha. Không chỉ có gà rán với khoai đâu, mà còn đủ kiểu xiên que nóng hổi nhìn là muốn lấy mỗi loại một cây. Ai ăn no thì có burger, mì Ý, cơm… đủ combo luôn. Riêng mình mê combo mì Ý ăn kèm gà viên với xiên que lắm, kiểu ăn chơi mà thành ăn no luôn á =))
Điểm cộng nữa là giá vẫn rất dễ chịu, học sinh sinh viên hay dân văn phòng đều dễ ăn. Đi một mình mua snack nhẹ hay đi đông gọi combo share cũng hợp.
Mà giờ ngoài mấy kiosk mua mang đi nhanh gọn, nhiều chỗ còn có không gian ngồi lại khá xịn sò luôn. Thành ra từ ăn vặt, ăn no, tụ tập bạn bè hay đơn giản lên cơn thèm gà lúc chiều chiều thì cũng có chỗ “chữa”.
Ai lâu rồi chưa ăn thử lại thì mình nghĩ nên tấp vô ăn một bữa cho nhớ tuổi thơ nha 😆 Với nhớ canh mấy chương trình khuyến mãi nữa, mình đi đợt này còn được tặng xôi nên thấy hời dữ lắm luôn!</t>
  </si>
  <si>
    <t>Xiên que - highlight thêm 1 số món xiên que đặc biệt: Chả giò Gai Jor, Chả Cá Chiên Hàn Quốc, Hotdog Xúc xích Phô mai Tẩm Khoai Tây, Xúc xích toperdo, Gà Nugget ngôi sao, v.v.
Share link dẫn tới https://fivestarnearyou.cp.com.vn/</t>
  </si>
  <si>
    <t xml:space="preserve">Không biết từ bao giờ mà cứ nhắc tới đồ ăn nhanh là trong đầu mình auto hiện ra hình ảnh mấy kiosk vàng đỏ quen thuộc 😆 Hồi còn đi học tan trường là tụ tập mua gà rán ăn cho đã cái miệng, tới giờ đi làm rồi mà lâu lâu thèm vẫn tấp vô mua như một thói quen luôn á.
Công nhận Gà rán Fivestar có cái sức hút rất riêng nha. Gà lúc nào cũng nóng hổi, lớp da giòn nghe “rộp rộp” vui tai cực, còn phần thịt bên trong vẫn mềm và juicy chứ không bị khô. Cái vị tẩm ướp cũng vừa miệng, không quá nặng gia vị nên ăn hoài vẫn thấy hợp gu.
Mình thích nhất là kiểu tiện cực kỳ. Đói bụng ghé mua cái là có ngay, không phải đợi lâu. Đi đâu cũng dễ bắt gặp nên nhiều hôm chỉ cần chạy ngang thấy mùi thơm thôi là tự động quẹo vô 😭
Giờ menu cũng đa dạng hơn hồi xưa nhiều lắm nha. Không chỉ có gà rán với khoai đâu, mà còn đủ kiểu xiên que nóng hổi nào là chả giò Gai Jor, chả cá chiên Hàn Quốc, hotdog xúc xích phô mai tẩm khoai tây, xúc xích toperdo, gà nugget ngôi sao, v.v. nhìn là muốn lấy mỗi loại một cây. Ai ăn no thì có burger, mì Ý, cơm… đủ combo luôn. Riêng mình mê combo mì Ý ăn kèm gà viên với xiên que lắm, kiểu ăn chơi mà thành ăn no luôn á =))
Điểm cộng nữa là giá vẫn rất dễ chịu, học sinh sinh viên hay dân văn phòng đều dễ ăn. Đi một mình mua snack nhẹ hay đi đông gọi combo share cũng hợp.
Mà giờ ngoài mấy kiosk mua mang đi nhanh gọn, nhiều chỗ còn có không gian ngồi lại khá xịn sò luôn. Thành ra từ ăn vặt, ăn no, tụ tập bạn bè hay đơn giản lên cơn thèm gà lúc chiều chiều thì cũng có chỗ “chữa”.
Ai lâu rồi chưa ăn thử lại thì mình nghĩ nên tấp vô ăn một bữa cho nhớ tuổi thơ nha 😆 Với nhớ canh mấy chương trình khuyến mãi nữa, mình đi đợt này còn được tặng xôi nên thấy hời dữ lắm luôn!
Tới ngay FIVESTART thui nào: https://fivestarnearyou.cp.com.vn/ </t>
  </si>
  <si>
    <t>https://www.facebook.com/share/p/18h4jLfJWe/?mibextid=wwXIfr</t>
  </si>
  <si>
    <t>https://drive.google.com/drive/folders/1iw0zlpAoQ_rBV9CaS6qtBBt_JZI2J-se?usp=sharing</t>
  </si>
  <si>
    <t xml:space="preserve">Ko show hình 1,2,3 (các hình có cửa hàng)
Bổ sung thêm hình đồ ăn
Leo's comment: 
Không duyệt 1,2,3,4,5. Miễn cưỡng 6,7,8, cần thêm hình đồ ăn
</t>
  </si>
  <si>
    <t>LINK HÌNH</t>
  </si>
  <si>
    <t>Đã xóa hình 1,2,3</t>
  </si>
  <si>
    <t>Layout ok nhưng màu hình đang quá tối, món ăn nhìn ko hấp dẫn - chỉnh lại màu sắc</t>
  </si>
  <si>
    <r>
      <rPr>
        <rFont val="Arial"/>
        <color rgb="FF1155CC"/>
        <sz val="11.0"/>
        <u/>
      </rPr>
      <t xml:space="preserve">ĐÃ UPDATE HÌNH </t>
    </r>
    <r>
      <rPr>
        <rFont val="Arial"/>
        <sz val="11.0"/>
      </rPr>
      <t>RETOUCH 2805</t>
    </r>
  </si>
  <si>
    <t>ĐANG BẬN RỘN ĐI CHƠI THÌ ĂN GÌ?
Nay trên đường đi chơi xuyên tỉnh, đang chạy lịch liên tục thì tự nhiên khờ ngang… không biết ăn gì. Mỗi lần dừng lại ăn uống là mất kha khá thời gian, nên đang chạy xe thấy ngay quán quen bên đường là tấp vô liền luôn.
Five Star thì khỏi nói về độ phổ biến và uy tín trong mảng thức ăn nhanh rồi. Mua nhanh – lấy liền, mà cái mình thích nhất là giá lúc nào cũng “mềm”, gọi đồ khá thoải mái mà không bị áp lực ví tiền.
Menu giờ đa dạng lắm, kiểu từ ăn chơi tới ăn no đều có luôn: gà rán, mì Ý, xiên que, phô mai que, chả cá, nugget sao, gà popcorn… thiếu điều đứng lựa bị phân vân. Mà công nhận giá mềm thiệt nhưng phần ăn lại khá đầy đặn.
Gà chiên lớp da giòn rụm, bên trong vẫn mềm và mọng nước, ăn lúc nóng đúng kiểu “nhức nách”. Vị nêm ở đây đậm vừa phải, dễ hợp gu nhiều người nên ăn không bị ngán. Bò viên thì chắc nịch, vị bò rõ ràng chứ không bị kiểu toàn mùi bột. Nugget sao nhìn cute dễ sợ luôn. Vỏ giòn, bên trong mềm và thơm. Món này trẻ em thích mà người lớn cũng ngồi ăn ké liên tục. Gà popcorn nhỏ nhỏ giòn giòn, mỗi miếng vừa miệng nên ăn vui lắm. Chấm tương cà, tương ớt hay sốt phô mai đều hợp, kiểu càng chấm càng dính. Chả cá, khoai tây chiên với sủi cảo thì vị ổn áp, dễ ăn. Với mình kiểu đã quen và an tâm về thương hiệu rồi nên ăn tự tin lắm thành ra thấy ngon miệng.
Tổng thiệt hại hôm nay chưa tới 400k: 6 miếng gà, 2 bò viên, 2 nugget gà, 2 sủi cảo, 2 chả cá, 4 phô mai que, 2 chả cá Hàn Quốc, 2 gà popcorn mà chưa tới 400k.
6 người trên xe tính ra mỗi người hơn 60k xíu thôi mà ăn uống no nê luôn. 
Điểm khiến mình chắc chắn vẫn sẽ tiếp tục chọn Five Star mỗi lần đi đường: Chế biến nhanh, giá hợp lý, quán phủ nhiều, dễ tìm – dễ mua – tiện ghé dọc đường
#FiveStar #FiveStarVietnam #GaRanFiveStar #GaDay"</t>
  </si>
  <si>
    <r>
      <rPr>
        <rFont val="Be Vietnam Pro"/>
        <sz val="11.0"/>
      </rPr>
      <t xml:space="preserve">ĐANG BẬN RỘN ĐI CHƠI THÌ ĂN GÌ? &gt; ko make sense lắm
Xiên que - highlight thêm 1 số món xiên que đặc biệt: Chả giò Gai Jor, Chả Cá Chiên Hàn Quốc, Hotdog Xúc xích Phô mai Tẩm Khoai Tây, Xúc xích toperdo, Gà Nugget ngôi sao, v.v.
Bỏ đoạn này vì ko muốn highlight việc rẻ
"Tổng thiệt hại hôm nay chưa tới 400k: 6 miếng gà, 2 bò viên, 2 nugget gà, 2 sủi cảo, 2 chả cá, 4 phô mai que, 2 chả cá Hàn Quốc, 2 gà popcorn mà chưa tới 400k.
6 người trên xe tính ra mỗi người hơn 60k xíu thôi mà ăn uống no nê luôn. "
&gt; hoặc chỉnh lại theo hướng giá hời chất lượng
Share link dẫn tới </t>
    </r>
    <r>
      <rPr>
        <rFont val="Be Vietnam Pro"/>
        <color rgb="FF1155CC"/>
        <sz val="11.0"/>
        <u/>
      </rPr>
      <t>https://fivestarnearyou.cp.com.vn/</t>
    </r>
  </si>
  <si>
    <t>Đang chạy xuyên tỉnh, đói bụng giữa đường mà không muốn mất nhiều thời gian kiếm quán, thấy ngay quầy Five Star Vietnam quen là tấp vô liền. Mua nhanh – lấy liền, đúng kiểu tiện cho những chuyến đi đường dài.
Điều mình thích nhất là menu xiên que phong phú, nhìn thôi đã muốn gọi hết:
Chả giò Gai Jor – giòn rụm, thơm đậm hương.
Chả Cá Chiên Hàn Quốc – dai vừa, vị đậm đà dễ ghiền.
Hotdog Xúc xích Phô mai tẩm Khoai Tây – cắn một miếng là phô mai kéo sợi, đã “ná thở”.
Xúc xích Toperdo – cây to chắc thịt, ăn rất đã.
Gà Nugget ngôi sao – giòn vui miệng, trẻ em hay người lớn đều mê.
Ngoài xiên que, gà rán vẫn là “signature”: lớp da giòn, thịt bên trong mềm mọng, ăn nóng lên là chuẩn bài. Những món khác như gà popcorn, phô mai que, sủi cảo… thì dễ ăn, lên nhanh, hợp kiểu dừng chân lấy năng lượng rồi lên đường tiếp.
Tổng quan: giá vẫn rất hời so với chất lượng và phần ăn, đặc biệt lúc đang đi chơi mà cần món nhanh – gọn – ngon thì Five Star luôn là lựa chọn “an tâm”.
Tìm quán Five Star gần bạn tại đây: https://fivestarnearyou.cp.com.vn/ 
#FiveStar #FiveStarVietnam #GaRanFiveStar #GaDay</t>
  </si>
  <si>
    <t>https://www.facebook.com/groups/kosodoi/posts/27023379973991978</t>
  </si>
  <si>
    <t>https://drive.google.com/drive/folders/1yzIsQySNlHH9Qmnnu6ONb51zbOesHe78?usp=sharing</t>
  </si>
  <si>
    <t>Hình 1 bị cắt mất địa chỉ
Remove hình 6
Màu sắc món chưa tươi và hấp dẫn, đang bị quá nhạt</t>
  </si>
  <si>
    <r>
      <rPr>
        <rFont val="Arial"/>
        <color rgb="FF1155CC"/>
        <sz val="11.0"/>
        <u/>
      </rPr>
      <t>ĐÃ UPDATE HÌNH</t>
    </r>
    <r>
      <rPr>
        <rFont val="Arial"/>
        <color rgb="FF1F1F1F"/>
        <sz val="11.0"/>
      </rPr>
      <t xml:space="preserve"> RETOUCH 2805
HÌNH 1: SUGGEST XÓA</t>
    </r>
  </si>
  <si>
    <t>Hình 2 retouched bị cắt logo và vỡ hình</t>
  </si>
  <si>
    <t>https://drive.google.com/drive/folders/10s11E7iNwe0c-1YJ934qrUvZV6idnMgU</t>
  </si>
  <si>
    <t>Confirm
Caption bỏ "Vietnam"</t>
  </si>
  <si>
    <r>
      <rPr>
        <rFont val="Be Vietnam Pro"/>
        <color rgb="FF000000"/>
      </rPr>
      <t xml:space="preserve">Ok
Leo: Bỏ "Vietnam". Đã dùng từ quán thì không cần thêm vào, trừ khi dùng từ chuỗi
</t>
    </r>
    <r>
      <rPr>
        <rFont val="Be Vietnam Pro"/>
        <color rgb="FF000000"/>
        <u/>
      </rPr>
      <t>https://drive.google.com/drive/folders/10s11E7iNwe0c-1YJ934qrUvZV6idnMgU</t>
    </r>
  </si>
  <si>
    <t>"Giới thiệu cho mn quán ruột của mình mỗi tuần nè :D
Quán ruột của mình là Five Star vì độ phổ biến, mua nhanh- lấy liền. Menu giờ đa dạng quá trời, từ ăn no tới ăn chơi có đủ hết, mà giá thì ổn so với phần ăn đầy đặn như vậy nha 💯 điểm
Trước giờ mình vào cứ nhắm mắt mua đại gà rán, tại ở đây chiên lớp da giòn rụm mà bên trong mềm với mọng nước lắm, vị thì nêm vừa phải- dễ hợp gu nhiều người/ Nay thấy có thêm gà tatsutaage kiểu Nhật, mềm thơm ngon, ướp đậm đà sẵn ko cần chấm luôn. Cá viên, bò viên, khoai tây chiên, gà popcorn ăn ổn áp, kiểu ko có gì quá nổi bậc nhưng cũng không có gì để chê luôn. Được cái quay qua quay lại hết lúc nào hong ai hay
Lâu lâu đổi gió mua về 1 mâm vậy không có bao nhiêu mà gia đình 4 người tụ họp lại ăn zui zẻ lên liền
Nào chán cơm nhà thì thử kiểu này đi mọi người, kiểu ăn chơi vui mà no thiệt, kiểu ăn đã miệng đã thèm mà nó no á."</t>
  </si>
  <si>
    <r>
      <rPr>
        <rFont val="Arial"/>
        <color rgb="FF000000"/>
        <sz val="11.0"/>
      </rPr>
      <t>Quán mình hay ghé là Five Star – phổ biến, tiện, vô là mua nhanh – lấy liền. Menu giờ đa dạng từ ăn chơi tới ăn no, phần ăn lúc nào cũng đầy đặn nên rất “đã”.
Ngoài gà rán auto-ngon với lớp da giòn rụm và thịt mềm mọng, mình nghiện nhất là mảng xiên que ở đây luôn. Mấy món đáng thử:
Chả giò Gai Jor – giòn tan, thơm đặc trưng, cắn một miếng là “dính”.
Chả Cá Chiên Hàn Quốc – dai nhẹ, vị đậm đà kiểu Hàn, ăn rất cuốn.
Hotdog Xúc xích Phô mai tẩm Khoai Tây – cắn cái nghe phô mai tan chảy, bên ngoài khoai chiên giòn rụm.
Xúc xích Toperdo – cây to, chắc thịt, ăn rất đã miệng.
Gà Nugget Ngôi Sao – nhỏ xinh, giòn vui miệng, trẻ con lẫn người lớn đều mê.
Mấy món khác như gà popcorn, khoai tây chiên, cá viên, bò viên… thì ổn áp, kiểu quay cái là hết sạch lúc nào không hay.
Lâu lâu đổi gió mua nguyên mâm vậy thôi mà gia đình 4 người ngồi lại ăn là vui liền, vừa no vừa đúng kiểu “ăn chơi mà no thiệt”.
Hôm nào chán cơm nhà thì thử kiểu này đi mọi người. Ngon – vui – nhanh – tiện, đúng chuẩn ngày lười nấu :D
Địa chỉ các quán Fivestar ở đây nhen: https://fivestarnearyou.cp.com.vn/ 
#FiveStar #</t>
    </r>
    <r>
      <rPr>
        <rFont val="Arial"/>
        <color rgb="FF000000"/>
        <sz val="11.0"/>
      </rPr>
      <t>FiveStarVietnam</t>
    </r>
    <r>
      <rPr>
        <rFont val="Arial"/>
        <color rgb="FF000000"/>
        <sz val="11.0"/>
      </rPr>
      <t xml:space="preserve"> #GaRanFiveStar #GaDay</t>
    </r>
  </si>
  <si>
    <t>https://drive.google.com/drive/folders/12yBGOkeqhLxeerxDXMuBtK-41vgUeWxf?usp=sharing</t>
  </si>
  <si>
    <t xml:space="preserve">Hình 8, 14, 17,19,25,28,30,31,33,34
Thay Chai Pepsi bằng ly nước ngọt có Five Star (check trước giùm c)
</t>
  </si>
  <si>
    <t>HÌnh ok</t>
  </si>
  <si>
    <t>QUÁN ĂN FAST FOOD GẮN LIỀN VỚI TUỔI THƠ CỦA NHIỀU NGƯỜI BÂY GIỜ ĐÃ RA SAO
📍 Gà Rán Five Star 489
🏡 🏡 489 Đ. Lê Văn Sỹ, Tân Sơn Hòa, Hồ Chí Minh
⏰⏰ 11h – 22h30
💰💰  8 xu – 45 xu
📍Về món
🐥🍗Tính ra thương hiệu Five Star này cũng lâu rồi chứ bộ, nhắc đến ở đâu mà có gà rán vừa chất lượng, giá HSSV, mà còn đa dạng món là tui nghĩ đến brand này liền luôn á. Lâu lắm rồi tui mới quay lại thử thì thấy giá vẫn hợp lý như cũ nè giao động từ 8 xu đến 45 xu thôi. Mà đợt này còn có những combo siêu tiện lợi luôn. 
🍗🍗Tui gọi Combo Bạn Bè (158 xu) mà có tận 3 miếng gà bự, xúc xích, xiên chả giò thái lan, khoai tây, rồi còn có 2 chai nước ngọt nữa. Tính ra mua combo dị tiện quá chời mà còn nhiều nữa. Gà rán quán làm giòn rụm, mộng nước, chắc thịt, không bị quá khô đâu nha. Này mình có thể ăn kèm với 3 loại xốt cay, xốt phô mai, xốt mắm tỏi, mỗi loại xốt thêm 5 xu nè. Riêng ai gu ăn cay, kêu xốt cay nha, còn xốt phô mai thì beo béo, xốt mắm tỏi thì đậm đà thơm mùi tỏi. Higly recommend mấy bà gọi mắm tỏi nha.
🍢🍡Ngoài ra mấy bà có thể thử mấy loại xiên que ở Five Star nha, siêu ngon luôn, mà giá chỉ từ 8 xu đến 17 xu mỗi xiên thôi. Tui bị mê xiên chả cá, xúc xích, cá viên, chả cá quế, phô mai que ở đây nha, kiểu quán chiên vàng giòn, nóng hổi, cầm siêu tiện lợi luôn, chấm cùng với sốt cà chua, siêu ngon. Tui còn mua thêm phần Mì Ý (39 xu) với Gà Nugget (25 xu), mì ý tui thấy ăn cũng tạm ổn thôi nè.
📍Về quán
🍗🍜Tính ra nguyên bàn của tui vừa có gà rán, mỳ ý, các loại xiên que, gà nugget, khoai tây,  tính tổng chỉ có hơn 300 xu xíu thôi, mà cỡ 5 đến 6 người ăn mới hết. Lâu lâu trở lại thấy thương hiệu ngày càng nâng cấp với chất lượng hơn. Hôm tui đi chi nhánh tui đi nằm ở Lê Văn Sỹ chủ yếu bán theo dạng take away thôi. Chị nhân viên cũng dễ thương, nhiệt tình nữa. Ai mà muốn ăn gà rán, xiên que đa dạng món, tiện lợi, giá cả hợp lý, thì có thể tham khảo chỗ này nhe.
#FiveStar #FiveStarVietnam #GaRanFiveStar #GaDay</t>
  </si>
  <si>
    <t xml:space="preserve">Bỏ địa chỉ và thời gian &gt; CTA tới quán gần nhất, chia sẻ map link https://fivestarnearyou.cp.com.vn/
Bỏ phần giá chi tiết &gt; chủ yếu highlight giá hợp lý với chất lượng và khẩu phần xịn
Giá hssv &gt; giá hợp lý / mềm
mộng nước &gt; mọng nước
Gọi tên của các món xiên que luôn - highlight thêm 1 số món xiên que đặc biệt: Chả giò Gai Jor, Chả Cá Chiên Hàn Quốc, Hotdog Xúc xích Phô mai Tẩm Khoai Tây, Xúc xích toperdo, Gà Nugget ngôi sao, v.v.
</t>
  </si>
  <si>
    <t>QUÁN ĂN FAST FOOD GẮN LIỀN VỚI TUỔI THƠ CỦA NHIỀU NGƯỜI BÂY GIỜ ĐÃ RA SAO 
📍 Gà Rán Five Star 489
🏡 🏡 Chi nhánh gần nhất: https://fivestarnearyou.cp.com.vn/ 
⏰⏰ 11h – 22h30
📍Về món 
🐥🍗Tính ra thương hiệu Five Star này cũng lâu rồi chứ bộ, nhắc đến ở đâu mà có gà rán vừa chất lượng, giá hợp lý và mềm, mà còn đa dạng món là tui nghĩ đến brand này liền luôn á. Lâu lắm rồi tui mới quay lại thử thì thấy giá vẫn hợp lý như cũ nè giao động từ 8 xu đến 45 xu thôi. Mà đợt này còn có những combo siêu tiện lợi luôn.  
🍗🍗Tui gọi Combo Bạn Bè (158 xu) mà có tận 3 miếng gà bự, xúc xích, xiên chả giò thái lan, khoai tây, rồi còn có 2 chai nước ngọt nữa. Tính ra mua combo dị tiện quá chời mà còn nhiều nữa. Gà rán quán làm giòn rụm, mọng nước, chắc thịt, không bị quá khô đâu nha. Này mình có thể ăn kèm với 3 loại xốt cay, xốt phô mai, xốt mắm tỏi, mỗi loại xốt thêm 5 xu nè. Riêng ai gu ăn cay, kêu xốt cay nha, còn xốt phô mai thì beo béo, xốt mắm tỏi thì đậm đà thơm mùi tỏi. Higly recommend mấy bà gọi mắm tỏi nha. 
🍢🍡Ngoài ra mấy bà có thể thử mấy loại xiên que ở Five Star nha, siêu ngon luôn, mà giá chỉ từ 8 xu đến 17 xu mỗi xiên thôi. Một trong số món xiên que đặc biệt mà tui tâm đắc: Chả giò Gai Jor, Chả Cá Chiên Hàn Quốc, Hotdog Xúc xích Phô mai Tẩm Khoai Tây, Xúc xích toperdo, Gà Nugget ngôi sao, v.v. Kiểu quán chiên vàng giòn, nóng hổi, cầm siêu tiện lợi luôn, chấm cùng với sốt cà chua, siêu ngon. Tui còn mua thêm phần Mì Ý (39 xu) với Gà Nugget (25 xu), mì ý tui thấy ăn cũng tạm ổn thôi nè. 
📍Về quán 
🍗🍜Tính ra nguyên bàn của tui vừa có gà rán, mỳ ý, các loại xiên que, gà nugget, khoai tây,  tính tổng chỉ có hơn 300 xu xíu thôi, mà cỡ 5 đến 6 người ăn mới hết. Lâu lâu trở lại thấy thương hiệu ngày càng nâng cấp với chất lượng hơn. Hôm tui đi chi nhánh tui đi nằm ở Lê Văn Sỹ chủ yếu bán theo dạng take away thôi. Chị nhân viên cũng dễ thương, nhiệt tình nữa. Ai mà muốn ăn gà rán, xiên que đa dạng món, tiện lợi, giá cả hợp lý, thì có thể tham khảo chỗ này nhe. 
#FiveStar #FiveStarVietnam #GaRanFiveStar #GaDay</t>
  </si>
  <si>
    <t>https://www.facebook.com/share/p/1BHGncNZtK/?mibextid=wwXIfr</t>
  </si>
  <si>
    <t>- Khung giờ đến quay: 11h30 trưa T7 16/5
- basic shop Thị Thắm: Viết Xuân - Hà Đông hà nội</t>
  </si>
  <si>
    <t>"- Trang phục ok
- Nhờ dùng gà chuẩn quy trình 3F (Feed - Farm - Food) từ trang trại đến bàn ăn &gt; bỏ ý này, ghi đơn giản theo giọng của người tiêu dùng, highlight là gà từ tập đoàn CP thì tiêu chuẩn an tâm, chất lượng cao nên thịt tươi ngon, mọng nước
- Có thể bổ sung ý hương vị ai cũng thích, đa dạng các món ai cũng mê
- Add thêm text vị trí địa điểm five star mà bạn vừa ghé"</t>
  </si>
  <si>
    <t>https://docs.google.com/spreadsheets/d/1VVMeHf2sGW8ymO4iXQtvCgyoT4rc0OuQeg-j3A20B_o/edit?gid=1999364123#gid=1999364123</t>
  </si>
  <si>
    <t>Script ok, bổ sung CTA voice off/ text on frame "Xem comment để  xem store Fivestar gần nhất"</t>
  </si>
  <si>
    <t xml:space="preserve">DEMO
</t>
  </si>
  <si>
    <t>0:54 - 0:59 - Nhạc hơi to 
Còn hơi nhiều tạp âm những khúc quay ngoài trời</t>
  </si>
  <si>
    <t>0:42: bị cắt mất địa chỉ &gt; có source nào show địa chỉ ko
0:50, dưới đất có rác &gt; remove
tiếng bạn ở quán hơi nhỏ
Các món xiên que đọc tên đúng giúp m nhé: chả giò gai jor, gà nugget ngôi sao
CTA comment link tìm kiếm địa chỉ</t>
  </si>
  <si>
    <t>https://drive.google.com/file/d/1xUctY1jCB8DIvVNOzGEOgksOCw67MR25/view?usp=drive_link</t>
  </si>
  <si>
    <t>0:18: VO đổi từ kios &gt; hệ thống / quán
1:18, chả giò gai jor</t>
  </si>
  <si>
    <t>https://drive.google.com/file/d/19C2bLoYd_3sijzlxA-4Aj_cw6a9xtfTX/view?usp=drivesdk</t>
  </si>
  <si>
    <r>
      <rPr>
        <rFont val="Be Vietnam Pro"/>
        <color theme="1"/>
      </rPr>
      <t xml:space="preserve">Leo's commet:
-0:07 &amp; 0:10: Zoom để che hoặc Remove cảnh cho thức từ túi giấy ra, nhìn túi giấy hơi đẫm dầu, hiểu là đồ chiên nhưng hạn chế hình ảnh tương tự
- 0:26: Bỏ "kiosk"
</t>
    </r>
    <r>
      <rPr>
        <rFont val="Be Vietnam Pro"/>
        <b/>
        <color theme="1"/>
      </rPr>
      <t xml:space="preserve">=&gt; Nhờ bạn hỗ trợ sửa nhen </t>
    </r>
  </si>
  <si>
    <t>CAPTION: Chúng tôi sẽ ăn và đánh giá tất cả các hãng gà rán #vrmgr #hnag #xh</t>
  </si>
  <si>
    <r>
      <rPr>
        <rFont val="Be Vietnam Pro"/>
        <b/>
        <color rgb="FFFF0000"/>
        <sz val="11.0"/>
      </rPr>
      <t xml:space="preserve">Đã đi quay
</t>
    </r>
    <r>
      <rPr>
        <rFont val="Be Vietnam Pro"/>
        <color theme="1"/>
        <sz val="11.0"/>
      </rPr>
      <t>MINI SHOP - Five Star Mega Q12 - Số 2 đường Trương Thị Hoa, KP 4A, Tân Thới Hiệp, TPHCM
Thời gian: 16H ngày 12/5 (chiều mai)</t>
    </r>
  </si>
  <si>
    <t>- Trang phục ok 
- Add thêm các cảnh cận món xiên que 
- Highlight thêm gà Five Star giòn lâu &gt; dù có bớt nóng chút nhưng gà vẫn giữ đc độ giòn
- Đoạn "Người bước vào cửa hàng / order món" và "Khách đang ăn vui vẻ, mua mang về/  Nhân viên đang vui vẻ tư vấn cho khách" &gt; add thêm keyword "đa dạng" / "nhiều món để lựa chọn" 
- Add thêm text vị trí địa điểm five star mà bạn vừa ghé</t>
  </si>
  <si>
    <t xml:space="preserve">Đã đi quay </t>
  </si>
  <si>
    <t>DEMO FIVE STAR - VVSG</t>
  </si>
  <si>
    <t xml:space="preserve">0:23 - khúc đó gà hơi hồng, mình move nhanh hoặc zoom in để tránh thấy nha
Mình note bỏ chữ kiosk trong VO 0:43 &gt; quán / quầy premium kiosk
Ko cần để text địa chỉ quán ở trên chỉ cần CTA kêu gọi tới quán five star gần nhất
</t>
  </si>
  <si>
    <t>https://drive.google.com/drive/folders/1hn0ZUu3LSUPwUmZw8WCjPiD3dMHiONEQ</t>
  </si>
  <si>
    <t>Đoạn 00:44 - cắt hình ảnh khách nữ đứng quay vô ống kính, nhìn không clean</t>
  </si>
  <si>
    <t>Leo's comment: 
Đoạn 00:44 - cắt hình ảnh khách nữ đứng quay vô ống kính, nhìn không clean =&gt; cmt này fbs sau nên sẽ input ở round 2
Note 0:34 - add text tên món - Chả Giò Gai Jor, Hotdog Xúc Xích Phô Mai Tẩm Khoai Tây (nếu add dc VO về các loại xiên que lạ thì add giúp c nhe)</t>
  </si>
  <si>
    <t>https://drive.google.com/file/d/1Xfi4scMbDGQeex1Llpxafvuu7LVFnkvn/view?usp=sharing</t>
  </si>
  <si>
    <t>Ghé Five Star là có món liền nha mấy bồ ơi !!!!
#FiveStarVietnam #GaDau #FiveStar</t>
  </si>
  <si>
    <t>19h 27/5</t>
  </si>
  <si>
    <t>https://vt.tiktok.com/ZSx4j4dK3/</t>
  </si>
  <si>
    <t>- 13h30 - 14h ngày 13/5
- BASIC SHOP: Nguyễn Thị Thuận - 67 Đường 9, P. Trường Thọ, Thành Phố Thủ Đức, TP. HCM</t>
  </si>
  <si>
    <t>- Bổ sung thêm tình huống hoặc thời điểm hoặc lý do để thuyết phục người xem ghé Five Star. Ví dụ như: những hôm thèm gà ngang mà ko biết đi đâu, down mood, v.v.
- Review luôn các món khác bên cạnh gà nha</t>
  </si>
  <si>
    <t>https://docs.google.com/spreadsheets/d/19KBHFXJZdTSkntAMXMrEZpTkm9ELKraMsDFSVYrKolo/edit?gid=1139038946#gid=1139038946</t>
  </si>
  <si>
    <t>Nature kênh không xuất hiện hình ảnh KOC nên không gửi outfit</t>
  </si>
  <si>
    <r>
      <rPr>
        <rFont val="Be Vietnam Pro"/>
        <color theme="1"/>
        <sz val="11.0"/>
      </rPr>
      <t xml:space="preserve">Script ok
</t>
    </r>
    <r>
      <rPr>
        <rFont val="Be Vietnam Pro"/>
        <b/>
        <color theme="1"/>
        <sz val="11.0"/>
      </rPr>
      <t>Thêm CTA: "Xem Store gần nhất bên dưới phần comment" + Cmt link web</t>
    </r>
  </si>
  <si>
    <r>
      <rPr>
        <rFont val="Lexend"/>
        <color rgb="FF1155CC"/>
        <sz val="11.0"/>
        <u/>
      </rPr>
      <t xml:space="preserve">DEMO
</t>
    </r>
    <r>
      <rPr>
        <rFont val="Lexend"/>
        <color rgb="FF1F1F1F"/>
        <sz val="11.0"/>
      </rPr>
      <t>KOC tặng bộ ảnh để brand có thể dùng: Ảnh tặng</t>
    </r>
  </si>
  <si>
    <t xml:space="preserve">- Text đang hơi to che hình ản sản phẩm 
- Nhạc đang hơi lớn &gt; có thể cân nhắc chuyển sang nhạc không lời </t>
  </si>
  <si>
    <t>Text to quá, layout chữ che sản phẩm và hơi nhiều chữ
Chuyển sang nhạc ko lời và sôi động hơn chút
Đoạn 00:34 -  đúng tên món "Chả Giò Gai Jor"</t>
  </si>
  <si>
    <t>Revised.mp4</t>
  </si>
  <si>
    <t xml:space="preserve">Nhi's comment
 Chưa sửa comment của anh Leo "Chả Giò Gai Jor"
</t>
  </si>
  <si>
    <t>https://drive.google.com/file/d/1CHksn0Bqm_2snadSuMjJY6TOvPXveQPX/view?usp=drive_link</t>
  </si>
  <si>
    <t>revise caption + air</t>
  </si>
  <si>
    <t>CAPTION: Ở Thủ Đức mấy bồ đã biết tới quàn gà chiên siêu ngon này chưa ?</t>
  </si>
  <si>
    <t>quán gà chiên &gt; đổi lại theo hướng thành "quán thức ăn nhanh mà có món gà chiên siêu ngon"</t>
  </si>
  <si>
    <t>Đâu nghĩ ở Thủ Đức có quán thức ăn nhanh mà có món gà chiên siêu ngon như thế này</t>
  </si>
  <si>
    <t>https://vt.tiktok.com/ZSQYL87Kt/</t>
  </si>
  <si>
    <t>17g - 14/5 quay chi nhánh Huỳnh Tấn Phát, Nhà Bè, TP HCM
7. OUTLET - HKD GÀ RÁN FIVE STAR THU HÀ - 37/3 Huỳnh Tấn Phát, Xã Nhà Bè, TPHCM</t>
  </si>
  <si>
    <t>- Đoạn đầu khi dẫn về Five Star chưa có sự liên kết &gt; có thể nói về việc nghĩ tới gà rán là nghĩ tới Five Star hoặc là nghĩ tới gà rán mà mềm mọng, vừa nhanh gọn lẹ ngon thì Five Star là lựa chọn đầu tiên. 
- Highlight thêm về giá cả &gt; giá hợp lý, giá dễ chịu, khẩu phần chất lượng hơn so với giá &gt; ko nhắc tới keyword rẻ hay mắc
- Review thêm về tính đa dạng trong menu &gt; ăn no hay ăn vặt đều hợp, các món mà người lớn con nít đều yêu thích</t>
  </si>
  <si>
    <r>
      <rPr>
        <rFont val="Be Vietnam Pro"/>
        <color theme="1"/>
        <sz val="11.0"/>
      </rPr>
      <t xml:space="preserve">Script ok 
Remove địa chỉ quán &gt; thay bằng add website địa điểm phần comment
</t>
    </r>
    <r>
      <rPr>
        <rFont val="Be Vietnam Pro"/>
        <b/>
        <color theme="1"/>
        <sz val="11.0"/>
      </rPr>
      <t>Thêm CTA: "Xem Store gần nhất bên dưới phần comment" + Cmt link web</t>
    </r>
  </si>
  <si>
    <t>PMAX x C.P FIVESTAR | SÀI GÒN MAP Script</t>
  </si>
  <si>
    <t>https://drive.google.com/file/d/126voDv_eow-AZySZj8J51bk2YXbbR-t8/view?usp=drivesdk</t>
  </si>
  <si>
    <t>Phần xiên que: mention tên các món thay vì nói là xiên que:  chả giò gai jor, hotdog xúc xích phô mai tẩm khoai tây, hotdog toperdo, gà nugget ngôi sao
Ko cần để text địa chỉ quán ở trên chỉ cần CTA kêu gọi tới quán five star gần nhất</t>
  </si>
  <si>
    <t>https://drive.google.com/file/d/1sZ5JkOylTp90aiUK9_A_gKbwBLGshMRr/view?usp=drivesdk</t>
  </si>
  <si>
    <t>Clip ok</t>
  </si>
  <si>
    <t>Tiệm gà rán siêu ngon gắn liền tuổi thơ bao người🍗✨</t>
  </si>
  <si>
    <t>11h 28/5</t>
  </si>
  <si>
    <t>https://www.tiktok.com/@saigonmap/video/7644787494319312136?_r=1&amp;_t=ZS-96jG8hKdGL9</t>
  </si>
  <si>
    <t>Yến Vy ( Miên Man Hà Nội )</t>
  </si>
  <si>
    <t>- Khung giờ đến quay: 16h ngày 19/5
- basic shop lê tuyết: Phố xốm- Yên Nghĩa- Hà Nội</t>
  </si>
  <si>
    <t>Trang phục ok
- Tập đoàn CP Food &gt; chỉnh lại là Tập đoàn CP
- Giá cả bình dân &gt; đổi thành giá hợp lý
- Bổ sung thêm ý về chất lượng tươi ngon của món (ví dụ ko bị bở, tươi, .vv.)</t>
  </si>
  <si>
    <t>https://docs.google.com/spreadsheets/d/1s73hp06B3Mcm2XxooLuX0PBD9R1WJN7cKVv-1JsxMNo/edit?gid=1596471473#gid=1596471473</t>
  </si>
  <si>
    <r>
      <rPr>
        <rFont val="Be Vietnam Pro"/>
        <color theme="1"/>
        <sz val="11.0"/>
      </rPr>
      <t xml:space="preserve">Script &amp; trang phục ok
</t>
    </r>
    <r>
      <rPr>
        <rFont val="Be Vietnam Pro"/>
        <b/>
        <color theme="1"/>
        <sz val="11.0"/>
      </rPr>
      <t>Thêm CTA: "Xem Store gần nhất bên dưới phần comment" + Cmt link web</t>
    </r>
  </si>
  <si>
    <t>DEMO</t>
  </si>
  <si>
    <t>0:14 - 0:18: Giọng bạn NV đang hơi giống bạn KOL =&gt; hơi khó phân biệt</t>
  </si>
  <si>
    <t>Phần xiên que: mention tên các món thay vì nói là xiên que:  chả giò gai jor, hotdog xúc xích phô mai tẩm khoai tây, hotdog toperdo, gà nugget ngôi sao
0:40 - VO là xúc xích hot dog mà show món gà &gt; ko hợp lý
Text cuối: bạn có thể share địa chỉ nơi bạn đi và kêu gọi các bạn fan tìm kiếm chi nhánh gần nhất qua địa chỉ web</t>
  </si>
  <si>
    <t>https://drive.google.com/file/d/1hYXC7LQYH8BUbAQdxdv9tKJ5ZfyK3TGH/view?usp=drive_link</t>
  </si>
  <si>
    <t>"0:41: ""chả cá"" -&gt; chả giò gai jor
0:37 - 0:43: Phần xiên que: mention tên các món thay vì nói là xiên que:  chả giò gai jor, hotdog xúc xích phô mai tẩm khoai tây, hotdog toperdo, gà nugget ngôi sao
0:40: nói ""xúc xích"" nhưng lại show chả giò"</t>
  </si>
  <si>
    <t>https://drive.google.com/file/d/1E6JcPVC4gF0_iY-Hr49W_iDMtM5NxT8Z/view?usp=drive_link</t>
  </si>
  <si>
    <t>Leo's commet:
- 0:29: Sửa text "mì spaghetti" -  "xúc xích torpedo" chứ không phải "toperdo"
- 0:42: Sửa voice "hot torpedo" chứ không phải "hotdog pertedo"</t>
  </si>
  <si>
    <t>Trải nghiệm 1 quán gà rán, đồ ăn nhanh tủ của các bạn học sinh sinh viên</t>
  </si>
  <si>
    <t>Column 1</t>
  </si>
  <si>
    <t>PMAX | C.P.GROUP VIETNAM — PERFORMANCE TRACKING (End-user)</t>
  </si>
  <si>
    <t>STT</t>
  </si>
  <si>
    <t>Tên Người Ảnh Hưởng</t>
  </si>
  <si>
    <t>Lượng Người
Theo Dõi</t>
  </si>
  <si>
    <t>Nền Tảng</t>
  </si>
  <si>
    <t>Link air</t>
  </si>
  <si>
    <t>NGÀY AIR</t>
  </si>
  <si>
    <t>KPI</t>
  </si>
  <si>
    <t>Actual collectables</t>
  </si>
  <si>
    <t>Runrate</t>
  </si>
  <si>
    <t>NGÀY CẬP NHẬT</t>
  </si>
  <si>
    <t>View</t>
  </si>
  <si>
    <t>Engagement</t>
  </si>
  <si>
    <t>Engagements</t>
  </si>
  <si>
    <t>Screenshot
nghiệm thu</t>
  </si>
  <si>
    <t>https://vt.tiktok.com/ZSxt8cXaM/</t>
  </si>
  <si>
    <t>Instagram (FOC)</t>
  </si>
  <si>
    <t>https://www.instagram.com/reel/DY9hZnczdim/?igsh=MWk3cnVvcjlwZ3VndA==</t>
  </si>
  <si>
    <t xml:space="preserve">   TP HCM</t>
  </si>
  <si>
    <t>Đi chill cùng Phương phiêu</t>
  </si>
  <si>
    <t xml:space="preserve">   Khu Vực miền Bắc</t>
  </si>
  <si>
    <t xml:space="preserve">   Khu vực miền Nam</t>
  </si>
  <si>
    <t xml:space="preserve">   Khu vực miền Tây</t>
  </si>
  <si>
    <t>Phê Hà Nội</t>
  </si>
  <si>
    <t>HÀ NỘI</t>
  </si>
  <si>
    <r>
      <rPr>
        <rFont val="Afacad Flux"/>
        <sz val="11.0"/>
      </rPr>
      <t xml:space="preserve">1) shop Five star ngãi cầu: Ngã 3 ngãi cầu - an khánh- Hà Nội
</t>
    </r>
    <r>
      <rPr>
        <rFont val="Afacad Flux"/>
        <color rgb="FF1155CC"/>
        <sz val="11.0"/>
        <u/>
      </rPr>
      <t>https://fivestarnearyou.cp.com.vn/?Longtitude=105.72529189288616&amp;Latitude=20.990128247353965</t>
    </r>
    <r>
      <rPr>
        <rFont val="Afacad Flux"/>
        <sz val="11.0"/>
      </rPr>
      <t xml:space="preserve">
2) basic shop lê tuyết: Phố xốm- Yên Nghĩa- Hà Nội
</t>
    </r>
    <r>
      <rPr>
        <rFont val="Afacad Flux"/>
        <color rgb="FF1155CC"/>
        <sz val="11.0"/>
        <u/>
      </rPr>
      <t>https://fivestarnearyou.cp.com.vn/?Longtitude=105.7567036&amp;Latitude=20.9464944</t>
    </r>
    <r>
      <rPr>
        <rFont val="Afacad Flux"/>
        <sz val="11.0"/>
      </rPr>
      <t xml:space="preserve">
3) basic shop Thị Thắm: Viết Xuân - Hà Đông hà nội
</t>
    </r>
    <r>
      <rPr>
        <rFont val="Afacad Flux"/>
        <color rgb="FF1155CC"/>
        <sz val="11.0"/>
        <u/>
      </rPr>
      <t>https://fivestarnearyou.cp.com.vn/?Longtitude=105.7684087&amp;Latitude=20.9698673</t>
    </r>
    <r>
      <rPr>
        <rFont val="Afacad Flux"/>
        <sz val="11.0"/>
      </rPr>
      <t xml:space="preserve">
4) outlet quốc nguyễn - đô nghĩa - yên nghĩa hà nội
</t>
    </r>
    <r>
      <rPr>
        <rFont val="Afacad Flux"/>
        <color rgb="FF1155CC"/>
        <sz val="11.0"/>
        <u/>
      </rPr>
      <t>https://fivestarnearyou.cp.com.vn/?Longtitude=105.73732741441492&amp;Latitude=20.957116989172075</t>
    </r>
  </si>
  <si>
    <t>HỒ CHÍ MINH</t>
  </si>
  <si>
    <t>1. PREAMIUM KIOSK 4*3        Hộ Kinh Doanh Đỗ Thị Thu Hồng        Số 98, đường Trần Tử Bình, ấp Tân Định 3, Xã Củ Chi, TP. HCM
2. MINI SHOP - Five Star Mega Q12 - Số 2 đường Trương Thị Hoa, KP 4A, Tân Thới Hiệp, TPHCM
3. BASIC SHOP -  Nguyễn Thị Thuận - Số 67 Đường 9, phường Trường Thọ, TP. Thủ Đức, TP. HCM
4. OUTLET - HKD FIVE STAR TRUNG HIẾU - B8/28M Đường Hưng Nhơn, xã Tân Nhựt, TP HCM
5. OUTLET - HKD LÝ VĂN PHÁT -  D23/39 Ấp 10, Xã Hưng Long, Tp. Hồ Chí Minh
6. PREAMIUM KIOSK 4*3 - HKD PHAN TẤN TÀI  -  223 Ấp 2, xã Bình Chánh, TP HCM
7. OUTLET - HKD GÀ RÁN FIVE STAR THU HÀ - 37/3 Huỳnh Tấn Phát, Xã Nhà Bè, TPHCM
8. PREAMIUM KIOSK 3*3 - HKD FIVE STAR ĐINH ĐỨC THIỆN - 1/26 Đinh Đức Thiện, xã Bình Chánh, TP HCM</t>
  </si>
  <si>
    <r>
      <rPr>
        <rFont val="Be Vietnam Pro"/>
        <b/>
        <color theme="1"/>
        <sz val="20.0"/>
      </rPr>
      <t xml:space="preserve">PMAX | </t>
    </r>
    <r>
      <rPr>
        <rFont val="Be Vietnam Pro"/>
        <b/>
        <color rgb="FFED2229"/>
        <sz val="20.0"/>
      </rPr>
      <t>C.P.GROUP VIETNAM</t>
    </r>
    <r>
      <rPr>
        <rFont val="Be Vietnam Pro"/>
        <b/>
        <color theme="1"/>
        <sz val="20.0"/>
      </rPr>
      <t xml:space="preserve"> - INFLUENCERS WORKPLAN</t>
    </r>
  </si>
  <si>
    <t>OVERVIEW</t>
  </si>
  <si>
    <t>CHECKLIST</t>
  </si>
  <si>
    <t>PIC</t>
  </si>
  <si>
    <t>Quantity of lead time</t>
  </si>
  <si>
    <t>START DATE</t>
  </si>
  <si>
    <t>END DATE</t>
  </si>
  <si>
    <t>STATUS</t>
  </si>
  <si>
    <t>Influencer Review</t>
  </si>
  <si>
    <t>KOC List &amp; Brief</t>
  </si>
  <si>
    <t>Gửi báo giá Influencer Review</t>
  </si>
  <si>
    <t>PMAX</t>
  </si>
  <si>
    <t>Done</t>
  </si>
  <si>
    <t>Chốt Influencer &amp; SOW</t>
  </si>
  <si>
    <t>PMAX-BRAND</t>
  </si>
  <si>
    <t>Chuẩn bị Influencer Content Direction</t>
  </si>
  <si>
    <t>Soạn Influencer Brief</t>
  </si>
  <si>
    <t>Chốt Influencer Brief</t>
  </si>
  <si>
    <t>Lead time Influencer</t>
  </si>
  <si>
    <t>On going</t>
  </si>
  <si>
    <t>Briefing cho Influencer</t>
  </si>
  <si>
    <t>Kịch bản &amp; Trang phục</t>
  </si>
  <si>
    <t xml:space="preserve">Gửi kịch bản &amp; trang phục </t>
  </si>
  <si>
    <t>Thống nhất kịch bản &amp; trang phục</t>
  </si>
  <si>
    <t>Video</t>
  </si>
  <si>
    <t>Đi quay tại Kiosk</t>
  </si>
  <si>
    <t>Thực hiện dựng video + quay các source bổ sung</t>
  </si>
  <si>
    <t>Check demo &amp; chốt video review</t>
  </si>
  <si>
    <t>https://docs.google.com/spreadsheets/d/1vaepmEWZwQPcFnJybT7zJVCFQxsVk_MSW_pJStnUg6U/edit?gid=401671460#gid=401671460</t>
  </si>
  <si>
    <t>Timeline est</t>
  </si>
  <si>
    <t>2/4 có KOL brief</t>
  </si>
  <si>
    <t>4/4 Script R1</t>
  </si>
  <si>
    <t>6/4 script R2</t>
  </si>
  <si>
    <t>14/4 demo R1</t>
  </si>
  <si>
    <t>16/4 demo R2</t>
  </si>
  <si>
    <t>18/4 finalize demo</t>
  </si>
  <si>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</si>
  <si>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t>Package</t>
  </si>
  <si>
    <t>INTERNAL</t>
  </si>
  <si>
    <t>KPIs</t>
  </si>
  <si>
    <t xml:space="preserve"> NET COST
(inc PIT, exc VAT)</t>
  </si>
  <si>
    <t>MARK UP COST</t>
  </si>
  <si>
    <t>MEDIA/SEEDING 
COST</t>
  </si>
  <si>
    <t>TOTAL COST
(Net cost + Media cost)</t>
  </si>
  <si>
    <t xml:space="preserve">PROFIT </t>
  </si>
  <si>
    <t>IM MARGIN</t>
  </si>
  <si>
    <t>Hình thức ký</t>
  </si>
  <si>
    <t>Payment Term</t>
  </si>
  <si>
    <t>Organic View</t>
  </si>
  <si>
    <t>Mark up View</t>
  </si>
  <si>
    <t>Organic Eng</t>
  </si>
  <si>
    <t>Mark up Eng</t>
  </si>
  <si>
    <t>FB Eng: 50đ, FB view: 20đ, FB Eng: 60đ, FB Buzz: 3500đ
TikTok view: 2đ</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</si>
  <si>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</si>
  <si>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</si>
  <si>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</si>
  <si>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</si>
  <si>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est</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</si>
  <si>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</si>
  <si>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</si>
  <si>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t>chưa bao gồm chi phí mua đồ ăn</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</si>
  <si>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</si>
  <si>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FOC code ads và reup kêng brand</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</si>
  <si>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</si>
  <si>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</si>
  <si>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t>https://docs.google.com/spreadsheets/d/1G2tMrOxJpcW3osvBoXzc-RPm5XZa-6xKs05LG1czwZ0/edit?gid=0#gid=0</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</si>
  <si>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</si>
  <si>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</si>
  <si>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</si>
  <si>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</si>
  <si>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hỗ trợ reup reel insta/facebook. FOC code ads và reup kêng brand</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</si>
  <si>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</si>
  <si>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</si>
  <si>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</si>
  <si>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SDHA 01 tháng đầu tiên
  + Reup Instagram Reels: FOC</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</si>
  <si>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</si>
  <si>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</si>
  <si>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</si>
  <si>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</si>
  <si>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</si>
  <si>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</si>
  <si>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</si>
  <si>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</si>
  <si>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</si>
  <si>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t>T5A BÁO GIÁ T5A x Five Star</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</si>
  <si>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</si>
  <si>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</si>
  <si>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có định vị rõ về ăn uống, dễ tạo cảm giác rủ rê và kích thích người xem đi ăn ngay. Tên kênh mang tính call-to-action tự nhiên, phù hợp với nhóm khán giả chủ động tìm recommendation món/quán, thích nội dung review nhanh, visual ngon mắt và reaction thực tế.
</t>
    </r>
    <r>
      <rPr>
        <rFont val="Be Vietnam Pro"/>
        <b/>
        <color theme="1"/>
        <sz val="11.0"/>
      </rPr>
      <t xml:space="preserve">Lý do phù hợp
</t>
    </r>
    <r>
      <rPr>
        <rFont val="Be Vietnam Pro"/>
        <color theme="1"/>
        <sz val="11.0"/>
      </rPr>
      <t>Đi Ăn Chưa phù hợp để truyền tải Fivestar như một lựa chọn ăn uống tiện, ngon và dễ chốt kèo. Tinh thần “đi ăn chưa” match tốt với thông điệp rủ bạn bè cùng ăn gà rán, giúp nội dung brand trở nên tự nhiên, gần gũi và có khả năng kích thích hành động thử món.</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</si>
  <si>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</si>
  <si>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</si>
  <si>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</si>
  <si>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</si>
  <si>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</si>
  <si>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</si>
  <si>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</si>
  <si>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</si>
  <si>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</si>
  <si>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</si>
  <si>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</si>
  <si>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</si>
  <si>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</si>
  <si>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</si>
  <si>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</si>
  <si>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</si>
  <si>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</si>
  <si>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</si>
  <si>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</si>
  <si>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</si>
  <si>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</si>
  <si>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</si>
  <si>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</si>
  <si>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sz val="9.0"/>
      </rPr>
      <t xml:space="preserve">T5A: </t>
    </r>
    <r>
      <rPr>
        <color rgb="FF1155CC"/>
        <sz val="9.0"/>
        <u/>
      </rPr>
      <t xml:space="preserve">https://docs.google.com/spreadsheets/d/1zp_LaYpWA9sZHsid5iK9uwpUrgqLfDp_I-uIAAKEj48/edit?gid=86066825#gid=86066825
</t>
    </r>
    <r>
      <rPr>
        <sz val="9.0"/>
      </rPr>
      <t xml:space="preserve">
</t>
    </r>
    <r>
      <rPr>
        <color rgb="FFFF0000"/>
        <sz val="9.0"/>
      </rPr>
      <t xml:space="preserve">- Yuhi sẽ review theo cảm nhận cá nhân của bản thân và trao đổi, lắng nghe nhãn hàng để đưa những nội dung mong muốn có trong video phù hợp nhất. 
- Video chỉnh sửa miễn phí 2 lần, kể từ lần thứ 3 phát sinh thêm 10% chi phí sản xuất clip/1 lần. 
Hủy job sẽ mất 50% cọc và dời lịch sẽ tính thêm 10% chi phí.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</si>
  <si>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</si>
  <si>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</si>
  <si>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</si>
  <si>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Arial"/>
        <color theme="1"/>
        <sz val="9.0"/>
      </rPr>
      <t xml:space="preserve">T5A: https://docs.google.com/spreadsheets/d/1zp_LaYpWA9sZHsid5iK9uwpUrgqLfDp_I-uIAAKEj48/edit?gid=86066825#gid=86066825
</t>
    </r>
    <r>
      <rPr>
        <rFont val="Arial"/>
        <b/>
        <color theme="1"/>
        <sz val="9.0"/>
      </rPr>
      <t>note</t>
    </r>
    <r>
      <rPr>
        <rFont val="Arial"/>
        <color theme="1"/>
        <sz val="9.0"/>
      </rPr>
      <t xml:space="preserve">: - Đăng cùng lúc 3 nền tảng TIKTOK - FANPAGE (FACEBOOK) - INSTAGRAM 
- Miễn phí Ghim clip đầu kênh TikTok &amp; Fanpage 3 ngày
- Miễn phí Code Ads TikTok 2 tuần 
- Ưu tiên trả clip sớm sau 2 ngày (Nếu Brand cần đăng gấp)
- FOC 1 Story FB
</t>
    </r>
    <r>
      <rPr>
        <rFont val="Arial"/>
        <color rgb="FFFF0000"/>
        <sz val="9.0"/>
      </rPr>
      <t>- Huỷ job khi đã thực hiện quay =&gt; bồi thường 100% tổng tiền booking. 
- Thời gian trả demo: 5 ngày
- Trong trường hợp các Brand tự ý buff view ảo, tương tác ảo vào clip, bên mình xin phép xoá video và phía Brand phải đền bù 150% tổng chi phí</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</si>
  <si>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</si>
  <si>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</si>
  <si>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</si>
  <si>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</si>
  <si>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</si>
  <si>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</si>
  <si>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</si>
  <si>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</si>
  <si>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</si>
  <si>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</si>
  <si>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</si>
  <si>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</si>
  <si>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</si>
  <si>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</si>
  <si>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</si>
  <si>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</si>
  <si>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</si>
  <si>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</si>
  <si>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</si>
  <si>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</si>
  <si>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</si>
  <si>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</si>
  <si>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review mang phong cách gần gũi, vui vẻ và vô cùng chân thật, tập trung mạnh vào các chuyến food tour và ẩm thực đường phố thường ngày. Với lối kể chuyện mộc mạc, năng lượng tích cực cùng biểu cảm tự nhiên, Bánh Ú dễ dàng tạo thiện cảm và thu hút lượng lớn khán giả Gen Z – những người đam mê ăn vặt và luôn tìm kiếm các gợi ý ẩm thực để rủ rê hội bạn.
</t>
    </r>
    <r>
      <rPr>
        <rFont val="Be Vietnam Pro"/>
        <b/>
        <color theme="1"/>
        <sz val="11.0"/>
      </rPr>
      <t xml:space="preserve">Lý do phù hợp
</t>
    </r>
    <r>
      <rPr>
        <rFont val="Be Vietnam Pro"/>
        <color theme="1"/>
        <sz val="11.0"/>
      </rPr>
      <t>Bánh Ú rất lý tưởng để review Fivestar theo hướng "món quen nhưng luôn thèm". Sự hào hứng và biểu cảm ăn uống ngon miệng của creator sẽ giúp tôn lên độ giòn rụm, hương vị hấp dẫn của món ăn. Cách tiếp cận này kích thích trực tiếp cảm giác thèm ăn (craving) của người xem, biến Fivestar thành một lựa chọn ăn vặt chốt đơn nhanh chóng cho các buổi tụ tập.</t>
    </r>
  </si>
  <si>
    <r>
      <rPr>
        <sz val="9.0"/>
      </rPr>
      <t xml:space="preserve">T5A: </t>
    </r>
    <r>
      <rPr>
        <color rgb="FF1155CC"/>
        <sz val="9.0"/>
        <u/>
      </rPr>
      <t>https://docs.google.com/spreadsheets/d/1zp_LaYpWA9sZHsid5iK9uwpUrgqLfDp_I-uIAAKEj48/edit?gid=86066825#gid=86066825</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</si>
  <si>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</si>
  <si>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</si>
  <si>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</si>
  <si>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</si>
  <si>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</si>
  <si>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</si>
  <si>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</si>
  <si>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</si>
  <si>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</si>
  <si>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</si>
  <si>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</si>
  <si>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</si>
  <si>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</si>
  <si>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</si>
  <si>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</si>
  <si>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</si>
  <si>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</si>
  <si>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</si>
  <si>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</si>
  <si>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</si>
  <si>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</si>
  <si>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</si>
  <si>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</si>
  <si>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</si>
  <si>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t>Checked qua vendor</t>
  </si>
  <si>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</si>
  <si>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</si>
  <si>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</si>
  <si>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</si>
  <si>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</si>
  <si>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</si>
  <si>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t>Checked cá nhân</t>
  </si>
  <si>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</si>
  <si>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</si>
  <si>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</si>
  <si>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t>TRANSPORTATION FEE</t>
  </si>
  <si>
    <t>Transportation Fee</t>
  </si>
  <si>
    <t>Chi phí di chuyển phát sinh cho Influencer đến các điểm quay ngoại thành, bao gồm các profile:
- Hello Lập Đây
- Nuchuu nè
- Vie ở sài gòn
- Hà Nội Ăn Gì?
- Thong dong đó đây
- Yến Vy ( Miên Man Hà Nội )
- A dinosaur in the kitchen
- Dương Bảo Anh 
- Nguyệt Thư
- Đi chill cùng Phương phiêu</t>
  </si>
  <si>
    <t>Di chuyển</t>
  </si>
  <si>
    <t>SUMMARY</t>
  </si>
  <si>
    <t xml:space="preserve">Back up </t>
  </si>
  <si>
    <t>*Back up chi phí mua đồ ăn và di chuyển</t>
  </si>
  <si>
    <t xml:space="preserve">Total Profit </t>
  </si>
  <si>
    <t xml:space="preserve">Final Margin </t>
  </si>
  <si>
    <t>Chi phí Backup (chi phí ăn uống)</t>
  </si>
  <si>
    <t>Seeding cho anh Vương cần nghiệm thu</t>
  </si>
  <si>
    <t>Hạng mục</t>
  </si>
  <si>
    <t>Chi tiết</t>
  </si>
  <si>
    <t>Đơn giá (estimated)</t>
  </si>
  <si>
    <t>Số lượng</t>
  </si>
  <si>
    <t>Tổng chi phí (estimated)</t>
  </si>
  <si>
    <t>Ghi chú</t>
  </si>
  <si>
    <t>PMAX x Anh Vương - Happy One Mori</t>
  </si>
  <si>
    <t>https://docs.google.com/spreadsheets/d/1Rn87HnwLQJGNGg-NH0Sa5q83987h6iPvkeqhBFQ54RY/edit?gid=0#gid=0</t>
  </si>
  <si>
    <t>Tiền ăn phát sinh</t>
  </si>
  <si>
    <t>[HDBank] Buff Jan 2026 - Anh Vương</t>
  </si>
  <si>
    <t>https://docs.google.com/spreadsheets/d/1l9bfdoC0eSQXKINNcNIzHmrOA0JsYfGIZxtgB3d4o3g/edit?gid=979601156#gid=979601156</t>
  </si>
  <si>
    <t>Old Spice Seeding - Anh Vương</t>
  </si>
  <si>
    <t>https://docs.google.com/spreadsheets/d/1MdUXcEjefJOtEwLDz2L2QFLvh0vVffRPOCfgWSS8Boc/edit?gid=979601156#gid=979601156</t>
  </si>
  <si>
    <t>Vincom Collection - Seeding Anh Vương</t>
  </si>
  <si>
    <t>https://docs.google.com/spreadsheets/d/1tdM8mM5NVup3HoWT-pT6mtnUpdaNhmwBh9Y0PiXwfBA/edit?gid=2067434365#gid=2067434365</t>
  </si>
  <si>
    <t>Thư Boony</t>
  </si>
  <si>
    <t>Vinhomes Hải Vân Bay 2026 - Anh Vương</t>
  </si>
  <si>
    <t>https://docs.google.com/spreadsheets/d/1kLxq-1cfdLfNdD7pCIvGp6B8LRYWZ8If0fLjn6FKapM/edit?gid=979601156#gid=979601156</t>
  </si>
  <si>
    <t>Sài Gòn Map</t>
  </si>
  <si>
    <t>Xuân Mơ</t>
  </si>
  <si>
    <t>Total BACKUP COST</t>
  </si>
  <si>
    <t>Còn lại</t>
  </si>
  <si>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</si>
  <si>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</si>
  <si>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</si>
  <si>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</si>
  <si>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</si>
  <si>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</si>
  <si>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</si>
  <si>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Est</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</si>
  <si>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</si>
  <si>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</si>
  <si>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</si>
  <si>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</si>
  <si>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</si>
  <si>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</si>
  <si>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</si>
  <si>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</si>
  <si>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</si>
  <si>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</si>
  <si>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</si>
  <si>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</si>
  <si>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</si>
  <si>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</si>
  <si>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</si>
  <si>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</si>
  <si>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</si>
  <si>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Làm gì đây ta?</t>
  </si>
  <si>
    <t>118.2K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</si>
  <si>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</si>
  <si>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review trải nghiệm/lifestyle,  nổi bật là review trường học, trải nghiệm sinh viên, khám phá địa điểm hơn là thuần food. Tệp học sinh – sinh viên và người trẻ quan tâm trải nghiệm đời sống quanh trường/lối sống thường ngày. Với Fivestar, đây là nhóm audience phù hợp cho các nội dung tiện lợi, giá dễ tiếp cận, dễ ăn cùng bạn bè.
</t>
    </r>
    <r>
      <rPr>
        <rFont val="Be Vietnam Pro"/>
        <b/>
        <color theme="1"/>
        <sz val="11.0"/>
      </rPr>
      <t>Lý do phù hợp</t>
    </r>
    <r>
      <rPr>
        <rFont val="Be Vietnam Pro"/>
        <color theme="1"/>
        <sz val="11.0"/>
      </rPr>
      <t xml:space="preserve">
Đây không phải lựa chọn mạnh nhất cho tuyến hero food review, nhưng lại phù hợp nếu Fivestar cần creator cho hoạt động brand tại điểm bán, activation gần trường học, hoặc nội dung “ăn gì nhanh – tiện – vui” trong nhịp sống sinh viên. Điểm mạnh là chất đời thường và sự gần gũi với bối cảnh đi học/đi chơi.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</si>
  <si>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</si>
  <si>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Checked</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</si>
  <si>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</si>
  <si>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</si>
  <si>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</si>
  <si>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</si>
  <si>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</si>
  <si>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</si>
  <si>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Sản xuất và đăng tải 01 Tiktok Video Post review sản phẩm tại nhà, theo định hưinsg của nhãn hàng
- Thời lượng: 60-120s
- Chất lượng: phù hợp điện thoại 
- Địa điểm: tại nhà</t>
  </si>
  <si>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</si>
  <si>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</si>
  <si>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</si>
  <si>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</si>
  <si>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</si>
  <si>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</si>
  <si>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</si>
  <si>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</si>
  <si>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</si>
  <si>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</si>
  <si>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</si>
  <si>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</si>
  <si>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 xml:space="preserve">Dun đi đâu dạ </t>
  </si>
  <si>
    <t>56.5K</t>
  </si>
  <si>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</si>
  <si>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</si>
  <si>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</si>
  <si>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Tiểu Mị Lon Ton</t>
  </si>
  <si>
    <t>35.8K</t>
  </si>
  <si>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</si>
  <si>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</si>
  <si>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</si>
  <si>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Huy Huỳnh</t>
  </si>
  <si>
    <t>11.8K</t>
  </si>
  <si>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</si>
  <si>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</si>
  <si>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</si>
  <si>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</si>
  <si>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</si>
  <si>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</si>
  <si>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</si>
  <si>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</si>
  <si>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</si>
  <si>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 xml:space="preserve">
Kun Cooking</t>
  </si>
  <si>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</si>
  <si>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</si>
  <si>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</si>
  <si>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</si>
  <si>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</si>
  <si>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</si>
  <si>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</si>
  <si>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</si>
  <si>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</si>
  <si>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</si>
  <si>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</si>
  <si>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</si>
  <si>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</si>
  <si>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</si>
  <si>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t>File working với Vendor</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</si>
  <si>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</si>
  <si>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</si>
  <si>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XM 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</si>
  <si>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</si>
  <si>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</si>
  <si>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</si>
  <si>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</si>
  <si>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</si>
  <si>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</si>
  <si>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t>Meci: 
https://docs.google.com/spreadsheets/d/1G2tMrOxJpcW3osvBoXzc-RPm5XZa-6xKs05LG1czwZ0/edit?gid=0#gid=0</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</si>
  <si>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</si>
  <si>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</si>
  <si>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</si>
  <si>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</si>
  <si>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</si>
  <si>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</si>
  <si>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</si>
  <si>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</si>
  <si>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</si>
  <si>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</si>
  <si>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</si>
  <si>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</si>
  <si>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</si>
  <si>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</si>
  <si>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Review Nghiệp Dư</t>
  </si>
  <si>
    <t>316.3K</t>
  </si>
  <si>
    <t>https://www.tiktok.com/@lieten91th</t>
  </si>
  <si>
    <r>
      <rPr>
        <rFont val="Be Vietnam Pro"/>
        <b/>
        <sz val="11.0"/>
      </rPr>
      <t>Mua và review sản phẩm TẠI NHÀ</t>
    </r>
    <r>
      <rPr>
        <rFont val="Be Vietnam Pro"/>
        <sz val="11.0"/>
      </rPr>
      <t>, đồng thời sản xuất và đăng tải 01 Tiktok Video Review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</si>
  <si>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tập trung các món ăn và review tại nhà, đưa ra trải nghiệm khách quan, dễ tiếp cận đối với người xem. Tệp người xem trẻ, thích khám phá quán mới, ưu tiên món quen thuộc – giá hợp lý.
</t>
    </r>
    <r>
      <rPr>
        <rFont val="Be Vietnam Pro"/>
        <b/>
        <color theme="1"/>
        <sz val="11.0"/>
      </rPr>
      <t xml:space="preserve">Lý do phù hợp
</t>
    </r>
    <r>
      <rPr>
        <rFont val="Be Vietnam Pro"/>
        <color theme="1"/>
        <sz val="11.0"/>
      </rPr>
      <t>Phù hợp kéo tuyến review món ăn. Nội dung mang tính gần gũi, dễ lồng ghép Fivestar như một lựa chọn ăn nhanh tiện – ngon – phổ biến.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</si>
  <si>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</si>
  <si>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FOC</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</si>
  <si>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</si>
  <si>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</si>
  <si>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</si>
  <si>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</si>
  <si>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</si>
  <si>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</si>
  <si>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</si>
  <si>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</si>
  <si>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</si>
  <si>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</si>
  <si>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</si>
  <si>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</si>
  <si>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</si>
  <si>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</si>
  <si>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</si>
  <si>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</si>
  <si>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</si>
  <si>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</si>
  <si>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</si>
  <si>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</si>
  <si>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</si>
  <si>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</si>
  <si>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</si>
  <si>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</si>
  <si>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</si>
  <si>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sz val="9.0"/>
      </rPr>
      <t xml:space="preserve">T5A: </t>
    </r>
    <r>
      <rPr>
        <color rgb="FF1155CC"/>
        <sz val="9.0"/>
        <u/>
      </rPr>
      <t xml:space="preserve">https://docs.google.com/spreadsheets/d/1zp_LaYpWA9sZHsid5iK9uwpUrgqLfDp_I-uIAAKEj48/edit?gid=86066825#gid=86066825
</t>
    </r>
    <r>
      <rPr>
        <sz val="9.0"/>
      </rPr>
      <t xml:space="preserve">
</t>
    </r>
    <r>
      <rPr>
        <color rgb="FFFF0000"/>
        <sz val="9.0"/>
      </rPr>
      <t xml:space="preserve">- Yuhi sẽ review theo cảm nhận cá nhân của bản thân và trao đổi, lắng nghe nhãn hàng để đưa những nội dung mong muốn có trong video phù hợp nhất. 
- Video chỉnh sửa miễn phí 2 lần, kể từ lần thứ 3 phát sinh thêm 10% chi phí sản xuất clip/1 lần. 
Hủy job sẽ mất 50% cọc và dời lịch sẽ tính thêm 10% chi phí.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</si>
  <si>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</si>
  <si>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</si>
  <si>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</si>
  <si>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Arial"/>
        <color theme="1"/>
        <sz val="9.0"/>
      </rPr>
      <t xml:space="preserve">T5A: https://docs.google.com/spreadsheets/d/1zp_LaYpWA9sZHsid5iK9uwpUrgqLfDp_I-uIAAKEj48/edit?gid=86066825#gid=86066825
</t>
    </r>
    <r>
      <rPr>
        <rFont val="Arial"/>
        <b/>
        <color theme="1"/>
        <sz val="9.0"/>
      </rPr>
      <t>note</t>
    </r>
    <r>
      <rPr>
        <rFont val="Arial"/>
        <color theme="1"/>
        <sz val="9.0"/>
      </rPr>
      <t xml:space="preserve">: - Đăng cùng lúc 3 nền tảng TIKTOK - FANPAGE (FACEBOOK) - INSTAGRAM 
- Miễn phí Ghim clip đầu kênh TikTok &amp; Fanpage 3 ngày
- Miễn phí Code Ads TikTok 2 tuần 
- Ưu tiên trả clip sớm sau 2 ngày (Nếu Brand cần đăng gấp)
- FOC 1 Story FB
</t>
    </r>
    <r>
      <rPr>
        <rFont val="Arial"/>
        <color rgb="FFFF0000"/>
        <sz val="9.0"/>
      </rPr>
      <t>- Huỷ job khi đã thực hiện quay =&gt; bồi thường 100% tổng tiền booking. 
- Thời gian trả demo: 5 ngày
- Trong trường hợp các Brand tự ý buff view ảo, tương tác ảo vào clip, bên mình xin phép xoá video và phía Brand phải đền bù 150% tổng chi phí</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</si>
  <si>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</si>
  <si>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</si>
  <si>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</si>
  <si>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</si>
  <si>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</si>
  <si>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</si>
  <si>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</si>
  <si>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</si>
  <si>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</si>
  <si>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</si>
  <si>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</si>
  <si>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</si>
  <si>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</si>
  <si>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</si>
  <si>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</si>
  <si>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</si>
  <si>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</si>
  <si>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</si>
  <si>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</si>
  <si>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</si>
  <si>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</si>
  <si>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</si>
  <si>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</si>
  <si>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</si>
  <si>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</si>
  <si>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</si>
  <si>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</si>
  <si>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</si>
  <si>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</si>
  <si>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</si>
  <si>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</si>
  <si>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</si>
  <si>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</si>
  <si>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</si>
  <si>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</si>
  <si>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</si>
  <si>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</si>
  <si>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</si>
  <si>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</si>
  <si>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</si>
  <si>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</si>
  <si>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</si>
  <si>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</si>
  <si>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</si>
  <si>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</si>
  <si>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</si>
  <si>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</si>
  <si>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</si>
  <si>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</si>
  <si>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</si>
  <si>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</si>
  <si>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</si>
  <si>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</si>
  <si>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</si>
  <si>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</si>
  <si>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</si>
  <si>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</si>
  <si>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</si>
  <si>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</si>
  <si>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</si>
  <si>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</si>
  <si>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</si>
  <si>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</si>
  <si>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</si>
  <si>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</si>
  <si>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</si>
  <si>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</si>
  <si>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</si>
  <si>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</si>
  <si>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</si>
  <si>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</si>
  <si>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</si>
  <si>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</si>
  <si>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</si>
  <si>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</si>
  <si>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</si>
  <si>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</si>
  <si>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</si>
  <si>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</si>
  <si>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</si>
  <si>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</si>
  <si>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</si>
  <si>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review trải nghiệm/lifestyle,  nổi bật là review trường học, trải nghiệm sinh viên, khám phá địa điểm hơn là thuần food. Tệp học sinh – sinh viên và người trẻ quan tâm trải nghiệm đời sống quanh trường/lối sống thường ngày. Với Fivestar, đây là nhóm audience phù hợp cho các nội dung tiện lợi, giá dễ tiếp cận, dễ ăn cùng bạn bè.
</t>
    </r>
    <r>
      <rPr>
        <rFont val="Be Vietnam Pro"/>
        <b/>
        <color theme="1"/>
        <sz val="11.0"/>
      </rPr>
      <t>Lý do phù hợp</t>
    </r>
    <r>
      <rPr>
        <rFont val="Be Vietnam Pro"/>
        <color theme="1"/>
        <sz val="11.0"/>
      </rPr>
      <t xml:space="preserve">
Đây không phải lựa chọn mạnh nhất cho tuyến hero food review, nhưng lại phù hợp nếu Fivestar cần creator cho hoạt động brand tại điểm bán, activation gần trường học, hoặc nội dung “ăn gì nhanh – tiện – vui” trong nhịp sống sinh viên. Điểm mạnh là chất đời thường và sự gần gũi với bối cảnh đi học/đi chơi.</t>
    </r>
  </si>
  <si>
    <t>Mặc dù tệp khán giả của kênh này là sinh viên nhưng phần lớn video của kênh đều liên quan đến trường học và rất ít video liên quan đến Review đồ ăn -&gt; Chỉ cân nhắc chọn khi FS có activation liên quan đến sinh viên/ trường học</t>
  </si>
  <si>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</si>
  <si>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</si>
  <si>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</si>
  <si>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</si>
  <si>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</si>
  <si>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</si>
  <si>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</si>
  <si>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</si>
  <si>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</si>
  <si>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</si>
  <si>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</si>
  <si>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</si>
  <si>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</si>
  <si>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</si>
  <si>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</si>
  <si>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</si>
  <si>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</si>
  <si>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</si>
  <si>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</si>
  <si>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</si>
  <si>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</si>
  <si>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</si>
  <si>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</si>
  <si>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</si>
  <si>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</si>
  <si>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</si>
  <si>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</si>
  <si>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</si>
  <si>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</si>
  <si>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</si>
  <si>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</si>
  <si>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</si>
  <si>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</si>
  <si>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t>Bạn này chuyên gia review đánh giá các nhà hàng quán ăn =-&gt; Tệp khán giả quan tâm ăn uống nhiều</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</si>
  <si>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</si>
  <si>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</si>
  <si>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</si>
  <si>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</si>
  <si>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</si>
  <si>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</si>
  <si>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</si>
  <si>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</si>
  <si>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</si>
  <si>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</si>
  <si>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</si>
  <si>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</si>
  <si>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t>Kênh mới nên lượng Follower khá thấp, tuy nhiên ER cao, các KPI khác cạnh tranh với các kênh còn lại</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</si>
  <si>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</si>
  <si>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</si>
  <si>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</si>
  <si>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</si>
  <si>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</si>
  <si>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</si>
  <si>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</si>
  <si>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</si>
  <si>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</si>
  <si>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</si>
  <si>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</si>
  <si>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t>Naaa</t>
  </si>
  <si>
    <t>45K</t>
  </si>
  <si>
    <t>https://www.tiktok.com/@triemnana_?_r=1&amp;_t=ZS-94n5nUppOfl</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</si>
  <si>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</si>
  <si>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Hà Nội, là Reviewer mảng Beauty, không có video review ăn uống trong 8 tháng gần đây</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</si>
  <si>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</si>
  <si>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</si>
  <si>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</si>
  <si>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t>Mai mai</t>
  </si>
  <si>
    <t>https://www.tiktok.com/@maian0714?_r=1&amp;_t=ZS-94mvmLibgn3</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</si>
  <si>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</si>
  <si>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Khu vực Hải Dương, chuyên review ăn uống, tương tác thấp, có review quán gà rán local vào 13/1/2026</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</si>
  <si>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</si>
  <si>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</si>
  <si>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</si>
  <si>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</si>
  <si>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</si>
  <si>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</si>
  <si>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</si>
  <si>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</si>
  <si>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</si>
  <si>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</si>
  <si>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</si>
  <si>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</si>
  <si>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</si>
  <si>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</si>
  <si>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</si>
  <si>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t>cuối tuần có gì vui</t>
  </si>
  <si>
    <t>10.9K</t>
  </si>
  <si>
    <t>https://www.tiktok.com/@squitopus</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</si>
  <si>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</si>
  <si>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</si>
  <si>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t>Khu vực Đồng Nai, chủ yếu review về mỹ phẩm, ER thấp chủ yếu tim</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</si>
  <si>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</si>
  <si>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</si>
  <si>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</si>
  <si>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</si>
  <si>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</si>
  <si>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</si>
  <si>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</si>
  <si>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</si>
  <si>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</si>
  <si>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</si>
  <si>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</si>
  <si>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</si>
  <si>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</si>
  <si>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</si>
  <si>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</si>
  <si>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</si>
  <si>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</si>
  <si>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</si>
  <si>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</si>
  <si>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</si>
  <si>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</si>
  <si>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</si>
  <si>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</si>
  <si>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</si>
  <si>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t>Win Nguyễn</t>
  </si>
  <si>
    <t>https://www.tiktok.com/@iamwin1994</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</si>
  <si>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</si>
  <si>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t>Metric bị ảo</t>
  </si>
  <si>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</si>
  <si>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</si>
  <si>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</si>
  <si>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</si>
  <si>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</si>
  <si>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</si>
  <si>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</si>
  <si>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</si>
  <si>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</si>
  <si>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</si>
  <si>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</si>
  <si>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</si>
  <si>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</si>
  <si>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</si>
  <si>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</si>
  <si>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</si>
  <si>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</si>
  <si>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</si>
  <si>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</si>
  <si>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</si>
  <si>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</si>
  <si>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</si>
  <si>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</si>
  <si>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</si>
  <si>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</si>
  <si>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</si>
  <si>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</si>
  <si>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</si>
  <si>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</si>
  <si>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</si>
  <si>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</si>
  <si>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</si>
  <si>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</si>
  <si>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</si>
  <si>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</si>
  <si>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</si>
  <si>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</si>
  <si>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</si>
  <si>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</si>
  <si>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</si>
  <si>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</si>
  <si>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</si>
  <si>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</si>
  <si>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Nhà của An Vy 🐯🐯</t>
  </si>
  <si>
    <t>719.1K</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</si>
  <si>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</si>
  <si>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review trải nghiệm/lifestyle,  nổi bật là review trường học, trải nghiệm sinh viên, khám phá địa điểm hơn là thuần food. Tệp học sinh – sinh viên và người trẻ quan tâm trải nghiệm đời sống quanh trường/lối sống thường ngày. Với Fivestar, đây là nhóm audience phù hợp cho các nội dung tiện lợi, giá dễ tiếp cận, dễ ăn cùng bạn bè.
</t>
    </r>
    <r>
      <rPr>
        <rFont val="Be Vietnam Pro"/>
        <b/>
        <color theme="1"/>
        <sz val="11.0"/>
      </rPr>
      <t>Lý do phù hợp</t>
    </r>
    <r>
      <rPr>
        <rFont val="Be Vietnam Pro"/>
        <color theme="1"/>
        <sz val="11.0"/>
      </rPr>
      <t xml:space="preserve">
Đây không phải lựa chọn mạnh nhất cho tuyến hero food review, nhưng lại phù hợp nếu Fivestar cần creator cho hoạt động brand tại điểm bán, activation gần trường học, hoặc nội dung “ăn gì nhanh – tiện – vui” trong nhịp sống sinh viên. Điểm mạnh là chất đời thường và sự gần gũi với bối cảnh đi học/đi chơi.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</si>
  <si>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</si>
  <si>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</si>
  <si>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</si>
  <si>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</si>
  <si>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</si>
  <si>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</si>
  <si>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</si>
  <si>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</si>
  <si>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</si>
  <si>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</si>
  <si>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</si>
  <si>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</si>
  <si>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</si>
  <si>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</si>
  <si>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</si>
  <si>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</si>
  <si>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</si>
  <si>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</si>
  <si>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</si>
  <si>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</si>
  <si>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</si>
  <si>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</si>
  <si>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</si>
  <si>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</si>
  <si>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</si>
  <si>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</si>
  <si>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</si>
  <si>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</si>
  <si>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</si>
  <si>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</si>
  <si>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</si>
  <si>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</si>
  <si>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</si>
  <si>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</si>
  <si>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</si>
  <si>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</si>
  <si>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</si>
  <si>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</si>
  <si>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checked</t>
  </si>
  <si>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</si>
  <si>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</si>
  <si>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</si>
  <si>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</si>
  <si>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</si>
  <si>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</si>
  <si>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</si>
  <si>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</si>
  <si>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</si>
  <si>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</si>
  <si>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</si>
  <si>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</si>
  <si>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</si>
  <si>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</si>
  <si>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</si>
  <si>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</si>
  <si>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</si>
  <si>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</si>
  <si>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</si>
  <si>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</si>
  <si>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</si>
  <si>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</si>
  <si>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</si>
  <si>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</si>
  <si>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</si>
  <si>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</si>
  <si>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</si>
  <si>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</si>
  <si>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</si>
  <si>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</si>
  <si>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</si>
  <si>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</si>
  <si>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</si>
  <si>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</si>
  <si>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</si>
  <si>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</si>
  <si>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</si>
  <si>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</si>
  <si>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</si>
  <si>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</si>
  <si>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</si>
  <si>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</si>
  <si>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</si>
  <si>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</si>
  <si>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</si>
  <si>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</si>
  <si>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</si>
  <si>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</si>
  <si>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</si>
  <si>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</si>
  <si>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</si>
  <si>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</si>
  <si>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</si>
  <si>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</si>
  <si>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</si>
  <si>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</si>
  <si>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</si>
  <si>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</si>
  <si>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</si>
  <si>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</si>
  <si>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</si>
  <si>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</si>
  <si>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</si>
  <si>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</si>
  <si>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</si>
  <si>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</si>
  <si>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</si>
  <si>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</si>
  <si>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</si>
  <si>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</si>
  <si>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</si>
  <si>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</si>
  <si>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</si>
  <si>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</si>
  <si>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</si>
  <si>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</si>
  <si>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</si>
  <si>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</si>
  <si>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</si>
  <si>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</si>
  <si>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</si>
  <si>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</si>
  <si>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</si>
  <si>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</si>
  <si>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</si>
  <si>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</si>
  <si>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</si>
  <si>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</si>
  <si>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</si>
  <si>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</si>
  <si>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</si>
  <si>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</si>
  <si>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</si>
  <si>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</si>
  <si>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</si>
  <si>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</si>
  <si>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</si>
  <si>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</si>
  <si>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</si>
  <si>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sz val="11.0"/>
      </rPr>
      <t>Mua và review sản phẩm TẠI NHÀ</t>
    </r>
    <r>
      <rPr>
        <rFont val="Be Vietnam Pro"/>
        <sz val="11.0"/>
      </rPr>
      <t>, đồng thời sản xuất và đăng tải 01 Tiktok Video Review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</si>
  <si>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tập trung các món ăn và review tại nhà, đưa ra trải nghiệm khách quan, dễ tiếp cận đối với người xem. Tệp người xem trẻ, thích khám phá quán mới, ưu tiên món quen thuộc – giá hợp lý.
</t>
    </r>
    <r>
      <rPr>
        <rFont val="Be Vietnam Pro"/>
        <b/>
        <color theme="1"/>
        <sz val="11.0"/>
      </rPr>
      <t xml:space="preserve">Lý do phù hợp
</t>
    </r>
    <r>
      <rPr>
        <rFont val="Be Vietnam Pro"/>
        <color theme="1"/>
        <sz val="11.0"/>
      </rPr>
      <t>Phù hợp kéo tuyến review món ăn. Nội dung mang tính gần gũi, dễ lồng ghép Fivestar như một lựa chọn ăn nhanh tiện – ngon – phổ biến.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</si>
  <si>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</si>
  <si>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</si>
  <si>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</si>
  <si>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</si>
  <si>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</si>
  <si>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</si>
  <si>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</si>
  <si>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</si>
  <si>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</si>
  <si>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</si>
  <si>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</si>
  <si>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</si>
  <si>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</si>
  <si>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</si>
  <si>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</si>
  <si>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</si>
  <si>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</si>
  <si>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</si>
  <si>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</si>
  <si>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</si>
  <si>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</si>
  <si>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</si>
  <si>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</si>
  <si>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</si>
  <si>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</si>
  <si>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</si>
  <si>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</si>
  <si>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</si>
  <si>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</si>
  <si>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</si>
  <si>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</si>
  <si>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</si>
  <si>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</si>
  <si>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</si>
  <si>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</si>
  <si>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</si>
  <si>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sz val="9.0"/>
      </rPr>
      <t xml:space="preserve">T5A: </t>
    </r>
    <r>
      <rPr>
        <color rgb="FF1155CC"/>
        <sz val="9.0"/>
        <u/>
      </rPr>
      <t xml:space="preserve">https://docs.google.com/spreadsheets/d/1zp_LaYpWA9sZHsid5iK9uwpUrgqLfDp_I-uIAAKEj48/edit?gid=86066825#gid=86066825
</t>
    </r>
    <r>
      <rPr>
        <sz val="9.0"/>
      </rPr>
      <t xml:space="preserve">
</t>
    </r>
    <r>
      <rPr>
        <color rgb="FFFF0000"/>
        <sz val="9.0"/>
      </rPr>
      <t xml:space="preserve">- Yuhi sẽ review theo cảm nhận cá nhân của bản thân và trao đổi, lắng nghe nhãn hàng để đưa những nội dung mong muốn có trong video phù hợp nhất. 
- Video chỉnh sửa miễn phí 2 lần, kể từ lần thứ 3 phát sinh thêm 10% chi phí sản xuất clip/1 lần. 
Hủy job sẽ mất 50% cọc và dời lịch sẽ tính thêm 10% chi phí.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</si>
  <si>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</si>
  <si>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</si>
  <si>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</si>
  <si>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Arial"/>
        <color theme="1"/>
        <sz val="9.0"/>
      </rPr>
      <t xml:space="preserve">T5A: https://docs.google.com/spreadsheets/d/1zp_LaYpWA9sZHsid5iK9uwpUrgqLfDp_I-uIAAKEj48/edit?gid=86066825#gid=86066825
</t>
    </r>
    <r>
      <rPr>
        <rFont val="Arial"/>
        <b/>
        <color theme="1"/>
        <sz val="9.0"/>
      </rPr>
      <t>note</t>
    </r>
    <r>
      <rPr>
        <rFont val="Arial"/>
        <color theme="1"/>
        <sz val="9.0"/>
      </rPr>
      <t xml:space="preserve">: - Đăng cùng lúc 3 nền tảng TIKTOK - FANPAGE (FACEBOOK) - INSTAGRAM 
- Miễn phí Ghim clip đầu kênh TikTok &amp; Fanpage 3 ngày
- Miễn phí Code Ads TikTok 2 tuần 
- Ưu tiên trả clip sớm sau 2 ngày (Nếu Brand cần đăng gấp)
- FOC 1 Story FB
</t>
    </r>
    <r>
      <rPr>
        <rFont val="Arial"/>
        <color rgb="FFFF0000"/>
        <sz val="9.0"/>
      </rPr>
      <t>- Huỷ job khi đã thực hiện quay =&gt; bồi thường 100% tổng tiền booking. 
- Thời gian trả demo: 5 ngày
- Trong trường hợp các Brand tự ý buff view ảo, tương tác ảo vào clip, bên mình xin phép xoá video và phía Brand phải đền bù 150% tổng chi phí</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</si>
  <si>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</si>
  <si>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</si>
  <si>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</si>
  <si>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</si>
  <si>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</si>
  <si>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</si>
  <si>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</si>
  <si>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</si>
  <si>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</si>
  <si>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</si>
  <si>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</si>
  <si>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</si>
  <si>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</si>
  <si>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</si>
  <si>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</si>
  <si>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</si>
  <si>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</si>
  <si>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</si>
  <si>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</si>
  <si>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</si>
  <si>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</si>
  <si>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</si>
  <si>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</si>
  <si>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</si>
  <si>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</si>
  <si>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</si>
  <si>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</si>
  <si>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</si>
  <si>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</si>
  <si>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</si>
  <si>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</si>
  <si>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</si>
  <si>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</si>
  <si>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</si>
  <si>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</si>
  <si>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</si>
  <si>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</si>
  <si>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</si>
  <si>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</si>
  <si>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</si>
  <si>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</si>
  <si>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</si>
  <si>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</si>
  <si>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</si>
  <si>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</si>
  <si>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</si>
  <si>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</si>
  <si>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</si>
  <si>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</si>
  <si>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</si>
  <si>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</si>
  <si>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</si>
  <si>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</si>
  <si>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</si>
  <si>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</si>
  <si>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</si>
  <si>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</si>
  <si>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</si>
  <si>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</si>
  <si>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</si>
  <si>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</si>
  <si>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</si>
  <si>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</si>
  <si>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</si>
  <si>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</si>
  <si>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</si>
  <si>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</si>
  <si>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</si>
  <si>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</si>
  <si>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</si>
  <si>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</si>
  <si>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</si>
  <si>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</si>
  <si>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</si>
  <si>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</si>
  <si>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</si>
  <si>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</si>
  <si>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</si>
  <si>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</si>
  <si>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</si>
  <si>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</si>
  <si>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</si>
  <si>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</si>
  <si>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</si>
  <si>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</si>
  <si>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</si>
  <si>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</si>
  <si>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</si>
  <si>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</si>
  <si>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</si>
  <si>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</si>
  <si>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</si>
  <si>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</si>
  <si>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</si>
  <si>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</si>
  <si>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</si>
  <si>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</si>
  <si>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</si>
  <si>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</si>
  <si>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</si>
  <si>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</si>
  <si>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</si>
  <si>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</si>
  <si>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</si>
  <si>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</si>
  <si>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</si>
  <si>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</si>
  <si>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</si>
  <si>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</si>
  <si>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</si>
  <si>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</si>
  <si>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</si>
  <si>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</si>
  <si>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</si>
  <si>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</si>
  <si>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</si>
  <si>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</si>
  <si>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</si>
  <si>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</si>
  <si>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</si>
  <si>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</si>
  <si>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</si>
  <si>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</si>
  <si>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</si>
  <si>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sz val="11.0"/>
      </rPr>
      <t>Mua và review sản phẩm TẠI NHÀ</t>
    </r>
    <r>
      <rPr>
        <rFont val="Be Vietnam Pro"/>
        <sz val="11.0"/>
      </rPr>
      <t>, đồng thời sản xuất và đăng tải 01 Tiktok Video Review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</si>
  <si>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tập trung các món ăn và review tại nhà, đưa ra trải nghiệm khách quan, dễ tiếp cận đối với người xem. Tệp người xem trẻ, thích khám phá quán mới, ưu tiên món quen thuộc – giá hợp lý.
</t>
    </r>
    <r>
      <rPr>
        <rFont val="Be Vietnam Pro"/>
        <b/>
        <color theme="1"/>
        <sz val="11.0"/>
      </rPr>
      <t xml:space="preserve">Lý do phù hợp
</t>
    </r>
    <r>
      <rPr>
        <rFont val="Be Vietnam Pro"/>
        <color theme="1"/>
        <sz val="11.0"/>
      </rPr>
      <t>Phù hợp kéo tuyến review món ăn. Nội dung mang tính gần gũi, dễ lồng ghép Fivestar như một lựa chọn ăn nhanh tiện – ngon – phổ biến.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</si>
  <si>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</si>
  <si>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</si>
  <si>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</si>
  <si>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</si>
  <si>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</si>
  <si>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</si>
  <si>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</si>
  <si>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</si>
  <si>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</si>
  <si>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</si>
  <si>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</si>
  <si>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</si>
  <si>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</si>
  <si>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</si>
  <si>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</si>
  <si>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</si>
  <si>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</si>
  <si>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</si>
  <si>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</si>
  <si>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</si>
  <si>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</si>
  <si>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</si>
  <si>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</si>
  <si>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</si>
  <si>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</si>
  <si>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</si>
  <si>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</si>
  <si>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</si>
  <si>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</si>
  <si>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</si>
  <si>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</si>
  <si>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</si>
  <si>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</si>
  <si>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</si>
  <si>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</si>
  <si>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</si>
  <si>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</si>
  <si>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</si>
  <si>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</si>
  <si>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</si>
  <si>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</si>
  <si>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</si>
  <si>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</si>
  <si>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</si>
  <si>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</si>
  <si>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</si>
  <si>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</si>
  <si>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</si>
  <si>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</si>
  <si>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</si>
  <si>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</si>
  <si>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</si>
  <si>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</si>
  <si>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</si>
  <si>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</si>
  <si>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</si>
  <si>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</si>
  <si>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</si>
  <si>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</si>
  <si>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</si>
  <si>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</si>
  <si>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</si>
  <si>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</si>
  <si>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</si>
  <si>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</si>
  <si>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</si>
  <si>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</si>
  <si>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</si>
  <si>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</si>
  <si>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</si>
  <si>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</si>
  <si>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</si>
  <si>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</si>
  <si>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</si>
  <si>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</si>
  <si>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</si>
  <si>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</si>
  <si>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</si>
  <si>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</si>
  <si>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</si>
  <si>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</si>
  <si>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</si>
  <si>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</si>
  <si>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</si>
  <si>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</si>
  <si>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</si>
  <si>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</si>
  <si>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</si>
  <si>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</si>
  <si>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</si>
  <si>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</si>
  <si>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</si>
  <si>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</si>
  <si>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</si>
  <si>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</si>
  <si>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</si>
  <si>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t>Contact</t>
  </si>
  <si>
    <t>Average ER (15 day last)</t>
  </si>
  <si>
    <t>Average View/video (15 day last)</t>
  </si>
  <si>
    <t>Average Engagement/video (15 day last)</t>
  </si>
  <si>
    <t>Khu vực</t>
  </si>
  <si>
    <t>Rationable</t>
  </si>
  <si>
    <t xml:space="preserve"> 0838 999 194</t>
  </si>
  <si>
    <t>460,5K</t>
  </si>
  <si>
    <t>6.42%</t>
  </si>
  <si>
    <t>170.4K</t>
  </si>
  <si>
    <t>Hà Nội</t>
  </si>
  <si>
    <t>Food reviewer theo hướng gần gũi, Review các món ăn tại khu vực Hà Nội. Quay đẹp</t>
  </si>
  <si>
    <t>https://www.tiktok.com/@emhuyendoimeomeo</t>
  </si>
  <si>
    <t>0886428630</t>
  </si>
  <si>
    <t>81.6K</t>
  </si>
  <si>
    <t>4.48%</t>
  </si>
  <si>
    <t>56.4k</t>
  </si>
  <si>
    <t>2.5K</t>
  </si>
  <si>
    <t>Food reviewer các món ăn đường phố, nhà hàng, phong cách sống, tệp khách hàng trẻ</t>
  </si>
  <si>
    <t xml:space="preserve">hamynguyen1805@gmail.com </t>
  </si>
  <si>
    <t>167.2k</t>
  </si>
  <si>
    <t>5.95%</t>
  </si>
  <si>
    <t>183.8k</t>
  </si>
  <si>
    <t>Chuyên review các món Hà Nội và các quán ăn, nhà hàng</t>
  </si>
  <si>
    <t>0971805408</t>
  </si>
  <si>
    <t>295.6K</t>
  </si>
  <si>
    <t>10.46%</t>
  </si>
  <si>
    <t>11.9k</t>
  </si>
  <si>
    <t>1.2K</t>
  </si>
  <si>
    <t>Chủ đề ẩm thực chiếm phần lớn, 20/12 có ,làm video cho Popeyes</t>
  </si>
  <si>
    <t>0365.274.669</t>
  </si>
  <si>
    <t>18k</t>
  </si>
  <si>
    <t>5.14%</t>
  </si>
  <si>
    <t>98k</t>
  </si>
  <si>
    <t>5K</t>
  </si>
  <si>
    <t>Dù ít Follower nhưng nội dung chuyên về ẩm thực + nhắm vào khách hàng trẻ, lượt view trung bình đang tốt</t>
  </si>
  <si>
    <t xml:space="preserve">
Ăn Sập Hà Nội</t>
  </si>
  <si>
    <t>0376.006.283</t>
  </si>
  <si>
    <t>3.68%</t>
  </si>
  <si>
    <t>67.8k</t>
  </si>
  <si>
    <t>2.5k</t>
  </si>
  <si>
    <t>Chuyên về ẩm thực Hà Nội, tuy nhiên ER gần đây trung bình chưa cao</t>
  </si>
  <si>
    <t>079.556.0521</t>
  </si>
  <si>
    <t>81.7K</t>
  </si>
  <si>
    <t>2.62%</t>
  </si>
  <si>
    <t>268.7k</t>
  </si>
  <si>
    <t>7k</t>
  </si>
  <si>
    <t>Chuyên về ẩm thực, đa dạng các loại đồ ăn, ER thấp nhưng view cao trong thời gian gần đây</t>
  </si>
  <si>
    <t>0789655722</t>
  </si>
  <si>
    <t>65.2k</t>
  </si>
  <si>
    <t>5.32%</t>
  </si>
  <si>
    <t>136.7k</t>
  </si>
  <si>
    <t>TPHCM</t>
  </si>
  <si>
    <t>Chuyên review đồ ăn, phong cách thân thiện, từng review cho Jolibee vào 23/12/2025</t>
  </si>
  <si>
    <t>0585760839</t>
  </si>
  <si>
    <t>20.3k</t>
  </si>
  <si>
    <t>6.12%</t>
  </si>
  <si>
    <t>28.4k</t>
  </si>
  <si>
    <t>2k</t>
  </si>
  <si>
    <t>Chuyên về đồ ăn, lối sống của giới trẻ, mang thông điệp tích cực</t>
  </si>
  <si>
    <t>035 323 7519</t>
  </si>
  <si>
    <t>90k</t>
  </si>
  <si>
    <t>_</t>
  </si>
  <si>
    <t>Chuyên review, đang xem xét xem có nhận Booking không</t>
  </si>
  <si>
    <t>035.529.5252</t>
  </si>
  <si>
    <t>TikTok &amp; Facebook</t>
  </si>
  <si>
    <t>627.4K &amp; 212K</t>
  </si>
  <si>
    <t>436.1k</t>
  </si>
  <si>
    <t>17K</t>
  </si>
  <si>
    <t>Chuyên review đồ ăn, Dạng mua về nhà trải nghiệm là chủ yếu, lượt theo dõi lớn, lượt tương tác cao và ổn định</t>
  </si>
  <si>
    <t>𝐍𝐠𝐮𝐲𝐞𝐧 𝐌𝐚𝐢 𝐇𝐚 𝐌𝐲</t>
  </si>
  <si>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</si>
  <si>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</si>
  <si>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</si>
  <si>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</si>
  <si>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</si>
  <si>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</si>
  <si>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</si>
  <si>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</si>
  <si>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</si>
  <si>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</si>
  <si>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</si>
  <si>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</si>
  <si>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</si>
  <si>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</si>
  <si>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</si>
  <si>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</si>
  <si>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</si>
  <si>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</si>
  <si>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</si>
  <si>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</si>
  <si>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</si>
  <si>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</si>
  <si>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</si>
  <si>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</si>
  <si>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</si>
  <si>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</si>
  <si>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</si>
  <si>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</si>
  <si>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</si>
  <si>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review trải nghiệm/lifestyle,  nổi bật là review trường học, trải nghiệm sinh viên, khám phá địa điểm hơn là thuần food. Tệp học sinh – sinh viên và người trẻ quan tâm trải nghiệm đời sống quanh trường/lối sống thường ngày. Với Fivestar, đây là nhóm audience phù hợp cho các nội dung tiện lợi, giá dễ tiếp cận, dễ ăn cùng bạn bè.
</t>
    </r>
    <r>
      <rPr>
        <rFont val="Be Vietnam Pro"/>
        <b/>
        <color theme="1"/>
        <sz val="11.0"/>
      </rPr>
      <t>Lý do phù hợp</t>
    </r>
    <r>
      <rPr>
        <rFont val="Be Vietnam Pro"/>
        <color theme="1"/>
        <sz val="11.0"/>
      </rPr>
      <t xml:space="preserve">
Đây không phải lựa chọn mạnh nhất cho tuyến hero food review, nhưng lại phù hợp nếu Fivestar cần creator cho hoạt động brand tại điểm bán, activation gần trường học, hoặc nội dung “ăn gì nhanh – tiện – vui” trong nhịp sống sinh viên. Điểm mạnh là chất đời thường và sự gần gũi với bối cảnh đi học/đi chơi.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</si>
  <si>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</si>
  <si>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</si>
  <si>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</si>
  <si>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</si>
  <si>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</si>
  <si>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</si>
  <si>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</si>
  <si>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</si>
  <si>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</si>
  <si>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</si>
  <si>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</si>
  <si>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</si>
  <si>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</si>
  <si>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</si>
  <si>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</si>
  <si>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</si>
  <si>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</si>
  <si>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</si>
  <si>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</si>
  <si>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</si>
  <si>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</si>
  <si>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</si>
  <si>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</si>
  <si>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</si>
  <si>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</si>
  <si>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</si>
  <si>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</si>
  <si>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</si>
  <si>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</si>
  <si>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</si>
  <si>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</si>
  <si>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</si>
  <si>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</si>
  <si>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</si>
  <si>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</si>
  <si>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</si>
  <si>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</si>
  <si>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</si>
  <si>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</si>
  <si>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</si>
  <si>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</si>
  <si>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</si>
  <si>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</si>
  <si>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</si>
  <si>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</si>
  <si>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</si>
  <si>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</si>
  <si>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</si>
  <si>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</si>
  <si>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</si>
  <si>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</si>
  <si>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</si>
  <si>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</si>
  <si>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</si>
  <si>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</si>
  <si>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</si>
  <si>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</si>
  <si>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</si>
  <si>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</si>
  <si>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</si>
  <si>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</si>
  <si>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</si>
  <si>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</si>
  <si>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</si>
  <si>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</si>
  <si>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</si>
  <si>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</si>
  <si>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</si>
  <si>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</si>
  <si>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</si>
  <si>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</si>
  <si>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</si>
  <si>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t>Client</t>
  </si>
  <si>
    <t xml:space="preserve">C.P - Five star </t>
  </si>
  <si>
    <t>Project</t>
  </si>
  <si>
    <t xml:space="preserve">2026 Campaign </t>
  </si>
  <si>
    <t>Timeline</t>
  </si>
  <si>
    <t>Feburary – December 2026</t>
  </si>
  <si>
    <t>Day</t>
  </si>
  <si>
    <t>MASTER TIMELINE</t>
  </si>
  <si>
    <t>NO.</t>
  </si>
  <si>
    <t>ITEM</t>
  </si>
  <si>
    <t>DESCRIPTION</t>
  </si>
  <si>
    <t>START TIMELINE
(EST)</t>
  </si>
  <si>
    <t>DEADLINE
(EST)</t>
  </si>
  <si>
    <t>DURATION
(Excl. Weekend)</t>
  </si>
  <si>
    <t>A</t>
  </si>
  <si>
    <t>KOL</t>
  </si>
  <si>
    <t>List KOC</t>
  </si>
  <si>
    <t>Propose KOC list + Detail price for each KOC</t>
  </si>
  <si>
    <t>Agency team</t>
  </si>
  <si>
    <t>Brand review feedback</t>
  </si>
  <si>
    <t>+2 days after Propose KOC list + Detail price for each KOC</t>
  </si>
  <si>
    <t>C.P Five Star team</t>
  </si>
  <si>
    <t>Agency revise</t>
  </si>
  <si>
    <t>+4 days after Brand review feedback</t>
  </si>
  <si>
    <t>Brand confirm KOC list</t>
  </si>
  <si>
    <t>+2 days after Agency revise</t>
  </si>
  <si>
    <t>2</t>
  </si>
  <si>
    <t>Content + Product Mapping</t>
  </si>
  <si>
    <r>
      <rPr>
        <rFont val="Be Vietnam Pro"/>
        <color theme="1"/>
        <sz val="11.0"/>
      </rPr>
      <t xml:space="preserve">Content + Product Mapping for KOC
</t>
    </r>
    <r>
      <rPr>
        <rFont val="Be Vietnam Pro"/>
        <i/>
        <color theme="1"/>
        <sz val="11.0"/>
      </rPr>
      <t>(After confirming KOC list, Agency will map content angle suitable with channel of each KOC)</t>
    </r>
  </si>
  <si>
    <t>+4 days after Brand confirm KOC list</t>
  </si>
  <si>
    <t xml:space="preserve">Brand review feedback </t>
  </si>
  <si>
    <t>+2 days after Map content angle suitable with channel of each KOC</t>
  </si>
  <si>
    <t xml:space="preserve">+4 days after Brand review feedback </t>
  </si>
  <si>
    <t>Brand confirm Content + Product mapping for KOC</t>
  </si>
  <si>
    <t>+3 days after Agency revise</t>
  </si>
  <si>
    <t>3</t>
  </si>
  <si>
    <t>Brief content angle + product for KOC</t>
  </si>
  <si>
    <t>Agency work with KOC</t>
  </si>
  <si>
    <t>4</t>
  </si>
  <si>
    <t>Video Production</t>
  </si>
  <si>
    <t>KOC send script</t>
  </si>
  <si>
    <t>+3 days after Brand confirm Content + Product mapping for KOC</t>
  </si>
  <si>
    <t>Feedback script</t>
  </si>
  <si>
    <t>Finalize script</t>
  </si>
  <si>
    <t>+2 days after receiving feedback</t>
  </si>
  <si>
    <t>KOC send demo</t>
  </si>
  <si>
    <t>+7 days after confirming script</t>
  </si>
  <si>
    <t>Feedback Video demo</t>
  </si>
  <si>
    <t>KOC send video revised</t>
  </si>
  <si>
    <t>+4 days after receiving 1st round feedback</t>
  </si>
  <si>
    <t xml:space="preserve">Feedback video revised </t>
  </si>
  <si>
    <t>5</t>
  </si>
  <si>
    <t>KOC Air Video + report</t>
  </si>
  <si>
    <t>Air video</t>
  </si>
  <si>
    <t>+1 day after confirming final video</t>
  </si>
  <si>
    <t>Update video link</t>
  </si>
  <si>
    <t>+1 day after airing video</t>
  </si>
  <si>
    <t>Update video performance</t>
  </si>
  <si>
    <t>+15 days after airing video</t>
  </si>
  <si>
    <r>
      <rPr>
        <rFont val="Be Vietnam Pro"/>
        <color theme="1"/>
      </rPr>
      <t xml:space="preserve">
</t>
    </r>
    <r>
      <rPr>
        <rFont val="Be Vietnam Pro"/>
        <b/>
        <color theme="1"/>
      </rPr>
      <t xml:space="preserve">Disclaimer: </t>
    </r>
    <r>
      <rPr>
        <rFont val="Be Vietnam Pro"/>
        <color theme="1"/>
      </rPr>
      <t>The proposed timeline and scope descriptions are estimated based on current project assumptions and may be adjusted subject to actual execution conditions, client feedback, and mutual agreement between both parties.</t>
    </r>
  </si>
  <si>
    <t>ID Tiktok</t>
  </si>
  <si>
    <t>Follower</t>
  </si>
  <si>
    <t>Đã liên hệ</t>
  </si>
  <si>
    <t>***INT ONLY ***</t>
  </si>
  <si>
    <t>NOTE#</t>
  </si>
  <si>
    <t>Thông tin liên hệ</t>
  </si>
  <si>
    <t>Price</t>
  </si>
  <si>
    <t>https://www.tiktok.com/@ngocshopna</t>
  </si>
  <si>
    <t>https://www.tiktok.com/@huumanh247</t>
  </si>
  <si>
    <t>https://www.tiktok.com/@sanbengua2025</t>
  </si>
  <si>
    <t>https://www.tiktok.com/@lethituyetnghi</t>
  </si>
  <si>
    <t>083 67.5 11.29</t>
  </si>
  <si>
    <t>https://www.tiktok.com/@anvatcungtientien</t>
  </si>
  <si>
    <t>https://www.tiktok.com/@letuyen9879official</t>
  </si>
  <si>
    <t>076.4567.098</t>
  </si>
  <si>
    <t>https://www.tiktok.com/@tienbandoanvat1</t>
  </si>
  <si>
    <t>https://www.tiktok.com/@anngoncungtien2</t>
  </si>
  <si>
    <t>932.046.222</t>
  </si>
  <si>
    <t>https://www.tiktok.com/@maioanh119</t>
  </si>
  <si>
    <t>https://www.instagram.com/maioanhxb/</t>
  </si>
  <si>
    <t>https://www.tiktok.com/@langacday</t>
  </si>
  <si>
    <t>https://www.tiktok.com/@bidone_2411</t>
  </si>
  <si>
    <t>https://www.tiktok.com/@nhihehe</t>
  </si>
  <si>
    <t>https://www.tiktok.com/@chuthiquynh27</t>
  </si>
  <si>
    <t>https://www.tiktok.com/@hisoxinh</t>
  </si>
  <si>
    <t>kí cá nhân</t>
  </si>
  <si>
    <t>https://www.tiktok.com/@netcoshop</t>
  </si>
  <si>
    <t>967.924.172</t>
  </si>
  <si>
    <t>https://www.tiktok.com/@myyunbox</t>
  </si>
  <si>
    <t>https://www.tiktok.com/@lyly_shop6</t>
  </si>
  <si>
    <t>085 9 1 06679</t>
  </si>
  <si>
    <t>https://www.tiktok.com/@qahn04</t>
  </si>
  <si>
    <t>https://www.tiktok.com/@pudding.diary</t>
  </si>
  <si>
    <t>https://www.tiktok.com/@cn.mp09</t>
  </si>
  <si>
    <t>https://www.tiktok.com/@tina_day25</t>
  </si>
  <si>
    <t>083.225.2388</t>
  </si>
  <si>
    <t>https://www.tiktok.com/@thaothaoriview</t>
  </si>
  <si>
    <t>https://www.tiktok.com/@madrie_02</t>
  </si>
  <si>
    <t>https://www.tiktok.com/@0phaibounbun</t>
  </si>
  <si>
    <t>https://www.tiktok.com/@i0m.bunny</t>
  </si>
  <si>
    <t>https://www.tiktok.com/@uchiha_satrantran</t>
  </si>
  <si>
    <t>https://www.tiktok.com/@minhminhanlinhtinh</t>
  </si>
  <si>
    <t>https://www.tiktok.com/@17tiktok202</t>
  </si>
  <si>
    <t>https://www.tiktok.com/@donna_iuu</t>
  </si>
  <si>
    <t>9.8.1 2.5.65.0.5</t>
  </si>
  <si>
    <t>https://www.tiktok.com/@linhta_linhtinh1109</t>
  </si>
  <si>
    <t>https://www.tiktok.com/@bagiaanvung</t>
  </si>
  <si>
    <t>https://www.tiktok.com/@dhoa.nguyen_</t>
  </si>
  <si>
    <t>0.365.904..625</t>
  </si>
  <si>
    <t>https://www.tiktok.com/@kokuma04</t>
  </si>
  <si>
    <t>0.8.5.2.0.1.6.7.2.3</t>
  </si>
  <si>
    <t>https://www.tiktok.com/@buunboxlonxon</t>
  </si>
  <si>
    <t>https://www.tiktok.com/@sangthichanvat</t>
  </si>
  <si>
    <t>https://www.tiktok.com/@thuvaobep.23</t>
  </si>
  <si>
    <t>https://www.tiktok.com/@angidayphong</t>
  </si>
  <si>
    <t>https://www.tiktok.com/@thuytymy88?shop_region=VN</t>
  </si>
  <si>
    <t>0988 762 454</t>
  </si>
  <si>
    <t>https://www.tiktok.com/@thichhuongne</t>
  </si>
  <si>
    <t>https://www.tiktok.com/@vinhcorau</t>
  </si>
  <si>
    <t>https://www.tiktok.com/@hungbeosanseo?shop_region=VN</t>
  </si>
  <si>
    <t>https://www.tiktok.com/@hienbachhoa01</t>
  </si>
  <si>
    <t>https://www.tiktok.com/@_dknhat_</t>
  </si>
  <si>
    <t xml:space="preserve"> 098.148.2356</t>
  </si>
  <si>
    <t>https://www.tiktok.com/@thanh.san.deal</t>
  </si>
  <si>
    <t>https://www.tiktok.com/@quoc.anvat?shop_region=VN</t>
  </si>
  <si>
    <t>https://www.tiktok.com/@lemlem1602</t>
  </si>
  <si>
    <t>https://www.tiktok.com/@luuluutham91</t>
  </si>
  <si>
    <t>0986.025.034</t>
  </si>
  <si>
    <t>https://www.tiktok.com/@celinecam94</t>
  </si>
  <si>
    <t>fff</t>
  </si>
  <si>
    <t>https://www.tiktok.com/@kieuchi.live</t>
  </si>
  <si>
    <t>https://www.tiktok.com/@phan_vi170804</t>
  </si>
  <si>
    <t>0.9.8.9.2.2.4.8.5.7</t>
  </si>
  <si>
    <t>https://www.tiktok.com/@tranmyle1992</t>
  </si>
  <si>
    <t>https://www.tiktok.com/@ngan.huynh.ne</t>
  </si>
  <si>
    <t>0964 047 617</t>
  </si>
  <si>
    <t>https://www.tiktok.com/@nhatlinhnoithat.94</t>
  </si>
  <si>
    <t>0931 346 968</t>
  </si>
  <si>
    <t>https://www.tiktok.com/@tieumyluoinauan?shop_region=VN</t>
  </si>
  <si>
    <t>https://www.tiktok.com/@meberyne?shop_region=VN</t>
  </si>
  <si>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</si>
  <si>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</si>
  <si>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</si>
  <si>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</si>
  <si>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</si>
  <si>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</si>
  <si>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</si>
  <si>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</si>
  <si>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</si>
  <si>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</si>
  <si>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</si>
  <si>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</si>
  <si>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</si>
  <si>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</si>
  <si>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</si>
  <si>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</si>
  <si>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</si>
  <si>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</si>
  <si>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</si>
  <si>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</si>
  <si>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khá rõ nét, kênh chính chủ mô tả là nơi xem “review mới nhất”; trên YouTube có các tuyến nội dung như review quán ăn Sài Gòn, review hot trend, món miền Tây, công thức của mẹ. Tệp người xem thích cập nhật quán hot, món hot trend, món ăn đường phố/quen thuộc; phù hợp với khán giả trẻ thích thử món mới nhưng vẫn ưu tiên trải nghiệm dễ tiếp cận, giá không quá cao.
</t>
    </r>
    <r>
      <rPr>
        <rFont val="Be Vietnam Pro"/>
        <b/>
        <color theme="1"/>
        <sz val="11.0"/>
      </rPr>
      <t>Lý do phù hợp</t>
    </r>
    <r>
      <rPr>
        <rFont val="Be Vietnam Pro"/>
        <color theme="1"/>
        <sz val="11.0"/>
      </rPr>
      <t xml:space="preserve">
Khoa phù hợp để kéo review món + review điểm bán + bắt trend món mới. Nội dung kênh vừa có tính khám phá vừa có độ “đời”, nên dễ kể câu chuyện Fivestar không chỉ là gà rán mà còn là điểm dừng chân ăn nhanh, ngon, dễ ghé.</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</si>
  <si>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</si>
  <si>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</si>
  <si>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</si>
  <si>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</si>
  <si>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</si>
  <si>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food/travel có cá tính rõ, . Nhóm khán giả thích food content có cá tính, vừa xem để lấy gợi ý quán/món vừa xem vì persona creator thú vị; phù hợp với tệp trẻ thành thị thích nội dung review vui, dễ nhớ, có chút giải trí.
</t>
    </r>
    <r>
      <rPr>
        <rFont val="Be Vietnam Pro"/>
        <b/>
        <color theme="1"/>
        <sz val="11.0"/>
      </rPr>
      <t>Lý do phù hợp</t>
    </r>
    <r>
      <rPr>
        <rFont val="Be Vietnam Pro"/>
        <color theme="1"/>
        <sz val="11.0"/>
      </rPr>
      <t xml:space="preserve">
Điểm mạnh của Thồn là persona nhớ mặt nhớ giọng, tạo cảm giác review có màu riêng, không bị nhạt. Với Fivestar, creator này có thể làm nội dung gà rán theo hướng thử thật – reaction thật – kể chuyện có nét riêng, tăng độ ghi nhớ thương hiệu hơn kiểu review thông tin thuần túy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</si>
  <si>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</si>
  <si>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</si>
  <si>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review trải nghiệm/lifestyle,  nổi bật là review trường học, trải nghiệm sinh viên, khám phá địa điểm hơn là thuần food. Tệp học sinh – sinh viên và người trẻ quan tâm trải nghiệm đời sống quanh trường/lối sống thường ngày. Với Fivestar, đây là nhóm audience phù hợp cho các nội dung tiện lợi, giá dễ tiếp cận, dễ ăn cùng bạn bè.
</t>
    </r>
    <r>
      <rPr>
        <rFont val="Be Vietnam Pro"/>
        <b/>
        <color theme="1"/>
        <sz val="11.0"/>
      </rPr>
      <t>Lý do phù hợp</t>
    </r>
    <r>
      <rPr>
        <rFont val="Be Vietnam Pro"/>
        <color theme="1"/>
        <sz val="11.0"/>
      </rPr>
      <t xml:space="preserve">
Đây không phải lựa chọn mạnh nhất cho tuyến hero food review, nhưng lại phù hợp nếu Fivestar cần creator cho hoạt động brand tại điểm bán, activation gần trường học, hoặc nội dung “ăn gì nhanh – tiện – vui” trong nhịp sống sinh viên. Điểm mạnh là chất đời thường và sự gần gũi với bối cảnh đi học/đi chơi.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</si>
  <si>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</si>
  <si>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</si>
  <si>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</si>
  <si>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</si>
  <si>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</si>
  <si>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</si>
  <si>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</si>
  <si>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</si>
  <si>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</si>
  <si>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</si>
  <si>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</si>
  <si>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gắn với gia đình; Khán giả chính là nhóm mẹ trẻ, gia đình trẻ và người xem yêu thích content đời sống gia đình, ăn uống hàng ngày. Tệp này phù hợp để kéo cảm xúc “món ăn quen thuộc cho những khoảnh khắc gần gũi cùng con”.
</t>
    </r>
    <r>
      <rPr>
        <rFont val="Be Vietnam Pro"/>
        <b/>
        <color theme="1"/>
        <sz val="11.0"/>
      </rPr>
      <t>Lý do phù hợp</t>
    </r>
    <r>
      <rPr>
        <rFont val="Be Vietnam Pro"/>
        <color theme="1"/>
        <sz val="11.0"/>
      </rPr>
      <t xml:space="preserve">
Đây là gương mặt rất hợp để khai thác góc “mẹ mua gà cho con ăn”. So với food reviewer thông thường, Mom Diệp cho Fivestar một lớp nội dung mềm hơn: gà rán không chỉ là món ngon mà còn là khoảnh khắc gia đình nhỏ, mẹ chiều con, bữa ăn tiện mà vẫn vui.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</si>
  <si>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</si>
  <si>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</si>
  <si>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</si>
  <si>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</si>
  <si>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</si>
  <si>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</si>
  <si>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</si>
  <si>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</si>
  <si>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food/travel; Tệp khán giả thích xem gợi ý ăn uống kết hợp khám phá địa điểm, đặc biệt là người trẻ muốn nội dung nhanh, dễ áp dụng vào các cuộc hẹn hoặc cuối tuần.
</t>
    </r>
    <r>
      <rPr>
        <rFont val="Be Vietnam Pro"/>
        <b/>
        <color theme="1"/>
        <sz val="11.0"/>
      </rPr>
      <t>Lý do phù hợp</t>
    </r>
    <r>
      <rPr>
        <rFont val="Be Vietnam Pro"/>
        <color theme="1"/>
        <sz val="11.0"/>
      </rPr>
      <t xml:space="preserve">
Dun phù hợp với Fivestar ở góc review trải nghiệm thật trong hành trình đi đâu ăn đó. Đây là kiểu creator giúp brand không chỉ hiện lên như món ăn đơn lẻ mà còn như điểm dừng chân tiện, ngon, hợp mood đi chơi. Rất hợp cho tuyến UGC đi đường, ghé mua, ăn cùng bạn.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</si>
  <si>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</si>
  <si>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</si>
  <si>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</si>
  <si>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</si>
  <si>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</si>
  <si>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food review;  nội dung khám phá buffet sushi tại HCM, Tệp người xem thích food review đời thường, theo dõi creator để tìm món/quán dễ thử trong tầm giá phổ thông. Đây là nhóm rất dễ match với sản phẩm gà rán mang tính everyday choice.
</t>
    </r>
    <r>
      <rPr>
        <rFont val="Be Vietnam Pro"/>
        <b/>
        <color theme="1"/>
        <sz val="11.0"/>
      </rPr>
      <t>Lý do phù hợp</t>
    </r>
    <r>
      <rPr>
        <rFont val="Be Vietnam Pro"/>
        <color theme="1"/>
        <sz val="11.0"/>
      </rPr>
      <t xml:space="preserve">
Huy Huỳnh hợp cho nhóm UGC cần cảm giác review quán/món thực tế, không quá chỉn chu, tập trung vào phản ứng ăn thật và tính recommendation. Với Fivestar, creator này có thể làm tốt dạng “ghé thử món – chấm điểm nhanh – rủ bạn đi ăn”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</si>
  <si>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</si>
  <si>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</si>
  <si>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ăn uống/nấu ăn, nổi tiếng với các clip xuất hiện trong các nội dung khám phá buffet sushi. Tệp người xem quan tâm ăn uống, món ngon, trải nghiệm quán xá; phù hợp với nhóm thích các clip review nhanh, bắt mắt, kích thích vị giác.
</t>
    </r>
    <r>
      <rPr>
        <rFont val="Be Vietnam Pro"/>
        <b/>
        <color theme="1"/>
        <sz val="11.0"/>
      </rPr>
      <t>Lý do phù hợp</t>
    </r>
    <r>
      <rPr>
        <rFont val="Be Vietnam Pro"/>
        <color theme="1"/>
        <sz val="11.0"/>
      </rPr>
      <t xml:space="preserve">
Kun Cooking phù hợp với Fivestar vì vừa có màu foodie, vừa có lợi thế từ tên kênh gợi liên tưởng đến người yêu bếp/đồ ăn. Điều này giúp nội dung review gà rán dễ tạo cảm giác đáng tin, đặc biệt ở các clip đánh giá món ăn, phần ăn, độ ngon và trải nghiệm thực tế.</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</si>
  <si>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</si>
  <si>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</si>
  <si>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</si>
  <si>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</si>
  <si>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</si>
  <si>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</si>
  <si>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</si>
  <si>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</si>
  <si>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</si>
  <si>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</si>
  <si>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</si>
  <si>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</si>
  <si>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</si>
  <si>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</si>
  <si>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</si>
  <si>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</si>
  <si>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</si>
  <si>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</si>
  <si>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</si>
  <si>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</si>
  <si>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</si>
  <si>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</si>
  <si>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</si>
  <si>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</si>
  <si>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</si>
  <si>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</si>
  <si>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</si>
  <si>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</si>
  <si>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</si>
  <si>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</si>
  <si>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</si>
  <si>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</si>
  <si>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</si>
  <si>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</si>
  <si>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</si>
  <si>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</si>
  <si>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</si>
  <si>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</si>
  <si>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</si>
  <si>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</si>
  <si>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</si>
  <si>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</si>
  <si>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</si>
  <si>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</si>
  <si>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</si>
  <si>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</si>
  <si>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</si>
  <si>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</si>
  <si>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</si>
  <si>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</si>
  <si>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</si>
  <si>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</si>
  <si>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</si>
  <si>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</si>
  <si>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</si>
  <si>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</si>
  <si>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</si>
  <si>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</si>
  <si>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</si>
  <si>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</si>
  <si>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</si>
  <si>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</si>
  <si>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</si>
  <si>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</si>
  <si>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sz val="9.0"/>
      </rPr>
      <t xml:space="preserve">chưa bao gồm chi phí mua đồ ăn
</t>
    </r>
    <r>
      <rPr>
        <color rgb="FF1155CC"/>
        <sz val="9.0"/>
        <u/>
      </rPr>
      <t>https://docs.google.com/spreadsheets/d/16OvFx7PrR-T2MT2uGxvOhLg9LXOi0HWql6pSWU7HRfg/edit?gid=1826739190#gid=1826739190</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</si>
  <si>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</si>
  <si>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</si>
  <si>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</si>
  <si>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</si>
  <si>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t>Đi Ăn Cùng Khánh</t>
  </si>
  <si>
    <t>496.7K</t>
  </si>
  <si>
    <t>https://www.tiktok.com/@foodtravelhanoi?_t=ZS-8tu0XudOugL&amp;_r=1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</si>
  <si>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</si>
  <si>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tập trung vào trải nghiệm ăn uống thực tế, đúng tinh thần “đi ăn cùng” gần gũi, dễ xem và dễ tạo cảm giác như đang được bạn bè rủ đi thử quán. Nội dung phù hợp với nhóm khán giả trẻ thích khám phá địa điểm ăn uống, tìm món ngon dễ thử, dễ rủ hội bạn đi cùng.
</t>
    </r>
    <r>
      <rPr>
        <rFont val="Be Vietnam Pro"/>
        <b/>
        <color theme="1"/>
        <sz val="11.0"/>
      </rPr>
      <t xml:space="preserve">Lý do phù hợp
</t>
    </r>
    <r>
      <rPr>
        <rFont val="Be Vietnam Pro"/>
        <color theme="1"/>
        <sz val="11.0"/>
      </rPr>
      <t>Đi Ăn Cùng Khánh phù hợp để review Fivestar theo hướng trải nghiệm trực diện: món ngon, dễ ăn, tiện ghé mua và dễ chốt kèo ăn cùng bạn bè. Cách tiếp cận gần gũi giúp thương hiệu tạo cảm giác thân quen, đời thường và dễ kích thích nhu cầu thử món ngay sau khi xem.</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</si>
  <si>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</si>
  <si>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t>Việt Anh ăn chơi bí ẩn ?</t>
  </si>
  <si>
    <t>485.7K</t>
  </si>
  <si>
    <t>https://www.tiktok.com/@anchoicungvanh?_r=1&amp;_t=ZS-93X6USlK0e1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</si>
  <si>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</si>
  <si>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Creator có màu sắc ăn chơi, khám phá và trải nghiệm địa điểm/món ăn theo hướng tò mò, vui vẻ, có yếu tố “bí ẩn” tạo hook cho người xem. Tệp khán giả phù hợp với nhóm trẻ thích xem nội dung ăn uống – giải trí, dễ bị thu hút bởi format khám phá, thử món và reaction tự nhiên.
</t>
    </r>
    <r>
      <rPr>
        <rFont val="Be Vietnam Pro"/>
        <b/>
        <color theme="1"/>
        <sz val="11.0"/>
      </rPr>
      <t xml:space="preserve">Lý do phù hợp
</t>
    </r>
    <r>
      <rPr>
        <rFont val="Be Vietnam Pro"/>
        <color theme="1"/>
        <sz val="11.0"/>
      </rPr>
      <t>Việt Anh phù hợp để đưa Fivestar vào tuyến nội dung khám phá món ăn đáng thử, tạo cảm giác “phát hiện một lựa chọn ngon – tiện – dễ rủ bạn bè”. Màu sắc kênh giúp brand không chỉ xuất hiện như một món ăn quen thuộc mà còn có yếu tố thú vị, kích thích người xem muốn thử.</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</si>
  <si>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</si>
  <si>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t>tiểu chée🍯</t>
  </si>
  <si>
    <t>205.6K</t>
  </si>
  <si>
    <t>https://www.tiktok.com/@tieuchereview?_t=ZS-8tu0uJ77dVR&amp;_r=1</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</si>
  <si>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</si>
  <si>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review mang màu sắc trẻ trung, dễ thương và gần gũi, phù hợp với các nội dung ăn uống đời thường, visual món ăn bắt mắt và cảm nhận ăn uống nhẹ nhàng. Tệp người xem có xu hướng thích food content dễ xem, dễ tin, ưu tiên những gợi ý món ngon có thể thử ngay.
</t>
    </r>
    <r>
      <rPr>
        <rFont val="Be Vietnam Pro"/>
        <b/>
        <color theme="1"/>
        <sz val="11.0"/>
      </rPr>
      <t xml:space="preserve">Lý do phù hợp
</t>
    </r>
    <r>
      <rPr>
        <rFont val="Be Vietnam Pro"/>
        <color theme="1"/>
        <sz val="11.0"/>
      </rPr>
      <t>tiểu chée phù hợp để review Fivestar theo hướng ngon miệng, dễ ăn và có tính “craving” cao. Phong cách trẻ trung giúp món gà rán trở nên gần gũi với nhóm Gen Z, đặc biệt trong các context ăn vặt, ăn cùng bạn bè hoặc chọn món nhanh trong ngày.</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</si>
  <si>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</si>
  <si>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</si>
  <si>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có định vị rõ về ăn uống, dễ tạo cảm giác rủ rê và kích thích người xem đi ăn ngay. Tên kênh mang tính call-to-action tự nhiên, phù hợp với nhóm khán giả chủ động tìm recommendation món/quán, thích nội dung review nhanh, visual ngon mắt và reaction thực tế.
</t>
    </r>
    <r>
      <rPr>
        <rFont val="Be Vietnam Pro"/>
        <b/>
        <color theme="1"/>
        <sz val="11.0"/>
      </rPr>
      <t xml:space="preserve">Lý do phù hợp
</t>
    </r>
    <r>
      <rPr>
        <rFont val="Be Vietnam Pro"/>
        <color theme="1"/>
        <sz val="11.0"/>
      </rPr>
      <t>Đi Ăn Chưa phù hợp để truyền tải Fivestar như một lựa chọn ăn uống tiện, ngon và dễ chốt kèo. Tinh thần “đi ăn chưa” match tốt với thông điệp rủ bạn bè cùng ăn gà rán, giúp nội dung brand trở nên tự nhiên, gần gũi và có khả năng kích thích hành động thử món.</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</si>
  <si>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</si>
  <si>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</si>
  <si>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</si>
  <si>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</si>
  <si>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</si>
  <si>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</si>
  <si>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</si>
  <si>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</si>
  <si>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</si>
  <si>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</si>
  <si>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</si>
  <si>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</si>
  <si>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</si>
  <si>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</si>
  <si>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</si>
  <si>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</si>
  <si>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</si>
  <si>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</si>
  <si>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</si>
  <si>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</si>
  <si>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</si>
  <si>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</si>
  <si>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</si>
  <si>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sz val="9.0"/>
      </rPr>
      <t xml:space="preserve">T5A: </t>
    </r>
    <r>
      <rPr>
        <color rgb="FF1155CC"/>
        <sz val="9.0"/>
        <u/>
      </rPr>
      <t xml:space="preserve">https://docs.google.com/spreadsheets/d/1zp_LaYpWA9sZHsid5iK9uwpUrgqLfDp_I-uIAAKEj48/edit?gid=86066825#gid=86066825
</t>
    </r>
    <r>
      <rPr>
        <sz val="9.0"/>
      </rPr>
      <t xml:space="preserve">
</t>
    </r>
    <r>
      <rPr>
        <color rgb="FFFF0000"/>
        <sz val="9.0"/>
      </rPr>
      <t xml:space="preserve">- Yuhi sẽ review theo cảm nhận cá nhân của bản thân và trao đổi, lắng nghe nhãn hàng để đưa những nội dung mong muốn có trong video phù hợp nhất. 
- Video chỉnh sửa miễn phí 2 lần, kể từ lần thứ 3 phát sinh thêm 10% chi phí sản xuất clip/1 lần. 
Hủy job sẽ mất 50% cọc và dời lịch sẽ tính thêm 10% chi phí.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</si>
  <si>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</si>
  <si>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</si>
  <si>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</si>
  <si>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Arial"/>
        <color theme="1"/>
        <sz val="9.0"/>
      </rPr>
      <t xml:space="preserve">T5A: https://docs.google.com/spreadsheets/d/1zp_LaYpWA9sZHsid5iK9uwpUrgqLfDp_I-uIAAKEj48/edit?gid=86066825#gid=86066825
</t>
    </r>
    <r>
      <rPr>
        <rFont val="Arial"/>
        <b/>
        <color theme="1"/>
        <sz val="9.0"/>
      </rPr>
      <t>note</t>
    </r>
    <r>
      <rPr>
        <rFont val="Arial"/>
        <color theme="1"/>
        <sz val="9.0"/>
      </rPr>
      <t xml:space="preserve">: - Đăng cùng lúc 3 nền tảng TIKTOK - FANPAGE (FACEBOOK) - INSTAGRAM 
- Miễn phí Ghim clip đầu kênh TikTok &amp; Fanpage 3 ngày
- Miễn phí Code Ads TikTok 2 tuần 
- Ưu tiên trả clip sớm sau 2 ngày (Nếu Brand cần đăng gấp)
- FOC 1 Story FB
</t>
    </r>
    <r>
      <rPr>
        <rFont val="Arial"/>
        <color rgb="FFFF0000"/>
        <sz val="9.0"/>
      </rPr>
      <t>- Huỷ job khi đã thực hiện quay =&gt; bồi thường 100% tổng tiền booking. 
- Thời gian trả demo: 5 ngày
- Trong trường hợp các Brand tự ý buff view ảo, tương tác ảo vào clip, bên mình xin phép xoá video và phía Brand phải đền bù 150% tổng chi phí</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</si>
  <si>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</si>
  <si>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</si>
  <si>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</si>
  <si>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</si>
  <si>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</si>
  <si>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</si>
  <si>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</si>
  <si>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</si>
  <si>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</si>
  <si>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</si>
  <si>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</si>
  <si>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</si>
  <si>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</si>
  <si>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</si>
  <si>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</si>
  <si>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</si>
  <si>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</si>
  <si>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</si>
  <si>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</si>
  <si>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</si>
  <si>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</si>
  <si>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</si>
  <si>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</si>
  <si>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sz val="9.0"/>
      </rPr>
      <t xml:space="preserve">T5A: </t>
    </r>
    <r>
      <rPr>
        <color rgb="FF1155CC"/>
        <sz val="9.0"/>
        <u/>
      </rPr>
      <t>https://docs.google.com/spreadsheets/d/1zp_LaYpWA9sZHsid5iK9uwpUrgqLfDp_I-uIAAKEj48/edit?gid=86066825#gid=86066825</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</si>
  <si>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</si>
  <si>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</si>
  <si>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</si>
  <si>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</si>
  <si>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</si>
  <si>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</si>
  <si>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</si>
  <si>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</si>
  <si>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</si>
  <si>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</si>
  <si>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</si>
  <si>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</si>
  <si>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</si>
  <si>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</si>
  <si>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</si>
  <si>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</si>
  <si>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</si>
  <si>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</si>
  <si>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</si>
  <si>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</si>
  <si>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sz val="9.0"/>
      </rPr>
      <t xml:space="preserve">Checked
</t>
    </r>
    <r>
      <rPr>
        <color rgb="FF1155CC"/>
        <sz val="9.0"/>
        <u/>
      </rPr>
      <t>Link</t>
    </r>
    <r>
      <rPr>
        <sz val="9.0"/>
      </rPr>
      <t xml:space="preserve">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</si>
  <si>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</si>
  <si>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sz val="9.0"/>
      </rPr>
      <t xml:space="preserve">Checked
</t>
    </r>
    <r>
      <rPr>
        <color rgb="FF1155CC"/>
        <sz val="9.0"/>
        <u/>
      </rPr>
      <t>Link</t>
    </r>
    <r>
      <rPr>
        <sz val="9.0"/>
      </rPr>
      <t xml:space="preserve"> </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</si>
  <si>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</si>
  <si>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</si>
  <si>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</si>
  <si>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</si>
  <si>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</si>
  <si>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</si>
  <si>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</si>
  <si>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</si>
  <si>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</si>
  <si>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</si>
  <si>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</si>
  <si>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</si>
  <si>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</si>
  <si>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</si>
  <si>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</si>
  <si>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</si>
  <si>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</si>
  <si>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</si>
  <si>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</si>
  <si>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</si>
  <si>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</si>
  <si>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</si>
  <si>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</si>
  <si>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</si>
  <si>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</si>
  <si>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</si>
  <si>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</si>
  <si>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</si>
  <si>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</si>
  <si>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</si>
  <si>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</si>
  <si>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</si>
  <si>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</si>
  <si>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</si>
  <si>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</si>
  <si>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</si>
  <si>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tập trung vào trải nghiệm ăn uống thực tế, đúng tinh thần “đi ăn cùng” gần gũi, dễ xem và dễ tạo cảm giác như đang được bạn bè rủ đi thử quán. Nội dung phù hợp với nhóm khán giả trẻ thích khám phá địa điểm ăn uống, tìm món ngon dễ thử, dễ rủ hội bạn đi cùng.
</t>
    </r>
    <r>
      <rPr>
        <rFont val="Be Vietnam Pro"/>
        <b/>
        <color theme="1"/>
        <sz val="11.0"/>
      </rPr>
      <t xml:space="preserve">Lý do phù hợp
</t>
    </r>
    <r>
      <rPr>
        <rFont val="Be Vietnam Pro"/>
        <color theme="1"/>
        <sz val="11.0"/>
      </rPr>
      <t>Đi Ăn Cùng Khánh phù hợp để review Fivestar theo hướng trải nghiệm trực diện: món ngon, dễ ăn, tiện ghé mua và dễ chốt kèo ăn cùng bạn bè. Cách tiếp cận gần gũi giúp thương hiệu tạo cảm giác thân quen, đời thường và dễ kích thích nhu cầu thử món ngay sau khi xem.</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</si>
  <si>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</si>
  <si>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</si>
  <si>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Creator có màu sắc ăn chơi, khám phá và trải nghiệm địa điểm/món ăn theo hướng tò mò, vui vẻ, có yếu tố “bí ẩn” tạo hook cho người xem. Tệp khán giả phù hợp với nhóm trẻ thích xem nội dung ăn uống – giải trí, dễ bị thu hút bởi format khám phá, thử món và reaction tự nhiên.
</t>
    </r>
    <r>
      <rPr>
        <rFont val="Be Vietnam Pro"/>
        <b/>
        <color theme="1"/>
        <sz val="11.0"/>
      </rPr>
      <t xml:space="preserve">Lý do phù hợp
</t>
    </r>
    <r>
      <rPr>
        <rFont val="Be Vietnam Pro"/>
        <color theme="1"/>
        <sz val="11.0"/>
      </rPr>
      <t>Việt Anh phù hợp để đưa Fivestar vào tuyến nội dung khám phá món ăn đáng thử, tạo cảm giác “phát hiện một lựa chọn ngon – tiện – dễ rủ bạn bè”. Màu sắc kênh giúp brand không chỉ xuất hiện như một món ăn quen thuộc mà còn có yếu tố thú vị, kích thích người xem muốn thử.</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</si>
  <si>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</si>
  <si>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</si>
  <si>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review mang màu sắc trẻ trung, dễ thương và gần gũi, phù hợp với các nội dung ăn uống đời thường, visual món ăn bắt mắt và cảm nhận ăn uống nhẹ nhàng. Tệp người xem có xu hướng thích food content dễ xem, dễ tin, ưu tiên những gợi ý món ngon có thể thử ngay.
</t>
    </r>
    <r>
      <rPr>
        <rFont val="Be Vietnam Pro"/>
        <b/>
        <color theme="1"/>
        <sz val="11.0"/>
      </rPr>
      <t xml:space="preserve">Lý do phù hợp
</t>
    </r>
    <r>
      <rPr>
        <rFont val="Be Vietnam Pro"/>
        <color theme="1"/>
        <sz val="11.0"/>
      </rPr>
      <t>tiểu chée phù hợp để review Fivestar theo hướng ngon miệng, dễ ăn và có tính “craving” cao. Phong cách trẻ trung giúp món gà rán trở nên gần gũi với nhóm Gen Z, đặc biệt trong các context ăn vặt, ăn cùng bạn bè hoặc chọn món nhanh trong ngày.</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</si>
  <si>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</si>
  <si>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</si>
  <si>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có định vị rõ về ăn uống, dễ tạo cảm giác rủ rê và kích thích người xem đi ăn ngay. Tên kênh mang tính call-to-action tự nhiên, phù hợp với nhóm khán giả chủ động tìm recommendation món/quán, thích nội dung review nhanh, visual ngon mắt và reaction thực tế.
</t>
    </r>
    <r>
      <rPr>
        <rFont val="Be Vietnam Pro"/>
        <b/>
        <color theme="1"/>
        <sz val="11.0"/>
      </rPr>
      <t xml:space="preserve">Lý do phù hợp
</t>
    </r>
    <r>
      <rPr>
        <rFont val="Be Vietnam Pro"/>
        <color theme="1"/>
        <sz val="11.0"/>
      </rPr>
      <t>Đi Ăn Chưa phù hợp để truyền tải Fivestar như một lựa chọn ăn uống tiện, ngon và dễ chốt kèo. Tinh thần “đi ăn chưa” match tốt với thông điệp rủ bạn bè cùng ăn gà rán, giúp nội dung brand trở nên tự nhiên, gần gũi và có khả năng kích thích hành động thử món.</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</si>
  <si>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</si>
  <si>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</si>
  <si>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</si>
  <si>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</si>
  <si>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</si>
  <si>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</si>
  <si>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</si>
  <si>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</si>
  <si>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</si>
  <si>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</si>
  <si>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</si>
  <si>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</si>
  <si>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</si>
  <si>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</si>
  <si>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</si>
  <si>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</si>
  <si>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</si>
  <si>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</si>
  <si>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</si>
  <si>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</si>
  <si>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</si>
  <si>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</si>
  <si>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</si>
  <si>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</si>
  <si>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</si>
  <si>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</si>
  <si>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</si>
  <si>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</si>
  <si>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</si>
  <si>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</si>
  <si>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</si>
  <si>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</si>
  <si>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</si>
  <si>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</si>
  <si>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nội dung tích cực, vui vẻ, có yếu tố giải trí. Food chỉ là một phần trong lifestyle content. Tệp người xem thích nội dung vui – năng lượng tốt.
</t>
    </r>
    <r>
      <rPr>
        <rFont val="Be Vietnam Pro"/>
        <b/>
        <color theme="1"/>
        <sz val="11.0"/>
      </rPr>
      <t xml:space="preserve">Lý do phù hợp
</t>
    </r>
    <r>
      <rPr>
        <rFont val="Be Vietnam Pro"/>
        <color theme="1"/>
        <sz val="11.0"/>
      </rPr>
      <t>Phù hợp triển khai nội dung ăn uống theo hướng vui vẻ, giải trí. Giúp Fivestar xuất hiện như một “mood booster” – ăn ngon, vui.</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</si>
  <si>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</si>
  <si>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</si>
  <si>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</si>
  <si>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</si>
  <si>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</si>
  <si>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</si>
  <si>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</si>
  <si>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</si>
  <si>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</si>
  <si>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</si>
  <si>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</si>
  <si>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</si>
  <si>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</si>
  <si>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</si>
  <si>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</si>
  <si>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</si>
  <si>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</si>
  <si>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</si>
  <si>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</si>
  <si>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</si>
  <si>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</si>
  <si>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</si>
  <si>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</si>
  <si>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</si>
  <si>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</si>
  <si>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</si>
  <si>
    <t>Tháng 5</t>
  </si>
  <si>
    <t>Tháng 6</t>
  </si>
  <si>
    <t>Total</t>
  </si>
  <si>
    <t>Rec incl AF 12%</t>
  </si>
  <si>
    <t>Revenue 
(incl AF 12%)</t>
  </si>
  <si>
    <t>Cost</t>
  </si>
  <si>
    <t>GP2</t>
  </si>
  <si>
    <t>KOL Name</t>
  </si>
  <si>
    <t>Revenue (chưa AF)</t>
  </si>
  <si>
    <t>Month Record</t>
  </si>
  <si>
    <t>Date Aired</t>
  </si>
  <si>
    <t>Ghi Chú</t>
  </si>
  <si>
    <t>Đã cộng chi phí ăn uống và di chuyển để tránh phát sinh paperwork
Vendor Revenue tracking: PMAX x Vendors | C.P Fivestar - Influencer Working File</t>
  </si>
  <si>
    <t>Đã cộng chi phí ăn uống và di chuyển để tránh phát sinh paperwork
Revenue tracking: PMAX x Vendors | C.P Fivestar - Influencer Working File</t>
  </si>
  <si>
    <t>Đã cộng chi phí ăn uống và di chuyển để tránh phát sinh paperwork</t>
  </si>
  <si>
    <t>Air</t>
  </si>
  <si>
    <t>Cost có chênh lệch vì nhiều profile trong giai đoạn pitching estimate giá</t>
  </si>
  <si>
    <t>Seeding</t>
  </si>
  <si>
    <t>Vendor Jelly</t>
  </si>
  <si>
    <t>Media buffer</t>
  </si>
  <si>
    <t>Vendor Vương</t>
  </si>
  <si>
    <t>Chi phí di chuyển</t>
  </si>
  <si>
    <t>Không phát sinh cost vì đã cộng vào net cost các profile</t>
  </si>
  <si>
    <r>
      <rPr>
        <rFont val="Be Vietnam Pro"/>
        <b/>
        <color theme="1"/>
        <sz val="20.0"/>
      </rPr>
      <t xml:space="preserve">PMAX | </t>
    </r>
    <r>
      <rPr>
        <rFont val="Be Vietnam Pro"/>
        <b/>
        <color rgb="FFED2229"/>
        <sz val="20.0"/>
      </rPr>
      <t>C.P.GROUP VIETNAM</t>
    </r>
    <r>
      <rPr>
        <rFont val="Be Vietnam Pro"/>
        <b/>
        <color theme="1"/>
        <sz val="20.0"/>
      </rPr>
      <t xml:space="preserve"> - QUOTATION FOR INFLUENCERS BOOKING SERVICE</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</si>
  <si>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</si>
  <si>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Food/lifestyle reviewer có quy mô khá lớn; Tệp khán giả đại chúng, thiên về người trẻ xem TikTok để tìm quán, tìm món, tìm địa điểm vui cuối tuần; phù hợp cho nhóm người xem cần nội dung nhanh, dễ hiểu, quyết định thử món nhanh.
</t>
    </r>
    <r>
      <rPr>
        <rFont val="Be Vietnam Pro"/>
        <b/>
        <color theme="1"/>
        <sz val="11.0"/>
      </rPr>
      <t>Lý do phù hợp</t>
    </r>
    <r>
      <rPr>
        <rFont val="Be Vietnam Pro"/>
        <color theme="1"/>
        <sz val="11.0"/>
      </rPr>
      <t xml:space="preserve">
Đây là gương mặt phù hợp cho mục tiêu độ phủ. Với nền tảng follower/like lớn, Thắng Lợi có khả năng giúp Fivestar review món gà rán theo kiểu mass-friendly, dễ viral, dễ kéo reach; đồng thời vẫn bám đúng territory ăn uống/quán xá.</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</si>
  <si>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</si>
  <si>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</si>
  <si>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travel – food, creator làm các clip trải nghiệm ăn uống/điểm đến. Khán giả thích kết hợp ăn uống + đi chơi + khám phá địa điểm, thiên về nhóm trẻ thích lifestyle/travel nội địa. Audience này phù hợp với Fivestar khi thương hiệu muốn mở rộng từ “món ăn” sang “điểm chạm trong hành trình vui chơi”
</t>
    </r>
    <r>
      <rPr>
        <rFont val="Be Vietnam Pro"/>
        <b/>
        <color theme="1"/>
        <sz val="11.0"/>
      </rPr>
      <t>Lý do phù hợp</t>
    </r>
    <r>
      <rPr>
        <rFont val="Be Vietnam Pro"/>
        <color theme="1"/>
        <sz val="11.0"/>
      </rPr>
      <t xml:space="preserve">
Lulu phù hợp để kể Fivestar theo góc đi đâu ăn đó / tiện ghé – tiện trải nghiệm, không chỉ review món gà rán mà còn gắn với hành trình đi chơi, đi ăn, check-in. Điều này hợp với các hoạt động activation hoặc ghé cửa hàng trong hành trình khám phá thành phố</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</si>
  <si>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</si>
  <si>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</si>
  <si>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về du lịch và đời sống, ăn uống , đồng thời Lập cũng nói rõ mình “thích ăn ngon thích trải nghiệm”. Khán giả trẻ yêu thích trải nghiệm đời sống, du lịch ngắn ngày, quán xá và những nội dung nhẹ nhàng dễ xem; phù hợp với nhóm người xem thích recommendation kiểu “đi đâu – ăn gì – chơi gì”
</t>
    </r>
    <r>
      <rPr>
        <rFont val="Be Vietnam Pro"/>
        <b/>
        <color theme="1"/>
        <sz val="11.0"/>
      </rPr>
      <t>Lý do phù hợp</t>
    </r>
    <r>
      <rPr>
        <rFont val="Be Vietnam Pro"/>
        <color theme="1"/>
        <sz val="11.0"/>
      </rPr>
      <t xml:space="preserve">
Lập không phải pure foodie 100%, nhưng lại rất hợp cho tuyến review trải nghiệm thương hiệu: ghé cửa hàng, ăn thử món, tham gia hoạt động brand, kể cảm xúc theo kiểu gần gũi và vui vẻ. Đây là kiểu creator giúp Fivestar không chỉ bán món mà còn bán trải nghiệm ghé ăn – đi chơi – thư giãn.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</si>
  <si>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</si>
  <si>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</si>
  <si>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thiên về food/lifestyle ở quy mô nhỏ hơn, cũng như từng đăng nội dung liên quan KFC tầm 1 năm trước. Tệp người xem trẻ, thiên nữ, quan tâm quán xá đẹp, món ngon dễ hẹn bạn bè hoặc đi hẹn hò; phù hợp cho nhóm cần cảm hứng “thấy hợp là đi thử”.
</t>
    </r>
    <r>
      <rPr>
        <rFont val="Be Vietnam Pro"/>
        <b/>
        <color theme="1"/>
        <sz val="11.0"/>
      </rPr>
      <t>Lý do phù hợp</t>
    </r>
    <r>
      <rPr>
        <rFont val="Be Vietnam Pro"/>
        <color theme="1"/>
        <sz val="11.0"/>
      </rPr>
      <t xml:space="preserve">
Huyền Nhi phù hợp cho tuyến micro/nano KOC nếu brand cần cảm giác review thật, mềm, nữ tính và gần gũi. Creator này hợp với các nội dung thử món, đi ăn cùng bạn bè, hoặc review cửa hàng theo vibe nhẹ nhàng, dễ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</si>
  <si>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</si>
  <si>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</si>
  <si>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quy mô nhỏ, nội dung xoay quanh food review tại Sài Gòn như hủ tiếu Nam Vang, món mới, quán ăn. Tệp khán giả địa phương quan tâm quán ăn Sài Gòn và các gợi ý món ăn thường ngày; phù hợp cho mục tiêu phủ thêm lớp recommendation thực tế ở nhóm niche audience.
</t>
    </r>
    <r>
      <rPr>
        <rFont val="Be Vietnam Pro"/>
        <b/>
        <color theme="1"/>
        <sz val="11.0"/>
      </rPr>
      <t>Lý do phù hợp</t>
    </r>
    <r>
      <rPr>
        <rFont val="Be Vietnam Pro"/>
        <color theme="1"/>
        <sz val="11.0"/>
      </rPr>
      <t xml:space="preserve">
Thư Bonny hợp cho tuyến nano KOC seeding hơn là lead KOL. Điểm cộng là cảm giác gần gũi, ít “quảng cáo hóa”, phù hợp nếu Fivestar muốn có thêm lớp nội dung review chân thật, đời thường, dễ tạo niềm tin ở nhóm người xem nhỏ nhưng sát nhu cầu ăn uống hàng ngày.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</si>
  <si>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</si>
  <si>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</si>
  <si>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Food reviewer theo hướng gần gũi, hay làm format “cầm 100 cành ăn sập…” và review quán/điểm ăn uống thực tế; phần mô tả YouTube cũng cho thấy Nuchuu chia sẻ công thức nấu ăn và “review thật lòng” về thực phẩm, quán ăn. Kênh thu hút nhóm khán giả trẻ thích săn quán, thích nội dung ăn uống đời thường, ưu tiên món ngon dễ thử, dễ rủ hội bạn đi cùng; phù hợp với tệp Gen Z–young millennials mê khám phá địa điểm ăn uống phổ thông.
</t>
    </r>
    <r>
      <rPr>
        <rFont val="Be Vietnam Pro"/>
        <b/>
        <color theme="1"/>
        <sz val="11.0"/>
      </rPr>
      <t>Lý do phù hợp</t>
    </r>
    <r>
      <rPr>
        <rFont val="Be Vietnam Pro"/>
        <color theme="1"/>
        <sz val="11.0"/>
      </rPr>
      <t xml:space="preserve">
Nuchuu hợp để review gà rán theo góc độ “ngon thật – dễ ăn – dễ chốt kèo” vì nội dung thiên về trải nghiệm thật, món ăn phổ thông, dễ tạo cảm giác thèm ăn ngay. Format săn món ngon giá hợp lý cũng match với tinh thần tiếp cận rộng, tiện ăn, tiện rủ bạn bè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</si>
  <si>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</si>
  <si>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</si>
  <si>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Tệp người xem chủ động tìm nội dung ăn uống, ưu tiên recommendation nhanh về món/quán; phù hợp với nhóm khán giả trẻ mê food content, dễ bị tác động bởi visual món ăn và reaction khi ăn
</t>
    </r>
    <r>
      <rPr>
        <rFont val="Be Vietnam Pro"/>
        <b/>
        <color theme="1"/>
        <sz val="11.0"/>
      </rPr>
      <t>Lý do phù hợp</t>
    </r>
    <r>
      <rPr>
        <rFont val="Be Vietnam Pro"/>
        <color theme="1"/>
        <sz val="11.0"/>
      </rPr>
      <t xml:space="preserve">
Puu phù hợp với tuyến review món ăn trực diện, tập trung vào cảm nhận vị, độ hấp dẫn và trải nghiệm ăn thực tế. Với tên kênh và định vị khá rõ là “ăn ngon”, creator này match tốt với brief cần làm người xem thèm món ngay khi xem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</si>
  <si>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</si>
  <si>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</si>
  <si>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nội dung mang tính daily life, trải nghiệm đa dạng món ăn Phong cách quay đẹp, nội dung lôi cuốn người xe và có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</si>
  <si>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</si>
  <si>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</si>
  <si>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food review có định vị rõ về ăn uống, dễ tạo cảm giác rủ rê và kích thích người xem đi ăn ngay. Tên kênh mang tính call-to-action tự nhiên, phù hợp với nhóm khán giả chủ động tìm recommendation món/quán, thích nội dung review nhanh, visual ngon mắt và reaction thực tế.
</t>
    </r>
    <r>
      <rPr>
        <rFont val="Be Vietnam Pro"/>
        <b/>
        <color theme="1"/>
        <sz val="11.0"/>
      </rPr>
      <t xml:space="preserve">Lý do phù hợp
</t>
    </r>
    <r>
      <rPr>
        <rFont val="Be Vietnam Pro"/>
        <color theme="1"/>
        <sz val="11.0"/>
      </rPr>
      <t>Đi Ăn Chưa phù hợp để truyền tải Fivestar như một lựa chọn ăn uống tiện, ngon và dễ chốt kèo. Tinh thần “đi ăn chưa” match tốt với thông điệp rủ bạn bè cùng ăn gà rán, giúp nội dung brand trở nên tự nhiên, gần gũi và có khả năng kích thích hành động thử món.</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</si>
  <si>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</si>
  <si>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</si>
  <si>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food/travel/life review.  Tệp người xem thích nội dung ăn uống/lối sống gần gũi, xem để lấy gợi ý thực tế cho các dịp ăn nhanh, đi chơi hoặc ghé quán. Audience phù hợp với nhóm trẻ thích recommendation kiểu chân thật, ít dàn dựng.
</t>
    </r>
    <r>
      <rPr>
        <rFont val="Be Vietnam Pro"/>
        <b/>
        <color theme="1"/>
        <sz val="11.0"/>
      </rPr>
      <t>Lý do phù hợp</t>
    </r>
    <r>
      <rPr>
        <rFont val="Be Vietnam Pro"/>
        <color theme="1"/>
        <sz val="11.0"/>
      </rPr>
      <t xml:space="preserve">
Nhà Mây hợp với Fivestar ở vai trò UGC review trải nghiệm thật: ghé mua gà rán, quay phản ứng ăn thật, ghi lại cảm giác “tiện – ngon – dễ chốt món” theo kiểu rất đời thường. Đây là mẫu creator giúp brand tạo cảm giác “người dùng thật đang ăn thật”, thay vì một bài booking quá quảng cáo.</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</si>
  <si>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</si>
  <si>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</si>
  <si>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theo hướng food/travel/chill experiences; dù dữ liệu public không quá nhiều, tên kênh và format self-branding cho thấy đây là kiểu creator gắn với trải nghiệm đi ăn – đi chơi – đi chill. Tệp người xem trẻ thích lifestyle nhẹ nhàng, thích gợi ý địa điểm ăn chơi cuối tuần, ưu tiên những nội dung mang mood vui – tiện – dễ bắt chước.
</t>
    </r>
    <r>
      <rPr>
        <rFont val="Be Vietnam Pro"/>
        <b/>
        <color theme="1"/>
        <sz val="11.0"/>
      </rPr>
      <t>Lý do phù hợp</t>
    </r>
    <r>
      <rPr>
        <rFont val="Be Vietnam Pro"/>
        <color theme="1"/>
        <sz val="11.0"/>
      </rPr>
      <t xml:space="preserve">
Phương phiêu phù hợp khi Fivestar muốn kể câu chuyện “đi chill ghé ăn”: món gà rán xuất hiện như một phần của hành trình đi chơi, đi dạo, tụ tập bạn bè. UGC kiểu này rất hợp để làm cho thương hiệu trông gần gũi, bắt nhịp sống thật của người trẻ hơn.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</si>
  <si>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</si>
  <si>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</si>
  <si>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thuộc nhóm food/travel; trong post booking public, tệp khán giả trẻ xem nội dung food/travel để lấy cảm hứng đi ăn, đi chơi, săn quán. Đây là nhóm dễ chuyển đổi bằng visual món ngon và bối cảnh đời thường.
</t>
    </r>
    <r>
      <rPr>
        <rFont val="Be Vietnam Pro"/>
        <b/>
        <color theme="1"/>
        <sz val="11.0"/>
      </rPr>
      <t>Lý do phù hợp</t>
    </r>
    <r>
      <rPr>
        <rFont val="Be Vietnam Pro"/>
        <color theme="1"/>
        <sz val="11.0"/>
      </rPr>
      <t xml:space="preserve">
Vitamin C hợp với vai trò UGC phủ thêm lớp review tự nhiên, gần vibe người dùng thật. Với Fivestar, creator này phù hợp cho các clip ngắn kiểu “ăn thử nhanh”, “ghé quán sau giờ làm/đi chơi”, giúp thương hiệu xuất hiện tự nhiên hơn trong feed</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</si>
  <si>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</si>
  <si>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</si>
  <si>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UGC thiên về food/travel;  kênh “chuyên review FOOD &amp; TRAVEL”. Tệp khán giả trẻ thích xem review quán/món ngắn gọn, thiên về nhu cầu “ăn gì hôm nay”, “đi đâu ăn nhanh”, “món nào đáng thử”. Đây là nhóm rất hợp với sản phẩm tiện lợi, dễ tiếp cận như gà rán Fivestar.
</t>
    </r>
    <r>
      <rPr>
        <rFont val="Be Vietnam Pro"/>
        <b/>
        <color theme="1"/>
        <sz val="11.0"/>
      </rPr>
      <t>Lý do phù hợp</t>
    </r>
    <r>
      <rPr>
        <rFont val="Be Vietnam Pro"/>
        <color theme="1"/>
        <sz val="11.0"/>
      </rPr>
      <t xml:space="preserve">
Chu Cao Food phù hợp với vai trò UGC food review trực diện: tập trung vào món, vị, phần ăn, cảm giác ăn thật tại điểm bán. Với Fivestar, creator này hợp để làm các clip kiểu “ghé ăn nhanh”, “thử combo”, “review món hot” theo format ngắn, dễ xem, dễ kích thích nhu cầu ăn ngay.</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</si>
  <si>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</si>
  <si>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</si>
  <si>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có định vị khá rõ là food review. Tệp người xem trẻ, theo dõi food content để cập nhật món/quán mới và quyết định đi thử nhanh; đồng thời có độ linh hoạt khu vực, phù hợp cho các nội dung phủ rộng hơn.
</t>
    </r>
    <r>
      <rPr>
        <rFont val="Be Vietnam Pro"/>
        <b/>
        <color theme="1"/>
        <sz val="11.0"/>
      </rPr>
      <t>Lý do phù hợp</t>
    </r>
    <r>
      <rPr>
        <rFont val="Be Vietnam Pro"/>
        <color theme="1"/>
        <sz val="11.0"/>
      </rPr>
      <t xml:space="preserve">
Hi Ân là kiểu UGC creator rất hợp với Fivestar vì content mang cảm giác người dùng thật đi ăn thật, giọng điệu tự nhiên, gần với style recommendation trên social hơn là quảng cáo. Nếu muốn clip vừa thân thiện vừa dễ tạo niềm tin, đây là lựa chọn tốt.</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</si>
  <si>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</si>
  <si>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</si>
  <si>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nhàng, trải nghiệm các quán ăn đa dạng, ăn uống gần gũi. Tệp người xem thích vibe chill, nội dung dễ xem – dễ áp dụng.
</t>
    </r>
    <r>
      <rPr>
        <rFont val="Be Vietnam Pro"/>
        <b/>
        <color theme="1"/>
        <sz val="11.0"/>
      </rPr>
      <t xml:space="preserve">Lý do phù hợp
</t>
    </r>
    <r>
      <rPr>
        <rFont val="Be Vietnam Pro"/>
        <color theme="1"/>
        <sz val="11.0"/>
      </rPr>
      <t>Phù hợp lồng ghép Fivestar vào context ăn uống hằng ngày (ăn vặt, ăn nhanh). Tăng cảm giác thương hiệu gần gũi, dễ trở thành lựa chọn quen thuộc.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</si>
  <si>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</si>
  <si>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</si>
  <si>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tập trung ăn uống bình dân, trải nghiệm thực tế, giọng điệu thẳng – thật. Tệp người xem thích review nhanh, rõ ràng, đáng tin.
</t>
    </r>
    <r>
      <rPr>
        <rFont val="Be Vietnam Pro"/>
        <b/>
        <color theme="1"/>
        <sz val="11.0"/>
      </rPr>
      <t xml:space="preserve">Lý do phù hợp
</t>
    </r>
    <r>
      <rPr>
        <rFont val="Be Vietnam Pro"/>
        <color theme="1"/>
        <sz val="11.0"/>
      </rPr>
      <t>Phù hợp tuyến review trực diện món (taste test, value). Giúp truyền tải rõ điểm mạnh “ngon – giá ổn – dễ ăn” của Fivestar.</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</si>
  <si>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</si>
  <si>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</si>
  <si>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làm nội dung nấu ăn + food/travel. Public results cho thấy Tiểu Mị Lon Ton có YouTube với các clip nấu món như “Gà xào kiểu Thái…”, Nhóm người xem thích food content gần gũi, vừa xem review món, vừa xem các trải nghiệm ăn uống hàng ngày. Tệp này phù hợp với các nội dung dễ khơi gợi cơn thèm và quyết định thử món nhanh.
</t>
    </r>
    <r>
      <rPr>
        <rFont val="Be Vietnam Pro"/>
        <b/>
        <color theme="1"/>
        <sz val="11.0"/>
      </rPr>
      <t>Lý do phù hợp</t>
    </r>
    <r>
      <rPr>
        <rFont val="Be Vietnam Pro"/>
        <color theme="1"/>
        <sz val="11.0"/>
      </rPr>
      <t xml:space="preserve">
Tiểu Mị Lon Ton hợp với Fivestar vì có thể làm nội dung theo hướng thích ăn thật, biết nói về món ăn, reaction tự nhiên. Nếu muốn clip có cảm giác “một người mê ăn thật sự đang thử món”, đây là kiểu creator khá hợp để tạo độ tin.</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</si>
  <si>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</si>
  <si>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</si>
  <si>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thuộc khu vực miền Bắc, xây dựng nội dung xoay quanh trải nghiệm ăn uống, review quán xá địa phương và khám phá các món ăn phổ biến. Nội dung mang màu sắc chân thực, gần gũi, thường là các clip ngắn ghi lại trải nghiệm thực tế tại quán, tập trung vào cảm nhận hương vị, không gian và mức giá. Tệp người xem chủ yếu là giới trẻ miền Bắc, quan tâm đến ăn uống, địa điểm mới và các gợi ý “ăn gì hôm nay”.
</t>
    </r>
    <r>
      <rPr>
        <rFont val="Be Vietnam Pro"/>
        <b/>
        <color theme="1"/>
        <sz val="11.0"/>
      </rPr>
      <t xml:space="preserve">
Lý do phù hợp</t>
    </r>
    <r>
      <rPr>
        <rFont val="Be Vietnam Pro"/>
        <color theme="1"/>
        <sz val="11.0"/>
      </rPr>
      <t xml:space="preserve">
Creator phù hợp với Fivestar nhờ lợi thế nội dung mang tính địa phương cao, dễ tạo sự đồng cảm và tin tưởng từ người xem trong khu vực miền Bắc. Phong cách review nhanh, trực quan giúp làm nổi bật hình ảnh sản phẩm gà rán thông qua trải nghiệm thực tế, từ đó tăng khả năng kích thích nhu cầu thử món và ghé quán. Ngoài ra, việc am hiểu khẩu vị và hành vi người dùng miền Bắc cũng giúp nội dung dễ dàng tiếp cận đúng insight khách hàng mục tiêu.</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</si>
  <si>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</si>
  <si>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</si>
  <si>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</si>
  <si>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</si>
  <si>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lifestyle/food nhẹ, thiên về trải nghiệm cá nhân và ăn uống đơn giản. Tệp người xem trẻ, nữ, thích nội dung dễ thương – gần gũi.
</t>
    </r>
    <r>
      <rPr>
        <rFont val="Be Vietnam Pro"/>
        <b/>
        <color theme="1"/>
        <sz val="11.0"/>
      </rPr>
      <t xml:space="preserve">Lý do phù hợp
</t>
    </r>
    <r>
      <rPr>
        <rFont val="Be Vietnam Pro"/>
        <color theme="1"/>
        <sz val="11.0"/>
      </rPr>
      <t>Phù hợp lồng ghép Fivestar như lựa chọn ăn nhanh trong routine hằng ngày. Tăng độ relatable và khả năng chuyển đổi nhẹ nhàng.</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</si>
  <si>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</si>
  <si>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</si>
  <si>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Kênh food review với định vị  có sao nói vậy, nhấn mạnh trải nghiệm thật, đánh giá thẳng. Tệp người xem tin vào tính honest, thích review rõ ràng.
</t>
    </r>
    <r>
      <rPr>
        <rFont val="Be Vietnam Pro"/>
        <b/>
        <color theme="1"/>
        <sz val="11.0"/>
      </rPr>
      <t xml:space="preserve">Lý do phù hợp
</t>
    </r>
    <r>
      <rPr>
        <rFont val="Be Vietnam Pro"/>
        <color theme="1"/>
        <sz val="11.0"/>
      </rPr>
      <t>Phù hợp làm review sản phẩm/món theo hướng chân thật, tăng độ tin cậy cho Fivestar. Dễ tạo cảm giác “đáng thử” nhờ yếu tố honest review.</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</si>
  <si>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</si>
  <si>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</si>
  <si>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review mang phong cách gần gũi, vui vẻ và vô cùng chân thật, tập trung mạnh vào các chuyến food tour và ẩm thực đường phố thường ngày. Với lối kể chuyện mộc mạc, năng lượng tích cực cùng biểu cảm tự nhiên, Bánh Ú dễ dàng tạo thiện cảm và thu hút lượng lớn khán giả Gen Z – những người đam mê ăn vặt và luôn tìm kiếm các gợi ý ẩm thực để rủ rê hội bạn.
</t>
    </r>
    <r>
      <rPr>
        <rFont val="Be Vietnam Pro"/>
        <b/>
        <color theme="1"/>
        <sz val="11.0"/>
      </rPr>
      <t xml:space="preserve">Lý do phù hợp
</t>
    </r>
    <r>
      <rPr>
        <rFont val="Be Vietnam Pro"/>
        <color theme="1"/>
        <sz val="11.0"/>
      </rPr>
      <t>Bánh Ú rất lý tưởng để review Fivestar theo hướng "món quen nhưng luôn thèm". Sự hào hứng và biểu cảm ăn uống ngon miệng của creator sẽ giúp tôn lên độ giòn rụm, hương vị hấp dẫn của món ăn. Cách tiếp cận này kích thích trực tiếp cảm giác thèm ăn (craving) của người xem, biến Fivestar thành một lựa chọn ăn vặt chốt đơn nhanh chóng cho các buổi tụ tập.</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</si>
  <si>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</si>
  <si>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t>Thổ Địa Hà Nội</t>
  </si>
  <si>
    <t>31.2K</t>
  </si>
  <si>
    <t>https://www.tiktok.com/@thodiahanois?_r=1&amp;_t=ZS-96SZmaMmEGS</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</si>
  <si>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</si>
  <si>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Đúng như tên gọi, kênh định vị bản thân như một "người hướng dẫn" chuyên săn lùng các địa điểm ăn uống, quán xá từ bình dân đến hot hit tại khu vực Hà Nội. Nội dung mang tính thông tin cao, giải quyết trực tiếp insight "hôm nay ăn gì, ở đâu", thu hút tệp khán giả đại chúng luôn cần các gợi ý địa điểm cụ thể, uy tín và dễ dàng di chuyển.
</t>
    </r>
    <r>
      <rPr>
        <rFont val="Be Vietnam Pro"/>
        <b/>
        <color theme="1"/>
        <sz val="11.0"/>
      </rPr>
      <t xml:space="preserve">Lý do phù hợp
</t>
    </r>
    <r>
      <rPr>
        <rFont val="Be Vietnam Pro"/>
        <color theme="1"/>
        <sz val="11.0"/>
      </rPr>
      <t>Thổ Địa Hà Nội cực kỳ phù hợp để lồng ghép Fivestar như một điểm đến tiện lợi, dễ dàng bắt gặp ở mọi ngóc ngách khu dân cư. Kênh có thể khai thác nội dung theo hướng "mách nước" tọa độ ăn gà rán chất lượng, giá hợp lý, đáp ứng đúng tiêu chí ngon-tiện-rẻ. Điều này giúp thương hiệu củng cố hình ảnh thân thuộc, là lựa chọn "đến ngay và luôn" của mọi đối tượng khách hàng.</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</si>
  <si>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</si>
  <si>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t>Món Ngon Hà Nội</t>
  </si>
  <si>
    <t>15.4K</t>
  </si>
  <si>
    <t>https://www.tiktok.com/@mn.ngon.h.ni?is_from_webapp=1&amp;sender_device=pc</t>
  </si>
  <si>
    <r>
      <rPr>
        <rFont val="Be Vietnam Pro"/>
        <color rgb="FF000000"/>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000000"/>
        <sz val="11.0"/>
      </rPr>
      <t xml:space="preserve"> Link </t>
    </r>
  </si>
  <si>
    <r>
      <rPr>
        <rFont val="Be Vietnam Pro"/>
        <b/>
        <color theme="1"/>
        <sz val="11.0"/>
      </rPr>
      <t xml:space="preserve">Giới thiệu Profile
</t>
    </r>
    <r>
      <rPr>
        <rFont val="Be Vietnam Pro"/>
        <color theme="1"/>
        <sz val="11.0"/>
      </rPr>
      <t xml:space="preserve">Kênh đóng vai trò như một bản đồ ẩm thực thu nhỏ, chuyên tổng hợp và review các món ngon, đặc sản hoặc trend ăn uống mới nhất. Thế mạnh của kênh là các góc quay cận cảnh món ăn cực kỳ bắt mắt, tập trung tối đa vào visual để tạo ra sự kích thích thị giác mạnh mẽ, phù hợp với tệp khán giả đam mê ăn uống và dễ bị thu hút bởi hình ảnh hấp dẫn.
</t>
    </r>
    <r>
      <rPr>
        <rFont val="Be Vietnam Pro"/>
        <b/>
        <color theme="1"/>
        <sz val="11.0"/>
      </rPr>
      <t xml:space="preserve">Lý do phù hợp
</t>
    </r>
    <r>
      <rPr>
        <rFont val="Be Vietnam Pro"/>
        <color theme="1"/>
        <sz val="11.0"/>
      </rPr>
      <t>Món Ngon Hà Nội là lựa chọn hoàn hảo để Fivestar phô diễn tối đa chất lượng sản phẩm. Thông qua các góc quay cận cảnh miếng gà vàng ươm, nóng hổi, Fivestar sẽ đánh mạnh vào cả thị giác lẫn vị giác của người xem. Hướng đi này giúp khẳng định độ ngon của món ăn, đưa sản phẩm của brand vào danh sách "những món phải thử" và kích thích người xem ra quyết định mua hàng ngay lập tức.</t>
    </r>
  </si>
  <si>
    <r>
      <rPr>
        <rFont val="Be Vietnam Pro"/>
        <color rgb="FF000000"/>
        <sz val="11.0"/>
      </rPr>
      <t xml:space="preserve">01 tháng Sử dụng hình ảnh không độc quyền trên digital only
</t>
    </r>
    <r>
      <rPr>
        <rFont val="Be Vietnam Pro"/>
        <i/>
        <color rgb="FF000000"/>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</si>
  <si>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</si>
  <si>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Giới thiệu Profile</t>
    </r>
    <r>
      <rPr>
        <rFont val="Be Vietnam Pro"/>
        <color theme="1"/>
        <sz val="11.0"/>
      </rPr>
      <t xml:space="preserve">
Creator khu vực miền Nam, tập trung xây dựng nội dung ăn uống và review quán xá với phong cách sôi động, bắt mắt và giàu năng lượng. Nội dung thường xoay quanh trải nghiệm thực tế tại quán, từ hương vị món ăn, phần ăn đến không gian và mức giá. Tệp người xem chủ yếu là giới trẻ, yêu thích khám phá các địa điểm ăn uống mới, ưu tiên những video ngắn, hấp dẫn và mang tính giải trí cao.
</t>
    </r>
    <r>
      <rPr>
        <rFont val="Be Vietnam Pro"/>
        <b/>
        <color theme="1"/>
        <sz val="11.0"/>
      </rPr>
      <t>Lý do phù hợp</t>
    </r>
    <r>
      <rPr>
        <rFont val="Be Vietnam Pro"/>
        <color theme="1"/>
        <sz val="11.0"/>
      </rPr>
      <t xml:space="preserve">
Creator phù hợp với Fivestar nhờ màu sắc nội dung foodie rõ nét, dễ kích thích vị giác và tạo cảm giác “thèm ăn” ngay khi xem. Phong cách review nhanh, trực quan giúp làm nổi bật sản phẩm gà rán thông qua trải nghiệm thực tế, từ đó tăng độ tin tưởng và thúc đẩy nhu cầu thử món. Bên cạnh đó, sự năng động và gần gũi trong cách thể hiện cũng giúp nội dung dễ lan tỏa, phù hợp với hành vi tiêu thụ nội dung của người dùng miền Nam.</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</si>
  <si>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</si>
  <si>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</si>
  <si>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</si>
  <si>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</si>
  <si>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</si>
  <si>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</si>
  <si>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</si>
  <si>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sz val="11.0"/>
      </rPr>
      <t>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t>
    </r>
    <r>
      <rPr>
        <rFont val="Be Vietnam Pro"/>
        <color rgb="FF1155CC"/>
        <sz val="11.0"/>
        <u/>
      </rPr>
      <t xml:space="preserve"> Link </t>
    </r>
  </si>
  <si>
    <r>
      <rPr>
        <rFont val="Be Vietnam Pro"/>
        <b/>
        <color theme="1"/>
        <sz val="11.0"/>
      </rPr>
      <t xml:space="preserve">Giới thiệu Profile
</t>
    </r>
    <r>
      <rPr>
        <rFont val="Be Vietnam Pro"/>
        <color theme="1"/>
        <sz val="11.0"/>
      </rPr>
      <t xml:space="preserve">Creator khu vực miền Tây, xây dựng nội dung ăn uống và review quán xá với phong cách gần gũi, chân chất và mang đậm màu sắc địa phương. Nội dung tập trung vào trải nghiệm thực tế, các món ăn quen thuộc, giá cả hợp lý và không khí quán bình dân. Tệp người xem chủ yếu là người dùng khu vực miền Tây và các bạn trẻ yêu thích sự mộc mạc, đời thường.
</t>
    </r>
    <r>
      <rPr>
        <rFont val="Be Vietnam Pro"/>
        <b/>
        <color theme="1"/>
        <sz val="11.0"/>
      </rPr>
      <t xml:space="preserve">Lý do phù hợp
</t>
    </r>
    <r>
      <rPr>
        <rFont val="Be Vietnam Pro"/>
        <color theme="1"/>
        <sz val="11.0"/>
      </rPr>
      <t>Creator phù hợp với Fivestar nhờ tính địa phương cao, dễ tạo cảm giác tin tưởng và gần gũi. Cách review tự nhiên, chân thực giúp làm nổi bật sản phẩm gà rán theo hướng dễ tiếp cận, hợp túi tiền, từ đó thúc đẩy nhu cầu thử món và phù hợp với thói quen tiêu dùng của khách hàng khu vực.</t>
    </r>
  </si>
  <si>
    <r>
      <rPr>
        <rFont val="Be Vietnam Pro"/>
        <color theme="1"/>
        <sz val="11.0"/>
      </rPr>
      <t xml:space="preserve">01 tháng Sử dụng hình ảnh không độc quyền trên digital only
</t>
    </r>
    <r>
      <rPr>
        <rFont val="Be Vietnam Pro"/>
        <i/>
        <color theme="1"/>
        <sz val="11.0"/>
      </rPr>
      <t>*Bao gồm: Code Ads và reup kênh brand có chạy quảng cáo</t>
    </r>
  </si>
  <si>
    <r>
      <rPr>
        <rFont val="Be Vietnam Pro"/>
        <b/>
        <color theme="1"/>
        <sz val="11.0"/>
      </rPr>
      <t>Giới thiệu Profile</t>
    </r>
    <r>
      <rPr>
        <rFont val="Be Vietnam Pro"/>
        <color theme="1"/>
        <sz val="11.0"/>
      </rPr>
      <t xml:space="preserve">
Fanpage food/lifestyle lớn, tập trung review món ăn, nhà hàng, địa điểm vui chơi, du lịch; trang hiển thị khoảng 5.2 triệu lượt thích và đang có lượng thảo luận lớn. Tệp ngừoi xem đại chúng yêu thích ăn uống, săn quán, cập nhật món mới và địa điểm hot; phù hợp với nhóm người dùng trẻ và gia đình trẻ có nhu cầu tìm lựa chọn ăn uống nhanh, quen thuộc, dễ quyết định.
</t>
    </r>
    <r>
      <rPr>
        <rFont val="Be Vietnam Pro"/>
        <b/>
        <color theme="1"/>
        <sz val="11.0"/>
      </rPr>
      <t>Lý do phù hợp</t>
    </r>
    <r>
      <rPr>
        <rFont val="Be Vietnam Pro"/>
        <color theme="1"/>
        <sz val="11.0"/>
      </rPr>
      <t xml:space="preserve">
Đây là nền tảng mạnh để kéo mass awareness cho Fivestar. Nội dung page có thế mạnh review món/quán theo cách trực diện, dễ kích thích nhu cầu ăn ngay, rất phù hợp để đẩy các nội dung về gà rán, combo tiện ăn, điểm bán dễ ghé hoặc các hoạt động activation có tính lan truyền.</t>
    </r>
  </si>
  <si>
    <r>
      <rPr>
        <rFont val="Be Vietnam Pro"/>
        <b/>
        <color theme="1"/>
        <sz val="11.0"/>
      </rPr>
      <t>Giới thiệu Profile</t>
    </r>
    <r>
      <rPr>
        <rFont val="Be Vietnam Pro"/>
        <color theme="1"/>
        <sz val="11.0"/>
      </rPr>
      <t xml:space="preserve">
Fanpage food review theo hướng bắt vị giác mạnh, nội dung xoay quanh các món ngon địa phương, quán ăn bình dân đến trending; các post public cho thấy page thường review món rất cụ thể, nhấn mạnh giá, độ ngon và lý do nên thử. Nhóm người xem trẻ, thiên về dân văn phòng và Gen Z thích xem gợi ý món ngon nhanh, giá hợp lý, dễ lưu lại để đi ăn; phù hợp với mục tiêu kéo footfall và trial.
</t>
    </r>
    <r>
      <rPr>
        <rFont val="Be Vietnam Pro"/>
        <b/>
        <color theme="1"/>
        <sz val="11.0"/>
      </rPr>
      <t>Lý do phù hợp</t>
    </r>
    <r>
      <rPr>
        <rFont val="Be Vietnam Pro"/>
        <color theme="1"/>
        <sz val="11.0"/>
      </rPr>
      <t xml:space="preserve">
Thèm rất hợp để đẩy Fivestar theo hướng “nhìn là thèm – xem là muốn ăn ngay”. Đây là kiểu community phù hợp với sản phẩm gà rán vì visual món ăn, texture giòn, topping/sốt và combo đều dễ tạo craving, đồng thời page cũng quen với ngôn ngữ review gần gũi, dễ chuyển đổi.</t>
    </r>
  </si>
  <si>
    <r>
      <rPr>
        <rFont val="Be Vietnam Pro"/>
        <b/>
        <color theme="1"/>
        <sz val="11.0"/>
      </rPr>
      <t>Giới thiệu Profile</t>
    </r>
    <r>
      <rPr>
        <rFont val="Be Vietnam Pro"/>
        <color theme="1"/>
        <sz val="11.0"/>
      </rPr>
      <t xml:space="preserve">
Public group cộng đồng ăn uống rất lớn; một bài public hiển thị nhóm ở mức khoảng 1.2 triệu thành viên, với tinh thần chia sẻ trải nghiệm ăn uống rất đời thường, từ quán xá đến mâm cơm nhà. Tệp đại chúng rộng, gồm người trẻ, dân công sở, gia đình nhỏ và người dùng Facebook thích xin recommendation ăn uống thật từ cộng đồng hơn là từ quảng cáo.
</t>
    </r>
    <r>
      <rPr>
        <rFont val="Be Vietnam Pro"/>
        <b/>
        <color theme="1"/>
        <sz val="11.0"/>
      </rPr>
      <t>Lý do phù hợp</t>
    </r>
    <r>
      <rPr>
        <rFont val="Be Vietnam Pro"/>
        <color theme="1"/>
        <sz val="11.0"/>
      </rPr>
      <t xml:space="preserve">
Không Sợ Đói phù hợp để tạo earned buzz và seeding thảo luận tự nhiên. Đây không chỉ là nơi người dùng xem review, mà còn là không gian mọi người chia sẻ cảm nhận thật, hỏi nhau ăn gì, đi đâu; rất hợp để Fivestar xuất hiện như một lựa chọn quen thuộc, dễ mua, dễ ăn cùng bạn bè/gia đình.</t>
    </r>
  </si>
  <si>
    <r>
      <rPr>
        <rFont val="Be Vietnam Pro"/>
        <b/>
        <color theme="1"/>
        <sz val="11.0"/>
      </rPr>
      <t>Giới thiệu Profile</t>
    </r>
    <r>
      <rPr>
        <rFont val="Be Vietnam Pro"/>
        <color theme="1"/>
        <sz val="11.0"/>
      </rPr>
      <t xml:space="preserve">
Community review ẩm thực Sài Gòn với định vị khá rõ: xây dựng một “kho tàng ẩm thực Sài Gòn” từ 24 quận huyện, tập trung món ăn ngon và độc đáo trong TP.HCM. Tệp người dùng tại TP.HCM chủ động tìm địa điểm ăn uống theo quận/huyện, thích recommendation thực tế và ưu tiên các lựa chọn có tính địa phương, dễ tiếp cận.
</t>
    </r>
    <r>
      <rPr>
        <rFont val="Be Vietnam Pro"/>
        <b/>
        <color theme="1"/>
        <sz val="11.0"/>
      </rPr>
      <t>Lý do phù hợp</t>
    </r>
    <r>
      <rPr>
        <rFont val="Be Vietnam Pro"/>
        <color theme="1"/>
        <sz val="11.0"/>
      </rPr>
      <t xml:space="preserve">
Group này rất hợp để đưa Fivestar vào ngữ cảnh local discovery. Vì cộng đồng vốn quen với logic “ăn gì ở đâu”, Fivestar có thể được kể như một lựa chọn tiện lợi, dễ bắt gặp, phù hợp nhiều khu vực và nhiều nhu cầu ăn nhanh trong thành phố</t>
    </r>
  </si>
  <si>
    <r>
      <rPr>
        <rFont val="Be Vietnam Pro"/>
        <b/>
        <color theme="1"/>
        <sz val="11.0"/>
      </rPr>
      <t>Giới thiệu Profile</t>
    </r>
    <r>
      <rPr>
        <rFont val="Be Vietnam Pro"/>
        <color theme="1"/>
        <sz val="11.0"/>
      </rPr>
      <t xml:space="preserve">
Group/community chia sẻ trải nghiệm thật về ăn uống, du lịch, vui chơi, với trọng tâm là review có địa chỉ, hình ảnh và cảm nhận tương đối cụ thể. Một nguồn tổng hợp bên ngoài cũng mô tả đây là nơi người dùng chia sẻ trải nghiệm thật, bài đăng thường chi tiết và dễ tham khảo. Tệp người dùng thích xem review chi tiết trước khi đi ăn, quan tâm trải nghiệm thực tế hơn là quảng cáo trau chuốt; phù hợp với nhóm thích khám phá quán và ra quyết định dựa trên lời khuyên cộng đồng.
</t>
    </r>
    <r>
      <rPr>
        <rFont val="Be Vietnam Pro"/>
        <b/>
        <color theme="1"/>
        <sz val="11.0"/>
      </rPr>
      <t>Lý do phù hợp</t>
    </r>
    <r>
      <rPr>
        <rFont val="Be Vietnam Pro"/>
        <color theme="1"/>
        <sz val="11.0"/>
      </rPr>
      <t xml:space="preserve">
Đảo Đồ Ăn phù hợp cho mục tiêu review chân thật và recommendation từ cộng đồng. Với Fivestar, đây là nơi tốt để xây lớp thảo luận kiểu “món này ổn không”, “chi nhánh nào ngon”, “ăn nhanh cùng bạn bè/gia đình có hợp không”, từ đó tăng độ tin tưởng nhờ social proof.</t>
    </r>
  </si>
  <si>
    <r>
      <rPr>
        <rFont val="Be Vietnam Pro"/>
        <b/>
        <color theme="1"/>
        <sz val="11.0"/>
      </rPr>
      <t>Giới thiệu Profile</t>
    </r>
    <r>
      <rPr>
        <rFont val="Be Vietnam Pro"/>
        <color theme="1"/>
        <sz val="11.0"/>
      </rPr>
      <t xml:space="preserve">
Kênh community/food content gắn chặt với Hà Nội, nội dung chuyên về ăn uống/địa điểm Hà Nội. TA: Người dùng trẻ tại Hà Nội và miền Bắc yêu thích food discovery, tìm quán mới, món hot, địa điểm dễ đi cùng bạn bè; hợp với mục tiêu tăng nhận diện theo khu vực.
</t>
    </r>
    <r>
      <rPr>
        <rFont val="Be Vietnam Pro"/>
        <b/>
        <color theme="1"/>
        <sz val="11.0"/>
      </rPr>
      <t>Lý do phù hợp</t>
    </r>
    <r>
      <rPr>
        <rFont val="Be Vietnam Pro"/>
        <color theme="1"/>
        <sz val="11.0"/>
      </rPr>
      <t xml:space="preserve">
Hà Nội Ăn Gì? phù hợp để kéo Fivestar ở miền Bắc, đặc biệt nếu brand muốn mở rộng cảm giác phủ sóng beyond HCM. Kênh này có lợi thế local relevance, giúp thương hiệu đi vào ngữ cảnh “ăn gì ở Hà Nội”, từ đó khiến nội dung review/combo/điểm bán trở nên thiết thực hơn với người xem khu vực này.</t>
    </r>
  </si>
  <si>
    <r>
      <rPr>
        <rFont val="Be Vietnam Pro"/>
        <b/>
        <color theme="1"/>
        <sz val="11.0"/>
      </rPr>
      <t>Giới thiệu Profile</t>
    </r>
    <r>
      <rPr>
        <rFont val="Be Vietnam Pro"/>
        <color theme="1"/>
        <sz val="11.0"/>
      </rPr>
      <t xml:space="preserve">
Một brand nội dung thiên về khám phá Sài Gòn; page Facebook hiển thị là Vi Vu Sài Gòn, có website riêng và định danh như một điểm chạm nội dung về trải nghiệm/địa điểm. Tệp người trẻ tại TP.HCM thích đi đây đi đó, quan tâm địa điểm ăn chơi, ưu tiên những gợi ý dễ áp dụng cho cuối tuần hoặc các cuộc hẹn ngắn.
</t>
    </r>
    <r>
      <rPr>
        <rFont val="Be Vietnam Pro"/>
        <b/>
        <color theme="1"/>
        <sz val="11.0"/>
      </rPr>
      <t>Lý do phù hợp</t>
    </r>
    <r>
      <rPr>
        <rFont val="Be Vietnam Pro"/>
        <color theme="1"/>
        <sz val="11.0"/>
      </rPr>
      <t xml:space="preserve">
Vi Vu Sài Gòn hợp với Fivestar ở góc ăn gì khi đi chơi/đi vòng quanh thành phố. Community này giúp brand xuất hiện như một điểm dừng chân tiện lợi trong hành trình vi vu, không chỉ là món ăn đơn lẻ mà còn là một phần của trải nghiệm đi chơi, dạo phố, tụ tập.</t>
    </r>
  </si>
  <si>
    <r>
      <rPr>
        <rFont val="Be Vietnam Pro"/>
        <b/>
        <color theme="1"/>
        <sz val="11.0"/>
      </rPr>
      <t>Giới thiệu Profile</t>
    </r>
    <r>
      <rPr>
        <rFont val="Be Vietnam Pro"/>
        <color theme="1"/>
        <sz val="11.0"/>
      </rPr>
      <t xml:space="preserve">
Kênh TikTok/creator community thiên về food-travel-lifestyle; Khán giả trẻ thích xem content khám phá địa điểm, món ăn và các điểm hẹn casual; phù hợp với nhóm có nhu cầu ăn uống gắn với hoạt động xã hội, outing, hẹn bạn.
</t>
    </r>
    <r>
      <rPr>
        <rFont val="Be Vietnam Pro"/>
        <b/>
        <color theme="1"/>
        <sz val="11.0"/>
      </rPr>
      <t>Lý do phù hợp</t>
    </r>
    <r>
      <rPr>
        <rFont val="Be Vietnam Pro"/>
        <color theme="1"/>
        <sz val="11.0"/>
      </rPr>
      <t xml:space="preserve">
Kênh này phù hợp với tuyến nội dung review địa điểm + trải nghiệm món ăn. Với Fivestar, Thong dong đó đây có thể giúp thương hiệu xuất hiện tự nhiên trong format “đi đâu ăn đó”, “đi chơi ghé ăn”, làm cho món gà rán gắn với nhịp sống vui vẻ, linh hoạt của người trẻ.</t>
    </r>
  </si>
  <si>
    <r>
      <rPr>
        <rFont val="Be Vietnam Pro"/>
        <b/>
        <color theme="1"/>
        <sz val="11.0"/>
      </rPr>
      <t>Giới thiệu Profile</t>
    </r>
    <r>
      <rPr>
        <rFont val="Be Vietnam Pro"/>
        <color theme="1"/>
        <sz val="11.0"/>
      </rPr>
      <t xml:space="preserve">
Community content chuyên tổng hợp địa điểm/điểm đến trong thành phố, TA: Người trẻ ở TP.HCM tìm kiếm các gợi ý địa điểm ăn chơi nhanh, thực dụng, có tính lưu-save cao; phù hợp với mục tiêu drive trial từ các dịp đi chơi, tụ tập, tan làm. Phần audience là suy luận từ định vị kênh.
</t>
    </r>
    <r>
      <rPr>
        <rFont val="Be Vietnam Pro"/>
        <b/>
        <color theme="1"/>
        <sz val="11.0"/>
      </rPr>
      <t>Lý do phù hợp</t>
    </r>
    <r>
      <rPr>
        <rFont val="Be Vietnam Pro"/>
        <color theme="1"/>
        <sz val="11.0"/>
      </rPr>
      <t xml:space="preserve">
SÀI GÒN MAP phù hợp nếu Fivestar muốn được đặt trong ngữ cảnh tọa độ ăn uống dễ ghé – dễ nhớ – dễ lưu lại. Đây là kiểu kênh có lợi cho việc “map” thương hiệu vào hành vi khám phá địa điểm, giúp tăng khả năng người xem ghi nhớ Fivestar như một lựa chọn tiện khi ở Sài Gòn. Phần đánh giá này là suy luận dựa trên định vị tên kênh.</t>
    </r>
  </si>
  <si>
    <r>
      <rPr>
        <rFont val="Be Vietnam Pro"/>
        <b/>
        <color theme="1"/>
        <sz val="11.0"/>
      </rPr>
      <t>Giới thiệu Profile</t>
    </r>
    <r>
      <rPr>
        <rFont val="Be Vietnam Pro"/>
        <color theme="1"/>
        <sz val="11.0"/>
      </rPr>
      <t xml:space="preserve">
Kênh mang tinh thần Hà Nội, nội dung food review như burger, bánh mì bơ ú, dessert…Tệp viewer Gen Z và young millennials tại Hà Nội thích cập nhật quán xá, món hot, đồ ăn vặt, dessert và các gợi ý ăn uống có tính bắt trend.
</t>
    </r>
    <r>
      <rPr>
        <rFont val="Be Vietnam Pro"/>
        <b/>
        <color theme="1"/>
        <sz val="11.0"/>
      </rPr>
      <t>Lý do phù hợp</t>
    </r>
    <r>
      <rPr>
        <rFont val="Be Vietnam Pro"/>
        <color theme="1"/>
        <sz val="11.0"/>
      </rPr>
      <t xml:space="preserve">
Kênh này hợp với Fivestar khi thương hiệu muốn có một điểm chạm young, local, hợp gu giới trẻ Hà Nội. Nội dung kiểu “món này ngon nè”, “quán này nên thử” giúp Fivestar dễ xuất hiện như một recommendation gần gũi, đặc biệt với các món gà rán/ăn vặt tiện lợi.</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</si>
</sst>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m/d"/>
    <numFmt numFmtId="166" formatCode="mm/dd/yyyy"/>
    <numFmt numFmtId="167" formatCode="mmm&quot; &quot;d"/>
    <numFmt numFmtId="168" formatCode="ddd&quot;, &quot;d&quot;/ &quot;m"/>
    <numFmt numFmtId="169" formatCode="[$VND]\ #,##0"/>
    <numFmt numFmtId="170" formatCode="#,##0;\(#,##0\)"/>
    <numFmt numFmtId="171" formatCode="mmmm dd, yyyy"/>
    <numFmt numFmtId="172" formatCode="dd&quot;/&quot;mm&quot;/&quot;yyyy"/>
    <numFmt numFmtId="173" formatCode="#,##0\ [$đ-42A]"/>
    <numFmt numFmtId="174" formatCode="dd/mm/yyyy"/>
  </numFmts>
  <fonts count="210">
    <font>
      <sz val="10.0"/>
      <color rgb="FF000000"/>
      <name val="Arial"/>
      <scheme val="minor"/>
    </font>
    <font>
      <b/>
      <sz val="20.0"/>
      <color theme="1"/>
      <name val="Be Vietnam Pro"/>
    </font>
    <font>
      <color theme="1"/>
      <name val="Be Vietnam Pro"/>
    </font>
    <font>
      <sz val="10.0"/>
      <color theme="1"/>
      <name val="Be Vietnam"/>
    </font>
    <font>
      <sz val="10.0"/>
      <color theme="1"/>
      <name val="Be Vietnam Pro"/>
    </font>
    <font>
      <sz val="11.0"/>
      <color theme="1"/>
      <name val="Arial"/>
      <scheme val="minor"/>
    </font>
    <font>
      <b/>
      <i/>
      <sz val="11.0"/>
      <color rgb="FFFF0000"/>
      <name val="Be Vietnam Pro"/>
    </font>
    <font>
      <b/>
      <color rgb="FFFFFFFF"/>
      <name val="Be Vietnam Pro"/>
    </font>
    <font>
      <b/>
      <sz val="11.0"/>
      <color rgb="FFFFFFFF"/>
      <name val="Be Vietnam Pro"/>
    </font>
    <font>
      <b/>
      <sz val="11.0"/>
      <color rgb="FF000000"/>
      <name val="Be Vietnam Pro"/>
    </font>
    <font>
      <b/>
      <color rgb="FF000000"/>
      <name val="Be Vietnam Pro"/>
    </font>
    <font/>
    <font>
      <b/>
      <sz val="11.0"/>
      <color rgb="FFED2229"/>
      <name val="Be Vietnam Pro"/>
    </font>
    <font>
      <b/>
      <color theme="1"/>
      <name val="Be Vietnam Pro"/>
    </font>
    <font>
      <color rgb="FFFF0000"/>
      <name val="Be Vietnam Pro"/>
    </font>
    <font>
      <b/>
      <color rgb="FFFF0000"/>
      <name val="Be Vietnam Pro"/>
    </font>
    <font>
      <b/>
      <color rgb="FF38761D"/>
      <name val="Be Vietnam Pro"/>
    </font>
    <font>
      <color rgb="FFEE2739"/>
      <name val="Be Vietnam Pro"/>
    </font>
    <font>
      <b/>
      <sz val="10.0"/>
      <color rgb="FF38761D"/>
      <name val="Be Vietnam Pro"/>
    </font>
    <font>
      <b/>
      <sz val="11.0"/>
      <color rgb="FFFFFFFF"/>
      <name val="Be Vietnam"/>
    </font>
    <font>
      <sz val="11.0"/>
      <color theme="1"/>
      <name val="Be Vietnam Pro"/>
    </font>
    <font>
      <b/>
      <sz val="15.0"/>
      <color rgb="FF2A0C46"/>
      <name val="Be Vietnam Pro"/>
    </font>
    <font>
      <color rgb="FFFFFFFF"/>
      <name val="Be Vietnam Pro"/>
    </font>
    <font>
      <u/>
      <sz val="10.0"/>
      <color rgb="FFFFFFFF"/>
      <name val="Be Vietnam"/>
    </font>
    <font>
      <color rgb="FF000000"/>
      <name val="Be Vietnam Pro"/>
    </font>
    <font>
      <sz val="10.0"/>
      <color rgb="FFFFFFFF"/>
      <name val="Be Vietnam Pro"/>
    </font>
    <font>
      <color theme="1"/>
      <name val="Arial"/>
      <scheme val="minor"/>
    </font>
    <font>
      <b/>
      <sz val="11.0"/>
      <color theme="1"/>
      <name val="Be Vietnam Pro"/>
    </font>
    <font>
      <u/>
      <sz val="11.0"/>
      <color rgb="FF0000FF"/>
      <name val="Be Vietnam"/>
    </font>
    <font>
      <u/>
      <sz val="11.0"/>
      <color rgb="FF0000FF"/>
      <name val="Be Vietnam Pro"/>
    </font>
    <font>
      <b/>
      <sz val="11.0"/>
      <color theme="1"/>
      <name val="Arial"/>
      <scheme val="minor"/>
    </font>
    <font>
      <b/>
      <sz val="11.0"/>
      <color theme="1"/>
      <name val="Be Vietnam"/>
    </font>
    <font>
      <u/>
      <sz val="11.0"/>
      <color rgb="FF0000FF"/>
      <name val="Be Vietnam Pro"/>
    </font>
    <font>
      <u/>
      <sz val="11.0"/>
      <color rgb="FF1155CC"/>
      <name val="Be Vietnam Pro"/>
    </font>
    <font>
      <sz val="11.0"/>
      <color rgb="FF000000"/>
      <name val="Be Vietnam Pro"/>
    </font>
    <font>
      <color theme="1"/>
      <name val="Arial"/>
    </font>
    <font>
      <u/>
      <sz val="11.0"/>
      <color rgb="FF0000FF"/>
      <name val="Be Vietnam Pro"/>
    </font>
    <font>
      <u/>
      <sz val="11.0"/>
      <color rgb="FF0000FF"/>
      <name val="Be Vietnam Pro"/>
    </font>
    <font>
      <u/>
      <sz val="11.0"/>
      <color rgb="FF0000FF"/>
      <name val="Be Vietnam Pro"/>
    </font>
    <font>
      <sz val="10.0"/>
      <color rgb="FF000000"/>
      <name val="Be Vietnam Pro"/>
    </font>
    <font>
      <sz val="11.0"/>
      <color theme="1"/>
      <name val="Be Vietnam"/>
    </font>
    <font>
      <b/>
      <sz val="15.0"/>
      <color rgb="FF000000"/>
      <name val="Be Vietnam Pro"/>
    </font>
    <font>
      <u/>
      <sz val="11.0"/>
      <color rgb="FF0000FF"/>
      <name val="Be Vietnam"/>
    </font>
    <font>
      <b/>
      <sz val="15.0"/>
      <color theme="1"/>
      <name val="Be Vietnam Pro"/>
    </font>
    <font>
      <color rgb="FF000000"/>
      <name val="Arial"/>
    </font>
    <font>
      <b/>
      <sz val="10.0"/>
      <color rgb="FFFFFFFF"/>
      <name val="Be Vietnam Pro"/>
    </font>
    <font>
      <sz val="6.0"/>
      <color rgb="FF000000"/>
      <name val="Be Vietnam Pro"/>
    </font>
    <font>
      <sz val="6.0"/>
      <color theme="1"/>
      <name val="Be Vietnam Pro"/>
    </font>
    <font>
      <b/>
      <sz val="12.0"/>
      <color rgb="FFFF0000"/>
      <name val="Be Vietnam Pro"/>
    </font>
    <font>
      <b/>
      <sz val="11.0"/>
      <color rgb="FFFF0000"/>
      <name val="Be Vietnam Pro"/>
    </font>
    <font>
      <sz val="11.0"/>
      <color rgb="FFFFFFFF"/>
      <name val="Be Vietnam Pro"/>
    </font>
    <font>
      <u/>
      <sz val="11.0"/>
      <color rgb="FF0000FF"/>
      <name val="Be Vietnam Pro"/>
    </font>
    <font>
      <u/>
      <sz val="11.0"/>
      <color rgb="FF0000FF"/>
      <name val="Be Vietnam Pro"/>
    </font>
    <font>
      <sz val="11.0"/>
      <color rgb="FF0000FF"/>
      <name val="Be Vietnam Pro"/>
    </font>
    <font>
      <u/>
      <sz val="11.0"/>
      <color rgb="FF0000FF"/>
      <name val="Be Vietnam Pro"/>
    </font>
    <font>
      <u/>
      <sz val="11.0"/>
      <color rgb="FF0000FF"/>
      <name val="Be Vietnam Pro"/>
    </font>
    <font>
      <u/>
      <sz val="11.0"/>
      <color rgb="FF0000FF"/>
      <name val="Be Vietnam Pro"/>
    </font>
    <font>
      <b/>
      <sz val="10.0"/>
      <color theme="1"/>
      <name val="Be Vietnam Pro"/>
    </font>
    <font>
      <u/>
      <sz val="11.0"/>
      <color rgb="FF0000FF"/>
      <name val="Be Vietnam Pro"/>
    </font>
    <font>
      <u/>
      <sz val="11.0"/>
      <color rgb="FF0000FF"/>
      <name val="Be Vietnam Pro"/>
    </font>
    <font>
      <u/>
      <sz val="11.0"/>
      <color rgb="FF0000FF"/>
      <name val="Be Vietnam Pro"/>
    </font>
    <font>
      <b/>
      <u/>
      <sz val="11.0"/>
      <color theme="1"/>
      <name val="Be Vietnam Pro"/>
    </font>
    <font>
      <u/>
      <sz val="11.0"/>
      <color rgb="FF000000"/>
      <name val="Be Vietnam Pro"/>
    </font>
    <font>
      <u/>
      <sz val="11.0"/>
      <color rgb="FF000000"/>
      <name val="Be Vietnam Pro"/>
    </font>
    <font>
      <u/>
      <sz val="11.0"/>
      <color rgb="FF000000"/>
      <name val="Be Vietnam Pro"/>
    </font>
    <font>
      <u/>
      <sz val="11.0"/>
      <color rgb="FF000000"/>
      <name val="Be Vietnam Pro"/>
    </font>
    <font>
      <b/>
      <u/>
      <sz val="11.0"/>
      <color rgb="FF0000FF"/>
      <name val="Be Vietnam Pro"/>
    </font>
    <font>
      <u/>
      <sz val="11.0"/>
      <color rgb="FF00FFFF"/>
      <name val="Be Vietnam Pro"/>
    </font>
    <font>
      <sz val="11.0"/>
      <color theme="1"/>
      <name val="Arial"/>
    </font>
    <font>
      <u/>
      <sz val="11.0"/>
      <color rgb="FF000000"/>
      <name val="Be Vietnam Pro"/>
    </font>
    <font>
      <u/>
      <sz val="11.0"/>
      <color rgb="FF0000FF"/>
      <name val="Be Vietnam Pro"/>
    </font>
    <font>
      <u/>
      <sz val="11.0"/>
      <color rgb="FF0000FF"/>
      <name val="Be Vietnam Pro"/>
    </font>
    <font>
      <u/>
      <sz val="11.0"/>
      <color rgb="FF0000FF"/>
      <name val="Be Vietnam Pro"/>
    </font>
    <font>
      <sz val="11.0"/>
      <color rgb="FFFF0000"/>
      <name val="Be Vietnam Pro"/>
    </font>
    <font>
      <u/>
      <sz val="11.0"/>
      <color rgb="FF0000FF"/>
      <name val="Be Vietnam Pro"/>
    </font>
    <font>
      <b/>
      <u/>
      <sz val="11.0"/>
      <color rgb="FF1155CC"/>
      <name val="Barlow"/>
    </font>
    <font>
      <b/>
      <sz val="11.0"/>
      <color theme="1"/>
      <name val="Barlow"/>
    </font>
    <font>
      <u/>
      <sz val="11.0"/>
      <color rgb="FF0000FF"/>
      <name val="Be Vietnam Pro"/>
    </font>
    <font>
      <b/>
      <u/>
      <sz val="11.0"/>
      <color rgb="FF0000FF"/>
      <name val="Barlow"/>
    </font>
    <font>
      <u/>
      <sz val="11.0"/>
      <color rgb="FF0000FF"/>
      <name val="Be Vietnam Pro"/>
    </font>
    <font>
      <u/>
      <sz val="11.0"/>
      <color rgb="FF0000FF"/>
      <name val="Be Vietnam Pro"/>
    </font>
    <font>
      <u/>
      <sz val="11.0"/>
      <color rgb="FF0000FF"/>
      <name val="Be Vietnam Pro"/>
    </font>
    <font>
      <u/>
      <sz val="11.0"/>
      <color rgb="FF0000FF"/>
      <name val="Be Vietnam Pro"/>
    </font>
    <font>
      <u/>
      <sz val="11.0"/>
      <color rgb="FF0000FF"/>
      <name val="Be Vietnam Pro"/>
    </font>
    <font>
      <u/>
      <sz val="11.0"/>
      <color rgb="FF000000"/>
      <name val="Be Vietnam Pro"/>
    </font>
    <font>
      <b/>
      <u/>
      <sz val="11.0"/>
      <color rgb="FF0000FF"/>
      <name val="Barlow"/>
    </font>
    <font>
      <u/>
      <sz val="11.0"/>
      <color rgb="FF0000FF"/>
      <name val="Lexend"/>
    </font>
    <font>
      <u/>
      <sz val="11.0"/>
      <color rgb="FF0000FF"/>
      <name val="Be Vietnam Pro"/>
    </font>
    <font>
      <u/>
      <sz val="11.0"/>
      <color rgb="FF0000FF"/>
      <name val="Be Vietnam Pro"/>
    </font>
    <font>
      <u/>
      <sz val="11.0"/>
      <color rgb="FF0000FF"/>
      <name val="Be Vietnam Pro"/>
    </font>
    <font>
      <b/>
      <u/>
      <sz val="11.0"/>
      <color rgb="FF0000FF"/>
      <name val="Barlow"/>
    </font>
    <font>
      <u/>
      <sz val="11.0"/>
      <color rgb="FF0000FF"/>
      <name val="Be Vietnam Pro"/>
    </font>
    <font>
      <b/>
      <u/>
      <sz val="11.0"/>
      <color theme="1"/>
      <name val="Be Vietnam Pro"/>
    </font>
    <font>
      <b/>
      <u/>
      <sz val="11.0"/>
      <color theme="1"/>
      <name val="Be Vietnam Pro"/>
    </font>
    <font>
      <u/>
      <sz val="11.0"/>
      <color rgb="FF0000FF"/>
      <name val="Be Vietnam Pro"/>
    </font>
    <font>
      <u/>
      <sz val="11.0"/>
      <color rgb="FF0000FF"/>
      <name val="Be Vietnam Pro"/>
    </font>
    <font>
      <u/>
      <sz val="11.0"/>
      <color rgb="FF0000FF"/>
      <name val="Be Vietnam Pro"/>
    </font>
    <font>
      <u/>
      <sz val="11.0"/>
      <color rgb="FF0000FF"/>
      <name val="Be Vietnam Pro"/>
    </font>
    <font>
      <u/>
      <sz val="11.0"/>
      <color rgb="FF0000FF"/>
    </font>
    <font>
      <u/>
      <sz val="11.0"/>
      <color rgb="FF0000FF"/>
      <name val="Arial"/>
    </font>
    <font>
      <u/>
      <sz val="11.0"/>
      <color rgb="FF0000FF"/>
      <name val="Arial"/>
    </font>
    <font>
      <u/>
      <sz val="11.0"/>
      <color rgb="FF0000FF"/>
    </font>
    <font>
      <u/>
      <sz val="11.0"/>
      <color rgb="FF000000"/>
      <name val="Be Vietnam Pro"/>
    </font>
    <font>
      <u/>
      <sz val="11.0"/>
      <color rgb="FF0000FF"/>
      <name val="Arial"/>
    </font>
    <font>
      <u/>
      <sz val="11.0"/>
      <color rgb="FF0000FF"/>
      <name val="Be Vietnam Pro"/>
    </font>
    <font>
      <u/>
      <sz val="11.0"/>
      <color rgb="FF0000FF"/>
      <name val="Arial"/>
    </font>
    <font>
      <u/>
      <color rgb="FF000000"/>
      <name val="Be Vietnam Pro"/>
    </font>
    <font>
      <sz val="11.0"/>
      <color rgb="FF000000"/>
      <name val="Arial"/>
    </font>
    <font>
      <u/>
      <sz val="11.0"/>
      <color rgb="FF000000"/>
      <name val="Be Vietnam Pro"/>
    </font>
    <font>
      <u/>
      <sz val="11.0"/>
      <color rgb="FF0000FF"/>
    </font>
    <font>
      <sz val="11.0"/>
      <color theme="1"/>
      <name val="Lexend"/>
    </font>
    <font>
      <u/>
      <sz val="11.0"/>
      <color rgb="FF0000FF"/>
      <name val="Lexend"/>
    </font>
    <font>
      <u/>
      <sz val="11.0"/>
      <color rgb="FF000000"/>
      <name val="Be Vietnam Pro"/>
    </font>
    <font>
      <u/>
      <sz val="11.0"/>
      <color rgb="FF0000FF"/>
      <name val="Be Vietnam Pro"/>
    </font>
    <font>
      <u/>
      <sz val="11.0"/>
      <color rgb="FF0000FF"/>
      <name val="Be Vietnam Pro"/>
    </font>
    <font>
      <u/>
      <sz val="11.0"/>
      <color rgb="FF0000FF"/>
      <name val="Lexend"/>
    </font>
    <font>
      <u/>
      <sz val="11.0"/>
      <color rgb="FF000000"/>
      <name val="Be Vietnam Pro"/>
    </font>
    <font>
      <u/>
      <sz val="11.0"/>
      <color theme="1"/>
      <name val="Be Vietnam Pro"/>
    </font>
    <font>
      <u/>
      <sz val="11.0"/>
      <color rgb="FF0000FF"/>
      <name val="Lexend"/>
    </font>
    <font>
      <u/>
      <sz val="11.0"/>
      <color rgb="FF000000"/>
      <name val="Be Vietnam Pro"/>
    </font>
    <font>
      <sz val="11.0"/>
      <color rgb="FF000000"/>
      <name val="Barlow"/>
    </font>
    <font>
      <b/>
      <sz val="14.0"/>
      <color rgb="FFFFFFFF"/>
      <name val="Be Vietnam Pro"/>
    </font>
    <font>
      <b/>
      <sz val="13.0"/>
      <color rgb="FF2A0C46"/>
      <name val="Be Vietnam Pro"/>
    </font>
    <font>
      <b/>
      <sz val="12.0"/>
      <color rgb="FF2A0C46"/>
      <name val="Be Vietnam Pro"/>
    </font>
    <font>
      <u/>
      <sz val="10.0"/>
      <color rgb="FF1155CC"/>
      <name val="Be Vietnam Pro"/>
    </font>
    <font>
      <u/>
      <sz val="10.0"/>
      <color rgb="FF0000FF"/>
      <name val="Be Vietnam Pro"/>
    </font>
    <font>
      <u/>
      <sz val="10.0"/>
      <color rgb="FF1155CC"/>
      <name val="Be Vietnam Pro"/>
    </font>
    <font>
      <u/>
      <sz val="10.0"/>
      <color rgb="FF0000FF"/>
      <name val="Be Vietnam Pro"/>
    </font>
    <font>
      <b/>
      <i/>
      <sz val="10.0"/>
      <color rgb="FF2A0C46"/>
      <name val="Be Vietnam Pro"/>
    </font>
    <font>
      <u/>
      <sz val="11.0"/>
      <color rgb="FF0000FF"/>
      <name val="Be Vietnam Pro"/>
    </font>
    <font>
      <u/>
      <sz val="10.0"/>
      <color rgb="FF1155CC"/>
      <name val="Be Vietnam Pro"/>
    </font>
    <font>
      <u/>
      <sz val="10.0"/>
      <color rgb="FF0000FF"/>
      <name val="Be Vietnam Pro"/>
    </font>
    <font>
      <u/>
      <sz val="10.0"/>
      <color rgb="FF0000FF"/>
      <name val="Be Vietnam Pro"/>
    </font>
    <font>
      <b/>
      <sz val="13.0"/>
      <color theme="1"/>
      <name val="Arial"/>
      <scheme val="minor"/>
    </font>
    <font>
      <u/>
      <sz val="11.0"/>
      <color rgb="FF0000FF"/>
      <name val="Afacad Flux"/>
    </font>
    <font>
      <b/>
      <sz val="13.0"/>
      <color theme="1"/>
      <name val="Afacad Flux"/>
    </font>
    <font>
      <sz val="11.0"/>
      <color theme="1"/>
      <name val="Afacad Flux"/>
    </font>
    <font>
      <sz val="9.0"/>
      <color theme="1"/>
      <name val="Be Vietnam Pro"/>
    </font>
    <font>
      <b/>
      <sz val="11.0"/>
      <color rgb="FFFFFFFF"/>
      <name val="Barlow"/>
    </font>
    <font>
      <sz val="11.0"/>
      <color theme="1"/>
      <name val="Barlow"/>
    </font>
    <font>
      <color theme="1"/>
      <name val="Barlow"/>
    </font>
    <font>
      <b/>
      <color rgb="FFFFFFFF"/>
      <name val="Barlow"/>
    </font>
    <font>
      <b/>
      <color theme="1"/>
      <name val="Barlow"/>
    </font>
    <font>
      <u/>
      <color rgb="FF0000FF"/>
      <name val="Arial"/>
    </font>
    <font>
      <i/>
      <color theme="1"/>
      <name val="Barlow"/>
    </font>
    <font>
      <b/>
      <i/>
      <color theme="1"/>
      <name val="Barlow"/>
    </font>
    <font>
      <b/>
      <color theme="1"/>
      <name val="Arial"/>
      <scheme val="minor"/>
    </font>
    <font>
      <i/>
      <color theme="1"/>
      <name val="Arial"/>
      <scheme val="minor"/>
    </font>
    <font>
      <u/>
      <sz val="11.0"/>
      <color rgb="FF0000FF"/>
      <name val="Be Vietnam Pro"/>
    </font>
    <font>
      <u/>
      <sz val="11.0"/>
      <color rgb="FF0000FF"/>
      <name val="Be Vietnam Pro"/>
    </font>
    <font>
      <u/>
      <sz val="11.0"/>
      <color rgb="FF0000FF"/>
      <name val="Be Vietnam Pro"/>
    </font>
    <font>
      <u/>
      <sz val="11.0"/>
      <color rgb="FF0000FF"/>
      <name val="Be Vietnam Pro"/>
    </font>
    <font>
      <u/>
      <sz val="11.0"/>
      <color rgb="FF0000FF"/>
      <name val="Be Vietnam Pro"/>
    </font>
    <font>
      <b/>
      <sz val="11.0"/>
      <color rgb="FFFF0000"/>
      <name val="Be Vietnam"/>
    </font>
    <font>
      <b/>
      <sz val="13.0"/>
      <color rgb="FFFFFFFF"/>
      <name val="Be Vietnam Pro"/>
    </font>
    <font>
      <sz val="9.0"/>
      <color theme="1"/>
      <name val="Arial"/>
      <scheme val="minor"/>
    </font>
    <font>
      <u/>
      <sz val="11.0"/>
      <color rgb="FF1155CC"/>
      <name val="Be Vietnam"/>
    </font>
    <font>
      <u/>
      <sz val="11.0"/>
      <color rgb="FF0000FF"/>
      <name val="Be Vietnam Pro"/>
    </font>
    <font>
      <u/>
      <sz val="9.0"/>
      <color rgb="FF0000FF"/>
    </font>
    <font>
      <b/>
      <sz val="11.0"/>
      <color theme="1"/>
      <name val="Arial"/>
    </font>
    <font>
      <u/>
      <sz val="11.0"/>
      <color rgb="FF1155CC"/>
      <name val="Be Vietnam Pro"/>
    </font>
    <font>
      <u/>
      <sz val="11.0"/>
      <color rgb="FF1155CC"/>
      <name val="Be Vietnam Pro"/>
    </font>
    <font>
      <u/>
      <sz val="9.0"/>
      <color theme="1"/>
      <name val="Arial"/>
      <scheme val="minor"/>
    </font>
    <font>
      <u/>
      <sz val="9.0"/>
      <color rgb="FF0000FF"/>
    </font>
    <font>
      <u/>
      <sz val="11.0"/>
      <color rgb="FF1155CC"/>
      <name val="Be Vietnam Pro"/>
    </font>
    <font>
      <u/>
      <sz val="11.0"/>
      <color rgb="FF1155CC"/>
      <name val="Be Vietnam"/>
    </font>
    <font>
      <u/>
      <sz val="9.0"/>
      <color rgb="FF0000FF"/>
    </font>
    <font>
      <sz val="9.0"/>
      <color theme="1"/>
      <name val="Arial"/>
    </font>
    <font>
      <i/>
      <color rgb="FFFF0000"/>
      <name val="Be Vietnam Pro"/>
    </font>
    <font>
      <u/>
      <sz val="11.0"/>
      <color rgb="FF1155CC"/>
      <name val="Arial"/>
    </font>
    <font>
      <color rgb="FFFFFFFF"/>
      <name val="Barlow"/>
    </font>
    <font>
      <u/>
      <sz val="10.0"/>
      <color rgb="FFFFFFFF"/>
      <name val="Be Vietnam"/>
    </font>
    <font>
      <u/>
      <sz val="10.0"/>
      <color rgb="FFFFFFFF"/>
      <name val="Be Vietnam"/>
    </font>
    <font>
      <u/>
      <sz val="11.0"/>
      <color rgb="FF0000FF"/>
      <name val="Be Vietnam"/>
    </font>
    <font>
      <u/>
      <sz val="11.0"/>
      <color rgb="FF0000FF"/>
      <name val="Be Vietnam Pro"/>
    </font>
    <font>
      <u/>
      <sz val="11.0"/>
      <color rgb="FF0000FF"/>
      <name val="Be Vietnam"/>
    </font>
    <font>
      <u/>
      <sz val="10.0"/>
      <color rgb="FFFFFFFF"/>
      <name val="Be Vietnam"/>
    </font>
    <font>
      <u/>
      <sz val="11.0"/>
      <color rgb="FF0000FF"/>
      <name val="Be Vietnam"/>
    </font>
    <font>
      <u/>
      <sz val="11.0"/>
      <color rgb="FF0000FF"/>
      <name val="Be Vietnam"/>
    </font>
    <font>
      <u/>
      <sz val="11.0"/>
      <color rgb="FF0000FF"/>
      <name val="Be Vietnam"/>
    </font>
    <font>
      <b/>
      <i/>
      <u/>
      <sz val="11.0"/>
      <color rgb="FF0000FF"/>
      <name val="Be Vietnam Pro"/>
    </font>
    <font>
      <sz val="9.0"/>
      <color rgb="FF1F1F1F"/>
      <name val="Arial"/>
      <scheme val="minor"/>
    </font>
    <font>
      <u/>
      <sz val="11.0"/>
      <color rgb="FF1155CC"/>
      <name val="Be Vietnam Pro"/>
    </font>
    <font>
      <u/>
      <sz val="11.0"/>
      <color rgb="FF0000FF"/>
      <name val="Be Vietnam"/>
    </font>
    <font>
      <u/>
      <sz val="11.0"/>
      <color rgb="FF0000FF"/>
      <name val="Be Vietnam Pro"/>
    </font>
    <font>
      <u/>
      <sz val="11.0"/>
      <color rgb="FF0000FF"/>
      <name val="Be Vietnam"/>
    </font>
    <font>
      <u/>
      <sz val="11.0"/>
      <color rgb="FF0000FF"/>
      <name val="Be Vietnam Pro"/>
    </font>
    <font>
      <u/>
      <sz val="11.0"/>
      <color rgb="FF0000FF"/>
      <name val="Be Vietnam"/>
    </font>
    <font>
      <sz val="11.0"/>
      <color rgb="FF1155CC"/>
      <name val="Be Vietnam Pro"/>
    </font>
    <font>
      <u/>
      <sz val="11.0"/>
      <color rgb="FF0000FF"/>
      <name val="Be Vietnam Pro"/>
    </font>
    <font>
      <b/>
      <sz val="20.0"/>
      <color rgb="FF85200C"/>
      <name val="Be Vietnam Pro"/>
    </font>
    <font>
      <b/>
      <i/>
      <sz val="11.0"/>
      <color rgb="FFFFFFFF"/>
      <name val="Be Vietnam Pro"/>
    </font>
    <font>
      <b/>
      <color rgb="FFFFFFFF"/>
      <name val="Arial"/>
    </font>
    <font>
      <u/>
      <color rgb="FF1155CC"/>
      <name val="Arial"/>
    </font>
    <font>
      <u/>
      <color rgb="FF1155CC"/>
      <name val="Arial"/>
    </font>
    <font>
      <u/>
      <color rgb="FF1155CC"/>
      <name val="Arial"/>
    </font>
    <font>
      <u/>
      <color rgb="FF1155CC"/>
      <name val="Arial"/>
    </font>
    <font>
      <sz val="12.0"/>
      <color rgb="FF161823"/>
      <name val="Arial"/>
    </font>
    <font>
      <u/>
      <color rgb="FF1155CC"/>
      <name val="Arial"/>
    </font>
    <font>
      <u/>
      <color rgb="FF1155CC"/>
      <name val="Arial"/>
    </font>
    <font>
      <u/>
      <sz val="11.0"/>
      <color rgb="FF1155CC"/>
      <name val="Be Vietnam"/>
    </font>
    <font>
      <u/>
      <sz val="11.0"/>
      <color rgb="FF0000FF"/>
      <name val="Be Vietnam Pro"/>
    </font>
    <font>
      <u/>
      <sz val="11.0"/>
      <color rgb="FF1155CC"/>
      <name val="Be Vietnam Pro"/>
    </font>
    <font>
      <u/>
      <sz val="11.0"/>
      <color rgb="FF1155CC"/>
      <name val="Be Vietnam"/>
    </font>
    <font>
      <u/>
      <color theme="1"/>
      <name val="Barlow"/>
    </font>
    <font>
      <color rgb="FFFF0000"/>
      <name val="Barlow"/>
    </font>
    <font>
      <b/>
      <color rgb="FF000000"/>
      <name val="Barlow"/>
    </font>
    <font>
      <color rgb="FF000000"/>
      <name val="Barlow"/>
    </font>
    <font>
      <color rgb="FFFF0000"/>
      <name val="Arial"/>
      <scheme val="minor"/>
    </font>
    <font>
      <u/>
      <sz val="11.0"/>
      <color rgb="FF1155CC"/>
      <name val="Be Vietnam Pro"/>
    </font>
  </fonts>
  <fills count="45">
    <fill>
      <patternFill patternType="none"/>
    </fill>
    <fill>
      <patternFill patternType="lightGray"/>
    </fill>
    <fill>
      <patternFill patternType="solid">
        <fgColor rgb="FFFFFFFF"/>
        <bgColor rgb="FFFFFFFF"/>
      </patternFill>
    </fill>
    <fill>
      <patternFill patternType="solid">
        <fgColor rgb="FFED2229"/>
        <bgColor rgb="FFED2229"/>
      </patternFill>
    </fill>
    <fill>
      <patternFill patternType="solid">
        <fgColor rgb="FFFFD5D9"/>
        <bgColor rgb="FFFFD5D9"/>
      </patternFill>
    </fill>
    <fill>
      <patternFill patternType="solid">
        <fgColor rgb="FFFFC113"/>
        <bgColor rgb="FFFFC113"/>
      </patternFill>
    </fill>
    <fill>
      <patternFill patternType="solid">
        <fgColor rgb="FFD9EAD3"/>
        <bgColor rgb="FFD9EAD3"/>
      </patternFill>
    </fill>
    <fill>
      <patternFill patternType="solid">
        <fgColor rgb="FF7AD592"/>
        <bgColor rgb="FF7AD592"/>
      </patternFill>
    </fill>
    <fill>
      <patternFill patternType="solid">
        <fgColor rgb="FFFFF2CC"/>
        <bgColor rgb="FFFFF2CC"/>
      </patternFill>
    </fill>
    <fill>
      <patternFill patternType="solid">
        <fgColor rgb="FFFFFF00"/>
        <bgColor rgb="FFFFFF00"/>
      </patternFill>
    </fill>
    <fill>
      <patternFill patternType="solid">
        <fgColor rgb="FFCFE2F3"/>
        <bgColor rgb="FFCFE2F3"/>
      </patternFill>
    </fill>
    <fill>
      <patternFill patternType="solid">
        <fgColor rgb="FFD9D9D9"/>
        <bgColor rgb="FFD9D9D9"/>
      </patternFill>
    </fill>
    <fill>
      <patternFill patternType="solid">
        <fgColor rgb="FFFCE5CD"/>
        <bgColor rgb="FFFCE5CD"/>
      </patternFill>
    </fill>
    <fill>
      <patternFill patternType="solid">
        <fgColor rgb="FFF28E85"/>
        <bgColor rgb="FFF28E85"/>
      </patternFill>
    </fill>
    <fill>
      <patternFill patternType="solid">
        <fgColor rgb="FFFFECEE"/>
        <bgColor rgb="FFFFECEE"/>
      </patternFill>
    </fill>
    <fill>
      <patternFill patternType="solid">
        <fgColor rgb="FFEE2739"/>
        <bgColor rgb="FFEE2739"/>
      </patternFill>
    </fill>
    <fill>
      <patternFill patternType="solid">
        <fgColor rgb="FFC9DAF8"/>
        <bgColor rgb="FFC9DAF8"/>
      </patternFill>
    </fill>
    <fill>
      <patternFill patternType="solid">
        <fgColor rgb="FFF4CCCC"/>
        <bgColor rgb="FFF4CCCC"/>
      </patternFill>
    </fill>
    <fill>
      <patternFill patternType="solid">
        <fgColor rgb="FFCCCCCC"/>
        <bgColor rgb="FFCCCCCC"/>
      </patternFill>
    </fill>
    <fill>
      <patternFill patternType="solid">
        <fgColor rgb="FF00FF00"/>
        <bgColor rgb="FF00FF00"/>
      </patternFill>
    </fill>
    <fill>
      <patternFill patternType="solid">
        <fgColor rgb="FFFF00FF"/>
        <bgColor rgb="FFFF00FF"/>
      </patternFill>
    </fill>
    <fill>
      <patternFill patternType="solid">
        <fgColor rgb="FF00FFFF"/>
        <bgColor rgb="FF00FFFF"/>
      </patternFill>
    </fill>
    <fill>
      <patternFill patternType="solid">
        <fgColor rgb="FFFF0000"/>
        <bgColor rgb="FFFF0000"/>
      </patternFill>
    </fill>
    <fill>
      <patternFill patternType="solid">
        <fgColor rgb="FFB7B7B7"/>
        <bgColor rgb="FFB7B7B7"/>
      </patternFill>
    </fill>
    <fill>
      <patternFill patternType="solid">
        <fgColor rgb="FFFFD966"/>
        <bgColor rgb="FFFFD966"/>
      </patternFill>
    </fill>
    <fill>
      <patternFill patternType="solid">
        <fgColor rgb="FFB6D7A8"/>
        <bgColor rgb="FFB6D7A8"/>
      </patternFill>
    </fill>
    <fill>
      <patternFill patternType="solid">
        <fgColor rgb="FFF6F8F9"/>
        <bgColor rgb="FFF6F8F9"/>
      </patternFill>
    </fill>
    <fill>
      <patternFill patternType="solid">
        <fgColor rgb="FFEA9999"/>
        <bgColor rgb="FFEA9999"/>
      </patternFill>
    </fill>
    <fill>
      <patternFill patternType="solid">
        <fgColor rgb="FFFFF7DC"/>
        <bgColor rgb="FFFFF7DC"/>
      </patternFill>
    </fill>
    <fill>
      <patternFill patternType="solid">
        <fgColor rgb="FFE06666"/>
        <bgColor rgb="FFE06666"/>
      </patternFill>
    </fill>
    <fill>
      <patternFill patternType="solid">
        <fgColor rgb="FFC09775"/>
        <bgColor rgb="FFC09775"/>
      </patternFill>
    </fill>
    <fill>
      <patternFill patternType="solid">
        <fgColor rgb="FFD9D2E9"/>
        <bgColor rgb="FFD9D2E9"/>
      </patternFill>
    </fill>
    <fill>
      <patternFill patternType="solid">
        <fgColor rgb="FFFF9900"/>
        <bgColor rgb="FFFF9900"/>
      </patternFill>
    </fill>
    <fill>
      <patternFill patternType="solid">
        <fgColor rgb="FFFFE599"/>
        <bgColor rgb="FFFFE599"/>
      </patternFill>
    </fill>
    <fill>
      <patternFill patternType="solid">
        <fgColor theme="9"/>
        <bgColor theme="9"/>
      </patternFill>
    </fill>
    <fill>
      <patternFill patternType="solid">
        <fgColor rgb="FFCC0000"/>
        <bgColor rgb="FFCC0000"/>
      </patternFill>
    </fill>
    <fill>
      <patternFill patternType="solid">
        <fgColor rgb="FF46BDC6"/>
        <bgColor rgb="FF46BDC6"/>
      </patternFill>
    </fill>
    <fill>
      <patternFill patternType="solid">
        <fgColor rgb="FF000000"/>
        <bgColor rgb="FF000000"/>
      </patternFill>
    </fill>
    <fill>
      <patternFill patternType="solid">
        <fgColor rgb="FF1155CC"/>
        <bgColor rgb="FF1155CC"/>
      </patternFill>
    </fill>
    <fill>
      <patternFill patternType="solid">
        <fgColor theme="0"/>
        <bgColor theme="0"/>
      </patternFill>
    </fill>
    <fill>
      <patternFill patternType="solid">
        <fgColor rgb="FFEFEFEF"/>
        <bgColor rgb="FFEFEFEF"/>
      </patternFill>
    </fill>
    <fill>
      <patternFill patternType="solid">
        <fgColor rgb="FF0E3A2F"/>
        <bgColor rgb="FF0E3A2F"/>
      </patternFill>
    </fill>
    <fill>
      <patternFill patternType="solid">
        <fgColor rgb="FFA61C00"/>
        <bgColor rgb="FFA61C00"/>
      </patternFill>
    </fill>
    <fill>
      <patternFill patternType="solid">
        <fgColor rgb="FFF3F3F3"/>
        <bgColor rgb="FFF3F3F3"/>
      </patternFill>
    </fill>
    <fill>
      <patternFill patternType="solid">
        <fgColor rgb="FFE4281D"/>
        <bgColor rgb="FFE4281D"/>
      </patternFill>
    </fill>
  </fills>
  <borders count="13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rder>
    <border>
      <right style="thin">
        <color rgb="FF999999"/>
      </right>
      <top style="thin">
        <color rgb="FF999999"/>
      </top>
    </border>
    <border>
      <left style="thin">
        <color rgb="FF999999"/>
      </left>
      <right style="thin">
        <color rgb="FF999999"/>
      </right>
    </border>
    <border>
      <left style="thin">
        <color rgb="FF999999"/>
      </lef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left style="thick">
        <color rgb="FF000000"/>
      </left>
      <bottom style="medium">
        <color rgb="FF000000"/>
      </bottom>
    </border>
    <border>
      <left style="medium">
        <color rgb="FF000000"/>
      </left>
      <right style="dotted">
        <color rgb="FFEE2739"/>
      </right>
      <bottom style="medium">
        <color rgb="FF000000"/>
      </bottom>
    </border>
    <border>
      <left style="dotted">
        <color rgb="FFEE2739"/>
      </left>
      <right style="dotted">
        <color rgb="FFEE2739"/>
      </right>
      <bottom style="medium">
        <color rgb="FF000000"/>
      </bottom>
    </border>
    <border>
      <left style="dotted">
        <color rgb="FFEE2739"/>
      </left>
      <right style="thick">
        <color rgb="FF000000"/>
      </right>
      <bottom style="medium">
        <color rgb="FF000000"/>
      </bottom>
    </border>
    <border>
      <left style="thick">
        <color rgb="FF000000"/>
      </left>
      <right style="dotted">
        <color rgb="FFEE2739"/>
      </right>
      <bottom style="dotted">
        <color rgb="FFEE2739"/>
      </bottom>
    </border>
    <border>
      <left style="dotted">
        <color rgb="FFEE2739"/>
      </left>
      <right style="dotted">
        <color rgb="FFEE2739"/>
      </right>
      <bottom style="dotted">
        <color rgb="FFEE2739"/>
      </bottom>
    </border>
    <border>
      <left style="dotted">
        <color rgb="FFEE2739"/>
      </left>
      <bottom style="dotted">
        <color rgb="FFEE2739"/>
      </bottom>
    </border>
    <border>
      <bottom style="dotted">
        <color rgb="FFEE2739"/>
      </bottom>
    </border>
    <border>
      <right style="dotted">
        <color rgb="FFEE2739"/>
      </right>
      <bottom style="dotted">
        <color rgb="FFEE2739"/>
      </bottom>
    </border>
    <border>
      <left style="dotted">
        <color rgb="FFEE2739"/>
      </left>
      <right style="thick">
        <color rgb="FF000000"/>
      </right>
      <top style="dotted">
        <color rgb="FFEE2739"/>
      </top>
      <bottom style="dotted">
        <color rgb="FFEE2739"/>
      </bottom>
    </border>
    <border>
      <left style="thick">
        <color rgb="FF000000"/>
      </left>
      <right style="dotted">
        <color rgb="FFFFFFFF"/>
      </right>
      <top style="dotted">
        <color rgb="FFFFFFFF"/>
      </top>
      <bottom style="dotted">
        <color rgb="FFFFFFFF"/>
      </bottom>
    </border>
    <border>
      <left style="dotted">
        <color rgb="FFFFFFFF"/>
      </left>
      <right style="dotted">
        <color rgb="FFFFFFFF"/>
      </right>
      <top style="dotted">
        <color rgb="FFFFFFFF"/>
      </top>
      <bottom style="dotted">
        <color rgb="FFFFFFFF"/>
      </bottom>
    </border>
    <border>
      <left style="dotted">
        <color rgb="FFFFFFFF"/>
      </left>
      <right style="thick">
        <color rgb="FF000000"/>
      </right>
      <top style="dotted">
        <color rgb="FFFFFFFF"/>
      </top>
      <bottom style="dotted">
        <color rgb="FFFFFFFF"/>
      </bottom>
    </border>
    <border>
      <left style="thick">
        <color rgb="FF000000"/>
      </left>
      <right style="dotted">
        <color rgb="FFFFFFFF"/>
      </right>
      <top style="dotted">
        <color rgb="FFFFFFFF"/>
      </top>
    </border>
    <border>
      <left style="dotted">
        <color rgb="FFFFFFFF"/>
      </left>
      <right style="dotted">
        <color rgb="FFFFFFFF"/>
      </right>
      <top style="dotted">
        <color rgb="FFFFFFFF"/>
      </top>
    </border>
    <border>
      <left style="dotted">
        <color rgb="FFFFFFFF"/>
      </left>
      <right style="thick">
        <color rgb="FF000000"/>
      </right>
      <top style="dotted">
        <color rgb="FFFFFFFF"/>
      </top>
    </border>
    <border>
      <left style="thick">
        <color rgb="FF000000"/>
      </left>
      <right style="dotted">
        <color rgb="FFFFFFFF"/>
      </right>
      <top style="dotted">
        <color rgb="FFFFFFFF"/>
      </top>
      <bottom style="thick">
        <color rgb="FF000000"/>
      </bottom>
    </border>
    <border>
      <left style="dotted">
        <color rgb="FFFFFFFF"/>
      </left>
      <right style="dotted">
        <color rgb="FFFFFFFF"/>
      </right>
      <top style="dotted">
        <color rgb="FFFFFFFF"/>
      </top>
      <bottom style="thick">
        <color rgb="FF000000"/>
      </bottom>
    </border>
    <border>
      <left style="dotted">
        <color rgb="FFFFFFFF"/>
      </left>
      <right style="thick">
        <color rgb="FF000000"/>
      </right>
      <top style="dotted">
        <color rgb="FFFFFFFF"/>
      </top>
      <bottom style="thick">
        <color rgb="FF000000"/>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dotted">
        <color rgb="FF000000"/>
      </left>
      <right style="dotted">
        <color rgb="FF000000"/>
      </right>
      <top style="dotted">
        <color rgb="FF000000"/>
      </top>
      <bottom style="dotted">
        <color rgb="FF000000"/>
      </bottom>
    </border>
    <border>
      <left/>
      <top/>
      <bottom/>
    </border>
    <border>
      <top/>
      <bottom/>
    </border>
    <border>
      <right/>
      <top/>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000000"/>
      </left>
      <right style="thick">
        <color rgb="FF000000"/>
      </right>
      <top style="thin">
        <color rgb="FF000000"/>
      </top>
      <bottom style="thin">
        <color rgb="FF000000"/>
      </bottom>
    </border>
    <border>
      <bottom style="thin">
        <color rgb="FFB7B7B7"/>
      </bottom>
    </border>
    <border>
      <left style="thick">
        <color rgb="FF000000"/>
      </left>
      <right style="dotted">
        <color rgb="FFFFFFFF"/>
      </right>
      <top style="thick">
        <color rgb="FF000000"/>
      </top>
    </border>
    <border>
      <left style="dotted">
        <color rgb="FFFFFFFF"/>
      </left>
      <right style="dotted">
        <color rgb="FFFFFFFF"/>
      </right>
      <top style="thick">
        <color rgb="FF000000"/>
      </top>
    </border>
    <border>
      <left style="dotted">
        <color rgb="FFFFFFFF"/>
      </left>
      <right style="thick">
        <color rgb="FF000000"/>
      </right>
      <top style="thick">
        <color rgb="FF000000"/>
      </top>
    </border>
    <border>
      <left style="thick">
        <color rgb="FF000000"/>
      </left>
      <top style="medium">
        <color rgb="FF000000"/>
      </top>
    </border>
    <border>
      <right style="dotted">
        <color rgb="FFEE2739"/>
      </right>
      <top style="medium">
        <color rgb="FF000000"/>
      </top>
    </border>
    <border>
      <left style="dotted">
        <color rgb="FFEE2739"/>
      </left>
      <right style="dotted">
        <color rgb="FFEE2739"/>
      </right>
      <top style="medium">
        <color rgb="FF000000"/>
      </top>
      <bottom style="dotted">
        <color rgb="FFEE2739"/>
      </bottom>
    </border>
    <border>
      <left style="dotted">
        <color rgb="FFEE2739"/>
      </left>
      <right style="dotted">
        <color rgb="FFEE2739"/>
      </right>
      <top style="medium">
        <color rgb="FF000000"/>
      </top>
    </border>
    <border>
      <left style="dotted">
        <color rgb="FFEE2739"/>
      </left>
      <right style="thick">
        <color rgb="FF000000"/>
      </right>
      <top style="medium">
        <color rgb="FF000000"/>
      </top>
      <bottom style="dotted">
        <color rgb="FFEE2739"/>
      </bottom>
    </border>
    <border>
      <right style="dotted">
        <color rgb="FFEE2739"/>
      </right>
      <bottom style="medium">
        <color rgb="FF000000"/>
      </bottom>
    </border>
    <border>
      <left style="dotted">
        <color rgb="FFEE2739"/>
      </left>
      <right style="dotted">
        <color rgb="FFEE2739"/>
      </right>
      <top style="dotted">
        <color rgb="FFEE2739"/>
      </top>
      <bottom style="medium">
        <color rgb="FF000000"/>
      </bottom>
    </border>
    <border>
      <left style="dotted">
        <color rgb="FFEE2739"/>
      </left>
      <right style="thick">
        <color rgb="FF000000"/>
      </right>
      <top style="dotted">
        <color rgb="FFEE2739"/>
      </top>
      <bottom style="medium">
        <color rgb="FF000000"/>
      </bottom>
    </border>
    <border>
      <left style="thick">
        <color rgb="FF000000"/>
      </left>
      <right style="dotted">
        <color rgb="FFEE2739"/>
      </right>
      <top style="dotted">
        <color rgb="FFEE2739"/>
      </top>
    </border>
    <border>
      <left style="dotted">
        <color rgb="FFEE2739"/>
      </left>
      <right style="dotted">
        <color rgb="FFEE2739"/>
      </right>
      <top style="dotted">
        <color rgb="FFEE2739"/>
      </top>
    </border>
    <border>
      <left style="dotted">
        <color rgb="FFEE2739"/>
      </left>
      <right style="dotted">
        <color rgb="FFEE2739"/>
      </right>
      <top style="dotted">
        <color rgb="FFEE2739"/>
      </top>
      <bottom style="dotted">
        <color rgb="FFEE2739"/>
      </bottom>
    </border>
    <border>
      <left style="dotted">
        <color rgb="FFEE2739"/>
      </left>
      <right style="thick">
        <color rgb="FF000000"/>
      </right>
      <top style="dotted">
        <color rgb="FFEE2739"/>
      </top>
    </border>
    <border>
      <left style="dotted">
        <color rgb="FFEE2739"/>
      </left>
      <right style="thick">
        <color rgb="FF000000"/>
      </right>
      <bottom style="dotted">
        <color rgb="FFEE2739"/>
      </bottom>
    </border>
    <border>
      <left style="dotted">
        <color rgb="FFEE2739"/>
      </left>
      <top style="dotted">
        <color rgb="FFEE2739"/>
      </top>
    </border>
    <border>
      <left style="hair">
        <color rgb="FFED2229"/>
      </left>
      <right style="hair">
        <color rgb="FFED2229"/>
      </right>
      <top style="hair">
        <color rgb="FFED2229"/>
      </top>
      <bottom style="hair">
        <color rgb="FFED2229"/>
      </bottom>
    </border>
    <border>
      <left style="dotted">
        <color rgb="FFEE2739"/>
      </left>
      <right style="dotted">
        <color rgb="FFEE2739"/>
      </right>
    </border>
    <border>
      <left style="thick">
        <color rgb="FF000000"/>
      </left>
    </border>
    <border>
      <right style="dotted">
        <color rgb="FFEE2739"/>
      </right>
    </border>
    <border>
      <left style="thick">
        <color rgb="FF000000"/>
      </left>
      <right style="dotted">
        <color rgb="FFEE2739"/>
      </right>
      <top style="dotted">
        <color rgb="FFEE2739"/>
      </top>
      <bottom style="dotted">
        <color rgb="FFEE2739"/>
      </bottom>
    </border>
    <border>
      <left style="thick">
        <color rgb="FF000000"/>
      </left>
      <top style="medium">
        <color rgb="FF000000"/>
      </top>
      <bottom style="medium">
        <color rgb="FF000000"/>
      </bottom>
    </border>
    <border>
      <left style="medium">
        <color rgb="FF000000"/>
      </left>
      <right style="dotted">
        <color rgb="FFEE2739"/>
      </right>
      <top style="medium">
        <color rgb="FF000000"/>
      </top>
      <bottom style="medium">
        <color rgb="FF000000"/>
      </bottom>
    </border>
    <border>
      <left style="dotted">
        <color rgb="FFEE2739"/>
      </left>
      <right style="dotted">
        <color rgb="FFEE2739"/>
      </right>
      <top style="medium">
        <color rgb="FF000000"/>
      </top>
      <bottom style="medium">
        <color rgb="FF000000"/>
      </bottom>
    </border>
    <border>
      <left style="dotted">
        <color rgb="FFEE2739"/>
      </left>
      <right style="thick">
        <color rgb="FF000000"/>
      </right>
      <top style="medium">
        <color rgb="FF000000"/>
      </top>
      <bottom style="medium">
        <color rgb="FF000000"/>
      </bottom>
    </border>
    <border>
      <left style="dotted">
        <color rgb="FFFFFFFF"/>
      </left>
      <right style="thick">
        <color rgb="FF000000"/>
      </right>
    </border>
    <border>
      <left style="hair">
        <color rgb="FFEE2739"/>
      </left>
      <right style="hair">
        <color rgb="FFEE2739"/>
      </right>
      <top style="dotted">
        <color rgb="FFEE2739"/>
      </top>
    </border>
    <border>
      <left style="hair">
        <color rgb="FF980000"/>
      </left>
      <right style="hair">
        <color rgb="FF980000"/>
      </right>
      <top style="hair">
        <color rgb="FF980000"/>
      </top>
      <bottom style="hair">
        <color rgb="FF980000"/>
      </bottom>
    </border>
    <border>
      <left style="hair">
        <color rgb="FF980000"/>
      </left>
      <right style="hair">
        <color rgb="FF980000"/>
      </right>
      <top style="hair">
        <color rgb="FF980000"/>
      </top>
    </border>
    <border>
      <left style="hair">
        <color rgb="FFEE2739"/>
      </left>
      <right style="hair">
        <color rgb="FFEE2739"/>
      </right>
      <bottom style="hair">
        <color rgb="FFEE2739"/>
      </bottom>
    </border>
    <border>
      <left style="hair">
        <color rgb="FF980000"/>
      </left>
      <right style="hair">
        <color rgb="FF980000"/>
      </right>
      <bottom style="hair">
        <color rgb="FF980000"/>
      </bottom>
    </border>
    <border>
      <left style="dotted">
        <color rgb="FFEE2739"/>
      </left>
      <top style="medium">
        <color rgb="FF000000"/>
      </top>
      <bottom style="dotted">
        <color rgb="FFEE2739"/>
      </bottom>
    </border>
    <border>
      <left style="dotted">
        <color rgb="FFEE2739"/>
      </left>
      <top style="dotted">
        <color rgb="FFEE2739"/>
      </top>
      <bottom style="medium">
        <color rgb="FF000000"/>
      </bottom>
    </border>
    <border>
      <left style="thick">
        <color rgb="FF000000"/>
      </left>
      <right style="hair">
        <color rgb="FFEE2739"/>
      </right>
      <top style="dotted">
        <color rgb="FFEE2739"/>
      </top>
    </border>
    <border>
      <left style="hair">
        <color rgb="FFEE2739"/>
      </left>
      <right style="hair">
        <color rgb="FFEE2739"/>
      </right>
      <top style="dotted">
        <color rgb="FFEE2739"/>
      </top>
      <bottom style="hair">
        <color rgb="FFEE2739"/>
      </bottom>
    </border>
    <border>
      <left style="hair">
        <color rgb="FFEE2739"/>
      </left>
      <top style="dotted">
        <color rgb="FFEE2739"/>
      </top>
    </border>
    <border>
      <left style="thick">
        <color rgb="FF000000"/>
      </left>
      <right style="hair">
        <color rgb="FFEE2739"/>
      </right>
      <bottom style="hair">
        <color rgb="FFEE2739"/>
      </bottom>
    </border>
    <border>
      <left style="hair">
        <color rgb="FFEE2739"/>
      </left>
      <right style="hair">
        <color rgb="FFEE2739"/>
      </right>
      <top style="hair">
        <color rgb="FFEE2739"/>
      </top>
      <bottom style="hair">
        <color rgb="FFEE2739"/>
      </bottom>
    </border>
    <border>
      <left style="hair">
        <color rgb="FFEE2739"/>
      </left>
      <bottom style="hair">
        <color rgb="FFEE2739"/>
      </bottom>
    </border>
    <border>
      <left style="thick">
        <color rgb="FF000000"/>
      </left>
      <right style="hair">
        <color rgb="FFEE2739"/>
      </right>
      <top style="hair">
        <color rgb="FFEE2739"/>
      </top>
    </border>
    <border>
      <left style="hair">
        <color rgb="FFEE2739"/>
      </left>
      <right style="hair">
        <color rgb="FFEE2739"/>
      </right>
      <top style="hair">
        <color rgb="FFEE2739"/>
      </top>
    </border>
    <border>
      <left style="hair">
        <color rgb="FFEE2739"/>
      </left>
      <top style="hair">
        <color rgb="FFEE2739"/>
      </top>
    </border>
    <border>
      <left style="hair">
        <color rgb="FFEE2739"/>
      </left>
    </border>
    <border>
      <left style="thick">
        <color rgb="FF000000"/>
      </left>
      <right style="hair">
        <color rgb="FFEE2739"/>
      </right>
      <bottom style="dotted">
        <color rgb="FFEE2739"/>
      </bottom>
    </border>
    <border>
      <left style="hair">
        <color rgb="FFEE2739"/>
      </left>
      <right style="hair">
        <color rgb="FFEE2739"/>
      </right>
      <bottom style="dotted">
        <color rgb="FFEE2739"/>
      </bottom>
    </border>
    <border>
      <left style="hair">
        <color rgb="FFEE2739"/>
      </left>
      <right style="hair">
        <color rgb="FFEE2739"/>
      </right>
      <bottom style="medium">
        <color rgb="FF000000"/>
      </bottom>
    </border>
    <border>
      <left style="hair">
        <color rgb="FFEE2739"/>
      </left>
      <right style="hair">
        <color rgb="FFEE2739"/>
      </right>
    </border>
    <border>
      <left style="dotted">
        <color rgb="FFEE2739"/>
      </left>
      <top style="dotted">
        <color rgb="FFEE2739"/>
      </top>
      <bottom style="dotted">
        <color rgb="FFEE2739"/>
      </bottom>
    </border>
    <border>
      <left style="thick">
        <color rgb="FF000000"/>
      </left>
      <right style="dotted">
        <color rgb="FFFFFFFF"/>
      </right>
      <top style="thick">
        <color rgb="FF000000"/>
      </top>
      <bottom/>
    </border>
    <border>
      <left style="dotted">
        <color rgb="FFFFFFFF"/>
      </left>
      <right style="dotted">
        <color rgb="FFFFFFFF"/>
      </right>
      <top style="thick">
        <color rgb="FF000000"/>
      </top>
      <bottom/>
    </border>
    <border>
      <right style="dotted">
        <color rgb="FFEE2739"/>
      </right>
      <top style="dotted">
        <color rgb="FFEE2739"/>
      </top>
    </border>
    <border>
      <left style="dotted">
        <color rgb="FFEE2739"/>
      </left>
      <right style="dotted">
        <color rgb="FFEE2739"/>
      </right>
      <top/>
    </border>
    <border>
      <left style="thick">
        <color rgb="FF000000"/>
      </left>
      <right style="dotted">
        <color rgb="FFEE2739"/>
      </right>
      <bottom/>
    </border>
    <border>
      <left style="dotted">
        <color rgb="FFEE2739"/>
      </left>
      <right style="dotted">
        <color rgb="FFEE2739"/>
      </right>
      <bottom/>
    </border>
    <border>
      <left style="dotted">
        <color rgb="FFEE2739"/>
      </left>
      <right style="dotted">
        <color rgb="FFEE2739"/>
      </right>
      <bottom style="hair">
        <color rgb="FFFF0000"/>
      </bottom>
    </border>
    <border>
      <left style="thick">
        <color rgb="FF000000"/>
      </left>
      <right style="dotted">
        <color rgb="FFEE2739"/>
      </right>
      <top style="hair">
        <color rgb="FFFF0000"/>
      </top>
      <bottom style="medium">
        <color rgb="FF000000"/>
      </bottom>
    </border>
    <border>
      <left style="dotted">
        <color rgb="FFEE2739"/>
      </left>
      <right style="dotted">
        <color rgb="FFEE2739"/>
      </right>
      <top style="dotted">
        <color rgb="FFEE2739"/>
      </top>
      <bottom/>
    </border>
    <border>
      <left style="dotted">
        <color rgb="FFEE2739"/>
      </left>
      <right style="dotted">
        <color rgb="FFEE2739"/>
      </right>
      <top style="hair">
        <color rgb="FFFF0000"/>
      </top>
      <bottom style="medium">
        <color rgb="FF000000"/>
      </bottom>
    </border>
    <border>
      <right style="thin">
        <color rgb="FFFFFFFF"/>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FFFFFF"/>
      </left>
      <right style="thin">
        <color rgb="FFFFFFFF"/>
      </right>
      <top style="thin">
        <color rgb="FFFFFFFF"/>
      </top>
    </border>
    <border>
      <top style="thin">
        <color rgb="FF000000"/>
      </top>
    </border>
    <border>
      <right style="thin">
        <color rgb="FF000000"/>
      </right>
      <top style="thin">
        <color rgb="FF000000"/>
      </top>
    </border>
    <border>
      <left style="thin">
        <color rgb="FFFFFFFF"/>
      </left>
      <right style="thin">
        <color rgb="FFFFFFFF"/>
      </right>
      <bottom style="thin">
        <color rgb="FFFFFFFF"/>
      </bottom>
    </border>
  </borders>
  <cellStyleXfs count="1">
    <xf borderId="0" fillId="0" fontId="0" numFmtId="0" applyAlignment="1" applyFont="1"/>
  </cellStyleXfs>
  <cellXfs count="135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0" fillId="0" fontId="2" numFmtId="0" xfId="0" applyAlignment="1" applyFont="1">
      <alignment vertical="center"/>
    </xf>
    <xf borderId="0" fillId="0" fontId="2" numFmtId="164" xfId="0" applyAlignment="1" applyFont="1" applyNumberFormat="1">
      <alignment vertical="center"/>
    </xf>
    <xf borderId="0" fillId="0" fontId="3" numFmtId="0" xfId="0" applyAlignment="1" applyFont="1">
      <alignment horizontal="left" shrinkToFit="0" vertical="center" wrapText="0"/>
    </xf>
    <xf borderId="0" fillId="0" fontId="2" numFmtId="0" xfId="0" applyAlignment="1" applyFont="1">
      <alignment horizontal="center" vertical="center"/>
    </xf>
    <xf borderId="0" fillId="0" fontId="2" numFmtId="3" xfId="0" applyAlignment="1" applyFont="1" applyNumberFormat="1">
      <alignment vertical="center"/>
    </xf>
    <xf borderId="0" fillId="0" fontId="4" numFmtId="0" xfId="0" applyAlignment="1" applyFont="1">
      <alignment shrinkToFit="0" vertical="center" wrapText="1"/>
    </xf>
    <xf borderId="0" fillId="0" fontId="2" numFmtId="164" xfId="0" applyAlignment="1" applyFont="1" applyNumberFormat="1">
      <alignment horizontal="center" shrinkToFit="0" vertical="center" wrapText="1"/>
    </xf>
    <xf borderId="0" fillId="2" fontId="5" numFmtId="0" xfId="0" applyAlignment="1" applyFill="1" applyFont="1">
      <alignment horizontal="center" readingOrder="0" shrinkToFit="0" vertical="center" wrapText="1"/>
    </xf>
    <xf borderId="0" fillId="0" fontId="6" numFmtId="0" xfId="0" applyAlignment="1" applyFont="1">
      <alignment horizontal="left" readingOrder="0" shrinkToFit="0" vertical="center" wrapText="0"/>
    </xf>
    <xf borderId="0" fillId="0" fontId="6" numFmtId="0" xfId="0" applyAlignment="1" applyFont="1">
      <alignment readingOrder="0" shrinkToFit="0" vertical="center" wrapText="1"/>
    </xf>
    <xf borderId="2" fillId="3" fontId="7" numFmtId="0" xfId="0" applyAlignment="1" applyBorder="1" applyFill="1" applyFont="1">
      <alignment horizontal="left" shrinkToFit="0" vertical="center" wrapText="0"/>
    </xf>
    <xf borderId="2" fillId="3" fontId="8" numFmtId="0" xfId="0" applyAlignment="1" applyBorder="1" applyFont="1">
      <alignment horizontal="center" shrinkToFit="0" vertical="center" wrapText="1"/>
    </xf>
    <xf borderId="2" fillId="3" fontId="7" numFmtId="0" xfId="0" applyAlignment="1" applyBorder="1" applyFont="1">
      <alignment horizontal="center" readingOrder="0" shrinkToFit="0" vertical="center" wrapText="1"/>
    </xf>
    <xf borderId="2" fillId="3" fontId="7" numFmtId="0" xfId="0" applyAlignment="1" applyBorder="1" applyFont="1">
      <alignment horizontal="center" shrinkToFit="0" vertical="center" wrapText="1"/>
    </xf>
    <xf borderId="0" fillId="0" fontId="2" numFmtId="3" xfId="0" applyAlignment="1" applyFont="1" applyNumberFormat="1">
      <alignment shrinkToFit="0" vertical="center" wrapText="1"/>
    </xf>
    <xf borderId="2" fillId="4" fontId="9" numFmtId="0" xfId="0" applyAlignment="1" applyBorder="1" applyFill="1" applyFont="1">
      <alignment horizontal="left" readingOrder="0" shrinkToFit="0" vertical="center" wrapText="0"/>
    </xf>
    <xf borderId="2" fillId="4" fontId="9" numFmtId="0" xfId="0" applyAlignment="1" applyBorder="1" applyFont="1">
      <alignment readingOrder="0" shrinkToFit="0" vertical="center" wrapText="1"/>
    </xf>
    <xf borderId="2" fillId="4" fontId="10" numFmtId="3" xfId="0" applyAlignment="1" applyBorder="1" applyFont="1" applyNumberFormat="1">
      <alignment horizontal="right" readingOrder="0" vertical="center"/>
    </xf>
    <xf borderId="2" fillId="4" fontId="10" numFmtId="3" xfId="0" applyAlignment="1" applyBorder="1" applyFont="1" applyNumberFormat="1">
      <alignment vertical="center"/>
    </xf>
    <xf borderId="1" fillId="2" fontId="9" numFmtId="0" xfId="0" applyAlignment="1" applyBorder="1" applyFont="1">
      <alignment horizontal="center" readingOrder="0" shrinkToFit="0" vertical="center" wrapText="0"/>
    </xf>
    <xf borderId="1" fillId="2" fontId="9" numFmtId="0" xfId="0" applyAlignment="1" applyBorder="1" applyFont="1">
      <alignment readingOrder="0" shrinkToFit="0" vertical="center" wrapText="1"/>
    </xf>
    <xf borderId="2" fillId="2" fontId="10" numFmtId="3" xfId="0" applyAlignment="1" applyBorder="1" applyFont="1" applyNumberFormat="1">
      <alignment readingOrder="0" vertical="center"/>
    </xf>
    <xf borderId="2" fillId="2" fontId="10" numFmtId="3" xfId="0" applyAlignment="1" applyBorder="1" applyFont="1" applyNumberFormat="1">
      <alignment vertical="center"/>
    </xf>
    <xf borderId="1" fillId="2" fontId="10" numFmtId="164" xfId="0" applyAlignment="1" applyBorder="1" applyFont="1" applyNumberFormat="1">
      <alignment vertical="center"/>
    </xf>
    <xf borderId="3" fillId="0" fontId="11" numFmtId="0" xfId="0" applyBorder="1" applyFont="1"/>
    <xf borderId="1" fillId="2" fontId="9" numFmtId="0" xfId="0" applyAlignment="1" applyBorder="1" applyFont="1">
      <alignment horizontal="center" readingOrder="0" shrinkToFit="0" vertical="center" wrapText="1"/>
    </xf>
    <xf borderId="2" fillId="0" fontId="10" numFmtId="3" xfId="0" applyAlignment="1" applyBorder="1" applyFont="1" applyNumberFormat="1">
      <alignment vertical="center"/>
    </xf>
    <xf borderId="2" fillId="0" fontId="10" numFmtId="3" xfId="0" applyAlignment="1" applyBorder="1" applyFont="1" applyNumberFormat="1">
      <alignment readingOrder="0" vertical="center"/>
    </xf>
    <xf borderId="4" fillId="2" fontId="9" numFmtId="0" xfId="0" applyAlignment="1" applyBorder="1" applyFont="1">
      <alignment horizontal="center" readingOrder="0" shrinkToFit="0" vertical="center" wrapText="1"/>
    </xf>
    <xf borderId="2" fillId="2" fontId="9" numFmtId="0" xfId="0" applyAlignment="1" applyBorder="1" applyFont="1">
      <alignment readingOrder="0" shrinkToFit="0" vertical="center" wrapText="1"/>
    </xf>
    <xf borderId="2" fillId="0" fontId="10" numFmtId="164" xfId="0" applyAlignment="1" applyBorder="1" applyFont="1" applyNumberFormat="1">
      <alignment vertical="center"/>
    </xf>
    <xf borderId="0" fillId="0" fontId="2" numFmtId="0" xfId="0" applyAlignment="1" applyFont="1">
      <alignment horizontal="left" shrinkToFit="0" vertical="center" wrapText="0"/>
    </xf>
    <xf borderId="2" fillId="0" fontId="12" numFmtId="0" xfId="0" applyAlignment="1" applyBorder="1" applyFont="1">
      <alignment horizontal="center" shrinkToFit="0" wrapText="1"/>
    </xf>
    <xf borderId="2" fillId="0" fontId="13" numFmtId="164" xfId="0" applyAlignment="1" applyBorder="1" applyFont="1" applyNumberFormat="1">
      <alignment vertical="center"/>
    </xf>
    <xf borderId="2" fillId="3" fontId="7" numFmtId="3" xfId="0" applyAlignment="1" applyBorder="1" applyFont="1" applyNumberFormat="1">
      <alignment horizontal="right" vertical="center"/>
    </xf>
    <xf borderId="0" fillId="0" fontId="2" numFmtId="3" xfId="0" applyAlignment="1" applyFont="1" applyNumberFormat="1">
      <alignment readingOrder="0" shrinkToFit="0" vertical="center" wrapText="1"/>
    </xf>
    <xf borderId="0" fillId="0" fontId="14" numFmtId="0" xfId="0" applyAlignment="1" applyFont="1">
      <alignment horizontal="left" readingOrder="0" shrinkToFit="0" vertical="center" wrapText="0"/>
    </xf>
    <xf borderId="2" fillId="0" fontId="14" numFmtId="0" xfId="0" applyAlignment="1" applyBorder="1" applyFont="1">
      <alignment horizontal="center" readingOrder="0" vertical="center"/>
    </xf>
    <xf borderId="2" fillId="0" fontId="15" numFmtId="9" xfId="0" applyAlignment="1" applyBorder="1" applyFont="1" applyNumberFormat="1">
      <alignment horizontal="center" readingOrder="0" vertical="center"/>
    </xf>
    <xf borderId="2" fillId="3" fontId="7" numFmtId="3" xfId="0" applyAlignment="1" applyBorder="1" applyFont="1" applyNumberFormat="1">
      <alignment horizontal="right" readingOrder="0" vertical="center"/>
    </xf>
    <xf borderId="0" fillId="0" fontId="14" numFmtId="0" xfId="0" applyAlignment="1" applyFont="1">
      <alignment horizontal="center" readingOrder="0" vertical="center"/>
    </xf>
    <xf borderId="0" fillId="0" fontId="16" numFmtId="3" xfId="0" applyAlignment="1" applyFont="1" applyNumberFormat="1">
      <alignment horizontal="center" readingOrder="0" vertical="center"/>
    </xf>
    <xf borderId="0" fillId="0" fontId="17" numFmtId="0" xfId="0" applyAlignment="1" applyFont="1">
      <alignment horizontal="center" readingOrder="0" vertical="center"/>
    </xf>
    <xf borderId="0" fillId="0" fontId="4" numFmtId="0" xfId="0" applyAlignment="1" applyFont="1">
      <alignment shrinkToFit="0" wrapText="1"/>
    </xf>
    <xf borderId="0" fillId="0" fontId="18" numFmtId="3"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5" fillId="3" fontId="8" numFmtId="0" xfId="0" applyAlignment="1" applyBorder="1" applyFont="1">
      <alignment horizontal="center" readingOrder="0" shrinkToFit="0" vertical="center" wrapText="0"/>
    </xf>
    <xf borderId="5" fillId="3" fontId="8" numFmtId="0" xfId="0" applyAlignment="1" applyBorder="1" applyFont="1">
      <alignment horizontal="center" readingOrder="0" shrinkToFit="0" vertical="center" wrapText="1"/>
    </xf>
    <xf borderId="5" fillId="3" fontId="8" numFmtId="0" xfId="0" applyAlignment="1" applyBorder="1" applyFont="1">
      <alignment horizontal="center" shrinkToFit="0" vertical="center" wrapText="1"/>
    </xf>
    <xf borderId="5" fillId="3" fontId="8" numFmtId="0" xfId="0" applyAlignment="1" applyBorder="1" applyFont="1">
      <alignment horizontal="center" readingOrder="0" shrinkToFit="0" vertical="center" wrapText="0"/>
    </xf>
    <xf borderId="5" fillId="3" fontId="19" numFmtId="0" xfId="0" applyAlignment="1" applyBorder="1" applyFont="1">
      <alignment horizontal="center" shrinkToFit="0" vertical="center" wrapText="0"/>
    </xf>
    <xf borderId="6" fillId="3" fontId="8" numFmtId="0" xfId="0" applyAlignment="1" applyBorder="1" applyFont="1">
      <alignment horizontal="center" readingOrder="0" shrinkToFit="0" vertical="center" wrapText="1"/>
    </xf>
    <xf borderId="0" fillId="0" fontId="20" numFmtId="3" xfId="0" applyAlignment="1" applyFont="1" applyNumberFormat="1">
      <alignment horizontal="center" shrinkToFit="0" vertical="center" wrapText="1"/>
    </xf>
    <xf borderId="7" fillId="5" fontId="21" numFmtId="0" xfId="0" applyAlignment="1" applyBorder="1" applyFill="1" applyFont="1">
      <alignment horizontal="left" readingOrder="0" shrinkToFit="0" vertical="center" wrapText="0"/>
    </xf>
    <xf borderId="8" fillId="0" fontId="11" numFmtId="0" xfId="0" applyBorder="1" applyFont="1"/>
    <xf borderId="5" fillId="5" fontId="22" numFmtId="0" xfId="0" applyAlignment="1" applyBorder="1" applyFont="1">
      <alignment vertical="center"/>
    </xf>
    <xf borderId="5" fillId="5" fontId="22" numFmtId="164" xfId="0" applyAlignment="1" applyBorder="1" applyFont="1" applyNumberFormat="1">
      <alignment horizontal="center" readingOrder="0" shrinkToFit="0" vertical="center" wrapText="1"/>
    </xf>
    <xf borderId="5" fillId="5" fontId="22" numFmtId="0" xfId="0" applyAlignment="1" applyBorder="1" applyFont="1">
      <alignment horizontal="center" readingOrder="0" shrinkToFit="0" vertical="center" wrapText="0"/>
    </xf>
    <xf borderId="5" fillId="5" fontId="23" numFmtId="0" xfId="0" applyAlignment="1" applyBorder="1" applyFont="1">
      <alignment horizontal="center" readingOrder="0" shrinkToFit="0" vertical="center" wrapText="0"/>
    </xf>
    <xf borderId="5" fillId="5" fontId="22" numFmtId="0" xfId="0" applyAlignment="1" applyBorder="1" applyFont="1">
      <alignment readingOrder="0" shrinkToFit="0" vertical="center" wrapText="1"/>
    </xf>
    <xf borderId="5" fillId="5" fontId="24" numFmtId="0" xfId="0" applyAlignment="1" applyBorder="1" applyFont="1">
      <alignment horizontal="center" readingOrder="0" shrinkToFit="0" vertical="center" wrapText="1"/>
    </xf>
    <xf borderId="5" fillId="5" fontId="10" numFmtId="3" xfId="0" applyAlignment="1" applyBorder="1" applyFont="1" applyNumberFormat="1">
      <alignment horizontal="center" readingOrder="0" shrinkToFit="0" vertical="center" wrapText="1"/>
    </xf>
    <xf borderId="5" fillId="5" fontId="10" numFmtId="3" xfId="0" applyAlignment="1" applyBorder="1" applyFont="1" applyNumberFormat="1">
      <alignment horizontal="center" shrinkToFit="0" vertical="center" wrapText="1"/>
    </xf>
    <xf borderId="5" fillId="5" fontId="10" numFmtId="3" xfId="0" applyAlignment="1" applyBorder="1" applyFont="1" applyNumberFormat="1">
      <alignment horizontal="right" shrinkToFit="0" vertical="center" wrapText="1"/>
    </xf>
    <xf borderId="6" fillId="5" fontId="10" numFmtId="3" xfId="0" applyAlignment="1" applyBorder="1" applyFont="1" applyNumberFormat="1">
      <alignment horizontal="center" shrinkToFit="0" vertical="center" wrapText="1"/>
    </xf>
    <xf borderId="5" fillId="5" fontId="25" numFmtId="0" xfId="0" applyAlignment="1" applyBorder="1" applyFont="1">
      <alignment readingOrder="0" shrinkToFit="0" vertical="center" wrapText="1"/>
    </xf>
    <xf borderId="9" fillId="0" fontId="11" numFmtId="0" xfId="0" applyBorder="1" applyFont="1"/>
    <xf borderId="0" fillId="0" fontId="26" numFmtId="0" xfId="0" applyAlignment="1" applyFont="1">
      <alignment horizontal="center" shrinkToFit="0" vertical="center" wrapText="1"/>
    </xf>
    <xf borderId="10" fillId="0" fontId="11" numFmtId="0" xfId="0" applyBorder="1" applyFont="1"/>
    <xf borderId="11" fillId="0" fontId="11" numFmtId="0" xfId="0" applyBorder="1" applyFont="1"/>
    <xf borderId="12" fillId="0" fontId="11" numFmtId="0" xfId="0" applyBorder="1" applyFont="1"/>
    <xf borderId="6" fillId="2" fontId="27" numFmtId="0" xfId="0" applyAlignment="1" applyBorder="1" applyFont="1">
      <alignment horizontal="center" readingOrder="0" shrinkToFit="0" vertical="center" wrapText="0"/>
    </xf>
    <xf borderId="6" fillId="6" fontId="27" numFmtId="0" xfId="0" applyAlignment="1" applyBorder="1" applyFill="1" applyFont="1">
      <alignment readingOrder="0" shrinkToFit="0" vertical="center" wrapText="1"/>
    </xf>
    <xf borderId="6" fillId="2" fontId="20" numFmtId="0" xfId="0" applyAlignment="1" applyBorder="1" applyFont="1">
      <alignment readingOrder="0" shrinkToFit="0" vertical="center" wrapText="1"/>
    </xf>
    <xf borderId="6" fillId="2" fontId="20" numFmtId="164" xfId="0" applyAlignment="1" applyBorder="1" applyFont="1" applyNumberFormat="1">
      <alignment horizontal="center" readingOrder="0" shrinkToFit="0" vertical="center" wrapText="1"/>
    </xf>
    <xf borderId="6" fillId="2" fontId="27" numFmtId="0" xfId="0" applyAlignment="1" applyBorder="1" applyFont="1">
      <alignment horizontal="center" readingOrder="0" vertical="center"/>
    </xf>
    <xf borderId="6" fillId="2" fontId="28" numFmtId="0" xfId="0" applyAlignment="1" applyBorder="1" applyFont="1">
      <alignment horizontal="center" readingOrder="0" shrinkToFit="0" vertical="center" wrapText="0"/>
    </xf>
    <xf borderId="6" fillId="2" fontId="20" numFmtId="0" xfId="0" applyAlignment="1" applyBorder="1" applyFont="1">
      <alignment horizontal="center" readingOrder="0" shrinkToFit="0" vertical="center" wrapText="1"/>
    </xf>
    <xf borderId="5" fillId="2" fontId="29" numFmtId="0" xfId="0" applyAlignment="1" applyBorder="1" applyFont="1">
      <alignment readingOrder="0" shrinkToFit="0" vertical="center" wrapText="1"/>
    </xf>
    <xf borderId="5" fillId="2" fontId="20" numFmtId="0" xfId="0" applyAlignment="1" applyBorder="1" applyFont="1">
      <alignment horizontal="center" readingOrder="0" shrinkToFit="0" vertical="center" wrapText="1"/>
    </xf>
    <xf borderId="5" fillId="2" fontId="27" numFmtId="3" xfId="0" applyAlignment="1" applyBorder="1" applyFont="1" applyNumberFormat="1">
      <alignment horizontal="center" readingOrder="0" shrinkToFit="0" vertical="center" wrapText="1"/>
    </xf>
    <xf borderId="5" fillId="2" fontId="27" numFmtId="3" xfId="0" applyAlignment="1" applyBorder="1" applyFont="1" applyNumberFormat="1">
      <alignment horizontal="center" shrinkToFit="0" vertical="center" wrapText="1"/>
    </xf>
    <xf borderId="5" fillId="2" fontId="27" numFmtId="3" xfId="0" applyAlignment="1" applyBorder="1" applyFont="1" applyNumberFormat="1">
      <alignment horizontal="right" shrinkToFit="0" vertical="center" wrapText="1"/>
    </xf>
    <xf borderId="6" fillId="0" fontId="20" numFmtId="3" xfId="0" applyAlignment="1" applyBorder="1" applyFont="1" applyNumberFormat="1">
      <alignment horizontal="center" shrinkToFit="0" vertical="center" wrapText="1"/>
    </xf>
    <xf borderId="6" fillId="7" fontId="27" numFmtId="0" xfId="0" applyAlignment="1" applyBorder="1" applyFill="1" applyFont="1">
      <alignment horizontal="center" readingOrder="0" vertical="center"/>
    </xf>
    <xf borderId="0" fillId="2" fontId="5" numFmtId="0" xfId="0" applyAlignment="1" applyFont="1">
      <alignment horizontal="center" readingOrder="0" shrinkToFit="0" vertical="center" wrapText="1"/>
    </xf>
    <xf borderId="5" fillId="2" fontId="20" numFmtId="0" xfId="0" applyAlignment="1" applyBorder="1" applyFont="1">
      <alignment readingOrder="0" shrinkToFit="0" vertical="center" wrapText="1"/>
    </xf>
    <xf borderId="6" fillId="6" fontId="30" numFmtId="0" xfId="0" applyAlignment="1" applyBorder="1" applyFont="1">
      <alignment readingOrder="0" vertical="center"/>
    </xf>
    <xf borderId="5" fillId="2" fontId="27" numFmtId="3" xfId="0" applyAlignment="1" applyBorder="1" applyFont="1" applyNumberFormat="1">
      <alignment horizontal="right" readingOrder="0" shrinkToFit="0" vertical="center" wrapText="1"/>
    </xf>
    <xf borderId="6" fillId="8" fontId="31" numFmtId="0" xfId="0" applyAlignment="1" applyBorder="1" applyFill="1" applyFont="1">
      <alignment readingOrder="0" shrinkToFit="0" vertical="center" wrapText="1"/>
    </xf>
    <xf borderId="6" fillId="0" fontId="32" numFmtId="3" xfId="0" applyAlignment="1" applyBorder="1" applyFont="1" applyNumberFormat="1">
      <alignment horizontal="center" shrinkToFit="0" vertical="center" wrapText="1"/>
    </xf>
    <xf borderId="6" fillId="0" fontId="20" numFmtId="3" xfId="0" applyAlignment="1" applyBorder="1" applyFont="1" applyNumberFormat="1">
      <alignment horizontal="center" readingOrder="0" shrinkToFit="0" vertical="center" wrapText="1"/>
    </xf>
    <xf borderId="6" fillId="9" fontId="27" numFmtId="0" xfId="0" applyAlignment="1" applyBorder="1" applyFill="1" applyFont="1">
      <alignment horizontal="center" readingOrder="0" vertical="center"/>
    </xf>
    <xf borderId="6" fillId="8" fontId="30" numFmtId="0" xfId="0" applyAlignment="1" applyBorder="1" applyFont="1">
      <alignment readingOrder="0" vertical="center"/>
    </xf>
    <xf borderId="6" fillId="8" fontId="27" numFmtId="0" xfId="0" applyAlignment="1" applyBorder="1" applyFont="1">
      <alignment readingOrder="0" shrinkToFit="0" vertical="center" wrapText="1"/>
    </xf>
    <xf borderId="5" fillId="0" fontId="20" numFmtId="0" xfId="0" applyAlignment="1" applyBorder="1" applyFont="1">
      <alignment horizontal="center" readingOrder="0" shrinkToFit="0" vertical="center" wrapText="1"/>
    </xf>
    <xf borderId="5" fillId="0" fontId="27" numFmtId="3" xfId="0" applyAlignment="1" applyBorder="1" applyFont="1" applyNumberFormat="1">
      <alignment horizontal="center" readingOrder="0" shrinkToFit="0" vertical="center" wrapText="1"/>
    </xf>
    <xf borderId="5" fillId="0" fontId="27" numFmtId="3" xfId="0" applyAlignment="1" applyBorder="1" applyFont="1" applyNumberFormat="1">
      <alignment horizontal="center" shrinkToFit="0" vertical="center" wrapText="1"/>
    </xf>
    <xf borderId="5" fillId="0" fontId="27" numFmtId="3" xfId="0" applyAlignment="1" applyBorder="1" applyFont="1" applyNumberFormat="1">
      <alignment horizontal="right" shrinkToFit="0" vertical="center" wrapText="1"/>
    </xf>
    <xf borderId="6" fillId="2" fontId="27" numFmtId="0" xfId="0" applyAlignment="1" applyBorder="1" applyFont="1">
      <alignment horizontal="center" readingOrder="0"/>
    </xf>
    <xf borderId="6" fillId="10" fontId="27" numFmtId="0" xfId="0" applyBorder="1" applyFill="1" applyFont="1"/>
    <xf borderId="6" fillId="0" fontId="20" numFmtId="0" xfId="0" applyAlignment="1" applyBorder="1" applyFont="1">
      <alignment shrinkToFit="0" wrapText="1"/>
    </xf>
    <xf borderId="6" fillId="2" fontId="20" numFmtId="0" xfId="0" applyAlignment="1" applyBorder="1" applyFont="1">
      <alignment horizontal="center" shrinkToFit="0" wrapText="1"/>
    </xf>
    <xf borderId="6" fillId="0" fontId="27" numFmtId="0" xfId="0" applyAlignment="1" applyBorder="1" applyFont="1">
      <alignment horizontal="center"/>
    </xf>
    <xf borderId="6" fillId="2" fontId="33" numFmtId="0" xfId="0" applyAlignment="1" applyBorder="1" applyFont="1">
      <alignment horizontal="center"/>
    </xf>
    <xf borderId="5" fillId="2" fontId="34" numFmtId="0" xfId="0" applyAlignment="1" applyBorder="1" applyFont="1">
      <alignment shrinkToFit="0" wrapText="1"/>
    </xf>
    <xf borderId="5" fillId="0" fontId="20" numFmtId="0" xfId="0" applyAlignment="1" applyBorder="1" applyFont="1">
      <alignment horizontal="center" readingOrder="0" shrinkToFit="0" wrapText="1"/>
    </xf>
    <xf borderId="5" fillId="2" fontId="27" numFmtId="3" xfId="0" applyAlignment="1" applyBorder="1" applyFont="1" applyNumberFormat="1">
      <alignment horizontal="center" shrinkToFit="0" wrapText="1"/>
    </xf>
    <xf borderId="5" fillId="0" fontId="27" numFmtId="3" xfId="0" applyAlignment="1" applyBorder="1" applyFont="1" applyNumberFormat="1">
      <alignment horizontal="center" shrinkToFit="0" wrapText="1"/>
    </xf>
    <xf borderId="5" fillId="2" fontId="27" numFmtId="3" xfId="0" applyAlignment="1" applyBorder="1" applyFont="1" applyNumberFormat="1">
      <alignment horizontal="right" readingOrder="0" shrinkToFit="0" wrapText="1"/>
    </xf>
    <xf borderId="5" fillId="0" fontId="27" numFmtId="3" xfId="0" applyAlignment="1" applyBorder="1" applyFont="1" applyNumberFormat="1">
      <alignment horizontal="right" shrinkToFit="0" wrapText="1"/>
    </xf>
    <xf borderId="5" fillId="2" fontId="27" numFmtId="3" xfId="0" applyAlignment="1" applyBorder="1" applyFont="1" applyNumberFormat="1">
      <alignment horizontal="right" shrinkToFit="0" wrapText="1"/>
    </xf>
    <xf borderId="6" fillId="2" fontId="20" numFmtId="0" xfId="0" applyAlignment="1" applyBorder="1" applyFont="1">
      <alignment readingOrder="0" shrinkToFit="0" wrapText="1"/>
    </xf>
    <xf borderId="6" fillId="0" fontId="35" numFmtId="3" xfId="0" applyBorder="1" applyFont="1" applyNumberFormat="1"/>
    <xf borderId="6" fillId="10" fontId="27" numFmtId="0" xfId="0" applyAlignment="1" applyBorder="1" applyFont="1">
      <alignment horizontal="left" readingOrder="0" shrinkToFit="0" vertical="center" wrapText="0"/>
    </xf>
    <xf borderId="6" fillId="2" fontId="36" numFmtId="0" xfId="0" applyAlignment="1" applyBorder="1" applyFont="1">
      <alignment horizontal="center" readingOrder="0" vertical="center"/>
    </xf>
    <xf borderId="6" fillId="11" fontId="27" numFmtId="0" xfId="0" applyAlignment="1" applyBorder="1" applyFill="1" applyFont="1">
      <alignment horizontal="center" readingOrder="0" shrinkToFit="0" vertical="center" wrapText="0"/>
    </xf>
    <xf borderId="6" fillId="11" fontId="27" numFmtId="0" xfId="0" applyAlignment="1" applyBorder="1" applyFont="1">
      <alignment horizontal="left" readingOrder="0" shrinkToFit="0" vertical="center" wrapText="0"/>
    </xf>
    <xf borderId="6" fillId="11" fontId="20" numFmtId="0" xfId="0" applyAlignment="1" applyBorder="1" applyFont="1">
      <alignment readingOrder="0" shrinkToFit="0" vertical="center" wrapText="1"/>
    </xf>
    <xf borderId="6" fillId="11" fontId="20" numFmtId="0" xfId="0" applyAlignment="1" applyBorder="1" applyFont="1">
      <alignment horizontal="center" readingOrder="0" shrinkToFit="0" vertical="center" wrapText="1"/>
    </xf>
    <xf borderId="6" fillId="11" fontId="27" numFmtId="0" xfId="0" applyAlignment="1" applyBorder="1" applyFont="1">
      <alignment horizontal="center" readingOrder="0" vertical="center"/>
    </xf>
    <xf borderId="6" fillId="11" fontId="37" numFmtId="0" xfId="0" applyAlignment="1" applyBorder="1" applyFont="1">
      <alignment horizontal="center" readingOrder="0" vertical="center"/>
    </xf>
    <xf borderId="5" fillId="11" fontId="38" numFmtId="0" xfId="0" applyAlignment="1" applyBorder="1" applyFont="1">
      <alignment readingOrder="0" shrinkToFit="0" vertical="center" wrapText="1"/>
    </xf>
    <xf borderId="5" fillId="11" fontId="20" numFmtId="0" xfId="0" applyAlignment="1" applyBorder="1" applyFont="1">
      <alignment horizontal="center" readingOrder="0" shrinkToFit="0" vertical="center" wrapText="1"/>
    </xf>
    <xf borderId="5" fillId="11" fontId="27" numFmtId="3" xfId="0" applyAlignment="1" applyBorder="1" applyFont="1" applyNumberFormat="1">
      <alignment horizontal="center" readingOrder="0" shrinkToFit="0" vertical="center" wrapText="1"/>
    </xf>
    <xf borderId="5" fillId="11" fontId="27" numFmtId="3" xfId="0" applyAlignment="1" applyBorder="1" applyFont="1" applyNumberFormat="1">
      <alignment horizontal="center" shrinkToFit="0" vertical="center" wrapText="1"/>
    </xf>
    <xf borderId="5" fillId="11" fontId="27" numFmtId="3" xfId="0" applyAlignment="1" applyBorder="1" applyFont="1" applyNumberFormat="1">
      <alignment horizontal="right" shrinkToFit="0" vertical="center" wrapText="1"/>
    </xf>
    <xf borderId="6" fillId="11" fontId="20" numFmtId="3" xfId="0" applyAlignment="1" applyBorder="1" applyFont="1" applyNumberFormat="1">
      <alignment horizontal="center" readingOrder="0" shrinkToFit="0" vertical="center" wrapText="1"/>
    </xf>
    <xf borderId="6" fillId="11" fontId="20" numFmtId="3" xfId="0" applyAlignment="1" applyBorder="1" applyFont="1" applyNumberFormat="1">
      <alignment horizontal="center" shrinkToFit="0" vertical="center" wrapText="1"/>
    </xf>
    <xf borderId="0" fillId="11" fontId="5" numFmtId="0" xfId="0" applyAlignment="1" applyFont="1">
      <alignment horizontal="center" readingOrder="0" shrinkToFit="0" vertical="center" wrapText="1"/>
    </xf>
    <xf borderId="5" fillId="11" fontId="20" numFmtId="0" xfId="0" applyAlignment="1" applyBorder="1" applyFont="1">
      <alignment readingOrder="0" shrinkToFit="0" vertical="center" wrapText="1"/>
    </xf>
    <xf borderId="5" fillId="5" fontId="39" numFmtId="10" xfId="0" applyAlignment="1" applyBorder="1" applyFont="1" applyNumberFormat="1">
      <alignment shrinkToFit="0" vertical="center" wrapText="1"/>
    </xf>
    <xf borderId="5" fillId="12" fontId="27" numFmtId="0" xfId="0" applyAlignment="1" applyBorder="1" applyFill="1" applyFont="1">
      <alignment horizontal="center" readingOrder="0" shrinkToFit="0" vertical="center" wrapText="0"/>
    </xf>
    <xf borderId="5" fillId="12" fontId="31" numFmtId="0" xfId="0" applyAlignment="1" applyBorder="1" applyFont="1">
      <alignment readingOrder="0" shrinkToFit="0" vertical="center" wrapText="1"/>
    </xf>
    <xf borderId="5" fillId="12" fontId="20" numFmtId="0" xfId="0" applyAlignment="1" applyBorder="1" applyFont="1">
      <alignment readingOrder="0" shrinkToFit="0" vertical="center" wrapText="1"/>
    </xf>
    <xf borderId="5" fillId="12" fontId="20" numFmtId="164" xfId="0" applyAlignment="1" applyBorder="1" applyFont="1" applyNumberFormat="1">
      <alignment horizontal="center" readingOrder="0" shrinkToFit="0" vertical="center" wrapText="1"/>
    </xf>
    <xf borderId="5" fillId="12" fontId="27" numFmtId="0" xfId="0" applyAlignment="1" applyBorder="1" applyFont="1">
      <alignment horizontal="center" readingOrder="0" vertical="center"/>
    </xf>
    <xf borderId="5" fillId="12" fontId="40" numFmtId="0" xfId="0" applyAlignment="1" applyBorder="1" applyFont="1">
      <alignment horizontal="center" readingOrder="0" shrinkToFit="0" vertical="center" wrapText="0"/>
    </xf>
    <xf borderId="5" fillId="12" fontId="20" numFmtId="0" xfId="0" applyAlignment="1" applyBorder="1" applyFont="1">
      <alignment horizontal="center" readingOrder="0" shrinkToFit="0" vertical="center" wrapText="1"/>
    </xf>
    <xf borderId="5" fillId="12" fontId="20" numFmtId="0" xfId="0" applyAlignment="1" applyBorder="1" applyFont="1">
      <alignment horizontal="center" readingOrder="0" shrinkToFit="0" vertical="center" wrapText="1"/>
    </xf>
    <xf borderId="5" fillId="12" fontId="27" numFmtId="3" xfId="0" applyAlignment="1" applyBorder="1" applyFont="1" applyNumberFormat="1">
      <alignment horizontal="center" readingOrder="0" shrinkToFit="0" vertical="center" wrapText="1"/>
    </xf>
    <xf borderId="5" fillId="12" fontId="27" numFmtId="3" xfId="0" applyAlignment="1" applyBorder="1" applyFont="1" applyNumberFormat="1">
      <alignment horizontal="center" shrinkToFit="0" vertical="center" wrapText="1"/>
    </xf>
    <xf borderId="5" fillId="12" fontId="27" numFmtId="3" xfId="0" applyAlignment="1" applyBorder="1" applyFont="1" applyNumberFormat="1">
      <alignment horizontal="right" shrinkToFit="0" vertical="center" wrapText="1"/>
    </xf>
    <xf borderId="5" fillId="12" fontId="20" numFmtId="3" xfId="0" applyAlignment="1" applyBorder="1" applyFont="1" applyNumberFormat="1">
      <alignment horizontal="center" shrinkToFit="0" vertical="center" wrapText="1"/>
    </xf>
    <xf borderId="0" fillId="12" fontId="5" numFmtId="0" xfId="0" applyAlignment="1" applyFont="1">
      <alignment horizontal="center" readingOrder="0" shrinkToFit="0" vertical="center" wrapText="1"/>
    </xf>
    <xf borderId="6" fillId="6" fontId="31" numFmtId="0" xfId="0" applyAlignment="1" applyBorder="1" applyFont="1">
      <alignment readingOrder="0" shrinkToFit="0" vertical="center" wrapText="1"/>
    </xf>
    <xf borderId="6" fillId="10" fontId="30" numFmtId="0" xfId="0" applyAlignment="1" applyBorder="1" applyFont="1">
      <alignment readingOrder="0" vertical="center"/>
    </xf>
    <xf borderId="6" fillId="13" fontId="27" numFmtId="0" xfId="0" applyAlignment="1" applyBorder="1" applyFill="1" applyFont="1">
      <alignment horizontal="center" readingOrder="0" vertical="center"/>
    </xf>
    <xf borderId="6" fillId="10" fontId="31" numFmtId="0" xfId="0" applyAlignment="1" applyBorder="1" applyFont="1">
      <alignment readingOrder="0" shrinkToFit="0" vertical="center" wrapText="1"/>
    </xf>
    <xf borderId="6" fillId="2" fontId="30" numFmtId="0" xfId="0" applyAlignment="1" applyBorder="1" applyFont="1">
      <alignment readingOrder="0" vertical="center"/>
    </xf>
    <xf borderId="6" fillId="2" fontId="31" numFmtId="0" xfId="0" applyAlignment="1" applyBorder="1" applyFont="1">
      <alignment readingOrder="0" shrinkToFit="0" vertical="center" wrapText="1"/>
    </xf>
    <xf borderId="6" fillId="9" fontId="27" numFmtId="0" xfId="0" applyAlignment="1" applyBorder="1" applyFont="1">
      <alignment horizontal="center" vertical="center"/>
    </xf>
    <xf borderId="6" fillId="2" fontId="27" numFmtId="0" xfId="0" applyAlignment="1" applyBorder="1" applyFont="1">
      <alignment readingOrder="0" shrinkToFit="0" vertical="center" wrapText="1"/>
    </xf>
    <xf borderId="6" fillId="2" fontId="40" numFmtId="0" xfId="0" applyAlignment="1" applyBorder="1" applyFont="1">
      <alignment horizontal="center" readingOrder="0" shrinkToFit="0" vertical="center" wrapText="0"/>
    </xf>
    <xf borderId="7" fillId="5" fontId="41" numFmtId="0" xfId="0" applyAlignment="1" applyBorder="1" applyFont="1">
      <alignment horizontal="left" readingOrder="0" shrinkToFit="0" vertical="center" wrapText="0"/>
    </xf>
    <xf borderId="5" fillId="0" fontId="27" numFmtId="0" xfId="0" applyAlignment="1" applyBorder="1" applyFont="1">
      <alignment horizontal="center" readingOrder="0" shrinkToFit="0" vertical="center" wrapText="0"/>
    </xf>
    <xf borderId="5" fillId="0" fontId="31" numFmtId="0" xfId="0" applyAlignment="1" applyBorder="1" applyFont="1">
      <alignment readingOrder="0" shrinkToFit="0" vertical="center" wrapText="1"/>
    </xf>
    <xf borderId="5" fillId="0" fontId="20" numFmtId="0" xfId="0" applyAlignment="1" applyBorder="1" applyFont="1">
      <alignment readingOrder="0" shrinkToFit="0" vertical="center" wrapText="1"/>
    </xf>
    <xf borderId="5" fillId="0" fontId="20" numFmtId="164" xfId="0" applyAlignment="1" applyBorder="1" applyFont="1" applyNumberFormat="1">
      <alignment horizontal="center" readingOrder="0" shrinkToFit="0" vertical="center" wrapText="1"/>
    </xf>
    <xf borderId="5" fillId="0" fontId="20" numFmtId="0" xfId="0" applyAlignment="1" applyBorder="1" applyFont="1">
      <alignment horizontal="center" readingOrder="0" vertical="center"/>
    </xf>
    <xf borderId="5" fillId="0" fontId="42" numFmtId="0" xfId="0" applyAlignment="1" applyBorder="1" applyFont="1">
      <alignment horizontal="center" readingOrder="0" shrinkToFit="0" vertical="center" wrapText="0"/>
    </xf>
    <xf borderId="5" fillId="2" fontId="20" numFmtId="0" xfId="0" applyAlignment="1" applyBorder="1" applyFont="1">
      <alignment horizontal="center" readingOrder="0" shrinkToFit="0" vertical="center" wrapText="1"/>
    </xf>
    <xf borderId="5" fillId="0" fontId="20" numFmtId="0" xfId="0" applyAlignment="1" applyBorder="1" applyFont="1">
      <alignment readingOrder="0" shrinkToFit="0" vertical="center" wrapText="1"/>
    </xf>
    <xf borderId="5" fillId="0" fontId="20" numFmtId="0" xfId="0" applyAlignment="1" applyBorder="1" applyFont="1">
      <alignment horizontal="left" readingOrder="0" shrinkToFit="0" vertical="center" wrapText="1"/>
    </xf>
    <xf borderId="5" fillId="0" fontId="35" numFmtId="0" xfId="0" applyAlignment="1" applyBorder="1" applyFont="1">
      <alignment horizontal="center" vertical="center"/>
    </xf>
    <xf borderId="5" fillId="7" fontId="27" numFmtId="0" xfId="0" applyAlignment="1" applyBorder="1" applyFont="1">
      <alignment horizontal="center" readingOrder="0" vertical="center"/>
    </xf>
    <xf borderId="0" fillId="0" fontId="5" numFmtId="0" xfId="0" applyAlignment="1" applyFont="1">
      <alignment horizontal="center" readingOrder="0" shrinkToFit="0" vertical="center" wrapText="0"/>
    </xf>
    <xf borderId="5" fillId="2" fontId="35" numFmtId="0" xfId="0" applyAlignment="1" applyBorder="1" applyFont="1">
      <alignment horizontal="center" vertical="center"/>
    </xf>
    <xf borderId="0" fillId="2" fontId="5" numFmtId="0" xfId="0" applyAlignment="1" applyFont="1">
      <alignment horizontal="center" readingOrder="0" shrinkToFit="0" vertical="center" wrapText="0"/>
    </xf>
    <xf borderId="5" fillId="0" fontId="31" numFmtId="0" xfId="0" applyAlignment="1" applyBorder="1" applyFont="1">
      <alignment readingOrder="0" shrinkToFit="0" vertical="center" wrapText="1"/>
    </xf>
    <xf borderId="13" fillId="5" fontId="43" numFmtId="0" xfId="0" applyAlignment="1" applyBorder="1" applyFont="1">
      <alignment vertical="center"/>
    </xf>
    <xf borderId="14" fillId="5" fontId="35" numFmtId="0" xfId="0" applyAlignment="1" applyBorder="1" applyFont="1">
      <alignment vertical="center"/>
    </xf>
    <xf borderId="15" fillId="5" fontId="35" numFmtId="0" xfId="0" applyAlignment="1" applyBorder="1" applyFont="1">
      <alignment vertical="center"/>
    </xf>
    <xf borderId="15" fillId="5" fontId="35" numFmtId="164" xfId="0" applyAlignment="1" applyBorder="1" applyFont="1" applyNumberFormat="1">
      <alignment vertical="center"/>
    </xf>
    <xf borderId="15" fillId="5" fontId="44" numFmtId="0" xfId="0" applyAlignment="1" applyBorder="1" applyFont="1">
      <alignment vertical="center"/>
    </xf>
    <xf borderId="15" fillId="5" fontId="44" numFmtId="3" xfId="0" applyAlignment="1" applyBorder="1" applyFont="1" applyNumberFormat="1">
      <alignment vertical="center"/>
    </xf>
    <xf borderId="15" fillId="5" fontId="10" numFmtId="3" xfId="0" applyAlignment="1" applyBorder="1" applyFont="1" applyNumberFormat="1">
      <alignment horizontal="center" shrinkToFit="0" vertical="center" wrapText="1"/>
    </xf>
    <xf borderId="15" fillId="5" fontId="10" numFmtId="3" xfId="0" applyAlignment="1" applyBorder="1" applyFont="1" applyNumberFormat="1">
      <alignment horizontal="right" shrinkToFit="0" vertical="center" wrapText="1"/>
    </xf>
    <xf borderId="16" fillId="5" fontId="35" numFmtId="10" xfId="0" applyAlignment="1" applyBorder="1" applyFont="1" applyNumberFormat="1">
      <alignment shrinkToFit="0" vertical="center" wrapText="1"/>
    </xf>
    <xf borderId="0" fillId="0" fontId="35" numFmtId="0" xfId="0" applyAlignment="1" applyFont="1">
      <alignment vertical="center"/>
    </xf>
    <xf borderId="17" fillId="0" fontId="27" numFmtId="0" xfId="0" applyAlignment="1" applyBorder="1" applyFont="1">
      <alignment horizontal="center" readingOrder="0" shrinkToFit="0" vertical="center" wrapText="0"/>
    </xf>
    <xf borderId="18" fillId="14" fontId="13" numFmtId="0" xfId="0" applyAlignment="1" applyBorder="1" applyFill="1" applyFont="1">
      <alignment shrinkToFit="0" vertical="center" wrapText="1"/>
    </xf>
    <xf borderId="19" fillId="0" fontId="2" numFmtId="0" xfId="0" applyAlignment="1" applyBorder="1" applyFont="1">
      <alignment readingOrder="0" shrinkToFit="0" vertical="center" wrapText="1"/>
    </xf>
    <xf borderId="20" fillId="0" fontId="11" numFmtId="0" xfId="0" applyBorder="1" applyFont="1"/>
    <xf borderId="21" fillId="0" fontId="11" numFmtId="0" xfId="0" applyBorder="1" applyFont="1"/>
    <xf borderId="18" fillId="0" fontId="2" numFmtId="0" xfId="0" applyAlignment="1" applyBorder="1" applyFont="1">
      <alignment horizontal="center" readingOrder="0" shrinkToFit="0" vertical="center" wrapText="1"/>
    </xf>
    <xf borderId="18" fillId="0" fontId="13" numFmtId="3" xfId="0" applyAlignment="1" applyBorder="1" applyFont="1" applyNumberFormat="1">
      <alignment horizontal="center" shrinkToFit="0" vertical="center" wrapText="1"/>
    </xf>
    <xf borderId="18" fillId="0" fontId="13" numFmtId="3" xfId="0" applyAlignment="1" applyBorder="1" applyFont="1" applyNumberFormat="1">
      <alignment horizontal="center" readingOrder="0" shrinkToFit="0" vertical="center" wrapText="1"/>
    </xf>
    <xf borderId="18" fillId="0" fontId="35" numFmtId="3" xfId="0" applyAlignment="1" applyBorder="1" applyFont="1" applyNumberFormat="1">
      <alignment vertical="center"/>
    </xf>
    <xf borderId="18" fillId="0" fontId="13" numFmtId="3" xfId="0" applyAlignment="1" applyBorder="1" applyFont="1" applyNumberFormat="1">
      <alignment horizontal="right" vertical="center"/>
    </xf>
    <xf borderId="18" fillId="0" fontId="13" numFmtId="3" xfId="0" applyAlignment="1" applyBorder="1" applyFont="1" applyNumberFormat="1">
      <alignment horizontal="right" shrinkToFit="0" vertical="center" wrapText="1"/>
    </xf>
    <xf borderId="22" fillId="0" fontId="20" numFmtId="0" xfId="0" applyAlignment="1" applyBorder="1" applyFont="1">
      <alignment horizontal="left" readingOrder="0" shrinkToFit="0" vertical="center" wrapText="1"/>
    </xf>
    <xf borderId="23" fillId="15" fontId="7" numFmtId="0" xfId="0" applyAlignment="1" applyBorder="1" applyFill="1" applyFont="1">
      <alignment horizontal="left" shrinkToFit="0" vertical="center" wrapText="0"/>
    </xf>
    <xf borderId="24" fillId="15" fontId="7" numFmtId="0" xfId="0" applyAlignment="1" applyBorder="1" applyFont="1">
      <alignment horizontal="center" shrinkToFit="0" vertical="center" wrapText="1"/>
    </xf>
    <xf borderId="24" fillId="15" fontId="45" numFmtId="0" xfId="0" applyAlignment="1" applyBorder="1" applyFont="1">
      <alignment horizontal="left" shrinkToFit="0" vertical="center" wrapText="0"/>
    </xf>
    <xf borderId="24" fillId="15" fontId="7" numFmtId="0" xfId="0" applyAlignment="1" applyBorder="1" applyFont="1">
      <alignment horizontal="center" readingOrder="0" shrinkToFit="0" vertical="center" wrapText="0"/>
    </xf>
    <xf borderId="24" fillId="15" fontId="7" numFmtId="3" xfId="0" applyAlignment="1" applyBorder="1" applyFont="1" applyNumberFormat="1">
      <alignment horizontal="right" shrinkToFit="0" vertical="center" wrapText="1"/>
    </xf>
    <xf borderId="24" fillId="15" fontId="7" numFmtId="1" xfId="0" applyAlignment="1" applyBorder="1" applyFont="1" applyNumberFormat="1">
      <alignment horizontal="center" shrinkToFit="0" vertical="center" wrapText="1"/>
    </xf>
    <xf borderId="25" fillId="15" fontId="4" numFmtId="0" xfId="0" applyAlignment="1" applyBorder="1" applyFont="1">
      <alignment shrinkToFit="0" vertical="center" wrapText="1"/>
    </xf>
    <xf borderId="24" fillId="15" fontId="7" numFmtId="9" xfId="0" applyAlignment="1" applyBorder="1" applyFont="1" applyNumberFormat="1">
      <alignment horizontal="right" readingOrder="0" shrinkToFit="0" vertical="center" wrapText="1"/>
    </xf>
    <xf borderId="26" fillId="15" fontId="7" numFmtId="0" xfId="0" applyAlignment="1" applyBorder="1" applyFont="1">
      <alignment horizontal="left" shrinkToFit="0" vertical="center" wrapText="0"/>
    </xf>
    <xf borderId="27" fillId="15" fontId="7" numFmtId="0" xfId="0" applyAlignment="1" applyBorder="1" applyFont="1">
      <alignment horizontal="center" shrinkToFit="0" vertical="center" wrapText="1"/>
    </xf>
    <xf borderId="27" fillId="15" fontId="45" numFmtId="0" xfId="0" applyAlignment="1" applyBorder="1" applyFont="1">
      <alignment horizontal="left" shrinkToFit="0" vertical="center" wrapText="0"/>
    </xf>
    <xf borderId="27" fillId="15" fontId="7" numFmtId="0" xfId="0" applyAlignment="1" applyBorder="1" applyFont="1">
      <alignment horizontal="center" readingOrder="0" shrinkToFit="0" vertical="center" wrapText="0"/>
    </xf>
    <xf borderId="27" fillId="15" fontId="7" numFmtId="9" xfId="0" applyAlignment="1" applyBorder="1" applyFont="1" applyNumberFormat="1">
      <alignment horizontal="right" readingOrder="0" shrinkToFit="0" vertical="center" wrapText="1"/>
    </xf>
    <xf borderId="27" fillId="15" fontId="7" numFmtId="3" xfId="0" applyAlignment="1" applyBorder="1" applyFont="1" applyNumberFormat="1">
      <alignment horizontal="right" shrinkToFit="0" vertical="center" wrapText="1"/>
    </xf>
    <xf borderId="28" fillId="15" fontId="4" numFmtId="0" xfId="0" applyAlignment="1" applyBorder="1" applyFont="1">
      <alignment shrinkToFit="0" vertical="center" wrapText="1"/>
    </xf>
    <xf borderId="29" fillId="15" fontId="7" numFmtId="0" xfId="0" applyAlignment="1" applyBorder="1" applyFont="1">
      <alignment horizontal="left" shrinkToFit="0" vertical="center" wrapText="0"/>
    </xf>
    <xf borderId="30" fillId="15" fontId="7" numFmtId="0" xfId="0" applyAlignment="1" applyBorder="1" applyFont="1">
      <alignment horizontal="center" shrinkToFit="0" vertical="center" wrapText="1"/>
    </xf>
    <xf borderId="30" fillId="15" fontId="45" numFmtId="0" xfId="0" applyAlignment="1" applyBorder="1" applyFont="1">
      <alignment horizontal="left" shrinkToFit="0" vertical="center" wrapText="0"/>
    </xf>
    <xf borderId="30" fillId="15" fontId="7" numFmtId="0" xfId="0" applyAlignment="1" applyBorder="1" applyFont="1">
      <alignment horizontal="center" readingOrder="0" shrinkToFit="0" vertical="center" wrapText="0"/>
    </xf>
    <xf borderId="30" fillId="15" fontId="2" numFmtId="9" xfId="0" applyAlignment="1" applyBorder="1" applyFont="1" applyNumberFormat="1">
      <alignment vertical="center"/>
    </xf>
    <xf borderId="30" fillId="15" fontId="7" numFmtId="3" xfId="0" applyAlignment="1" applyBorder="1" applyFont="1" applyNumberFormat="1">
      <alignment horizontal="right" shrinkToFit="0" vertical="center" wrapText="1"/>
    </xf>
    <xf borderId="31" fillId="15" fontId="4" numFmtId="0" xfId="0" applyAlignment="1" applyBorder="1" applyFont="1">
      <alignment shrinkToFit="0" vertical="center" wrapText="1"/>
    </xf>
    <xf borderId="0" fillId="0" fontId="26" numFmtId="0" xfId="0" applyAlignment="1" applyFont="1">
      <alignment shrinkToFit="0" wrapText="1"/>
    </xf>
    <xf borderId="0" fillId="2" fontId="2" numFmtId="0" xfId="0" applyAlignment="1" applyFont="1">
      <alignment horizontal="left" shrinkToFit="0" vertical="center" wrapText="0"/>
    </xf>
    <xf borderId="0" fillId="2" fontId="2" numFmtId="0" xfId="0" applyAlignment="1" applyFont="1">
      <alignment vertical="center"/>
    </xf>
    <xf borderId="0" fillId="2" fontId="2" numFmtId="164" xfId="0" applyAlignment="1" applyFont="1" applyNumberFormat="1">
      <alignment vertical="center"/>
    </xf>
    <xf borderId="0" fillId="2" fontId="3" numFmtId="0" xfId="0" applyAlignment="1" applyFont="1">
      <alignment horizontal="left" shrinkToFit="0" vertical="center" wrapText="0"/>
    </xf>
    <xf borderId="0" fillId="2" fontId="2" numFmtId="3" xfId="0" applyAlignment="1" applyFont="1" applyNumberFormat="1">
      <alignment vertical="center"/>
    </xf>
    <xf borderId="0" fillId="2" fontId="2" numFmtId="3" xfId="0" applyAlignment="1" applyFont="1" applyNumberFormat="1">
      <alignment horizontal="center" vertical="center"/>
    </xf>
    <xf borderId="0" fillId="2" fontId="4"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readingOrder="0" vertical="center"/>
    </xf>
    <xf borderId="0" fillId="0" fontId="2" numFmtId="3" xfId="0" applyAlignment="1" applyFont="1" applyNumberFormat="1">
      <alignment horizontal="center" shrinkToFit="0" vertical="center" wrapText="1"/>
    </xf>
    <xf borderId="32" fillId="0" fontId="1" numFmtId="0" xfId="0" applyAlignment="1" applyBorder="1" applyFont="1">
      <alignment vertical="center"/>
    </xf>
    <xf borderId="32" fillId="0" fontId="20" numFmtId="0" xfId="0" applyAlignment="1" applyBorder="1" applyFont="1">
      <alignment vertical="center"/>
    </xf>
    <xf borderId="32" fillId="8" fontId="46" numFmtId="0" xfId="0" applyAlignment="1" applyBorder="1" applyFont="1">
      <alignment horizontal="center" vertical="center"/>
    </xf>
    <xf borderId="32" fillId="6" fontId="20" numFmtId="0" xfId="0" applyAlignment="1" applyBorder="1" applyFont="1">
      <alignment vertical="center"/>
    </xf>
    <xf borderId="32" fillId="6" fontId="47" numFmtId="0" xfId="0" applyAlignment="1" applyBorder="1" applyFont="1">
      <alignment horizontal="center" shrinkToFit="0" vertical="center" wrapText="1"/>
    </xf>
    <xf borderId="32" fillId="16" fontId="20" numFmtId="0" xfId="0" applyAlignment="1" applyBorder="1" applyFill="1" applyFont="1">
      <alignment vertical="center"/>
    </xf>
    <xf borderId="33" fillId="16" fontId="35" numFmtId="0" xfId="0" applyAlignment="1" applyBorder="1" applyFont="1">
      <alignment vertical="center"/>
    </xf>
    <xf borderId="32" fillId="16" fontId="47" numFmtId="0" xfId="0" applyAlignment="1" applyBorder="1" applyFont="1">
      <alignment horizontal="center" vertical="center"/>
    </xf>
    <xf borderId="32" fillId="0" fontId="20" numFmtId="0" xfId="0" applyAlignment="1" applyBorder="1" applyFont="1">
      <alignment vertical="center"/>
    </xf>
    <xf borderId="32" fillId="0" fontId="20" numFmtId="0" xfId="0" applyAlignment="1" applyBorder="1" applyFont="1">
      <alignment shrinkToFit="0" vertical="center" wrapText="1"/>
    </xf>
    <xf borderId="32" fillId="0" fontId="34" numFmtId="0" xfId="0" applyAlignment="1" applyBorder="1" applyFont="1">
      <alignment vertical="center"/>
    </xf>
    <xf borderId="32" fillId="0" fontId="35" numFmtId="0" xfId="0" applyAlignment="1" applyBorder="1" applyFont="1">
      <alignment vertical="center"/>
    </xf>
    <xf borderId="32" fillId="0" fontId="34" numFmtId="0" xfId="0" applyAlignment="1" applyBorder="1" applyFont="1">
      <alignment shrinkToFit="0" vertical="center" wrapText="0"/>
    </xf>
    <xf borderId="32" fillId="0" fontId="34" numFmtId="0" xfId="0" applyAlignment="1" applyBorder="1" applyFont="1">
      <alignment shrinkToFit="0" vertical="center" wrapText="0"/>
    </xf>
    <xf borderId="32" fillId="0" fontId="34" numFmtId="0" xfId="0" applyAlignment="1" applyBorder="1" applyFont="1">
      <alignment vertical="center"/>
    </xf>
    <xf borderId="32" fillId="0" fontId="20" numFmtId="0" xfId="0" applyAlignment="1" applyBorder="1" applyFont="1">
      <alignment vertical="center"/>
    </xf>
    <xf borderId="32" fillId="12" fontId="20" numFmtId="0" xfId="0" applyAlignment="1" applyBorder="1" applyFont="1">
      <alignment vertical="center"/>
    </xf>
    <xf borderId="32" fillId="12" fontId="48" numFmtId="0" xfId="0" applyAlignment="1" applyBorder="1" applyFont="1">
      <alignment horizontal="center" shrinkToFit="0" vertical="center" wrapText="1"/>
    </xf>
    <xf borderId="32" fillId="12" fontId="49" numFmtId="0" xfId="0" applyAlignment="1" applyBorder="1" applyFont="1">
      <alignment horizontal="center" shrinkToFit="0" vertical="center" wrapText="1"/>
    </xf>
    <xf borderId="32" fillId="12" fontId="48" numFmtId="0" xfId="0" applyAlignment="1" applyBorder="1" applyFont="1">
      <alignment horizontal="center" shrinkToFit="0" vertical="center" wrapText="1"/>
    </xf>
    <xf borderId="32" fillId="0" fontId="48" numFmtId="0" xfId="0" applyAlignment="1" applyBorder="1" applyFont="1">
      <alignment horizontal="center" shrinkToFit="0" vertical="center" wrapText="1"/>
    </xf>
    <xf borderId="32" fillId="12" fontId="15" numFmtId="0" xfId="0" applyAlignment="1" applyBorder="1" applyFont="1">
      <alignment horizontal="center" shrinkToFit="0" vertical="center" wrapText="1"/>
    </xf>
    <xf borderId="32" fillId="12" fontId="48" numFmtId="0" xfId="0" applyAlignment="1" applyBorder="1" applyFont="1">
      <alignment horizontal="center" shrinkToFit="0" vertical="center" wrapText="0"/>
    </xf>
    <xf borderId="32" fillId="3" fontId="8" numFmtId="0" xfId="0" applyAlignment="1" applyBorder="1" applyFont="1">
      <alignment horizontal="center" vertical="center"/>
    </xf>
    <xf borderId="32" fillId="3" fontId="8" numFmtId="0" xfId="0" applyAlignment="1" applyBorder="1" applyFont="1">
      <alignment horizontal="center" readingOrder="0" shrinkToFit="0" vertical="center" wrapText="1"/>
    </xf>
    <xf borderId="32" fillId="3" fontId="8" numFmtId="0" xfId="0" applyAlignment="1" applyBorder="1" applyFont="1">
      <alignment horizontal="center" shrinkToFit="0" vertical="center" wrapText="1"/>
    </xf>
    <xf borderId="32" fillId="3" fontId="8" numFmtId="0" xfId="0" applyAlignment="1" applyBorder="1" applyFont="1">
      <alignment horizontal="center" shrinkToFit="0" vertical="center" wrapText="1"/>
    </xf>
    <xf borderId="32" fillId="3" fontId="8" numFmtId="0" xfId="0" applyAlignment="1" applyBorder="1" applyFont="1">
      <alignment horizontal="center" shrinkToFit="0" vertical="center" wrapText="0"/>
    </xf>
    <xf borderId="32" fillId="3" fontId="8" numFmtId="0" xfId="0" applyAlignment="1" applyBorder="1" applyFont="1">
      <alignment horizontal="center" shrinkToFit="0" vertical="center" wrapText="0"/>
    </xf>
    <xf borderId="32" fillId="3" fontId="8" numFmtId="0" xfId="0" applyAlignment="1" applyBorder="1" applyFont="1">
      <alignment horizontal="center" shrinkToFit="0" vertical="center" wrapText="1"/>
    </xf>
    <xf borderId="32" fillId="3" fontId="8" numFmtId="0" xfId="0" applyAlignment="1" applyBorder="1" applyFont="1">
      <alignment horizontal="center" readingOrder="0" shrinkToFit="0" vertical="center" wrapText="1"/>
    </xf>
    <xf borderId="32" fillId="3" fontId="7" numFmtId="0" xfId="0" applyAlignment="1" applyBorder="1" applyFont="1">
      <alignment horizontal="center" shrinkToFit="0" vertical="center" wrapText="1"/>
    </xf>
    <xf borderId="32" fillId="3" fontId="8" numFmtId="0" xfId="0" applyAlignment="1" applyBorder="1" applyFont="1">
      <alignment horizontal="center" shrinkToFit="0" vertical="center" wrapText="0"/>
    </xf>
    <xf borderId="32" fillId="3" fontId="50" numFmtId="0" xfId="0" applyAlignment="1" applyBorder="1" applyFont="1">
      <alignment vertical="center"/>
    </xf>
    <xf borderId="32" fillId="3" fontId="50" numFmtId="0" xfId="0" applyAlignment="1" applyBorder="1" applyFont="1">
      <alignment vertical="center"/>
    </xf>
    <xf borderId="32" fillId="5" fontId="21" numFmtId="0" xfId="0" applyAlignment="1" applyBorder="1" applyFont="1">
      <alignment vertical="center"/>
    </xf>
    <xf borderId="32" fillId="5" fontId="20" numFmtId="0" xfId="0" applyAlignment="1" applyBorder="1" applyFont="1">
      <alignment vertical="center"/>
    </xf>
    <xf borderId="32" fillId="5" fontId="34" numFmtId="0" xfId="0" applyAlignment="1" applyBorder="1" applyFont="1">
      <alignment vertical="center"/>
    </xf>
    <xf borderId="32" fillId="5" fontId="20" numFmtId="0" xfId="0" applyAlignment="1" applyBorder="1" applyFont="1">
      <alignment shrinkToFit="0" vertical="center" wrapText="1"/>
    </xf>
    <xf borderId="32" fillId="5" fontId="35" numFmtId="0" xfId="0" applyAlignment="1" applyBorder="1" applyFont="1">
      <alignment vertical="center"/>
    </xf>
    <xf borderId="32" fillId="5" fontId="20" numFmtId="0" xfId="0" applyAlignment="1" applyBorder="1" applyFont="1">
      <alignment vertical="center"/>
    </xf>
    <xf borderId="32" fillId="5" fontId="20" numFmtId="0" xfId="0" applyAlignment="1" applyBorder="1" applyFont="1">
      <alignment shrinkToFit="0" vertical="center" wrapText="0"/>
    </xf>
    <xf borderId="34" fillId="17" fontId="27" numFmtId="0" xfId="0" applyAlignment="1" applyBorder="1" applyFill="1" applyFont="1">
      <alignment horizontal="center" vertical="center"/>
    </xf>
    <xf borderId="35" fillId="8" fontId="27" numFmtId="0" xfId="0" applyAlignment="1" applyBorder="1" applyFont="1">
      <alignment shrinkToFit="0" vertical="center" wrapText="1"/>
    </xf>
    <xf borderId="35" fillId="0" fontId="20" numFmtId="0" xfId="0" applyAlignment="1" applyBorder="1" applyFont="1">
      <alignment shrinkToFit="0" vertical="center" wrapText="1"/>
    </xf>
    <xf borderId="35" fillId="2" fontId="20" numFmtId="164" xfId="0" applyAlignment="1" applyBorder="1" applyFont="1" applyNumberFormat="1">
      <alignment horizontal="center" shrinkToFit="0" vertical="center" wrapText="1"/>
    </xf>
    <xf borderId="35" fillId="0" fontId="27" numFmtId="0" xfId="0" applyAlignment="1" applyBorder="1" applyFont="1">
      <alignment horizontal="center" vertical="center"/>
    </xf>
    <xf borderId="35" fillId="2" fontId="51" numFmtId="0" xfId="0" applyAlignment="1" applyBorder="1" applyFont="1">
      <alignment horizontal="center" shrinkToFit="0" vertical="center" wrapText="0"/>
    </xf>
    <xf borderId="35" fillId="2" fontId="20" numFmtId="0" xfId="0" applyAlignment="1" applyBorder="1" applyFont="1">
      <alignment horizontal="center" shrinkToFit="0" vertical="center" wrapText="1"/>
    </xf>
    <xf borderId="36" fillId="2" fontId="34" numFmtId="0" xfId="0" applyAlignment="1" applyBorder="1" applyFont="1">
      <alignment shrinkToFit="0" vertical="center" wrapText="1"/>
    </xf>
    <xf borderId="32" fillId="2" fontId="20" numFmtId="0" xfId="0" applyAlignment="1" applyBorder="1" applyFont="1">
      <alignment shrinkToFit="0" vertical="center" wrapText="1"/>
    </xf>
    <xf borderId="32" fillId="18" fontId="20" numFmtId="0" xfId="0" applyAlignment="1" applyBorder="1" applyFill="1" applyFont="1">
      <alignment readingOrder="0" shrinkToFit="0" vertical="center" wrapText="1"/>
    </xf>
    <xf borderId="32" fillId="2" fontId="20" numFmtId="0" xfId="0" applyAlignment="1" applyBorder="1" applyFont="1">
      <alignment vertical="center"/>
    </xf>
    <xf borderId="32" fillId="0" fontId="27" numFmtId="0" xfId="0" applyAlignment="1" applyBorder="1" applyFont="1">
      <alignment horizontal="center" shrinkToFit="0" vertical="center" wrapText="1"/>
    </xf>
    <xf borderId="32" fillId="2" fontId="52" numFmtId="0" xfId="0" applyAlignment="1" applyBorder="1" applyFont="1">
      <alignment horizontal="center" shrinkToFit="0" vertical="center" wrapText="1"/>
    </xf>
    <xf borderId="32" fillId="2" fontId="53" numFmtId="0" xfId="0" applyAlignment="1" applyBorder="1" applyFont="1">
      <alignment horizontal="center" shrinkToFit="0" vertical="center" wrapText="1"/>
    </xf>
    <xf borderId="32" fillId="6" fontId="54" numFmtId="0" xfId="0" applyAlignment="1" applyBorder="1" applyFont="1">
      <alignment horizontal="center" readingOrder="0" shrinkToFit="0" vertical="center" wrapText="1"/>
    </xf>
    <xf borderId="32" fillId="2" fontId="53" numFmtId="0" xfId="0" applyAlignment="1" applyBorder="1" applyFont="1">
      <alignment horizontal="center" readingOrder="0" shrinkToFit="0" vertical="center" wrapText="1"/>
    </xf>
    <xf borderId="32" fillId="6" fontId="20" numFmtId="0" xfId="0" applyAlignment="1" applyBorder="1" applyFont="1">
      <alignment readingOrder="0" shrinkToFit="0" vertical="center" wrapText="1"/>
    </xf>
    <xf borderId="32" fillId="0" fontId="55" numFmtId="0" xfId="0" applyAlignment="1" applyBorder="1" applyFont="1">
      <alignment horizontal="center" readingOrder="0" shrinkToFit="0" vertical="center" wrapText="1"/>
    </xf>
    <xf borderId="32" fillId="0" fontId="56" numFmtId="0" xfId="0" applyAlignment="1" applyBorder="1" applyFont="1">
      <alignment horizontal="center" shrinkToFit="0" vertical="center" wrapText="1"/>
    </xf>
    <xf borderId="32" fillId="0" fontId="20" numFmtId="0" xfId="0" applyAlignment="1" applyBorder="1" applyFont="1">
      <alignment horizontal="center" readingOrder="0" shrinkToFit="0" vertical="center" wrapText="1"/>
    </xf>
    <xf borderId="32" fillId="0" fontId="35" numFmtId="0" xfId="0" applyAlignment="1" applyBorder="1" applyFont="1">
      <alignment readingOrder="0" shrinkToFit="0" vertical="center" wrapText="1"/>
    </xf>
    <xf borderId="32" fillId="18" fontId="27" numFmtId="0" xfId="0" applyAlignment="1" applyBorder="1" applyFont="1">
      <alignment horizontal="center" shrinkToFit="0" vertical="center" wrapText="1"/>
    </xf>
    <xf borderId="32" fillId="0" fontId="53" numFmtId="0" xfId="0" applyAlignment="1" applyBorder="1" applyFont="1">
      <alignment horizontal="center" readingOrder="0" shrinkToFit="0" vertical="center" wrapText="1"/>
    </xf>
    <xf borderId="32" fillId="2" fontId="57" numFmtId="165" xfId="0" applyAlignment="1" applyBorder="1" applyFont="1" applyNumberFormat="1">
      <alignment horizontal="center" readingOrder="0" vertical="center"/>
    </xf>
    <xf borderId="32" fillId="2" fontId="58" numFmtId="0" xfId="0" applyAlignment="1" applyBorder="1" applyFont="1">
      <alignment horizontal="center" readingOrder="0" shrinkToFit="0" vertical="center" wrapText="0"/>
    </xf>
    <xf borderId="32" fillId="2" fontId="27" numFmtId="0" xfId="0" applyAlignment="1" applyBorder="1" applyFont="1">
      <alignment horizontal="center" vertical="center"/>
    </xf>
    <xf borderId="33" fillId="0" fontId="27" numFmtId="0" xfId="0" applyAlignment="1" applyBorder="1" applyFont="1">
      <alignment vertical="center"/>
    </xf>
    <xf borderId="32" fillId="0" fontId="20" numFmtId="0" xfId="0" applyAlignment="1" applyBorder="1" applyFont="1">
      <alignment shrinkToFit="0" vertical="center" wrapText="1"/>
    </xf>
    <xf borderId="32" fillId="2" fontId="20" numFmtId="164" xfId="0" applyAlignment="1" applyBorder="1" applyFont="1" applyNumberFormat="1">
      <alignment horizontal="center" shrinkToFit="0" vertical="center" wrapText="1"/>
    </xf>
    <xf borderId="32" fillId="0" fontId="27" numFmtId="0" xfId="0" applyAlignment="1" applyBorder="1" applyFont="1">
      <alignment horizontal="center" vertical="center"/>
    </xf>
    <xf borderId="32" fillId="2" fontId="59" numFmtId="0" xfId="0" applyAlignment="1" applyBorder="1" applyFont="1">
      <alignment horizontal="center" shrinkToFit="0" vertical="center" wrapText="0"/>
    </xf>
    <xf borderId="32" fillId="2" fontId="20" numFmtId="0" xfId="0" applyAlignment="1" applyBorder="1" applyFont="1">
      <alignment horizontal="center" shrinkToFit="0" vertical="center" wrapText="1"/>
    </xf>
    <xf borderId="32" fillId="2" fontId="34" numFmtId="0" xfId="0" applyAlignment="1" applyBorder="1" applyFont="1">
      <alignment shrinkToFit="0" vertical="center" wrapText="1"/>
    </xf>
    <xf borderId="32" fillId="0" fontId="27" numFmtId="0" xfId="0" applyAlignment="1" applyBorder="1" applyFont="1">
      <alignment horizontal="center" readingOrder="0" shrinkToFit="0" vertical="center" wrapText="1"/>
    </xf>
    <xf borderId="32" fillId="6" fontId="20" numFmtId="0" xfId="0" applyAlignment="1" applyBorder="1" applyFont="1">
      <alignment shrinkToFit="0" vertical="center" wrapText="1"/>
    </xf>
    <xf borderId="32" fillId="0" fontId="60" numFmtId="0" xfId="0" applyAlignment="1" applyBorder="1" applyFont="1">
      <alignment horizontal="center" readingOrder="0" shrinkToFit="0" vertical="center" wrapText="1"/>
    </xf>
    <xf borderId="32" fillId="0" fontId="53" numFmtId="0" xfId="0" applyAlignment="1" applyBorder="1" applyFont="1">
      <alignment horizontal="center" readingOrder="0" shrinkToFit="0" vertical="center" wrapText="0"/>
    </xf>
    <xf borderId="32" fillId="2" fontId="13" numFmtId="0" xfId="0" applyAlignment="1" applyBorder="1" applyFont="1">
      <alignment horizontal="center" vertical="center"/>
    </xf>
    <xf borderId="32" fillId="2" fontId="53" numFmtId="0" xfId="0" applyAlignment="1" applyBorder="1" applyFont="1">
      <alignment horizontal="center" readingOrder="0" shrinkToFit="0" vertical="center" wrapText="0"/>
    </xf>
    <xf borderId="32" fillId="2" fontId="20" numFmtId="0" xfId="0" applyAlignment="1" applyBorder="1" applyFont="1">
      <alignment vertical="center"/>
    </xf>
    <xf borderId="32" fillId="17" fontId="27" numFmtId="0" xfId="0" applyAlignment="1" applyBorder="1" applyFont="1">
      <alignment horizontal="center" vertical="center"/>
    </xf>
    <xf borderId="33" fillId="6" fontId="27" numFmtId="0" xfId="0" applyAlignment="1" applyBorder="1" applyFont="1">
      <alignment vertical="center"/>
    </xf>
    <xf borderId="32" fillId="2" fontId="20" numFmtId="0" xfId="0" applyAlignment="1" applyBorder="1" applyFont="1">
      <alignment readingOrder="0" shrinkToFit="0" vertical="center" wrapText="1"/>
    </xf>
    <xf borderId="32" fillId="0" fontId="61" numFmtId="0" xfId="0" applyAlignment="1" applyBorder="1" applyFont="1">
      <alignment horizontal="center" readingOrder="0" shrinkToFit="0" vertical="center" wrapText="1"/>
    </xf>
    <xf borderId="32" fillId="0" fontId="62" numFmtId="0" xfId="0" applyAlignment="1" applyBorder="1" applyFont="1">
      <alignment horizontal="center" shrinkToFit="0" vertical="center" wrapText="1"/>
    </xf>
    <xf borderId="32" fillId="0" fontId="63" numFmtId="0" xfId="0" applyAlignment="1" applyBorder="1" applyFont="1">
      <alignment horizontal="center" readingOrder="0" shrinkToFit="0" vertical="center" wrapText="1"/>
    </xf>
    <xf borderId="32" fillId="0" fontId="34" numFmtId="0" xfId="0" applyAlignment="1" applyBorder="1" applyFont="1">
      <alignment horizontal="center" readingOrder="0" shrinkToFit="0" vertical="center" wrapText="1"/>
    </xf>
    <xf borderId="32" fillId="0" fontId="64" numFmtId="0" xfId="0" applyAlignment="1" applyBorder="1" applyFont="1">
      <alignment horizontal="center" readingOrder="0" shrinkToFit="0" vertical="center" wrapText="0"/>
    </xf>
    <xf borderId="32" fillId="0" fontId="20" numFmtId="0" xfId="0" applyAlignment="1" applyBorder="1" applyFont="1">
      <alignment horizontal="center" shrinkToFit="0" vertical="center" wrapText="1"/>
    </xf>
    <xf borderId="32" fillId="2" fontId="13" numFmtId="165" xfId="0" applyAlignment="1" applyBorder="1" applyFont="1" applyNumberFormat="1">
      <alignment horizontal="center" vertical="center"/>
    </xf>
    <xf borderId="32" fillId="2" fontId="65" numFmtId="0" xfId="0" applyAlignment="1" applyBorder="1" applyFont="1">
      <alignment horizontal="center" readingOrder="0" shrinkToFit="0" vertical="center" wrapText="0"/>
    </xf>
    <xf borderId="32" fillId="2" fontId="34" numFmtId="0" xfId="0" applyAlignment="1" applyBorder="1" applyFont="1">
      <alignment vertical="center"/>
    </xf>
    <xf borderId="32" fillId="6" fontId="20" numFmtId="0" xfId="0" applyAlignment="1" applyBorder="1" applyFont="1">
      <alignment horizontal="center" readingOrder="0" shrinkToFit="0" vertical="center" wrapText="1"/>
    </xf>
    <xf borderId="32" fillId="0" fontId="66" numFmtId="0" xfId="0" applyAlignment="1" applyBorder="1" applyFont="1">
      <alignment horizontal="center" readingOrder="0" shrinkToFit="0" vertical="center" wrapText="1"/>
    </xf>
    <xf borderId="32" fillId="0" fontId="67" numFmtId="0" xfId="0" applyAlignment="1" applyBorder="1" applyFont="1">
      <alignment horizontal="center" shrinkToFit="0" vertical="center" wrapText="1"/>
    </xf>
    <xf borderId="32" fillId="2" fontId="53" numFmtId="0" xfId="0" applyAlignment="1" applyBorder="1" applyFont="1">
      <alignment horizontal="center" readingOrder="0" shrinkToFit="0" vertical="center" wrapText="0"/>
    </xf>
    <xf borderId="32" fillId="0" fontId="68" numFmtId="0" xfId="0" applyAlignment="1" applyBorder="1" applyFont="1">
      <alignment readingOrder="0" shrinkToFit="0" vertical="center" wrapText="1"/>
    </xf>
    <xf borderId="32" fillId="2" fontId="13" numFmtId="165" xfId="0" applyAlignment="1" applyBorder="1" applyFont="1" applyNumberFormat="1">
      <alignment horizontal="center" readingOrder="0" vertical="center"/>
    </xf>
    <xf borderId="33" fillId="6" fontId="27" numFmtId="0" xfId="0" applyAlignment="1" applyBorder="1" applyFont="1">
      <alignment shrinkToFit="0" vertical="center" wrapText="1"/>
    </xf>
    <xf borderId="0" fillId="0" fontId="20" numFmtId="0" xfId="0" applyAlignment="1" applyFont="1">
      <alignment horizontal="center" readingOrder="0" shrinkToFit="0" vertical="center" wrapText="1"/>
    </xf>
    <xf borderId="32" fillId="2" fontId="34" numFmtId="0" xfId="0" applyAlignment="1" applyBorder="1" applyFont="1">
      <alignment horizontal="center" readingOrder="0" shrinkToFit="0" vertical="center" wrapText="1"/>
    </xf>
    <xf borderId="32" fillId="2" fontId="69" numFmtId="0" xfId="0" applyAlignment="1" applyBorder="1" applyFont="1">
      <alignment horizontal="center" readingOrder="0" shrinkToFit="0" vertical="center" wrapText="0"/>
    </xf>
    <xf borderId="33" fillId="8" fontId="27" numFmtId="0" xfId="0" applyAlignment="1" applyBorder="1" applyFont="1">
      <alignment shrinkToFit="0" vertical="center" wrapText="1"/>
    </xf>
    <xf borderId="32" fillId="9" fontId="20" numFmtId="0" xfId="0" applyAlignment="1" applyBorder="1" applyFont="1">
      <alignment vertical="center"/>
    </xf>
    <xf borderId="32" fillId="6" fontId="53" numFmtId="0" xfId="0" applyAlignment="1" applyBorder="1" applyFont="1">
      <alignment horizontal="center" readingOrder="0" shrinkToFit="0" vertical="center" wrapText="1"/>
    </xf>
    <xf borderId="32" fillId="8" fontId="20" numFmtId="0" xfId="0" applyAlignment="1" applyBorder="1" applyFont="1">
      <alignment readingOrder="0" shrinkToFit="0" vertical="center" wrapText="1"/>
    </xf>
    <xf borderId="32" fillId="19" fontId="2" numFmtId="0" xfId="0" applyAlignment="1" applyBorder="1" applyFill="1" applyFont="1">
      <alignment readingOrder="0" vertical="center"/>
    </xf>
    <xf borderId="32" fillId="20" fontId="70" numFmtId="0" xfId="0" applyAlignment="1" applyBorder="1" applyFill="1" applyFont="1">
      <alignment horizontal="center" readingOrder="0" shrinkToFit="0" vertical="center" wrapText="1"/>
    </xf>
    <xf borderId="32" fillId="2" fontId="35" numFmtId="0" xfId="0" applyAlignment="1" applyBorder="1" applyFont="1">
      <alignment vertical="center"/>
    </xf>
    <xf borderId="32" fillId="0" fontId="35" numFmtId="0" xfId="0" applyAlignment="1" applyBorder="1" applyFont="1">
      <alignment vertical="center"/>
    </xf>
    <xf borderId="32" fillId="19" fontId="2" numFmtId="0" xfId="0" applyAlignment="1" applyBorder="1" applyFont="1">
      <alignment readingOrder="0" shrinkToFit="0" vertical="center" wrapText="1"/>
    </xf>
    <xf borderId="32" fillId="0" fontId="57" numFmtId="0" xfId="0" applyAlignment="1" applyBorder="1" applyFont="1">
      <alignment horizontal="center" readingOrder="0" vertical="center"/>
    </xf>
    <xf borderId="32" fillId="2" fontId="27" numFmtId="0" xfId="0" applyAlignment="1" applyBorder="1" applyFont="1">
      <alignment horizontal="center" readingOrder="0" vertical="center"/>
    </xf>
    <xf borderId="33" fillId="10" fontId="27" numFmtId="0" xfId="0" applyAlignment="1" applyBorder="1" applyFont="1">
      <alignment shrinkToFit="0" vertical="center" wrapText="1"/>
    </xf>
    <xf borderId="32" fillId="2" fontId="71" numFmtId="0" xfId="0" applyAlignment="1" applyBorder="1" applyFont="1">
      <alignment horizontal="center" vertical="center"/>
    </xf>
    <xf borderId="32" fillId="2" fontId="72" numFmtId="0" xfId="0" applyAlignment="1" applyBorder="1" applyFont="1">
      <alignment shrinkToFit="0" vertical="center" wrapText="1"/>
    </xf>
    <xf borderId="32" fillId="21" fontId="73" numFmtId="0" xfId="0" applyAlignment="1" applyBorder="1" applyFill="1" applyFont="1">
      <alignment shrinkToFit="0" vertical="center" wrapText="1"/>
    </xf>
    <xf borderId="32" fillId="2" fontId="40" numFmtId="0" xfId="0" applyAlignment="1" applyBorder="1" applyFont="1">
      <alignment shrinkToFit="0" vertical="center" wrapText="1"/>
    </xf>
    <xf borderId="32" fillId="6" fontId="74" numFmtId="0" xfId="0" applyAlignment="1" applyBorder="1" applyFont="1">
      <alignment horizontal="center" shrinkToFit="0" vertical="center" wrapText="1"/>
    </xf>
    <xf borderId="32" fillId="2" fontId="53" numFmtId="0" xfId="0" applyAlignment="1" applyBorder="1" applyFont="1">
      <alignment horizontal="center" shrinkToFit="0" vertical="center" wrapText="1"/>
    </xf>
    <xf borderId="2" fillId="0" fontId="75" numFmtId="0" xfId="0" applyAlignment="1" applyBorder="1" applyFont="1">
      <alignment horizontal="center" shrinkToFit="0" vertical="center" wrapText="1"/>
    </xf>
    <xf borderId="32" fillId="21" fontId="13" numFmtId="0" xfId="0" applyAlignment="1" applyBorder="1" applyFont="1">
      <alignment horizontal="center" vertical="center"/>
    </xf>
    <xf borderId="0" fillId="0" fontId="13" numFmtId="0" xfId="0" applyAlignment="1" applyFont="1">
      <alignment horizontal="center" vertical="center"/>
    </xf>
    <xf borderId="2" fillId="0" fontId="76" numFmtId="0" xfId="0" applyAlignment="1" applyBorder="1" applyFont="1">
      <alignment horizontal="center" shrinkToFit="0" vertical="center" wrapText="1"/>
    </xf>
    <xf borderId="32" fillId="19" fontId="2" numFmtId="0" xfId="0" applyAlignment="1" applyBorder="1" applyFont="1">
      <alignment shrinkToFit="0" vertical="center" wrapText="1"/>
    </xf>
    <xf borderId="32" fillId="2" fontId="68" numFmtId="0" xfId="0" applyAlignment="1" applyBorder="1" applyFont="1">
      <alignment readingOrder="0" vertical="center"/>
    </xf>
    <xf borderId="32" fillId="10" fontId="27" numFmtId="0" xfId="0" applyAlignment="1" applyBorder="1" applyFont="1">
      <alignment readingOrder="0" vertical="center"/>
    </xf>
    <xf borderId="0" fillId="2" fontId="20" numFmtId="0" xfId="0" applyAlignment="1" applyFont="1">
      <alignment vertical="center"/>
    </xf>
    <xf borderId="0" fillId="0" fontId="20" numFmtId="0" xfId="0" applyAlignment="1" applyFont="1">
      <alignment vertical="center"/>
    </xf>
    <xf borderId="0" fillId="2" fontId="34" numFmtId="0" xfId="0" applyAlignment="1" applyFont="1">
      <alignment shrinkToFit="0" vertical="center" wrapText="1"/>
    </xf>
    <xf borderId="2" fillId="21" fontId="73" numFmtId="0" xfId="0" applyAlignment="1" applyBorder="1" applyFont="1">
      <alignment horizontal="left" readingOrder="0" shrinkToFit="0" vertical="center" wrapText="0"/>
    </xf>
    <xf borderId="32" fillId="0" fontId="35" numFmtId="0" xfId="0" applyAlignment="1" applyBorder="1" applyFont="1">
      <alignment readingOrder="0" vertical="center"/>
    </xf>
    <xf borderId="32" fillId="2" fontId="77" numFmtId="0" xfId="0" applyAlignment="1" applyBorder="1" applyFont="1">
      <alignment horizontal="center" readingOrder="0" shrinkToFit="0" vertical="center" wrapText="1"/>
    </xf>
    <xf borderId="2" fillId="0" fontId="78" numFmtId="3" xfId="0" applyAlignment="1" applyBorder="1" applyFont="1" applyNumberFormat="1">
      <alignment horizontal="center" readingOrder="0" shrinkToFit="0" vertical="center" wrapText="1"/>
    </xf>
    <xf borderId="32" fillId="19" fontId="20" numFmtId="0" xfId="0" applyAlignment="1" applyBorder="1" applyFont="1">
      <alignment readingOrder="0" shrinkToFit="0" vertical="center" wrapText="1"/>
    </xf>
    <xf borderId="32" fillId="20" fontId="79" numFmtId="0" xfId="0" applyAlignment="1" applyBorder="1" applyFont="1">
      <alignment horizontal="center" shrinkToFit="0" vertical="center" wrapText="1"/>
    </xf>
    <xf borderId="32" fillId="19" fontId="2" numFmtId="0" xfId="0" applyAlignment="1" applyBorder="1" applyFont="1">
      <alignment vertical="center"/>
    </xf>
    <xf borderId="32" fillId="5" fontId="20" numFmtId="0" xfId="0" applyAlignment="1" applyBorder="1" applyFont="1">
      <alignment shrinkToFit="0" vertical="center" wrapText="1"/>
    </xf>
    <xf borderId="32" fillId="12" fontId="27" numFmtId="0" xfId="0" applyAlignment="1" applyBorder="1" applyFont="1">
      <alignment horizontal="center" vertical="center"/>
    </xf>
    <xf borderId="32" fillId="12" fontId="27" numFmtId="0" xfId="0" applyAlignment="1" applyBorder="1" applyFont="1">
      <alignment shrinkToFit="0" vertical="center" wrapText="1"/>
    </xf>
    <xf borderId="32" fillId="12" fontId="20" numFmtId="0" xfId="0" applyAlignment="1" applyBorder="1" applyFont="1">
      <alignment vertical="center"/>
    </xf>
    <xf borderId="32" fillId="12" fontId="20" numFmtId="164" xfId="0" applyAlignment="1" applyBorder="1" applyFont="1" applyNumberFormat="1">
      <alignment vertical="center"/>
    </xf>
    <xf borderId="32" fillId="12" fontId="34" numFmtId="0" xfId="0" applyAlignment="1" applyBorder="1" applyFont="1">
      <alignment vertical="center"/>
    </xf>
    <xf borderId="32" fillId="12" fontId="20" numFmtId="0" xfId="0" applyAlignment="1" applyBorder="1" applyFont="1">
      <alignment shrinkToFit="0" vertical="center" wrapText="1"/>
    </xf>
    <xf borderId="32" fillId="12" fontId="35" numFmtId="0" xfId="0" applyAlignment="1" applyBorder="1" applyFont="1">
      <alignment vertical="center"/>
    </xf>
    <xf borderId="32" fillId="12" fontId="80" numFmtId="0" xfId="0" applyAlignment="1" applyBorder="1" applyFont="1">
      <alignment horizontal="center" shrinkToFit="0" vertical="center" wrapText="1"/>
    </xf>
    <xf borderId="32" fillId="12" fontId="53" numFmtId="0" xfId="0" applyAlignment="1" applyBorder="1" applyFont="1">
      <alignment horizontal="center" shrinkToFit="0" vertical="center" wrapText="1"/>
    </xf>
    <xf borderId="32" fillId="12" fontId="81" numFmtId="0" xfId="0" applyAlignment="1" applyBorder="1" applyFont="1">
      <alignment horizontal="center" shrinkToFit="0" vertical="center" wrapText="0"/>
    </xf>
    <xf borderId="32" fillId="18" fontId="73" numFmtId="0" xfId="0" applyAlignment="1" applyBorder="1" applyFont="1">
      <alignment readingOrder="0" shrinkToFit="0" vertical="center" wrapText="1"/>
    </xf>
    <xf borderId="32" fillId="0" fontId="13" numFmtId="0" xfId="0" applyAlignment="1" applyBorder="1" applyFont="1">
      <alignment horizontal="center" vertical="center"/>
    </xf>
    <xf borderId="34" fillId="2" fontId="27" numFmtId="0" xfId="0" applyAlignment="1" applyBorder="1" applyFont="1">
      <alignment horizontal="center" vertical="center"/>
    </xf>
    <xf borderId="35" fillId="8" fontId="27" numFmtId="0" xfId="0" applyAlignment="1" applyBorder="1" applyFont="1">
      <alignment vertical="center"/>
    </xf>
    <xf borderId="32" fillId="19" fontId="20" numFmtId="0" xfId="0" applyAlignment="1" applyBorder="1" applyFont="1">
      <alignment vertical="center"/>
    </xf>
    <xf borderId="32" fillId="21" fontId="20" numFmtId="0" xfId="0" applyAlignment="1" applyBorder="1" applyFont="1">
      <alignment readingOrder="0" shrinkToFit="0" vertical="center" wrapText="1"/>
    </xf>
    <xf borderId="32" fillId="19" fontId="82" numFmtId="0" xfId="0" applyAlignment="1" applyBorder="1" applyFont="1">
      <alignment horizontal="center" readingOrder="0" shrinkToFit="0" vertical="center" wrapText="1"/>
    </xf>
    <xf borderId="32" fillId="22" fontId="83" numFmtId="0" xfId="0" applyAlignment="1" applyBorder="1" applyFill="1" applyFont="1">
      <alignment horizontal="center" readingOrder="0" shrinkToFit="0" vertical="center" wrapText="1"/>
    </xf>
    <xf borderId="32" fillId="8" fontId="27" numFmtId="0" xfId="0" applyAlignment="1" applyBorder="1" applyFont="1">
      <alignment shrinkToFit="0" vertical="center" wrapText="1"/>
    </xf>
    <xf borderId="32" fillId="21" fontId="27" numFmtId="0" xfId="0" applyAlignment="1" applyBorder="1" applyFont="1">
      <alignment horizontal="center" shrinkToFit="0" vertical="center" wrapText="1"/>
    </xf>
    <xf borderId="0" fillId="0" fontId="27" numFmtId="0" xfId="0" applyAlignment="1" applyFont="1">
      <alignment horizontal="center" shrinkToFit="0" vertical="center" wrapText="1"/>
    </xf>
    <xf borderId="0" fillId="0" fontId="5" numFmtId="0" xfId="0" applyAlignment="1" applyFont="1">
      <alignment readingOrder="0" shrinkToFit="0" vertical="center" wrapText="0"/>
    </xf>
    <xf borderId="32" fillId="21" fontId="2" numFmtId="0" xfId="0" applyAlignment="1" applyBorder="1" applyFont="1">
      <alignment readingOrder="0" vertical="center"/>
    </xf>
    <xf borderId="32" fillId="0" fontId="20" numFmtId="0" xfId="0" applyAlignment="1" applyBorder="1" applyFont="1">
      <alignment readingOrder="0" shrinkToFit="0" vertical="center" wrapText="0"/>
    </xf>
    <xf borderId="32" fillId="0" fontId="20" numFmtId="0" xfId="0" applyAlignment="1" applyBorder="1" applyFont="1">
      <alignment readingOrder="0" shrinkToFit="0" vertical="center" wrapText="1"/>
    </xf>
    <xf borderId="32" fillId="21" fontId="20" numFmtId="0" xfId="0" applyAlignment="1" applyBorder="1" applyFont="1">
      <alignment horizontal="center" shrinkToFit="0" vertical="center" wrapText="1"/>
    </xf>
    <xf borderId="32" fillId="18" fontId="20" numFmtId="0" xfId="0" applyAlignment="1" applyBorder="1" applyFont="1">
      <alignment horizontal="left" readingOrder="0" shrinkToFit="0" vertical="center" wrapText="1"/>
    </xf>
    <xf borderId="32" fillId="2" fontId="40" numFmtId="0" xfId="0" applyAlignment="1" applyBorder="1" applyFont="1">
      <alignment horizontal="left" readingOrder="0" shrinkToFit="0" vertical="center" wrapText="1"/>
    </xf>
    <xf borderId="33" fillId="10" fontId="27" numFmtId="0" xfId="0" applyAlignment="1" applyBorder="1" applyFont="1">
      <alignment vertical="center"/>
    </xf>
    <xf borderId="32" fillId="6" fontId="84" numFmtId="0" xfId="0" applyAlignment="1" applyBorder="1" applyFont="1">
      <alignment horizontal="center" shrinkToFit="0" vertical="center" wrapText="1"/>
    </xf>
    <xf borderId="2" fillId="0" fontId="85" numFmtId="0" xfId="0" applyAlignment="1" applyBorder="1" applyFont="1">
      <alignment horizontal="center" readingOrder="0" shrinkToFit="0" vertical="center" wrapText="1"/>
    </xf>
    <xf borderId="32" fillId="0" fontId="76" numFmtId="0" xfId="0" applyAlignment="1" applyBorder="1" applyFont="1">
      <alignment horizontal="center" readingOrder="0" shrinkToFit="0" vertical="center" wrapText="0"/>
    </xf>
    <xf borderId="32" fillId="21" fontId="27" numFmtId="0" xfId="0" applyAlignment="1" applyBorder="1" applyFont="1">
      <alignment horizontal="center" vertical="center"/>
    </xf>
    <xf borderId="32" fillId="0" fontId="86" numFmtId="0" xfId="0" applyAlignment="1" applyBorder="1" applyFont="1">
      <alignment horizontal="left" readingOrder="0" shrinkToFit="0" vertical="center" wrapText="1"/>
    </xf>
    <xf borderId="32" fillId="12" fontId="27" numFmtId="0" xfId="0" applyAlignment="1" applyBorder="1" applyFont="1">
      <alignment horizontal="center"/>
    </xf>
    <xf borderId="33" fillId="12" fontId="27" numFmtId="0" xfId="0" applyAlignment="1" applyBorder="1" applyFont="1">
      <alignment shrinkToFit="0" wrapText="1"/>
    </xf>
    <xf borderId="32" fillId="23" fontId="87" numFmtId="0" xfId="0" applyAlignment="1" applyBorder="1" applyFill="1" applyFont="1">
      <alignment readingOrder="0" shrinkToFit="0" vertical="center" wrapText="1"/>
    </xf>
    <xf borderId="32" fillId="9" fontId="68" numFmtId="0" xfId="0" applyAlignment="1" applyBorder="1" applyFont="1">
      <alignment readingOrder="0" shrinkToFit="0" vertical="center" wrapText="1"/>
    </xf>
    <xf borderId="33" fillId="8" fontId="27" numFmtId="0" xfId="0" applyAlignment="1" applyBorder="1" applyFont="1">
      <alignment vertical="center"/>
    </xf>
    <xf borderId="32" fillId="18" fontId="88" numFmtId="0" xfId="0" applyAlignment="1" applyBorder="1" applyFont="1">
      <alignment readingOrder="0" shrinkToFit="0" vertical="center" wrapText="1"/>
    </xf>
    <xf borderId="32" fillId="6" fontId="53" numFmtId="0" xfId="0" applyAlignment="1" applyBorder="1" applyFont="1">
      <alignment horizontal="center" shrinkToFit="0" vertical="center" wrapText="1"/>
    </xf>
    <xf borderId="32" fillId="2" fontId="27" numFmtId="0" xfId="0" applyAlignment="1" applyBorder="1" applyFont="1">
      <alignment readingOrder="0" shrinkToFit="0" vertical="center" wrapText="1"/>
    </xf>
    <xf borderId="32" fillId="2" fontId="89" numFmtId="0" xfId="0" applyAlignment="1" applyBorder="1" applyFont="1">
      <alignment horizontal="center" readingOrder="0" shrinkToFit="0" vertical="center" wrapText="1"/>
    </xf>
    <xf borderId="32" fillId="11" fontId="27" numFmtId="0" xfId="0" applyAlignment="1" applyBorder="1" applyFont="1">
      <alignment horizontal="center" shrinkToFit="0" vertical="center" wrapText="1"/>
    </xf>
    <xf borderId="2" fillId="0" fontId="90" numFmtId="0" xfId="0" applyAlignment="1" applyBorder="1" applyFont="1">
      <alignment horizontal="center" readingOrder="0" shrinkToFit="0" vertical="center" wrapText="1"/>
    </xf>
    <xf borderId="32" fillId="18" fontId="91" numFmtId="0" xfId="0" applyAlignment="1" applyBorder="1" applyFont="1">
      <alignment shrinkToFit="0" vertical="center" wrapText="1"/>
    </xf>
    <xf borderId="32" fillId="0" fontId="53" numFmtId="0" xfId="0" applyAlignment="1" applyBorder="1" applyFont="1">
      <alignment horizontal="center" shrinkToFit="0" vertical="center" wrapText="1"/>
    </xf>
    <xf borderId="33" fillId="10" fontId="27" numFmtId="0" xfId="0" applyAlignment="1" applyBorder="1" applyFont="1">
      <alignment readingOrder="0" vertical="center"/>
    </xf>
    <xf borderId="32" fillId="2" fontId="20" numFmtId="0" xfId="0" applyAlignment="1" applyBorder="1" applyFont="1">
      <alignment horizontal="center" readingOrder="0" shrinkToFit="0" vertical="center" wrapText="1"/>
    </xf>
    <xf borderId="32" fillId="2" fontId="34" numFmtId="0" xfId="0" applyAlignment="1" applyBorder="1" applyFont="1">
      <alignment readingOrder="0" shrinkToFit="0" vertical="center" wrapText="1"/>
    </xf>
    <xf borderId="32" fillId="19" fontId="20" numFmtId="0" xfId="0" applyAlignment="1" applyBorder="1" applyFont="1">
      <alignment horizontal="left" readingOrder="0" shrinkToFit="0" vertical="center" wrapText="1"/>
    </xf>
    <xf borderId="32" fillId="22" fontId="20" numFmtId="0" xfId="0" applyAlignment="1" applyBorder="1" applyFont="1">
      <alignment vertical="center"/>
    </xf>
    <xf borderId="33" fillId="8" fontId="92" numFmtId="0" xfId="0" applyAlignment="1" applyBorder="1" applyFont="1">
      <alignment shrinkToFit="0" vertical="center" wrapText="1"/>
    </xf>
    <xf borderId="32" fillId="0" fontId="35" numFmtId="0" xfId="0" applyAlignment="1" applyBorder="1" applyFont="1">
      <alignment shrinkToFit="0" vertical="center" wrapText="1"/>
    </xf>
    <xf borderId="32" fillId="18" fontId="20" numFmtId="0" xfId="0" applyAlignment="1" applyBorder="1" applyFont="1">
      <alignment horizontal="center" shrinkToFit="0" vertical="center" wrapText="1"/>
    </xf>
    <xf borderId="32" fillId="18" fontId="20" numFmtId="0" xfId="0" applyAlignment="1" applyBorder="1" applyFont="1">
      <alignment shrinkToFit="0" vertical="center" wrapText="1"/>
    </xf>
    <xf borderId="32" fillId="0" fontId="68" numFmtId="0" xfId="0" applyAlignment="1" applyBorder="1" applyFont="1">
      <alignment shrinkToFit="0" vertical="center" wrapText="1"/>
    </xf>
    <xf borderId="33" fillId="8" fontId="93" numFmtId="0" xfId="0" applyAlignment="1" applyBorder="1" applyFont="1">
      <alignment vertical="center"/>
    </xf>
    <xf borderId="32" fillId="2" fontId="20" numFmtId="0" xfId="0" applyAlignment="1" applyBorder="1" applyFont="1">
      <alignment horizontal="center" shrinkToFit="0" vertical="center" wrapText="0"/>
    </xf>
    <xf borderId="32" fillId="12" fontId="27" numFmtId="0" xfId="0" applyAlignment="1" applyBorder="1" applyFont="1">
      <alignment shrinkToFit="0" wrapText="1"/>
    </xf>
    <xf borderId="32" fillId="6" fontId="94" numFmtId="0" xfId="0" applyAlignment="1" applyBorder="1" applyFont="1">
      <alignment horizontal="center" readingOrder="0" shrinkToFit="0" vertical="center" wrapText="1"/>
    </xf>
    <xf borderId="32" fillId="2" fontId="57" numFmtId="0" xfId="0" applyAlignment="1" applyBorder="1" applyFont="1">
      <alignment horizontal="center" readingOrder="0" vertical="center"/>
    </xf>
    <xf borderId="32" fillId="24" fontId="43" numFmtId="0" xfId="0" applyAlignment="1" applyBorder="1" applyFill="1" applyFont="1">
      <alignment vertical="center"/>
    </xf>
    <xf borderId="32" fillId="24" fontId="20" numFmtId="0" xfId="0" applyAlignment="1" applyBorder="1" applyFont="1">
      <alignment vertical="center"/>
    </xf>
    <xf borderId="32" fillId="24" fontId="34" numFmtId="0" xfId="0" applyAlignment="1" applyBorder="1" applyFont="1">
      <alignment vertical="center"/>
    </xf>
    <xf borderId="32" fillId="24" fontId="20" numFmtId="0" xfId="0" applyAlignment="1" applyBorder="1" applyFont="1">
      <alignment shrinkToFit="0" vertical="center" wrapText="1"/>
    </xf>
    <xf borderId="32" fillId="24" fontId="95" numFmtId="0" xfId="0" applyAlignment="1" applyBorder="1" applyFont="1">
      <alignment horizontal="center" shrinkToFit="0" vertical="center" wrapText="1"/>
    </xf>
    <xf borderId="32" fillId="24" fontId="53" numFmtId="0" xfId="0" applyAlignment="1" applyBorder="1" applyFont="1">
      <alignment horizontal="center" shrinkToFit="0" vertical="center" wrapText="1"/>
    </xf>
    <xf borderId="32" fillId="24" fontId="96" numFmtId="0" xfId="0" applyAlignment="1" applyBorder="1" applyFont="1">
      <alignment horizontal="center" shrinkToFit="0" vertical="center" wrapText="0"/>
    </xf>
    <xf borderId="32" fillId="0" fontId="20" numFmtId="164" xfId="0" applyAlignment="1" applyBorder="1" applyFont="1" applyNumberFormat="1">
      <alignment horizontal="center" shrinkToFit="0" vertical="center" wrapText="1"/>
    </xf>
    <xf borderId="32" fillId="0" fontId="20" numFmtId="0" xfId="0" applyAlignment="1" applyBorder="1" applyFont="1">
      <alignment horizontal="center" vertical="center"/>
    </xf>
    <xf borderId="32" fillId="0" fontId="97" numFmtId="0" xfId="0" applyAlignment="1" applyBorder="1" applyFont="1">
      <alignment horizontal="center" shrinkToFit="0" vertical="center" wrapText="0"/>
    </xf>
    <xf borderId="32" fillId="0" fontId="34" numFmtId="0" xfId="0" applyAlignment="1" applyBorder="1" applyFont="1">
      <alignment shrinkToFit="0" vertical="center" wrapText="1"/>
    </xf>
    <xf borderId="32" fillId="0" fontId="73" numFmtId="0" xfId="0" applyAlignment="1" applyBorder="1" applyFont="1">
      <alignment horizontal="center" shrinkToFit="0" vertical="center" wrapText="1"/>
    </xf>
    <xf borderId="32" fillId="0" fontId="73" numFmtId="0" xfId="0" applyAlignment="1" applyBorder="1" applyFont="1">
      <alignment horizontal="center" shrinkToFit="0" vertical="center" wrapText="1"/>
    </xf>
    <xf borderId="0" fillId="0" fontId="73" numFmtId="0" xfId="0" applyAlignment="1" applyFont="1">
      <alignment horizontal="center" shrinkToFit="0" vertical="center" wrapText="1"/>
    </xf>
    <xf borderId="2" fillId="0" fontId="98" numFmtId="0" xfId="0" applyAlignment="1" applyBorder="1" applyFont="1">
      <alignment readingOrder="0" shrinkToFit="0" vertical="center" wrapText="1"/>
    </xf>
    <xf borderId="32" fillId="0" fontId="99" numFmtId="0" xfId="0" applyAlignment="1" applyBorder="1" applyFont="1">
      <alignment readingOrder="0" vertical="center"/>
    </xf>
    <xf borderId="32" fillId="0" fontId="100" numFmtId="0" xfId="0" applyAlignment="1" applyBorder="1" applyFont="1">
      <alignment readingOrder="0" shrinkToFit="0" vertical="center" wrapText="0"/>
    </xf>
    <xf borderId="2" fillId="0" fontId="5" numFmtId="0" xfId="0" applyAlignment="1" applyBorder="1" applyFont="1">
      <alignment readingOrder="0" shrinkToFit="0" wrapText="1"/>
    </xf>
    <xf borderId="32" fillId="0" fontId="53" numFmtId="0" xfId="0" applyAlignment="1" applyBorder="1" applyFont="1">
      <alignment horizontal="center" shrinkToFit="0" vertical="center" wrapText="1"/>
    </xf>
    <xf borderId="0" fillId="0" fontId="5" numFmtId="0" xfId="0" applyAlignment="1" applyFont="1">
      <alignment readingOrder="0" shrinkToFit="0" wrapText="0"/>
    </xf>
    <xf borderId="32" fillId="0" fontId="34" numFmtId="0" xfId="0" applyAlignment="1" applyBorder="1" applyFont="1">
      <alignment vertical="center"/>
    </xf>
    <xf borderId="0" fillId="0" fontId="101" numFmtId="0" xfId="0" applyAlignment="1" applyFont="1">
      <alignment readingOrder="0" shrinkToFit="0" vertical="center" wrapText="0"/>
    </xf>
    <xf borderId="2" fillId="0" fontId="5" numFmtId="0" xfId="0" applyAlignment="1" applyBorder="1" applyFont="1">
      <alignment readingOrder="0" shrinkToFit="0" wrapText="0"/>
    </xf>
    <xf borderId="32" fillId="2" fontId="102" numFmtId="0" xfId="0" applyAlignment="1" applyBorder="1" applyFont="1">
      <alignment horizontal="center" shrinkToFit="0" vertical="center" wrapText="1"/>
    </xf>
    <xf borderId="34" fillId="0" fontId="103" numFmtId="0" xfId="0" applyAlignment="1" applyBorder="1" applyFont="1">
      <alignment readingOrder="0" shrinkToFit="0" vertical="center" wrapText="0"/>
    </xf>
    <xf borderId="32" fillId="0" fontId="34" numFmtId="0" xfId="0" applyAlignment="1" applyBorder="1" applyFont="1">
      <alignment horizontal="left" readingOrder="0" shrinkToFit="0" vertical="center" wrapText="1"/>
    </xf>
    <xf borderId="32" fillId="0" fontId="5" numFmtId="0" xfId="0" applyAlignment="1" applyBorder="1" applyFont="1">
      <alignment horizontal="left" readingOrder="0" shrinkToFit="0" vertical="center" wrapText="1"/>
    </xf>
    <xf borderId="32" fillId="0" fontId="27" numFmtId="165" xfId="0" applyAlignment="1" applyBorder="1" applyFont="1" applyNumberFormat="1">
      <alignment horizontal="center" readingOrder="0" vertical="center"/>
    </xf>
    <xf borderId="32" fillId="2" fontId="104" numFmtId="0" xfId="0" applyAlignment="1" applyBorder="1" applyFont="1">
      <alignment horizontal="center" readingOrder="0" shrinkToFit="0" vertical="center" wrapText="0"/>
    </xf>
    <xf borderId="34" fillId="0" fontId="105" numFmtId="0" xfId="0" applyAlignment="1" applyBorder="1" applyFont="1">
      <alignment readingOrder="0" vertical="center"/>
    </xf>
    <xf borderId="32" fillId="11" fontId="27" numFmtId="0" xfId="0" applyAlignment="1" applyBorder="1" applyFont="1">
      <alignment horizontal="center" readingOrder="0" shrinkToFit="0" vertical="center" wrapText="1"/>
    </xf>
    <xf borderId="32" fillId="21" fontId="106" numFmtId="0" xfId="0" applyAlignment="1" applyBorder="1" applyFont="1">
      <alignment readingOrder="0" shrinkToFit="0" vertical="center" wrapText="1"/>
    </xf>
    <xf borderId="32" fillId="19" fontId="107" numFmtId="0" xfId="0" applyAlignment="1" applyBorder="1" applyFont="1">
      <alignment readingOrder="0" shrinkToFit="0" vertical="center" wrapText="0"/>
    </xf>
    <xf borderId="32" fillId="0" fontId="57" numFmtId="165" xfId="0" applyAlignment="1" applyBorder="1" applyFont="1" applyNumberFormat="1">
      <alignment horizontal="center" readingOrder="0" vertical="center"/>
    </xf>
    <xf borderId="32" fillId="2" fontId="108" numFmtId="0" xfId="0" applyAlignment="1" applyBorder="1" applyFont="1">
      <alignment horizontal="center" shrinkToFit="0" vertical="center" wrapText="0"/>
    </xf>
    <xf borderId="32" fillId="6" fontId="27" numFmtId="0" xfId="0" applyAlignment="1" applyBorder="1" applyFont="1">
      <alignment shrinkToFit="0" vertical="center" wrapText="1"/>
    </xf>
    <xf borderId="37" fillId="0" fontId="109" numFmtId="0" xfId="0" applyAlignment="1" applyBorder="1" applyFont="1">
      <alignment readingOrder="0" shrinkToFit="0" vertical="center" wrapText="1"/>
    </xf>
    <xf borderId="37" fillId="0" fontId="5" numFmtId="0" xfId="0" applyAlignment="1" applyBorder="1" applyFont="1">
      <alignment readingOrder="0" shrinkToFit="0" wrapText="1"/>
    </xf>
    <xf borderId="32" fillId="0" fontId="110" numFmtId="0" xfId="0" applyAlignment="1" applyBorder="1" applyFont="1">
      <alignment horizontal="left" readingOrder="0" shrinkToFit="0" vertical="center" wrapText="1"/>
    </xf>
    <xf borderId="32" fillId="18" fontId="27" numFmtId="0" xfId="0" applyAlignment="1" applyBorder="1" applyFont="1">
      <alignment readingOrder="0" shrinkToFit="0" vertical="center" wrapText="1"/>
    </xf>
    <xf borderId="32" fillId="17" fontId="53" numFmtId="0" xfId="0" applyAlignment="1" applyBorder="1" applyFont="1">
      <alignment horizontal="center" readingOrder="0" shrinkToFit="0" vertical="center" wrapText="1"/>
    </xf>
    <xf borderId="32" fillId="0" fontId="111" numFmtId="0" xfId="0" applyAlignment="1" applyBorder="1" applyFont="1">
      <alignment horizontal="left" readingOrder="0" shrinkToFit="0" vertical="center" wrapText="0"/>
    </xf>
    <xf borderId="32" fillId="19" fontId="20" numFmtId="0" xfId="0" applyAlignment="1" applyBorder="1" applyFont="1">
      <alignment horizontal="center" shrinkToFit="0" vertical="center" wrapText="1"/>
    </xf>
    <xf borderId="32" fillId="2" fontId="112" numFmtId="0" xfId="0" applyAlignment="1" applyBorder="1" applyFont="1">
      <alignment horizontal="center" readingOrder="0" shrinkToFit="0" vertical="center" wrapText="1"/>
    </xf>
    <xf borderId="32" fillId="19" fontId="20" numFmtId="0" xfId="0" applyAlignment="1" applyBorder="1" applyFont="1">
      <alignment readingOrder="0" vertical="center"/>
    </xf>
    <xf borderId="32" fillId="11" fontId="2" numFmtId="0" xfId="0" applyAlignment="1" applyBorder="1" applyFont="1">
      <alignment horizontal="center" shrinkToFit="0" vertical="center" wrapText="1"/>
    </xf>
    <xf borderId="32" fillId="0" fontId="2" numFmtId="0" xfId="0" applyAlignment="1" applyBorder="1" applyFont="1">
      <alignment horizontal="center" shrinkToFit="0" vertical="center" wrapText="1"/>
    </xf>
    <xf borderId="34" fillId="0" fontId="27" numFmtId="0" xfId="0" applyAlignment="1" applyBorder="1" applyFont="1">
      <alignment horizontal="center" vertical="center"/>
    </xf>
    <xf borderId="35" fillId="0" fontId="27" numFmtId="0" xfId="0" applyAlignment="1" applyBorder="1" applyFont="1">
      <alignment shrinkToFit="0" vertical="center" wrapText="1"/>
    </xf>
    <xf borderId="35" fillId="0" fontId="20" numFmtId="164" xfId="0" applyAlignment="1" applyBorder="1" applyFont="1" applyNumberFormat="1">
      <alignment horizontal="center" shrinkToFit="0" vertical="center" wrapText="1"/>
    </xf>
    <xf borderId="35" fillId="0" fontId="20" numFmtId="0" xfId="0" applyAlignment="1" applyBorder="1" applyFont="1">
      <alignment horizontal="center" vertical="center"/>
    </xf>
    <xf borderId="35" fillId="0" fontId="113" numFmtId="0" xfId="0" applyAlignment="1" applyBorder="1" applyFont="1">
      <alignment horizontal="center" shrinkToFit="0" vertical="center" wrapText="0"/>
    </xf>
    <xf borderId="36" fillId="0" fontId="34" numFmtId="0" xfId="0" applyAlignment="1" applyBorder="1" applyFont="1">
      <alignment shrinkToFit="0" vertical="center" wrapText="1"/>
    </xf>
    <xf borderId="32" fillId="0" fontId="20" numFmtId="0" xfId="0" applyAlignment="1" applyBorder="1" applyFont="1">
      <alignment vertical="center"/>
    </xf>
    <xf borderId="32" fillId="0" fontId="40" numFmtId="0" xfId="0" applyAlignment="1" applyBorder="1" applyFont="1">
      <alignment horizontal="left" readingOrder="0" shrinkToFit="0" vertical="center" wrapText="1"/>
    </xf>
    <xf borderId="32" fillId="6" fontId="114" numFmtId="0" xfId="0" applyAlignment="1" applyBorder="1" applyFont="1">
      <alignment readingOrder="0" shrinkToFit="0" vertical="center" wrapText="1"/>
    </xf>
    <xf borderId="32" fillId="2" fontId="53" numFmtId="0" xfId="0" applyAlignment="1" applyBorder="1" applyFont="1">
      <alignment horizontal="left" readingOrder="0" shrinkToFit="0" vertical="center" wrapText="1"/>
    </xf>
    <xf borderId="32" fillId="0" fontId="115" numFmtId="0" xfId="0" applyAlignment="1" applyBorder="1" applyFont="1">
      <alignment shrinkToFit="0" vertical="center" wrapText="1"/>
    </xf>
    <xf borderId="32" fillId="22" fontId="116" numFmtId="0" xfId="0" applyAlignment="1" applyBorder="1" applyFont="1">
      <alignment horizontal="center" readingOrder="0" shrinkToFit="0" vertical="center" wrapText="0"/>
    </xf>
    <xf borderId="32" fillId="0" fontId="27" numFmtId="0" xfId="0" applyAlignment="1" applyBorder="1" applyFont="1">
      <alignment shrinkToFit="0" vertical="center" wrapText="1"/>
    </xf>
    <xf borderId="32" fillId="0" fontId="117" numFmtId="0" xfId="0" applyAlignment="1" applyBorder="1" applyFont="1">
      <alignment readingOrder="0" shrinkToFit="0" vertical="center" wrapText="1"/>
    </xf>
    <xf borderId="32" fillId="18" fontId="20" numFmtId="0" xfId="0" applyAlignment="1" applyBorder="1" applyFont="1">
      <alignment readingOrder="0" shrinkToFit="0" vertical="center" wrapText="1"/>
    </xf>
    <xf borderId="32" fillId="2" fontId="118" numFmtId="0" xfId="0" applyAlignment="1" applyBorder="1" applyFont="1">
      <alignment horizontal="left" readingOrder="0" shrinkToFit="0" vertical="center" wrapText="0"/>
    </xf>
    <xf borderId="32" fillId="21" fontId="2" numFmtId="0" xfId="0" applyAlignment="1" applyBorder="1" applyFont="1">
      <alignment horizontal="center" shrinkToFit="0" vertical="center" wrapText="1"/>
    </xf>
    <xf borderId="32" fillId="22" fontId="119" numFmtId="0" xfId="0" applyAlignment="1" applyBorder="1" applyFont="1">
      <alignment horizontal="center" readingOrder="0" shrinkToFit="0" vertical="center" wrapText="1"/>
    </xf>
    <xf borderId="34" fillId="5" fontId="43" numFmtId="0" xfId="0" applyAlignment="1" applyBorder="1" applyFont="1">
      <alignment vertical="center"/>
    </xf>
    <xf borderId="35" fillId="5" fontId="20" numFmtId="0" xfId="0" applyAlignment="1" applyBorder="1" applyFont="1">
      <alignment vertical="center"/>
    </xf>
    <xf borderId="36" fillId="5" fontId="34" numFmtId="0" xfId="0" applyAlignment="1" applyBorder="1" applyFont="1">
      <alignment vertical="center"/>
    </xf>
    <xf borderId="36" fillId="5" fontId="20" numFmtId="0" xfId="0" applyAlignment="1" applyBorder="1" applyFont="1">
      <alignment vertical="center"/>
    </xf>
    <xf borderId="33" fillId="14" fontId="27" numFmtId="0" xfId="0" applyAlignment="1" applyBorder="1" applyFont="1">
      <alignment shrinkToFit="0" vertical="center" wrapText="1"/>
    </xf>
    <xf borderId="34" fillId="0" fontId="20" numFmtId="0" xfId="0" applyAlignment="1" applyBorder="1" applyFont="1">
      <alignment shrinkToFit="0" vertical="center" wrapText="1"/>
    </xf>
    <xf borderId="35" fillId="0" fontId="11" numFmtId="0" xfId="0" applyBorder="1" applyFont="1"/>
    <xf borderId="36" fillId="0" fontId="11" numFmtId="0" xfId="0" applyBorder="1" applyFont="1"/>
    <xf borderId="32" fillId="0" fontId="20" numFmtId="0" xfId="0" applyAlignment="1" applyBorder="1" applyFont="1">
      <alignment shrinkToFit="0" vertical="center" wrapText="0"/>
    </xf>
    <xf borderId="0" fillId="0" fontId="20" numFmtId="0" xfId="0" applyAlignment="1" applyFont="1">
      <alignment horizontal="left" readingOrder="0" shrinkToFit="0" vertical="center" wrapText="1"/>
    </xf>
    <xf borderId="32" fillId="22" fontId="20" numFmtId="0" xfId="0" applyAlignment="1" applyBorder="1" applyFont="1">
      <alignment readingOrder="0" shrinkToFit="0" vertical="center" wrapText="1"/>
    </xf>
    <xf borderId="32" fillId="25" fontId="20" numFmtId="0" xfId="0" applyAlignment="1" applyBorder="1" applyFill="1" applyFont="1">
      <alignment readingOrder="0" shrinkToFit="0" vertical="center" wrapText="1"/>
    </xf>
    <xf borderId="32" fillId="26" fontId="120" numFmtId="0" xfId="0" applyAlignment="1" applyBorder="1" applyFill="1" applyFont="1">
      <alignment horizontal="left" readingOrder="0" shrinkToFit="0" vertical="center" wrapText="0"/>
    </xf>
    <xf borderId="32" fillId="2" fontId="20" numFmtId="0" xfId="0" applyAlignment="1" applyBorder="1" applyFont="1">
      <alignment readingOrder="0" shrinkToFit="0" vertical="center" wrapText="1"/>
    </xf>
    <xf borderId="32" fillId="22" fontId="20" numFmtId="0" xfId="0" applyAlignment="1" applyBorder="1" applyFont="1">
      <alignment readingOrder="0" shrinkToFit="0" vertical="center" wrapText="1"/>
    </xf>
    <xf borderId="2" fillId="0" fontId="20" numFmtId="0" xfId="0" applyAlignment="1" applyBorder="1" applyFont="1">
      <alignment readingOrder="0" shrinkToFit="0" vertical="center" wrapText="1"/>
    </xf>
    <xf borderId="32" fillId="2" fontId="20" numFmtId="0" xfId="0" applyAlignment="1" applyBorder="1" applyFont="1">
      <alignment readingOrder="0" shrinkToFit="0" vertical="center" wrapText="1"/>
    </xf>
    <xf borderId="32" fillId="0" fontId="20" numFmtId="0" xfId="0" applyAlignment="1" applyBorder="1" applyFont="1">
      <alignment readingOrder="0" shrinkToFit="0" vertical="center" wrapText="1"/>
    </xf>
    <xf borderId="32" fillId="22" fontId="20" numFmtId="0" xfId="0" applyAlignment="1" applyBorder="1" applyFont="1">
      <alignment horizontal="left" readingOrder="0" shrinkToFit="0" vertical="center" wrapText="1"/>
    </xf>
    <xf borderId="32" fillId="6" fontId="20" numFmtId="0" xfId="0" applyAlignment="1" applyBorder="1" applyFont="1">
      <alignment readingOrder="0" shrinkToFit="0" vertical="center" wrapText="1"/>
    </xf>
    <xf borderId="32" fillId="27" fontId="20" numFmtId="0" xfId="0" applyAlignment="1" applyBorder="1" applyFill="1" applyFont="1">
      <alignment readingOrder="0" shrinkToFit="0" vertical="center" wrapText="1"/>
    </xf>
    <xf borderId="32" fillId="19" fontId="20" numFmtId="0" xfId="0" applyAlignment="1" applyBorder="1" applyFont="1">
      <alignment readingOrder="0" shrinkToFit="0" vertical="center" wrapText="1"/>
    </xf>
    <xf borderId="32" fillId="12" fontId="20" numFmtId="0" xfId="0" applyAlignment="1" applyBorder="1" applyFont="1">
      <alignment shrinkToFit="0" vertical="center" wrapText="1"/>
    </xf>
    <xf borderId="0" fillId="0" fontId="20" numFmtId="0" xfId="0" applyAlignment="1" applyFont="1">
      <alignment vertical="center"/>
    </xf>
    <xf borderId="0" fillId="0" fontId="34" numFmtId="0" xfId="0" applyAlignment="1" applyFont="1">
      <alignment vertical="center"/>
    </xf>
    <xf borderId="0" fillId="0" fontId="20" numFmtId="0" xfId="0" applyAlignment="1" applyFont="1">
      <alignment shrinkToFit="0" vertical="center" wrapText="1"/>
    </xf>
    <xf borderId="0" fillId="0" fontId="20" numFmtId="0" xfId="0" applyAlignment="1" applyFont="1">
      <alignment vertical="center"/>
    </xf>
    <xf borderId="0" fillId="0" fontId="34" numFmtId="0" xfId="0" applyAlignment="1" applyFont="1">
      <alignment vertical="center"/>
    </xf>
    <xf borderId="0" fillId="0" fontId="34" numFmtId="0" xfId="0" applyAlignment="1" applyFont="1">
      <alignment shrinkToFit="0" vertical="center" wrapText="0"/>
    </xf>
    <xf borderId="0" fillId="0" fontId="35" numFmtId="0" xfId="0" applyAlignment="1" applyFont="1">
      <alignment vertical="center"/>
    </xf>
    <xf borderId="0" fillId="0" fontId="34" numFmtId="0" xfId="0" applyAlignment="1" applyFont="1">
      <alignment shrinkToFit="0" vertical="center" wrapText="0"/>
    </xf>
    <xf borderId="38" fillId="3" fontId="121" numFmtId="0" xfId="0" applyAlignment="1" applyBorder="1" applyFont="1">
      <alignment horizontal="left" vertical="center"/>
    </xf>
    <xf borderId="39" fillId="0" fontId="11" numFmtId="0" xfId="0" applyBorder="1" applyFont="1"/>
    <xf borderId="40" fillId="0" fontId="11" numFmtId="0" xfId="0" applyBorder="1" applyFont="1"/>
    <xf borderId="41" fillId="3" fontId="8" numFmtId="0" xfId="0" applyAlignment="1" applyBorder="1" applyFont="1">
      <alignment horizontal="center" shrinkToFit="0" vertical="center" wrapText="1"/>
    </xf>
    <xf borderId="41" fillId="3" fontId="8" numFmtId="0" xfId="0" applyAlignment="1" applyBorder="1" applyFont="1">
      <alignment horizontal="center" shrinkToFit="0" vertical="center" wrapText="0"/>
    </xf>
    <xf borderId="42" fillId="3" fontId="8" numFmtId="0" xfId="0" applyAlignment="1" applyBorder="1" applyFont="1">
      <alignment horizontal="center" shrinkToFit="0" vertical="center" wrapText="1"/>
    </xf>
    <xf borderId="43" fillId="0" fontId="11" numFmtId="0" xfId="0" applyBorder="1" applyFont="1"/>
    <xf borderId="44" fillId="0" fontId="11" numFmtId="0" xfId="0" applyBorder="1" applyFont="1"/>
    <xf borderId="45" fillId="0" fontId="11" numFmtId="0" xfId="0" applyBorder="1" applyFont="1"/>
    <xf borderId="46" fillId="3" fontId="8" numFmtId="0" xfId="0" applyAlignment="1" applyBorder="1" applyFont="1">
      <alignment horizontal="center" shrinkToFit="0" vertical="center" wrapText="1"/>
    </xf>
    <xf borderId="42" fillId="5" fontId="122" numFmtId="0" xfId="0" applyAlignment="1" applyBorder="1" applyFont="1">
      <alignment horizontal="left" vertical="center"/>
    </xf>
    <xf borderId="44" fillId="5" fontId="122" numFmtId="0" xfId="0" applyAlignment="1" applyBorder="1" applyFont="1">
      <alignment horizontal="left" vertical="center"/>
    </xf>
    <xf borderId="44" fillId="5" fontId="122" numFmtId="0" xfId="0" applyAlignment="1" applyBorder="1" applyFont="1">
      <alignment horizontal="center" vertical="center"/>
    </xf>
    <xf borderId="44" fillId="5" fontId="123" numFmtId="3" xfId="0" applyAlignment="1" applyBorder="1" applyFont="1" applyNumberFormat="1">
      <alignment horizontal="center" vertical="center"/>
    </xf>
    <xf borderId="43" fillId="5" fontId="122" numFmtId="0" xfId="0" applyAlignment="1" applyBorder="1" applyFont="1">
      <alignment horizontal="left" vertical="center"/>
    </xf>
    <xf borderId="46" fillId="8" fontId="4" numFmtId="0" xfId="0" applyAlignment="1" applyBorder="1" applyFont="1">
      <alignment horizontal="center" shrinkToFit="0" vertical="center" wrapText="1"/>
    </xf>
    <xf borderId="46" fillId="8" fontId="57" numFmtId="0" xfId="0" applyAlignment="1" applyBorder="1" applyFont="1">
      <alignment horizontal="left" shrinkToFit="0" vertical="center" wrapText="1"/>
    </xf>
    <xf borderId="46" fillId="8" fontId="4" numFmtId="3" xfId="0" applyAlignment="1" applyBorder="1" applyFont="1" applyNumberFormat="1">
      <alignment horizontal="center" shrinkToFit="0" vertical="center" wrapText="1"/>
    </xf>
    <xf borderId="46" fillId="8" fontId="124" numFmtId="0" xfId="0" applyAlignment="1" applyBorder="1" applyFont="1">
      <alignment horizontal="center" shrinkToFit="0" vertical="center" wrapText="1"/>
    </xf>
    <xf borderId="46" fillId="8" fontId="125" numFmtId="0" xfId="0" applyAlignment="1" applyBorder="1" applyFont="1">
      <alignment horizontal="center" readingOrder="0" shrinkToFit="0" vertical="center" wrapText="0"/>
    </xf>
    <xf borderId="46" fillId="8" fontId="4" numFmtId="165" xfId="0" applyAlignment="1" applyBorder="1" applyFont="1" applyNumberFormat="1">
      <alignment horizontal="center" readingOrder="0" shrinkToFit="0" vertical="center" wrapText="1"/>
    </xf>
    <xf borderId="46" fillId="8" fontId="4" numFmtId="3" xfId="0" applyAlignment="1" applyBorder="1" applyFont="1" applyNumberFormat="1">
      <alignment horizontal="center" readingOrder="0" shrinkToFit="0" vertical="center" wrapText="1"/>
    </xf>
    <xf borderId="46" fillId="8" fontId="4" numFmtId="9" xfId="0" applyAlignment="1" applyBorder="1" applyFont="1" applyNumberFormat="1">
      <alignment horizontal="center" shrinkToFit="0" vertical="center" wrapText="1"/>
    </xf>
    <xf borderId="46" fillId="8" fontId="4" numFmtId="166" xfId="0" applyAlignment="1" applyBorder="1" applyFont="1" applyNumberFormat="1">
      <alignment horizontal="center" readingOrder="0" shrinkToFit="0" vertical="center" wrapText="1"/>
    </xf>
    <xf borderId="46" fillId="8" fontId="4" numFmtId="0" xfId="0" applyAlignment="1" applyBorder="1" applyFont="1">
      <alignment horizontal="center" shrinkToFit="0" vertical="center" wrapText="1"/>
    </xf>
    <xf borderId="41" fillId="8" fontId="4" numFmtId="0" xfId="0" applyAlignment="1" applyBorder="1" applyFont="1">
      <alignment horizontal="center" shrinkToFit="0" vertical="center" wrapText="1"/>
    </xf>
    <xf borderId="41" fillId="8" fontId="57" numFmtId="0" xfId="0" applyAlignment="1" applyBorder="1" applyFont="1">
      <alignment horizontal="left" shrinkToFit="0" vertical="center" wrapText="1"/>
    </xf>
    <xf borderId="41" fillId="8" fontId="4" numFmtId="3" xfId="0" applyAlignment="1" applyBorder="1" applyFont="1" applyNumberFormat="1">
      <alignment horizontal="center" shrinkToFit="0" vertical="center" wrapText="1"/>
    </xf>
    <xf borderId="41" fillId="8" fontId="126" numFmtId="0" xfId="0" applyAlignment="1" applyBorder="1" applyFont="1">
      <alignment horizontal="center" shrinkToFit="0" vertical="center" wrapText="1"/>
    </xf>
    <xf borderId="41" fillId="8" fontId="4" numFmtId="165" xfId="0" applyAlignment="1" applyBorder="1" applyFont="1" applyNumberFormat="1">
      <alignment horizontal="center" shrinkToFit="0" vertical="center" wrapText="1"/>
    </xf>
    <xf borderId="45" fillId="8" fontId="4" numFmtId="0" xfId="0" applyAlignment="1" applyBorder="1" applyFont="1">
      <alignment horizontal="center" readingOrder="0" shrinkToFit="0" vertical="center" wrapText="1"/>
    </xf>
    <xf borderId="46" fillId="8" fontId="127" numFmtId="0" xfId="0" applyAlignment="1" applyBorder="1" applyFont="1">
      <alignment horizontal="center" readingOrder="0" shrinkToFit="0" vertical="center" wrapText="0"/>
    </xf>
    <xf borderId="46" fillId="8" fontId="4" numFmtId="0" xfId="0" applyAlignment="1" applyBorder="1" applyFont="1">
      <alignment horizontal="center" shrinkToFit="0" vertical="center" wrapText="0"/>
    </xf>
    <xf borderId="42" fillId="28" fontId="128" numFmtId="0" xfId="0" applyAlignment="1" applyBorder="1" applyFill="1" applyFont="1">
      <alignment horizontal="left" vertical="center"/>
    </xf>
    <xf borderId="46" fillId="8" fontId="129" numFmtId="0" xfId="0" applyAlignment="1" applyBorder="1" applyFont="1">
      <alignment horizontal="center" readingOrder="0" shrinkToFit="0" vertical="center" wrapText="0"/>
    </xf>
    <xf borderId="46" fillId="8" fontId="20" numFmtId="165" xfId="0" applyAlignment="1" applyBorder="1" applyFont="1" applyNumberFormat="1">
      <alignment horizontal="center" readingOrder="0" shrinkToFit="0" vertical="center" wrapText="1"/>
    </xf>
    <xf borderId="46" fillId="8" fontId="4" numFmtId="165" xfId="0" applyAlignment="1" applyBorder="1" applyFont="1" applyNumberFormat="1">
      <alignment horizontal="center" shrinkToFit="0" vertical="center" wrapText="1"/>
    </xf>
    <xf borderId="46" fillId="6" fontId="4" numFmtId="0" xfId="0" applyAlignment="1" applyBorder="1" applyFont="1">
      <alignment horizontal="center" shrinkToFit="0" vertical="center" wrapText="1"/>
    </xf>
    <xf borderId="46" fillId="6" fontId="57" numFmtId="0" xfId="0" applyAlignment="1" applyBorder="1" applyFont="1">
      <alignment horizontal="left" shrinkToFit="0" vertical="center" wrapText="1"/>
    </xf>
    <xf borderId="46" fillId="6" fontId="4" numFmtId="3" xfId="0" applyAlignment="1" applyBorder="1" applyFont="1" applyNumberFormat="1">
      <alignment horizontal="center" shrinkToFit="0" vertical="center" wrapText="1"/>
    </xf>
    <xf borderId="46" fillId="6" fontId="130" numFmtId="0" xfId="0" applyAlignment="1" applyBorder="1" applyFont="1">
      <alignment horizontal="center" shrinkToFit="0" vertical="center" wrapText="1"/>
    </xf>
    <xf borderId="46" fillId="6" fontId="131" numFmtId="0" xfId="0" applyAlignment="1" applyBorder="1" applyFont="1">
      <alignment horizontal="center" readingOrder="0" shrinkToFit="0" vertical="center" wrapText="0"/>
    </xf>
    <xf borderId="46" fillId="6" fontId="4" numFmtId="165" xfId="0" applyAlignment="1" applyBorder="1" applyFont="1" applyNumberFormat="1">
      <alignment horizontal="center" shrinkToFit="0" vertical="center" wrapText="1"/>
    </xf>
    <xf borderId="46" fillId="6" fontId="4" numFmtId="3" xfId="0" applyAlignment="1" applyBorder="1" applyFont="1" applyNumberFormat="1">
      <alignment horizontal="center" readingOrder="0" shrinkToFit="0" vertical="center" wrapText="1"/>
    </xf>
    <xf borderId="46" fillId="6" fontId="4" numFmtId="9" xfId="0" applyAlignment="1" applyBorder="1" applyFont="1" applyNumberFormat="1">
      <alignment horizontal="center" shrinkToFit="0" vertical="center" wrapText="1"/>
    </xf>
    <xf borderId="46" fillId="6" fontId="4" numFmtId="166" xfId="0" applyAlignment="1" applyBorder="1" applyFont="1" applyNumberFormat="1">
      <alignment horizontal="center" readingOrder="0" shrinkToFit="0" vertical="center" wrapText="1"/>
    </xf>
    <xf borderId="46" fillId="6" fontId="132" numFmtId="0" xfId="0" applyAlignment="1" applyBorder="1" applyFont="1">
      <alignment horizontal="center" readingOrder="0" shrinkToFit="0" vertical="center" wrapText="0"/>
    </xf>
    <xf borderId="46" fillId="6" fontId="4" numFmtId="165" xfId="0" applyAlignment="1" applyBorder="1" applyFont="1" applyNumberFormat="1">
      <alignment horizontal="center" readingOrder="0" shrinkToFit="0" vertical="center" wrapText="1"/>
    </xf>
    <xf borderId="46" fillId="6" fontId="4" numFmtId="0" xfId="0" applyAlignment="1" applyBorder="1" applyFont="1">
      <alignment horizontal="center" shrinkToFit="0" vertical="center" wrapText="0"/>
    </xf>
    <xf borderId="46" fillId="6" fontId="4" numFmtId="0" xfId="0" applyAlignment="1" applyBorder="1" applyFont="1">
      <alignment horizontal="center" readingOrder="0" shrinkToFit="0" vertical="center" wrapText="1"/>
    </xf>
    <xf borderId="0" fillId="0" fontId="26" numFmtId="0" xfId="0" applyAlignment="1" applyFont="1">
      <alignment shrinkToFit="0" wrapText="0"/>
    </xf>
    <xf borderId="0" fillId="29" fontId="133" numFmtId="0" xfId="0" applyAlignment="1" applyFill="1" applyFont="1">
      <alignment horizontal="center" readingOrder="0" vertical="center"/>
    </xf>
    <xf borderId="0" fillId="0" fontId="134" numFmtId="0" xfId="0" applyAlignment="1" applyFont="1">
      <alignment readingOrder="0" shrinkToFit="0" vertical="center" wrapText="1"/>
    </xf>
    <xf borderId="0" fillId="29" fontId="135" numFmtId="0" xfId="0" applyAlignment="1" applyFont="1">
      <alignment horizontal="center" readingOrder="0" vertical="center"/>
    </xf>
    <xf borderId="0" fillId="0" fontId="136" numFmtId="0" xfId="0" applyAlignment="1" applyFont="1">
      <alignment readingOrder="0" shrinkToFit="0" vertical="center" wrapText="1"/>
    </xf>
    <xf borderId="0" fillId="0" fontId="137" numFmtId="164" xfId="0" applyAlignment="1" applyFont="1" applyNumberFormat="1">
      <alignment horizontal="center" shrinkToFit="0" vertical="center" wrapText="1"/>
    </xf>
    <xf borderId="0" fillId="0" fontId="31" numFmtId="164" xfId="0" applyAlignment="1" applyFont="1" applyNumberFormat="1">
      <alignment horizontal="center" vertical="center"/>
    </xf>
    <xf borderId="47" fillId="3" fontId="138" numFmtId="0" xfId="0" applyAlignment="1" applyBorder="1" applyFont="1">
      <alignment horizontal="center" shrinkToFit="0" vertical="bottom" wrapText="1"/>
    </xf>
    <xf borderId="48" fillId="0" fontId="11" numFmtId="0" xfId="0" applyBorder="1" applyFont="1"/>
    <xf borderId="49" fillId="0" fontId="11" numFmtId="0" xfId="0" applyBorder="1" applyFont="1"/>
    <xf borderId="0" fillId="0" fontId="35" numFmtId="0" xfId="0" applyFont="1"/>
    <xf borderId="0" fillId="0" fontId="35" numFmtId="0" xfId="0" applyAlignment="1" applyFont="1">
      <alignment vertical="bottom"/>
    </xf>
    <xf borderId="2" fillId="3" fontId="138" numFmtId="0" xfId="0" applyAlignment="1" applyBorder="1" applyFont="1">
      <alignment horizontal="center" shrinkToFit="0" vertical="bottom" wrapText="1"/>
    </xf>
    <xf borderId="2" fillId="3" fontId="138" numFmtId="0" xfId="0" applyAlignment="1" applyBorder="1" applyFont="1">
      <alignment shrinkToFit="0" vertical="bottom" wrapText="1"/>
    </xf>
    <xf borderId="2" fillId="3" fontId="138" numFmtId="167" xfId="0" applyAlignment="1" applyBorder="1" applyFont="1" applyNumberFormat="1">
      <alignment horizontal="center" shrinkToFit="0" vertical="bottom" wrapText="1"/>
    </xf>
    <xf borderId="50" fillId="0" fontId="35" numFmtId="0" xfId="0" applyAlignment="1" applyBorder="1" applyFont="1">
      <alignment vertical="bottom"/>
    </xf>
    <xf borderId="51" fillId="0" fontId="35" numFmtId="0" xfId="0" applyAlignment="1" applyBorder="1" applyFont="1">
      <alignment vertical="bottom"/>
    </xf>
    <xf borderId="2" fillId="27" fontId="35" numFmtId="0" xfId="0" applyAlignment="1" applyBorder="1" applyFont="1">
      <alignment vertical="bottom"/>
    </xf>
    <xf borderId="2" fillId="27" fontId="138" numFmtId="0" xfId="0" applyAlignment="1" applyBorder="1" applyFont="1">
      <alignment shrinkToFit="0" vertical="bottom" wrapText="1"/>
    </xf>
    <xf borderId="2" fillId="27" fontId="35" numFmtId="168" xfId="0" applyAlignment="1" applyBorder="1" applyFont="1" applyNumberFormat="1">
      <alignment vertical="bottom"/>
    </xf>
    <xf borderId="2" fillId="27" fontId="35" numFmtId="168" xfId="0" applyAlignment="1" applyBorder="1" applyFont="1" applyNumberFormat="1">
      <alignment vertical="bottom"/>
    </xf>
    <xf borderId="2" fillId="12" fontId="35" numFmtId="0" xfId="0" applyAlignment="1" applyBorder="1" applyFont="1">
      <alignment vertical="bottom"/>
    </xf>
    <xf borderId="2" fillId="12" fontId="76" numFmtId="0" xfId="0" applyAlignment="1" applyBorder="1" applyFont="1">
      <alignment shrinkToFit="0" vertical="bottom" wrapText="1"/>
    </xf>
    <xf borderId="2" fillId="0" fontId="35" numFmtId="0" xfId="0" applyAlignment="1" applyBorder="1" applyFont="1">
      <alignment vertical="bottom"/>
    </xf>
    <xf borderId="2" fillId="12" fontId="35" numFmtId="168" xfId="0" applyAlignment="1" applyBorder="1" applyFont="1" applyNumberFormat="1">
      <alignment vertical="bottom"/>
    </xf>
    <xf borderId="2" fillId="12" fontId="35" numFmtId="168" xfId="0" applyAlignment="1" applyBorder="1" applyFont="1" applyNumberFormat="1">
      <alignment vertical="bottom"/>
    </xf>
    <xf borderId="2" fillId="0" fontId="139" numFmtId="0" xfId="0" applyAlignment="1" applyBorder="1" applyFont="1">
      <alignment shrinkToFit="0" vertical="bottom" wrapText="1"/>
    </xf>
    <xf borderId="2" fillId="0" fontId="76" numFmtId="0" xfId="0" applyAlignment="1" applyBorder="1" applyFont="1">
      <alignment horizontal="center" shrinkToFit="0" vertical="bottom" wrapText="1"/>
    </xf>
    <xf borderId="2" fillId="0" fontId="139" numFmtId="0" xfId="0" applyAlignment="1" applyBorder="1" applyFont="1">
      <alignment horizontal="center" shrinkToFit="0" vertical="bottom" wrapText="1"/>
    </xf>
    <xf borderId="2" fillId="0" fontId="139" numFmtId="168" xfId="0" applyAlignment="1" applyBorder="1" applyFont="1" applyNumberFormat="1">
      <alignment horizontal="center" shrinkToFit="0" vertical="bottom" wrapText="1"/>
    </xf>
    <xf borderId="2" fillId="0" fontId="140" numFmtId="0" xfId="0" applyAlignment="1" applyBorder="1" applyFont="1">
      <alignment shrinkToFit="0" vertical="bottom" wrapText="1"/>
    </xf>
    <xf borderId="0" fillId="0" fontId="35" numFmtId="164" xfId="0" applyFont="1" applyNumberFormat="1"/>
    <xf borderId="2" fillId="0" fontId="76" numFmtId="0" xfId="0" applyAlignment="1" applyBorder="1" applyFont="1">
      <alignment shrinkToFit="0" vertical="bottom" wrapText="1"/>
    </xf>
    <xf borderId="2" fillId="0" fontId="140" numFmtId="0" xfId="0" applyAlignment="1" applyBorder="1" applyFont="1">
      <alignment readingOrder="0" shrinkToFit="0" vertical="bottom" wrapText="1"/>
    </xf>
    <xf borderId="2" fillId="0" fontId="139" numFmtId="168" xfId="0" applyAlignment="1" applyBorder="1" applyFont="1" applyNumberFormat="1">
      <alignment horizontal="center" readingOrder="0" shrinkToFit="0" vertical="bottom" wrapText="1"/>
    </xf>
    <xf borderId="2" fillId="0" fontId="139" numFmtId="0" xfId="0" applyAlignment="1" applyBorder="1" applyFont="1">
      <alignment readingOrder="0" shrinkToFit="0" vertical="bottom" wrapText="1"/>
    </xf>
    <xf borderId="2" fillId="3" fontId="138" numFmtId="0" xfId="0" applyAlignment="1" applyBorder="1" applyFont="1">
      <alignment horizontal="center" readingOrder="0" shrinkToFit="0" vertical="bottom" wrapText="1"/>
    </xf>
    <xf borderId="2" fillId="30" fontId="141" numFmtId="49" xfId="0" applyAlignment="1" applyBorder="1" applyFill="1" applyFont="1" applyNumberFormat="1">
      <alignment horizontal="center" shrinkToFit="0" vertical="bottom" wrapText="1"/>
    </xf>
    <xf borderId="2" fillId="30" fontId="141" numFmtId="169" xfId="0" applyAlignment="1" applyBorder="1" applyFont="1" applyNumberFormat="1">
      <alignment readingOrder="0" shrinkToFit="0" vertical="bottom" wrapText="1"/>
    </xf>
    <xf borderId="2" fillId="30" fontId="35" numFmtId="169" xfId="0" applyAlignment="1" applyBorder="1" applyFont="1" applyNumberFormat="1">
      <alignment vertical="bottom"/>
    </xf>
    <xf borderId="2" fillId="12" fontId="140" numFmtId="0" xfId="0" applyAlignment="1" applyBorder="1" applyFont="1">
      <alignment horizontal="center" shrinkToFit="0" wrapText="1"/>
    </xf>
    <xf borderId="2" fillId="12" fontId="142" numFmtId="0" xfId="0" applyAlignment="1" applyBorder="1" applyFont="1">
      <alignment shrinkToFit="0" wrapText="1"/>
    </xf>
    <xf borderId="2" fillId="12" fontId="35" numFmtId="0" xfId="0" applyAlignment="1" applyBorder="1" applyFont="1">
      <alignment shrinkToFit="0" wrapText="1"/>
    </xf>
    <xf borderId="2" fillId="12" fontId="142" numFmtId="0" xfId="0" applyAlignment="1" applyBorder="1" applyFont="1">
      <alignment horizontal="center" shrinkToFit="0" wrapText="1"/>
    </xf>
    <xf borderId="2" fillId="12" fontId="35" numFmtId="168" xfId="0" applyBorder="1" applyFont="1" applyNumberFormat="1"/>
    <xf borderId="0" fillId="0" fontId="143" numFmtId="0" xfId="0" applyAlignment="1" applyFont="1">
      <alignment readingOrder="0"/>
    </xf>
    <xf borderId="2" fillId="2" fontId="35" numFmtId="3" xfId="0" applyAlignment="1" applyBorder="1" applyFont="1" applyNumberFormat="1">
      <alignment vertical="bottom"/>
    </xf>
    <xf borderId="2" fillId="2" fontId="144" numFmtId="0" xfId="0" applyAlignment="1" applyBorder="1" applyFont="1">
      <alignment shrinkToFit="0" vertical="bottom" wrapText="1"/>
    </xf>
    <xf borderId="1" fillId="0" fontId="35" numFmtId="0" xfId="0" applyAlignment="1" applyBorder="1" applyFont="1">
      <alignment vertical="bottom"/>
    </xf>
    <xf borderId="2" fillId="0" fontId="142" numFmtId="169" xfId="0" applyAlignment="1" applyBorder="1" applyFont="1" applyNumberFormat="1">
      <alignment horizontal="center" readingOrder="0" shrinkToFit="0" vertical="bottom" wrapText="1"/>
    </xf>
    <xf borderId="0" fillId="0" fontId="35" numFmtId="164" xfId="0" applyAlignment="1" applyFont="1" applyNumberFormat="1">
      <alignment vertical="bottom"/>
    </xf>
    <xf borderId="0" fillId="0" fontId="142" numFmtId="164" xfId="0" applyAlignment="1" applyFont="1" applyNumberFormat="1">
      <alignment shrinkToFit="0" vertical="bottom" wrapText="1"/>
    </xf>
    <xf borderId="2" fillId="2" fontId="144" numFmtId="169" xfId="0" applyAlignment="1" applyBorder="1" applyFont="1" applyNumberFormat="1">
      <alignment shrinkToFit="0" vertical="bottom" wrapText="1"/>
    </xf>
    <xf borderId="52" fillId="0" fontId="11" numFmtId="0" xfId="0" applyBorder="1" applyFont="1"/>
    <xf borderId="0" fillId="0" fontId="140" numFmtId="164" xfId="0" applyAlignment="1" applyFont="1" applyNumberFormat="1">
      <alignment horizontal="right" shrinkToFit="0" vertical="bottom" wrapText="1"/>
    </xf>
    <xf borderId="0" fillId="0" fontId="140" numFmtId="164" xfId="0" applyAlignment="1" applyFont="1" applyNumberFormat="1">
      <alignment shrinkToFit="0" vertical="bottom" wrapText="1"/>
    </xf>
    <xf borderId="2" fillId="2" fontId="144" numFmtId="169" xfId="0" applyAlignment="1" applyBorder="1" applyFont="1" applyNumberFormat="1">
      <alignment readingOrder="0" shrinkToFit="0" vertical="bottom" wrapText="1"/>
    </xf>
    <xf borderId="2" fillId="0" fontId="76" numFmtId="0" xfId="0" applyAlignment="1" applyBorder="1" applyFont="1">
      <alignment horizontal="center" readingOrder="0" shrinkToFit="0" vertical="bottom" wrapText="1"/>
    </xf>
    <xf borderId="2" fillId="2" fontId="145" numFmtId="169" xfId="0" applyAlignment="1" applyBorder="1" applyFont="1" applyNumberFormat="1">
      <alignment shrinkToFit="0" vertical="bottom" wrapText="1"/>
    </xf>
    <xf borderId="2" fillId="9" fontId="145" numFmtId="169" xfId="0" applyAlignment="1" applyBorder="1" applyFont="1" applyNumberFormat="1">
      <alignment shrinkToFit="0" vertical="bottom" wrapText="1"/>
    </xf>
    <xf borderId="2" fillId="0" fontId="139" numFmtId="0" xfId="0" applyAlignment="1" applyBorder="1" applyFont="1">
      <alignment horizontal="center" readingOrder="0" shrinkToFit="0" vertical="bottom" wrapText="1"/>
    </xf>
    <xf borderId="0" fillId="0" fontId="35" numFmtId="0" xfId="0" applyAlignment="1" applyFont="1">
      <alignment horizontal="right"/>
    </xf>
    <xf borderId="2" fillId="12" fontId="140" numFmtId="0" xfId="0" applyAlignment="1" applyBorder="1" applyFont="1">
      <alignment horizontal="center" readingOrder="0" shrinkToFit="0" wrapText="1"/>
    </xf>
    <xf borderId="2" fillId="0" fontId="76" numFmtId="168" xfId="0" applyAlignment="1" applyBorder="1" applyFont="1" applyNumberFormat="1">
      <alignment horizontal="center" readingOrder="0" shrinkToFit="0" vertical="bottom" wrapText="1"/>
    </xf>
    <xf borderId="2" fillId="0" fontId="76" numFmtId="168" xfId="0" applyAlignment="1" applyBorder="1" applyFont="1" applyNumberFormat="1">
      <alignment horizontal="center" shrinkToFit="0" vertical="bottom" wrapText="1"/>
    </xf>
    <xf borderId="2" fillId="2" fontId="35" numFmtId="3" xfId="0" applyAlignment="1" applyBorder="1" applyFont="1" applyNumberFormat="1">
      <alignment readingOrder="0" vertical="bottom"/>
    </xf>
    <xf borderId="2" fillId="30" fontId="141" numFmtId="49" xfId="0" applyAlignment="1" applyBorder="1" applyFont="1" applyNumberFormat="1">
      <alignment horizontal="center" readingOrder="0" shrinkToFit="0" vertical="bottom" wrapText="1"/>
    </xf>
    <xf borderId="0" fillId="8" fontId="26" numFmtId="0" xfId="0" applyFont="1"/>
    <xf borderId="0" fillId="8" fontId="146" numFmtId="0" xfId="0" applyAlignment="1" applyFont="1">
      <alignment readingOrder="0"/>
    </xf>
    <xf borderId="2" fillId="30" fontId="141" numFmtId="169" xfId="0" applyAlignment="1" applyBorder="1" applyFont="1" applyNumberFormat="1">
      <alignment horizontal="center" readingOrder="0" shrinkToFit="0" vertical="bottom" wrapText="1"/>
    </xf>
    <xf borderId="2" fillId="30" fontId="141" numFmtId="0" xfId="0" applyAlignment="1" applyBorder="1" applyFont="1">
      <alignment shrinkToFit="0" vertical="bottom" wrapText="1"/>
    </xf>
    <xf borderId="0" fillId="0" fontId="26" numFmtId="0" xfId="0" applyFont="1"/>
    <xf borderId="0" fillId="0" fontId="147" numFmtId="0" xfId="0" applyAlignment="1" applyFont="1">
      <alignment readingOrder="0"/>
    </xf>
    <xf borderId="2" fillId="0" fontId="76" numFmtId="0" xfId="0" applyAlignment="1" applyBorder="1" applyFont="1">
      <alignment horizontal="center" shrinkToFit="0" wrapText="1"/>
    </xf>
    <xf borderId="2" fillId="0" fontId="76" numFmtId="169" xfId="0" applyAlignment="1" applyBorder="1" applyFont="1" applyNumberFormat="1">
      <alignment horizontal="center" shrinkToFit="0" wrapText="1"/>
    </xf>
    <xf borderId="2" fillId="2" fontId="140" numFmtId="0" xfId="0" applyAlignment="1" applyBorder="1" applyFont="1">
      <alignment horizontal="center"/>
    </xf>
    <xf borderId="2" fillId="0" fontId="140" numFmtId="0" xfId="0" applyAlignment="1" applyBorder="1" applyFont="1">
      <alignment horizontal="center" shrinkToFit="0" wrapText="1"/>
    </xf>
    <xf borderId="2" fillId="9" fontId="140" numFmtId="0" xfId="0" applyAlignment="1" applyBorder="1" applyFont="1">
      <alignment horizontal="center" shrinkToFit="0" wrapText="1"/>
    </xf>
    <xf borderId="2" fillId="0" fontId="140" numFmtId="165" xfId="0" applyAlignment="1" applyBorder="1" applyFont="1" applyNumberFormat="1">
      <alignment horizontal="center" shrinkToFit="0" wrapText="1"/>
    </xf>
    <xf borderId="0" fillId="0" fontId="147" numFmtId="0" xfId="0" applyFont="1"/>
    <xf borderId="32" fillId="6" fontId="47" numFmtId="0" xfId="0" applyAlignment="1" applyBorder="1" applyFont="1">
      <alignment horizontal="center" vertical="center"/>
    </xf>
    <xf borderId="32" fillId="3" fontId="20" numFmtId="0" xfId="0" applyAlignment="1" applyBorder="1" applyFont="1">
      <alignment vertical="center"/>
    </xf>
    <xf borderId="32" fillId="31" fontId="20" numFmtId="0" xfId="0" applyAlignment="1" applyBorder="1" applyFill="1" applyFont="1">
      <alignment horizontal="center" shrinkToFit="0" vertical="center" wrapText="1"/>
    </xf>
    <xf borderId="32" fillId="2" fontId="148" numFmtId="0" xfId="0" applyAlignment="1" applyBorder="1" applyFont="1">
      <alignment vertical="center"/>
    </xf>
    <xf borderId="32" fillId="9" fontId="149" numFmtId="0" xfId="0" applyAlignment="1" applyBorder="1" applyFont="1">
      <alignment horizontal="center" shrinkToFit="0" vertical="center" wrapText="1"/>
    </xf>
    <xf borderId="0" fillId="2" fontId="150" numFmtId="0" xfId="0" applyAlignment="1" applyFont="1">
      <alignment vertical="center"/>
    </xf>
    <xf borderId="0" fillId="2" fontId="20" numFmtId="0" xfId="0" applyAlignment="1" applyFont="1">
      <alignment horizontal="center" shrinkToFit="0" vertical="center" wrapText="1"/>
    </xf>
    <xf borderId="32" fillId="5" fontId="20" numFmtId="0" xfId="0" applyAlignment="1" applyBorder="1" applyFont="1">
      <alignment horizontal="center" shrinkToFit="0" vertical="center" wrapText="1"/>
    </xf>
    <xf borderId="32" fillId="12" fontId="20" numFmtId="0" xfId="0" applyAlignment="1" applyBorder="1" applyFont="1">
      <alignment horizontal="center" shrinkToFit="0" vertical="center" wrapText="1"/>
    </xf>
    <xf borderId="36" fillId="2" fontId="20" numFmtId="0" xfId="0" applyAlignment="1" applyBorder="1" applyFont="1">
      <alignment horizontal="center" readingOrder="0" shrinkToFit="0" vertical="center" wrapText="1"/>
    </xf>
    <xf borderId="32" fillId="19" fontId="151" numFmtId="0" xfId="0" applyAlignment="1" applyBorder="1" applyFont="1">
      <alignment horizontal="center" shrinkToFit="0" vertical="center" wrapText="1"/>
    </xf>
    <xf borderId="32" fillId="2" fontId="27" numFmtId="0" xfId="0" applyAlignment="1" applyBorder="1" applyFont="1">
      <alignment horizontal="center" shrinkToFit="0" vertical="center" wrapText="1"/>
    </xf>
    <xf borderId="32" fillId="10" fontId="27" numFmtId="0" xfId="0" applyAlignment="1" applyBorder="1" applyFont="1">
      <alignment vertical="center"/>
    </xf>
    <xf borderId="32" fillId="5" fontId="43" numFmtId="0" xfId="0" applyAlignment="1" applyBorder="1" applyFont="1">
      <alignment vertical="center"/>
    </xf>
    <xf borderId="36" fillId="0" fontId="20" numFmtId="0" xfId="0" applyAlignment="1" applyBorder="1" applyFont="1">
      <alignment horizontal="center" readingOrder="0" shrinkToFit="0" vertical="center" wrapText="1"/>
    </xf>
    <xf borderId="32" fillId="0" fontId="152" numFmtId="0" xfId="0" applyAlignment="1" applyBorder="1" applyFont="1">
      <alignment vertical="center"/>
    </xf>
    <xf borderId="0" fillId="0" fontId="26" numFmtId="0" xfId="0" applyAlignment="1" applyFont="1">
      <alignment vertical="center"/>
    </xf>
    <xf borderId="0" fillId="2" fontId="2" numFmtId="164" xfId="0" applyAlignment="1" applyFont="1" applyNumberFormat="1">
      <alignment horizontal="center" shrinkToFit="0" vertical="center" wrapText="1"/>
    </xf>
    <xf borderId="0" fillId="2" fontId="137" numFmtId="164" xfId="0" applyAlignment="1" applyFont="1" applyNumberFormat="1">
      <alignment horizontal="center" shrinkToFit="0" vertical="center" wrapText="1"/>
    </xf>
    <xf borderId="0" fillId="2" fontId="31" numFmtId="164" xfId="0" applyAlignment="1" applyFont="1" applyNumberFormat="1">
      <alignment horizontal="center" vertical="center"/>
    </xf>
    <xf borderId="1" fillId="2" fontId="9" numFmtId="0" xfId="0" applyAlignment="1" applyBorder="1" applyFont="1">
      <alignment horizontal="left" readingOrder="0" shrinkToFit="0" vertical="center" wrapText="0"/>
    </xf>
    <xf borderId="1" fillId="2" fontId="9" numFmtId="0" xfId="0" applyAlignment="1" applyBorder="1" applyFont="1">
      <alignment horizontal="left" readingOrder="0" shrinkToFit="0" vertical="center" wrapText="1"/>
    </xf>
    <xf borderId="4" fillId="2" fontId="9" numFmtId="0" xfId="0" applyAlignment="1" applyBorder="1" applyFont="1">
      <alignment horizontal="left" readingOrder="0" shrinkToFit="0" vertical="center" wrapText="1"/>
    </xf>
    <xf borderId="0" fillId="2" fontId="9" numFmtId="0" xfId="0" applyAlignment="1" applyFont="1">
      <alignment horizontal="left" readingOrder="0" shrinkToFit="0" vertical="center" wrapText="1"/>
    </xf>
    <xf borderId="2" fillId="0" fontId="9" numFmtId="3" xfId="0" applyAlignment="1" applyBorder="1" applyFont="1" applyNumberFormat="1">
      <alignment readingOrder="0" vertical="center"/>
    </xf>
    <xf borderId="2" fillId="0" fontId="12" numFmtId="0" xfId="0" applyAlignment="1" applyBorder="1" applyFont="1">
      <alignment horizontal="center" shrinkToFit="0" vertical="center" wrapText="1"/>
    </xf>
    <xf borderId="0" fillId="0" fontId="2" numFmtId="3" xfId="0" applyAlignment="1" applyFont="1" applyNumberFormat="1">
      <alignment readingOrder="0" vertical="center"/>
    </xf>
    <xf borderId="0" fillId="2" fontId="31" numFmtId="0" xfId="0" applyAlignment="1" applyFont="1">
      <alignment horizontal="center" vertical="center"/>
    </xf>
    <xf borderId="0" fillId="0" fontId="153" numFmtId="0" xfId="0" applyAlignment="1" applyFont="1">
      <alignment horizontal="center" readingOrder="0" vertical="center"/>
    </xf>
    <xf borderId="0" fillId="0" fontId="4" numFmtId="0" xfId="0" applyAlignment="1" applyFont="1">
      <alignment vertical="center"/>
    </xf>
    <xf borderId="4" fillId="32" fontId="31" numFmtId="164" xfId="0" applyAlignment="1" applyBorder="1" applyFill="1" applyFont="1" applyNumberFormat="1">
      <alignment horizontal="center" shrinkToFit="0" vertical="center" wrapText="1"/>
    </xf>
    <xf borderId="53" fillId="32" fontId="13" numFmtId="164" xfId="0" applyAlignment="1" applyBorder="1" applyFont="1" applyNumberFormat="1">
      <alignment horizontal="center" shrinkToFit="0" vertical="center" wrapText="1"/>
    </xf>
    <xf borderId="53" fillId="32" fontId="13" numFmtId="164" xfId="0" applyAlignment="1" applyBorder="1" applyFont="1" applyNumberFormat="1">
      <alignment horizontal="center" readingOrder="0" shrinkToFit="0" vertical="center" wrapText="1"/>
    </xf>
    <xf borderId="53" fillId="0" fontId="11" numFmtId="0" xfId="0" applyBorder="1" applyFont="1"/>
    <xf borderId="54" fillId="32" fontId="13" numFmtId="164" xfId="0" applyAlignment="1" applyBorder="1" applyFont="1" applyNumberFormat="1">
      <alignment horizontal="center" shrinkToFit="0" vertical="center" wrapText="1"/>
    </xf>
    <xf borderId="0" fillId="0" fontId="18" numFmtId="3" xfId="0" applyAlignment="1" applyFont="1" applyNumberFormat="1">
      <alignment horizontal="center" readingOrder="0" vertical="center"/>
    </xf>
    <xf borderId="0" fillId="0" fontId="137" numFmtId="0" xfId="0" applyAlignment="1" applyFont="1">
      <alignment horizontal="center" readingOrder="0" shrinkToFit="0" vertical="center" wrapText="1"/>
    </xf>
    <xf borderId="2" fillId="33" fontId="31" numFmtId="164" xfId="0" applyAlignment="1" applyBorder="1" applyFill="1" applyFont="1" applyNumberFormat="1">
      <alignment horizontal="center" shrinkToFit="0" vertical="center" wrapText="1"/>
    </xf>
    <xf borderId="2" fillId="33" fontId="27" numFmtId="164" xfId="0" applyAlignment="1" applyBorder="1" applyFont="1" applyNumberFormat="1">
      <alignment horizontal="center" shrinkToFit="0" vertical="center" wrapText="1"/>
    </xf>
    <xf borderId="4" fillId="33" fontId="27" numFmtId="164" xfId="0" applyAlignment="1" applyBorder="1" applyFont="1" applyNumberFormat="1">
      <alignment horizontal="center" readingOrder="0" shrinkToFit="0" vertical="center" wrapText="1"/>
    </xf>
    <xf borderId="55" fillId="33" fontId="27" numFmtId="164" xfId="0" applyAlignment="1" applyBorder="1" applyFont="1" applyNumberFormat="1">
      <alignment horizontal="center" readingOrder="0" shrinkToFit="0" vertical="center" wrapText="1"/>
    </xf>
    <xf borderId="56" fillId="0" fontId="11" numFmtId="0" xfId="0" applyBorder="1" applyFont="1"/>
    <xf borderId="57" fillId="0" fontId="11" numFmtId="0" xfId="0" applyBorder="1" applyFont="1"/>
    <xf borderId="54" fillId="33" fontId="13" numFmtId="164" xfId="0" applyAlignment="1" applyBorder="1" applyFont="1" applyNumberFormat="1">
      <alignment horizontal="center" shrinkToFit="0" vertical="center" wrapText="1"/>
    </xf>
    <xf borderId="5" fillId="3" fontId="8" numFmtId="0" xfId="0" applyAlignment="1" applyBorder="1" applyFont="1">
      <alignment horizontal="center" vertical="center"/>
    </xf>
    <xf borderId="5" fillId="3" fontId="8" numFmtId="0" xfId="0" applyAlignment="1" applyBorder="1" applyFont="1">
      <alignment horizontal="center" shrinkToFit="0" vertical="center" wrapText="1"/>
    </xf>
    <xf borderId="5" fillId="3" fontId="8" numFmtId="0" xfId="0" applyAlignment="1" applyBorder="1" applyFont="1">
      <alignment horizontal="center" shrinkToFit="0" vertical="center" wrapText="0"/>
    </xf>
    <xf borderId="6" fillId="3" fontId="8" numFmtId="0" xfId="0" applyAlignment="1" applyBorder="1" applyFont="1">
      <alignment horizontal="center" shrinkToFit="0" vertical="center" wrapText="1"/>
    </xf>
    <xf borderId="2" fillId="34" fontId="154" numFmtId="0" xfId="0" applyAlignment="1" applyBorder="1" applyFill="1" applyFont="1">
      <alignment horizontal="center" readingOrder="0" shrinkToFit="0" vertical="center" wrapText="1"/>
    </xf>
    <xf borderId="0" fillId="0" fontId="137" numFmtId="3" xfId="0" applyAlignment="1" applyFont="1" applyNumberFormat="1">
      <alignment horizontal="center" shrinkToFit="0" vertical="center" wrapText="1"/>
    </xf>
    <xf borderId="2" fillId="8" fontId="31" numFmtId="164" xfId="0" applyAlignment="1" applyBorder="1" applyFont="1" applyNumberFormat="1">
      <alignment horizontal="center" vertical="center"/>
    </xf>
    <xf borderId="2" fillId="8" fontId="20" numFmtId="164" xfId="0" applyAlignment="1" applyBorder="1" applyFont="1" applyNumberFormat="1">
      <alignment horizontal="center" vertical="center"/>
    </xf>
    <xf borderId="2" fillId="8" fontId="27" numFmtId="164" xfId="0" applyAlignment="1" applyBorder="1" applyFont="1" applyNumberFormat="1">
      <alignment horizontal="center" readingOrder="0" shrinkToFit="0" vertical="center" wrapText="1"/>
    </xf>
    <xf borderId="3" fillId="8" fontId="27" numFmtId="164" xfId="0" applyAlignment="1" applyBorder="1" applyFont="1" applyNumberFormat="1">
      <alignment horizontal="center" readingOrder="0" shrinkToFit="0" vertical="center" wrapText="1"/>
    </xf>
    <xf borderId="7" fillId="5" fontId="21" numFmtId="0" xfId="0" applyAlignment="1" applyBorder="1" applyFont="1">
      <alignment vertical="center"/>
    </xf>
    <xf borderId="8" fillId="5" fontId="21" numFmtId="0" xfId="0" applyAlignment="1" applyBorder="1" applyFont="1">
      <alignment vertical="center"/>
    </xf>
    <xf borderId="5" fillId="5" fontId="35" numFmtId="0" xfId="0" applyAlignment="1" applyBorder="1" applyFont="1">
      <alignment vertical="center"/>
    </xf>
    <xf borderId="5" fillId="5" fontId="35" numFmtId="164" xfId="0" applyAlignment="1" applyBorder="1" applyFont="1" applyNumberFormat="1">
      <alignment vertical="center"/>
    </xf>
    <xf borderId="5" fillId="5" fontId="35" numFmtId="0" xfId="0" applyAlignment="1" applyBorder="1" applyFont="1">
      <alignment vertical="center"/>
    </xf>
    <xf borderId="5" fillId="5" fontId="13" numFmtId="3" xfId="0" applyAlignment="1" applyBorder="1" applyFont="1" applyNumberFormat="1">
      <alignment horizontal="center" shrinkToFit="0" vertical="center" wrapText="1"/>
    </xf>
    <xf borderId="5" fillId="5" fontId="35" numFmtId="3" xfId="0" applyAlignment="1" applyBorder="1" applyFont="1" applyNumberFormat="1">
      <alignment vertical="center"/>
    </xf>
    <xf borderId="6" fillId="5" fontId="13" numFmtId="3" xfId="0" applyAlignment="1" applyBorder="1" applyFont="1" applyNumberFormat="1">
      <alignment horizontal="center" shrinkToFit="0" vertical="center" wrapText="1"/>
    </xf>
    <xf borderId="2" fillId="34" fontId="26" numFmtId="0" xfId="0" applyAlignment="1" applyBorder="1" applyFont="1">
      <alignment horizontal="center" shrinkToFit="0" vertical="center" wrapText="1"/>
    </xf>
    <xf borderId="0" fillId="0" fontId="155" numFmtId="0" xfId="0" applyAlignment="1" applyFont="1">
      <alignment horizontal="center" shrinkToFit="0" vertical="center" wrapText="1"/>
    </xf>
    <xf borderId="2" fillId="35" fontId="31" numFmtId="164" xfId="0" applyAlignment="1" applyBorder="1" applyFill="1" applyFont="1" applyNumberFormat="1">
      <alignment horizontal="center" readingOrder="0" shrinkToFit="0" vertical="center" wrapText="1"/>
    </xf>
    <xf borderId="2" fillId="35" fontId="27" numFmtId="9" xfId="0" applyAlignment="1" applyBorder="1" applyFont="1" applyNumberFormat="1">
      <alignment horizontal="center" readingOrder="0" shrinkToFit="0" vertical="center" wrapText="1"/>
    </xf>
    <xf borderId="2" fillId="35" fontId="2" numFmtId="164" xfId="0" applyAlignment="1" applyBorder="1" applyFont="1" applyNumberFormat="1">
      <alignment vertical="center"/>
    </xf>
    <xf borderId="58" fillId="35" fontId="2" numFmtId="164" xfId="0" applyAlignment="1" applyBorder="1" applyFont="1" applyNumberFormat="1">
      <alignment vertical="center"/>
    </xf>
    <xf borderId="54" fillId="35" fontId="2" numFmtId="164" xfId="0" applyAlignment="1" applyBorder="1" applyFont="1" applyNumberFormat="1">
      <alignment vertical="center"/>
    </xf>
    <xf borderId="2" fillId="35" fontId="27" numFmtId="164" xfId="0" applyAlignment="1" applyBorder="1" applyFont="1" applyNumberFormat="1">
      <alignment horizontal="center" shrinkToFit="0" vertical="center" wrapText="1"/>
    </xf>
    <xf borderId="2" fillId="35" fontId="27" numFmtId="10" xfId="0" applyAlignment="1" applyBorder="1" applyFont="1" applyNumberFormat="1">
      <alignment horizontal="center" shrinkToFit="0" vertical="center" wrapText="1"/>
    </xf>
    <xf borderId="10" fillId="5" fontId="21" numFmtId="0" xfId="0" applyAlignment="1" applyBorder="1" applyFont="1">
      <alignment vertical="center"/>
    </xf>
    <xf borderId="11" fillId="5" fontId="21" numFmtId="0" xfId="0" applyAlignment="1" applyBorder="1" applyFont="1">
      <alignment vertical="center"/>
    </xf>
    <xf borderId="0" fillId="0" fontId="155" numFmtId="10" xfId="0" applyAlignment="1" applyFont="1" applyNumberFormat="1">
      <alignment horizontal="center" shrinkToFit="0" vertical="center" wrapText="1"/>
    </xf>
    <xf borderId="6" fillId="2" fontId="27" numFmtId="0" xfId="0" applyAlignment="1" applyBorder="1" applyFont="1">
      <alignment horizontal="center" vertical="center"/>
    </xf>
    <xf borderId="0" fillId="8" fontId="27" numFmtId="0" xfId="0" applyAlignment="1" applyFont="1">
      <alignment shrinkToFit="0" vertical="center" wrapText="1"/>
    </xf>
    <xf borderId="6" fillId="0" fontId="20" numFmtId="0" xfId="0" applyAlignment="1" applyBorder="1" applyFont="1">
      <alignment shrinkToFit="0" vertical="center" wrapText="1"/>
    </xf>
    <xf borderId="6" fillId="2" fontId="20" numFmtId="164" xfId="0" applyAlignment="1" applyBorder="1" applyFont="1" applyNumberFormat="1">
      <alignment horizontal="center" shrinkToFit="0" vertical="center" wrapText="1"/>
    </xf>
    <xf borderId="6" fillId="0" fontId="27" numFmtId="0" xfId="0" applyAlignment="1" applyBorder="1" applyFont="1">
      <alignment horizontal="center" vertical="center"/>
    </xf>
    <xf borderId="6" fillId="2" fontId="156" numFmtId="0" xfId="0" applyAlignment="1" applyBorder="1" applyFont="1">
      <alignment horizontal="center" shrinkToFit="0" vertical="center" wrapText="0"/>
    </xf>
    <xf borderId="6" fillId="2" fontId="20" numFmtId="0" xfId="0" applyAlignment="1" applyBorder="1" applyFont="1">
      <alignment horizontal="center" shrinkToFit="0" vertical="center" wrapText="1"/>
    </xf>
    <xf borderId="5" fillId="2" fontId="157" numFmtId="0" xfId="0" applyAlignment="1" applyBorder="1" applyFont="1">
      <alignment shrinkToFit="0" vertical="center" wrapText="1"/>
    </xf>
    <xf borderId="5" fillId="2" fontId="20" numFmtId="0" xfId="0" applyAlignment="1" applyBorder="1" applyFont="1">
      <alignment horizontal="center" shrinkToFit="0" vertical="center" wrapText="1"/>
    </xf>
    <xf borderId="6" fillId="2" fontId="20" numFmtId="0" xfId="0" applyAlignment="1" applyBorder="1" applyFont="1">
      <alignment shrinkToFit="0" vertical="center" wrapText="1"/>
    </xf>
    <xf borderId="6" fillId="0" fontId="35" numFmtId="3" xfId="0" applyAlignment="1" applyBorder="1" applyFont="1" applyNumberFormat="1">
      <alignment vertical="center"/>
    </xf>
    <xf borderId="1" fillId="2" fontId="5" numFmtId="0" xfId="0" applyAlignment="1" applyBorder="1" applyFont="1">
      <alignment horizontal="center" readingOrder="0" shrinkToFit="0" vertical="center" wrapText="1"/>
    </xf>
    <xf borderId="0" fillId="2" fontId="158" numFmtId="0" xfId="0" applyAlignment="1" applyFont="1">
      <alignment horizontal="center" readingOrder="0" shrinkToFit="0" vertical="center" wrapText="1"/>
    </xf>
    <xf borderId="2" fillId="2" fontId="31" numFmtId="164" xfId="0" applyAlignment="1" applyBorder="1" applyFont="1" applyNumberFormat="1">
      <alignment horizontal="center" readingOrder="0" shrinkToFit="0" vertical="center" wrapText="1"/>
    </xf>
    <xf borderId="2" fillId="2" fontId="27" numFmtId="9" xfId="0" applyAlignment="1" applyBorder="1" applyFont="1" applyNumberFormat="1">
      <alignment horizontal="center" readingOrder="0" shrinkToFit="0" vertical="center" wrapText="1"/>
    </xf>
    <xf borderId="2" fillId="2" fontId="20" numFmtId="164" xfId="0" applyAlignment="1" applyBorder="1" applyFont="1" applyNumberFormat="1">
      <alignment readingOrder="0" vertical="center"/>
    </xf>
    <xf borderId="58" fillId="2" fontId="20" numFmtId="164" xfId="0" applyAlignment="1" applyBorder="1" applyFont="1" applyNumberFormat="1">
      <alignment readingOrder="0" vertical="center"/>
    </xf>
    <xf borderId="54" fillId="2" fontId="20" numFmtId="164" xfId="0" applyAlignment="1" applyBorder="1" applyFont="1" applyNumberFormat="1">
      <alignment readingOrder="0" vertical="center"/>
    </xf>
    <xf borderId="2" fillId="2" fontId="27" numFmtId="164" xfId="0" applyAlignment="1" applyBorder="1" applyFont="1" applyNumberFormat="1">
      <alignment horizontal="center" shrinkToFit="0" vertical="center" wrapText="1"/>
    </xf>
    <xf borderId="2" fillId="2" fontId="27" numFmtId="10" xfId="0" applyAlignment="1" applyBorder="1" applyFont="1" applyNumberFormat="1">
      <alignment horizontal="center" shrinkToFit="0" vertical="center" wrapText="1"/>
    </xf>
    <xf borderId="59" fillId="0" fontId="11" numFmtId="0" xfId="0" applyBorder="1" applyFont="1"/>
    <xf borderId="5" fillId="2" fontId="20" numFmtId="0" xfId="0" applyAlignment="1" applyBorder="1" applyFont="1">
      <alignment shrinkToFit="0" vertical="center" wrapText="1"/>
    </xf>
    <xf borderId="0" fillId="2" fontId="155" numFmtId="0" xfId="0" applyAlignment="1" applyFont="1">
      <alignment horizontal="center" readingOrder="0" shrinkToFit="0" vertical="center" wrapText="1"/>
    </xf>
    <xf borderId="6" fillId="0" fontId="159" numFmtId="0" xfId="0" applyAlignment="1" applyBorder="1" applyFont="1">
      <alignment vertical="center"/>
    </xf>
    <xf borderId="6" fillId="6" fontId="159" numFmtId="0" xfId="0" applyAlignment="1" applyBorder="1" applyFont="1">
      <alignment vertical="center"/>
    </xf>
    <xf borderId="6" fillId="0" fontId="160" numFmtId="3" xfId="0" applyAlignment="1" applyBorder="1" applyFont="1" applyNumberFormat="1">
      <alignment horizontal="center" shrinkToFit="0" vertical="center" wrapText="1"/>
    </xf>
    <xf borderId="6" fillId="8" fontId="31" numFmtId="0" xfId="0" applyAlignment="1" applyBorder="1" applyFont="1">
      <alignment shrinkToFit="0" vertical="center" wrapText="1"/>
    </xf>
    <xf borderId="6" fillId="10" fontId="27" numFmtId="0" xfId="0" applyAlignment="1" applyBorder="1" applyFont="1">
      <alignment vertical="center"/>
    </xf>
    <xf borderId="6" fillId="2" fontId="161" numFmtId="0" xfId="0" applyAlignment="1" applyBorder="1" applyFont="1">
      <alignment horizontal="center" vertical="center"/>
    </xf>
    <xf borderId="5" fillId="0" fontId="20" numFmtId="0" xfId="0" applyAlignment="1" applyBorder="1" applyFont="1">
      <alignment horizontal="center" shrinkToFit="0" vertical="center" wrapText="1"/>
    </xf>
    <xf borderId="0" fillId="2" fontId="162" numFmtId="0" xfId="0" applyAlignment="1" applyFont="1">
      <alignment horizontal="center" readingOrder="0" shrinkToFit="0" vertical="center" wrapText="1"/>
    </xf>
    <xf borderId="2" fillId="2" fontId="40" numFmtId="164" xfId="0" applyAlignment="1" applyBorder="1" applyFont="1" applyNumberFormat="1">
      <alignment horizontal="center" readingOrder="0" shrinkToFit="0" vertical="center" wrapText="1"/>
    </xf>
    <xf borderId="5" fillId="2" fontId="34" numFmtId="0" xfId="0" applyAlignment="1" applyBorder="1" applyFont="1">
      <alignment shrinkToFit="0" vertical="center" wrapText="1"/>
    </xf>
    <xf borderId="6" fillId="2" fontId="20" numFmtId="0" xfId="0" applyAlignment="1" applyBorder="1" applyFont="1">
      <alignment readingOrder="0" shrinkToFit="0" vertical="center" wrapText="1"/>
    </xf>
    <xf borderId="6" fillId="0" fontId="27" numFmtId="0" xfId="0" applyAlignment="1" applyBorder="1" applyFont="1">
      <alignment horizontal="center" readingOrder="0" vertical="center"/>
    </xf>
    <xf borderId="0" fillId="2" fontId="155" numFmtId="0" xfId="0" applyAlignment="1" applyFont="1">
      <alignment horizontal="center" readingOrder="0" shrinkToFit="0" vertical="center" wrapText="1"/>
    </xf>
    <xf borderId="5" fillId="5" fontId="35" numFmtId="10" xfId="0" applyAlignment="1" applyBorder="1" applyFont="1" applyNumberFormat="1">
      <alignment vertical="center"/>
    </xf>
    <xf borderId="5" fillId="12" fontId="27" numFmtId="0" xfId="0" applyAlignment="1" applyBorder="1" applyFont="1">
      <alignment horizontal="center" vertical="center"/>
    </xf>
    <xf borderId="5" fillId="12" fontId="31" numFmtId="0" xfId="0" applyAlignment="1" applyBorder="1" applyFont="1">
      <alignment shrinkToFit="0" vertical="center" wrapText="1"/>
    </xf>
    <xf borderId="5" fillId="0" fontId="35" numFmtId="0" xfId="0" applyAlignment="1" applyBorder="1" applyFont="1">
      <alignment vertical="center"/>
    </xf>
    <xf borderId="5" fillId="12" fontId="35" numFmtId="164" xfId="0" applyAlignment="1" applyBorder="1" applyFont="1" applyNumberFormat="1">
      <alignment vertical="center"/>
    </xf>
    <xf borderId="5" fillId="12" fontId="35" numFmtId="0" xfId="0" applyAlignment="1" applyBorder="1" applyFont="1">
      <alignment vertical="center"/>
    </xf>
    <xf borderId="5" fillId="12" fontId="20" numFmtId="0" xfId="0" applyAlignment="1" applyBorder="1" applyFont="1">
      <alignment horizontal="center" shrinkToFit="0" vertical="center" wrapText="1"/>
    </xf>
    <xf borderId="5" fillId="12" fontId="35" numFmtId="3" xfId="0" applyAlignment="1" applyBorder="1" applyFont="1" applyNumberFormat="1">
      <alignment vertical="center"/>
    </xf>
    <xf borderId="2" fillId="12" fontId="5" numFmtId="0" xfId="0" applyAlignment="1" applyBorder="1" applyFont="1">
      <alignment horizontal="center" readingOrder="0" shrinkToFit="0" vertical="center" wrapText="1"/>
    </xf>
    <xf borderId="0" fillId="12" fontId="155" numFmtId="0" xfId="0" applyAlignment="1" applyFont="1">
      <alignment horizontal="center" readingOrder="0" shrinkToFit="0" vertical="center" wrapText="1"/>
    </xf>
    <xf borderId="2" fillId="12" fontId="31" numFmtId="164" xfId="0" applyAlignment="1" applyBorder="1" applyFont="1" applyNumberFormat="1">
      <alignment horizontal="center" readingOrder="0" shrinkToFit="0" vertical="center" wrapText="1"/>
    </xf>
    <xf borderId="2" fillId="12" fontId="27" numFmtId="9" xfId="0" applyAlignment="1" applyBorder="1" applyFont="1" applyNumberFormat="1">
      <alignment horizontal="center" readingOrder="0" shrinkToFit="0" vertical="center" wrapText="1"/>
    </xf>
    <xf borderId="2" fillId="12" fontId="20" numFmtId="164" xfId="0" applyAlignment="1" applyBorder="1" applyFont="1" applyNumberFormat="1">
      <alignment readingOrder="0" vertical="center"/>
    </xf>
    <xf borderId="58" fillId="12" fontId="20" numFmtId="164" xfId="0" applyAlignment="1" applyBorder="1" applyFont="1" applyNumberFormat="1">
      <alignment readingOrder="0" vertical="center"/>
    </xf>
    <xf borderId="54" fillId="12" fontId="20" numFmtId="164" xfId="0" applyAlignment="1" applyBorder="1" applyFont="1" applyNumberFormat="1">
      <alignment readingOrder="0" vertical="center"/>
    </xf>
    <xf borderId="2" fillId="12" fontId="27" numFmtId="164" xfId="0" applyAlignment="1" applyBorder="1" applyFont="1" applyNumberFormat="1">
      <alignment horizontal="center" shrinkToFit="0" vertical="center" wrapText="1"/>
    </xf>
    <xf borderId="2" fillId="12" fontId="27" numFmtId="10" xfId="0" applyAlignment="1" applyBorder="1" applyFont="1" applyNumberFormat="1">
      <alignment horizontal="center" shrinkToFit="0" vertical="center" wrapText="1"/>
    </xf>
    <xf borderId="6" fillId="8" fontId="27" numFmtId="0" xfId="0" applyAlignment="1" applyBorder="1" applyFont="1">
      <alignment shrinkToFit="0" vertical="center" wrapText="1"/>
    </xf>
    <xf borderId="6" fillId="10" fontId="159" numFmtId="0" xfId="0" applyAlignment="1" applyBorder="1" applyFont="1">
      <alignment vertical="center"/>
    </xf>
    <xf borderId="6" fillId="10" fontId="31" numFmtId="0" xfId="0" applyAlignment="1" applyBorder="1" applyFont="1">
      <alignment shrinkToFit="0" vertical="center" wrapText="1"/>
    </xf>
    <xf borderId="6" fillId="8" fontId="159" numFmtId="0" xfId="0" applyAlignment="1" applyBorder="1" applyFont="1">
      <alignment vertical="center"/>
    </xf>
    <xf borderId="1" fillId="2" fontId="163" numFmtId="0" xfId="0" applyAlignment="1" applyBorder="1" applyFont="1">
      <alignment horizontal="center" readingOrder="0" shrinkToFit="0" vertical="center" wrapText="1"/>
    </xf>
    <xf borderId="6" fillId="10" fontId="27" numFmtId="0" xfId="0" applyAlignment="1" applyBorder="1" applyFont="1">
      <alignment readingOrder="0" vertical="center"/>
    </xf>
    <xf borderId="6" fillId="2" fontId="20" numFmtId="0" xfId="0" applyAlignment="1" applyBorder="1" applyFont="1">
      <alignment horizontal="center" readingOrder="0" shrinkToFit="0" vertical="center" wrapText="1"/>
    </xf>
    <xf borderId="6" fillId="2" fontId="164" numFmtId="0" xfId="0" applyAlignment="1" applyBorder="1" applyFont="1">
      <alignment horizontal="center" readingOrder="0" vertical="center"/>
    </xf>
    <xf borderId="6" fillId="2" fontId="40" numFmtId="0" xfId="0" applyAlignment="1" applyBorder="1" applyFont="1">
      <alignment horizontal="center" shrinkToFit="0" vertical="center" wrapText="0"/>
    </xf>
    <xf borderId="7" fillId="5" fontId="43" numFmtId="0" xfId="0" applyAlignment="1" applyBorder="1" applyFont="1">
      <alignment vertical="center"/>
    </xf>
    <xf borderId="5" fillId="0" fontId="27" numFmtId="0" xfId="0" applyAlignment="1" applyBorder="1" applyFont="1">
      <alignment horizontal="center" vertical="center"/>
    </xf>
    <xf borderId="5" fillId="6" fontId="31" numFmtId="0" xfId="0" applyAlignment="1" applyBorder="1" applyFont="1">
      <alignment shrinkToFit="0" vertical="center" wrapText="1"/>
    </xf>
    <xf borderId="5" fillId="0" fontId="20" numFmtId="0" xfId="0" applyAlignment="1" applyBorder="1" applyFont="1">
      <alignment shrinkToFit="0" vertical="center" wrapText="1"/>
    </xf>
    <xf borderId="5" fillId="0" fontId="20" numFmtId="164" xfId="0" applyAlignment="1" applyBorder="1" applyFont="1" applyNumberFormat="1">
      <alignment horizontal="center" shrinkToFit="0" vertical="center" wrapText="1"/>
    </xf>
    <xf borderId="5" fillId="0" fontId="20" numFmtId="0" xfId="0" applyAlignment="1" applyBorder="1" applyFont="1">
      <alignment horizontal="center" vertical="center"/>
    </xf>
    <xf borderId="5" fillId="0" fontId="165" numFmtId="0" xfId="0" applyAlignment="1" applyBorder="1" applyFont="1">
      <alignment horizontal="center" shrinkToFit="0" vertical="center" wrapText="0"/>
    </xf>
    <xf borderId="2" fillId="0" fontId="5" numFmtId="0" xfId="0" applyAlignment="1" applyBorder="1" applyFont="1">
      <alignment horizontal="center" readingOrder="0" shrinkToFit="0" vertical="center" wrapText="1"/>
    </xf>
    <xf borderId="0" fillId="0" fontId="166" numFmtId="0" xfId="0" applyAlignment="1" applyFont="1">
      <alignment horizontal="center" readingOrder="0" shrinkToFit="0" vertical="center" wrapText="1"/>
    </xf>
    <xf borderId="2" fillId="0" fontId="31" numFmtId="164" xfId="0" applyAlignment="1" applyBorder="1" applyFont="1" applyNumberFormat="1">
      <alignment horizontal="center" readingOrder="0" shrinkToFit="0" vertical="center" wrapText="1"/>
    </xf>
    <xf borderId="2" fillId="0" fontId="20" numFmtId="164" xfId="0" applyAlignment="1" applyBorder="1" applyFont="1" applyNumberFormat="1">
      <alignment readingOrder="0" vertical="center"/>
    </xf>
    <xf borderId="58" fillId="0" fontId="20" numFmtId="164" xfId="0" applyAlignment="1" applyBorder="1" applyFont="1" applyNumberFormat="1">
      <alignment readingOrder="0" vertical="center"/>
    </xf>
    <xf borderId="54" fillId="0" fontId="20" numFmtId="164" xfId="0" applyAlignment="1" applyBorder="1" applyFont="1" applyNumberFormat="1">
      <alignment readingOrder="0" vertical="center"/>
    </xf>
    <xf borderId="2" fillId="0" fontId="27" numFmtId="164" xfId="0" applyAlignment="1" applyBorder="1" applyFont="1" applyNumberFormat="1">
      <alignment horizontal="center" shrinkToFit="0" vertical="center" wrapText="1"/>
    </xf>
    <xf borderId="2" fillId="0" fontId="27" numFmtId="10" xfId="0" applyAlignment="1" applyBorder="1" applyFont="1" applyNumberFormat="1">
      <alignment horizontal="center" shrinkToFit="0" vertical="center" wrapText="1"/>
    </xf>
    <xf borderId="5" fillId="2" fontId="35" numFmtId="0" xfId="0" applyAlignment="1" applyBorder="1" applyFont="1">
      <alignment vertical="center"/>
    </xf>
    <xf borderId="5" fillId="0" fontId="31" numFmtId="0" xfId="0" applyAlignment="1" applyBorder="1" applyFont="1">
      <alignment shrinkToFit="0" vertical="center" wrapText="1"/>
    </xf>
    <xf borderId="0" fillId="0" fontId="155" numFmtId="0" xfId="0" applyAlignment="1" applyFont="1">
      <alignment horizontal="center" readingOrder="0" shrinkToFit="0" vertical="center" wrapText="1"/>
    </xf>
    <xf borderId="13" fillId="5" fontId="43" numFmtId="0" xfId="0" applyAlignment="1" applyBorder="1" applyFont="1">
      <alignment readingOrder="0" vertical="center"/>
    </xf>
    <xf borderId="15" fillId="5" fontId="35" numFmtId="3" xfId="0" applyAlignment="1" applyBorder="1" applyFont="1" applyNumberFormat="1">
      <alignment vertical="center"/>
    </xf>
    <xf borderId="15" fillId="5" fontId="13" numFmtId="3" xfId="0" applyAlignment="1" applyBorder="1" applyFont="1" applyNumberFormat="1">
      <alignment horizontal="right" shrinkToFit="0" vertical="center" wrapText="1"/>
    </xf>
    <xf borderId="16" fillId="5" fontId="35" numFmtId="10" xfId="0" applyAlignment="1" applyBorder="1" applyFont="1" applyNumberFormat="1">
      <alignment vertical="center"/>
    </xf>
    <xf borderId="2" fillId="36" fontId="35" numFmtId="0" xfId="0" applyAlignment="1" applyBorder="1" applyFill="1" applyFont="1">
      <alignment vertical="center"/>
    </xf>
    <xf borderId="0" fillId="0" fontId="167" numFmtId="0" xfId="0" applyAlignment="1" applyFont="1">
      <alignment vertical="center"/>
    </xf>
    <xf borderId="2" fillId="35" fontId="35" numFmtId="164" xfId="0" applyAlignment="1" applyBorder="1" applyFont="1" applyNumberFormat="1">
      <alignment vertical="center"/>
    </xf>
    <xf borderId="2" fillId="35" fontId="35" numFmtId="9" xfId="0" applyAlignment="1" applyBorder="1" applyFont="1" applyNumberFormat="1">
      <alignment vertical="center"/>
    </xf>
    <xf borderId="58" fillId="35" fontId="35" numFmtId="164" xfId="0" applyAlignment="1" applyBorder="1" applyFont="1" applyNumberFormat="1">
      <alignment vertical="center"/>
    </xf>
    <xf borderId="54" fillId="35" fontId="35" numFmtId="164" xfId="0" applyAlignment="1" applyBorder="1" applyFont="1" applyNumberFormat="1">
      <alignment vertical="center"/>
    </xf>
    <xf borderId="2" fillId="35" fontId="35" numFmtId="10" xfId="0" applyAlignment="1" applyBorder="1" applyFont="1" applyNumberFormat="1">
      <alignment vertical="center"/>
    </xf>
    <xf borderId="17" fillId="0" fontId="27" numFmtId="0" xfId="0" applyAlignment="1" applyBorder="1" applyFont="1">
      <alignment horizontal="center" vertical="center"/>
    </xf>
    <xf borderId="18" fillId="14" fontId="13" numFmtId="0" xfId="0" applyAlignment="1" applyBorder="1" applyFont="1">
      <alignment readingOrder="0" shrinkToFit="0" vertical="center" wrapText="1"/>
    </xf>
    <xf borderId="19" fillId="0" fontId="20" numFmtId="0" xfId="0" applyAlignment="1" applyBorder="1" applyFont="1">
      <alignment readingOrder="0" shrinkToFit="0" vertical="center" wrapText="1"/>
    </xf>
    <xf borderId="18" fillId="0" fontId="2" numFmtId="0" xfId="0" applyAlignment="1" applyBorder="1" applyFont="1">
      <alignment horizontal="center" shrinkToFit="0" vertical="center" wrapText="1"/>
    </xf>
    <xf borderId="18" fillId="0" fontId="27" numFmtId="3" xfId="0" applyAlignment="1" applyBorder="1" applyFont="1" applyNumberFormat="1">
      <alignment horizontal="center" readingOrder="0" shrinkToFit="0" vertical="center" wrapText="1"/>
    </xf>
    <xf borderId="22" fillId="0" fontId="35" numFmtId="0" xfId="0" applyAlignment="1" applyBorder="1" applyFont="1">
      <alignment vertical="center"/>
    </xf>
    <xf borderId="2" fillId="0" fontId="35" numFmtId="0" xfId="0" applyAlignment="1" applyBorder="1" applyFont="1">
      <alignment vertical="center"/>
    </xf>
    <xf borderId="2" fillId="0" fontId="31" numFmtId="164" xfId="0" applyAlignment="1" applyBorder="1" applyFont="1" applyNumberFormat="1">
      <alignment horizontal="center" shrinkToFit="0" vertical="center" wrapText="1"/>
    </xf>
    <xf borderId="2" fillId="0" fontId="35" numFmtId="164" xfId="0" applyAlignment="1" applyBorder="1" applyFont="1" applyNumberFormat="1">
      <alignment vertical="center"/>
    </xf>
    <xf borderId="58" fillId="0" fontId="35" numFmtId="164" xfId="0" applyAlignment="1" applyBorder="1" applyFont="1" applyNumberFormat="1">
      <alignment vertical="center"/>
    </xf>
    <xf borderId="54" fillId="0" fontId="35" numFmtId="164" xfId="0" applyAlignment="1" applyBorder="1" applyFont="1" applyNumberFormat="1">
      <alignment vertical="center"/>
    </xf>
    <xf borderId="19" fillId="0" fontId="2" numFmtId="0" xfId="0" applyAlignment="1" applyBorder="1" applyFont="1">
      <alignment shrinkToFit="0" vertical="center" wrapText="1"/>
    </xf>
    <xf borderId="2" fillId="2" fontId="35" numFmtId="9" xfId="0" applyAlignment="1" applyBorder="1" applyFont="1" applyNumberFormat="1">
      <alignment vertical="center"/>
    </xf>
    <xf borderId="23" fillId="15" fontId="35" numFmtId="0" xfId="0" applyAlignment="1" applyBorder="1" applyFont="1">
      <alignment vertical="center"/>
    </xf>
    <xf borderId="24" fillId="15" fontId="35" numFmtId="0" xfId="0" applyAlignment="1" applyBorder="1" applyFont="1">
      <alignment vertical="center"/>
    </xf>
    <xf borderId="24" fillId="15" fontId="7" numFmtId="0" xfId="0" applyAlignment="1" applyBorder="1" applyFont="1">
      <alignment horizontal="center" vertical="center"/>
    </xf>
    <xf borderId="24" fillId="15" fontId="35" numFmtId="1" xfId="0" applyAlignment="1" applyBorder="1" applyFont="1" applyNumberFormat="1">
      <alignment vertical="center"/>
    </xf>
    <xf borderId="25" fillId="15" fontId="35" numFmtId="0" xfId="0" applyAlignment="1" applyBorder="1" applyFont="1">
      <alignment vertical="center"/>
    </xf>
    <xf borderId="0" fillId="0" fontId="35" numFmtId="164" xfId="0" applyAlignment="1" applyFont="1" applyNumberFormat="1">
      <alignment vertical="center"/>
    </xf>
    <xf borderId="2" fillId="9" fontId="2" numFmtId="164" xfId="0" applyAlignment="1" applyBorder="1" applyFont="1" applyNumberFormat="1">
      <alignment vertical="center"/>
    </xf>
    <xf borderId="2" fillId="9" fontId="13" numFmtId="164" xfId="0" applyAlignment="1" applyBorder="1" applyFont="1" applyNumberFormat="1">
      <alignment horizontal="center" shrinkToFit="0" vertical="center" wrapText="1"/>
    </xf>
    <xf borderId="2" fillId="9" fontId="27" numFmtId="10" xfId="0" applyAlignment="1" applyBorder="1" applyFont="1" applyNumberFormat="1">
      <alignment horizontal="center" shrinkToFit="0" vertical="center" wrapText="1"/>
    </xf>
    <xf borderId="24" fillId="15" fontId="7" numFmtId="9" xfId="0" applyAlignment="1" applyBorder="1" applyFont="1" applyNumberFormat="1">
      <alignment horizontal="right" shrinkToFit="0" vertical="center" wrapText="1"/>
    </xf>
    <xf borderId="0" fillId="0" fontId="31" numFmtId="164" xfId="0" applyAlignment="1" applyFont="1" applyNumberFormat="1">
      <alignment horizontal="center" readingOrder="0" vertical="center"/>
    </xf>
    <xf borderId="4" fillId="37" fontId="7" numFmtId="164" xfId="0" applyAlignment="1" applyBorder="1" applyFill="1" applyFont="1" applyNumberFormat="1">
      <alignment horizontal="center" shrinkToFit="0" vertical="center" wrapText="1"/>
    </xf>
    <xf borderId="54" fillId="0" fontId="11" numFmtId="0" xfId="0" applyBorder="1" applyFont="1"/>
    <xf borderId="26" fillId="15" fontId="35" numFmtId="0" xfId="0" applyAlignment="1" applyBorder="1" applyFont="1">
      <alignment vertical="center"/>
    </xf>
    <xf borderId="27" fillId="15" fontId="35" numFmtId="0" xfId="0" applyAlignment="1" applyBorder="1" applyFont="1">
      <alignment vertical="center"/>
    </xf>
    <xf borderId="27" fillId="15" fontId="7" numFmtId="0" xfId="0" applyAlignment="1" applyBorder="1" applyFont="1">
      <alignment horizontal="center" vertical="center"/>
    </xf>
    <xf borderId="27" fillId="15" fontId="35" numFmtId="9" xfId="0" applyAlignment="1" applyBorder="1" applyFont="1" applyNumberFormat="1">
      <alignment vertical="center"/>
    </xf>
    <xf borderId="28" fillId="15" fontId="35" numFmtId="0" xfId="0" applyAlignment="1" applyBorder="1" applyFont="1">
      <alignment vertical="center"/>
    </xf>
    <xf borderId="0" fillId="0" fontId="2" numFmtId="164" xfId="0" applyAlignment="1" applyFont="1" applyNumberFormat="1">
      <alignment readingOrder="0" vertical="center"/>
    </xf>
    <xf borderId="2" fillId="12" fontId="13" numFmtId="164" xfId="0" applyAlignment="1" applyBorder="1" applyFont="1" applyNumberFormat="1">
      <alignment readingOrder="0" shrinkToFit="0" vertical="center" wrapText="1"/>
    </xf>
    <xf borderId="2" fillId="12" fontId="2" numFmtId="164" xfId="0" applyAlignment="1" applyBorder="1" applyFont="1" applyNumberFormat="1">
      <alignment readingOrder="0" vertical="center"/>
    </xf>
    <xf borderId="0" fillId="0" fontId="168" numFmtId="0" xfId="0" applyAlignment="1" applyFont="1">
      <alignment horizontal="left" readingOrder="0" vertical="center"/>
    </xf>
    <xf borderId="29" fillId="15" fontId="35" numFmtId="0" xfId="0" applyAlignment="1" applyBorder="1" applyFont="1">
      <alignment vertical="center"/>
    </xf>
    <xf borderId="30" fillId="15" fontId="35" numFmtId="0" xfId="0" applyAlignment="1" applyBorder="1" applyFont="1">
      <alignment vertical="center"/>
    </xf>
    <xf borderId="30" fillId="15" fontId="7" numFmtId="0" xfId="0" applyAlignment="1" applyBorder="1" applyFont="1">
      <alignment horizontal="center" vertical="center"/>
    </xf>
    <xf borderId="30" fillId="15" fontId="35" numFmtId="9" xfId="0" applyAlignment="1" applyBorder="1" applyFont="1" applyNumberFormat="1">
      <alignment vertical="center"/>
    </xf>
    <xf borderId="31" fillId="15" fontId="35" numFmtId="0" xfId="0" applyAlignment="1" applyBorder="1" applyFont="1">
      <alignment vertical="center"/>
    </xf>
    <xf borderId="2" fillId="12" fontId="13" numFmtId="164" xfId="0" applyAlignment="1" applyBorder="1" applyFont="1" applyNumberFormat="1">
      <alignment shrinkToFit="0" vertical="center" wrapText="1"/>
    </xf>
    <xf borderId="2" fillId="12" fontId="13" numFmtId="164" xfId="0" applyAlignment="1" applyBorder="1" applyFont="1" applyNumberFormat="1">
      <alignment horizontal="right" shrinkToFit="0" vertical="center" wrapText="1"/>
    </xf>
    <xf borderId="0" fillId="2" fontId="35" numFmtId="0" xfId="0" applyAlignment="1" applyFont="1">
      <alignment vertical="center"/>
    </xf>
    <xf borderId="0" fillId="2" fontId="35" numFmtId="164" xfId="0" applyAlignment="1" applyFont="1" applyNumberFormat="1">
      <alignment vertical="center"/>
    </xf>
    <xf borderId="0" fillId="2" fontId="35" numFmtId="3" xfId="0" applyAlignment="1" applyFont="1" applyNumberFormat="1">
      <alignment vertical="center"/>
    </xf>
    <xf borderId="0" fillId="0" fontId="31" numFmtId="0" xfId="0" applyAlignment="1" applyFont="1">
      <alignment horizontal="center" vertical="center"/>
    </xf>
    <xf borderId="2" fillId="32" fontId="13" numFmtId="164" xfId="0" applyAlignment="1" applyBorder="1" applyFont="1" applyNumberFormat="1">
      <alignment shrinkToFit="0" vertical="center" wrapText="1"/>
    </xf>
    <xf borderId="2" fillId="32" fontId="13" numFmtId="10" xfId="0" applyAlignment="1" applyBorder="1" applyFont="1" applyNumberFormat="1">
      <alignment horizontal="right" shrinkToFit="0" vertical="center" wrapText="1"/>
    </xf>
    <xf borderId="0" fillId="0" fontId="137" numFmtId="0" xfId="0" applyAlignment="1" applyFont="1">
      <alignment horizontal="center" shrinkToFit="0" vertical="center" wrapText="1"/>
    </xf>
    <xf borderId="4" fillId="38" fontId="138" numFmtId="49" xfId="0" applyAlignment="1" applyBorder="1" applyFill="1" applyFont="1" applyNumberFormat="1">
      <alignment horizontal="center" readingOrder="0" shrinkToFit="0" vertical="center" wrapText="1"/>
    </xf>
    <xf borderId="0" fillId="0" fontId="2" numFmtId="0" xfId="0" applyAlignment="1" applyFont="1">
      <alignment readingOrder="0" vertical="center"/>
    </xf>
    <xf borderId="2" fillId="38" fontId="141" numFmtId="49" xfId="0" applyAlignment="1" applyBorder="1" applyFont="1" applyNumberFormat="1">
      <alignment horizontal="center" shrinkToFit="0" vertical="center" wrapText="1"/>
    </xf>
    <xf borderId="2" fillId="38" fontId="35" numFmtId="164" xfId="0" applyAlignment="1" applyBorder="1" applyFont="1" applyNumberFormat="1">
      <alignment vertical="center"/>
    </xf>
    <xf borderId="2" fillId="38" fontId="141" numFmtId="164" xfId="0" applyAlignment="1" applyBorder="1" applyFont="1" applyNumberFormat="1">
      <alignment horizontal="center" shrinkToFit="0" vertical="center" wrapText="1"/>
    </xf>
    <xf borderId="2" fillId="38" fontId="141" numFmtId="0" xfId="0" applyAlignment="1" applyBorder="1" applyFont="1">
      <alignment horizontal="center" shrinkToFit="0" vertical="center" wrapText="1"/>
    </xf>
    <xf borderId="2" fillId="9" fontId="68" numFmtId="0" xfId="0" applyAlignment="1" applyBorder="1" applyFont="1">
      <alignment vertical="center"/>
    </xf>
    <xf borderId="2" fillId="9" fontId="169" numFmtId="0" xfId="0" applyAlignment="1" applyBorder="1" applyFont="1">
      <alignment shrinkToFit="0" vertical="center" wrapText="0"/>
    </xf>
    <xf borderId="2" fillId="9" fontId="68" numFmtId="3" xfId="0" applyAlignment="1" applyBorder="1" applyFont="1" applyNumberFormat="1">
      <alignment horizontal="center" vertical="center"/>
    </xf>
    <xf borderId="2" fillId="0" fontId="140" numFmtId="3" xfId="0" applyAlignment="1" applyBorder="1" applyFont="1" applyNumberFormat="1">
      <alignment readingOrder="0" shrinkToFit="0" vertical="center" wrapText="1"/>
    </xf>
    <xf borderId="2" fillId="0" fontId="35" numFmtId="3" xfId="0" applyAlignment="1" applyBorder="1" applyFont="1" applyNumberFormat="1">
      <alignment vertical="center"/>
    </xf>
    <xf borderId="2" fillId="0" fontId="140" numFmtId="3" xfId="0" applyAlignment="1" applyBorder="1" applyFont="1" applyNumberFormat="1">
      <alignment horizontal="right" readingOrder="0" shrinkToFit="0" vertical="center" wrapText="1"/>
    </xf>
    <xf borderId="2" fillId="0" fontId="140" numFmtId="3" xfId="0" applyAlignment="1" applyBorder="1" applyFont="1" applyNumberFormat="1">
      <alignment horizontal="right" shrinkToFit="0" vertical="center" wrapText="1"/>
    </xf>
    <xf borderId="4" fillId="38" fontId="141" numFmtId="49" xfId="0" applyAlignment="1" applyBorder="1" applyFont="1" applyNumberFormat="1">
      <alignment shrinkToFit="0" vertical="center" wrapText="1"/>
    </xf>
    <xf borderId="53" fillId="38" fontId="35" numFmtId="0" xfId="0" applyAlignment="1" applyBorder="1" applyFont="1">
      <alignment vertical="center"/>
    </xf>
    <xf borderId="54" fillId="38" fontId="35" numFmtId="0" xfId="0" applyAlignment="1" applyBorder="1" applyFont="1">
      <alignment vertical="center"/>
    </xf>
    <xf borderId="2" fillId="38" fontId="170" numFmtId="3" xfId="0" applyAlignment="1" applyBorder="1" applyFont="1" applyNumberFormat="1">
      <alignment horizontal="right" shrinkToFit="0" vertical="center" wrapText="1"/>
    </xf>
    <xf borderId="2" fillId="0" fontId="35" numFmtId="0" xfId="0" applyAlignment="1" applyBorder="1" applyFont="1">
      <alignment vertical="center"/>
    </xf>
    <xf borderId="4" fillId="37" fontId="141" numFmtId="49" xfId="0" applyAlignment="1" applyBorder="1" applyFont="1" applyNumberFormat="1">
      <alignment shrinkToFit="0" vertical="center" wrapText="1"/>
    </xf>
    <xf borderId="53" fillId="37" fontId="35" numFmtId="0" xfId="0" applyAlignment="1" applyBorder="1" applyFont="1">
      <alignment vertical="center"/>
    </xf>
    <xf borderId="54" fillId="37" fontId="35" numFmtId="0" xfId="0" applyAlignment="1" applyBorder="1" applyFont="1">
      <alignment vertical="center"/>
    </xf>
    <xf borderId="2" fillId="37" fontId="141" numFmtId="3" xfId="0" applyAlignment="1" applyBorder="1" applyFont="1" applyNumberFormat="1">
      <alignment horizontal="right" shrinkToFit="0" vertical="center" wrapText="1"/>
    </xf>
    <xf borderId="0" fillId="0" fontId="35" numFmtId="3" xfId="0" applyAlignment="1" applyFont="1" applyNumberFormat="1">
      <alignment vertical="center"/>
    </xf>
    <xf borderId="0" fillId="0" fontId="4" numFmtId="0" xfId="0" applyFont="1"/>
    <xf borderId="60" fillId="3" fontId="8" numFmtId="0" xfId="0" applyAlignment="1" applyBorder="1" applyFont="1">
      <alignment horizontal="center" readingOrder="0" shrinkToFit="0" vertical="center" wrapText="0"/>
    </xf>
    <xf borderId="61" fillId="3" fontId="8" numFmtId="0" xfId="0" applyAlignment="1" applyBorder="1" applyFont="1">
      <alignment horizontal="center" readingOrder="0" shrinkToFit="0" vertical="center" wrapText="1"/>
    </xf>
    <xf borderId="61" fillId="3" fontId="8" numFmtId="0" xfId="0" applyAlignment="1" applyBorder="1" applyFont="1">
      <alignment horizontal="center" shrinkToFit="0" vertical="center" wrapText="1"/>
    </xf>
    <xf borderId="61" fillId="3" fontId="8" numFmtId="0" xfId="0" applyAlignment="1" applyBorder="1" applyFont="1">
      <alignment horizontal="center" readingOrder="0" shrinkToFit="0" vertical="center" wrapText="0"/>
    </xf>
    <xf borderId="61" fillId="3" fontId="19" numFmtId="0" xfId="0" applyAlignment="1" applyBorder="1" applyFont="1">
      <alignment horizontal="center" shrinkToFit="0" vertical="center" wrapText="0"/>
    </xf>
    <xf borderId="62" fillId="3" fontId="8" numFmtId="0" xfId="0" applyAlignment="1" applyBorder="1" applyFont="1">
      <alignment horizontal="center" readingOrder="0" shrinkToFit="0" vertical="center" wrapText="1"/>
    </xf>
    <xf borderId="0" fillId="2" fontId="20" numFmtId="0" xfId="0" applyAlignment="1" applyFont="1">
      <alignment horizontal="center" vertical="center"/>
    </xf>
    <xf borderId="63" fillId="5" fontId="21" numFmtId="0" xfId="0" applyAlignment="1" applyBorder="1" applyFont="1">
      <alignment horizontal="left" readingOrder="0" shrinkToFit="0" vertical="center" wrapText="0"/>
    </xf>
    <xf borderId="64" fillId="0" fontId="11" numFmtId="0" xfId="0" applyBorder="1" applyFont="1"/>
    <xf borderId="65" fillId="5" fontId="22" numFmtId="0" xfId="0" applyAlignment="1" applyBorder="1" applyFont="1">
      <alignment vertical="center"/>
    </xf>
    <xf borderId="65" fillId="5" fontId="22" numFmtId="164" xfId="0" applyAlignment="1" applyBorder="1" applyFont="1" applyNumberFormat="1">
      <alignment horizontal="center" readingOrder="0" shrinkToFit="0" vertical="center" wrapText="1"/>
    </xf>
    <xf borderId="65" fillId="5" fontId="22" numFmtId="0" xfId="0" applyAlignment="1" applyBorder="1" applyFont="1">
      <alignment horizontal="center" readingOrder="0" shrinkToFit="0" vertical="center" wrapText="0"/>
    </xf>
    <xf borderId="65" fillId="5" fontId="171" numFmtId="0" xfId="0" applyAlignment="1" applyBorder="1" applyFont="1">
      <alignment horizontal="center" readingOrder="0" shrinkToFit="0" vertical="center" wrapText="0"/>
    </xf>
    <xf borderId="65" fillId="5" fontId="22" numFmtId="0" xfId="0" applyAlignment="1" applyBorder="1" applyFont="1">
      <alignment readingOrder="0" shrinkToFit="0" vertical="center" wrapText="1"/>
    </xf>
    <xf borderId="65" fillId="5" fontId="24" numFmtId="0" xfId="0" applyAlignment="1" applyBorder="1" applyFont="1">
      <alignment horizontal="center" readingOrder="0" shrinkToFit="0" vertical="center" wrapText="1"/>
    </xf>
    <xf borderId="65" fillId="5" fontId="10" numFmtId="3" xfId="0" applyAlignment="1" applyBorder="1" applyFont="1" applyNumberFormat="1">
      <alignment horizontal="center" readingOrder="0" shrinkToFit="0" vertical="center" wrapText="1"/>
    </xf>
    <xf borderId="65" fillId="5" fontId="10" numFmtId="3" xfId="0" applyAlignment="1" applyBorder="1" applyFont="1" applyNumberFormat="1">
      <alignment horizontal="center" shrinkToFit="0" vertical="center" wrapText="1"/>
    </xf>
    <xf borderId="65" fillId="5" fontId="10" numFmtId="3" xfId="0" applyAlignment="1" applyBorder="1" applyFont="1" applyNumberFormat="1">
      <alignment horizontal="right" shrinkToFit="0" vertical="center" wrapText="1"/>
    </xf>
    <xf borderId="66" fillId="5" fontId="10" numFmtId="3" xfId="0" applyAlignment="1" applyBorder="1" applyFont="1" applyNumberFormat="1">
      <alignment horizontal="center" shrinkToFit="0" vertical="center" wrapText="1"/>
    </xf>
    <xf borderId="67" fillId="5" fontId="25" numFmtId="0" xfId="0" applyAlignment="1" applyBorder="1" applyFont="1">
      <alignment readingOrder="0" shrinkToFit="0" vertical="center" wrapText="1"/>
    </xf>
    <xf borderId="0" fillId="2" fontId="2" numFmtId="164" xfId="0" applyAlignment="1" applyFont="1" applyNumberFormat="1">
      <alignment horizontal="right" shrinkToFit="0" vertical="center" wrapText="1"/>
    </xf>
    <xf borderId="13" fillId="0" fontId="11" numFmtId="0" xfId="0" applyBorder="1" applyFont="1"/>
    <xf borderId="68" fillId="0" fontId="11" numFmtId="0" xfId="0" applyBorder="1" applyFont="1"/>
    <xf borderId="69" fillId="5" fontId="22" numFmtId="0" xfId="0" applyAlignment="1" applyBorder="1" applyFont="1">
      <alignment vertical="center"/>
    </xf>
    <xf borderId="69" fillId="5" fontId="22" numFmtId="164" xfId="0" applyAlignment="1" applyBorder="1" applyFont="1" applyNumberFormat="1">
      <alignment horizontal="center" readingOrder="0" shrinkToFit="0" vertical="center" wrapText="1"/>
    </xf>
    <xf borderId="69" fillId="5" fontId="22" numFmtId="0" xfId="0" applyAlignment="1" applyBorder="1" applyFont="1">
      <alignment horizontal="center" readingOrder="0" shrinkToFit="0" vertical="center" wrapText="0"/>
    </xf>
    <xf borderId="69" fillId="5" fontId="172" numFmtId="0" xfId="0" applyAlignment="1" applyBorder="1" applyFont="1">
      <alignment horizontal="center" readingOrder="0" shrinkToFit="0" vertical="center" wrapText="0"/>
    </xf>
    <xf borderId="69" fillId="5" fontId="22" numFmtId="0" xfId="0" applyAlignment="1" applyBorder="1" applyFont="1">
      <alignment readingOrder="0" shrinkToFit="0" vertical="center" wrapText="1"/>
    </xf>
    <xf borderId="69" fillId="5" fontId="24" numFmtId="0" xfId="0" applyAlignment="1" applyBorder="1" applyFont="1">
      <alignment horizontal="center" readingOrder="0" shrinkToFit="0" vertical="center" wrapText="1"/>
    </xf>
    <xf borderId="69" fillId="5" fontId="10" numFmtId="3" xfId="0" applyAlignment="1" applyBorder="1" applyFont="1" applyNumberFormat="1">
      <alignment horizontal="center" readingOrder="0" shrinkToFit="0" vertical="center" wrapText="1"/>
    </xf>
    <xf borderId="69" fillId="5" fontId="10" numFmtId="3" xfId="0" applyAlignment="1" applyBorder="1" applyFont="1" applyNumberFormat="1">
      <alignment horizontal="center" shrinkToFit="0" vertical="center" wrapText="1"/>
    </xf>
    <xf borderId="69" fillId="5" fontId="10" numFmtId="3" xfId="0" applyAlignment="1" applyBorder="1" applyFont="1" applyNumberFormat="1">
      <alignment horizontal="right" shrinkToFit="0" vertical="center" wrapText="1"/>
    </xf>
    <xf borderId="15" fillId="0" fontId="11" numFmtId="0" xfId="0" applyBorder="1" applyFont="1"/>
    <xf borderId="70" fillId="5" fontId="25" numFmtId="0" xfId="0" applyAlignment="1" applyBorder="1" applyFont="1">
      <alignment readingOrder="0" shrinkToFit="0" vertical="center" wrapText="1"/>
    </xf>
    <xf borderId="71" fillId="2" fontId="27" numFmtId="0" xfId="0" applyAlignment="1" applyBorder="1" applyFont="1">
      <alignment horizontal="center" readingOrder="0" shrinkToFit="0" vertical="center" wrapText="0"/>
    </xf>
    <xf borderId="72" fillId="2" fontId="31" numFmtId="0" xfId="0" applyAlignment="1" applyBorder="1" applyFont="1">
      <alignment readingOrder="0" shrinkToFit="0" vertical="center" wrapText="1"/>
    </xf>
    <xf borderId="72" fillId="2" fontId="20" numFmtId="0" xfId="0" applyAlignment="1" applyBorder="1" applyFont="1">
      <alignment readingOrder="0" shrinkToFit="0" vertical="center" wrapText="1"/>
    </xf>
    <xf borderId="72" fillId="2" fontId="20" numFmtId="164" xfId="0" applyAlignment="1" applyBorder="1" applyFont="1" applyNumberFormat="1">
      <alignment horizontal="center" readingOrder="0" shrinkToFit="0" vertical="center" wrapText="1"/>
    </xf>
    <xf borderId="72" fillId="2" fontId="27" numFmtId="0" xfId="0" applyAlignment="1" applyBorder="1" applyFont="1">
      <alignment horizontal="center" readingOrder="0" vertical="center"/>
    </xf>
    <xf borderId="72" fillId="2" fontId="173" numFmtId="0" xfId="0" applyAlignment="1" applyBorder="1" applyFont="1">
      <alignment horizontal="center" readingOrder="0" shrinkToFit="0" vertical="center" wrapText="0"/>
    </xf>
    <xf borderId="72" fillId="2" fontId="174" numFmtId="0" xfId="0" applyAlignment="1" applyBorder="1" applyFont="1">
      <alignment readingOrder="0" shrinkToFit="0" vertical="center" wrapText="1"/>
    </xf>
    <xf borderId="73" fillId="2" fontId="20" numFmtId="0" xfId="0" applyAlignment="1" applyBorder="1" applyFont="1">
      <alignment horizontal="center" readingOrder="0" shrinkToFit="0" vertical="center" wrapText="1"/>
    </xf>
    <xf borderId="73" fillId="2" fontId="27" numFmtId="3" xfId="0" applyAlignment="1" applyBorder="1" applyFont="1" applyNumberFormat="1">
      <alignment horizontal="center" readingOrder="0" shrinkToFit="0" vertical="center" wrapText="1"/>
    </xf>
    <xf borderId="73" fillId="2" fontId="27" numFmtId="3" xfId="0" applyAlignment="1" applyBorder="1" applyFont="1" applyNumberFormat="1">
      <alignment horizontal="center" shrinkToFit="0" vertical="center" wrapText="1"/>
    </xf>
    <xf borderId="73" fillId="2" fontId="27" numFmtId="3" xfId="0" applyAlignment="1" applyBorder="1" applyFont="1" applyNumberFormat="1">
      <alignment horizontal="right" shrinkToFit="0" vertical="center" wrapText="1"/>
    </xf>
    <xf borderId="74" fillId="2" fontId="20" numFmtId="0" xfId="0" applyAlignment="1" applyBorder="1" applyFont="1">
      <alignment readingOrder="0" shrinkToFit="0" vertical="center" wrapText="1"/>
    </xf>
    <xf borderId="0" fillId="2" fontId="20" numFmtId="164" xfId="0" applyAlignment="1" applyFont="1" applyNumberFormat="1">
      <alignment horizontal="right" readingOrder="0" shrinkToFit="0" vertical="center" wrapText="1"/>
    </xf>
    <xf borderId="0" fillId="2" fontId="20" numFmtId="0" xfId="0" applyAlignment="1" applyFont="1">
      <alignment vertical="center"/>
    </xf>
    <xf borderId="17" fillId="0" fontId="11" numFmtId="0" xfId="0" applyBorder="1" applyFont="1"/>
    <xf borderId="18" fillId="0" fontId="11" numFmtId="0" xfId="0" applyBorder="1" applyFont="1"/>
    <xf borderId="72" fillId="2" fontId="20" numFmtId="0" xfId="0" applyAlignment="1" applyBorder="1" applyFont="1">
      <alignment readingOrder="0" shrinkToFit="0" vertical="center" wrapText="1"/>
    </xf>
    <xf borderId="75" fillId="0" fontId="11" numFmtId="0" xfId="0" applyBorder="1" applyFont="1"/>
    <xf borderId="72" fillId="2" fontId="30" numFmtId="0" xfId="0" applyAlignment="1" applyBorder="1" applyFont="1">
      <alignment readingOrder="0" vertical="center"/>
    </xf>
    <xf borderId="72" fillId="2" fontId="27" numFmtId="0" xfId="0" applyAlignment="1" applyBorder="1" applyFont="1">
      <alignment readingOrder="0" shrinkToFit="0" vertical="center" wrapText="1"/>
    </xf>
    <xf borderId="72" fillId="2" fontId="20" numFmtId="0" xfId="0" applyAlignment="1" applyBorder="1" applyFont="1">
      <alignment horizontal="center" readingOrder="0" shrinkToFit="0" vertical="center" wrapText="1"/>
    </xf>
    <xf borderId="72" fillId="2" fontId="27" numFmtId="3" xfId="0" applyAlignment="1" applyBorder="1" applyFont="1" applyNumberFormat="1">
      <alignment horizontal="center" readingOrder="0" shrinkToFit="0" vertical="center" wrapText="1"/>
    </xf>
    <xf borderId="72" fillId="2" fontId="27" numFmtId="3" xfId="0" applyAlignment="1" applyBorder="1" applyFont="1" applyNumberFormat="1">
      <alignment horizontal="center" shrinkToFit="0" vertical="center" wrapText="1"/>
    </xf>
    <xf borderId="72" fillId="2" fontId="27" numFmtId="3" xfId="0" applyAlignment="1" applyBorder="1" applyFont="1" applyNumberFormat="1">
      <alignment horizontal="right" shrinkToFit="0" vertical="center" wrapText="1"/>
    </xf>
    <xf borderId="76" fillId="2" fontId="20" numFmtId="0" xfId="0" applyAlignment="1" applyBorder="1" applyFont="1">
      <alignment readingOrder="0" shrinkToFit="0" vertical="center" wrapText="1"/>
    </xf>
    <xf borderId="77" fillId="2" fontId="20" numFmtId="0" xfId="0" applyAlignment="1" applyBorder="1" applyFont="1">
      <alignment horizontal="center" readingOrder="0" shrinkToFit="0" vertical="center" wrapText="1"/>
    </xf>
    <xf borderId="77" fillId="2" fontId="27" numFmtId="3" xfId="0" applyAlignment="1" applyBorder="1" applyFont="1" applyNumberFormat="1">
      <alignment horizontal="center" readingOrder="0" shrinkToFit="0" vertical="center" wrapText="1"/>
    </xf>
    <xf borderId="77" fillId="2" fontId="27" numFmtId="3" xfId="0" applyAlignment="1" applyBorder="1" applyFont="1" applyNumberFormat="1">
      <alignment horizontal="center" shrinkToFit="0" vertical="center" wrapText="1"/>
    </xf>
    <xf borderId="77" fillId="2" fontId="27" numFmtId="3" xfId="0" applyAlignment="1" applyBorder="1" applyFont="1" applyNumberFormat="1">
      <alignment horizontal="right" shrinkToFit="0" vertical="center" wrapText="1"/>
    </xf>
    <xf borderId="78" fillId="2" fontId="30" numFmtId="0" xfId="0" applyAlignment="1" applyBorder="1" applyFont="1">
      <alignment readingOrder="0" vertical="center"/>
    </xf>
    <xf borderId="78" fillId="2" fontId="20" numFmtId="0" xfId="0" applyAlignment="1" applyBorder="1" applyFont="1">
      <alignment readingOrder="0" shrinkToFit="0" vertical="center" wrapText="1"/>
    </xf>
    <xf borderId="78" fillId="2" fontId="20" numFmtId="164" xfId="0" applyAlignment="1" applyBorder="1" applyFont="1" applyNumberFormat="1">
      <alignment horizontal="center" readingOrder="0" shrinkToFit="0" vertical="center" wrapText="1"/>
    </xf>
    <xf borderId="78" fillId="2" fontId="27" numFmtId="0" xfId="0" applyAlignment="1" applyBorder="1" applyFont="1">
      <alignment horizontal="center" readingOrder="0" vertical="center"/>
    </xf>
    <xf borderId="78" fillId="2" fontId="175" numFmtId="0" xfId="0" applyAlignment="1" applyBorder="1" applyFont="1">
      <alignment horizontal="center" readingOrder="0" shrinkToFit="0" vertical="center" wrapText="0"/>
    </xf>
    <xf borderId="18" fillId="2" fontId="20" numFmtId="0" xfId="0" applyAlignment="1" applyBorder="1" applyFont="1">
      <alignment horizontal="center" readingOrder="0" shrinkToFit="0" vertical="center" wrapText="1"/>
    </xf>
    <xf borderId="18" fillId="2" fontId="27" numFmtId="3" xfId="0" applyAlignment="1" applyBorder="1" applyFont="1" applyNumberFormat="1">
      <alignment horizontal="center" readingOrder="0" shrinkToFit="0" vertical="center" wrapText="1"/>
    </xf>
    <xf borderId="18" fillId="2" fontId="27" numFmtId="3" xfId="0" applyAlignment="1" applyBorder="1" applyFont="1" applyNumberFormat="1">
      <alignment horizontal="center" shrinkToFit="0" vertical="center" wrapText="1"/>
    </xf>
    <xf borderId="18" fillId="2" fontId="27" numFmtId="3" xfId="0" applyAlignment="1" applyBorder="1" applyFont="1" applyNumberFormat="1">
      <alignment horizontal="right" shrinkToFit="0" vertical="center" wrapText="1"/>
    </xf>
    <xf borderId="73" fillId="2" fontId="27" numFmtId="3" xfId="0" applyAlignment="1" applyBorder="1" applyFont="1" applyNumberFormat="1">
      <alignment horizontal="right" readingOrder="0" shrinkToFit="0" vertical="center" wrapText="1"/>
    </xf>
    <xf borderId="73" fillId="0" fontId="20" numFmtId="0" xfId="0" applyAlignment="1" applyBorder="1" applyFont="1">
      <alignment horizontal="center" readingOrder="0" shrinkToFit="0" vertical="center" wrapText="1"/>
    </xf>
    <xf borderId="73" fillId="0" fontId="27" numFmtId="3" xfId="0" applyAlignment="1" applyBorder="1" applyFont="1" applyNumberFormat="1">
      <alignment horizontal="center" readingOrder="0" shrinkToFit="0" vertical="center" wrapText="1"/>
    </xf>
    <xf borderId="73" fillId="0" fontId="27" numFmtId="3" xfId="0" applyAlignment="1" applyBorder="1" applyFont="1" applyNumberFormat="1">
      <alignment horizontal="center" shrinkToFit="0" vertical="center" wrapText="1"/>
    </xf>
    <xf borderId="73" fillId="0" fontId="27" numFmtId="3" xfId="0" applyAlignment="1" applyBorder="1" applyFont="1" applyNumberFormat="1">
      <alignment horizontal="right" shrinkToFit="0" vertical="center" wrapText="1"/>
    </xf>
    <xf borderId="79" fillId="5" fontId="21" numFmtId="0" xfId="0" applyAlignment="1" applyBorder="1" applyFont="1">
      <alignment horizontal="left" readingOrder="0" shrinkToFit="0" vertical="center" wrapText="0"/>
    </xf>
    <xf borderId="80" fillId="0" fontId="11" numFmtId="0" xfId="0" applyBorder="1" applyFont="1"/>
    <xf borderId="67" fillId="5" fontId="39" numFmtId="10" xfId="0" applyAlignment="1" applyBorder="1" applyFont="1" applyNumberFormat="1">
      <alignment shrinkToFit="0" vertical="center" wrapText="1"/>
    </xf>
    <xf borderId="70" fillId="5" fontId="39" numFmtId="10" xfId="0" applyAlignment="1" applyBorder="1" applyFont="1" applyNumberFormat="1">
      <alignment shrinkToFit="0" vertical="center" wrapText="1"/>
    </xf>
    <xf borderId="78" fillId="2" fontId="20" numFmtId="0" xfId="0" applyAlignment="1" applyBorder="1" applyFont="1">
      <alignment readingOrder="0" shrinkToFit="0" vertical="center" wrapText="1"/>
    </xf>
    <xf borderId="79" fillId="5" fontId="41" numFmtId="0" xfId="0" applyAlignment="1" applyBorder="1" applyFont="1">
      <alignment horizontal="left" readingOrder="0" shrinkToFit="0" vertical="center" wrapText="0"/>
    </xf>
    <xf borderId="18" fillId="5" fontId="22" numFmtId="0" xfId="0" applyAlignment="1" applyBorder="1" applyFont="1">
      <alignment vertical="center"/>
    </xf>
    <xf borderId="18" fillId="5" fontId="176" numFmtId="0" xfId="0" applyAlignment="1" applyBorder="1" applyFont="1">
      <alignment horizontal="center" readingOrder="0" shrinkToFit="0" vertical="center" wrapText="0"/>
    </xf>
    <xf borderId="66" fillId="5" fontId="22" numFmtId="0" xfId="0" applyAlignment="1" applyBorder="1" applyFont="1">
      <alignment readingOrder="0" shrinkToFit="0" vertical="center" wrapText="1"/>
    </xf>
    <xf borderId="81" fillId="0" fontId="27" numFmtId="0" xfId="0" applyAlignment="1" applyBorder="1" applyFont="1">
      <alignment horizontal="center" readingOrder="0" shrinkToFit="0" vertical="center" wrapText="0"/>
    </xf>
    <xf borderId="73" fillId="0" fontId="31" numFmtId="0" xfId="0" applyAlignment="1" applyBorder="1" applyFont="1">
      <alignment readingOrder="0" shrinkToFit="0" vertical="center" wrapText="1"/>
    </xf>
    <xf borderId="73" fillId="0" fontId="20" numFmtId="0" xfId="0" applyAlignment="1" applyBorder="1" applyFont="1">
      <alignment readingOrder="0" shrinkToFit="0" vertical="center" wrapText="1"/>
    </xf>
    <xf borderId="73" fillId="0" fontId="20" numFmtId="164" xfId="0" applyAlignment="1" applyBorder="1" applyFont="1" applyNumberFormat="1">
      <alignment horizontal="center" readingOrder="0" shrinkToFit="0" vertical="center" wrapText="1"/>
    </xf>
    <xf borderId="73" fillId="0" fontId="20" numFmtId="0" xfId="0" applyAlignment="1" applyBorder="1" applyFont="1">
      <alignment horizontal="center" readingOrder="0" vertical="center"/>
    </xf>
    <xf borderId="73" fillId="0" fontId="177" numFmtId="0" xfId="0" applyAlignment="1" applyBorder="1" applyFont="1">
      <alignment horizontal="center" readingOrder="0" shrinkToFit="0" vertical="center" wrapText="0"/>
    </xf>
    <xf borderId="72" fillId="0" fontId="20" numFmtId="0" xfId="0" applyAlignment="1" applyBorder="1" applyFont="1">
      <alignment readingOrder="0" shrinkToFit="0" vertical="center" wrapText="1"/>
    </xf>
    <xf borderId="0" fillId="0" fontId="20" numFmtId="164" xfId="0" applyAlignment="1" applyFont="1" applyNumberFormat="1">
      <alignment horizontal="right" readingOrder="0" shrinkToFit="0" vertical="center" wrapText="1"/>
    </xf>
    <xf borderId="18" fillId="0" fontId="31" numFmtId="0" xfId="0" applyAlignment="1" applyBorder="1" applyFont="1">
      <alignment readingOrder="0" shrinkToFit="0" vertical="center" wrapText="1"/>
    </xf>
    <xf borderId="18" fillId="0" fontId="20" numFmtId="0" xfId="0" applyAlignment="1" applyBorder="1" applyFont="1">
      <alignment readingOrder="0" shrinkToFit="0" vertical="center" wrapText="1"/>
    </xf>
    <xf borderId="18" fillId="0" fontId="20" numFmtId="164" xfId="0" applyAlignment="1" applyBorder="1" applyFont="1" applyNumberFormat="1">
      <alignment horizontal="center" readingOrder="0" shrinkToFit="0" vertical="center" wrapText="1"/>
    </xf>
    <xf borderId="18" fillId="0" fontId="20" numFmtId="0" xfId="0" applyAlignment="1" applyBorder="1" applyFont="1">
      <alignment horizontal="center" readingOrder="0" vertical="center"/>
    </xf>
    <xf borderId="18" fillId="0" fontId="178" numFmtId="0" xfId="0" applyAlignment="1" applyBorder="1" applyFont="1">
      <alignment horizontal="center" readingOrder="0" shrinkToFit="0" vertical="center" wrapText="0"/>
    </xf>
    <xf borderId="78" fillId="0" fontId="20" numFmtId="0" xfId="0" applyAlignment="1" applyBorder="1" applyFont="1">
      <alignment readingOrder="0" shrinkToFit="0" vertical="center" wrapText="1"/>
    </xf>
    <xf borderId="18" fillId="0" fontId="20" numFmtId="0" xfId="0" applyAlignment="1" applyBorder="1" applyFont="1">
      <alignment horizontal="center" readingOrder="0" shrinkToFit="0" vertical="center" wrapText="1"/>
    </xf>
    <xf borderId="18" fillId="0" fontId="27" numFmtId="3" xfId="0" applyAlignment="1" applyBorder="1" applyFont="1" applyNumberFormat="1">
      <alignment horizontal="center" shrinkToFit="0" vertical="center" wrapText="1"/>
    </xf>
    <xf borderId="18" fillId="0" fontId="27" numFmtId="3" xfId="0" applyAlignment="1" applyBorder="1" applyFont="1" applyNumberFormat="1">
      <alignment horizontal="right" shrinkToFit="0" vertical="center" wrapText="1"/>
    </xf>
    <xf borderId="73" fillId="0" fontId="31" numFmtId="0" xfId="0" applyAlignment="1" applyBorder="1" applyFont="1">
      <alignment readingOrder="0" shrinkToFit="0" vertical="center" wrapText="1"/>
    </xf>
    <xf borderId="72" fillId="0" fontId="31" numFmtId="0" xfId="0" applyAlignment="1" applyBorder="1" applyFont="1">
      <alignment readingOrder="0" shrinkToFit="0" vertical="center" wrapText="1"/>
    </xf>
    <xf borderId="72" fillId="0" fontId="20" numFmtId="164" xfId="0" applyAlignment="1" applyBorder="1" applyFont="1" applyNumberFormat="1">
      <alignment horizontal="center" readingOrder="0" shrinkToFit="0" vertical="center" wrapText="1"/>
    </xf>
    <xf borderId="72" fillId="0" fontId="20" numFmtId="0" xfId="0" applyAlignment="1" applyBorder="1" applyFont="1">
      <alignment horizontal="center" readingOrder="0" vertical="center"/>
    </xf>
    <xf borderId="72" fillId="0" fontId="179" numFmtId="0" xfId="0" applyAlignment="1" applyBorder="1" applyFont="1">
      <alignment horizontal="center" readingOrder="0" shrinkToFit="0" vertical="center" wrapText="0"/>
    </xf>
    <xf borderId="72" fillId="0" fontId="20" numFmtId="0" xfId="0" applyAlignment="1" applyBorder="1" applyFont="1">
      <alignment horizontal="center" readingOrder="0" shrinkToFit="0" vertical="center" wrapText="1"/>
    </xf>
    <xf borderId="72" fillId="0" fontId="27" numFmtId="3" xfId="0" applyAlignment="1" applyBorder="1" applyFont="1" applyNumberFormat="1">
      <alignment horizontal="center" readingOrder="0" shrinkToFit="0" vertical="center" wrapText="1"/>
    </xf>
    <xf borderId="72" fillId="0" fontId="27" numFmtId="3" xfId="0" applyAlignment="1" applyBorder="1" applyFont="1" applyNumberFormat="1">
      <alignment horizontal="center" shrinkToFit="0" vertical="center" wrapText="1"/>
    </xf>
    <xf borderId="72" fillId="0" fontId="27" numFmtId="3" xfId="0" applyAlignment="1" applyBorder="1" applyFont="1" applyNumberFormat="1">
      <alignment horizontal="right" shrinkToFit="0" vertical="center" wrapText="1"/>
    </xf>
    <xf borderId="82" fillId="5" fontId="43" numFmtId="0" xfId="0" applyAlignment="1" applyBorder="1" applyFont="1">
      <alignment vertical="center"/>
    </xf>
    <xf borderId="83" fillId="5" fontId="35" numFmtId="0" xfId="0" applyAlignment="1" applyBorder="1" applyFont="1">
      <alignment vertical="center"/>
    </xf>
    <xf borderId="84" fillId="5" fontId="35" numFmtId="0" xfId="0" applyAlignment="1" applyBorder="1" applyFont="1">
      <alignment vertical="center"/>
    </xf>
    <xf borderId="84" fillId="5" fontId="35" numFmtId="164" xfId="0" applyAlignment="1" applyBorder="1" applyFont="1" applyNumberFormat="1">
      <alignment vertical="center"/>
    </xf>
    <xf borderId="84" fillId="5" fontId="44" numFmtId="0" xfId="0" applyAlignment="1" applyBorder="1" applyFont="1">
      <alignment vertical="center"/>
    </xf>
    <xf borderId="84" fillId="5" fontId="44" numFmtId="3" xfId="0" applyAlignment="1" applyBorder="1" applyFont="1" applyNumberFormat="1">
      <alignment vertical="center"/>
    </xf>
    <xf borderId="84" fillId="5" fontId="10" numFmtId="3" xfId="0" applyAlignment="1" applyBorder="1" applyFont="1" applyNumberFormat="1">
      <alignment horizontal="center" shrinkToFit="0" vertical="center" wrapText="1"/>
    </xf>
    <xf borderId="84" fillId="5" fontId="10" numFmtId="3" xfId="0" applyAlignment="1" applyBorder="1" applyFont="1" applyNumberFormat="1">
      <alignment horizontal="right" shrinkToFit="0" vertical="center" wrapText="1"/>
    </xf>
    <xf borderId="85" fillId="5" fontId="35" numFmtId="10" xfId="0" applyAlignment="1" applyBorder="1" applyFont="1" applyNumberFormat="1">
      <alignment vertical="center"/>
    </xf>
    <xf borderId="22" fillId="0" fontId="20" numFmtId="0" xfId="0" applyAlignment="1" applyBorder="1" applyFont="1">
      <alignment horizontal="left" readingOrder="0" shrinkToFit="0" vertical="center" wrapText="0"/>
    </xf>
    <xf borderId="0" fillId="0" fontId="180" numFmtId="0" xfId="0" applyAlignment="1" applyFont="1">
      <alignment horizontal="left" readingOrder="0" shrinkToFit="0" vertical="center" wrapText="0"/>
    </xf>
    <xf borderId="0" fillId="2" fontId="181" numFmtId="0" xfId="0" applyAlignment="1" applyFont="1">
      <alignment horizontal="center" readingOrder="0" shrinkToFit="0" vertical="center" wrapText="1"/>
    </xf>
    <xf borderId="5" fillId="0" fontId="68" numFmtId="0" xfId="0" applyAlignment="1" applyBorder="1" applyFont="1">
      <alignment horizontal="center" readingOrder="0" vertical="center"/>
    </xf>
    <xf borderId="5" fillId="2" fontId="68" numFmtId="0" xfId="0" applyAlignment="1" applyBorder="1" applyFont="1">
      <alignment horizontal="center" readingOrder="0" vertical="center"/>
    </xf>
    <xf borderId="86" fillId="0" fontId="11" numFmtId="0" xfId="0" applyBorder="1" applyFont="1"/>
    <xf borderId="87" fillId="2" fontId="20" numFmtId="0" xfId="0" applyAlignment="1" applyBorder="1" applyFont="1">
      <alignment horizontal="center" readingOrder="0" shrinkToFit="0" vertical="center" wrapText="1"/>
    </xf>
    <xf borderId="76" fillId="2" fontId="20" numFmtId="0" xfId="0" applyAlignment="1" applyBorder="1" applyFont="1">
      <alignment readingOrder="0" shrinkToFit="0" vertical="center" wrapText="1"/>
    </xf>
    <xf borderId="88" fillId="0" fontId="182" numFmtId="3" xfId="0" applyAlignment="1" applyBorder="1" applyFont="1" applyNumberFormat="1">
      <alignment horizontal="center" shrinkToFit="0" vertical="center" wrapText="1"/>
    </xf>
    <xf borderId="89" fillId="9" fontId="27" numFmtId="0" xfId="0" applyAlignment="1" applyBorder="1" applyFont="1">
      <alignment horizontal="center" vertical="center"/>
    </xf>
    <xf borderId="90" fillId="0" fontId="11" numFmtId="0" xfId="0" applyBorder="1" applyFont="1"/>
    <xf borderId="19" fillId="0" fontId="11" numFmtId="0" xfId="0" applyBorder="1" applyFont="1"/>
    <xf borderId="88" fillId="2" fontId="35" numFmtId="0" xfId="0" applyAlignment="1" applyBorder="1" applyFont="1">
      <alignment horizontal="center" vertical="center"/>
    </xf>
    <xf borderId="91" fillId="0" fontId="11" numFmtId="0" xfId="0" applyBorder="1" applyFont="1"/>
    <xf borderId="88" fillId="0" fontId="20" numFmtId="3" xfId="0" applyAlignment="1" applyBorder="1" applyFont="1" applyNumberFormat="1">
      <alignment horizontal="center" shrinkToFit="0" vertical="center" wrapText="1"/>
    </xf>
    <xf borderId="89" fillId="7" fontId="27" numFmtId="0" xfId="0" applyAlignment="1" applyBorder="1" applyFont="1">
      <alignment horizontal="center" readingOrder="0" vertical="center"/>
    </xf>
    <xf borderId="88" fillId="13" fontId="27" numFmtId="0" xfId="0" applyAlignment="1" applyBorder="1" applyFont="1">
      <alignment horizontal="center" vertical="center"/>
    </xf>
    <xf borderId="92" fillId="5" fontId="39" numFmtId="10" xfId="0" applyAlignment="1" applyBorder="1" applyFont="1" applyNumberFormat="1">
      <alignment shrinkToFit="0" vertical="center" wrapText="1"/>
    </xf>
    <xf borderId="93" fillId="5" fontId="39" numFmtId="10" xfId="0" applyAlignment="1" applyBorder="1" applyFont="1" applyNumberFormat="1">
      <alignment shrinkToFit="0" vertical="center" wrapText="1"/>
    </xf>
    <xf borderId="94" fillId="2" fontId="27" numFmtId="0" xfId="0" applyAlignment="1" applyBorder="1" applyFont="1">
      <alignment horizontal="center" readingOrder="0" shrinkToFit="0" vertical="center" wrapText="0"/>
    </xf>
    <xf borderId="87" fillId="2" fontId="31" numFmtId="0" xfId="0" applyAlignment="1" applyBorder="1" applyFont="1">
      <alignment readingOrder="0" shrinkToFit="0" vertical="center" wrapText="1"/>
    </xf>
    <xf borderId="87" fillId="2" fontId="20" numFmtId="0" xfId="0" applyAlignment="1" applyBorder="1" applyFont="1">
      <alignment readingOrder="0" shrinkToFit="0" vertical="center" wrapText="1"/>
    </xf>
    <xf borderId="87" fillId="2" fontId="20" numFmtId="164" xfId="0" applyAlignment="1" applyBorder="1" applyFont="1" applyNumberFormat="1">
      <alignment horizontal="center" readingOrder="0" shrinkToFit="0" vertical="center" wrapText="1"/>
    </xf>
    <xf borderId="87" fillId="2" fontId="27" numFmtId="0" xfId="0" applyAlignment="1" applyBorder="1" applyFont="1">
      <alignment horizontal="center" readingOrder="0" vertical="center"/>
    </xf>
    <xf borderId="87" fillId="2" fontId="183" numFmtId="0" xfId="0" applyAlignment="1" applyBorder="1" applyFont="1">
      <alignment horizontal="center" readingOrder="0" shrinkToFit="0" vertical="center" wrapText="0"/>
    </xf>
    <xf borderId="95" fillId="2" fontId="184" numFmtId="0" xfId="0" applyAlignment="1" applyBorder="1" applyFont="1">
      <alignment readingOrder="0" shrinkToFit="0" vertical="center" wrapText="1"/>
    </xf>
    <xf borderId="95" fillId="2" fontId="20" numFmtId="0" xfId="0" applyAlignment="1" applyBorder="1" applyFont="1">
      <alignment horizontal="center" readingOrder="0" shrinkToFit="0" vertical="center" wrapText="1"/>
    </xf>
    <xf borderId="95" fillId="2" fontId="27" numFmtId="3" xfId="0" applyAlignment="1" applyBorder="1" applyFont="1" applyNumberFormat="1">
      <alignment horizontal="center" readingOrder="0" shrinkToFit="0" vertical="center" wrapText="1"/>
    </xf>
    <xf borderId="95" fillId="2" fontId="27" numFmtId="3" xfId="0" applyAlignment="1" applyBorder="1" applyFont="1" applyNumberFormat="1">
      <alignment horizontal="center" shrinkToFit="0" vertical="center" wrapText="1"/>
    </xf>
    <xf borderId="95" fillId="2" fontId="27" numFmtId="3" xfId="0" applyAlignment="1" applyBorder="1" applyFont="1" applyNumberFormat="1">
      <alignment horizontal="right" shrinkToFit="0" vertical="center" wrapText="1"/>
    </xf>
    <xf borderId="96" fillId="2" fontId="20" numFmtId="0" xfId="0" applyAlignment="1" applyBorder="1" applyFont="1">
      <alignment readingOrder="0" shrinkToFit="0" vertical="center" wrapText="1"/>
    </xf>
    <xf borderId="97" fillId="0" fontId="11" numFmtId="0" xfId="0" applyBorder="1" applyFont="1"/>
    <xf borderId="98" fillId="2" fontId="20" numFmtId="0" xfId="0" applyAlignment="1" applyBorder="1" applyFont="1">
      <alignment readingOrder="0" shrinkToFit="0" vertical="center" wrapText="1"/>
    </xf>
    <xf borderId="98" fillId="2" fontId="20" numFmtId="0" xfId="0" applyAlignment="1" applyBorder="1" applyFont="1">
      <alignment horizontal="center" readingOrder="0" shrinkToFit="0" vertical="center" wrapText="1"/>
    </xf>
    <xf borderId="98" fillId="2" fontId="27" numFmtId="3" xfId="0" applyAlignment="1" applyBorder="1" applyFont="1" applyNumberFormat="1">
      <alignment horizontal="center" readingOrder="0" shrinkToFit="0" vertical="center" wrapText="1"/>
    </xf>
    <xf borderId="98" fillId="2" fontId="27" numFmtId="3" xfId="0" applyAlignment="1" applyBorder="1" applyFont="1" applyNumberFormat="1">
      <alignment horizontal="center" shrinkToFit="0" vertical="center" wrapText="1"/>
    </xf>
    <xf borderId="98" fillId="2" fontId="27" numFmtId="3" xfId="0" applyAlignment="1" applyBorder="1" applyFont="1" applyNumberFormat="1">
      <alignment horizontal="right" shrinkToFit="0" vertical="center" wrapText="1"/>
    </xf>
    <xf borderId="99" fillId="0" fontId="11" numFmtId="0" xfId="0" applyBorder="1" applyFont="1"/>
    <xf borderId="100" fillId="2" fontId="27" numFmtId="0" xfId="0" applyAlignment="1" applyBorder="1" applyFont="1">
      <alignment horizontal="center" readingOrder="0" shrinkToFit="0" vertical="center" wrapText="0"/>
    </xf>
    <xf borderId="101" fillId="2" fontId="27" numFmtId="0" xfId="0" applyAlignment="1" applyBorder="1" applyFont="1">
      <alignment readingOrder="0" shrinkToFit="0" vertical="center" wrapText="1"/>
    </xf>
    <xf borderId="101" fillId="2" fontId="20" numFmtId="0" xfId="0" applyAlignment="1" applyBorder="1" applyFont="1">
      <alignment readingOrder="0" shrinkToFit="0" vertical="center" wrapText="1"/>
    </xf>
    <xf borderId="101" fillId="2" fontId="20" numFmtId="164" xfId="0" applyAlignment="1" applyBorder="1" applyFont="1" applyNumberFormat="1">
      <alignment horizontal="center" readingOrder="0" shrinkToFit="0" vertical="center" wrapText="1"/>
    </xf>
    <xf borderId="101" fillId="2" fontId="27" numFmtId="0" xfId="0" applyAlignment="1" applyBorder="1" applyFont="1">
      <alignment horizontal="center" readingOrder="0" vertical="center"/>
    </xf>
    <xf borderId="101" fillId="2" fontId="185" numFmtId="0" xfId="0" applyAlignment="1" applyBorder="1" applyFont="1">
      <alignment horizontal="center" readingOrder="0" shrinkToFit="0" vertical="center" wrapText="0"/>
    </xf>
    <xf borderId="101" fillId="2" fontId="20" numFmtId="0" xfId="0" applyAlignment="1" applyBorder="1" applyFont="1">
      <alignment horizontal="center" readingOrder="0" shrinkToFit="0" vertical="center" wrapText="1"/>
    </xf>
    <xf borderId="98" fillId="2" fontId="186" numFmtId="0" xfId="0" applyAlignment="1" applyBorder="1" applyFont="1">
      <alignment readingOrder="0" shrinkToFit="0" vertical="center" wrapText="1"/>
    </xf>
    <xf borderId="102" fillId="2" fontId="20" numFmtId="0" xfId="0" applyAlignment="1" applyBorder="1" applyFont="1">
      <alignment readingOrder="0" shrinkToFit="0" vertical="center" wrapText="1"/>
    </xf>
    <xf borderId="88" fillId="9" fontId="27" numFmtId="0" xfId="0" applyAlignment="1" applyBorder="1" applyFont="1">
      <alignment horizontal="center" vertical="center"/>
    </xf>
    <xf borderId="101" fillId="2" fontId="30" numFmtId="0" xfId="0" applyAlignment="1" applyBorder="1" applyFont="1">
      <alignment readingOrder="0" vertical="center"/>
    </xf>
    <xf borderId="101" fillId="2" fontId="31" numFmtId="0" xfId="0" applyAlignment="1" applyBorder="1" applyFont="1">
      <alignment readingOrder="0" shrinkToFit="0" vertical="center" wrapText="1"/>
    </xf>
    <xf borderId="103" fillId="0" fontId="11" numFmtId="0" xfId="0" applyBorder="1" applyFont="1"/>
    <xf borderId="104" fillId="0" fontId="11" numFmtId="0" xfId="0" applyBorder="1" applyFont="1"/>
    <xf borderId="105" fillId="0" fontId="11" numFmtId="0" xfId="0" applyBorder="1" applyFont="1"/>
    <xf borderId="101" fillId="2" fontId="40" numFmtId="0" xfId="0" applyAlignment="1" applyBorder="1" applyFont="1">
      <alignment horizontal="center" readingOrder="0" shrinkToFit="0" vertical="center" wrapText="0"/>
    </xf>
    <xf borderId="106" fillId="0" fontId="11" numFmtId="0" xfId="0" applyBorder="1" applyFont="1"/>
    <xf borderId="107" fillId="0" fontId="11" numFmtId="0" xfId="0" applyBorder="1" applyFont="1"/>
    <xf borderId="101" fillId="2" fontId="20" numFmtId="0" xfId="0" applyAlignment="1" applyBorder="1" applyFont="1">
      <alignment readingOrder="0" shrinkToFit="0" vertical="center" wrapText="1"/>
    </xf>
    <xf borderId="101" fillId="2" fontId="20" numFmtId="0" xfId="0" applyAlignment="1" applyBorder="1" applyFont="1">
      <alignment horizontal="center" readingOrder="0" shrinkToFit="0" vertical="center" wrapText="1"/>
    </xf>
    <xf borderId="101" fillId="2" fontId="27" numFmtId="3" xfId="0" applyAlignment="1" applyBorder="1" applyFont="1" applyNumberFormat="1">
      <alignment horizontal="center" readingOrder="0" shrinkToFit="0" vertical="center" wrapText="1"/>
    </xf>
    <xf borderId="101" fillId="2" fontId="27" numFmtId="3" xfId="0" applyAlignment="1" applyBorder="1" applyFont="1" applyNumberFormat="1">
      <alignment horizontal="center" shrinkToFit="0" vertical="center" wrapText="1"/>
    </xf>
    <xf borderId="101" fillId="2" fontId="27" numFmtId="3" xfId="0" applyAlignment="1" applyBorder="1" applyFont="1" applyNumberFormat="1">
      <alignment horizontal="right" shrinkToFit="0" vertical="center" wrapText="1"/>
    </xf>
    <xf borderId="107" fillId="2" fontId="187" numFmtId="0" xfId="0" applyAlignment="1" applyBorder="1" applyFont="1">
      <alignment horizontal="center" readingOrder="0" shrinkToFit="0" vertical="center" wrapText="0"/>
    </xf>
    <xf borderId="78" fillId="5" fontId="22" numFmtId="0" xfId="0" applyAlignment="1" applyBorder="1" applyFont="1">
      <alignment readingOrder="0" shrinkToFit="0" vertical="center" wrapText="1"/>
    </xf>
    <xf borderId="108" fillId="0" fontId="20" numFmtId="0" xfId="0" applyAlignment="1" applyBorder="1" applyFont="1">
      <alignment horizontal="left" readingOrder="0" shrinkToFit="0" vertical="center" wrapText="1"/>
    </xf>
    <xf borderId="88" fillId="0" fontId="35" numFmtId="0" xfId="0" applyAlignment="1" applyBorder="1" applyFont="1">
      <alignment horizontal="center" vertical="center"/>
    </xf>
    <xf borderId="88" fillId="7" fontId="27" numFmtId="0" xfId="0" applyAlignment="1" applyBorder="1" applyFont="1">
      <alignment horizontal="center" readingOrder="0" vertical="center"/>
    </xf>
    <xf borderId="1" fillId="11" fontId="5" numFmtId="0" xfId="0" applyAlignment="1" applyBorder="1" applyFont="1">
      <alignment horizontal="center" readingOrder="0" shrinkToFit="0" vertical="center" wrapText="1"/>
    </xf>
    <xf borderId="0" fillId="11" fontId="155" numFmtId="0" xfId="0" applyAlignment="1" applyFont="1">
      <alignment horizontal="center" readingOrder="0" shrinkToFit="0" vertical="center" wrapText="1"/>
    </xf>
    <xf borderId="2" fillId="11" fontId="31" numFmtId="164" xfId="0" applyAlignment="1" applyBorder="1" applyFont="1" applyNumberFormat="1">
      <alignment horizontal="center" readingOrder="0" shrinkToFit="0" vertical="center" wrapText="1"/>
    </xf>
    <xf borderId="2" fillId="11" fontId="27" numFmtId="9" xfId="0" applyAlignment="1" applyBorder="1" applyFont="1" applyNumberFormat="1">
      <alignment horizontal="center" readingOrder="0" shrinkToFit="0" vertical="center" wrapText="1"/>
    </xf>
    <xf borderId="2" fillId="11" fontId="20" numFmtId="164" xfId="0" applyAlignment="1" applyBorder="1" applyFont="1" applyNumberFormat="1">
      <alignment readingOrder="0" vertical="center"/>
    </xf>
    <xf borderId="58" fillId="11" fontId="20" numFmtId="164" xfId="0" applyAlignment="1" applyBorder="1" applyFont="1" applyNumberFormat="1">
      <alignment readingOrder="0" vertical="center"/>
    </xf>
    <xf borderId="54" fillId="11" fontId="20" numFmtId="164" xfId="0" applyAlignment="1" applyBorder="1" applyFont="1" applyNumberFormat="1">
      <alignment readingOrder="0" vertical="center"/>
    </xf>
    <xf borderId="2" fillId="2" fontId="27" numFmtId="164" xfId="0" applyAlignment="1" applyBorder="1" applyFont="1" applyNumberFormat="1">
      <alignment horizontal="center" shrinkToFit="0" wrapText="1"/>
    </xf>
    <xf borderId="2" fillId="2" fontId="27" numFmtId="10" xfId="0" applyAlignment="1" applyBorder="1" applyFont="1" applyNumberFormat="1">
      <alignment horizontal="center" shrinkToFit="0" wrapText="1"/>
    </xf>
    <xf borderId="109" fillId="3" fontId="8" numFmtId="0" xfId="0" applyAlignment="1" applyBorder="1" applyFont="1">
      <alignment horizontal="center" vertical="center"/>
    </xf>
    <xf borderId="110" fillId="3" fontId="8" numFmtId="0" xfId="0" applyAlignment="1" applyBorder="1" applyFont="1">
      <alignment horizontal="center" shrinkToFit="0" vertical="center" wrapText="1"/>
    </xf>
    <xf borderId="110" fillId="3" fontId="8" numFmtId="0" xfId="0" applyAlignment="1" applyBorder="1" applyFont="1">
      <alignment horizontal="center" readingOrder="0" shrinkToFit="0" vertical="center" wrapText="1"/>
    </xf>
    <xf borderId="110" fillId="3" fontId="8" numFmtId="0" xfId="0" applyAlignment="1" applyBorder="1" applyFont="1">
      <alignment horizontal="center" vertical="center"/>
    </xf>
    <xf borderId="71" fillId="8" fontId="27" numFmtId="0" xfId="0" applyAlignment="1" applyBorder="1" applyFont="1">
      <alignment horizontal="center" vertical="center"/>
    </xf>
    <xf borderId="72" fillId="2" fontId="188" numFmtId="0" xfId="0" applyAlignment="1" applyBorder="1" applyFont="1">
      <alignment shrinkToFit="0" vertical="center" wrapText="1"/>
    </xf>
    <xf borderId="72" fillId="2" fontId="188" numFmtId="0" xfId="0" applyAlignment="1" applyBorder="1" applyFont="1">
      <alignment readingOrder="0" shrinkToFit="0" vertical="center" wrapText="1"/>
    </xf>
    <xf borderId="72" fillId="2" fontId="188" numFmtId="49" xfId="0" applyAlignment="1" applyBorder="1" applyFont="1" applyNumberFormat="1">
      <alignment readingOrder="0" shrinkToFit="0" vertical="center" wrapText="1"/>
    </xf>
    <xf borderId="72" fillId="2" fontId="20" numFmtId="0" xfId="0" applyAlignment="1" applyBorder="1" applyFont="1">
      <alignment shrinkToFit="0" vertical="center" wrapText="1"/>
    </xf>
    <xf borderId="72" fillId="2" fontId="20" numFmtId="170" xfId="0" applyAlignment="1" applyBorder="1" applyFont="1" applyNumberFormat="1">
      <alignment horizontal="center" shrinkToFit="0" vertical="center" wrapText="1"/>
    </xf>
    <xf borderId="66" fillId="2" fontId="20" numFmtId="170" xfId="0" applyAlignment="1" applyBorder="1" applyFont="1" applyNumberFormat="1">
      <alignment horizontal="center" shrinkToFit="0" vertical="center" wrapText="1"/>
    </xf>
    <xf borderId="66" fillId="2" fontId="73" numFmtId="170" xfId="0" applyAlignment="1" applyBorder="1" applyFont="1" applyNumberFormat="1">
      <alignment horizontal="center" shrinkToFit="0" vertical="center" wrapText="1"/>
    </xf>
    <xf borderId="72" fillId="2" fontId="35" numFmtId="0" xfId="0" applyAlignment="1" applyBorder="1" applyFont="1">
      <alignment vertical="center"/>
    </xf>
    <xf borderId="72" fillId="2" fontId="188" numFmtId="0" xfId="0" applyAlignment="1" applyBorder="1" applyFont="1">
      <alignment vertical="center"/>
    </xf>
    <xf borderId="72" fillId="2" fontId="189" numFmtId="0" xfId="0" applyAlignment="1" applyBorder="1" applyFont="1">
      <alignment readingOrder="0" shrinkToFit="0" vertical="center" wrapText="1"/>
    </xf>
    <xf borderId="76" fillId="2" fontId="20" numFmtId="0" xfId="0" applyAlignment="1" applyBorder="1" applyFont="1">
      <alignment shrinkToFit="0" vertical="center" wrapText="1"/>
    </xf>
    <xf borderId="72" fillId="2" fontId="34" numFmtId="49" xfId="0" applyAlignment="1" applyBorder="1" applyFont="1" applyNumberFormat="1">
      <alignment horizontal="center" readingOrder="0" shrinkToFit="0" vertical="center" wrapText="1"/>
    </xf>
    <xf borderId="111" fillId="2" fontId="20" numFmtId="170" xfId="0" applyAlignment="1" applyBorder="1" applyFont="1" applyNumberFormat="1">
      <alignment horizontal="center" shrinkToFit="0" vertical="center" wrapText="1"/>
    </xf>
    <xf borderId="71" fillId="2" fontId="27" numFmtId="0" xfId="0" applyAlignment="1" applyBorder="1" applyFont="1">
      <alignment horizontal="center" vertical="center"/>
    </xf>
    <xf borderId="78" fillId="2" fontId="20" numFmtId="170" xfId="0" applyAlignment="1" applyBorder="1" applyFont="1" applyNumberFormat="1">
      <alignment horizontal="center" shrinkToFit="0" vertical="center" wrapText="1"/>
    </xf>
    <xf borderId="112" fillId="2" fontId="35" numFmtId="0" xfId="0" applyAlignment="1" applyBorder="1" applyFont="1">
      <alignment vertical="center"/>
    </xf>
    <xf borderId="72" fillId="2" fontId="20" numFmtId="0" xfId="0" applyAlignment="1" applyBorder="1" applyFont="1">
      <alignment horizontal="center" shrinkToFit="0" vertical="center" wrapText="1"/>
    </xf>
    <xf borderId="113" fillId="0" fontId="11" numFmtId="0" xfId="0" applyBorder="1" applyFont="1"/>
    <xf borderId="114" fillId="0" fontId="11" numFmtId="0" xfId="0" applyBorder="1" applyFont="1"/>
    <xf borderId="115" fillId="0" fontId="11" numFmtId="0" xfId="0" applyBorder="1" applyFont="1"/>
    <xf borderId="116" fillId="8" fontId="27" numFmtId="0" xfId="0" applyAlignment="1" applyBorder="1" applyFont="1">
      <alignment horizontal="center" vertical="center"/>
    </xf>
    <xf borderId="117" fillId="2" fontId="188" numFmtId="0" xfId="0" applyAlignment="1" applyBorder="1" applyFont="1">
      <alignment shrinkToFit="0" vertical="center" wrapText="1"/>
    </xf>
    <xf borderId="117" fillId="2" fontId="20" numFmtId="0" xfId="0" applyAlignment="1" applyBorder="1" applyFont="1">
      <alignment shrinkToFit="0" vertical="center" wrapText="1"/>
    </xf>
    <xf borderId="117" fillId="2" fontId="20" numFmtId="0" xfId="0" applyAlignment="1" applyBorder="1" applyFont="1">
      <alignment horizontal="center" shrinkToFit="0" vertical="center" wrapText="1"/>
    </xf>
    <xf borderId="15" fillId="2" fontId="20" numFmtId="170" xfId="0" applyAlignment="1" applyBorder="1" applyFont="1" applyNumberFormat="1">
      <alignment horizontal="center" shrinkToFit="0" vertical="center" wrapText="1"/>
    </xf>
    <xf borderId="117" fillId="2" fontId="35" numFmtId="0" xfId="0" applyAlignment="1" applyBorder="1" applyFont="1">
      <alignment vertical="center"/>
    </xf>
    <xf borderId="118" fillId="0" fontId="20" numFmtId="0" xfId="0" applyAlignment="1" applyBorder="1" applyFont="1">
      <alignment shrinkToFit="0" vertical="center" wrapText="1"/>
    </xf>
    <xf borderId="71" fillId="8" fontId="27" numFmtId="0" xfId="0" applyAlignment="1" applyBorder="1" applyFont="1">
      <alignment horizontal="center" readingOrder="0" vertical="center"/>
    </xf>
    <xf borderId="72" fillId="2" fontId="27" numFmtId="0" xfId="0" applyAlignment="1" applyBorder="1" applyFont="1">
      <alignment horizontal="center" vertical="center"/>
    </xf>
    <xf borderId="71" fillId="2" fontId="27" numFmtId="0" xfId="0" applyAlignment="1" applyBorder="1" applyFont="1">
      <alignment horizontal="center" readingOrder="0" vertical="center"/>
    </xf>
    <xf borderId="117" fillId="2" fontId="20" numFmtId="170" xfId="0" applyAlignment="1" applyBorder="1" applyFont="1" applyNumberFormat="1">
      <alignment horizontal="center" shrinkToFit="0" vertical="center" wrapText="1"/>
    </xf>
    <xf borderId="72" fillId="2" fontId="20" numFmtId="10" xfId="0" applyAlignment="1" applyBorder="1" applyFont="1" applyNumberFormat="1">
      <alignment horizontal="center" shrinkToFit="0" vertical="center" wrapText="1"/>
    </xf>
    <xf borderId="72" fillId="2" fontId="27" numFmtId="0" xfId="0" applyAlignment="1" applyBorder="1" applyFont="1">
      <alignment vertical="center"/>
    </xf>
    <xf borderId="0" fillId="0" fontId="26" numFmtId="0" xfId="0" applyAlignment="1" applyFont="1">
      <alignment readingOrder="0" vertical="center"/>
    </xf>
    <xf borderId="0" fillId="0" fontId="26" numFmtId="170" xfId="0" applyAlignment="1" applyFont="1" applyNumberFormat="1">
      <alignment vertical="center"/>
    </xf>
    <xf borderId="9" fillId="3" fontId="8" numFmtId="0" xfId="0" applyAlignment="1" applyBorder="1" applyFont="1">
      <alignment horizontal="center" readingOrder="0" shrinkToFit="0" vertical="center" wrapText="1"/>
    </xf>
    <xf borderId="12" fillId="3" fontId="8" numFmtId="0" xfId="0" applyAlignment="1" applyBorder="1" applyFont="1">
      <alignment horizontal="center" readingOrder="0" shrinkToFit="0" vertical="center" wrapText="1"/>
    </xf>
    <xf borderId="5" fillId="39" fontId="20" numFmtId="0" xfId="0" applyAlignment="1" applyBorder="1" applyFill="1" applyFont="1">
      <alignment horizontal="center" readingOrder="0" shrinkToFit="0" vertical="center" wrapText="1"/>
    </xf>
    <xf borderId="51" fillId="22" fontId="7" numFmtId="0" xfId="0" applyAlignment="1" applyBorder="1" applyFont="1">
      <alignment shrinkToFit="0" wrapText="1"/>
    </xf>
    <xf borderId="51" fillId="40" fontId="2" numFmtId="0" xfId="0" applyAlignment="1" applyBorder="1" applyFill="1" applyFont="1">
      <alignment shrinkToFit="0" wrapText="1"/>
    </xf>
    <xf borderId="119" fillId="0" fontId="35" numFmtId="0" xfId="0" applyBorder="1" applyFont="1"/>
    <xf borderId="51" fillId="22" fontId="7" numFmtId="0" xfId="0" applyBorder="1" applyFont="1"/>
    <xf borderId="0" fillId="22" fontId="7" numFmtId="0" xfId="0" applyFont="1"/>
    <xf borderId="0" fillId="40" fontId="2" numFmtId="171" xfId="0" applyAlignment="1" applyFont="1" applyNumberFormat="1">
      <alignment horizontal="right"/>
    </xf>
    <xf borderId="120" fillId="24" fontId="190" numFmtId="0" xfId="0" applyAlignment="1" applyBorder="1" applyFont="1">
      <alignment horizontal="center" shrinkToFit="0" vertical="center" wrapText="1"/>
    </xf>
    <xf borderId="121" fillId="0" fontId="11" numFmtId="0" xfId="0" applyBorder="1" applyFont="1"/>
    <xf borderId="122" fillId="0" fontId="11" numFmtId="0" xfId="0" applyBorder="1" applyFont="1"/>
    <xf borderId="123" fillId="22" fontId="191" numFmtId="0" xfId="0" applyAlignment="1" applyBorder="1" applyFont="1">
      <alignment horizontal="center" shrinkToFit="0" vertical="center" wrapText="1"/>
    </xf>
    <xf borderId="2" fillId="22" fontId="191" numFmtId="0" xfId="0" applyAlignment="1" applyBorder="1" applyFont="1">
      <alignment horizontal="center" shrinkToFit="0" vertical="center" wrapText="1"/>
    </xf>
    <xf borderId="124" fillId="22" fontId="191" numFmtId="0" xfId="0" applyAlignment="1" applyBorder="1" applyFont="1">
      <alignment horizontal="center" shrinkToFit="0" vertical="center" wrapText="1"/>
    </xf>
    <xf borderId="123" fillId="17" fontId="27" numFmtId="0" xfId="0" applyAlignment="1" applyBorder="1" applyFont="1">
      <alignment horizontal="center" vertical="center"/>
    </xf>
    <xf borderId="2" fillId="17" fontId="27" numFmtId="0" xfId="0" applyAlignment="1" applyBorder="1" applyFont="1">
      <alignment shrinkToFit="0" vertical="center" wrapText="1"/>
    </xf>
    <xf borderId="2" fillId="17" fontId="35" numFmtId="0" xfId="0" applyAlignment="1" applyBorder="1" applyFont="1">
      <alignment vertical="center"/>
    </xf>
    <xf borderId="2" fillId="17" fontId="35" numFmtId="172" xfId="0" applyAlignment="1" applyBorder="1" applyFont="1" applyNumberFormat="1">
      <alignment vertical="center"/>
    </xf>
    <xf borderId="124" fillId="17" fontId="35" numFmtId="172" xfId="0" applyAlignment="1" applyBorder="1" applyFont="1" applyNumberFormat="1">
      <alignment vertical="center"/>
    </xf>
    <xf borderId="125" fillId="0" fontId="20" numFmtId="3" xfId="0" applyAlignment="1" applyBorder="1" applyFont="1" applyNumberFormat="1">
      <alignment horizontal="center" shrinkToFit="0" vertical="center" wrapText="1"/>
    </xf>
    <xf borderId="1" fillId="0" fontId="20" numFmtId="0" xfId="0" applyAlignment="1" applyBorder="1" applyFont="1">
      <alignment shrinkToFit="0" vertical="center" wrapText="1"/>
    </xf>
    <xf borderId="2" fillId="0" fontId="20" numFmtId="0" xfId="0" applyAlignment="1" applyBorder="1" applyFont="1">
      <alignment shrinkToFit="0" vertical="center" wrapText="1"/>
    </xf>
    <xf borderId="4" fillId="0" fontId="35" numFmtId="172" xfId="0" applyAlignment="1" applyBorder="1" applyFont="1" applyNumberFormat="1">
      <alignment vertical="center"/>
    </xf>
    <xf borderId="2" fillId="0" fontId="20" numFmtId="0" xfId="0" applyAlignment="1" applyBorder="1" applyFont="1">
      <alignment horizontal="center" readingOrder="0" shrinkToFit="0" vertical="center" wrapText="1"/>
    </xf>
    <xf borderId="124" fillId="0" fontId="20" numFmtId="3" xfId="0" applyAlignment="1" applyBorder="1" applyFont="1" applyNumberFormat="1">
      <alignment horizontal="center" shrinkToFit="0" vertical="center" wrapText="1"/>
    </xf>
    <xf borderId="126" fillId="0" fontId="11" numFmtId="0" xfId="0" applyBorder="1" applyFont="1"/>
    <xf quotePrefix="1" borderId="4" fillId="2" fontId="20" numFmtId="0" xfId="0" applyAlignment="1" applyBorder="1" applyFont="1">
      <alignment shrinkToFit="0" vertical="center" wrapText="1"/>
    </xf>
    <xf borderId="2" fillId="0" fontId="20" numFmtId="0" xfId="0" applyAlignment="1" applyBorder="1" applyFont="1">
      <alignment horizontal="center" shrinkToFit="0" vertical="center" wrapText="1"/>
    </xf>
    <xf borderId="127" fillId="0" fontId="11" numFmtId="0" xfId="0" applyBorder="1" applyFont="1"/>
    <xf borderId="125" fillId="0" fontId="20" numFmtId="49" xfId="0" applyAlignment="1" applyBorder="1" applyFont="1" applyNumberFormat="1">
      <alignment horizontal="center" shrinkToFit="0" vertical="center" wrapText="1"/>
    </xf>
    <xf borderId="123" fillId="0" fontId="20" numFmtId="49" xfId="0" applyAlignment="1" applyBorder="1" applyFont="1" applyNumberFormat="1">
      <alignment horizontal="center" shrinkToFit="0" vertical="center" wrapText="1"/>
    </xf>
    <xf borderId="2" fillId="0" fontId="20" numFmtId="0" xfId="0" applyAlignment="1" applyBorder="1" applyFont="1">
      <alignment vertical="center"/>
    </xf>
    <xf borderId="1" fillId="0" fontId="20" numFmtId="0" xfId="0" applyAlignment="1" applyBorder="1" applyFont="1">
      <alignment vertical="center"/>
    </xf>
    <xf borderId="4" fillId="2" fontId="35" numFmtId="172" xfId="0" applyAlignment="1" applyBorder="1" applyFont="1" applyNumberFormat="1">
      <alignment vertical="center"/>
    </xf>
    <xf quotePrefix="1" borderId="4" fillId="2" fontId="20" numFmtId="172" xfId="0" applyAlignment="1" applyBorder="1" applyFont="1" applyNumberFormat="1">
      <alignment shrinkToFit="0" vertical="center" wrapText="1"/>
    </xf>
    <xf borderId="128" fillId="0" fontId="11" numFmtId="0" xfId="0" applyBorder="1" applyFont="1"/>
    <xf borderId="129" fillId="0" fontId="11" numFmtId="0" xfId="0" applyBorder="1" applyFont="1"/>
    <xf borderId="130" fillId="0" fontId="20" numFmtId="0" xfId="0" applyAlignment="1" applyBorder="1" applyFont="1">
      <alignment shrinkToFit="0" vertical="center" wrapText="1"/>
    </xf>
    <xf quotePrefix="1" borderId="131" fillId="2" fontId="20" numFmtId="172" xfId="0" applyAlignment="1" applyBorder="1" applyFont="1" applyNumberFormat="1">
      <alignment shrinkToFit="0" vertical="center" wrapText="1"/>
    </xf>
    <xf borderId="132" fillId="0" fontId="11" numFmtId="0" xfId="0" applyBorder="1" applyFont="1"/>
    <xf borderId="130" fillId="0" fontId="20" numFmtId="0" xfId="0" applyAlignment="1" applyBorder="1" applyFont="1">
      <alignment horizontal="center" shrinkToFit="0" vertical="center" wrapText="1"/>
    </xf>
    <xf borderId="133" fillId="0" fontId="20" numFmtId="3" xfId="0" applyAlignment="1" applyBorder="1" applyFont="1" applyNumberFormat="1">
      <alignment horizontal="center" shrinkToFit="0" vertical="center" wrapText="1"/>
    </xf>
    <xf borderId="0" fillId="0" fontId="2" numFmtId="0" xfId="0" applyFont="1"/>
    <xf borderId="0" fillId="0" fontId="35" numFmtId="3" xfId="0" applyFont="1" applyNumberFormat="1"/>
    <xf borderId="134" fillId="41" fontId="192" numFmtId="0" xfId="0" applyAlignment="1" applyBorder="1" applyFill="1" applyFont="1">
      <alignment horizontal="center"/>
    </xf>
    <xf borderId="135" fillId="42" fontId="192" numFmtId="0" xfId="0" applyAlignment="1" applyBorder="1" applyFill="1" applyFont="1">
      <alignment horizontal="center"/>
    </xf>
    <xf borderId="136" fillId="0" fontId="11" numFmtId="0" xfId="0" applyBorder="1" applyFont="1"/>
    <xf borderId="137" fillId="0" fontId="11" numFmtId="0" xfId="0" applyBorder="1" applyFont="1"/>
    <xf borderId="51" fillId="41" fontId="192" numFmtId="0" xfId="0" applyAlignment="1" applyBorder="1" applyFont="1">
      <alignment horizontal="center"/>
    </xf>
    <xf borderId="2" fillId="43" fontId="35" numFmtId="0" xfId="0" applyAlignment="1" applyBorder="1" applyFill="1" applyFont="1">
      <alignment horizontal="center"/>
    </xf>
    <xf borderId="2" fillId="43" fontId="193" numFmtId="0" xfId="0" applyAlignment="1" applyBorder="1" applyFont="1">
      <alignment horizontal="center" shrinkToFit="0" wrapText="0"/>
    </xf>
    <xf borderId="2" fillId="43" fontId="35" numFmtId="0" xfId="0" applyBorder="1" applyFont="1"/>
    <xf borderId="2" fillId="43" fontId="139" numFmtId="0" xfId="0" applyAlignment="1" applyBorder="1" applyFont="1">
      <alignment horizontal="center" shrinkToFit="0" wrapText="1"/>
    </xf>
    <xf borderId="2" fillId="43" fontId="35" numFmtId="3" xfId="0" applyBorder="1" applyFont="1" applyNumberFormat="1"/>
    <xf borderId="2" fillId="43" fontId="194" numFmtId="0" xfId="0" applyAlignment="1" applyBorder="1" applyFont="1">
      <alignment shrinkToFit="0" wrapText="0"/>
    </xf>
    <xf borderId="2" fillId="2" fontId="195" numFmtId="0" xfId="0" applyAlignment="1" applyBorder="1" applyFont="1">
      <alignment horizontal="center" shrinkToFit="0" vertical="bottom" wrapText="0"/>
    </xf>
    <xf borderId="2" fillId="2" fontId="35" numFmtId="0" xfId="0" applyAlignment="1" applyBorder="1" applyFont="1">
      <alignment vertical="bottom"/>
    </xf>
    <xf borderId="2" fillId="2" fontId="196" numFmtId="0" xfId="0" applyAlignment="1" applyBorder="1" applyFont="1">
      <alignment horizontal="center" vertical="bottom"/>
    </xf>
    <xf borderId="2" fillId="43" fontId="139" numFmtId="0" xfId="0" applyAlignment="1" applyBorder="1" applyFont="1">
      <alignment horizontal="center" readingOrder="0" shrinkToFit="0" wrapText="1"/>
    </xf>
    <xf borderId="2" fillId="2" fontId="35" numFmtId="0" xfId="0" applyAlignment="1" applyBorder="1" applyFont="1">
      <alignment horizontal="center" vertical="bottom"/>
    </xf>
    <xf borderId="0" fillId="2" fontId="197" numFmtId="3" xfId="0" applyAlignment="1" applyFont="1" applyNumberFormat="1">
      <alignment vertical="bottom"/>
    </xf>
    <xf borderId="2" fillId="2" fontId="35" numFmtId="0" xfId="0" applyAlignment="1" applyBorder="1" applyFont="1">
      <alignment shrinkToFit="0" vertical="bottom" wrapText="1"/>
    </xf>
    <xf borderId="0" fillId="0" fontId="198" numFmtId="0" xfId="0" applyAlignment="1" applyFont="1">
      <alignment shrinkToFit="0" vertical="bottom" wrapText="0"/>
    </xf>
    <xf borderId="2" fillId="43" fontId="199" numFmtId="0" xfId="0" applyAlignment="1" applyBorder="1" applyFont="1">
      <alignment horizontal="center"/>
    </xf>
    <xf borderId="5" fillId="3" fontId="8" numFmtId="0" xfId="0" applyAlignment="1" applyBorder="1" applyFont="1">
      <alignment horizontal="center"/>
    </xf>
    <xf borderId="5" fillId="3" fontId="8" numFmtId="0" xfId="0" applyAlignment="1" applyBorder="1" applyFont="1">
      <alignment horizontal="center" shrinkToFit="0" wrapText="1"/>
    </xf>
    <xf borderId="5" fillId="3" fontId="8" numFmtId="0" xfId="0" applyAlignment="1" applyBorder="1" applyFont="1">
      <alignment horizontal="center" shrinkToFit="0" wrapText="1"/>
    </xf>
    <xf borderId="5" fillId="3" fontId="8" numFmtId="0" xfId="0" applyAlignment="1" applyBorder="1" applyFont="1">
      <alignment horizontal="center" shrinkToFit="0" wrapText="0"/>
    </xf>
    <xf borderId="5" fillId="3" fontId="19" numFmtId="0" xfId="0" applyAlignment="1" applyBorder="1" applyFont="1">
      <alignment horizontal="center" shrinkToFit="0" wrapText="0"/>
    </xf>
    <xf borderId="6" fillId="3" fontId="8" numFmtId="0" xfId="0" applyAlignment="1" applyBorder="1" applyFont="1">
      <alignment horizontal="center" shrinkToFit="0" wrapText="1"/>
    </xf>
    <xf borderId="7" fillId="5" fontId="21" numFmtId="0" xfId="0" applyBorder="1" applyFont="1"/>
    <xf borderId="5" fillId="5" fontId="35" numFmtId="0" xfId="0" applyBorder="1" applyFont="1"/>
    <xf borderId="5" fillId="5" fontId="35" numFmtId="164" xfId="0" applyBorder="1" applyFont="1" applyNumberFormat="1"/>
    <xf borderId="5" fillId="5" fontId="35" numFmtId="0" xfId="0" applyBorder="1" applyFont="1"/>
    <xf borderId="5" fillId="5" fontId="13" numFmtId="3" xfId="0" applyAlignment="1" applyBorder="1" applyFont="1" applyNumberFormat="1">
      <alignment horizontal="center" shrinkToFit="0" wrapText="1"/>
    </xf>
    <xf borderId="5" fillId="5" fontId="35" numFmtId="3" xfId="0" applyBorder="1" applyFont="1" applyNumberFormat="1"/>
    <xf borderId="6" fillId="5" fontId="13" numFmtId="3" xfId="0" applyAlignment="1" applyBorder="1" applyFont="1" applyNumberFormat="1">
      <alignment horizontal="center" shrinkToFit="0" wrapText="1"/>
    </xf>
    <xf borderId="6" fillId="2" fontId="27" numFmtId="0" xfId="0" applyAlignment="1" applyBorder="1" applyFont="1">
      <alignment horizontal="center"/>
    </xf>
    <xf borderId="6" fillId="6" fontId="27" numFmtId="0" xfId="0" applyAlignment="1" applyBorder="1" applyFont="1">
      <alignment shrinkToFit="0" wrapText="1"/>
    </xf>
    <xf borderId="6" fillId="2" fontId="20" numFmtId="164" xfId="0" applyAlignment="1" applyBorder="1" applyFont="1" applyNumberFormat="1">
      <alignment horizontal="center" shrinkToFit="0" wrapText="1"/>
    </xf>
    <xf borderId="6" fillId="2" fontId="200" numFmtId="0" xfId="0" applyAlignment="1" applyBorder="1" applyFont="1">
      <alignment horizontal="center" shrinkToFit="0" wrapText="0"/>
    </xf>
    <xf borderId="5" fillId="2" fontId="201" numFmtId="0" xfId="0" applyAlignment="1" applyBorder="1" applyFont="1">
      <alignment shrinkToFit="0" wrapText="1"/>
    </xf>
    <xf borderId="5" fillId="2" fontId="20" numFmtId="0" xfId="0" applyAlignment="1" applyBorder="1" applyFont="1">
      <alignment horizontal="center" shrinkToFit="0" wrapText="1"/>
    </xf>
    <xf borderId="6" fillId="2" fontId="20" numFmtId="0" xfId="0" applyAlignment="1" applyBorder="1" applyFont="1">
      <alignment shrinkToFit="0" wrapText="1"/>
    </xf>
    <xf borderId="6" fillId="0" fontId="20" numFmtId="3" xfId="0" applyAlignment="1" applyBorder="1" applyFont="1" applyNumberFormat="1">
      <alignment horizontal="center" shrinkToFit="0" wrapText="1"/>
    </xf>
    <xf borderId="5" fillId="2" fontId="20" numFmtId="0" xfId="0" applyAlignment="1" applyBorder="1" applyFont="1">
      <alignment shrinkToFit="0" wrapText="1"/>
    </xf>
    <xf borderId="6" fillId="6" fontId="159" numFmtId="0" xfId="0" applyBorder="1" applyFont="1"/>
    <xf borderId="6" fillId="8" fontId="31" numFmtId="0" xfId="0" applyAlignment="1" applyBorder="1" applyFont="1">
      <alignment shrinkToFit="0" wrapText="1"/>
    </xf>
    <xf borderId="6" fillId="0" fontId="202" numFmtId="3" xfId="0" applyAlignment="1" applyBorder="1" applyFont="1" applyNumberFormat="1">
      <alignment horizontal="center" shrinkToFit="0" wrapText="1"/>
    </xf>
    <xf borderId="5" fillId="0" fontId="20" numFmtId="0" xfId="0" applyAlignment="1" applyBorder="1" applyFont="1">
      <alignment horizontal="center" shrinkToFit="0" wrapText="1"/>
    </xf>
    <xf borderId="6" fillId="0" fontId="27" numFmtId="0" xfId="0" applyAlignment="1" applyBorder="1" applyFont="1">
      <alignment horizontal="center" readingOrder="0"/>
    </xf>
    <xf borderId="5" fillId="5" fontId="35" numFmtId="10" xfId="0" applyBorder="1" applyFont="1" applyNumberFormat="1"/>
    <xf borderId="5" fillId="12" fontId="27" numFmtId="0" xfId="0" applyAlignment="1" applyBorder="1" applyFont="1">
      <alignment horizontal="center"/>
    </xf>
    <xf borderId="5" fillId="12" fontId="31" numFmtId="0" xfId="0" applyAlignment="1" applyBorder="1" applyFont="1">
      <alignment shrinkToFit="0" wrapText="1"/>
    </xf>
    <xf borderId="5" fillId="0" fontId="35" numFmtId="0" xfId="0" applyBorder="1" applyFont="1"/>
    <xf borderId="5" fillId="12" fontId="35" numFmtId="164" xfId="0" applyBorder="1" applyFont="1" applyNumberFormat="1"/>
    <xf borderId="5" fillId="12" fontId="35" numFmtId="0" xfId="0" applyBorder="1" applyFont="1"/>
    <xf borderId="5" fillId="12" fontId="20" numFmtId="0" xfId="0" applyAlignment="1" applyBorder="1" applyFont="1">
      <alignment horizontal="center" shrinkToFit="0" wrapText="1"/>
    </xf>
    <xf borderId="5" fillId="12" fontId="35" numFmtId="3" xfId="0" applyBorder="1" applyFont="1" applyNumberFormat="1"/>
    <xf borderId="6" fillId="6" fontId="31" numFmtId="0" xfId="0" applyAlignment="1" applyBorder="1" applyFont="1">
      <alignment shrinkToFit="0" wrapText="1"/>
    </xf>
    <xf borderId="6" fillId="8" fontId="27" numFmtId="0" xfId="0" applyAlignment="1" applyBorder="1" applyFont="1">
      <alignment shrinkToFit="0" wrapText="1"/>
    </xf>
    <xf borderId="6" fillId="10" fontId="159" numFmtId="0" xfId="0" applyBorder="1" applyFont="1"/>
    <xf borderId="6" fillId="10" fontId="31" numFmtId="0" xfId="0" applyAlignment="1" applyBorder="1" applyFont="1">
      <alignment shrinkToFit="0" wrapText="1"/>
    </xf>
    <xf borderId="6" fillId="2" fontId="159" numFmtId="0" xfId="0" applyBorder="1" applyFont="1"/>
    <xf borderId="6" fillId="2" fontId="40" numFmtId="0" xfId="0" applyAlignment="1" applyBorder="1" applyFont="1">
      <alignment horizontal="center" shrinkToFit="0" wrapText="0"/>
    </xf>
    <xf borderId="7" fillId="5" fontId="43" numFmtId="0" xfId="0" applyBorder="1" applyFont="1"/>
    <xf borderId="5" fillId="0" fontId="27" numFmtId="0" xfId="0" applyAlignment="1" applyBorder="1" applyFont="1">
      <alignment horizontal="center"/>
    </xf>
    <xf borderId="5" fillId="0" fontId="31" numFmtId="0" xfId="0" applyAlignment="1" applyBorder="1" applyFont="1">
      <alignment shrinkToFit="0" wrapText="1"/>
    </xf>
    <xf borderId="5" fillId="0" fontId="20" numFmtId="0" xfId="0" applyAlignment="1" applyBorder="1" applyFont="1">
      <alignment shrinkToFit="0" wrapText="1"/>
    </xf>
    <xf borderId="5" fillId="0" fontId="20" numFmtId="164" xfId="0" applyAlignment="1" applyBorder="1" applyFont="1" applyNumberFormat="1">
      <alignment horizontal="center" shrinkToFit="0" wrapText="1"/>
    </xf>
    <xf borderId="5" fillId="0" fontId="20" numFmtId="0" xfId="0" applyAlignment="1" applyBorder="1" applyFont="1">
      <alignment horizontal="center"/>
    </xf>
    <xf borderId="5" fillId="0" fontId="203" numFmtId="0" xfId="0" applyAlignment="1" applyBorder="1" applyFont="1">
      <alignment horizontal="center" shrinkToFit="0" wrapText="0"/>
    </xf>
    <xf borderId="5" fillId="2" fontId="35" numFmtId="0" xfId="0" applyBorder="1" applyFont="1"/>
    <xf borderId="13" fillId="5" fontId="43" numFmtId="0" xfId="0" applyBorder="1" applyFont="1"/>
    <xf borderId="14" fillId="5" fontId="35" numFmtId="0" xfId="0" applyBorder="1" applyFont="1"/>
    <xf borderId="15" fillId="5" fontId="35" numFmtId="0" xfId="0" applyBorder="1" applyFont="1"/>
    <xf borderId="15" fillId="5" fontId="35" numFmtId="164" xfId="0" applyBorder="1" applyFont="1" applyNumberFormat="1"/>
    <xf borderId="15" fillId="5" fontId="35" numFmtId="3" xfId="0" applyBorder="1" applyFont="1" applyNumberFormat="1"/>
    <xf borderId="15" fillId="5" fontId="13" numFmtId="3" xfId="0" applyAlignment="1" applyBorder="1" applyFont="1" applyNumberFormat="1">
      <alignment horizontal="right" shrinkToFit="0" wrapText="1"/>
    </xf>
    <xf borderId="16" fillId="5" fontId="35" numFmtId="10" xfId="0" applyBorder="1" applyFont="1" applyNumberFormat="1"/>
    <xf borderId="0" fillId="0" fontId="35" numFmtId="0" xfId="0" applyFont="1"/>
    <xf borderId="23" fillId="15" fontId="35" numFmtId="0" xfId="0" applyBorder="1" applyFont="1"/>
    <xf borderId="24" fillId="15" fontId="35" numFmtId="0" xfId="0" applyBorder="1" applyFont="1"/>
    <xf borderId="24" fillId="15" fontId="7" numFmtId="0" xfId="0" applyAlignment="1" applyBorder="1" applyFont="1">
      <alignment horizontal="center"/>
    </xf>
    <xf borderId="24" fillId="15" fontId="7" numFmtId="3" xfId="0" applyAlignment="1" applyBorder="1" applyFont="1" applyNumberFormat="1">
      <alignment horizontal="right" shrinkToFit="0" wrapText="1"/>
    </xf>
    <xf borderId="24" fillId="15" fontId="35" numFmtId="1" xfId="0" applyBorder="1" applyFont="1" applyNumberFormat="1"/>
    <xf borderId="25" fillId="15" fontId="35" numFmtId="0" xfId="0" applyBorder="1" applyFont="1"/>
    <xf borderId="24" fillId="15" fontId="7" numFmtId="9" xfId="0" applyAlignment="1" applyBorder="1" applyFont="1" applyNumberFormat="1">
      <alignment horizontal="right" shrinkToFit="0" wrapText="1"/>
    </xf>
    <xf borderId="26" fillId="15" fontId="35" numFmtId="0" xfId="0" applyBorder="1" applyFont="1"/>
    <xf borderId="27" fillId="15" fontId="35" numFmtId="0" xfId="0" applyBorder="1" applyFont="1"/>
    <xf borderId="27" fillId="15" fontId="7" numFmtId="0" xfId="0" applyAlignment="1" applyBorder="1" applyFont="1">
      <alignment horizontal="center"/>
    </xf>
    <xf borderId="27" fillId="15" fontId="35" numFmtId="9" xfId="0" applyBorder="1" applyFont="1" applyNumberFormat="1"/>
    <xf borderId="27" fillId="15" fontId="7" numFmtId="3" xfId="0" applyAlignment="1" applyBorder="1" applyFont="1" applyNumberFormat="1">
      <alignment horizontal="right" shrinkToFit="0" wrapText="1"/>
    </xf>
    <xf borderId="28" fillId="15" fontId="35" numFmtId="0" xfId="0" applyBorder="1" applyFont="1"/>
    <xf borderId="29" fillId="15" fontId="35" numFmtId="0" xfId="0" applyBorder="1" applyFont="1"/>
    <xf borderId="30" fillId="15" fontId="35" numFmtId="0" xfId="0" applyBorder="1" applyFont="1"/>
    <xf borderId="30" fillId="15" fontId="7" numFmtId="0" xfId="0" applyAlignment="1" applyBorder="1" applyFont="1">
      <alignment horizontal="center"/>
    </xf>
    <xf borderId="30" fillId="15" fontId="35" numFmtId="9" xfId="0" applyBorder="1" applyFont="1" applyNumberFormat="1"/>
    <xf borderId="30" fillId="15" fontId="7" numFmtId="3" xfId="0" applyAlignment="1" applyBorder="1" applyFont="1" applyNumberFormat="1">
      <alignment horizontal="right" shrinkToFit="0" wrapText="1"/>
    </xf>
    <xf borderId="31" fillId="15" fontId="35" numFmtId="0" xfId="0" applyBorder="1" applyFont="1"/>
    <xf borderId="0" fillId="2" fontId="35" numFmtId="0" xfId="0" applyFont="1"/>
    <xf borderId="0" fillId="2" fontId="35" numFmtId="164" xfId="0" applyFont="1" applyNumberFormat="1"/>
    <xf borderId="0" fillId="2" fontId="35" numFmtId="3" xfId="0" applyFont="1" applyNumberFormat="1"/>
    <xf borderId="17" fillId="0" fontId="27" numFmtId="0" xfId="0" applyAlignment="1" applyBorder="1" applyFont="1">
      <alignment horizontal="center"/>
    </xf>
    <xf borderId="18" fillId="14" fontId="13" numFmtId="0" xfId="0" applyAlignment="1" applyBorder="1" applyFont="1">
      <alignment shrinkToFit="0" wrapText="1"/>
    </xf>
    <xf borderId="19" fillId="0" fontId="2" numFmtId="0" xfId="0" applyAlignment="1" applyBorder="1" applyFont="1">
      <alignment shrinkToFit="0" wrapText="1"/>
    </xf>
    <xf borderId="18" fillId="0" fontId="2" numFmtId="0" xfId="0" applyAlignment="1" applyBorder="1" applyFont="1">
      <alignment horizontal="center" shrinkToFit="0" wrapText="1"/>
    </xf>
    <xf borderId="18" fillId="0" fontId="13" numFmtId="3" xfId="0" applyAlignment="1" applyBorder="1" applyFont="1" applyNumberFormat="1">
      <alignment horizontal="center" shrinkToFit="0" wrapText="1"/>
    </xf>
    <xf borderId="18" fillId="0" fontId="35" numFmtId="3" xfId="0" applyBorder="1" applyFont="1" applyNumberFormat="1"/>
    <xf borderId="18" fillId="0" fontId="13" numFmtId="3" xfId="0" applyAlignment="1" applyBorder="1" applyFont="1" applyNumberFormat="1">
      <alignment horizontal="right"/>
    </xf>
    <xf borderId="18" fillId="0" fontId="13" numFmtId="3" xfId="0" applyAlignment="1" applyBorder="1" applyFont="1" applyNumberFormat="1">
      <alignment horizontal="right" shrinkToFit="0" wrapText="1"/>
    </xf>
    <xf borderId="22" fillId="0" fontId="35" numFmtId="0" xfId="0" applyBorder="1" applyFont="1"/>
    <xf borderId="0" fillId="0" fontId="140" numFmtId="0" xfId="0" applyAlignment="1" applyFont="1">
      <alignment vertical="center"/>
    </xf>
    <xf borderId="0" fillId="0" fontId="140" numFmtId="0" xfId="0" applyAlignment="1" applyFont="1">
      <alignment readingOrder="0" vertical="center"/>
    </xf>
    <xf borderId="0" fillId="0" fontId="140" numFmtId="0" xfId="0" applyFont="1"/>
    <xf borderId="0" fillId="0" fontId="140" numFmtId="0" xfId="0" applyAlignment="1" applyFont="1">
      <alignment shrinkToFit="0" vertical="center" wrapText="1"/>
    </xf>
    <xf borderId="2" fillId="35" fontId="142" numFmtId="0" xfId="0" applyAlignment="1" applyBorder="1" applyFont="1">
      <alignment vertical="center"/>
    </xf>
    <xf borderId="2" fillId="35" fontId="140" numFmtId="0" xfId="0" applyAlignment="1" applyBorder="1" applyFont="1">
      <alignment horizontal="center" readingOrder="0" vertical="center"/>
    </xf>
    <xf borderId="2" fillId="35" fontId="141" numFmtId="0" xfId="0" applyAlignment="1" applyBorder="1" applyFont="1">
      <alignment horizontal="center" readingOrder="0" vertical="center"/>
    </xf>
    <xf borderId="0" fillId="0" fontId="140" numFmtId="0" xfId="0" applyAlignment="1" applyFont="1">
      <alignment horizontal="center" readingOrder="0"/>
    </xf>
    <xf borderId="2" fillId="35" fontId="141" numFmtId="0" xfId="0" applyAlignment="1" applyBorder="1" applyFont="1">
      <alignment horizontal="right" readingOrder="0" vertical="center"/>
    </xf>
    <xf borderId="2" fillId="0" fontId="142" numFmtId="3" xfId="0" applyAlignment="1" applyBorder="1" applyFont="1" applyNumberFormat="1">
      <alignment readingOrder="0" vertical="center"/>
    </xf>
    <xf borderId="2" fillId="0" fontId="140" numFmtId="3" xfId="0" applyAlignment="1" applyBorder="1" applyFont="1" applyNumberFormat="1">
      <alignment readingOrder="0" vertical="center"/>
    </xf>
    <xf borderId="2" fillId="0" fontId="140" numFmtId="3" xfId="0" applyAlignment="1" applyBorder="1" applyFont="1" applyNumberFormat="1">
      <alignment vertical="center"/>
    </xf>
    <xf borderId="0" fillId="0" fontId="140" numFmtId="10" xfId="0" applyAlignment="1" applyFont="1" applyNumberFormat="1">
      <alignment horizontal="center" readingOrder="0" vertical="center"/>
    </xf>
    <xf borderId="0" fillId="0" fontId="142" numFmtId="10" xfId="0" applyAlignment="1" applyFont="1" applyNumberFormat="1">
      <alignment horizontal="center" readingOrder="0" vertical="center"/>
    </xf>
    <xf borderId="0" fillId="0" fontId="142" numFmtId="0" xfId="0" applyAlignment="1" applyFont="1">
      <alignment horizontal="right" readingOrder="0" vertical="center"/>
    </xf>
    <xf borderId="0" fillId="0" fontId="142" numFmtId="3" xfId="0" applyAlignment="1" applyFont="1" applyNumberFormat="1">
      <alignment horizontal="right" readingOrder="0" vertical="center"/>
    </xf>
    <xf borderId="2" fillId="35" fontId="141" numFmtId="0" xfId="0" applyAlignment="1" applyBorder="1" applyFont="1">
      <alignment horizontal="center" readingOrder="0" shrinkToFit="0" vertical="center" wrapText="1"/>
    </xf>
    <xf borderId="2" fillId="37" fontId="141" numFmtId="0" xfId="0" applyAlignment="1" applyBorder="1" applyFont="1">
      <alignment readingOrder="0" vertical="center"/>
    </xf>
    <xf borderId="2" fillId="37" fontId="170" numFmtId="3" xfId="0" applyAlignment="1" applyBorder="1" applyFont="1" applyNumberFormat="1">
      <alignment vertical="center"/>
    </xf>
    <xf borderId="2" fillId="37" fontId="170" numFmtId="0" xfId="0" applyAlignment="1" applyBorder="1" applyFont="1">
      <alignment vertical="center"/>
    </xf>
    <xf borderId="2" fillId="37" fontId="141" numFmtId="173" xfId="0" applyAlignment="1" applyBorder="1" applyFont="1" applyNumberFormat="1">
      <alignment shrinkToFit="0" vertical="center" wrapText="1"/>
    </xf>
    <xf borderId="4" fillId="44" fontId="141" numFmtId="0" xfId="0" applyAlignment="1" applyBorder="1" applyFill="1" applyFont="1">
      <alignment readingOrder="0" vertical="center"/>
    </xf>
    <xf borderId="2" fillId="44" fontId="170" numFmtId="3" xfId="0" applyAlignment="1" applyBorder="1" applyFont="1" applyNumberFormat="1">
      <alignment vertical="center"/>
    </xf>
    <xf borderId="2" fillId="44" fontId="170" numFmtId="0" xfId="0" applyAlignment="1" applyBorder="1" applyFont="1">
      <alignment vertical="center"/>
    </xf>
    <xf borderId="2" fillId="44" fontId="170" numFmtId="0" xfId="0" applyAlignment="1" applyBorder="1" applyFont="1">
      <alignment shrinkToFit="0" vertical="center" wrapText="1"/>
    </xf>
    <xf borderId="2" fillId="0" fontId="140" numFmtId="0" xfId="0" applyAlignment="1" applyBorder="1" applyFont="1">
      <alignment horizontal="center" readingOrder="0" vertical="center"/>
    </xf>
    <xf borderId="2" fillId="0" fontId="140" numFmtId="164" xfId="0" applyAlignment="1" applyBorder="1" applyFont="1" applyNumberFormat="1">
      <alignment readingOrder="0" vertical="center"/>
    </xf>
    <xf borderId="2" fillId="0" fontId="140" numFmtId="174" xfId="0" applyAlignment="1" applyBorder="1" applyFont="1" applyNumberFormat="1">
      <alignment readingOrder="0" vertical="center"/>
    </xf>
    <xf borderId="2" fillId="0" fontId="204" numFmtId="0" xfId="0" applyAlignment="1" applyBorder="1" applyFont="1">
      <alignment readingOrder="0" shrinkToFit="0" vertical="center" wrapText="1"/>
    </xf>
    <xf borderId="2" fillId="0" fontId="140" numFmtId="0" xfId="0" applyAlignment="1" applyBorder="1" applyFont="1">
      <alignment readingOrder="0" shrinkToFit="0" vertical="center" wrapText="1"/>
    </xf>
    <xf borderId="0" fillId="0" fontId="140" numFmtId="0" xfId="0" applyAlignment="1" applyFont="1">
      <alignment readingOrder="0"/>
    </xf>
    <xf borderId="1" fillId="9" fontId="205" numFmtId="0" xfId="0" applyAlignment="1" applyBorder="1" applyFont="1">
      <alignment readingOrder="0" shrinkToFit="0" vertical="center" wrapText="1"/>
    </xf>
    <xf borderId="2" fillId="0" fontId="140" numFmtId="0" xfId="0" applyAlignment="1" applyBorder="1" applyFont="1">
      <alignment shrinkToFit="0" vertical="center" wrapText="1"/>
    </xf>
    <xf borderId="2" fillId="44" fontId="141" numFmtId="0" xfId="0" applyAlignment="1" applyBorder="1" applyFont="1">
      <alignment readingOrder="0" vertical="center"/>
    </xf>
    <xf borderId="2" fillId="44" fontId="170" numFmtId="0" xfId="0" applyAlignment="1" applyBorder="1" applyFont="1">
      <alignment horizontal="center" vertical="center"/>
    </xf>
    <xf borderId="2" fillId="0" fontId="206" numFmtId="0" xfId="0" applyAlignment="1" applyBorder="1" applyFont="1">
      <alignment readingOrder="0" vertical="center"/>
    </xf>
    <xf borderId="2" fillId="0" fontId="205" numFmtId="3" xfId="0" applyAlignment="1" applyBorder="1" applyFont="1" applyNumberFormat="1">
      <alignment readingOrder="0" vertical="center"/>
    </xf>
    <xf borderId="2" fillId="0" fontId="207" numFmtId="0" xfId="0" applyAlignment="1" applyBorder="1" applyFont="1">
      <alignment vertical="center"/>
    </xf>
    <xf borderId="2" fillId="0" fontId="207" numFmtId="3" xfId="0" applyAlignment="1" applyBorder="1" applyFont="1" applyNumberFormat="1">
      <alignment readingOrder="0" shrinkToFit="0" vertical="center" wrapText="1"/>
    </xf>
    <xf borderId="0" fillId="0" fontId="140" numFmtId="0" xfId="0" applyAlignment="1" applyFont="1">
      <alignment readingOrder="0" shrinkToFit="0" vertical="center" wrapText="1"/>
    </xf>
    <xf borderId="0" fillId="0" fontId="208" numFmtId="0" xfId="0" applyAlignment="1" applyFont="1">
      <alignment readingOrder="0"/>
    </xf>
    <xf borderId="0" fillId="0" fontId="208" numFmtId="0" xfId="0" applyFont="1"/>
    <xf borderId="2" fillId="9" fontId="205" numFmtId="3" xfId="0" applyAlignment="1" applyBorder="1" applyFont="1" applyNumberFormat="1">
      <alignment horizontal="right" readingOrder="0" vertical="center"/>
    </xf>
    <xf borderId="2" fillId="0" fontId="205" numFmtId="3" xfId="0" applyAlignment="1" applyBorder="1" applyFont="1" applyNumberFormat="1">
      <alignment horizontal="right" readingOrder="0" vertical="center"/>
    </xf>
    <xf borderId="0" fillId="0" fontId="142" numFmtId="0" xfId="0" applyAlignment="1" applyFont="1">
      <alignment vertical="center"/>
    </xf>
    <xf borderId="0" fillId="0" fontId="140" numFmtId="0" xfId="0" applyAlignment="1" applyFont="1">
      <alignment horizontal="center" readingOrder="0" vertical="center"/>
    </xf>
    <xf borderId="0" fillId="0" fontId="141" numFmtId="0" xfId="0" applyAlignment="1" applyFont="1">
      <alignment horizontal="center" readingOrder="0" vertical="center"/>
    </xf>
    <xf borderId="0" fillId="0" fontId="141" numFmtId="0" xfId="0" applyAlignment="1" applyFont="1">
      <alignment horizontal="right" readingOrder="0" vertical="center"/>
    </xf>
    <xf borderId="0" fillId="0" fontId="142" numFmtId="3" xfId="0" applyAlignment="1" applyFont="1" applyNumberFormat="1">
      <alignment readingOrder="0" vertical="center"/>
    </xf>
    <xf borderId="0" fillId="0" fontId="140" numFmtId="3" xfId="0" applyAlignment="1" applyFont="1" applyNumberFormat="1">
      <alignment readingOrder="0" vertical="center"/>
    </xf>
    <xf borderId="0" fillId="0" fontId="140" numFmtId="3" xfId="0" applyAlignment="1" applyFont="1" applyNumberFormat="1">
      <alignment vertical="center"/>
    </xf>
    <xf borderId="0" fillId="0" fontId="141" numFmtId="0" xfId="0" applyAlignment="1" applyFont="1">
      <alignment horizontal="center" readingOrder="0" shrinkToFit="0" vertical="center" wrapText="1"/>
    </xf>
    <xf borderId="0" fillId="0" fontId="141" numFmtId="0" xfId="0" applyAlignment="1" applyFont="1">
      <alignment readingOrder="0" vertical="center"/>
    </xf>
    <xf borderId="0" fillId="0" fontId="170" numFmtId="3" xfId="0" applyAlignment="1" applyFont="1" applyNumberFormat="1">
      <alignment vertical="center"/>
    </xf>
    <xf borderId="0" fillId="0" fontId="170" numFmtId="0" xfId="0" applyAlignment="1" applyFont="1">
      <alignment vertical="center"/>
    </xf>
    <xf borderId="0" fillId="0" fontId="141" numFmtId="173" xfId="0" applyAlignment="1" applyFont="1" applyNumberFormat="1">
      <alignment shrinkToFit="0" vertical="center" wrapText="1"/>
    </xf>
    <xf borderId="0" fillId="0" fontId="170" numFmtId="0" xfId="0" applyAlignment="1" applyFont="1">
      <alignment shrinkToFit="0" vertical="center" wrapText="1"/>
    </xf>
    <xf borderId="0" fillId="0" fontId="140" numFmtId="164" xfId="0" applyAlignment="1" applyFont="1" applyNumberFormat="1">
      <alignment readingOrder="0" vertical="center"/>
    </xf>
    <xf borderId="0" fillId="0" fontId="140" numFmtId="174" xfId="0" applyAlignment="1" applyFont="1" applyNumberFormat="1">
      <alignment readingOrder="0" vertical="center"/>
    </xf>
    <xf borderId="0" fillId="0" fontId="170" numFmtId="0" xfId="0" applyAlignment="1" applyFont="1">
      <alignment horizontal="center" vertical="center"/>
    </xf>
    <xf borderId="0" fillId="0" fontId="206" numFmtId="0" xfId="0" applyAlignment="1" applyFont="1">
      <alignment readingOrder="0" vertical="center"/>
    </xf>
    <xf borderId="0" fillId="0" fontId="205" numFmtId="3" xfId="0" applyAlignment="1" applyFont="1" applyNumberFormat="1">
      <alignment readingOrder="0" vertical="center"/>
    </xf>
    <xf borderId="0" fillId="0" fontId="207" numFmtId="0" xfId="0" applyAlignment="1" applyFont="1">
      <alignment vertical="center"/>
    </xf>
    <xf borderId="0" fillId="0" fontId="207" numFmtId="3" xfId="0" applyAlignment="1" applyFont="1" applyNumberFormat="1">
      <alignment readingOrder="0" shrinkToFit="0" vertical="center" wrapText="1"/>
    </xf>
    <xf borderId="0" fillId="0" fontId="205" numFmtId="3" xfId="0" applyAlignment="1" applyFont="1" applyNumberFormat="1">
      <alignment horizontal="right" readingOrder="0" vertical="center"/>
    </xf>
    <xf borderId="0" fillId="0" fontId="205" numFmtId="0" xfId="0" applyAlignment="1" applyFont="1">
      <alignment horizontal="center" readingOrder="0" vertical="center"/>
    </xf>
    <xf borderId="0" fillId="0" fontId="205" numFmtId="0" xfId="0" applyAlignment="1" applyFont="1">
      <alignment readingOrder="0" vertical="center"/>
    </xf>
    <xf borderId="0" fillId="0" fontId="205" numFmtId="0" xfId="0" applyAlignment="1" applyFont="1">
      <alignment readingOrder="0"/>
    </xf>
    <xf borderId="6" fillId="10" fontId="27" numFmtId="0" xfId="0" applyAlignment="1" applyBorder="1" applyFont="1">
      <alignment readingOrder="0"/>
    </xf>
    <xf borderId="6" fillId="2" fontId="20" numFmtId="0" xfId="0" applyAlignment="1" applyBorder="1" applyFont="1">
      <alignment horizontal="center" readingOrder="0" shrinkToFit="0" wrapText="1"/>
    </xf>
    <xf borderId="6" fillId="2" fontId="209" numFmtId="0" xfId="0" applyAlignment="1" applyBorder="1" applyFont="1">
      <alignment horizontal="center" readingOrder="0"/>
    </xf>
    <xf borderId="13" fillId="5" fontId="43" numFmtId="0" xfId="0" applyAlignment="1" applyBorder="1" applyFont="1">
      <alignment readingOrder="0"/>
    </xf>
  </cellXfs>
  <cellStyles count="1">
    <cellStyle xfId="0" name="Normal" builtinId="0"/>
  </cellStyles>
  <dxfs count="14">
    <dxf>
      <font>
        <color theme="0"/>
      </font>
      <fill>
        <patternFill patternType="solid">
          <fgColor rgb="FF274E13"/>
          <bgColor rgb="FF274E13"/>
        </patternFill>
      </fill>
      <border/>
    </dxf>
    <dxf>
      <font/>
      <fill>
        <patternFill patternType="solid">
          <fgColor rgb="FFD9EAD3"/>
          <bgColor rgb="FFD9EAD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CFE2F3"/>
          <bgColor rgb="FFCFE2F3"/>
        </patternFill>
      </fill>
      <border/>
    </dxf>
    <dxf>
      <font/>
      <fill>
        <patternFill patternType="solid">
          <fgColor rgb="FFF4CCCC"/>
          <bgColor rgb="FFF4CCCC"/>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FFECEE"/>
          <bgColor rgb="FFFFECEE"/>
        </patternFill>
      </fill>
      <border/>
    </dxf>
  </dxfs>
  <tableStyles count="1">
    <tableStyle count="4" pivot="0" name="INT | Influencer Execution Trac-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cf64855-e920-4e24-a2f4-c643263d0311}">
    <Anchor>
      <Comment id="{838848d1-4a59-466f-af20-c54c9f8f1de1}"/>
    </Anchor>
    <History>
      <Event time="2026-05-20T07:45:58.00" id="{11798291-3a5c-4287-a2bf-533513580e7c}">
        <Attribution userId="placeholder@email.com" userName="Hoàng Như Quốc Tấn (Influencer Team)" userProvider="google-sheets"/>
        <Anchor>
          <Comment id="{838848d1-4a59-466f-af20-c54c9f8f1de1}"/>
        </Anchor>
        <Create/>
      </Event>
      <Event time="2026-05-20T07:45:58.00" id="{d494c6f4-3ddf-44a4-baa4-fcf1eb6aefff}">
        <Attribution userId="placeholder@email.com" userName="Hoàng Như Quốc Tấn (Influencer Team)" userProvider="google-sheets"/>
        <Anchor>
          <Comment id="{838848d1-4a59-466f-af20-c54c9f8f1de1}"/>
        </Anchor>
        <Assign userId="thanhngan.le@pmax.com.vn" userName="thanhngan.le@pmax.com.vn" userProvider="google-sheets"/>
      </Event>
    </History>
  </Task>
  <Task id="{323f41e1-6be1-4937-9198-75fd46a13b46}">
    <Anchor>
      <Comment id="{0bdaafe5-e4be-4449-a7ce-207537b5824f}"/>
    </Anchor>
    <History>
      <Event time="2026-05-28T06:11:56.00" id="{f60b72c1-52ec-42f1-9538-406586668c3a}">
        <Attribution userId="placeholder@email.com" userName="Hoàng Như Quốc Tấn (Influencer Team)" userProvider="google-sheets"/>
        <Anchor>
          <Comment id="{0bdaafe5-e4be-4449-a7ce-207537b5824f}"/>
        </Anchor>
        <Create/>
      </Event>
      <Event time="2026-05-28T06:11:56.00" id="{cad0f96d-292e-4d29-9b1e-33e15a8f28e5}">
        <Attribution userId="placeholder@email.com" userName="Hoàng Như Quốc Tấn (Influencer Team)" userProvider="google-sheets"/>
        <Anchor>
          <Comment id="{0bdaafe5-e4be-4449-a7ce-207537b5824f}"/>
        </Anchor>
        <Assign userId="thanhngan.le@pmax.com.vn" userName="thanhngan.le@pmax.com.vn" userProvider="google-sheets"/>
      </Event>
    </History>
  </Task>
  <Task id="{ffc1678c-e6b9-4a89-a4cf-327c82394561}">
    <Anchor>
      <Comment id="{91273025-c8db-43ba-909b-80d377d67c88}"/>
    </Anchor>
    <History>
      <Event time="2026-06-04T07:07:34.00" id="{e694d579-e89b-410e-9b0a-089ace65c201}">
        <Attribution userId="placeholder@email.com" userName="Thai Ha Doan (Account)" userProvider="google-sheets"/>
        <Anchor>
          <Comment id="{91273025-c8db-43ba-909b-80d377d67c88}"/>
        </Anchor>
        <Create/>
      </Event>
      <Event time="2026-06-04T07:07:34.00" id="{dada13da-1807-4e16-a5a3-7b47eee7067f}">
        <Attribution userId="placeholder@email.com" userName="Thai Ha Doan (Account)" userProvider="google-sheets"/>
        <Anchor>
          <Comment id="{91273025-c8db-43ba-909b-80d377d67c88}"/>
        </Anchor>
        <Assign userId="quoctan.hoang@pmax.com.vn" userName="quoctan.hoang@pmax.com.vn" userProvider="google-sheets"/>
      </Event>
    </History>
  </Task>
  <Task id="{5849dfa6-86fc-47e4-a480-a5d66d29416b}">
    <Anchor>
      <Comment id="{b332041d-118f-496e-a2e5-2314ad182d25}"/>
    </Anchor>
    <History>
      <Event time="2026-06-04T07:02:05.00" id="{aa807133-8125-4434-b10d-4e1a8d483b43}">
        <Attribution userId="placeholder@email.com" userName="Thai Ha Doan (Account)" userProvider="google-sheets"/>
        <Anchor>
          <Comment id="{b332041d-118f-496e-a2e5-2314ad182d25}"/>
        </Anchor>
        <Create/>
      </Event>
      <Event time="2026-06-04T07:02:05.00" id="{7f3f0fea-4fc4-404b-b864-0378e50e6f34}">
        <Attribution userId="placeholder@email.com" userName="Thai Ha Doan (Account)" userProvider="google-sheets"/>
        <Anchor>
          <Comment id="{b332041d-118f-496e-a2e5-2314ad182d25}"/>
        </Anchor>
        <Assign userId="quoctan.hoang@pmax.com.vn" userName="quoctan.hoang@pmax.com.vn" userProvider="google-sheets"/>
      </Event>
    </History>
  </Task>
  <Task id="{e8cd58eb-230c-45dd-9f15-e9ef92dbfabb}">
    <Anchor>
      <Comment id="{196a19da-4e97-4e7e-a498-3e62c4a6e053}"/>
    </Anchor>
    <History>
      <Event time="2026-05-25T09:56:31.00" id="{f44ee0f8-442e-4254-96fb-3dbe857969c1}">
        <Attribution userId="placeholder@email.com" userName="Hoàng Như Quốc Tấn (Influencer Team)" userProvider="google-sheets"/>
        <Anchor>
          <Comment id="{196a19da-4e97-4e7e-a498-3e62c4a6e053}"/>
        </Anchor>
        <Create/>
      </Event>
      <Event time="2026-05-25T09:56:31.00" id="{46dffc62-f986-461c-8e6b-123f1ef60670}">
        <Attribution userId="placeholder@email.com" userName="Hoàng Như Quốc Tấn (Influencer Team)" userProvider="google-sheets"/>
        <Anchor>
          <Comment id="{196a19da-4e97-4e7e-a498-3e62c4a6e053}"/>
        </Anchor>
        <Assign userId="thanhngan.le@pmax.com.vn" userName="thanhngan.le@pmax.com.vn" userProvider="google-sheets"/>
      </Event>
    </History>
  </Task>
  <Task id="{7ab4299a-6fc3-4006-876f-e9d96245eb30}">
    <Anchor>
      <Comment id="{e04278af-a3f9-4f31-bc85-0aacced977b9}"/>
    </Anchor>
    <History>
      <Event time="2026-05-18T04:15:10.00" id="{eb0c8391-305d-4b41-ba15-efab818bb795}">
        <Attribution userId="placeholder@email.com" userName="Hoàng Như Quốc Tấn (Influencer Team)" userProvider="google-sheets"/>
        <Anchor>
          <Comment id="{e04278af-a3f9-4f31-bc85-0aacced977b9}"/>
        </Anchor>
        <Create/>
      </Event>
      <Event time="2026-05-18T04:15:10.00" id="{7abd2996-e9d4-45e8-8fda-cf937410e8a3}">
        <Attribution userId="placeholder@email.com" userName="Hoàng Như Quốc Tấn (Influencer Team)" userProvider="google-sheets"/>
        <Anchor>
          <Comment id="{e04278af-a3f9-4f31-bc85-0aacced977b9}"/>
        </Anchor>
        <Assign userId="thanhngan.le@pmax.com.vn" userName="thanhngan.le@pmax.com.vn" userProvider="google-sheets"/>
      </Event>
    </History>
  </Task>
  <Task id="{d62e430b-4893-48f2-a258-4989114bf302}">
    <Anchor>
      <Comment id="{84a2c940-e6d7-4f90-aa31-cf4ec5a5168c}"/>
    </Anchor>
    <History>
      <Event time="2026-05-14T05:13:04.00" id="{29e67a35-671e-498e-97a2-5f08706fe8e1}">
        <Attribution userId="placeholder@email.com" userName="Thanh Ngan Le (Account team)" userProvider="google-sheets"/>
        <Anchor>
          <Comment id="{84a2c940-e6d7-4f90-aa31-cf4ec5a5168c}"/>
        </Anchor>
        <Create/>
      </Event>
      <Event time="2026-05-14T05:13:04.00" id="{088a1e88-af74-4985-977c-6ea5c8ce3524}">
        <Attribution userId="placeholder@email.com" userName="Thanh Ngan Le (Account team)" userProvider="google-sheets"/>
        <Anchor>
          <Comment id="{84a2c940-e6d7-4f90-aa31-cf4ec5a5168c}"/>
        </Anchor>
        <Assign userId="quoctan.hoang@pmax.com.vn" userName="quoctan.hoang@pmax.com.vn" userProvider="google-sheets"/>
      </Event>
    </History>
  </Task>
  <Task id="{10d82b00-2d67-458b-9499-6c73d0612850}">
    <Anchor>
      <Comment id="{ed8eccd9-9021-496f-b602-87122d47a47e}"/>
    </Anchor>
    <History>
      <Event time="2026-05-22T07:24:10.00" id="{91ac5400-e82b-4ea5-b1af-32484bbc1ad2}">
        <Attribution userId="placeholder@email.com" userName="Hoàng Như Quốc Tấn (Influencer Team)" userProvider="google-sheets"/>
        <Anchor>
          <Comment id="{ed8eccd9-9021-496f-b602-87122d47a47e}"/>
        </Anchor>
        <Create/>
      </Event>
      <Event time="2026-05-22T07:24:10.00" id="{93784653-4d81-4b34-a614-3b6554167fe4}">
        <Attribution userId="placeholder@email.com" userName="Hoàng Như Quốc Tấn (Influencer Team)" userProvider="google-sheets"/>
        <Anchor>
          <Comment id="{ed8eccd9-9021-496f-b602-87122d47a47e}"/>
        </Anchor>
        <Assign userId="thanhngan.le@pmax.com.vn" userName="thanhngan.le@pmax.com.vn" userProvider="google-sheets"/>
      </Event>
    </History>
  </Task>
  <Task id="{32cabbad-af1e-4b6b-aed7-f95746f63278}">
    <Anchor>
      <Comment id="{68b9a317-497b-4776-9c6c-dd949f5897f8}"/>
    </Anchor>
    <History>
      <Event time="2026-06-01T09:18:41.00" id="{cc2cbc67-10c6-4d92-a92d-3ad8e3a63149}">
        <Attribution userId="placeholder@email.com" userName="Thai Ha Doan (Account)" userProvider="google-sheets"/>
        <Anchor>
          <Comment id="{db822fdb-bab0-4df7-a7cf-c499de6ffdcb}"/>
        </Anchor>
        <Create/>
      </Event>
      <Event time="2026-06-01T09:18:41.00" id="{e0d81641-ea55-4b7b-8ac6-b9fca7fdd3b0}">
        <Attribution userId="placeholder@email.com" userName="Thai Ha Doan (Account)" userProvider="google-sheets"/>
        <Anchor>
          <Comment id="{db822fdb-bab0-4df7-a7cf-c499de6ffdcb}"/>
        </Anchor>
        <Assign userId="quoctan.hoang@pmax.com.vn" userName="quoctan.hoang@pmax.com.vn" userProvider="google-sheets"/>
      </Event>
    </History>
  </Task>
  <Task id="{2abf64da-a7f6-42fd-9131-f5b715a88581}">
    <Anchor>
      <Comment id="{a92c73d7-f259-4f58-b0b8-e94637b80633}"/>
    </Anchor>
    <History>
      <Event time="2026-05-07T09:22:46.00" id="{df686e68-40a3-4d7a-af35-d9cd80b7bf33}">
        <Attribution userId="placeholder@email.com" userName="Thanh Ngan Le (Account team)" userProvider="google-sheets"/>
        <Anchor>
          <Comment id="{a92c73d7-f259-4f58-b0b8-e94637b80633}"/>
        </Anchor>
        <Create/>
      </Event>
      <Event time="2026-05-07T09:22:46.00" id="{f9614ca9-09cb-4116-b704-436b5109793e}">
        <Attribution userId="placeholder@email.com" userName="Thanh Ngan Le (Account team)" userProvider="google-sheets"/>
        <Anchor>
          <Comment id="{a92c73d7-f259-4f58-b0b8-e94637b80633}"/>
        </Anchor>
        <Assign userId="quoctan.hoang@pmax.com.vn" userName="quoctan.hoang@pmax.com.vn" userProvider="google-sheets"/>
      </Event>
    </History>
  </Task>
</Tasks>
</file>

<file path=xl/documenttasks/documenttask2.xml><?xml version="1.0" encoding="utf-8"?>
<Tasks xmlns="http://schemas.microsoft.com/office/tasks/2019/documenttasks">
  <Task id="{64a59745-b3cf-49e4-9813-7d8ffc705f82}">
    <Anchor>
      <Comment id="{c825dbf4-b218-444a-9020-0bf8b858a7bc}"/>
    </Anchor>
    <History>
      <Event time="2026-05-22T10:12:24.00" id="{0574b47c-d888-414e-95fc-1947a7ac0414}">
        <Attribution userId="placeholder@email.com" userName="Hoàng Như Quốc Tấn (Influencer Team)" userProvider="google-sheets"/>
        <Anchor>
          <Comment id="{c825dbf4-b218-444a-9020-0bf8b858a7bc}"/>
        </Anchor>
        <Create/>
      </Event>
      <Event time="2026-05-22T10:12:24.00" id="{571cbc4a-6c54-4ce3-93c2-2cb938eff707}">
        <Attribution userId="placeholder@email.com" userName="Hoàng Như Quốc Tấn (Influencer Team)" userProvider="google-sheets"/>
        <Anchor>
          <Comment id="{c825dbf4-b218-444a-9020-0bf8b858a7bc}"/>
        </Anchor>
        <Assign userId="thanhngan.le@pmax.com.vn" userName="thanhngan.le@pmax.com.vn" userProvider="google-sheets"/>
      </Event>
    </History>
  </Task>
  <Task id="{f8cde2ac-cf88-4ba9-8d07-b5f7ada68525}">
    <Anchor>
      <Comment id="{12bcfa57-9f09-4be0-8afc-0db80a7d848f}"/>
    </Anchor>
    <History>
      <Event time="2026-05-22T07:15:59.00" id="{d0e08e2d-a26b-4fbd-934d-7dac3473a101}">
        <Attribution userId="placeholder@email.com" userName="Hoàng Như Quốc Tấn (Influencer Team)" userProvider="google-sheets"/>
        <Anchor>
          <Comment id="{12bcfa57-9f09-4be0-8afc-0db80a7d848f}"/>
        </Anchor>
        <Create/>
      </Event>
      <Event time="2026-05-22T07:15:59.00" id="{a5397a10-e62c-4072-850f-9c53d97ad736}">
        <Attribution userId="placeholder@email.com" userName="Hoàng Như Quốc Tấn (Influencer Team)" userProvider="google-sheets"/>
        <Anchor>
          <Comment id="{12bcfa57-9f09-4be0-8afc-0db80a7d848f}"/>
        </Anchor>
        <Assign userId="thanhngan.le@pmax.com.vn" userName="thanhngan.le@pmax.com.vn" userProvider="google-sheets"/>
      </Event>
    </History>
  </Task>
  <Task id="{463626d5-052d-4876-8fd0-3d660523e107}">
    <Anchor>
      <Comment id="{c609fb12-0f73-44f8-a1a8-7370b041d2db}"/>
    </Anchor>
    <History>
      <Event time="2026-05-20T03:03:34.00" id="{1c4ca7b0-253a-42b8-b88d-b9330212cd73}">
        <Attribution userId="placeholder@email.com" userName="Thanh Ngan Le (Account team)" userProvider="google-sheets"/>
        <Anchor>
          <Comment id="{c609fb12-0f73-44f8-a1a8-7370b041d2db}"/>
        </Anchor>
        <Create/>
      </Event>
      <Event time="2026-05-20T03:03:34.00" id="{5390e1e2-4a82-45db-9d1b-120297862ae6}">
        <Attribution userId="placeholder@email.com" userName="Thanh Ngan Le (Account team)" userProvider="google-sheets"/>
        <Anchor>
          <Comment id="{c609fb12-0f73-44f8-a1a8-7370b041d2db}"/>
        </Anchor>
        <Assign userId="quoctan.hoang@pmax.com.vn" userName="quoctan.hoang@pmax.com.vn" userProvider="google-sheets"/>
      </Event>
    </History>
  </Task>
  <Task id="{b83aa97c-1331-4f24-9e65-47d6d9fc2ef1}">
    <Anchor>
      <Comment id="{6356599f-4422-4b74-8333-7d819040c31a}"/>
    </Anchor>
    <History>
      <Event time="2026-06-04T04:19:45.00" id="{71533f2d-0bcf-4f3c-a15d-32a67e2f31a3}">
        <Attribution userId="placeholder@email.com" userName="Thanh Ngan Le (Account team)" userProvider="google-sheets"/>
        <Anchor>
          <Comment id="{6356599f-4422-4b74-8333-7d819040c31a}"/>
        </Anchor>
        <Create/>
      </Event>
      <Event time="2026-06-04T04:19:45.00" id="{9de6d0fd-6078-414d-af65-3500d4505942}">
        <Attribution userId="placeholder@email.com" userName="Thanh Ngan Le (Account team)" userProvider="google-sheets"/>
        <Anchor>
          <Comment id="{6356599f-4422-4b74-8333-7d819040c31a}"/>
        </Anchor>
        <Assign userId="quoctan.hoang@pmax.com.vn" userName="quoctan.hoang@pmax.com.vn" userProvider="google-sheets"/>
      </Event>
    </History>
  </Task>
  <Task id="{812f9945-14aa-4e11-bacd-b74bda3ca8de}">
    <Anchor>
      <Comment id="{40417fa6-945f-436f-b001-e3756aaf42a3}"/>
    </Anchor>
    <History>
      <Event time="2026-05-12T03:37:27.00" id="{71f33a21-8123-4edd-b183-67bf87495b55}">
        <Attribution userId="placeholder@email.com" userName="Thanh Ngan Le (Account team)" userProvider="google-sheets"/>
        <Anchor>
          <Comment id="{40417fa6-945f-436f-b001-e3756aaf42a3}"/>
        </Anchor>
        <Create/>
      </Event>
      <Event time="2026-05-12T03:37:27.00" id="{cf752e47-4a8f-4ef9-bfff-f0f84e7102b3}">
        <Attribution userId="placeholder@email.com" userName="Thanh Ngan Le (Account team)" userProvider="google-sheets"/>
        <Anchor>
          <Comment id="{40417fa6-945f-436f-b001-e3756aaf42a3}"/>
        </Anchor>
        <Assign userId="quoctan.hoang@pmax.com.vn" userName="quoctan.hoang@pmax.com.vn" userProvider="google-sheets"/>
      </Event>
    </History>
  </Task>
  <Task id="{9896303c-7167-4a16-bea2-85cd6effe601}">
    <Anchor>
      <Comment id="{b14835d5-125c-4b34-ba31-223093ab797a}"/>
    </Anchor>
    <History>
      <Event time="2026-05-22T10:11:00.00" id="{8d6815ed-7199-45cd-aa2e-656c915bb86e}">
        <Attribution userId="placeholder@email.com" userName="Hoàng Như Quốc Tấn (Influencer Team)" userProvider="google-sheets"/>
        <Anchor>
          <Comment id="{b14835d5-125c-4b34-ba31-223093ab797a}"/>
        </Anchor>
        <Create/>
      </Event>
      <Event time="2026-05-22T10:11:00.00" id="{7dbdac2f-5e2e-43ec-8d8b-2963367984e9}">
        <Attribution userId="placeholder@email.com" userName="Hoàng Như Quốc Tấn (Influencer Team)" userProvider="google-sheets"/>
        <Anchor>
          <Comment id="{b14835d5-125c-4b34-ba31-223093ab797a}"/>
        </Anchor>
        <Assign userId="thanhngan.le@pmax.com.vn" userName="thanhngan.le@pmax.com.vn" userProvider="google-sheets"/>
      </Event>
    </History>
  </Task>
  <Task id="{694641fd-24ff-4bb1-946b-42c612105ece}">
    <Anchor>
      <Comment id="{5b332c43-4516-45e7-8949-5e36fb420ac9}"/>
    </Anchor>
    <History>
      <Event time="2026-06-04T04:00:18.00" id="{47326d90-d02a-4e3b-88f3-30b38b339eb5}">
        <Attribution userId="placeholder@email.com" userName="Thai Ha Doan (Account)" userProvider="google-sheets"/>
        <Anchor>
          <Comment id="{5b332c43-4516-45e7-8949-5e36fb420ac9}"/>
        </Anchor>
        <Create/>
      </Event>
      <Event time="2026-06-04T04:00:18.00" id="{0f345350-0395-40d4-a18b-c77864a64c78}">
        <Attribution userId="placeholder@email.com" userName="Thai Ha Doan (Account)" userProvider="google-sheets"/>
        <Anchor>
          <Comment id="{5b332c43-4516-45e7-8949-5e36fb420ac9}"/>
        </Anchor>
        <Assign userId="quoctan.hoang@pmax.com.vn" userName="quoctan.hoang@pmax.com.vn" userProvider="google-sheets"/>
      </Event>
    </History>
  </Task>
  <Task id="{dbf79ee0-d32c-4faa-be85-24f946de2a98}">
    <Anchor>
      <Comment id="{14dd14b9-31b4-4431-97f7-bbbd21aa4be1}"/>
    </Anchor>
    <History>
      <Event time="2026-05-25T11:00:35.00" id="{73316747-d9be-49dd-8b1f-9ec6c08e151b}">
        <Attribution userId="placeholder@email.com" userName="Thanh Ngan Le (Account team)" userProvider="google-sheets"/>
        <Anchor>
          <Comment id="{14dd14b9-31b4-4431-97f7-bbbd21aa4be1}"/>
        </Anchor>
        <Create/>
      </Event>
      <Event time="2026-05-25T11:00:35.00" id="{56bc60b6-423e-4fa5-9bc1-9d91b998d338}">
        <Attribution userId="placeholder@email.com" userName="Thanh Ngan Le (Account team)" userProvider="google-sheets"/>
        <Anchor>
          <Comment id="{14dd14b9-31b4-4431-97f7-bbbd21aa4be1}"/>
        </Anchor>
        <Assign userId="quoctan.hoang@pmax.com.vn" userName="quoctan.hoang@pmax.com.vn" userProvider="google-sheets"/>
      </Event>
    </History>
  </Task>
  <Task id="{0f35d06c-e35f-4a13-9d82-5f5b75ad9b7a}">
    <Anchor>
      <Comment id="{75c6216a-98f8-4252-bf8c-d10ee39ba67c}"/>
    </Anchor>
    <History>
      <Event time="2026-05-20T03:06:59.00" id="{8d492422-e96e-4b60-bf85-25cb8823ff94}">
        <Attribution userId="placeholder@email.com" userName="Thanh Ngan Le (Account team)" userProvider="google-sheets"/>
        <Anchor>
          <Comment id="{75c6216a-98f8-4252-bf8c-d10ee39ba67c}"/>
        </Anchor>
        <Create/>
      </Event>
      <Event time="2026-05-20T03:06:59.00" id="{516d6ef8-6b93-4c4b-8dc4-63c8d8b97cd7}">
        <Attribution userId="placeholder@email.com" userName="Thanh Ngan Le (Account team)" userProvider="google-sheets"/>
        <Anchor>
          <Comment id="{75c6216a-98f8-4252-bf8c-d10ee39ba67c}"/>
        </Anchor>
        <Assign userId="quoctan.hoang@pmax.com.vn" userName="quoctan.hoang@pmax.com.vn" userProvider="google-sheets"/>
      </Event>
    </History>
  </Task>
  <Task id="{79708e11-77de-475a-b780-ae268ebaf0fa}">
    <Anchor>
      <Comment id="{4735db3b-180f-45a0-99ea-52cf0db83831}"/>
    </Anchor>
    <History>
      <Event time="2026-05-25T09:02:23.00" id="{9ece8be5-1508-4353-9002-457b9dbfef32}">
        <Attribution userId="placeholder@email.com" userName="Hoàng Như Quốc Tấn (Influencer Team)" userProvider="google-sheets"/>
        <Anchor>
          <Comment id="{4735db3b-180f-45a0-99ea-52cf0db83831}"/>
        </Anchor>
        <Create/>
      </Event>
      <Event time="2026-05-25T09:02:23.00" id="{f9a4525c-4349-413a-bef2-c7c2d10d2c3c}">
        <Attribution userId="placeholder@email.com" userName="Hoàng Như Quốc Tấn (Influencer Team)" userProvider="google-sheets"/>
        <Anchor>
          <Comment id="{4735db3b-180f-45a0-99ea-52cf0db83831}"/>
        </Anchor>
        <Assign userId="thanhngan.le@pmax.com.vn" userName="thanhngan.le@pmax.com.vn" userProvider="google-sheets"/>
      </Event>
    </History>
  </Task>
  <Task id="{2dafe58e-9166-4f9a-950a-eca82a7fc88d}">
    <Anchor>
      <Comment id="{b3411ec6-1550-417d-8c10-c9f10901cc00}"/>
    </Anchor>
    <History>
      <Event time="2026-05-21T06:53:39.00" id="{f1c5f7d0-67a9-4b7a-9b44-b92363309477}">
        <Attribution userId="placeholder@email.com" userName="Thanh Ngan Le (Account team)" userProvider="google-sheets"/>
        <Anchor>
          <Comment id="{b3411ec6-1550-417d-8c10-c9f10901cc00}"/>
        </Anchor>
        <Create/>
      </Event>
      <Event time="2026-05-21T06:53:39.00" id="{0c8ec6d4-437e-4534-921f-2fb9c3de4c79}">
        <Attribution userId="placeholder@email.com" userName="Thanh Ngan Le (Account team)" userProvider="google-sheets"/>
        <Anchor>
          <Comment id="{b3411ec6-1550-417d-8c10-c9f10901cc00}"/>
        </Anchor>
        <Assign userId="quoctan.hoang@pmax.com.vn" userName="quoctan.hoang@pmax.com.vn" userProvider="google-sheets"/>
      </Event>
    </History>
  </Task>
  <Task id="{14ed32dc-8821-4429-8d50-d3245c7e3721}">
    <Anchor>
      <Comment id="{fc10d179-f947-40e5-85b2-9ced1ff44b71}"/>
    </Anchor>
    <History>
      <Event time="2026-05-12T09:24:09.00" id="{db1d63ed-4fd2-44ff-ac9b-767838b6413a}">
        <Attribution userId="placeholder@email.com" userName="Thanh Ngan Le (Account team)" userProvider="google-sheets"/>
        <Anchor>
          <Comment id="{fc10d179-f947-40e5-85b2-9ced1ff44b71}"/>
        </Anchor>
        <Create/>
      </Event>
      <Event time="2026-05-12T09:24:09.00" id="{40947504-a39e-419f-9e0a-f58d3b9f9857}">
        <Attribution userId="placeholder@email.com" userName="Thanh Ngan Le (Account team)" userProvider="google-sheets"/>
        <Anchor>
          <Comment id="{fc10d179-f947-40e5-85b2-9ced1ff44b71}"/>
        </Anchor>
        <Assign userId="quoctan.hoang@pmax.com.vn" userName="quoctan.hoang@pmax.com.vn" userProvider="google-sheets"/>
      </Event>
    </History>
  </Task>
  <Task id="{ad6a6a3c-0644-45bd-9467-62d9e66716d5}">
    <Anchor>
      <Comment id="{bc4e4f20-bcd2-496d-bf02-2c51f69b6eb4}"/>
    </Anchor>
    <History>
      <Event time="2026-05-22T09:51:01.00" id="{4c0750f3-bdc8-4ad9-88eb-d50aeaad77cd}">
        <Attribution userId="placeholder@email.com" userName="Thanh Ngan Le (Account team)" userProvider="google-sheets"/>
        <Anchor>
          <Comment id="{bc4e4f20-bcd2-496d-bf02-2c51f69b6eb4}"/>
        </Anchor>
        <Create/>
      </Event>
      <Event time="2026-05-22T09:51:01.00" id="{aa4c80f8-0f11-4652-975e-f4fbe67d6bd9}">
        <Attribution userId="placeholder@email.com" userName="Thanh Ngan Le (Account team)" userProvider="google-sheets"/>
        <Anchor>
          <Comment id="{bc4e4f20-bcd2-496d-bf02-2c51f69b6eb4}"/>
        </Anchor>
        <Assign userId="quoctan.hoang@pmax.com.vn" userName="quoctan.hoang@pmax.com.vn" userProvider="google-sheets"/>
      </Event>
    </History>
  </Task>
  <Task id="{0de5b158-38fd-4f78-b34f-81fd2482647f}">
    <Anchor>
      <Comment id="{9ebb3ce6-3be4-482a-80fc-08af0e317f29}"/>
    </Anchor>
    <History>
      <Event time="2026-05-25T09:05:14.00" id="{31b39087-4d3e-42ee-910c-e21264171825}">
        <Attribution userId="placeholder@email.com" userName="Hoàng Như Quốc Tấn (Influencer Team)" userProvider="google-sheets"/>
        <Anchor>
          <Comment id="{9ebb3ce6-3be4-482a-80fc-08af0e317f29}"/>
        </Anchor>
        <Create/>
      </Event>
      <Event time="2026-05-25T09:05:14.00" id="{953b85f3-d8ff-4097-8c06-d558427575e2}">
        <Attribution userId="placeholder@email.com" userName="Hoàng Như Quốc Tấn (Influencer Team)" userProvider="google-sheets"/>
        <Anchor>
          <Comment id="{9ebb3ce6-3be4-482a-80fc-08af0e317f29}"/>
        </Anchor>
        <Assign userId="thanhngan.le@pmax.com.vn" userName="thanhngan.le@pmax.com.vn" userProvider="google-sheets"/>
      </Event>
    </History>
  </Task>
  <Task id="{5fd5508b-69fc-45b2-8622-91d314dd2d71}">
    <Anchor>
      <Comment id="{0f47b099-510b-445f-98fd-f70088904472}"/>
    </Anchor>
    <History>
      <Event time="2026-05-22T07:23:50.00" id="{3697a0b4-bfd2-45f6-8562-95aa2abb7482}">
        <Attribution userId="placeholder@email.com" userName="Hoàng Như Quốc Tấn (Influencer Team)" userProvider="google-sheets"/>
        <Anchor>
          <Comment id="{0f47b099-510b-445f-98fd-f70088904472}"/>
        </Anchor>
        <Create/>
      </Event>
      <Event time="2026-05-22T07:23:50.00" id="{3e4d67cd-f3f0-41d8-bdf2-f1cac6bb3306}">
        <Attribution userId="placeholder@email.com" userName="Hoàng Như Quốc Tấn (Influencer Team)" userProvider="google-sheets"/>
        <Anchor>
          <Comment id="{0f47b099-510b-445f-98fd-f70088904472}"/>
        </Anchor>
        <Assign userId="thanhngan.le@pmax.com.vn" userName="thanhngan.le@pmax.com.vn" userProvider="google-sheets"/>
      </Event>
    </History>
  </Task>
  <Task id="{359d3b77-340d-44d3-bade-06c739ab0d74}">
    <Anchor>
      <Comment id="{d5f782f5-de25-4db6-9451-40f62bf008f0}"/>
    </Anchor>
    <History>
      <Event time="2026-06-07T15:03:46.00" id="{b77cbf30-e3e8-4b81-b4f5-9bf96dc97675}">
        <Attribution userId="placeholder@email.com" userName="Thai Ha Doan (Account)" userProvider="google-sheets"/>
        <Anchor>
          <Comment id="{d5f782f5-de25-4db6-9451-40f62bf008f0}"/>
        </Anchor>
        <Create/>
      </Event>
      <Event time="2026-06-07T15:03:46.00" id="{6ed38c40-6a2c-4d76-a456-7279569b2552}">
        <Attribution userId="placeholder@email.com" userName="Thai Ha Doan (Account)" userProvider="google-sheets"/>
        <Anchor>
          <Comment id="{d5f782f5-de25-4db6-9451-40f62bf008f0}"/>
        </Anchor>
        <Assign userId="quoctan.hoang@pmax.com.vn" userName="quoctan.hoang@pmax.com.vn" userProvider="google-sheets"/>
      </Event>
    </History>
  </Task>
  <Task id="{35c48738-a301-432b-8337-a3cfbac86dd8}">
    <Anchor>
      <Comment id="{dea0efe0-0ee3-42eb-b8b0-e86df52ecef0}"/>
    </Anchor>
    <History>
      <Event time="2026-05-12T08:47:07.00" id="{074412a2-0b8a-4d34-b8fb-eb5e3a0a1b1a}">
        <Attribution userId="placeholder@email.com" userName="Hoàng Như Quốc Tấn (Influencer Team)" userProvider="google-sheets"/>
        <Anchor>
          <Comment id="{dea0efe0-0ee3-42eb-b8b0-e86df52ecef0}"/>
        </Anchor>
        <Create/>
      </Event>
      <Event time="2026-05-12T08:47:07.00" id="{b41b7b39-83ff-4c5b-bc24-1632eb02bfa2}">
        <Attribution userId="placeholder@email.com" userName="Hoàng Như Quốc Tấn (Influencer Team)" userProvider="google-sheets"/>
        <Anchor>
          <Comment id="{dea0efe0-0ee3-42eb-b8b0-e86df52ecef0}"/>
        </Anchor>
        <Assign userId="thanhngan.le@pmax.com.vn" userName="thanhngan.le@pmax.com.vn" userProvider="google-sheets"/>
      </Event>
    </History>
  </Task>
  <Task id="{90a756ab-45af-4fa3-8e70-7b80f7419772}">
    <Anchor>
      <Comment id="{5fbde703-6917-4ebb-b618-93eabd87bd6e}"/>
    </Anchor>
    <History>
      <Event time="2026-05-25T04:15:46.00" id="{e79b026c-d22f-4f3b-b9ad-285276a4ea42}">
        <Attribution userId="placeholder@email.com" userName="Hoàng Như Quốc Tấn (Influencer Team)" userProvider="google-sheets"/>
        <Anchor>
          <Comment id="{5fbde703-6917-4ebb-b618-93eabd87bd6e}"/>
        </Anchor>
        <Create/>
      </Event>
      <Event time="2026-05-25T04:15:46.00" id="{b71baebf-65bd-4cd5-95d1-120669ea3ef5}">
        <Attribution userId="placeholder@email.com" userName="Hoàng Như Quốc Tấn (Influencer Team)" userProvider="google-sheets"/>
        <Anchor>
          <Comment id="{5fbde703-6917-4ebb-b618-93eabd87bd6e}"/>
        </Anchor>
        <Assign userId="thanhngan.le@pmax.com.vn" userName="thanhngan.le@pmax.com.vn" userProvider="google-sheets"/>
      </Event>
    </History>
  </Task>
  <Task id="{2083d90a-f598-48a0-8507-a33311f7f80e}">
    <Anchor>
      <Comment id="{b5bdb8c3-7896-47d3-842e-1b84ffa819cd}"/>
    </Anchor>
    <History>
      <Event time="2026-05-13T11:58:46.00" id="{5bbd288f-d975-49b4-b09e-e9918e78b2fd}">
        <Attribution userId="placeholder@email.com" userName="Thanh Ngan Le (Account team)" userProvider="google-sheets"/>
        <Anchor>
          <Comment id="{b5bdb8c3-7896-47d3-842e-1b84ffa819cd}"/>
        </Anchor>
        <Create/>
      </Event>
      <Event time="2026-05-13T11:58:46.00" id="{9f799f4f-2ad1-4379-86c5-93b5ce13848f}">
        <Attribution userId="placeholder@email.com" userName="Thanh Ngan Le (Account team)" userProvider="google-sheets"/>
        <Anchor>
          <Comment id="{b5bdb8c3-7896-47d3-842e-1b84ffa819cd}"/>
        </Anchor>
        <Assign userId="quoctan.hoang@pmax.com.vn" userName="quoctan.hoang@pmax.com.vn" userProvider="google-sheets"/>
      </Event>
    </History>
  </Task>
  <Task id="{364f9e12-7deb-417f-9321-69c1102b2201}">
    <Anchor>
      <Comment id="{36d8ec6a-20d7-4b5a-baf5-3bfaea696459}"/>
    </Anchor>
    <History>
      <Event time="2026-05-12T08:51:46.00" id="{e0f18649-4bc1-4be0-82ff-ec068b05b432}">
        <Attribution userId="placeholder@email.com" userName="Hoàng Như Quốc Tấn (Influencer Team)" userProvider="google-sheets"/>
        <Anchor>
          <Comment id="{36d8ec6a-20d7-4b5a-baf5-3bfaea696459}"/>
        </Anchor>
        <Create/>
      </Event>
      <Event time="2026-05-12T08:51:46.00" id="{3624ffdf-2e62-408e-9fec-1c536fa72ddb}">
        <Attribution userId="placeholder@email.com" userName="Hoàng Như Quốc Tấn (Influencer Team)" userProvider="google-sheets"/>
        <Anchor>
          <Comment id="{36d8ec6a-20d7-4b5a-baf5-3bfaea696459}"/>
        </Anchor>
        <Assign userId="thanhngan.le@pmax.com.vn" userName="thanhngan.le@pmax.com.vn" userProvider="google-sheets"/>
      </Event>
    </History>
  </Task>
  <Task id="{c7da2663-e467-4f8b-b93c-804a2812ff16}">
    <Anchor>
      <Comment id="{891395af-42c4-4faf-807a-4a583ff96456}"/>
    </Anchor>
    <History>
      <Event time="2026-05-21T13:37:52.00" id="{3065615d-5946-42dc-8397-061cfbcad748}">
        <Attribution userId="placeholder@email.com" userName="Hoàng Như Quốc Tấn (Influencer Team)" userProvider="google-sheets"/>
        <Anchor>
          <Comment id="{891395af-42c4-4faf-807a-4a583ff96456}"/>
        </Anchor>
        <Create/>
      </Event>
      <Event time="2026-05-21T13:37:52.00" id="{29a21c65-e12d-4b01-b216-a2b92ce2f968}">
        <Attribution userId="placeholder@email.com" userName="Hoàng Như Quốc Tấn (Influencer Team)" userProvider="google-sheets"/>
        <Anchor>
          <Comment id="{891395af-42c4-4faf-807a-4a583ff96456}"/>
        </Anchor>
        <Assign userId="thanhngan.le@pmax.com.vn" userName="thanhngan.le@pmax.com.vn" userProvider="google-sheets"/>
      </Event>
    </History>
  </Task>
  <Task id="{42cd9095-6b75-4fbb-802e-f1f95a7b9afc}">
    <Anchor>
      <Comment id="{db96dd92-f250-4030-9b5f-f7f5d4807a33}"/>
    </Anchor>
    <History>
      <Event time="2026-05-28T10:27:49.00" id="{b7808c3e-87bf-4f0b-b8ff-7edb4dd7d786}">
        <Attribution userId="placeholder@email.com" userName="Thanh Ngan Le (Account team)" userProvider="google-sheets"/>
        <Anchor>
          <Comment id="{db96dd92-f250-4030-9b5f-f7f5d4807a33}"/>
        </Anchor>
        <Create/>
      </Event>
      <Event time="2026-05-28T10:27:49.00" id="{6c88194b-5fb4-4fe5-907e-536752ccd182}">
        <Attribution userId="placeholder@email.com" userName="Thanh Ngan Le (Account team)" userProvider="google-sheets"/>
        <Anchor>
          <Comment id="{db96dd92-f250-4030-9b5f-f7f5d4807a33}"/>
        </Anchor>
        <Assign userId="quoctan.hoang@pmax.com.vn" userName="quoctan.hoang@pmax.com.vn" userProvider="google-sheets"/>
      </Event>
    </History>
  </Task>
  <Task id="{c03ba300-a1bf-4119-994d-9c50dfc57527}">
    <Anchor>
      <Comment id="{18e02031-974e-4079-a74c-7ef97c6155be}"/>
    </Anchor>
    <History>
      <Event time="2026-05-20T07:46:08.00" id="{79cb1ce4-24f8-48f0-80b7-ff570633e406}">
        <Attribution userId="placeholder@email.com" userName="Hoàng Như Quốc Tấn (Influencer Team)" userProvider="google-sheets"/>
        <Anchor>
          <Comment id="{18e02031-974e-4079-a74c-7ef97c6155be}"/>
        </Anchor>
        <Create/>
      </Event>
      <Event time="2026-05-20T07:46:08.00" id="{0a84c54c-8d0a-4499-8e93-8b68b04c03ff}">
        <Attribution userId="placeholder@email.com" userName="Hoàng Như Quốc Tấn (Influencer Team)" userProvider="google-sheets"/>
        <Anchor>
          <Comment id="{18e02031-974e-4079-a74c-7ef97c6155be}"/>
        </Anchor>
        <Assign userId="thanhngan.le@pmax.com.vn" userName="thanhngan.le@pmax.com.vn" userProvider="google-sheets"/>
      </Event>
    </History>
  </Task>
  <Task id="{11c87831-beae-4133-bac1-571cddea5f39}">
    <Anchor>
      <Comment id="{23c02594-91b9-43a6-a79e-930fce0cdf55}"/>
    </Anchor>
    <History>
      <Event time="2026-05-28T06:06:22.00" id="{a368878b-42b0-46cb-bedc-f16ea30fd36c}">
        <Attribution userId="placeholder@email.com" userName="Hoàng Như Quốc Tấn (Influencer Team)" userProvider="google-sheets"/>
        <Anchor>
          <Comment id="{23c02594-91b9-43a6-a79e-930fce0cdf55}"/>
        </Anchor>
        <Create/>
      </Event>
      <Event time="2026-05-28T06:06:22.00" id="{3417b600-6683-4f58-86b5-e2be6c7c0f7d}">
        <Attribution userId="placeholder@email.com" userName="Hoàng Như Quốc Tấn (Influencer Team)" userProvider="google-sheets"/>
        <Anchor>
          <Comment id="{23c02594-91b9-43a6-a79e-930fce0cdf55}"/>
        </Anchor>
        <Assign userId="thanhngan.le@pmax.com.vn" userName="thanhngan.le@pmax.com.vn" userProvider="google-sheets"/>
      </Event>
    </History>
  </Task>
  <Task id="{51c8faee-f517-49ca-bf09-18b82b578c18}">
    <Anchor>
      <Comment id="{a678fa00-0bcd-462c-b648-51c96a347307}"/>
    </Anchor>
    <History>
      <Event time="2026-05-13T11:21:29.00" id="{02e3384c-b37d-4786-ac95-4b98a00e5e0a}">
        <Attribution userId="placeholder@email.com" userName="Hoàng Như Quốc Tấn (Influencer Team)" userProvider="google-sheets"/>
        <Anchor>
          <Comment id="{8ff0e45f-c0d4-4104-9679-2ebc299040ad}"/>
        </Anchor>
        <Create/>
      </Event>
      <Event time="2026-05-13T11:21:29.00" id="{c9ee7c90-1fe7-4d02-8923-a8bdbe69bb52}">
        <Attribution userId="placeholder@email.com" userName="Hoàng Như Quốc Tấn (Influencer Team)" userProvider="google-sheets"/>
        <Anchor>
          <Comment id="{8ff0e45f-c0d4-4104-9679-2ebc299040ad}"/>
        </Anchor>
        <Assign userId="thanhngan.le@pmax.com.vn" userName="thanhngan.le@pmax.com.vn" userProvider="google-sheets"/>
      </Event>
    </History>
  </Task>
  <Task id="{9ac09a1c-9ed6-4ced-be3e-c3cd78e6ae37}">
    <Anchor>
      <Comment id="{70c5d2de-5353-46f8-98b3-2d443c539ed2}"/>
    </Anchor>
    <History>
      <Event time="2026-05-25T09:37:21.00" id="{b7ab1804-5aa8-4789-abf7-8da112d43fff}">
        <Attribution userId="placeholder@email.com" userName="Hoàng Như Quốc Tấn (Influencer Team)" userProvider="google-sheets"/>
        <Anchor>
          <Comment id="{70c5d2de-5353-46f8-98b3-2d443c539ed2}"/>
        </Anchor>
        <Create/>
      </Event>
      <Event time="2026-05-25T09:37:21.00" id="{d6c23399-99de-4812-b25c-ea69fe58438a}">
        <Attribution userId="placeholder@email.com" userName="Hoàng Như Quốc Tấn (Influencer Team)" userProvider="google-sheets"/>
        <Anchor>
          <Comment id="{70c5d2de-5353-46f8-98b3-2d443c539ed2}"/>
        </Anchor>
        <Assign userId="thanhngan.le@pmax.com.vn" userName="thanhngan.le@pmax.com.vn" userProvider="google-sheets"/>
      </Event>
    </History>
  </Task>
  <Task id="{950eb7ea-c053-4902-ad69-d2bb252b24cc}">
    <Anchor>
      <Comment id="{73ad9053-6cb3-446f-aacb-097624be54b5}"/>
    </Anchor>
    <History>
      <Event time="2026-05-19T09:11:59.00" id="{392ed03b-0813-4edf-941b-49fae717d32f}">
        <Attribution userId="placeholder@email.com" userName="Hoàng Như Quốc Tấn (Influencer Team)" userProvider="google-sheets"/>
        <Anchor>
          <Comment id="{73ad9053-6cb3-446f-aacb-097624be54b5}"/>
        </Anchor>
        <Create/>
      </Event>
      <Event time="2026-05-19T09:11:59.00" id="{96952deb-70df-4554-a2b2-e339034f6a0c}">
        <Attribution userId="placeholder@email.com" userName="Hoàng Như Quốc Tấn (Influencer Team)" userProvider="google-sheets"/>
        <Anchor>
          <Comment id="{73ad9053-6cb3-446f-aacb-097624be54b5}"/>
        </Anchor>
        <Assign userId="thanhngan.le@pmax.com.vn" userName="thanhngan.le@pmax.com.vn" userProvider="google-sheets"/>
      </Event>
    </History>
  </Task>
  <Task id="{9142cf87-687e-43e5-b1ec-b412877c5206}">
    <Anchor>
      <Comment id="{b8bfdd86-5b4d-4333-b18b-2f9cabb6d1b2}"/>
    </Anchor>
    <History>
      <Event time="2026-05-21T06:52:01.00" id="{8f44b638-36b9-41d6-bdcd-90afd971abaa}">
        <Attribution userId="placeholder@email.com" userName="Thanh Ngan Le (Account team)" userProvider="google-sheets"/>
        <Anchor>
          <Comment id="{b8bfdd86-5b4d-4333-b18b-2f9cabb6d1b2}"/>
        </Anchor>
        <Create/>
      </Event>
      <Event time="2026-05-21T06:52:01.00" id="{508f628b-6e3b-425e-bd48-4ab331d34b5a}">
        <Attribution userId="placeholder@email.com" userName="Thanh Ngan Le (Account team)" userProvider="google-sheets"/>
        <Anchor>
          <Comment id="{b8bfdd86-5b4d-4333-b18b-2f9cabb6d1b2}"/>
        </Anchor>
        <Assign userId="quoctan.hoang@pmax.com.vn" userName="quoctan.hoang@pmax.com.vn" userProvider="google-sheets"/>
      </Event>
    </History>
  </Task>
  <Task id="{494ba58c-73a1-439c-ae5e-acd2054896e4}">
    <Anchor>
      <Comment id="{b0554432-b0c0-4c44-9ff1-0639dc28b7bf}"/>
    </Anchor>
    <History>
      <Event time="2026-05-27T07:59:45.00" id="{21e9ba14-6477-4701-928a-cb3bd6efcc43}">
        <Attribution userId="placeholder@email.com" userName="Hoàng Như Quốc Tấn (Influencer Team)" userProvider="google-sheets"/>
        <Anchor>
          <Comment id="{b0554432-b0c0-4c44-9ff1-0639dc28b7bf}"/>
        </Anchor>
        <Create/>
      </Event>
      <Event time="2026-05-27T07:59:45.00" id="{0ba80ee6-b60e-4292-adb4-5f142c667a28}">
        <Attribution userId="placeholder@email.com" userName="Hoàng Như Quốc Tấn (Influencer Team)" userProvider="google-sheets"/>
        <Anchor>
          <Comment id="{b0554432-b0c0-4c44-9ff1-0639dc28b7bf}"/>
        </Anchor>
        <Assign userId="thanhngan.le@pmax.com.vn" userName="thanhngan.le@pmax.com.vn" userProvider="google-sheets"/>
      </Event>
    </History>
  </Task>
  <Task id="{1763d12c-fbe9-4bfc-af4b-bcac2b5878d8}">
    <Anchor>
      <Comment id="{5d1d44ea-4b5d-49e2-981f-912928e5f140}"/>
    </Anchor>
    <History>
      <Event time="2026-05-25T09:47:24.00" id="{93accbcd-5da6-4d92-a1d3-0c00825ff710}">
        <Attribution userId="placeholder@email.com" userName="Hoàng Như Quốc Tấn (Influencer Team)" userProvider="google-sheets"/>
        <Anchor>
          <Comment id="{5d1d44ea-4b5d-49e2-981f-912928e5f140}"/>
        </Anchor>
        <Create/>
      </Event>
      <Event time="2026-05-25T09:47:24.00" id="{33e7559a-8fc6-414c-b25e-0350b9c7d433}">
        <Attribution userId="placeholder@email.com" userName="Hoàng Như Quốc Tấn (Influencer Team)" userProvider="google-sheets"/>
        <Anchor>
          <Comment id="{5d1d44ea-4b5d-49e2-981f-912928e5f140}"/>
        </Anchor>
        <Assign userId="thanhngan.le@pmax.com.vn" userName="thanhngan.le@pmax.com.vn" userProvider="google-sheets"/>
      </Event>
    </History>
  </Task>
  <Task id="{337532d1-d288-4228-916c-dd3b3b332380}">
    <Anchor>
      <Comment id="{75247b42-631d-40b9-ade3-8b59258964ec}"/>
    </Anchor>
    <History>
      <Event time="2026-05-19T09:38:53.00" id="{7b872f66-a2ce-4e92-875a-f0e09ecff268}">
        <Attribution userId="placeholder@email.com" userName="Hoàng Như Quốc Tấn (Influencer Team)" userProvider="google-sheets"/>
        <Anchor>
          <Comment id="{75247b42-631d-40b9-ade3-8b59258964ec}"/>
        </Anchor>
        <Create/>
      </Event>
      <Event time="2026-05-19T09:38:53.00" id="{fb2baf82-4a6d-473b-ac88-20a291f92f0a}">
        <Attribution userId="placeholder@email.com" userName="Hoàng Như Quốc Tấn (Influencer Team)" userProvider="google-sheets"/>
        <Anchor>
          <Comment id="{75247b42-631d-40b9-ade3-8b59258964ec}"/>
        </Anchor>
        <Assign userId="thanhngan.le@pmax.com.vn" userName="thanhngan.le@pmax.com.vn" userProvider="google-sheets"/>
      </Event>
    </History>
  </Task>
  <Task id="{46e065fd-b7d0-43a0-89a5-3d8a82198cab}">
    <Anchor>
      <Comment id="{a8b91e13-7983-4fcf-bbca-1b31a075e225}"/>
    </Anchor>
    <History>
      <Event time="2026-05-26T11:10:53.00" id="{48d3e536-c23c-44d9-94fd-563ac31b4450}">
        <Attribution userId="placeholder@email.com" userName="Thanh Ngan Le (Account team)" userProvider="google-sheets"/>
        <Anchor>
          <Comment id="{a8b91e13-7983-4fcf-bbca-1b31a075e225}"/>
        </Anchor>
        <Create/>
      </Event>
      <Event time="2026-05-26T11:10:53.00" id="{a0ea829b-53a5-4b46-b354-1cb2521cbed4}">
        <Attribution userId="placeholder@email.com" userName="Thanh Ngan Le (Account team)" userProvider="google-sheets"/>
        <Anchor>
          <Comment id="{a8b91e13-7983-4fcf-bbca-1b31a075e225}"/>
        </Anchor>
        <Assign userId="quoctan.hoang@pmax.com.vn" userName="quoctan.hoang@pmax.com.vn" userProvider="google-sheets"/>
      </Event>
    </History>
  </Task>
  <Task id="{963bb659-3aaa-410f-ab71-e1d61942388e}">
    <Anchor>
      <Comment id="{55a7759c-07e5-4442-9a12-37773d340a4b}"/>
    </Anchor>
    <History>
      <Event time="2026-06-08T03:53:16.00" id="{e4d826c9-8e8a-4157-a5e0-1b2ac57eb37d}">
        <Attribution userId="placeholder@email.com" userName="Hoàng Như Quốc Tấn (Influencer Team)" userProvider="google-sheets"/>
        <Anchor>
          <Comment id="{55a7759c-07e5-4442-9a12-37773d340a4b}"/>
        </Anchor>
        <Create/>
      </Event>
      <Event time="2026-06-08T03:53:16.00" id="{ee76fd3f-69ae-43e5-b362-f689ceaeee60}">
        <Attribution userId="placeholder@email.com" userName="Hoàng Như Quốc Tấn (Influencer Team)" userProvider="google-sheets"/>
        <Anchor>
          <Comment id="{55a7759c-07e5-4442-9a12-37773d340a4b}"/>
        </Anchor>
        <Assign userId="thanhngan.le@pmax.com.vn" userName="thanhngan.le@pmax.com.vn" userProvider="google-sheets"/>
      </Event>
    </History>
  </Task>
  <Task id="{996c5311-328f-4eda-b7fa-5e216665a37c}">
    <Anchor>
      <Comment id="{f139c37e-b7e2-4d7c-8348-fea92a0773a9}"/>
    </Anchor>
    <History>
      <Event time="2026-05-26T04:21:37.00" id="{39935378-0807-4a55-b53e-751806e6e0fd}">
        <Attribution userId="placeholder@email.com" userName="Hoàng Như Quốc Tấn (Influencer Team)" userProvider="google-sheets"/>
        <Anchor>
          <Comment id="{f139c37e-b7e2-4d7c-8348-fea92a0773a9}"/>
        </Anchor>
        <Create/>
      </Event>
      <Event time="2026-05-26T04:21:37.00" id="{3b08bffa-7af6-4b3a-85ee-b5503635393f}">
        <Attribution userId="placeholder@email.com" userName="Hoàng Như Quốc Tấn (Influencer Team)" userProvider="google-sheets"/>
        <Anchor>
          <Comment id="{f139c37e-b7e2-4d7c-8348-fea92a0773a9}"/>
        </Anchor>
        <Assign userId="thanhngan.le@pmax.com.vn" userName="thanhngan.le@pmax.com.vn" userProvider="google-sheets"/>
      </Event>
    </History>
  </Task>
  <Task id="{4b6e0d2f-b4aa-44b0-b22f-255cf62de1e8}">
    <Anchor>
      <Comment id="{202f52a9-8f68-465b-b50f-bdf72f3ef5b1}"/>
    </Anchor>
    <History>
      <Event time="2026-05-28T07:51:57.00" id="{381a5b86-ddbe-4c4d-8f5d-feb523fc64e5}">
        <Attribution userId="placeholder@email.com" userName="Hoàng Như Quốc Tấn (Influencer Team)" userProvider="google-sheets"/>
        <Anchor>
          <Comment id="{202f52a9-8f68-465b-b50f-bdf72f3ef5b1}"/>
        </Anchor>
        <Create/>
      </Event>
      <Event time="2026-05-28T07:51:57.00" id="{b9c73fb3-8742-4b09-9236-c4644bf70052}">
        <Attribution userId="placeholder@email.com" userName="Hoàng Như Quốc Tấn (Influencer Team)" userProvider="google-sheets"/>
        <Anchor>
          <Comment id="{202f52a9-8f68-465b-b50f-bdf72f3ef5b1}"/>
        </Anchor>
        <Assign userId="thanhngan.le@pmax.com.vn" userName="thanhngan.le@pmax.com.vn" userProvider="google-sheets"/>
      </Event>
    </History>
  </Task>
  <Task id="{3d265ad9-929e-4c6a-a87b-2e7c9ab8bcab}">
    <Anchor>
      <Comment id="{4ef16cad-b6e3-414e-b599-2afc68dafded}"/>
    </Anchor>
    <History>
      <Event time="2026-05-12T05:06:51.00" id="{bf8dc2e1-9d33-4185-a2a4-35d35ef04ce3}">
        <Attribution userId="placeholder@email.com" userName="Thanh Ngan Le (Account team)" userProvider="google-sheets"/>
        <Anchor>
          <Comment id="{4ef16cad-b6e3-414e-b599-2afc68dafded}"/>
        </Anchor>
        <Create/>
      </Event>
      <Event time="2026-05-12T05:06:51.00" id="{ed71eb11-b3d8-43b3-8c97-eb51d58942a3}">
        <Attribution userId="placeholder@email.com" userName="Thanh Ngan Le (Account team)" userProvider="google-sheets"/>
        <Anchor>
          <Comment id="{4ef16cad-b6e3-414e-b599-2afc68dafded}"/>
        </Anchor>
        <Assign userId="quoctan.hoang@pmax.com.vn" userName="quoctan.hoang@pmax.com.vn" userProvider="google-sheets"/>
      </Event>
    </History>
  </Task>
  <Task id="{b39846a8-88bc-430c-b67a-6b552398b73e}">
    <Anchor>
      <Comment id="{e5ade292-f39b-4bb6-b765-02e763667cba}"/>
    </Anchor>
    <History>
      <Event time="2026-05-13T09:48:13.00" id="{bb1484e6-ba1c-41b6-8315-ef0d0911b1ef}">
        <Attribution userId="placeholder@email.com" userName="Hoàng Như Quốc Tấn (Influencer Team)" userProvider="google-sheets"/>
        <Anchor>
          <Comment id="{e5ade292-f39b-4bb6-b765-02e763667cba}"/>
        </Anchor>
        <Create/>
      </Event>
      <Event time="2026-05-13T09:48:13.00" id="{fe095308-40fe-4185-865a-3b8fa8478cdf}">
        <Attribution userId="placeholder@email.com" userName="Hoàng Như Quốc Tấn (Influencer Team)" userProvider="google-sheets"/>
        <Anchor>
          <Comment id="{e5ade292-f39b-4bb6-b765-02e763667cba}"/>
        </Anchor>
        <Assign userId="thanhngan.le@pmax.com.vn" userName="thanhngan.le@pmax.com.vn" userProvider="google-sheets"/>
      </Event>
    </History>
  </Task>
  <Task id="{654776fd-81b7-4171-bf61-1347a7bccc06}">
    <Anchor>
      <Comment id="{897b2436-9a74-4112-85fe-7100d2dabc90}"/>
    </Anchor>
    <History>
      <Event time="2026-06-05T05:23:27.00" id="{a65280b6-49c8-4c44-8ed1-b15fdd5964b1}">
        <Attribution userId="placeholder@email.com" userName="Thai Ha Doan (Account)" userProvider="google-sheets"/>
        <Anchor>
          <Comment id="{897b2436-9a74-4112-85fe-7100d2dabc90}"/>
        </Anchor>
        <Create/>
      </Event>
      <Event time="2026-06-05T05:23:27.00" id="{7d422f1a-3738-4646-9ced-d3f153f4b40d}">
        <Attribution userId="placeholder@email.com" userName="Thai Ha Doan (Account)" userProvider="google-sheets"/>
        <Anchor>
          <Comment id="{897b2436-9a74-4112-85fe-7100d2dabc90}"/>
        </Anchor>
        <Assign userId="quoctan.hoang@pmax.com.vn" userName="quoctan.hoang@pmax.com.vn" userProvider="google-sheets"/>
      </Event>
    </History>
  </Task>
  <Task id="{5e57b9eb-108f-4da7-82fe-cd2f73db18b0}">
    <Anchor>
      <Comment id="{a8875bd0-c2b4-474a-8210-fc6ba0091515}"/>
    </Anchor>
    <History>
      <Event time="2026-05-20T07:48:04.00" id="{ae6690d1-a5e9-4214-a10f-d4585d056ecb}">
        <Attribution userId="placeholder@email.com" userName="Hoàng Như Quốc Tấn (Influencer Team)" userProvider="google-sheets"/>
        <Anchor>
          <Comment id="{a8875bd0-c2b4-474a-8210-fc6ba0091515}"/>
        </Anchor>
        <Create/>
      </Event>
      <Event time="2026-05-20T07:48:04.00" id="{b2b70709-2955-4d7b-89b8-1a3ec695912e}">
        <Attribution userId="placeholder@email.com" userName="Hoàng Như Quốc Tấn (Influencer Team)" userProvider="google-sheets"/>
        <Anchor>
          <Comment id="{a8875bd0-c2b4-474a-8210-fc6ba0091515}"/>
        </Anchor>
        <Assign userId="thanhngan.le@pmax.com.vn" userName="thanhngan.le@pmax.com.vn" userProvider="google-sheets"/>
      </Event>
    </History>
  </Task>
  <Task id="{3a5aa592-e48c-4818-95a7-9adeeb49b521}">
    <Anchor>
      <Comment id="{7dab69d6-b66c-4933-b790-93f6edfcc9ee}"/>
    </Anchor>
    <History>
      <Event time="2026-06-02T06:52:59.00" id="{504b04ed-f64d-44d4-bf7a-95d750137a76}">
        <Attribution userId="placeholder@email.com" userName="Thanh Ngan Le (Account team)" userProvider="google-sheets"/>
        <Anchor>
          <Comment id="{7dab69d6-b66c-4933-b790-93f6edfcc9ee}"/>
        </Anchor>
        <Create/>
      </Event>
      <Event time="2026-06-02T06:52:59.00" id="{4a003641-3a1f-4907-9361-755885519cef}">
        <Attribution userId="placeholder@email.com" userName="Thanh Ngan Le (Account team)" userProvider="google-sheets"/>
        <Anchor>
          <Comment id="{7dab69d6-b66c-4933-b790-93f6edfcc9ee}"/>
        </Anchor>
        <Assign userId="quoctan.hoang@pmax.com.vn" userName="quoctan.hoang@pmax.com.vn" userProvider="google-sheets"/>
      </Event>
    </History>
  </Task>
  <Task id="{78e310b2-c511-439a-9780-d880ea61b77b}">
    <Anchor>
      <Comment id="{ef003172-bb21-40de-be66-ec85040f25fb}"/>
    </Anchor>
    <History>
      <Event time="2026-05-13T09:31:21.00" id="{d2b02cb2-864a-4cdb-8d1b-85c4ed03cfef}">
        <Attribution userId="placeholder@email.com" userName="Thanh Ngan Le (Account team)" userProvider="google-sheets"/>
        <Anchor>
          <Comment id="{ef003172-bb21-40de-be66-ec85040f25fb}"/>
        </Anchor>
        <Create/>
      </Event>
      <Event time="2026-05-13T09:31:21.00" id="{c30a01cb-5665-4464-8bcd-c1ef1819deb3}">
        <Attribution userId="placeholder@email.com" userName="Thanh Ngan Le (Account team)" userProvider="google-sheets"/>
        <Anchor>
          <Comment id="{ef003172-bb21-40de-be66-ec85040f25fb}"/>
        </Anchor>
        <Assign userId="quoctan.hoang@pmax.com.vn" userName="quoctan.hoang@pmax.com.vn" userProvider="google-sheets"/>
      </Event>
    </History>
  </Task>
  <Task id="{61aa7d2b-3d71-4f4b-926a-46a8da3bc280}">
    <Anchor>
      <Comment id="{6b2b0f3f-669e-4600-ac8f-f65fc4fb536a}"/>
    </Anchor>
    <History>
      <Event time="2026-05-25T09:09:51.00" id="{b3b01e7c-3cba-44a0-a652-7f201ceaeb06}">
        <Attribution userId="placeholder@email.com" userName="Thanh Ngan Le (Account team)" userProvider="google-sheets"/>
        <Anchor>
          <Comment id="{6b2b0f3f-669e-4600-ac8f-f65fc4fb536a}"/>
        </Anchor>
        <Create/>
      </Event>
      <Event time="2026-05-25T09:09:51.00" id="{50010f89-7e7b-4848-b2c4-a90ea1747be1}">
        <Attribution userId="placeholder@email.com" userName="Thanh Ngan Le (Account team)" userProvider="google-sheets"/>
        <Anchor>
          <Comment id="{6b2b0f3f-669e-4600-ac8f-f65fc4fb536a}"/>
        </Anchor>
        <Assign userId="quoctan.hoang@pmax.com.vn" userName="quoctan.hoang@pmax.com.vn" userProvider="google-sheets"/>
      </Event>
    </History>
  </Task>
  <Task id="{073d21df-e0b3-47c8-9802-8ef320d699fd}">
    <Anchor>
      <Comment id="{e7381940-4980-48b5-b189-20c2e0952eda}"/>
    </Anchor>
    <History>
      <Event time="2026-05-27T08:10:54.00" id="{304b7705-b604-4872-9874-91610099a5fa}">
        <Attribution userId="placeholder@email.com" userName="Hoàng Như Quốc Tấn (Influencer Team)" userProvider="google-sheets"/>
        <Anchor>
          <Comment id="{e7381940-4980-48b5-b189-20c2e0952eda}"/>
        </Anchor>
        <Create/>
      </Event>
      <Event time="2026-05-27T08:10:54.00" id="{d63a0096-66fb-45d7-8eec-2ed6b9eee096}">
        <Attribution userId="placeholder@email.com" userName="Hoàng Như Quốc Tấn (Influencer Team)" userProvider="google-sheets"/>
        <Anchor>
          <Comment id="{e7381940-4980-48b5-b189-20c2e0952eda}"/>
        </Anchor>
        <Assign userId="thanhngan.le@pmax.com.vn" userName="thanhngan.le@pmax.com.vn" userProvider="google-sheets"/>
      </Event>
    </History>
  </Task>
  <Task id="{44f7c5af-3ea3-4bd4-bcd1-e7b40df57c17}">
    <Anchor>
      <Comment id="{b424475e-7503-4ac7-943f-db2d5d956c4e}"/>
    </Anchor>
    <History>
      <Event time="2026-05-27T08:10:31.00" id="{401ac4ab-24bd-49c2-a33e-3a721bb1d622}">
        <Attribution userId="placeholder@email.com" userName="Hoàng Như Quốc Tấn (Influencer Team)" userProvider="google-sheets"/>
        <Anchor>
          <Comment id="{b424475e-7503-4ac7-943f-db2d5d956c4e}"/>
        </Anchor>
        <Create/>
      </Event>
      <Event time="2026-05-27T08:10:31.00" id="{b1d5b3f8-3215-4be5-a689-82e1cd102157}">
        <Attribution userId="placeholder@email.com" userName="Hoàng Như Quốc Tấn (Influencer Team)" userProvider="google-sheets"/>
        <Anchor>
          <Comment id="{b424475e-7503-4ac7-943f-db2d5d956c4e}"/>
        </Anchor>
        <Assign userId="thanhngan.le@pmax.com.vn" userName="thanhngan.le@pmax.com.vn" userProvider="google-sheets"/>
      </Event>
    </History>
  </Task>
  <Task id="{848a4181-746b-416b-9bb0-811e1d606cd1}">
    <Anchor>
      <Comment id="{1d314cac-1692-4b8f-b8bf-b0d0ad91f7ac}"/>
    </Anchor>
    <History>
      <Event time="2026-05-25T09:51:35.00" id="{1685642a-3c42-489c-a93f-4a043041dca7}">
        <Attribution userId="placeholder@email.com" userName="Hoàng Như Quốc Tấn (Influencer Team)" userProvider="google-sheets"/>
        <Anchor>
          <Comment id="{1d314cac-1692-4b8f-b8bf-b0d0ad91f7ac}"/>
        </Anchor>
        <Create/>
      </Event>
      <Event time="2026-05-25T09:51:35.00" id="{9dd9ca08-5674-4e60-a8a7-c52c9c21dfa6}">
        <Attribution userId="placeholder@email.com" userName="Hoàng Như Quốc Tấn (Influencer Team)" userProvider="google-sheets"/>
        <Anchor>
          <Comment id="{1d314cac-1692-4b8f-b8bf-b0d0ad91f7ac}"/>
        </Anchor>
        <Assign userId="thanhngan.le@pmax.com.vn" userName="thanhngan.le@pmax.com.vn" userProvider="google-sheets"/>
      </Event>
    </History>
  </Task>
  <Task id="{4e1846e1-7d49-469e-8dad-6fe4ed87c188}">
    <Anchor>
      <Comment id="{611aff1b-3f7b-4935-b9cd-ccc7a7db2150}"/>
    </Anchor>
    <History>
      <Event time="2026-05-11T03:45:43.00" id="{613a5c32-b243-45ab-9cef-45a3a4f1ad97}">
        <Attribution userId="placeholder@email.com" userName="Thanh Ngan Le (Account team)" userProvider="google-sheets"/>
        <Anchor>
          <Comment id="{611aff1b-3f7b-4935-b9cd-ccc7a7db2150}"/>
        </Anchor>
        <Create/>
      </Event>
      <Event time="2026-05-11T03:45:43.00" id="{cedc15d1-742b-4655-8398-5bd9d1a02279}">
        <Attribution userId="placeholder@email.com" userName="Thanh Ngan Le (Account team)" userProvider="google-sheets"/>
        <Anchor>
          <Comment id="{611aff1b-3f7b-4935-b9cd-ccc7a7db2150}"/>
        </Anchor>
        <Assign userId="quoctan.hoang@pmax.com.vn" userName="quoctan.hoang@pmax.com.vn" userProvider="google-sheets"/>
      </Event>
    </History>
  </Task>
  <Task id="{44b673a5-d1ce-4c9e-b278-85ea9ff85676}">
    <Anchor>
      <Comment id="{f34f397b-0d01-4f6c-9748-8be43afcb667}"/>
    </Anchor>
    <History>
      <Event time="2026-05-26T07:47:24.00" id="{9d042c3b-fd29-4127-946b-02b2ca85b414}">
        <Attribution userId="placeholder@email.com" userName="Hoàng Như Quốc Tấn (Influencer Team)" userProvider="google-sheets"/>
        <Anchor>
          <Comment id="{f34f397b-0d01-4f6c-9748-8be43afcb667}"/>
        </Anchor>
        <Create/>
      </Event>
      <Event time="2026-05-26T07:47:24.00" id="{7d594a6d-185a-4e28-a71f-1a7a9d6a0826}">
        <Attribution userId="placeholder@email.com" userName="Hoàng Như Quốc Tấn (Influencer Team)" userProvider="google-sheets"/>
        <Anchor>
          <Comment id="{f34f397b-0d01-4f6c-9748-8be43afcb667}"/>
        </Anchor>
        <Assign userId="thanhngan.le@pmax.com.vn" userName="thanhngan.le@pmax.com.vn" userProvider="google-sheets"/>
      </Event>
    </History>
  </Task>
  <Task id="{b6a45fc3-7ecc-4e33-95e4-7d0415db1fd5}">
    <Anchor>
      <Comment id="{95937430-4e85-4bec-b739-97ab872336f6}"/>
    </Anchor>
    <History>
      <Event time="2026-06-03T07:26:40.00" id="{2e3a9124-f70d-4a57-b740-12b5a4501d5a}">
        <Attribution userId="placeholder@email.com" userName="Thanh Ngan Le (Account team)" userProvider="google-sheets"/>
        <Anchor>
          <Comment id="{95937430-4e85-4bec-b739-97ab872336f6}"/>
        </Anchor>
        <Create/>
      </Event>
      <Event time="2026-06-03T07:26:40.00" id="{fe05b559-97b8-40e6-a6f2-5e558e842b54}">
        <Attribution userId="placeholder@email.com" userName="Thanh Ngan Le (Account team)" userProvider="google-sheets"/>
        <Anchor>
          <Comment id="{95937430-4e85-4bec-b739-97ab872336f6}"/>
        </Anchor>
        <Assign userId="thaiha.doan@pmax.com.vn" userName="thaiha.doan@pmax.com.vn" userProvider="google-sheets"/>
      </Event>
    </History>
  </Task>
  <Task id="{89d04a6d-8eb1-42be-8413-8a3c98c09564}">
    <Anchor>
      <Comment id="{7c25dbe9-930f-4e8e-8b34-c75d11aed3c0}"/>
    </Anchor>
    <History>
      <Event time="2026-05-19T09:39:03.00" id="{c8101a0c-e3c5-4174-98d8-e4ed3fd29dd4}">
        <Attribution userId="placeholder@email.com" userName="Hoàng Như Quốc Tấn (Influencer Team)" userProvider="google-sheets"/>
        <Anchor>
          <Comment id="{7c25dbe9-930f-4e8e-8b34-c75d11aed3c0}"/>
        </Anchor>
        <Create/>
      </Event>
      <Event time="2026-05-19T09:39:03.00" id="{3b6fee2d-7528-4c2f-af18-89b161837001}">
        <Attribution userId="placeholder@email.com" userName="Hoàng Như Quốc Tấn (Influencer Team)" userProvider="google-sheets"/>
        <Anchor>
          <Comment id="{7c25dbe9-930f-4e8e-8b34-c75d11aed3c0}"/>
        </Anchor>
        <Assign userId="thanhngan.le@pmax.com.vn" userName="thanhngan.le@pmax.com.vn" userProvider="google-sheets"/>
      </Event>
    </History>
  </Task>
  <Task id="{5bdfaedf-0d0b-40f1-b66b-b73f4772e2f3}">
    <Anchor>
      <Comment id="{1d27b244-10f7-4eb3-811c-94437a5802fd}"/>
    </Anchor>
    <History>
      <Event time="2026-06-08T06:42:24.00" id="{dd3160b9-a783-4896-a0b7-82b9903aa89c}">
        <Attribution userId="placeholder@email.com" userName="Thai Ha Doan (Account)" userProvider="google-sheets"/>
        <Anchor>
          <Comment id="{1d27b244-10f7-4eb3-811c-94437a5802fd}"/>
        </Anchor>
        <Create/>
      </Event>
      <Event time="2026-06-08T06:42:24.00" id="{0cc5bffe-3070-486f-9d2a-80caf264b67a}">
        <Attribution userId="placeholder@email.com" userName="Thai Ha Doan (Account)" userProvider="google-sheets"/>
        <Anchor>
          <Comment id="{1d27b244-10f7-4eb3-811c-94437a5802fd}"/>
        </Anchor>
        <Assign userId="quoctan.hoang@pmax.com.vn" userName="quoctan.hoang@pmax.com.vn" userProvider="google-sheets"/>
      </Event>
    </History>
  </Task>
  <Task id="{12294303-11d3-4ad0-9599-9cbeb1316ca1}">
    <Anchor>
      <Comment id="{0a34cb5f-4a16-4067-898a-00d4aade05e8}"/>
    </Anchor>
    <History>
      <Event time="2026-05-22T07:11:17.00" id="{ff740d1b-76ab-4fe0-9746-4e78738ea05c}">
        <Attribution userId="placeholder@email.com" userName="Hoàng Như Quốc Tấn (Influencer Team)" userProvider="google-sheets"/>
        <Anchor>
          <Comment id="{0a34cb5f-4a16-4067-898a-00d4aade05e8}"/>
        </Anchor>
        <Create/>
      </Event>
      <Event time="2026-05-22T07:11:17.00" id="{9ac2066f-9636-4ceb-9d4a-928079d7e25d}">
        <Attribution userId="placeholder@email.com" userName="Hoàng Như Quốc Tấn (Influencer Team)" userProvider="google-sheets"/>
        <Anchor>
          <Comment id="{0a34cb5f-4a16-4067-898a-00d4aade05e8}"/>
        </Anchor>
        <Assign userId="thanhngan.le@pmax.com.vn" userName="thanhngan.le@pmax.com.vn" userProvider="google-sheets"/>
      </Event>
    </History>
  </Task>
  <Task id="{216569a3-b4f7-4758-8efc-80df56b00877}">
    <Anchor>
      <Comment id="{669c87ff-2518-42e1-80fa-587942ea9553}"/>
    </Anchor>
    <History>
      <Event time="2026-05-22T07:11:48.00" id="{a64e98b9-215c-46f3-aa6b-589091bd12b3}">
        <Attribution userId="placeholder@email.com" userName="Hoàng Như Quốc Tấn (Influencer Team)" userProvider="google-sheets"/>
        <Anchor>
          <Comment id="{669c87ff-2518-42e1-80fa-587942ea9553}"/>
        </Anchor>
        <Create/>
      </Event>
      <Event time="2026-05-22T07:11:48.00" id="{6011762f-3ae6-4168-9795-3c8423f9f619}">
        <Attribution userId="placeholder@email.com" userName="Hoàng Như Quốc Tấn (Influencer Team)" userProvider="google-sheets"/>
        <Anchor>
          <Comment id="{669c87ff-2518-42e1-80fa-587942ea9553}"/>
        </Anchor>
        <Assign userId="thanhngan.le@pmax.com.vn" userName="thanhngan.le@pmax.com.vn" userProvider="google-sheets"/>
      </Event>
    </History>
  </Task>
  <Task id="{27d0266a-4547-40d7-85f8-6c4c2cbdb6b9}">
    <Anchor>
      <Comment id="{50846105-0f55-4778-b1dc-fcb05dcf58dc}"/>
    </Anchor>
    <History>
      <Event time="2026-05-21T13:53:03.00" id="{390770d5-19a9-4873-9ca0-1570b6afdbf2}">
        <Attribution userId="placeholder@email.com" userName="Hoàng Như Quốc Tấn (Influencer Team)" userProvider="google-sheets"/>
        <Anchor>
          <Comment id="{50846105-0f55-4778-b1dc-fcb05dcf58dc}"/>
        </Anchor>
        <Create/>
      </Event>
      <Event time="2026-05-21T13:53:03.00" id="{6318f9a8-2129-4f29-8c24-c9513ceae978}">
        <Attribution userId="placeholder@email.com" userName="Hoàng Như Quốc Tấn (Influencer Team)" userProvider="google-sheets"/>
        <Anchor>
          <Comment id="{50846105-0f55-4778-b1dc-fcb05dcf58dc}"/>
        </Anchor>
        <Assign userId="thanhngan.le@pmax.com.vn" userName="thanhngan.le@pmax.com.vn" userProvider="google-sheets"/>
      </Event>
    </History>
  </Task>
  <Task id="{51809a18-eeab-48ce-b36b-32878f6e9205}">
    <Anchor>
      <Comment id="{c5f3ef9c-0a97-4915-8bfb-c0f91e6c0a67}"/>
    </Anchor>
    <History>
      <Event time="2026-05-20T07:29:29.00" id="{d1ff365f-b2b0-40f8-95b0-4ed484e97e3b}">
        <Attribution userId="placeholder@email.com" userName="Hoàng Như Quốc Tấn (Influencer Team)" userProvider="google-sheets"/>
        <Anchor>
          <Comment id="{c5f3ef9c-0a97-4915-8bfb-c0f91e6c0a67}"/>
        </Anchor>
        <Create/>
      </Event>
      <Event time="2026-05-20T07:29:29.00" id="{99871c23-437a-4a25-b6e0-f5d2dcc91e8b}">
        <Attribution userId="placeholder@email.com" userName="Hoàng Như Quốc Tấn (Influencer Team)" userProvider="google-sheets"/>
        <Anchor>
          <Comment id="{c5f3ef9c-0a97-4915-8bfb-c0f91e6c0a67}"/>
        </Anchor>
        <Assign userId="thanhngan.le@pmax.com.vn" userName="thanhngan.le@pmax.com.vn" userProvider="google-sheets"/>
      </Event>
    </History>
  </Task>
  <Task id="{81bdb6a5-c95e-46aa-aab6-9066589d201a}">
    <Anchor>
      <Comment id="{0b868674-c69c-401f-829d-b23ed1916217}"/>
    </Anchor>
    <History>
      <Event time="2026-05-12T09:59:52.00" id="{faeebbba-8977-49d7-a3c9-26e7525ef7a3}">
        <Attribution userId="placeholder@email.com" userName="Hoàng Như Quốc Tấn (Influencer Team)" userProvider="google-sheets"/>
        <Anchor>
          <Comment id="{0b868674-c69c-401f-829d-b23ed1916217}"/>
        </Anchor>
        <Create/>
      </Event>
      <Event time="2026-05-12T09:59:52.00" id="{b5a323fe-d050-4075-b755-df60a848e492}">
        <Attribution userId="placeholder@email.com" userName="Hoàng Như Quốc Tấn (Influencer Team)" userProvider="google-sheets"/>
        <Anchor>
          <Comment id="{0b868674-c69c-401f-829d-b23ed1916217}"/>
        </Anchor>
        <Assign userId="thanhngan.le@pmax.com.vn" userName="thanhngan.le@pmax.com.vn" userProvider="google-sheets"/>
      </Event>
    </History>
  </Task>
  <Task id="{d29db265-b2ea-4149-8067-04002b08fb67}">
    <Anchor>
      <Comment id="{ec76f7bd-7c04-4579-907c-3db05d9ead4a}"/>
    </Anchor>
    <History>
      <Event time="2026-05-22T07:12:28.00" id="{7b9230fb-087b-4e0b-b727-5328ef6b1e43}">
        <Attribution userId="placeholder@email.com" userName="Hoàng Như Quốc Tấn (Influencer Team)" userProvider="google-sheets"/>
        <Anchor>
          <Comment id="{ec76f7bd-7c04-4579-907c-3db05d9ead4a}"/>
        </Anchor>
        <Create/>
      </Event>
      <Event time="2026-05-22T07:12:28.00" id="{6f0e38dd-0df9-412d-ab22-7bc1d4cd9e66}">
        <Attribution userId="placeholder@email.com" userName="Hoàng Như Quốc Tấn (Influencer Team)" userProvider="google-sheets"/>
        <Anchor>
          <Comment id="{ec76f7bd-7c04-4579-907c-3db05d9ead4a}"/>
        </Anchor>
        <Assign userId="thanhngan.le@pmax.com.vn" userName="thanhngan.le@pmax.com.vn" userProvider="google-sheets"/>
      </Event>
    </History>
  </Task>
  <Task id="{0e329a32-68d9-4718-9862-1afd74f00fc1}">
    <Anchor>
      <Comment id="{72e1e94d-376f-4242-b12e-805439bd796b}"/>
    </Anchor>
    <History>
      <Event time="2026-05-21T13:59:03.00" id="{1d1f5965-1df5-4327-850e-592c5e8404ed}">
        <Attribution userId="placeholder@email.com" userName="Hoàng Như Quốc Tấn (Influencer Team)" userProvider="google-sheets"/>
        <Anchor>
          <Comment id="{72e1e94d-376f-4242-b12e-805439bd796b}"/>
        </Anchor>
        <Create/>
      </Event>
      <Event time="2026-05-21T13:59:03.00" id="{4fa11745-39a4-41a7-ba78-ffb3ffa10a4b}">
        <Attribution userId="placeholder@email.com" userName="Hoàng Như Quốc Tấn (Influencer Team)" userProvider="google-sheets"/>
        <Anchor>
          <Comment id="{72e1e94d-376f-4242-b12e-805439bd796b}"/>
        </Anchor>
        <Assign userId="thanhngan.le@pmax.com.vn" userName="thanhngan.le@pmax.com.vn" userProvider="google-sheets"/>
      </Event>
    </History>
  </Task>
  <Task id="{cef72f0f-af8a-4fc8-834f-134516cafd82}">
    <Anchor>
      <Comment id="{4e840601-447d-40f9-b3ae-2af573d5b476}"/>
    </Anchor>
    <History>
      <Event time="2026-05-25T10:58:46.00" id="{08d954ce-51c1-4f1d-94c3-08e3fb236dea}">
        <Attribution userId="placeholder@email.com" userName="Thanh Ngan Le (Account team)" userProvider="google-sheets"/>
        <Anchor>
          <Comment id="{4e840601-447d-40f9-b3ae-2af573d5b476}"/>
        </Anchor>
        <Create/>
      </Event>
      <Event time="2026-05-25T10:58:46.00" id="{4686c795-ee75-4627-99ad-c09292bea00f}">
        <Attribution userId="placeholder@email.com" userName="Thanh Ngan Le (Account team)" userProvider="google-sheets"/>
        <Anchor>
          <Comment id="{4e840601-447d-40f9-b3ae-2af573d5b476}"/>
        </Anchor>
        <Assign userId="quoctan.hoang@pmax.com.vn" userName="quoctan.hoang@pmax.com.vn" userProvider="google-sheets"/>
      </Event>
    </History>
  </Task>
  <Task id="{44f23f05-ec69-41ff-b721-6179842ce34a}">
    <Anchor>
      <Comment id="{c50c4984-ceec-4540-879d-e7f7d86f768f}"/>
    </Anchor>
    <History>
      <Event time="2026-06-09T05:11:40.00" id="{721e00f3-b053-4ee1-a21f-8de1aaf9f6b8}">
        <Attribution userId="placeholder@email.com" userName="Hoàng Như Quốc Tấn (Influencer Team)" userProvider="google-sheets"/>
        <Anchor>
          <Comment id="{c50c4984-ceec-4540-879d-e7f7d86f768f}"/>
        </Anchor>
        <Create/>
      </Event>
      <Event time="2026-06-09T05:11:40.00" id="{1daaa6ab-333a-4551-824d-48339179d67e}">
        <Attribution userId="placeholder@email.com" userName="Hoàng Như Quốc Tấn (Influencer Team)" userProvider="google-sheets"/>
        <Anchor>
          <Comment id="{c50c4984-ceec-4540-879d-e7f7d86f768f}"/>
        </Anchor>
        <Assign userId="thaiha.doan@pmax.com.vn" userName="thaiha.doan@pmax.com.vn" userProvider="google-sheets"/>
      </Event>
    </History>
  </Task>
  <Task id="{939d23fa-0b22-4684-8d3f-f51728669a76}">
    <Anchor>
      <Comment id="{527a7a63-d0f7-444c-9720-3e987ae4c061}"/>
    </Anchor>
    <History>
      <Event time="2026-05-21T14:06:29.00" id="{aeb0d5da-34ce-40b1-bc22-b307698dfaec}">
        <Attribution userId="placeholder@email.com" userName="Hoàng Như Quốc Tấn (Influencer Team)" userProvider="google-sheets"/>
        <Anchor>
          <Comment id="{527a7a63-d0f7-444c-9720-3e987ae4c061}"/>
        </Anchor>
        <Create/>
      </Event>
      <Event time="2026-05-21T14:06:29.00" id="{8333dac6-1a89-4159-a35a-2c74b2e3005e}">
        <Attribution userId="placeholder@email.com" userName="Hoàng Như Quốc Tấn (Influencer Team)" userProvider="google-sheets"/>
        <Anchor>
          <Comment id="{527a7a63-d0f7-444c-9720-3e987ae4c061}"/>
        </Anchor>
        <Assign userId="thanhngan.le@pmax.com.vn" userName="thanhngan.le@pmax.com.vn" userProvider="google-sheets"/>
      </Event>
    </History>
  </Task>
  <Task id="{6fad018f-b1ed-421a-9124-58e80ae9b8a0}">
    <Anchor>
      <Comment id="{fc206737-57a6-40ae-b401-4d522080133e}"/>
    </Anchor>
    <History>
      <Event time="2026-05-15T07:42:35.00" id="{95020da5-a57a-4597-b29a-ca68207e9a48}">
        <Attribution userId="placeholder@email.com" userName="Hoàng Như Quốc Tấn (Influencer Team)" userProvider="google-sheets"/>
        <Anchor>
          <Comment id="{fc206737-57a6-40ae-b401-4d522080133e}"/>
        </Anchor>
        <Create/>
      </Event>
      <Event time="2026-05-15T07:42:35.00" id="{485e708c-cdcc-48a0-80fb-ff1d43249d1b}">
        <Attribution userId="placeholder@email.com" userName="Hoàng Như Quốc Tấn (Influencer Team)" userProvider="google-sheets"/>
        <Anchor>
          <Comment id="{fc206737-57a6-40ae-b401-4d522080133e}"/>
        </Anchor>
        <Assign userId="thanhngan.le@pmax.com.vn" userName="thanhngan.le@pmax.com.vn" userProvider="google-sheets"/>
      </Event>
    </History>
  </Task>
  <Task id="{a6b4cb8c-d1a7-4903-8e71-13e5ce1f4940}">
    <Anchor>
      <Comment id="{e447b875-26be-47f3-a29e-6ba9e9d2f1e5}"/>
    </Anchor>
    <History>
      <Event time="2026-05-15T07:39:00.00" id="{c3bbe3c5-bdea-48e1-aed7-1d7952e73a33}">
        <Attribution userId="placeholder@email.com" userName="Hoàng Như Quốc Tấn (Influencer Team)" userProvider="google-sheets"/>
        <Anchor>
          <Comment id="{e447b875-26be-47f3-a29e-6ba9e9d2f1e5}"/>
        </Anchor>
        <Create/>
      </Event>
      <Event time="2026-05-15T07:39:00.00" id="{ae7ae97a-7162-4c59-961f-dbd54dcb3a4c}">
        <Attribution userId="placeholder@email.com" userName="Hoàng Như Quốc Tấn (Influencer Team)" userProvider="google-sheets"/>
        <Anchor>
          <Comment id="{e447b875-26be-47f3-a29e-6ba9e9d2f1e5}"/>
        </Anchor>
        <Assign userId="thanhngan.le@pmax.com.vn" userName="thanhngan.le@pmax.com.vn" userProvider="google-sheets"/>
      </Event>
    </History>
  </Task>
  <Task id="{d0a700a9-1cd0-4bc9-94e4-8b2422302124}">
    <Anchor>
      <Comment id="{4892774d-81b5-40e1-b0bf-920f4bd6f2e5}"/>
    </Anchor>
    <History>
      <Event time="2026-05-22T10:19:58.00" id="{91e9ee69-f466-45c6-a53d-6c457d34fe6f}">
        <Attribution userId="placeholder@email.com" userName="Thanh Ngan Le (Account team)" userProvider="google-sheets"/>
        <Anchor>
          <Comment id="{4892774d-81b5-40e1-b0bf-920f4bd6f2e5}"/>
        </Anchor>
        <Create/>
      </Event>
      <Event time="2026-05-22T10:19:58.00" id="{512420fc-9eeb-49d5-88b4-662835bdd8f7}">
        <Attribution userId="placeholder@email.com" userName="Thanh Ngan Le (Account team)" userProvider="google-sheets"/>
        <Anchor>
          <Comment id="{4892774d-81b5-40e1-b0bf-920f4bd6f2e5}"/>
        </Anchor>
        <Assign userId="quoctan.hoang@pmax.com.vn" userName="quoctan.hoang@pmax.com.vn" userProvider="google-sheets"/>
      </Event>
    </History>
  </Task>
  <Task id="{3344d2c6-4292-4bc2-bb49-61ff075eb4d9}">
    <Anchor>
      <Comment id="{b75aaf18-6c4e-49fc-a7bb-4d2d59fde1ae}"/>
    </Anchor>
    <History>
      <Event time="2026-05-18T06:41:34.00" id="{ccfce95e-d258-438a-9430-4ee8965e8612}">
        <Attribution userId="placeholder@email.com" userName="Hoàng Như Quốc Tấn (Influencer Team)" userProvider="google-sheets"/>
        <Anchor>
          <Comment id="{b75aaf18-6c4e-49fc-a7bb-4d2d59fde1ae}"/>
        </Anchor>
        <Create/>
      </Event>
      <Event time="2026-05-18T06:41:34.00" id="{8d7c6c9b-bcb2-4aa2-ab40-7aa097589286}">
        <Attribution userId="placeholder@email.com" userName="Hoàng Như Quốc Tấn (Influencer Team)" userProvider="google-sheets"/>
        <Anchor>
          <Comment id="{b75aaf18-6c4e-49fc-a7bb-4d2d59fde1ae}"/>
        </Anchor>
        <Assign userId="thanhngan.le@pmax.com.vn" userName="thanhngan.le@pmax.com.vn" userProvider="google-sheets"/>
      </Event>
    </History>
  </Task>
  <Task id="{ebccab18-e778-4db6-b268-a302357e2a35}">
    <Anchor>
      <Comment id="{43f49300-96f7-4c08-bd74-4d8bfbac7294}"/>
    </Anchor>
    <History>
      <Event time="2026-05-26T07:18:42.00" id="{300ade37-4482-421b-9cbb-cea7902cf858}">
        <Attribution userId="placeholder@email.com" userName="Hoàng Như Quốc Tấn (Influencer Team)" userProvider="google-sheets"/>
        <Anchor>
          <Comment id="{43f49300-96f7-4c08-bd74-4d8bfbac7294}"/>
        </Anchor>
        <Create/>
      </Event>
      <Event time="2026-05-26T07:18:42.00" id="{aff4797b-8138-41a3-b211-cf5fb70b44b5}">
        <Attribution userId="placeholder@email.com" userName="Hoàng Như Quốc Tấn (Influencer Team)" userProvider="google-sheets"/>
        <Anchor>
          <Comment id="{43f49300-96f7-4c08-bd74-4d8bfbac7294}"/>
        </Anchor>
        <Assign userId="thanhngan.le@pmax.com.vn" userName="thanhngan.le@pmax.com.vn" userProvider="google-sheets"/>
      </Event>
    </History>
  </Task>
  <Task id="{36aebbac-9d3c-492b-9c3b-d763944360dc}">
    <Anchor>
      <Comment id="{bb680ace-22e0-43e0-841e-2ad9c757e6bd}"/>
    </Anchor>
    <History>
      <Event time="2026-05-30T09:04:56.00" id="{24a08f2a-6738-4999-8c9b-ea234a5b39b5}">
        <Attribution userId="placeholder@email.com" userName="Hoàng Như Quốc Tấn (Influencer Team)" userProvider="google-sheets"/>
        <Anchor>
          <Comment id="{bb680ace-22e0-43e0-841e-2ad9c757e6bd}"/>
        </Anchor>
        <Create/>
      </Event>
      <Event time="2026-05-30T09:04:56.00" id="{875c4458-d28b-4d9e-9364-6101ef2ac88c}">
        <Attribution userId="placeholder@email.com" userName="Hoàng Như Quốc Tấn (Influencer Team)" userProvider="google-sheets"/>
        <Anchor>
          <Comment id="{bb680ace-22e0-43e0-841e-2ad9c757e6bd}"/>
        </Anchor>
        <Assign userId="thanhngan.le@pmax.com.vn" userName="thanhngan.le@pmax.com.vn" userProvider="google-sheets"/>
      </Event>
    </History>
  </Task>
  <Task id="{d103e7d9-a585-491f-a0a7-96927da3c21e}">
    <Anchor>
      <Comment id="{ca278d1c-8ff3-4ac3-9e41-8224d164adfe}"/>
    </Anchor>
    <History>
      <Event time="2026-06-08T03:05:11.00" id="{cb61b2f0-c5a5-4780-a705-5fe44f3a7c93}">
        <Attribution userId="placeholder@email.com" userName="Thai Ha Doan (Account)" userProvider="google-sheets"/>
        <Anchor>
          <Comment id="{ca278d1c-8ff3-4ac3-9e41-8224d164adfe}"/>
        </Anchor>
        <Create/>
      </Event>
      <Event time="2026-06-08T03:05:11.00" id="{dece7934-8f11-4eb8-b952-4518dcbd2a53}">
        <Attribution userId="placeholder@email.com" userName="Thai Ha Doan (Account)" userProvider="google-sheets"/>
        <Anchor>
          <Comment id="{ca278d1c-8ff3-4ac3-9e41-8224d164adfe}"/>
        </Anchor>
        <Assign userId="quoctan.hoang@pmax.com.vn" userName="quoctan.hoang@pmax.com.vn" userProvider="google-sheets"/>
      </Event>
    </History>
  </Task>
  <Task id="{405e1ff4-901a-4904-9440-d7b6aaf9ff46}">
    <Anchor>
      <Comment id="{aa0a8c3a-5318-4673-90f9-2606ff909796}"/>
    </Anchor>
    <History>
      <Event time="2026-05-12T03:36:16.00" id="{1f4c83d4-48fa-4532-b1c0-0f7d48a9fa56}">
        <Attribution userId="placeholder@email.com" userName="Thanh Ngan Le (Account team)" userProvider="google-sheets"/>
        <Anchor>
          <Comment id="{aa0a8c3a-5318-4673-90f9-2606ff909796}"/>
        </Anchor>
        <Create/>
      </Event>
      <Event time="2026-05-12T03:36:16.00" id="{95bd9526-3c48-47b0-bfec-cfee3cea3da0}">
        <Attribution userId="placeholder@email.com" userName="Thanh Ngan Le (Account team)" userProvider="google-sheets"/>
        <Anchor>
          <Comment id="{aa0a8c3a-5318-4673-90f9-2606ff909796}"/>
        </Anchor>
        <Assign userId="quoctan.hoang@pmax.com.vn" userName="quoctan.hoang@pmax.com.vn" userProvider="google-sheets"/>
      </Event>
    </History>
  </Task>
  <Task id="{09a1746a-faff-4fdb-b444-c222dcd126be}">
    <Anchor>
      <Comment id="{e1f872c6-61d9-4b65-818d-405693568981}"/>
    </Anchor>
    <History>
      <Event time="2026-06-04T11:21:02.00" id="{75c0ff63-9399-4f31-98f5-09a44c707d2b}">
        <Attribution userId="placeholder@email.com" userName="Hoàng Như Quốc Tấn (Influencer Team)" userProvider="google-sheets"/>
        <Anchor>
          <Comment id="{e1f872c6-61d9-4b65-818d-405693568981}"/>
        </Anchor>
        <Create/>
      </Event>
      <Event time="2026-06-04T11:21:02.00" id="{4f160461-59fa-4851-8a36-1d7b2ff34651}">
        <Attribution userId="placeholder@email.com" userName="Hoàng Như Quốc Tấn (Influencer Team)" userProvider="google-sheets"/>
        <Anchor>
          <Comment id="{e1f872c6-61d9-4b65-818d-405693568981}"/>
        </Anchor>
        <Assign userId="thanhngan.le@pmax.com.vn" userName="thanhngan.le@pmax.com.vn" userProvider="google-sheets"/>
      </Event>
    </History>
  </Task>
  <Task id="{419048b2-c96c-40ad-8483-716755840962}">
    <Anchor>
      <Comment id="{b1cc2607-7b9b-4cf8-a6cb-dd132b80c027}"/>
    </Anchor>
    <History>
      <Event time="2026-05-27T07:47:21.00" id="{e762a092-2869-4d5b-85c2-a2248dacd7d5}">
        <Attribution userId="placeholder@email.com" userName="Hoàng Như Quốc Tấn (Influencer Team)" userProvider="google-sheets"/>
        <Anchor>
          <Comment id="{b1cc2607-7b9b-4cf8-a6cb-dd132b80c027}"/>
        </Anchor>
        <Create/>
      </Event>
      <Event time="2026-05-27T07:47:21.00" id="{dfa99363-6be1-41f5-ac30-082283cba3d0}">
        <Attribution userId="placeholder@email.com" userName="Hoàng Như Quốc Tấn (Influencer Team)" userProvider="google-sheets"/>
        <Anchor>
          <Comment id="{b1cc2607-7b9b-4cf8-a6cb-dd132b80c027}"/>
        </Anchor>
        <Assign userId="thanhngan.le@pmax.com.vn" userName="thanhngan.le@pmax.com.vn" userProvider="google-sheets"/>
      </Event>
    </History>
  </Task>
  <Task id="{993d4056-9de3-4486-90e9-adafdec38046}">
    <Anchor>
      <Comment id="{2f29a65b-c6e6-47a7-85f0-928defe97eac}"/>
    </Anchor>
    <History>
      <Event time="2026-06-03T07:32:46.00" id="{c147ac59-a6af-488b-930d-aeb20ce3dfcd}">
        <Attribution userId="placeholder@email.com" userName="Thanh Ngan Le (Account team)" userProvider="google-sheets"/>
        <Anchor>
          <Comment id="{2f29a65b-c6e6-47a7-85f0-928defe97eac}"/>
        </Anchor>
        <Create/>
      </Event>
      <Event time="2026-06-03T07:32:46.00" id="{e234f899-f1ac-4b46-86b5-78b1f9f4476d}">
        <Attribution userId="placeholder@email.com" userName="Thanh Ngan Le (Account team)" userProvider="google-sheets"/>
        <Anchor>
          <Comment id="{2f29a65b-c6e6-47a7-85f0-928defe97eac}"/>
        </Anchor>
        <Assign userId="thaiha.doan@pmax.com.vn" userName="thaiha.doan@pmax.com.vn" userProvider="google-sheets"/>
      </Event>
    </History>
  </Task>
  <Task id="{e5d97956-4d1a-4704-8e18-76d1aa46d6a9}">
    <Anchor>
      <Comment id="{1dc850cb-0398-4fc3-800a-eb435616ed11}"/>
    </Anchor>
    <History>
      <Event time="2026-05-27T07:45:48.00" id="{4c87792f-1cbb-4fbd-a9eb-ee7e013adc11}">
        <Attribution userId="placeholder@email.com" userName="Hoàng Như Quốc Tấn (Influencer Team)" userProvider="google-sheets"/>
        <Anchor>
          <Comment id="{1dc850cb-0398-4fc3-800a-eb435616ed11}"/>
        </Anchor>
        <Create/>
      </Event>
      <Event time="2026-05-27T07:45:48.00" id="{5e89c844-6ecb-4d82-8334-11fa4c7358b9}">
        <Attribution userId="placeholder@email.com" userName="Hoàng Như Quốc Tấn (Influencer Team)" userProvider="google-sheets"/>
        <Anchor>
          <Comment id="{1dc850cb-0398-4fc3-800a-eb435616ed11}"/>
        </Anchor>
        <Assign userId="thanhngan.le@pmax.com.vn" userName="thanhngan.le@pmax.com.vn" userProvider="google-sheets"/>
      </Event>
    </History>
  </Task>
  <Task id="{5f78e36f-ff6b-46bf-af85-7850f147a8fd}">
    <Anchor>
      <Comment id="{be18a7b6-f321-4d93-b83d-d275e88476f5}"/>
    </Anchor>
    <History>
      <Event time="2026-06-04T11:31:33.00" id="{969991cf-7965-4048-b6be-ec7687b78e16}">
        <Attribution userId="placeholder@email.com" userName="Hoàng Như Quốc Tấn (Influencer Team)" userProvider="google-sheets"/>
        <Anchor>
          <Comment id="{be18a7b6-f321-4d93-b83d-d275e88476f5}"/>
        </Anchor>
        <Create/>
      </Event>
      <Event time="2026-06-04T11:31:33.00" id="{6b38ae4e-1400-4c50-8f0d-55e8523c55d3}">
        <Attribution userId="placeholder@email.com" userName="Hoàng Như Quốc Tấn (Influencer Team)" userProvider="google-sheets"/>
        <Anchor>
          <Comment id="{be18a7b6-f321-4d93-b83d-d275e88476f5}"/>
        </Anchor>
        <Assign userId="thanhngan.le@pmax.com.vn" userName="thanhngan.le@pmax.com.vn" userProvider="google-sheets"/>
      </Event>
    </History>
  </Task>
  <Task id="{56be1d7e-36d6-4d3e-adae-44592dd90e51}">
    <Anchor>
      <Comment id="{96e40018-b009-479c-8a72-7de9490285fb}"/>
    </Anchor>
    <History>
      <Event time="2026-05-27T07:45:32.00" id="{fc9b1e70-c283-48a5-a5f9-7cdf299238e3}">
        <Attribution userId="placeholder@email.com" userName="Hoàng Như Quốc Tấn (Influencer Team)" userProvider="google-sheets"/>
        <Anchor>
          <Comment id="{96e40018-b009-479c-8a72-7de9490285fb}"/>
        </Anchor>
        <Create/>
      </Event>
      <Event time="2026-05-27T07:45:32.00" id="{7d24e083-f301-4629-a459-4cf4daa20ea2}">
        <Attribution userId="placeholder@email.com" userName="Hoàng Như Quốc Tấn (Influencer Team)" userProvider="google-sheets"/>
        <Anchor>
          <Comment id="{96e40018-b009-479c-8a72-7de9490285fb}"/>
        </Anchor>
        <Assign userId="thanhngan.le@pmax.com.vn" userName="thanhngan.le@pmax.com.vn" userProvider="google-sheets"/>
      </Event>
    </History>
  </Task>
  <Task id="{c51f810c-9c4c-457e-8e02-e8f3516dc4ec}">
    <Anchor>
      <Comment id="{33c43927-9bee-42d8-904d-306e2c6f2a52}"/>
    </Anchor>
    <History>
      <Event time="2026-05-27T07:45:17.00" id="{fdc61fbe-d7ad-44a1-a543-db1857238f7c}">
        <Attribution userId="placeholder@email.com" userName="Hoàng Như Quốc Tấn (Influencer Team)" userProvider="google-sheets"/>
        <Anchor>
          <Comment id="{33c43927-9bee-42d8-904d-306e2c6f2a52}"/>
        </Anchor>
        <Create/>
      </Event>
      <Event time="2026-05-27T07:45:17.00" id="{e87d75f0-e810-4b55-bb5c-94d946f461cc}">
        <Attribution userId="placeholder@email.com" userName="Hoàng Như Quốc Tấn (Influencer Team)" userProvider="google-sheets"/>
        <Anchor>
          <Comment id="{33c43927-9bee-42d8-904d-306e2c6f2a52}"/>
        </Anchor>
        <Assign userId="thanhngan.le@pmax.com.vn" userName="thanhngan.le@pmax.com.vn" userProvider="google-sheets"/>
      </Event>
    </History>
  </Task>
  <Task id="{4fa4c6e5-51a4-4aa9-8d46-40e83b9ad6a2}">
    <Anchor>
      <Comment id="{aed1401e-4c84-4d6f-a958-cf8bf1dcf201}"/>
    </Anchor>
    <History>
      <Event time="2026-05-27T07:45:04.00" id="{6e947a36-30e3-4305-8ade-dec3b28e95d0}">
        <Attribution userId="placeholder@email.com" userName="Hoàng Như Quốc Tấn (Influencer Team)" userProvider="google-sheets"/>
        <Anchor>
          <Comment id="{aed1401e-4c84-4d6f-a958-cf8bf1dcf201}"/>
        </Anchor>
        <Create/>
      </Event>
      <Event time="2026-05-27T07:45:04.00" id="{7b1cf95d-4d15-403e-92ce-c45dacc35ace}">
        <Attribution userId="placeholder@email.com" userName="Hoàng Như Quốc Tấn (Influencer Team)" userProvider="google-sheets"/>
        <Anchor>
          <Comment id="{aed1401e-4c84-4d6f-a958-cf8bf1dcf201}"/>
        </Anchor>
        <Assign userId="thanhngan.le@pmax.com.vn" userName="thanhngan.le@pmax.com.vn" userProvider="google-sheets"/>
      </Event>
    </History>
  </Task>
  <Task id="{74705806-479c-462a-b0ed-bc65109426f4}">
    <Anchor>
      <Comment id="{38cd1f2d-c120-475f-b5dc-08aab824f875}"/>
    </Anchor>
    <History>
      <Event time="2026-05-23T15:16:36.00" id="{a1bc1816-c2f4-4d2c-bf57-fd34c3884a38}">
        <Attribution userId="placeholder@email.com" userName="Hoàng Như Quốc Tấn (Influencer Team)" userProvider="google-sheets"/>
        <Anchor>
          <Comment id="{38cd1f2d-c120-475f-b5dc-08aab824f875}"/>
        </Anchor>
        <Create/>
      </Event>
      <Event time="2026-05-23T15:16:36.00" id="{3b87d392-32e5-46cd-93d7-9210cd48db02}">
        <Attribution userId="placeholder@email.com" userName="Hoàng Như Quốc Tấn (Influencer Team)" userProvider="google-sheets"/>
        <Anchor>
          <Comment id="{38cd1f2d-c120-475f-b5dc-08aab824f875}"/>
        </Anchor>
        <Assign userId="thanhngan.le@pmax.com.vn" userName="thanhngan.le@pmax.com.vn" userProvider="google-sheets"/>
      </Event>
    </History>
  </Task>
  <Task id="{aa0255f5-9eb0-4180-ba7a-d215b2875ffc}">
    <Anchor>
      <Comment id="{36e9feab-cbbc-4150-8aef-3c0994460d70}"/>
    </Anchor>
    <History>
      <Event time="2026-06-05T07:40:55.00" id="{8c661356-3861-427e-936f-f2f7dc287b97}">
        <Attribution userId="placeholder@email.com" userName="Thai Ha Doan (Account)" userProvider="google-sheets"/>
        <Anchor>
          <Comment id="{36e9feab-cbbc-4150-8aef-3c0994460d70}"/>
        </Anchor>
        <Create/>
      </Event>
      <Event time="2026-06-05T07:40:55.00" id="{27105c0b-029f-4a1c-abc7-d712f6fb4393}">
        <Attribution userId="placeholder@email.com" userName="Thai Ha Doan (Account)" userProvider="google-sheets"/>
        <Anchor>
          <Comment id="{36e9feab-cbbc-4150-8aef-3c0994460d70}"/>
        </Anchor>
        <Assign userId="quoctan.hoang@pmax.com.vn" userName="quoctan.hoang@pmax.com.vn" userProvider="google-sheets"/>
      </Event>
    </History>
  </Task>
  <Task id="{14b6379e-5177-46cd-861b-9c7f76ec9364}">
    <Anchor>
      <Comment id="{c02484b3-f28a-48fd-a0ea-1f5a434ef623}"/>
    </Anchor>
    <History>
      <Event time="2026-05-18T03:55:37.00" id="{abb814fb-6e34-4547-af59-222d9168e951}">
        <Attribution userId="placeholder@email.com" userName="Hoàng Như Quốc Tấn (Influencer Team)" userProvider="google-sheets"/>
        <Anchor>
          <Comment id="{c02484b3-f28a-48fd-a0ea-1f5a434ef623}"/>
        </Anchor>
        <Create/>
      </Event>
      <Event time="2026-05-18T03:55:37.00" id="{bed19229-d432-4405-95e4-37998f903f52}">
        <Attribution userId="placeholder@email.com" userName="Hoàng Như Quốc Tấn (Influencer Team)" userProvider="google-sheets"/>
        <Anchor>
          <Comment id="{c02484b3-f28a-48fd-a0ea-1f5a434ef623}"/>
        </Anchor>
        <Assign userId="thanhngan.le@pmax.com.vn" userName="thanhngan.le@pmax.com.vn" userProvider="google-sheets"/>
      </Event>
    </History>
  </Task>
  <Task id="{c828bd62-28f6-4fc2-bb4c-697113e9b0f2}">
    <Anchor>
      <Comment id="{6e1066cd-705a-4244-90bd-5cac214b40a4}"/>
    </Anchor>
    <History>
      <Event time="2026-05-12T09:49:01.00" id="{62f30743-d2c6-44dc-99d8-28a8b0d0340e}">
        <Attribution userId="placeholder@email.com" userName="Thanh Ngan Le (Account team)" userProvider="google-sheets"/>
        <Anchor>
          <Comment id="{6e1066cd-705a-4244-90bd-5cac214b40a4}"/>
        </Anchor>
        <Create/>
      </Event>
      <Event time="2026-05-12T09:49:01.00" id="{6c4fc134-3900-422c-a68d-e738dfca62eb}">
        <Attribution userId="placeholder@email.com" userName="Thanh Ngan Le (Account team)" userProvider="google-sheets"/>
        <Anchor>
          <Comment id="{6e1066cd-705a-4244-90bd-5cac214b40a4}"/>
        </Anchor>
        <Assign userId="quoctan.hoang@pmax.com.vn" userName="quoctan.hoang@pmax.com.vn" userProvider="google-sheets"/>
      </Event>
    </History>
  </Task>
  <Task id="{5f3361e3-de5a-4337-a275-88e376f42b02}">
    <Anchor>
      <Comment id="{b5878764-217a-4122-a2d0-0c902ae21178}"/>
    </Anchor>
    <History>
      <Event time="2026-06-03T07:08:50.00" id="{faf952dc-b5da-491e-92ed-0f8b54d38ffc}">
        <Attribution userId="placeholder@email.com" userName="Hoàng Như Quốc Tấn (Influencer Team)" userProvider="google-sheets"/>
        <Anchor>
          <Comment id="{b5878764-217a-4122-a2d0-0c902ae21178}"/>
        </Anchor>
        <Create/>
      </Event>
      <Event time="2026-06-03T07:08:50.00" id="{ed782946-0902-4be5-818b-dd0cfca7bbe3}">
        <Attribution userId="placeholder@email.com" userName="Hoàng Như Quốc Tấn (Influencer Team)" userProvider="google-sheets"/>
        <Anchor>
          <Comment id="{b5878764-217a-4122-a2d0-0c902ae21178}"/>
        </Anchor>
        <Assign userId="thanhngan.le@pmax.com.vn" userName="thanhngan.le@pmax.com.vn" userProvider="google-sheets"/>
      </Event>
    </History>
  </Task>
  <Task id="{44134464-90ff-4839-875b-12fddbf747bb}">
    <Anchor>
      <Comment id="{51906752-676d-454a-bef7-2bd1a0672f1d}"/>
    </Anchor>
    <History>
      <Event time="2026-05-30T08:53:12.00" id="{953cd456-bb1e-4949-9945-566eb6c53ce5}">
        <Attribution userId="placeholder@email.com" userName="Hoàng Như Quốc Tấn (Influencer Team)" userProvider="google-sheets"/>
        <Anchor>
          <Comment id="{51906752-676d-454a-bef7-2bd1a0672f1d}"/>
        </Anchor>
        <Create/>
      </Event>
      <Event time="2026-05-30T08:53:12.00" id="{b809f213-5666-46ef-aca7-0950467e1199}">
        <Attribution userId="placeholder@email.com" userName="Hoàng Như Quốc Tấn (Influencer Team)" userProvider="google-sheets"/>
        <Anchor>
          <Comment id="{51906752-676d-454a-bef7-2bd1a0672f1d}"/>
        </Anchor>
        <Assign userId="thanhngan.le@pmax.com.vn" userName="thanhngan.le@pmax.com.vn" userProvider="google-sheets"/>
      </Event>
    </History>
  </Task>
  <Task id="{d58373bf-b1c9-4642-a448-0fdefbb13d7d}">
    <Anchor>
      <Comment id="{273a0a11-9cff-4861-abc8-16ec89b33a82}"/>
    </Anchor>
    <History>
      <Event time="2026-06-03T07:07:01.00" id="{d826fb71-7487-4850-a08c-96f22762005a}">
        <Attribution userId="placeholder@email.com" userName="Thai Ha Doan (Account)" userProvider="google-sheets"/>
        <Anchor>
          <Comment id="{273a0a11-9cff-4861-abc8-16ec89b33a82}"/>
        </Anchor>
        <Create/>
      </Event>
      <Event time="2026-06-03T07:07:01.00" id="{92fb4637-1c8d-425f-bd9e-d5ff0fc3d176}">
        <Attribution userId="placeholder@email.com" userName="Thai Ha Doan (Account)" userProvider="google-sheets"/>
        <Anchor>
          <Comment id="{273a0a11-9cff-4861-abc8-16ec89b33a82}"/>
        </Anchor>
        <Assign userId="quoctan.hoang@pmax.com.vn" userName="quoctan.hoang@pmax.com.vn" userProvider="google-sheets"/>
      </Event>
    </History>
  </Task>
  <Task id="{81ad15ff-c830-4e89-a8a5-7b659d4a4ab8}">
    <Anchor>
      <Comment id="{e6c87c62-1ac6-40de-a2c2-5d9e2a6703b4}"/>
    </Anchor>
    <History>
      <Event time="2026-05-27T07:44:09.00" id="{c59c7eac-d3d4-4161-87e5-b0a0e574ddc2}">
        <Attribution userId="placeholder@email.com" userName="Hoàng Như Quốc Tấn (Influencer Team)" userProvider="google-sheets"/>
        <Anchor>
          <Comment id="{e6c87c62-1ac6-40de-a2c2-5d9e2a6703b4}"/>
        </Anchor>
        <Create/>
      </Event>
      <Event time="2026-05-27T07:44:09.00" id="{26139239-55e3-4da4-9579-94072d895697}">
        <Attribution userId="placeholder@email.com" userName="Hoàng Như Quốc Tấn (Influencer Team)" userProvider="google-sheets"/>
        <Anchor>
          <Comment id="{e6c87c62-1ac6-40de-a2c2-5d9e2a6703b4}"/>
        </Anchor>
        <Assign userId="thanhngan.le@pmax.com.vn" userName="thanhngan.le@pmax.com.vn" userProvider="google-sheets"/>
      </Event>
    </History>
  </Task>
  <Task id="{50b160fc-136c-4e7e-9b20-d32018f5aee3}">
    <Anchor>
      <Comment id="{45df1ffe-5c78-4e49-b74d-e7a9df02cbf3}"/>
    </Anchor>
    <History>
      <Event time="2026-05-09T07:46:34.00" id="{5bc123e5-2fd2-49cd-a318-26ca44b6e182}">
        <Attribution userId="placeholder@email.com" userName="Thanh Ngan Le (Account team)" userProvider="google-sheets"/>
        <Anchor>
          <Comment id="{45df1ffe-5c78-4e49-b74d-e7a9df02cbf3}"/>
        </Anchor>
        <Create/>
      </Event>
      <Event time="2026-05-09T07:46:34.00" id="{af6e8fbf-d061-42b9-b6ed-de3db5e10c78}">
        <Attribution userId="placeholder@email.com" userName="Thanh Ngan Le (Account team)" userProvider="google-sheets"/>
        <Anchor>
          <Comment id="{45df1ffe-5c78-4e49-b74d-e7a9df02cbf3}"/>
        </Anchor>
        <Assign userId="quoctan.hoang@pmax.com.vn" userName="quoctan.hoang@pmax.com.vn" userProvider="google-sheets"/>
      </Event>
    </History>
  </Task>
  <Task id="{d3c0433a-67ec-48e9-b6b4-9006c4366347}">
    <Anchor>
      <Comment id="{1243a0fb-0f87-49fe-a4fb-70842474023a}"/>
    </Anchor>
    <History>
      <Event time="2026-05-30T08:48:45.00" id="{8b818baa-279c-473b-a3cf-c10d865b5c96}">
        <Attribution userId="placeholder@email.com" userName="Hoàng Như Quốc Tấn (Influencer Team)" userProvider="google-sheets"/>
        <Anchor>
          <Comment id="{1243a0fb-0f87-49fe-a4fb-70842474023a}"/>
        </Anchor>
        <Create/>
      </Event>
      <Event time="2026-05-30T08:48:45.00" id="{69d74d8c-b314-4212-ad0a-a70de9f034b4}">
        <Attribution userId="placeholder@email.com" userName="Hoàng Như Quốc Tấn (Influencer Team)" userProvider="google-sheets"/>
        <Anchor>
          <Comment id="{1243a0fb-0f87-49fe-a4fb-70842474023a}"/>
        </Anchor>
        <Assign userId="thanhngan.le@pmax.com.vn" userName="thanhngan.le@pmax.com.vn" userProvider="google-sheets"/>
      </Event>
    </History>
  </Task>
  <Task id="{67f0f287-5dbd-4556-8293-93cf2eeb42c2}">
    <Anchor>
      <Comment id="{d027a95b-fde4-4e90-916a-9e082cde0ed2}"/>
    </Anchor>
    <History>
      <Event time="2026-06-09T02:28:02.00" id="{cfa1ed47-1dbf-4978-87b9-5eea58c83979}">
        <Attribution userId="placeholder@email.com" userName="Thai Ha Doan (Account)" userProvider="google-sheets"/>
        <Anchor>
          <Comment id="{d027a95b-fde4-4e90-916a-9e082cde0ed2}"/>
        </Anchor>
        <Create/>
      </Event>
      <Event time="2026-06-09T02:28:02.00" id="{862cf1c1-deee-4662-8935-416037b2d256}">
        <Attribution userId="placeholder@email.com" userName="Thai Ha Doan (Account)" userProvider="google-sheets"/>
        <Anchor>
          <Comment id="{d027a95b-fde4-4e90-916a-9e082cde0ed2}"/>
        </Anchor>
        <Assign userId="quoctan.hoang@pmax.com.vn" userName="quoctan.hoang@pmax.com.vn" userProvider="google-sheets"/>
      </Event>
    </History>
  </Task>
  <Task id="{a32d5020-1675-43f4-8d9f-18e9ca17c928}">
    <Anchor>
      <Comment id="{b1cecb69-f79c-4cbf-b539-59e634813bb5}"/>
    </Anchor>
    <History>
      <Event time="2026-05-30T09:02:22.00" id="{f431e768-9b6a-48cb-9b19-cb671f1d6c92}">
        <Attribution userId="placeholder@email.com" userName="Hoàng Như Quốc Tấn (Influencer Team)" userProvider="google-sheets"/>
        <Anchor>
          <Comment id="{b1cecb69-f79c-4cbf-b539-59e634813bb5}"/>
        </Anchor>
        <Create/>
      </Event>
      <Event time="2026-05-30T09:02:22.00" id="{a553ddec-f678-4b86-80f1-47251078d08a}">
        <Attribution userId="placeholder@email.com" userName="Hoàng Như Quốc Tấn (Influencer Team)" userProvider="google-sheets"/>
        <Anchor>
          <Comment id="{b1cecb69-f79c-4cbf-b539-59e634813bb5}"/>
        </Anchor>
        <Assign userId="thanhngan.le@pmax.com.vn" userName="thanhngan.le@pmax.com.vn" userProvider="google-sheets"/>
      </Event>
    </History>
  </Task>
  <Task id="{1252cba8-0aed-4c8b-a0c3-d3aae931836b}">
    <Anchor>
      <Comment id="{89164080-0119-4df1-adb4-0fcfb57a9d9d}"/>
    </Anchor>
    <History>
      <Event time="2026-05-26T07:09:41.00" id="{caf370b7-8ecb-486a-8780-b1a4db4bc83c}">
        <Attribution userId="placeholder@email.com" userName="Hoàng Như Quốc Tấn (Influencer Team)" userProvider="google-sheets"/>
        <Anchor>
          <Comment id="{89164080-0119-4df1-adb4-0fcfb57a9d9d}"/>
        </Anchor>
        <Create/>
      </Event>
      <Event time="2026-05-26T07:09:41.00" id="{0024f772-162e-4931-b8f1-a78e2e3298ac}">
        <Attribution userId="placeholder@email.com" userName="Hoàng Như Quốc Tấn (Influencer Team)" userProvider="google-sheets"/>
        <Anchor>
          <Comment id="{89164080-0119-4df1-adb4-0fcfb57a9d9d}"/>
        </Anchor>
        <Assign userId="thanhngan.le@pmax.com.vn" userName="thanhngan.le@pmax.com.vn" userProvider="google-sheets"/>
      </Event>
    </History>
  </Task>
  <Task id="{c0c054d7-cb70-4258-bb03-3445572794c2}">
    <Anchor>
      <Comment id="{144edb12-5094-4919-acc4-4013bca4439c}"/>
    </Anchor>
    <History>
      <Event time="2026-06-03T07:11:09.00" id="{5351b429-cd10-49b7-94a9-f2e58a23221b}">
        <Attribution userId="placeholder@email.com" userName="Hoàng Như Quốc Tấn (Influencer Team)" userProvider="google-sheets"/>
        <Anchor>
          <Comment id="{144edb12-5094-4919-acc4-4013bca4439c}"/>
        </Anchor>
        <Create/>
      </Event>
      <Event time="2026-06-03T07:11:09.00" id="{6b75fd43-968e-4a2f-bc28-a311f8da2603}">
        <Attribution userId="placeholder@email.com" userName="Hoàng Như Quốc Tấn (Influencer Team)" userProvider="google-sheets"/>
        <Anchor>
          <Comment id="{144edb12-5094-4919-acc4-4013bca4439c}"/>
        </Anchor>
        <Assign userId="thanhngan.le@pmax.com.vn" userName="thanhngan.le@pmax.com.vn" userProvider="google-sheets"/>
      </Event>
    </History>
  </Task>
  <Task id="{74ec1ac5-2562-4a01-a769-31af925c4d6f}">
    <Anchor>
      <Comment id="{58b1231f-bc25-471f-918d-54699e593e2d}"/>
    </Anchor>
    <History>
      <Event time="2026-05-19T11:38:11.00" id="{c48e0e06-e96b-47ab-9a0a-46a4038daa65}">
        <Attribution userId="placeholder@email.com" userName="Thanh Ngan Le (Account team)" userProvider="google-sheets"/>
        <Anchor>
          <Comment id="{58b1231f-bc25-471f-918d-54699e593e2d}"/>
        </Anchor>
        <Create/>
      </Event>
      <Event time="2026-05-19T11:38:11.00" id="{1d04fb61-13c1-4cc5-9918-77e0cab08676}">
        <Attribution userId="placeholder@email.com" userName="Thanh Ngan Le (Account team)" userProvider="google-sheets"/>
        <Anchor>
          <Comment id="{58b1231f-bc25-471f-918d-54699e593e2d}"/>
        </Anchor>
        <Assign userId="quoctan.hoang@pmax.com.vn" userName="quoctan.hoang@pmax.com.vn" userProvider="google-sheets"/>
      </Event>
    </History>
  </Task>
  <Task id="{0d4e7f94-e066-4712-913e-8d9444538911}">
    <Anchor>
      <Comment id="{27720e7a-5580-4db2-9f40-a2e0e5a55d8c}"/>
    </Anchor>
    <History>
      <Event time="2026-05-26T07:06:46.00" id="{276535a9-0b99-4c4a-93bb-2b4e9b874212}">
        <Attribution userId="placeholder@email.com" userName="Hoàng Như Quốc Tấn (Influencer Team)" userProvider="google-sheets"/>
        <Anchor>
          <Comment id="{27720e7a-5580-4db2-9f40-a2e0e5a55d8c}"/>
        </Anchor>
        <Create/>
      </Event>
      <Event time="2026-05-26T07:06:46.00" id="{a107d2ce-8dae-4452-8f9b-7ea034a1a790}">
        <Attribution userId="placeholder@email.com" userName="Hoàng Như Quốc Tấn (Influencer Team)" userProvider="google-sheets"/>
        <Anchor>
          <Comment id="{27720e7a-5580-4db2-9f40-a2e0e5a55d8c}"/>
        </Anchor>
        <Assign userId="thanhngan.le@pmax.com.vn" userName="thanhngan.le@pmax.com.vn" userProvider="google-sheets"/>
      </Event>
    </History>
  </Task>
  <Task id="{a8130260-5b29-4b2f-9117-57d3b9564a88}">
    <Anchor>
      <Comment id="{f7d8bde1-7212-4a22-8ec0-ee3db755d2a7}"/>
    </Anchor>
    <History>
      <Event time="2026-05-15T03:05:08.00" id="{0b5b4872-b233-47b1-bfb0-a3106a2cfeff}">
        <Attribution userId="placeholder@email.com" userName="Thanh Ngan Le (Account team)" userProvider="google-sheets"/>
        <Anchor>
          <Comment id="{f7d8bde1-7212-4a22-8ec0-ee3db755d2a7}"/>
        </Anchor>
        <Create/>
      </Event>
      <Event time="2026-05-15T03:05:08.00" id="{b2b42128-2885-4690-8dd9-2ab5227e6966}">
        <Attribution userId="placeholder@email.com" userName="Thanh Ngan Le (Account team)" userProvider="google-sheets"/>
        <Anchor>
          <Comment id="{f7d8bde1-7212-4a22-8ec0-ee3db755d2a7}"/>
        </Anchor>
        <Assign userId="quoctan.hoang@pmax.com.vn" userName="quoctan.hoang@pmax.com.vn" userProvider="google-sheets"/>
      </Event>
    </History>
  </Task>
  <Task id="{96949b53-c422-4d60-a488-e0abd59c4423}">
    <Anchor>
      <Comment id="{63fa3613-938c-4ab8-bbae-2db0adfae023}"/>
    </Anchor>
    <History>
      <Event time="2026-06-08T03:29:06.00" id="{7b16334b-54fc-4a2b-9962-277d8345b421}">
        <Attribution userId="placeholder@email.com" userName="Hoàng Như Quốc Tấn (Influencer Team)" userProvider="google-sheets"/>
        <Anchor>
          <Comment id="{63fa3613-938c-4ab8-bbae-2db0adfae023}"/>
        </Anchor>
        <Create/>
      </Event>
      <Event time="2026-06-08T03:29:06.00" id="{29c22e45-f7f6-42f7-9608-d0085fa088ab}">
        <Attribution userId="placeholder@email.com" userName="Hoàng Như Quốc Tấn (Influencer Team)" userProvider="google-sheets"/>
        <Anchor>
          <Comment id="{63fa3613-938c-4ab8-bbae-2db0adfae023}"/>
        </Anchor>
        <Assign userId="thanhngan.le@pmax.com.vn" userName="thanhngan.le@pmax.com.vn" userProvider="google-sheets"/>
      </Event>
    </History>
  </Task>
  <Task id="{5f8a1532-6fa2-46fe-ab07-4a805a438f00}">
    <Anchor>
      <Comment id="{da31acd8-8f73-4be9-be33-ffb960236aee}"/>
    </Anchor>
    <History>
      <Event time="2026-05-27T07:36:31.00" id="{48549727-e669-42fe-9f49-7f8d2ee60805}">
        <Attribution userId="placeholder@email.com" userName="Hoàng Như Quốc Tấn (Influencer Team)" userProvider="google-sheets"/>
        <Anchor>
          <Comment id="{da31acd8-8f73-4be9-be33-ffb960236aee}"/>
        </Anchor>
        <Create/>
      </Event>
      <Event time="2026-05-27T07:36:31.00" id="{1d1374a9-d2b2-403f-b289-3232ec22dd60}">
        <Attribution userId="placeholder@email.com" userName="Hoàng Như Quốc Tấn (Influencer Team)" userProvider="google-sheets"/>
        <Anchor>
          <Comment id="{da31acd8-8f73-4be9-be33-ffb960236aee}"/>
        </Anchor>
        <Assign userId="thanhngan.le@pmax.com.vn" userName="thanhngan.le@pmax.com.vn" userProvider="google-sheets"/>
      </Event>
    </History>
  </Task>
  <Task id="{9b5f7d61-d312-4d32-a90a-b91f6fa0a143}">
    <Anchor>
      <Comment id="{7abd563a-4501-4945-b3a2-e770be37e271}"/>
    </Anchor>
    <History>
      <Event time="2026-05-22T07:24:25.00" id="{1153f09d-7ce3-4f2e-b09b-ddc61b973a0f}">
        <Attribution userId="placeholder@email.com" userName="Hoàng Như Quốc Tấn (Influencer Team)" userProvider="google-sheets"/>
        <Anchor>
          <Comment id="{7abd563a-4501-4945-b3a2-e770be37e271}"/>
        </Anchor>
        <Create/>
      </Event>
      <Event time="2026-05-22T07:24:25.00" id="{3d21e8f3-f2b6-483e-9a0e-2633d7df75ac}">
        <Attribution userId="placeholder@email.com" userName="Hoàng Như Quốc Tấn (Influencer Team)" userProvider="google-sheets"/>
        <Anchor>
          <Comment id="{7abd563a-4501-4945-b3a2-e770be37e271}"/>
        </Anchor>
        <Assign userId="thanhngan.le@pmax.com.vn" userName="thanhngan.le@pmax.com.vn" userProvider="google-sheets"/>
      </Event>
    </History>
  </Task>
  <Task id="{ead502b6-43db-4611-9b27-720cc5df6c14}">
    <Anchor>
      <Comment id="{1888c6a3-fd00-4a8e-9067-39f64252ace2}"/>
    </Anchor>
    <History>
      <Event time="2026-05-12T05:07:34.00" id="{faa79dc1-b591-4354-a541-4e5e323e7cf8}">
        <Attribution userId="placeholder@email.com" userName="Thanh Ngan Le (Account team)" userProvider="google-sheets"/>
        <Anchor>
          <Comment id="{1888c6a3-fd00-4a8e-9067-39f64252ace2}"/>
        </Anchor>
        <Create/>
      </Event>
      <Event time="2026-05-12T05:07:34.00" id="{2d9edf1f-13c2-49f8-ade9-d72dd1f37c97}">
        <Attribution userId="placeholder@email.com" userName="Thanh Ngan Le (Account team)" userProvider="google-sheets"/>
        <Anchor>
          <Comment id="{1888c6a3-fd00-4a8e-9067-39f64252ace2}"/>
        </Anchor>
        <Assign userId="quoctan.hoang@pmax.com.vn" userName="quoctan.hoang@pmax.com.vn" userProvider="google-sheets"/>
      </Event>
    </History>
  </Task>
  <Task id="{f2ce0adc-5600-41a9-81a9-072165e31f22}">
    <Anchor>
      <Comment id="{3adcc72e-2cad-4b48-82af-6ef06cfb3fd2}"/>
    </Anchor>
    <History>
      <Event time="2026-06-05T05:29:56.00" id="{11f9b771-aec6-4090-a7a8-5452fa2382be}">
        <Attribution userId="placeholder@email.com" userName="Thai Ha Doan (Account)" userProvider="google-sheets"/>
        <Anchor>
          <Comment id="{3adcc72e-2cad-4b48-82af-6ef06cfb3fd2}"/>
        </Anchor>
        <Create/>
      </Event>
      <Event time="2026-06-05T05:29:56.00" id="{d7a7227e-3671-44c4-a3bb-57b5473f24ec}">
        <Attribution userId="placeholder@email.com" userName="Thai Ha Doan (Account)" userProvider="google-sheets"/>
        <Anchor>
          <Comment id="{3adcc72e-2cad-4b48-82af-6ef06cfb3fd2}"/>
        </Anchor>
        <Assign userId="quoctan.hoang@pmax.com.vn" userName="quoctan.hoang@pmax.com.vn" userProvider="google-sheets"/>
      </Event>
    </History>
  </Task>
  <Task id="{dbbd70ed-d632-4e71-a5d5-d799ee5cd7eb}">
    <Anchor>
      <Comment id="{38a4b669-28fb-4c94-b5a5-e7fae7e61186}"/>
    </Anchor>
    <History>
      <Event time="2026-06-01T10:42:41.00" id="{1a779422-7132-4d60-baca-790c0a9edfec}">
        <Attribution userId="placeholder@email.com" userName="Hoàng Như Quốc Tấn (Influencer Team)" userProvider="google-sheets"/>
        <Anchor>
          <Comment id="{38a4b669-28fb-4c94-b5a5-e7fae7e61186}"/>
        </Anchor>
        <Create/>
      </Event>
      <Event time="2026-06-01T10:42:41.00" id="{ea17f613-cf6c-4873-b2c9-5c1fe662ded7}">
        <Attribution userId="placeholder@email.com" userName="Hoàng Như Quốc Tấn (Influencer Team)" userProvider="google-sheets"/>
        <Anchor>
          <Comment id="{38a4b669-28fb-4c94-b5a5-e7fae7e61186}"/>
        </Anchor>
        <Assign userId="thanhngan.le@pmax.com.vn" userName="thanhngan.le@pmax.com.vn" userProvider="google-sheets"/>
      </Event>
    </History>
  </Task>
  <Task id="{d40fd1e6-016d-491d-8102-93d06da9f972}">
    <Anchor>
      <Comment id="{b5ec548e-4cd4-4eee-9231-ab2865d40265}"/>
    </Anchor>
    <History>
      <Event time="2026-05-19T11:38:50.00" id="{bce4d4fd-b118-4a61-967e-a2471d8c2d9e}">
        <Attribution userId="placeholder@email.com" userName="Thanh Ngan Le (Account team)" userProvider="google-sheets"/>
        <Anchor>
          <Comment id="{b5ec548e-4cd4-4eee-9231-ab2865d40265}"/>
        </Anchor>
        <Create/>
      </Event>
      <Event time="2026-05-19T11:38:50.00" id="{4a3cd5e9-c0c1-40ef-922e-52d121b6b95a}">
        <Attribution userId="placeholder@email.com" userName="Thanh Ngan Le (Account team)" userProvider="google-sheets"/>
        <Anchor>
          <Comment id="{b5ec548e-4cd4-4eee-9231-ab2865d40265}"/>
        </Anchor>
        <Assign userId="quoctan.hoang@pmax.com.vn" userName="quoctan.hoang@pmax.com.vn" userProvider="google-sheets"/>
      </Event>
    </History>
  </Task>
  <Task id="{cd7f9fc4-8d93-4831-9af0-5c399ba9720b}">
    <Anchor>
      <Comment id="{7a79609d-2da7-4272-a1cf-444af04ce354}"/>
    </Anchor>
    <History>
      <Event time="2026-05-22T07:53:34.00" id="{c8672b60-937d-428f-8df6-24542a052895}">
        <Attribution userId="placeholder@email.com" userName="Hoàng Như Quốc Tấn (Influencer Team)" userProvider="google-sheets"/>
        <Anchor>
          <Comment id="{7a79609d-2da7-4272-a1cf-444af04ce354}"/>
        </Anchor>
        <Create/>
      </Event>
      <Event time="2026-05-22T07:53:34.00" id="{7fb4d48f-9b83-4d77-9f43-2b6c9a659495}">
        <Attribution userId="placeholder@email.com" userName="Hoàng Như Quốc Tấn (Influencer Team)" userProvider="google-sheets"/>
        <Anchor>
          <Comment id="{7a79609d-2da7-4272-a1cf-444af04ce354}"/>
        </Anchor>
        <Assign userId="thanhngan.le@pmax.com.vn" userName="thanhngan.le@pmax.com.vn" userProvider="google-sheets"/>
      </Event>
    </History>
  </Task>
  <Task id="{d95cef56-bfe1-4c3e-be42-eae21a0bbbf6}">
    <Anchor>
      <Comment id="{d4277bcc-1e58-4699-990d-f96309ea7cd8}"/>
    </Anchor>
    <History>
      <Event time="2026-05-22T07:54:22.00" id="{1da2a00e-4292-40f8-8558-6f580e3bb682}">
        <Attribution userId="placeholder@email.com" userName="Hoàng Như Quốc Tấn (Influencer Team)" userProvider="google-sheets"/>
        <Anchor>
          <Comment id="{d4277bcc-1e58-4699-990d-f96309ea7cd8}"/>
        </Anchor>
        <Create/>
      </Event>
      <Event time="2026-05-22T07:54:22.00" id="{123684b4-0237-4b6a-8bed-ee54a373e41b}">
        <Attribution userId="placeholder@email.com" userName="Hoàng Như Quốc Tấn (Influencer Team)" userProvider="google-sheets"/>
        <Anchor>
          <Comment id="{d4277bcc-1e58-4699-990d-f96309ea7cd8}"/>
        </Anchor>
        <Assign userId="thanhngan.le@pmax.com.vn" userName="thanhngan.le@pmax.com.vn" userProvider="google-sheets"/>
      </Event>
    </History>
  </Task>
  <Task id="{5e8ce053-0648-4ebc-b7fe-db1f62c44b0b}">
    <Anchor>
      <Comment id="{75b86234-7223-425b-8b0c-f91c7eebc4fb}"/>
    </Anchor>
    <History>
      <Event time="2026-05-26T03:30:05.00" id="{fc7cb5c2-76c7-4c0e-b497-279a036ad012}">
        <Attribution userId="placeholder@email.com" userName="Hoàng Như Quốc Tấn (Influencer Team)" userProvider="google-sheets"/>
        <Anchor>
          <Comment id="{75b86234-7223-425b-8b0c-f91c7eebc4fb}"/>
        </Anchor>
        <Create/>
      </Event>
      <Event time="2026-05-26T03:30:05.00" id="{d3b3cdf8-023b-4775-9224-df5b40388634}">
        <Attribution userId="placeholder@email.com" userName="Hoàng Như Quốc Tấn (Influencer Team)" userProvider="google-sheets"/>
        <Anchor>
          <Comment id="{75b86234-7223-425b-8b0c-f91c7eebc4fb}"/>
        </Anchor>
        <Assign userId="thanhngan.le@pmax.com.vn" userName="thanhngan.le@pmax.com.vn" userProvider="google-sheets"/>
      </Event>
    </History>
  </Task>
  <Task id="{9efcc575-6020-4a6f-a95f-fbedde8cd25a}">
    <Anchor>
      <Comment id="{694555b6-c997-46f6-9765-0e4b2833682f}"/>
    </Anchor>
    <History>
      <Event time="2026-06-08T03:33:53.00" id="{de9b2cb3-eeb1-4aa4-80cb-63142eda239f}">
        <Attribution userId="placeholder@email.com" userName="Hoàng Như Quốc Tấn (Influencer Team)" userProvider="google-sheets"/>
        <Anchor>
          <Comment id="{694555b6-c997-46f6-9765-0e4b2833682f}"/>
        </Anchor>
        <Create/>
      </Event>
      <Event time="2026-06-08T03:33:53.00" id="{f074a244-91f6-4aa4-bd5e-dc8cb4aab9b8}">
        <Attribution userId="placeholder@email.com" userName="Hoàng Như Quốc Tấn (Influencer Team)" userProvider="google-sheets"/>
        <Anchor>
          <Comment id="{694555b6-c997-46f6-9765-0e4b2833682f}"/>
        </Anchor>
        <Assign userId="thanhngan.le@pmax.com.vn" userName="thanhngan.le@pmax.com.vn" userProvider="google-sheets"/>
      </Event>
    </History>
  </Task>
  <Task id="{ac2468c0-e046-429a-9d21-ba87d5955231}">
    <Anchor>
      <Comment id="{429ca42e-4a7e-4f9a-b845-49f7e75d12e5}"/>
    </Anchor>
    <History>
      <Event time="2026-05-14T08:48:47.00" id="{de6dfd69-6f3a-4444-a675-2754e785aa91}">
        <Attribution userId="placeholder@email.com" userName="Hoàng Như Quốc Tấn (Influencer Team)" userProvider="google-sheets"/>
        <Anchor>
          <Comment id="{429ca42e-4a7e-4f9a-b845-49f7e75d12e5}"/>
        </Anchor>
        <Create/>
      </Event>
      <Event time="2026-05-14T08:48:47.00" id="{b244c128-f2e0-4b0d-a2b3-0fcf8800ff5b}">
        <Attribution userId="placeholder@email.com" userName="Hoàng Như Quốc Tấn (Influencer Team)" userProvider="google-sheets"/>
        <Anchor>
          <Comment id="{429ca42e-4a7e-4f9a-b845-49f7e75d12e5}"/>
        </Anchor>
        <Assign userId="thanhngan.le@pmax.com.vn" userName="thanhngan.le@pmax.com.vn" userProvider="google-sheets"/>
      </Event>
    </History>
  </Task>
  <Task id="{65394e19-177d-4824-98fc-42991cfabc6f}">
    <Anchor>
      <Comment id="{b16027f0-024f-4762-852a-5a078c1853af}"/>
    </Anchor>
    <History>
      <Event time="2026-06-08T03:29:23.00" id="{fc201b5f-a473-490a-9d64-1714dc13c037}">
        <Attribution userId="placeholder@email.com" userName="Hoàng Như Quốc Tấn (Influencer Team)" userProvider="google-sheets"/>
        <Anchor>
          <Comment id="{b16027f0-024f-4762-852a-5a078c1853af}"/>
        </Anchor>
        <Create/>
      </Event>
      <Event time="2026-06-08T03:29:23.00" id="{a28a73ac-26dc-4505-869a-fa313e0c3711}">
        <Attribution userId="placeholder@email.com" userName="Hoàng Như Quốc Tấn (Influencer Team)" userProvider="google-sheets"/>
        <Anchor>
          <Comment id="{b16027f0-024f-4762-852a-5a078c1853af}"/>
        </Anchor>
        <Assign userId="thanhngan.le@pmax.com.vn" userName="thanhngan.le@pmax.com.vn" userProvider="google-sheets"/>
      </Event>
    </History>
  </Task>
  <Task id="{a9e1bd84-b5d5-49a9-95e5-2abcffc85d04}">
    <Anchor>
      <Comment id="{d6b4d281-9a76-4ef4-9f8c-86ad8f6add14}"/>
    </Anchor>
    <History>
      <Event time="2026-05-19T04:16:41.00" id="{2f35d134-882f-4850-8a71-5a3616557cfe}">
        <Attribution userId="placeholder@email.com" userName="Hoàng Như Quốc Tấn (Influencer Team)" userProvider="google-sheets"/>
        <Anchor>
          <Comment id="{d6b4d281-9a76-4ef4-9f8c-86ad8f6add14}"/>
        </Anchor>
        <Create/>
      </Event>
      <Event time="2026-05-19T04:16:41.00" id="{1bc6b863-9766-494c-b2aa-cc9b33bfc448}">
        <Attribution userId="placeholder@email.com" userName="Hoàng Như Quốc Tấn (Influencer Team)" userProvider="google-sheets"/>
        <Anchor>
          <Comment id="{d6b4d281-9a76-4ef4-9f8c-86ad8f6add14}"/>
        </Anchor>
        <Assign userId="thanhngan.le@pmax.com.vn" userName="thanhngan.le@pmax.com.vn" userProvider="google-sheets"/>
      </Event>
    </History>
  </Task>
  <Task id="{6c3eb16c-bed2-4747-a20e-a94c1bda51a7}">
    <Anchor>
      <Comment id="{6bdac609-8489-41b8-bc01-e87fedf3a50f}"/>
    </Anchor>
    <History>
      <Event time="2026-05-14T08:48:38.00" id="{5b07fb37-9c33-4112-a815-f7d4592c2e2b}">
        <Attribution userId="placeholder@email.com" userName="Hoàng Như Quốc Tấn (Influencer Team)" userProvider="google-sheets"/>
        <Anchor>
          <Comment id="{6bdac609-8489-41b8-bc01-e87fedf3a50f}"/>
        </Anchor>
        <Create/>
      </Event>
      <Event time="2026-05-14T08:48:38.00" id="{da731425-fc41-42b7-9ba9-0b1fcebfff3e}">
        <Attribution userId="placeholder@email.com" userName="Hoàng Như Quốc Tấn (Influencer Team)" userProvider="google-sheets"/>
        <Anchor>
          <Comment id="{6bdac609-8489-41b8-bc01-e87fedf3a50f}"/>
        </Anchor>
        <Assign userId="thanhngan.le@pmax.com.vn" userName="thanhngan.le@pmax.com.vn" userProvider="google-sheets"/>
      </Event>
    </History>
  </Task>
  <Task id="{54bdc369-696b-443c-ab47-c32f267cd775}">
    <Anchor>
      <Comment id="{2748d1ba-6048-4d07-922f-bf830ca7ea70}"/>
    </Anchor>
    <History>
      <Event time="2026-06-03T07:25:32.00" id="{0f0a97c9-cd94-4900-b6eb-78ff1c2b196d}">
        <Attribution userId="placeholder@email.com" userName="Thai Ha Doan (Account)" userProvider="google-sheets"/>
        <Anchor>
          <Comment id="{2748d1ba-6048-4d07-922f-bf830ca7ea70}"/>
        </Anchor>
        <Create/>
      </Event>
      <Event time="2026-06-03T07:25:32.00" id="{65029a1f-7f22-4570-a9d4-b7cf293637d7}">
        <Attribution userId="placeholder@email.com" userName="Thai Ha Doan (Account)" userProvider="google-sheets"/>
        <Anchor>
          <Comment id="{2748d1ba-6048-4d07-922f-bf830ca7ea70}"/>
        </Anchor>
        <Assign userId="quoctan.hoang@pmax.com.vn" userName="quoctan.hoang@pmax.com.vn" userProvider="google-sheets"/>
      </Event>
    </History>
  </Task>
  <Task id="{d7794d32-2214-4c70-bcdd-57fe6bc6cf3e}">
    <Anchor>
      <Comment id="{f4df3f4d-9582-4e1b-98ce-ac4b5e8bfb4d}"/>
    </Anchor>
    <History>
      <Event time="2026-06-03T11:04:14.00" id="{47dde68c-8d58-4fd2-b079-181082ef6b1d}">
        <Attribution userId="placeholder@email.com" userName="Thanh Ngan Le (Account team)" userProvider="google-sheets"/>
        <Anchor>
          <Comment id="{f4df3f4d-9582-4e1b-98ce-ac4b5e8bfb4d}"/>
        </Anchor>
        <Create/>
      </Event>
      <Event time="2026-06-03T11:04:14.00" id="{26634f92-4064-46f2-8a5a-df96f7799f09}">
        <Attribution userId="placeholder@email.com" userName="Thanh Ngan Le (Account team)" userProvider="google-sheets"/>
        <Anchor>
          <Comment id="{f4df3f4d-9582-4e1b-98ce-ac4b5e8bfb4d}"/>
        </Anchor>
        <Assign userId="quoctan.hoang@pmax.com.vn" userName="quoctan.hoang@pmax.com.vn" userProvider="google-sheets"/>
      </Event>
    </History>
  </Task>
  <Task id="{5b6c55b0-fd78-47f4-9c10-364d69aa83c5}">
    <Anchor>
      <Comment id="{daba2eb4-a364-472b-869c-1e5e35ed4188}"/>
    </Anchor>
    <History>
      <Event time="2026-06-08T03:33:59.00" id="{386b5d02-dc24-47a3-a74b-1a5fe795b982}">
        <Attribution userId="placeholder@email.com" userName="Hoàng Như Quốc Tấn (Influencer Team)" userProvider="google-sheets"/>
        <Anchor>
          <Comment id="{daba2eb4-a364-472b-869c-1e5e35ed4188}"/>
        </Anchor>
        <Create/>
      </Event>
      <Event time="2026-06-08T03:33:59.00" id="{13cc3c0d-cad3-4dd1-89ea-7197eb056d61}">
        <Attribution userId="placeholder@email.com" userName="Hoàng Như Quốc Tấn (Influencer Team)" userProvider="google-sheets"/>
        <Anchor>
          <Comment id="{daba2eb4-a364-472b-869c-1e5e35ed4188}"/>
        </Anchor>
        <Assign userId="thanhngan.le@pmax.com.vn" userName="thanhngan.le@pmax.com.vn" userProvider="google-sheets"/>
      </Event>
    </History>
  </Task>
  <Task id="{13aa0287-07ef-4d45-9c51-0af1007dfd60}">
    <Anchor>
      <Comment id="{18fb0efd-9469-464d-a1cc-bd3ac0ede6e4}"/>
    </Anchor>
    <History>
      <Event time="2026-05-20T11:31:58.00" id="{92c7be16-a31e-4c1b-aec6-40972374e82c}">
        <Attribution userId="placeholder@email.com" userName="Thanh Ngan Le (Account team)" userProvider="google-sheets"/>
        <Anchor>
          <Comment id="{18fb0efd-9469-464d-a1cc-bd3ac0ede6e4}"/>
        </Anchor>
        <Create/>
      </Event>
      <Event time="2026-05-20T11:31:58.00" id="{acfdc4f3-a3b5-4c8e-be28-9f9d69ef8f07}">
        <Attribution userId="placeholder@email.com" userName="Thanh Ngan Le (Account team)" userProvider="google-sheets"/>
        <Anchor>
          <Comment id="{18fb0efd-9469-464d-a1cc-bd3ac0ede6e4}"/>
        </Anchor>
        <Assign userId="quoctan.hoang@pmax.com.vn" userName="quoctan.hoang@pmax.com.vn" userProvider="google-sheets"/>
      </Event>
    </History>
  </Task>
  <Task id="{22e02a98-9ffb-4b0d-b48a-6c8f5aaa7540}">
    <Anchor>
      <Comment id="{448cef17-cb8b-484a-b15a-03a028cf32ac}"/>
    </Anchor>
    <History>
      <Event time="2026-06-03T08:07:06.00" id="{ddd3608d-b4da-4822-a3f0-55ebd65c7ba0}">
        <Attribution userId="placeholder@email.com" userName="Thai Ha Doan (Account)" userProvider="google-sheets"/>
        <Anchor>
          <Comment id="{448cef17-cb8b-484a-b15a-03a028cf32ac}"/>
        </Anchor>
        <Create/>
      </Event>
      <Event time="2026-06-03T08:07:06.00" id="{23524553-f6c1-41b6-aac2-611088141afe}">
        <Attribution userId="placeholder@email.com" userName="Thai Ha Doan (Account)" userProvider="google-sheets"/>
        <Anchor>
          <Comment id="{448cef17-cb8b-484a-b15a-03a028cf32ac}"/>
        </Anchor>
        <Assign userId="quoctan.hoang@pmax.com.vn" userName="quoctan.hoang@pmax.com.vn" userProvider="google-sheets"/>
      </Event>
    </History>
  </Task>
  <Task id="{18789aa9-6e8a-4127-8cd3-8d0704896576}">
    <Anchor>
      <Comment id="{cdeae657-fd69-4970-b15a-0123afe9c82c}"/>
    </Anchor>
    <History>
      <Event time="2026-06-03T08:09:20.00" id="{3958e31b-8e23-4bfe-b833-e9fe1da2bfa9}">
        <Attribution userId="placeholder@email.com" userName="Thai Ha Doan (Account)" userProvider="google-sheets"/>
        <Anchor>
          <Comment id="{cdeae657-fd69-4970-b15a-0123afe9c82c}"/>
        </Anchor>
        <Create/>
      </Event>
      <Event time="2026-06-03T08:09:20.00" id="{2fbfe701-9880-4f6e-b52e-1c8ed333413e}">
        <Attribution userId="placeholder@email.com" userName="Thai Ha Doan (Account)" userProvider="google-sheets"/>
        <Anchor>
          <Comment id="{cdeae657-fd69-4970-b15a-0123afe9c82c}"/>
        </Anchor>
        <Assign userId="quoctan.hoang@pmax.com.vn" userName="quoctan.hoang@pmax.com.vn" userProvider="google-sheets"/>
      </Event>
    </History>
  </Task>
  <Task id="{f85b054a-220b-4537-a415-3cc7f8b957b5}">
    <Anchor>
      <Comment id="{3c66e5bf-a7d2-4064-b75e-3da9ed055c6c}"/>
    </Anchor>
    <History>
      <Event time="2026-06-07T15:02:26.00" id="{d314b3de-163a-4144-b8eb-65c7662544f8}">
        <Attribution userId="placeholder@email.com" userName="Thai Ha Doan (Account)" userProvider="google-sheets"/>
        <Anchor>
          <Comment id="{3c66e5bf-a7d2-4064-b75e-3da9ed055c6c}"/>
        </Anchor>
        <Create/>
      </Event>
      <Event time="2026-06-07T15:02:26.00" id="{bc3624e4-fac1-4483-a73b-c03f0b8fc078}">
        <Attribution userId="placeholder@email.com" userName="Thai Ha Doan (Account)" userProvider="google-sheets"/>
        <Anchor>
          <Comment id="{3c66e5bf-a7d2-4064-b75e-3da9ed055c6c}"/>
        </Anchor>
        <Assign userId="quoctan.hoang@pmax.com.vn" userName="quoctan.hoang@pmax.com.vn" userProvider="google-sheets"/>
      </Event>
    </History>
  </Task>
  <Task id="{30dd6d83-157f-443e-98ef-095ad47f6661}">
    <Anchor>
      <Comment id="{411e0caf-27fe-4016-8ce7-0f57781ccafd}"/>
    </Anchor>
    <History>
      <Event time="2026-06-03T08:05:40.00" id="{2cd2c12f-43de-4c23-b7d8-82e27dc51183}">
        <Attribution userId="placeholder@email.com" userName="Hoàng Như Quốc Tấn (Influencer Team)" userProvider="google-sheets"/>
        <Anchor>
          <Comment id="{411e0caf-27fe-4016-8ce7-0f57781ccafd}"/>
        </Anchor>
        <Create/>
      </Event>
      <Event time="2026-06-03T08:05:40.00" id="{ed889871-65e4-4536-8827-b5973d185373}">
        <Attribution userId="placeholder@email.com" userName="Hoàng Như Quốc Tấn (Influencer Team)" userProvider="google-sheets"/>
        <Anchor>
          <Comment id="{411e0caf-27fe-4016-8ce7-0f57781ccafd}"/>
        </Anchor>
        <Assign userId="thanhngan.le@pmax.com.vn" userName="thanhngan.le@pmax.com.vn"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4ff5577b-205d-4da3-abe5-d020a07d8655}">
    <Anchor>
      <Comment id="{e5024d4c-f0c3-4502-b9b8-fcd5deb3388a}"/>
    </Anchor>
    <History>
      <Event time="2026-04-15T05:16:57.00" id="{a4d73a39-fa3a-43c9-8cf1-8ee91ed23659}">
        <Attribution userId="placeholder@email.com" userName="Như Lê (Sr. Account Executive)" userProvider="google-sheets"/>
        <Anchor>
          <Comment id="{e5024d4c-f0c3-4502-b9b8-fcd5deb3388a}"/>
        </Anchor>
        <Create/>
      </Event>
      <Event time="2026-04-15T05:16:57.00" id="{19cc7b6d-a786-460d-b9a9-e5edff44d83b}">
        <Attribution userId="placeholder@email.com" userName="Như Lê (Sr. Account Executive)" userProvider="google-sheets"/>
        <Anchor>
          <Comment id="{e5024d4c-f0c3-4502-b9b8-fcd5deb3388a}"/>
        </Anchor>
        <Assign userId="thanhngan.le@pmax.com.vn" userName="thanhngan.le@pmax.com.vn" userProvider="google-sheets"/>
      </Event>
    </History>
  </Task>
</Tasks>
</file>

<file path=xl/documenttasks/documenttask5.xml><?xml version="1.0" encoding="utf-8"?>
<Tasks xmlns="http://schemas.microsoft.com/office/tasks/2019/documenttasks">
  <Task id="{fccc2ccd-ed35-44f6-97f5-d1ab60b1c145}">
    <Anchor>
      <Comment id="{1a680c81-cb28-4af3-9540-ec47b60205e9}"/>
    </Anchor>
    <History>
      <Event time="2026-05-08T12:11:45.00" id="{76781061-bd27-4c2c-b38c-7379d5bc0535}">
        <Attribution userId="placeholder@email.com" userName="Thanh Ngan Le (Account team)" userProvider="google-sheets"/>
        <Anchor>
          <Comment id="{1a680c81-cb28-4af3-9540-ec47b60205e9}"/>
        </Anchor>
        <Create/>
      </Event>
      <Event time="2026-05-08T12:11:45.00" id="{e11d1e54-91d0-4bac-84ae-7caed060f5b5}">
        <Attribution userId="placeholder@email.com" userName="Thanh Ngan Le (Account team)" userProvider="google-sheets"/>
        <Anchor>
          <Comment id="{1a680c81-cb28-4af3-9540-ec47b60205e9}"/>
        </Anchor>
        <Assign userId="quoctan.hoang@pmax.com.vn" userName="quoctan.hoang@pmax.com.vn" userProvider="google-sheets"/>
      </Event>
    </History>
  </Task>
</Tasks>
</file>

<file path=xl/documenttasks/documenttask6.xml><?xml version="1.0" encoding="utf-8"?>
<Tasks xmlns="http://schemas.microsoft.com/office/tasks/2019/documenttasks">
  <Task id="{a8b5dd5d-be4a-4182-bb3f-f5cdf319ebb6}">
    <Anchor>
      <Comment id="{20ee0859-6e60-4ed6-8ef2-33d87370fa81}"/>
    </Anchor>
    <History>
      <Event time="2026-06-08T07:54:38.00" id="{83845e16-c750-4b39-b667-042be0e95154}">
        <Attribution userId="placeholder@email.com" userName="Quang Võ" userProvider="google-sheets"/>
        <Anchor>
          <Comment id="{20ee0859-6e60-4ed6-8ef2-33d87370fa81}"/>
        </Anchor>
        <Create/>
      </Event>
      <Event time="2026-06-08T07:54:38.00" id="{0ab66d50-439b-46f6-9d6c-7b70383b4ba2}">
        <Attribution userId="placeholder@email.com" userName="Quang Võ" userProvider="google-sheets"/>
        <Anchor>
          <Comment id="{20ee0859-6e60-4ed6-8ef2-33d87370fa81}"/>
        </Anchor>
        <Assign userId="quoctan.hoang@pmax.com.vn" userName="quoctan.hoang@pmax.com.vn" userProvider="google-sheets"/>
      </Event>
    </History>
  </Task>
</Tasks>
</file>

<file path=xl/documenttasks/documenttask7.xml><?xml version="1.0" encoding="utf-8"?>
<Tasks xmlns="http://schemas.microsoft.com/office/tasks/2019/documenttasks">
  <Task id="{f73a26f4-05cf-4c2c-b986-bc568051dbd7}">
    <Anchor>
      <Comment id="{ceaa2972-47cf-459f-b0ab-75393c028820}"/>
    </Anchor>
    <History>
      <Event time="2026-05-18T11:59:55.00" id="{445d6e6c-770e-4eec-b192-0b288bfce26a}">
        <Attribution userId="placeholder@email.com" userName="Thanh Ngan Le (Account team)" userProvider="google-sheets"/>
        <Anchor>
          <Comment id="{ceaa2972-47cf-459f-b0ab-75393c028820}"/>
        </Anchor>
        <Create/>
      </Event>
      <Event time="2026-05-18T11:59:55.00" id="{2d25dd41-b9be-4d31-8fd9-27f0640d60e2}">
        <Attribution userId="placeholder@email.com" userName="Thanh Ngan Le (Account team)" userProvider="google-sheets"/>
        <Anchor>
          <Comment id="{ceaa2972-47cf-459f-b0ab-75393c028820}"/>
        </Anchor>
        <Assign userId="quoctan.hoang@pmax.com.vn" userName="quoctan.hoang@pmax.com.vn"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ai Ha Doan (Account)" id="{da6e6322-a5a8-4341-a038-83f3cd504479}" providerId="google-sheets"/>
  <x18tc:person displayName="quoctan.hoang@pmax.com.vn" id="{b48cb73e-0651-43f8-9972-5d0699cde47a}" userId="quoctan.hoang@pmax.com.vn" providerId="google-sheets"/>
  <x18tc:person displayName="Hoàng Như Quốc Tấn (Influencer Team)" id="{aaeedc4c-d628-4e6a-888e-5003435b31f9}" providerId="google-sheets"/>
  <x18tc:person displayName="thaiha.doan@pmax.com.vn" id="{09fec8b6-771b-4c05-97b1-78dc22dbd494}" userId="thaiha.doan@pmax.com.vn" providerId="google-sheets"/>
  <x18tc:person displayName="Như Lê (Sr. Account Executive)" id="{4cc24f7b-3490-4c63-8139-3177019d9f13}" providerId="google-sheets"/>
  <x18tc:person displayName="thanhngan.le@pmax.com.vn" id="{0ef3a09f-575c-4f4c-a9a9-a62dcda2236b}" userId="thanhngan.le@pmax.com.vn" providerId="google-sheets"/>
  <x18tc:person displayName="Quang Võ" id="{f821b470-037a-4e32-b2cd-de8fb6f74664}" providerId="google-sheets"/>
  <x18tc:person displayName="Thanh Ngan Le (Account team)" id="{5be54148-8bdf-4e96-a0e0-110f443abc89}" providerId="google-sheets"/>
</x18tc:personList>
</file>

<file path=xl/tables/table1.xml><?xml version="1.0" encoding="utf-8"?>
<table xmlns="http://schemas.openxmlformats.org/spreadsheetml/2006/main" ref="J65:J94" displayName="Table1" name="Table1" id="1">
  <tableColumns count="1">
    <tableColumn name="Column 1" id="1"/>
  </tableColumns>
  <tableStyleInfo name="INT | Influencer Execution Tra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20T07:45:58.00" personId="{aaeedc4c-d628-4e6a-888e-5003435b31f9}" id="{838848d1-4a59-466f-af20-c54c9f8f1de1}" done="1">
    <x18tc:text xml:space="preserve">há lu chị @thanhngan.le@pmax.com.vn em update
Assigned to thanhngan.le@pmax.com.vn</x18tc:text>
    <x18tc:mentions>
      <x18tc:mention mentionpersonId="{0ef3a09f-575c-4f4c-a9a9-a62dcda2236b}" mentionId="{ed005b0f-d2d5-4d7d-9720-25d6d377b8e3}" startIndex="10" length="25"/>
    </x18tc:mentions>
  </x18tc:threadedComment>
  <x18tc:threadedComment ref="A1" dT="2026-05-08T09:53:15.00" personId="{aaeedc4c-d628-4e6a-888e-5003435b31f9}" id="{74fa867c-9b34-4223-886b-1afc81b7775e}" done="1">
    <x18tc:text xml:space="preserve">duyệt</x18tc:text>
  </x18tc:threadedComment>
  <x18tc:threadedComment ref="A1" dT="2026-05-28T06:11:56.00" personId="{aaeedc4c-d628-4e6a-888e-5003435b31f9}" id="{0bdaafe5-e4be-4449-a7ce-207537b5824f}" done="1">
    <x18tc:text xml:space="preserve">em update demo nhen chị @thanhngan.le@pmax.com.vn
Assigned to thanhngan.le@pmax.com.vn</x18tc:text>
    <x18tc:mentions>
      <x18tc:mention mentionpersonId="{0ef3a09f-575c-4f4c-a9a9-a62dcda2236b}" mentionId="{d127fdf8-6a96-4574-840d-2e4f6a93d053}" startIndex="24" length="25"/>
    </x18tc:mentions>
  </x18tc:threadedComment>
  <x18tc:threadedComment ref="A1" dT="2026-06-04T07:07:34.00" personId="{da6e6322-a5a8-4341-a038-83f3cd504479}" id="{91273025-c8db-43ba-909b-80d377d67c88}" done="1">
    <x18tc:text xml:space="preserve">bạn này cũng nhầm link với bạn 13. Chu Cao Food nè Tấn, check lại nhaa @quoctan.hoang@pmax.com.vn
Assigned to quoctan.hoang@pmax.com.vn</x18tc:text>
    <x18tc:mentions>
      <x18tc:mention mentionpersonId="{b48cb73e-0651-43f8-9972-5d0699cde47a}" mentionId="{616560c4-b785-4d4b-b46f-9650034d9fda}" startIndex="71" length="26"/>
    </x18tc:mentions>
  </x18tc:threadedComment>
  <x18tc:threadedComment ref="A1" dT="2026-06-04T13:12:36.00" personId="{aaeedc4c-d628-4e6a-888e-5003435b31f9}" id="{6c965d44-4a89-48f2-8933-4b9f484ce1ed}" parentId="{91273025-c8db-43ba-909b-80d377d67c88}">
    <x18tc:text xml:space="preserve">Hi Hà ơi update lại rùi nhen
1 total reaction
Thai Ha Doan (Account) reacted with 🥰 at 2026-06-04 13:14 PM</x18tc:text>
  </x18tc:threadedComment>
  <x18tc:threadedComment ref="A1" dT="2026-06-04T07:02:05.00" personId="{da6e6322-a5a8-4341-a038-83f3cd504479}" id="{b332041d-118f-496e-a2e5-2314ad182d25}" done="1">
    <x18tc:text xml:space="preserve">sao link final demo của bạn này lại giống link final của bạn 13. Chu Cao Food thế Tấn ơi, Tấn check lại nha thankyouu @quoctan.hoang@pmax.com.vn
Assigned to quoctan.hoang@pmax.com.vn</x18tc:text>
    <x18tc:mentions>
      <x18tc:mention mentionpersonId="{b48cb73e-0651-43f8-9972-5d0699cde47a}" mentionId="{e01795f9-fcc4-4128-8ae5-938b4bafe0b3}" startIndex="118" length="26"/>
    </x18tc:mentions>
  </x18tc:threadedComment>
  <x18tc:threadedComment ref="A1" dT="2026-06-04T13:12:29.00" personId="{aaeedc4c-d628-4e6a-888e-5003435b31f9}" id="{96afb2c3-9a1c-438c-9433-973e41e76f1e}" parentId="{b332041d-118f-496e-a2e5-2314ad182d25}">
    <x18tc:text xml:space="preserve">hi Hà ơi update lại rùi nhen
1 total reaction
Thai Ha Doan (Account) reacted with 🥰 at 2026-06-04 13:13 PM</x18tc:text>
  </x18tc:threadedComment>
  <x18tc:threadedComment ref="A1" dT="2026-04-25T12:37:43.00" personId="{aaeedc4c-d628-4e6a-888e-5003435b31f9}" id="{23d513ee-2ec5-402b-a33e-ce294b54b491}" done="0">
    <x18tc:text xml:space="preserve">đợi check lại giá</x18tc:text>
  </x18tc:threadedComment>
  <x18tc:threadedComment ref="A1" dT="2026-05-25T09:56:31.00" personId="{aaeedc4c-d628-4e6a-888e-5003435b31f9}" id="{196a19da-4e97-4e7e-a498-3e62c4a6e053}" done="1">
    <x18tc:text xml:space="preserve">mom ơi hỗ trợ em push nhen @thanhngan.le@pmax.com.vn
1 total reaction
Thanh Ngan Le (Account team) reacted with 😘 at 2026-05-25 11:29 AM
Assigned to thanhngan.le@pmax.com.vn</x18tc:text>
    <x18tc:mentions>
      <x18tc:mention mentionpersonId="{0ef3a09f-575c-4f4c-a9a9-a62dcda2236b}" mentionId="{c6e3cfa2-e137-4cae-822c-67c1977935cf}" startIndex="27" length="25"/>
    </x18tc:mentions>
  </x18tc:threadedComment>
  <x18tc:threadedComment ref="A1" dT="2026-05-18T04:15:10.00" personId="{aaeedc4c-d628-4e6a-888e-5003435b31f9}" id="{e04278af-a3f9-4f31-bc85-0aacced977b9}" done="0">
    <x18tc:text xml:space="preserve">em update demo Lulu @thanhngan.le@pmax.com.vn
1 total reaction
Thanh Ngan Le (Account team) reacted with 🩷 at 2026-05-18 04:20 AM
Assigned to thanhngan.le@pmax.com.vn</x18tc:text>
    <x18tc:mentions>
      <x18tc:mention mentionpersonId="{0ef3a09f-575c-4f4c-a9a9-a62dcda2236b}" mentionId="{e9f2e4bc-e078-46ce-9257-5188929422ce}" startIndex="20" length="25"/>
    </x18tc:mentions>
  </x18tc:threadedComment>
  <x18tc:threadedComment ref="A1" dT="2026-05-19T04:50:32.00" personId="{5be54148-8bdf-4e96-a0e0-110f443abc89}" id="{b465fbc7-0b65-40fe-82e2-4c4a7fba91c0}" done="0">
    <x18tc:text xml:space="preserve">c input leadtime dựa trên lúc có feedbacks nha
@quoctan.hoang@pmax.com.vn</x18tc:text>
    <x18tc:mentions>
      <x18tc:mention mentionpersonId="{b48cb73e-0651-43f8-9972-5d0699cde47a}" mentionId="{16d3abfa-1b0a-40d6-a465-571bd594f217}" startIndex="47" length="26"/>
    </x18tc:mentions>
  </x18tc:threadedComment>
  <x18tc:threadedComment ref="A1" dT="2026-06-04T16:57:06.00" personId="{da6e6322-a5a8-4341-a038-83f3cd504479}" id="{a627bbae-0baf-4bd1-aaac-ee48b1764b50}" done="1">
    <x18tc:text xml:space="preserve">cam: đã chuyển EXT</x18tc:text>
  </x18tc:threadedComment>
  <x18tc:threadedComment ref="A1" dT="2026-05-13T05:20:45.00" personId="{5be54148-8bdf-4e96-a0e0-110f443abc89}" id="{1b61b089-ad59-4b08-9042-7cc86a477399}" done="0">
    <x18tc:text xml:space="preserve">dời sau 15/5</x18tc:text>
  </x18tc:threadedComment>
  <x18tc:threadedComment ref="A1" dT="2026-05-14T09:01:08.00" personId="{aaeedc4c-d628-4e6a-888e-5003435b31f9}" id="{27f47d88-e121-42fa-aafa-1d160c571696}" parentId="{1b61b089-ad59-4b08-9042-7cc86a477399}">
    <x18tc:text xml:space="preserve">đã đủ thông tin, quay 17 (chủ nhật)</x18tc:text>
  </x18tc:threadedComment>
  <x18tc:threadedComment ref="A1" dT="2026-05-15T07:56:35.00" personId="{aaeedc4c-d628-4e6a-888e-5003435b31f9}" id="{67478452-7bc5-4588-9800-be3dcff8cf2c}" parentId="{1b61b089-ad59-4b08-9042-7cc86a477399}">
    <x18tc:text xml:space="preserve">em mới uodate lại địa chỉ nhen chị @thanhngan.le@pmax.com.vn</x18tc:text>
    <x18tc:mentions>
      <x18tc:mention mentionpersonId="{0ef3a09f-575c-4f4c-a9a9-a62dcda2236b}" mentionId="{e00cabf9-84b5-4776-a9df-8d300d5705fa}" startIndex="35" length="25"/>
    </x18tc:mentions>
  </x18tc:threadedComment>
  <x18tc:threadedComment ref="A1" dT="2026-05-14T05:13:04.00" personId="{5be54148-8bdf-4e96-a0e0-110f443abc89}" id="{84a2c940-e6d7-4f90-aa31-cf4ec5a5168c}" done="0">
    <x18tc:text xml:space="preserve">check script 2 bạn này nha, Phương đi chill còn cần revise nè @quoctan.hoang@pmax.com.vn
Assigned to quoctan.hoang@pmax.com.vn</x18tc:text>
    <x18tc:mentions>
      <x18tc:mention mentionpersonId="{b48cb73e-0651-43f8-9972-5d0699cde47a}" mentionId="{1f23a690-9e0a-4931-a627-a9afe64239db}" startIndex="62" length="26"/>
    </x18tc:mentions>
  </x18tc:threadedComment>
  <x18tc:threadedComment ref="A1" dT="2026-05-15T07:52:52.00" personId="{aaeedc4c-d628-4e6a-888e-5003435b31f9}" id="{cc8a76fb-4d54-4ffe-9184-2faed2dbb282}" parentId="{84a2c940-e6d7-4f90-aa31-cf4ec5a5168c}">
    <x18tc:text xml:space="preserve">ukkiela em đang dí</x18tc:text>
  </x18tc:threadedComment>
  <x18tc:threadedComment ref="A1" dT="2026-05-22T07:24:10.00" personId="{aaeedc4c-d628-4e6a-888e-5003435b31f9}" id="{ed8eccd9-9021-496f-b602-87122d47a47e}" done="1">
    <x18tc:text xml:space="preserve">em chưa thấy feedback nữa chị push mạnh giúp em với chứ thấy đầu feedback stuck qué nè @thanhngan.le@pmax.com.vn
Assigned to thanhngan.le@pmax.com.vn</x18tc:text>
    <x18tc:mentions>
      <x18tc:mention mentionpersonId="{0ef3a09f-575c-4f4c-a9a9-a62dcda2236b}" mentionId="{34e2b7ea-ce9e-4067-8055-d35b8e51f357}" startIndex="87" length="25"/>
    </x18tc:mentions>
  </x18tc:threadedComment>
  <x18tc:threadedComment ref="A1" dT="2026-06-04T16:55:36.00" personId="{da6e6322-a5a8-4341-a038-83f3cd504479}" id="{d3cc25ac-a01c-43ce-9463-08bb80bdbe83}" done="1">
    <x18tc:text xml:space="preserve">đã chuyển</x18tc:text>
  </x18tc:threadedComment>
  <x18tc:threadedComment ref="A1" dT="2026-05-12T09:48:15.00" personId="{5be54148-8bdf-4e96-a0e0-110f443abc89}" id="{7c745b9a-e842-4068-83e6-d8d685256616}" done="1">
    <x18tc:text xml:space="preserve">chưa có Script round 2 - pending mai quay nha</x18tc:text>
  </x18tc:threadedComment>
  <x18tc:threadedComment ref="A1" dT="2026-05-22T07:54:40.00" personId="{aaeedc4c-d628-4e6a-888e-5003435b31f9}" id="{a5e6400d-d73c-4dbb-9d5d-23eb5a18ae04}" done="1">
    <x18tc:text xml:space="preserve">có feedback chưa chị ui</x18tc:text>
  </x18tc:threadedComment>
  <x18tc:threadedComment ref="A1" dT="2026-06-01T09:14:20.00" personId="{da6e6322-a5a8-4341-a038-83f3cd504479}" id="{68b9a317-497b-4776-9c6c-dd949f5897f8}" done="0">
    <x18tc:text xml:space="preserve">@quoctan.hoang@pmax.com.vn check giúp em 2 link demo R1 + R2 của bạn này giống nhau ạ
Assigned to quoctan.hoang@pmax.com.vn</x18tc:text>
    <x18tc:mentions>
      <x18tc:mention mentionpersonId="{b48cb73e-0651-43f8-9972-5d0699cde47a}" mentionId="{bce3f1d5-5b86-4251-b339-d3da5ba89027}" startIndex="0" length="26"/>
    </x18tc:mentions>
  </x18tc:threadedComment>
  <x18tc:threadedComment ref="A1" dT="2026-06-01T09:16:28.00" personId="{aaeedc4c-d628-4e6a-888e-5003435b31f9}" id="{b6cea40c-5185-4d28-bca6-2bb631c533eb}" parentId="{68b9a317-497b-4776-9c6c-dd949f5897f8}">
    <x18tc:text xml:space="preserve">bạn sẽ update video round trong cùng link drive và xoá link cũ nhe @thaiha.doan@pmax.com.vn
Reassigned to thaiha.doan@pmax.com.vn</x18tc:text>
    <x18tc:mentions>
      <x18tc:mention mentionpersonId="{09fec8b6-771b-4c05-97b1-78dc22dbd494}" mentionId="{18ed9826-2c27-49cd-89e8-c5de29f40810}" startIndex="67" length="24"/>
    </x18tc:mentions>
  </x18tc:threadedComment>
  <x18tc:threadedComment ref="A1" dT="2026-06-01T09:18:41.00" personId="{da6e6322-a5a8-4341-a038-83f3cd504479}" id="{db822fdb-bab0-4df7-a7cf-c499de6ffdcb}" parentId="{68b9a317-497b-4776-9c6c-dd949f5897f8}">
    <x18tc:text xml:space="preserve">vậy nào bạn có update demo R2 anh notify em với nha ạ, tại để link ở đây em tưởng bạn có demo round 2 mới rồi dễ bị nhầm ý ạ 
thankyou anh @quoctan.hoang@pmax.com.vn
Reassigned to quoctan.hoang@pmax.com.vn</x18tc:text>
    <x18tc:mentions>
      <x18tc:mention mentionpersonId="{b48cb73e-0651-43f8-9972-5d0699cde47a}" mentionId="{46c171ac-8bc0-4575-8126-d22e1120d13b}" startIndex="139" length="26"/>
    </x18tc:mentions>
  </x18tc:threadedComment>
  <x18tc:threadedComment ref="A1" dT="2026-06-01T10:25:56.00" personId="{aaeedc4c-d628-4e6a-888e-5003435b31f9}" id="{0e1fc273-2be0-47ae-a56c-098050525fa4}" parentId="{68b9a317-497b-4776-9c6c-dd949f5897f8}">
    <x18tc:text xml:space="preserve">ủa là round 2 rùi á</x18tc:text>
  </x18tc:threadedComment>
  <x18tc:threadedComment ref="A1" dT="2026-05-07T09:22:46.00" personId="{5be54148-8bdf-4e96-a0e0-110f443abc89}" id="{a92c73d7-f259-4f58-b0b8-e94637b80633}" done="1">
    <x18tc:text xml:space="preserve">@quoctan.hoang@pmax.com.vn ui s c k copy được hình ta
Assigned to quoctan.hoang@pmax.com.vn</x18tc:text>
    <x18tc:mentions>
      <x18tc:mention mentionpersonId="{b48cb73e-0651-43f8-9972-5d0699cde47a}" mentionId="{dd419e42-26f5-47e5-884b-c632022fcade}" startIndex="0" length="26"/>
    </x18tc:mentions>
  </x18tc:threadedComment>
  <x18tc:threadedComment ref="A1" dT="2026-05-07T09:25:27.00" personId="{aaeedc4c-d628-4e6a-888e-5003435b31f9}" id="{6f4b1683-6e16-4e2a-a7e5-af143b1eaaba}" parentId="{a92c73d7-f259-4f58-b0b8-e94637b80633}">
    <x18tc:text xml:space="preserve">thường em phải chụp màn hình :))) em k hiểu sao cái gg sheet nó bị khờ
1 total reaction
Thanh Ngan Le (Account team) reacted with 😅 at 2026-05-07 09:25 AM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40" dT="2026-05-22T10:12:24.00" personId="{aaeedc4c-d628-4e6a-888e-5003435b31f9}" id="{c825dbf4-b218-444a-9020-0bf8b858a7bc}" done="1">
    <x18tc:text xml:space="preserve">em update nhen chị @thanhngan.le@pmax.com.vn
Assigned to thanhngan.le@pmax.com.vn</x18tc:text>
    <x18tc:mentions>
      <x18tc:mention mentionpersonId="{0ef3a09f-575c-4f4c-a9a9-a62dcda2236b}" mentionId="{c1377ff4-afea-4f83-8812-97c57da4926f}" startIndex="19" length="25"/>
    </x18tc:mentions>
  </x18tc:threadedComment>
  <x18tc:threadedComment ref="X40" dT="2026-05-22T10:14:36.00" personId="{5be54148-8bdf-4e96-a0e0-110f443abc89}" id="{1ce930c6-4138-4aec-b9f4-4c1516b2e8e2}" parentId="{c825dbf4-b218-444a-9020-0bf8b858a7bc}">
    <x18tc:text xml:space="preserve">không duyệt 45 luôn á Tấn ơi, với xin thêm hình nha bạn này ít hình quá</x18tc:text>
  </x18tc:threadedComment>
  <x18tc:threadedComment ref="I6" dT="2026-05-12T08:44:28.00" personId="{aaeedc4c-d628-4e6a-888e-5003435b31f9}" id="{7d278e42-9ec5-4f59-9cc5-8891e6e65a61}" done="0">
    <x18tc:text xml:space="preserve">bạn lulu này em chưa thấy confirm outfit nữa, hong biết em có bị miss hong ta</x18tc:text>
  </x18tc:threadedComment>
  <x18tc:threadedComment ref="I6" dT="2026-05-12T08:44:33.00" personId="{aaeedc4c-d628-4e6a-888e-5003435b31f9}" id="{a6d22101-3b2f-4658-a399-65aab37fba04}" parentId="{7d278e42-9ec5-4f59-9cc5-8891e6e65a61}">
    <x18tc:text xml:space="preserve">@thanhngan.le@pmax.com.vn</x18tc:text>
    <x18tc:mentions>
      <x18tc:mention mentionpersonId="{0ef3a09f-575c-4f4c-a9a9-a62dcda2236b}" mentionId="{f954587d-9c2f-4afe-af20-07b6c2f5bcfb}" startIndex="0" length="25"/>
    </x18tc:mentions>
  </x18tc:threadedComment>
  <x18tc:threadedComment ref="Z6" dT="2026-05-22T07:15:59.00" personId="{aaeedc4c-d628-4e6a-888e-5003435b31f9}" id="{12bcfa57-9f09-4be0-8afc-0db80a7d848f}" done="1">
    <x18tc:text xml:space="preserve">chị @thanhngan.le@pmax.com.vn clarify giúp em next step con này với, là sẽ giữ lại voice cũ và thêm text phải không. Như vậy thì các bạn sẽ khó chịu á nhen
Assigned to thanhngan.le@pmax.com.vn</x18tc:text>
    <x18tc:mentions>
      <x18tc:mention mentionpersonId="{0ef3a09f-575c-4f4c-a9a9-a62dcda2236b}" mentionId="{1a9161be-5d19-4a87-9d69-cdbae98f2424}" startIndex="4" length="25"/>
    </x18tc:mentions>
  </x18tc:threadedComment>
  <x18tc:threadedComment ref="Z6" dT="2026-05-22T07:17:07.00" personId="{5be54148-8bdf-4e96-a0e0-110f443abc89}" id="{46d1292d-4aff-4729-b54b-9dd880e9f677}" parentId="{12bcfa57-9f09-4be0-8afc-0db80a7d848f}">
    <x18tc:text xml:space="preserve">cut hẳn luôn phần VO khi đọc tên món ăn á Tấn ui</x18tc:text>
  </x18tc:threadedComment>
  <x18tc:threadedComment ref="Z6" dT="2026-05-25T03:15:38.00" personId="{aaeedc4c-d628-4e6a-888e-5003435b31f9}" id="{71191f44-c0a0-4be5-be78-48d0ad5cc0a9}" parentId="{12bcfa57-9f09-4be0-8afc-0db80a7d848f}">
    <x18tc:text xml:space="preserve">sure với em chỉnh xong cái này là sẽ collect caption để air dần nhe mom @thanhngan.le@pmax.com.vn</x18tc:text>
    <x18tc:mentions>
      <x18tc:mention mentionpersonId="{0ef3a09f-575c-4f4c-a9a9-a62dcda2236b}" mentionId="{06c125e3-6677-43a5-9f9e-16d0e0371ada}" startIndex="72" length="25"/>
    </x18tc:mentions>
  </x18tc:threadedComment>
  <x18tc:threadedComment ref="W8" dT="2026-05-20T03:03:34.00" personId="{5be54148-8bdf-4e96-a0e0-110f443abc89}" id="{c609fb12-0f73-44f8-a1a8-7370b041d2db}" done="1">
    <x18tc:text xml:space="preserve">Fbs mới nha @quoctan.hoang@pmax.com.vn
Assigned to quoctan.hoang@pmax.com.vn</x18tc:text>
    <x18tc:mentions>
      <x18tc:mention mentionpersonId="{b48cb73e-0651-43f8-9972-5d0699cde47a}" mentionId="{a2e6ae57-15ea-4359-a209-131a5ba9c752}" startIndex="12" length="26"/>
    </x18tc:mentions>
  </x18tc:threadedComment>
  <x18tc:threadedComment ref="U41" dT="2026-05-15T08:32:45.00" personId="{aaeedc4c-d628-4e6a-888e-5003435b31f9}" id="{7fa8d51a-521c-40f0-8eb9-800c910f515e}" done="1">
    <x18tc:text xml:space="preserve">em update nhen</x18tc:text>
  </x18tc:threadedComment>
  <x18tc:threadedComment ref="U41" dT="2026-05-18T02:59:13.00" personId="{5be54148-8bdf-4e96-a0e0-110f443abc89}" id="{84d0711c-bc9f-4c03-a79c-8c939732d768}" parentId="{7fa8d51a-521c-40f0-8eb9-800c910f515e}">
    <x18tc:text xml:space="preserve">ƠI, sao ít ảnh mà còn chất lượng thấp dữ zậy hỏi page còn chụp ảnh khác hong chứ 25M v s KH buy được</x18tc:text>
  </x18tc:threadedComment>
  <x18tc:threadedComment ref="U41" dT="2026-05-22T10:11:52.00" personId="{aaeedc4c-d628-4e6a-888e-5003435b31f9}" id="{eae29fa7-7031-4065-8894-b4b7c1965551}" parentId="{7fa8d51a-521c-40f0-8eb9-800c910f515e}">
    <x18tc:text xml:space="preserve">em update rùi á chị @thanhngan.le@pmax.com.vn ơi</x18tc:text>
    <x18tc:mentions>
      <x18tc:mention mentionpersonId="{0ef3a09f-575c-4f4c-a9a9-a62dcda2236b}" mentionId="{9d65db76-3965-4b12-9df0-b238abc16b4b}" startIndex="20" length="25"/>
    </x18tc:mentions>
  </x18tc:threadedComment>
  <x18tc:threadedComment ref="U41" dT="2026-05-25T09:47:41.00" personId="{aaeedc4c-d628-4e6a-888e-5003435b31f9}" id="{ced6993c-9a94-4d0d-8a92-b12f3edd59e1}" parentId="{7fa8d51a-521c-40f0-8eb9-800c910f515e}">
    <x18tc:text xml:space="preserve">chị ơi bị miss con này @thanhngan.le@pmax.com.vn</x18tc:text>
    <x18tc:mentions>
      <x18tc:mention mentionpersonId="{0ef3a09f-575c-4f4c-a9a9-a62dcda2236b}" mentionId="{d6b375ec-eaa7-4113-a8a4-0ab60c920e3f}" startIndex="23" length="25"/>
    </x18tc:mentions>
  </x18tc:threadedComment>
  <x18tc:threadedComment ref="U41" dT="2026-05-26T07:03:51.00" personId="{aaeedc4c-d628-4e6a-888e-5003435b31f9}" id="{92f6d1f9-de9c-4d33-9b44-8dd207701b98}" parentId="{7fa8d51a-521c-40f0-8eb9-800c910f515e}">
    <x18tc:text xml:space="preserve">ráng đừng miss con nì giúp em nhe @thanhngan.le@pmax.com.vn</x18tc:text>
    <x18tc:mentions>
      <x18tc:mention mentionpersonId="{0ef3a09f-575c-4f4c-a9a9-a62dcda2236b}" mentionId="{8c1d114f-7022-4959-9413-e1e19469e9a9}" startIndex="34" length="25"/>
    </x18tc:mentions>
  </x18tc:threadedComment>
  <x18tc:threadedComment ref="U41" dT="2026-05-26T07:04:44.00" personId="{5be54148-8bdf-4e96-a0e0-110f443abc89}" id="{4d2a0f4a-2f86-4599-a682-2b8decb66a86}" parentId="{7fa8d51a-521c-40f0-8eb9-800c910f515e}">
    <x18tc:text xml:space="preserve">hong cóa miss mà chất lượng ảnh cải thiện được có xíu xiu à ha 🥹</x18tc:text>
  </x18tc:threadedComment>
  <x18tc:threadedComment ref="U41" dT="2026-05-27T08:03:26.00" personId="{aaeedc4c-d628-4e6a-888e-5003435b31f9}" id="{62782623-83d0-4579-a9ee-0e295e7cb200}" parentId="{7fa8d51a-521c-40f0-8eb9-800c910f515e}">
    <x18tc:text xml:space="preserve">chị @thanhngan.le@pmax.com.vn ơi push măn măn giúp em với</x18tc:text>
    <x18tc:mentions>
      <x18tc:mention mentionpersonId="{0ef3a09f-575c-4f4c-a9a9-a62dcda2236b}" mentionId="{08905539-a144-4551-ac6d-9e7e0999aad4}" startIndex="4" length="25"/>
    </x18tc:mentions>
  </x18tc:threadedComment>
  <x18tc:threadedComment ref="U41" dT="2026-05-27T08:11:03.00" personId="{5be54148-8bdf-4e96-a0e0-110f443abc89}" id="{14069e3d-f81f-459e-8e2c-b4755afd5792}" parentId="{7fa8d51a-521c-40f0-8eb9-800c910f515e}">
    <x18tc:text xml:space="preserve">có rùi nhen</x18tc:text>
  </x18tc:threadedComment>
  <x18tc:threadedComment ref="B17" dT="2026-05-17T12:02:18.00" personId="{aaeedc4c-d628-4e6a-888e-5003435b31f9}" id="{34f891fb-1b02-4950-ad01-ad3af2465e70}" done="1">
    <x18tc:text xml:space="preserve">@thanhngan.le@pmax.com.vn</x18tc:text>
    <x18tc:mentions>
      <x18tc:mention mentionpersonId="{0ef3a09f-575c-4f4c-a9a9-a62dcda2236b}" mentionId="{8dad6f26-12b4-47d0-88f4-6703650653c6}" startIndex="0" length="25"/>
    </x18tc:mentions>
  </x18tc:threadedComment>
  <x18tc:threadedComment ref="AD18" dT="2026-06-04T04:19:45.00" personId="{5be54148-8bdf-4e96-a0e0-110f443abc89}" id="{6356599f-4422-4b74-8333-7d819040c31a}" done="1">
    <x18tc:text xml:space="preserve">này chưa có caption hẻ @quoctan.hoang@pmax.com.vn
Assigned to quoctan.hoang@pmax.com.vn</x18tc:text>
    <x18tc:mentions>
      <x18tc:mention mentionpersonId="{b48cb73e-0651-43f8-9972-5d0699cde47a}" mentionId="{45ebfc75-08b4-4310-9469-45df85e6f033}" startIndex="23" length="26"/>
    </x18tc:mentions>
  </x18tc:threadedComment>
  <x18tc:threadedComment ref="AD18" dT="2026-06-04T11:23:01.00" personId="{aaeedc4c-d628-4e6a-888e-5003435b31f9}" id="{9a393a80-f280-4fc4-a75a-dd72c91d146e}" parentId="{6356599f-4422-4b74-8333-7d819040c31a}">
    <x18tc:text xml:space="preserve">rùi nề mom ơi</x18tc:text>
  </x18tc:threadedComment>
  <x18tc:threadedComment ref="U7" dT="2026-05-15T08:22:39.00" personId="{aaeedc4c-d628-4e6a-888e-5003435b31f9}" id="{65f389a3-9d78-486a-9324-6c310dfaf0ed}" done="1">
    <x18tc:text xml:space="preserve">em update demo @thanhngan.le@pmax.com.vn</x18tc:text>
    <x18tc:mentions>
      <x18tc:mention mentionpersonId="{0ef3a09f-575c-4f4c-a9a9-a62dcda2236b}" mentionId="{97b89a7c-9ef4-46cb-9154-396b96394f1b}" startIndex="15" length="25"/>
    </x18tc:mentions>
  </x18tc:threadedComment>
  <x18tc:threadedComment ref="Q23" dT="2026-05-13T11:06:31.00" personId="{aaeedc4c-d628-4e6a-888e-5003435b31f9}" id="{ee29f471-13a2-4fd7-afb3-88db5e6710af}" done="0">
    <x18tc:text xml:space="preserve">so ri mom em quơn, em gửi nhen @thanhngan.le@pmax.com.vn</x18tc:text>
    <x18tc:mentions>
      <x18tc:mention mentionpersonId="{0ef3a09f-575c-4f4c-a9a9-a62dcda2236b}" mentionId="{022d3cec-3918-4a30-a861-8db41ac10abb}" startIndex="31" length="25"/>
    </x18tc:mentions>
  </x18tc:threadedComment>
  <x18tc:threadedComment ref="Q45" dT="2026-05-12T03:37:27.00" personId="{5be54148-8bdf-4e96-a0e0-110f443abc89}" id="{40417fa6-945f-436f-b001-e3756aaf42a3}" done="0">
    <x18tc:text xml:space="preserve">bạn này mai quay rùi mà ch có script nè @quoctan.hoang@pmax.com.vn
Assigned to quoctan.hoang@pmax.com.vn</x18tc:text>
    <x18tc:mentions>
      <x18tc:mention mentionpersonId="{b48cb73e-0651-43f8-9972-5d0699cde47a}" mentionId="{46a31d3d-148b-489d-87c2-8275a66b7d49}" startIndex="40" length="26"/>
    </x18tc:mentions>
  </x18tc:threadedComment>
  <x18tc:threadedComment ref="AA23" dT="2026-05-26T04:34:55.00" personId="{aaeedc4c-d628-4e6a-888e-5003435b31f9}" id="{ddbb7d02-b6aa-4cd6-a3d6-3596c9fb44c1}" done="1">
    <x18tc:text xml:space="preserve">ship final nhe mom</x18tc:text>
  </x18tc:threadedComment>
  <x18tc:threadedComment ref="X42" dT="2026-05-22T10:11:00.00" personId="{aaeedc4c-d628-4e6a-888e-5003435b31f9}" id="{b14835d5-125c-4b34-ba31-223093ab797a}" done="1">
    <x18tc:text xml:space="preserve">em update community nha chị @thanhngan.le@pmax.com.vn
Assigned to thanhngan.le@pmax.com.vn</x18tc:text>
    <x18tc:mentions>
      <x18tc:mention mentionpersonId="{0ef3a09f-575c-4f4c-a9a9-a62dcda2236b}" mentionId="{a3bc6a61-cf9f-4b4b-8ea2-ea12936961d6}" startIndex="28" length="25"/>
    </x18tc:mentions>
  </x18tc:threadedComment>
  <x18tc:threadedComment ref="X42" dT="2026-05-25T09:50:34.00" personId="{aaeedc4c-d628-4e6a-888e-5003435b31f9}" id="{9cdc233b-1fe2-4014-881d-ab65cf21443b}" parentId="{b14835d5-125c-4b34-ba31-223093ab797a}">
    <x18tc:text xml:space="preserve">dí nhe mom @thanhngan.le@pmax.com.vn</x18tc:text>
    <x18tc:mentions>
      <x18tc:mention mentionpersonId="{0ef3a09f-575c-4f4c-a9a9-a62dcda2236b}" mentionId="{4f52f257-1077-4a4a-97fe-9a41cbfd52d5}" startIndex="11" length="25"/>
    </x18tc:mentions>
  </x18tc:threadedComment>
  <x18tc:threadedComment ref="U11" dT="2026-05-20T07:45:02.00" personId="{aaeedc4c-d628-4e6a-888e-5003435b31f9}" id="{2086ba6c-0211-4321-94aa-f071d8f1e5ec}" done="1">
    <x18tc:text xml:space="preserve">chị @thanhngan.le@pmax.com.vn em update</x18tc:text>
    <x18tc:mentions>
      <x18tc:mention mentionpersonId="{0ef3a09f-575c-4f4c-a9a9-a62dcda2236b}" mentionId="{5620faf9-7552-4cbd-bab2-3dcb7e5b4377}" startIndex="4" length="25"/>
    </x18tc:mentions>
  </x18tc:threadedComment>
  <x18tc:threadedComment ref="X25" dT="2026-06-04T04:00:18.00" personId="{da6e6322-a5a8-4341-a038-83f3cd504479}" id="{5b332c43-4516-45e7-8949-5e36fb420ac9}" done="1">
    <x18tc:text xml:space="preserve">folder trống ạ @quoctan.hoang@pmax.com.vn check lại nha
Assigned to quoctan.hoang@pmax.com.vn</x18tc:text>
    <x18tc:mentions>
      <x18tc:mention mentionpersonId="{b48cb73e-0651-43f8-9972-5d0699cde47a}" mentionId="{9d67c87c-093d-4e63-9afa-8385020dc864}" startIndex="15" length="26"/>
    </x18tc:mentions>
  </x18tc:threadedComment>
  <x18tc:threadedComment ref="X25" dT="2026-06-04T04:16:42.00" personId="{aaeedc4c-d628-4e6a-888e-5003435b31f9}" id="{317b7b54-902e-4e8f-8735-31b575df49ea}" parentId="{5b332c43-4516-45e7-8949-5e36fb420ac9}">
    <x18tc:text xml:space="preserve">ukii cảm ơn Hà Tấn báo team r
1 total reaction
Thai Ha Doan (Account) reacted with 😍 at 2026-06-04 04:41 AM</x18tc:text>
  </x18tc:threadedComment>
  <x18tc:threadedComment ref="W11" dT="2026-05-25T11:00:35.00" personId="{5be54148-8bdf-4e96-a0e0-110f443abc89}" id="{14dd14b9-31b4-4431-97f7-bbbd21aa4be1}" done="1">
    <x18tc:text xml:space="preserve">fbs nhen @quoctan.hoang@pmax.com.vn
Assigned to quoctan.hoang@pmax.com.vn</x18tc:text>
    <x18tc:mentions>
      <x18tc:mention mentionpersonId="{b48cb73e-0651-43f8-9972-5d0699cde47a}" mentionId="{715ce068-7a95-4526-b91c-48baf9a6095e}" startIndex="9" length="26"/>
    </x18tc:mentions>
  </x18tc:threadedComment>
  <x18tc:threadedComment ref="W11" dT="2026-05-28T08:15:31.00" personId="{aaeedc4c-d628-4e6a-888e-5003435b31f9}" id="{2086a808-a674-4e82-8f58-334a88285840}" parentId="{14dd14b9-31b4-4431-97f7-bbbd21aa4be1}">
    <x18tc:text xml:space="preserve">chị ơi mom này chọn gì zạ</x18tc:text>
  </x18tc:threadedComment>
  <x18tc:threadedComment ref="X44" dT="2026-05-20T03:06:59.00" personId="{5be54148-8bdf-4e96-a0e0-110f443abc89}" id="{75c6216a-98f8-4252-bf8c-d10ee39ba67c}" done="1">
    <x18tc:text xml:space="preserve">vẫn còn đoạn 0:44 sửa chỗ này r c bán KH round 2 nha @quoctan.hoang@pmax.com.vn
Assigned to quoctan.hoang@pmax.com.vn</x18tc:text>
    <x18tc:mentions>
      <x18tc:mention mentionpersonId="{b48cb73e-0651-43f8-9972-5d0699cde47a}" mentionId="{5f920dab-369b-4ffe-948a-38e3bb10e11d}" startIndex="53" length="26"/>
    </x18tc:mentions>
  </x18tc:threadedComment>
  <x18tc:threadedComment ref="Q13" dT="2026-05-15T07:54:51.00" personId="{aaeedc4c-d628-4e6a-888e-5003435b31f9}" id="{12185cb9-d686-4485-bf67-8e5eec688930}" done="0">
    <x18tc:text xml:space="preserve">em update script R2 nhen chị @thanhngan.le@pmax.com.vn
1 total reaction
Thanh Ngan Le (Account team) reacted with 🩷 at 2026-05-15 07:55 AM</x18tc:text>
    <x18tc:mentions>
      <x18tc:mention mentionpersonId="{0ef3a09f-575c-4f4c-a9a9-a62dcda2236b}" mentionId="{5b692b20-1132-4274-a7ae-8bc050ca1734}" startIndex="29" length="25"/>
    </x18tc:mentions>
  </x18tc:threadedComment>
  <x18tc:threadedComment ref="J23" dT="2026-05-13T08:27:54.00" personId="{aaeedc4c-d628-4e6a-888e-5003435b31f9}" id="{d2c103c4-b7a9-4548-bf3f-803935e1dcdc}" done="0">
    <x18tc:text xml:space="preserve">chị ơi em update @thanhngan.le@pmax.com.vn</x18tc:text>
    <x18tc:mentions>
      <x18tc:mention mentionpersonId="{0ef3a09f-575c-4f4c-a9a9-a62dcda2236b}" mentionId="{bf8b6120-0a1a-49fd-b5c9-1caa2499990c}" startIndex="17" length="25"/>
    </x18tc:mentions>
  </x18tc:threadedComment>
  <x18tc:threadedComment ref="AA6" dT="2026-05-25T09:02:23.00" personId="{aaeedc4c-d628-4e6a-888e-5003435b31f9}" id="{4735db3b-180f-45a0-99ea-52cf0db83831}" done="1">
    <x18tc:text xml:space="preserve">@thanhngan.le@pmax.com.vn em update final demo
Assigned to thanhngan.le@pmax.com.vn</x18tc:text>
    <x18tc:mentions>
      <x18tc:mention mentionpersonId="{0ef3a09f-575c-4f4c-a9a9-a62dcda2236b}" mentionId="{b40b9505-c483-487a-8865-4ecdfe758eb9}" startIndex="0" length="25"/>
    </x18tc:mentions>
  </x18tc:threadedComment>
  <x18tc:threadedComment ref="Z44" dT="2026-05-21T06:53:39.00" personId="{5be54148-8bdf-4e96-a0e0-110f443abc89}" id="{b3411ec6-1550-417d-8c10-c9f10901cc00}" done="1">
    <x18tc:text xml:space="preserve">fbs round 2 nha @quoctan.hoang@pmax.com.vn
Assigned to quoctan.hoang@pmax.com.vn</x18tc:text>
    <x18tc:mentions>
      <x18tc:mention mentionpersonId="{b48cb73e-0651-43f8-9972-5d0699cde47a}" mentionId="{987623f2-e0e3-44b2-b237-c506251e009c}" startIndex="16" length="26"/>
    </x18tc:mentions>
  </x18tc:threadedComment>
  <x18tc:threadedComment ref="J5" dT="2026-05-12T09:24:09.00" personId="{5be54148-8bdf-4e96-a0e0-110f443abc89}" id="{fc10d179-f947-40e5-85b2-9ced1ff44b71}" done="0">
    <x18tc:text xml:space="preserve">update giúp c địa chỉ chi tiết ở Đồng Nai nha @quoctan.hoang@pmax.com.vn
Assigned to quoctan.hoang@pmax.com.vn</x18tc:text>
    <x18tc:mentions>
      <x18tc:mention mentionpersonId="{b48cb73e-0651-43f8-9972-5d0699cde47a}" mentionId="{4126734f-e942-463b-a1df-66076b12ce33}" startIndex="46" length="26"/>
    </x18tc:mentions>
  </x18tc:threadedComment>
  <x18tc:threadedComment ref="J5" dT="2026-05-12T11:25:06.00" personId="{aaeedc4c-d628-4e6a-888e-5003435b31f9}" id="{ac29a338-be48-4363-bbf5-c1e4d988f4cc}" parentId="{fc10d179-f947-40e5-85b2-9ced1ff44b71}">
    <x18tc:text xml:space="preserve">mom ơi em update nè @thanhngan.le@pmax.com.vn</x18tc:text>
    <x18tc:mentions>
      <x18tc:mention mentionpersonId="{0ef3a09f-575c-4f4c-a9a9-a62dcda2236b}" mentionId="{23576e94-b3fa-4daf-9402-910f9867dcab}" startIndex="20" length="25"/>
    </x18tc:mentions>
  </x18tc:threadedComment>
  <x18tc:threadedComment ref="Z8" dT="2026-05-22T09:51:01.00" personId="{5be54148-8bdf-4e96-a0e0-110f443abc89}" id="{bc4e4f20-bcd2-496d-bf02-2c51f69b6eb4}" done="1">
    <x18tc:text xml:space="preserve">@quoctan.hoang@pmax.com.vn  input caption lun nha, sắp xếp bạn này sang tuần air lun nha
Assigned to quoctan.hoang@pmax.com.vn</x18tc:text>
    <x18tc:mentions>
      <x18tc:mention mentionpersonId="{b48cb73e-0651-43f8-9972-5d0699cde47a}" mentionId="{0371e253-6be0-4060-86e7-ff1905c2782a}" startIndex="0" length="26"/>
    </x18tc:mentions>
  </x18tc:threadedComment>
  <x18tc:threadedComment ref="P13" dT="2026-05-14T10:37:51.00" personId="{aaeedc4c-d628-4e6a-888e-5003435b31f9}" id="{231193b2-efca-4741-8ae7-9f7c0e5311eb}" done="0">
    <x18tc:text xml:space="preserve">chị ơi em cần feedbackkkkkk @thanhngan.le@pmax.com.vn</x18tc:text>
    <x18tc:mentions>
      <x18tc:mention mentionpersonId="{0ef3a09f-575c-4f4c-a9a9-a62dcda2236b}" mentionId="{f7ca0e9e-077e-4ddd-ae06-7d9068229e3f}" startIndex="28" length="25"/>
    </x18tc:mentions>
  </x18tc:threadedComment>
  <x18tc:threadedComment ref="P13" dT="2026-05-14T10:56:41.00" personId="{5be54148-8bdf-4e96-a0e0-110f443abc89}" id="{70bf4662-9e2e-46b4-8844-d232a52b31fc}" parentId="{231193b2-efca-4741-8ae7-9f7c0e5311eb}">
    <x18tc:text xml:space="preserve">update nhen Tấn ui</x18tc:text>
  </x18tc:threadedComment>
  <x18tc:threadedComment ref="J11" dT="2026-05-11T04:14:08.00" personId="{f821b470-037a-4e32-b2cd-de8fb6f74664}" id="{fa1e0de8-f25c-4775-b9d3-3d2d881f6112}" done="1">
    <x18tc:text xml:space="preserve">Checking lịch quay</x18tc:text>
  </x18tc:threadedComment>
  <x18tc:threadedComment ref="J11" dT="2026-05-12T09:18:37.00" personId="{aaeedc4c-d628-4e6a-888e-5003435b31f9}" id="{04967421-7403-48a1-8c9c-05e6ab21e474}" parentId="{fa1e0de8-f25c-4775-b9d3-3d2d881f6112}">
    <x18tc:text xml:space="preserve">chị @thanhngan.le@pmax.com.vn em update ngày</x18tc:text>
    <x18tc:mentions>
      <x18tc:mention mentionpersonId="{0ef3a09f-575c-4f4c-a9a9-a62dcda2236b}" mentionId="{3942855d-eae2-40f1-9644-21d41af27ac3}" startIndex="4" length="25"/>
    </x18tc:mentions>
  </x18tc:threadedComment>
  <x18tc:threadedComment ref="J11" dT="2026-05-12T09:21:22.00" personId="{5be54148-8bdf-4e96-a0e0-110f443abc89}" id="{f96d71be-bc83-4e6c-9148-747855acdc0a}" parentId="{fa1e0de8-f25c-4775-b9d3-3d2d881f6112}">
    <x18tc:text xml:space="preserve">thêm địa điểm chi tiết nha</x18tc:text>
  </x18tc:threadedComment>
  <x18tc:threadedComment ref="J11" dT="2026-05-12T11:25:23.00" personId="{aaeedc4c-d628-4e6a-888e-5003435b31f9}" id="{7b7ceed5-4543-4344-9a7e-8845d928fb66}" parentId="{fa1e0de8-f25c-4775-b9d3-3d2d881f6112}">
    <x18tc:text xml:space="preserve">mom ơi em update @thanhngan.le@pmax.com.vn</x18tc:text>
    <x18tc:mentions>
      <x18tc:mention mentionpersonId="{0ef3a09f-575c-4f4c-a9a9-a62dcda2236b}" mentionId="{55b25209-8644-4b2a-ac22-fc5ea9f30609}" startIndex="17" length="25"/>
    </x18tc:mentions>
  </x18tc:threadedComment>
  <x18tc:threadedComment ref="AA8" dT="2026-05-25T09:05:14.00" personId="{aaeedc4c-d628-4e6a-888e-5003435b31f9}" id="{9ebb3ce6-3be4-482a-80fc-08af0e317f29}" done="1">
    <x18tc:text xml:space="preserve">ráng khum chỉnh giúp em với nhe @thanhngan.le@pmax.com.vn
Assigned to thanhngan.le@pmax.com.vn</x18tc:text>
    <x18tc:mentions>
      <x18tc:mention mentionpersonId="{0ef3a09f-575c-4f4c-a9a9-a62dcda2236b}" mentionId="{751d9c45-1588-427f-a6a5-ab8317804ef1}" startIndex="32" length="25"/>
    </x18tc:mentions>
  </x18tc:threadedComment>
  <x18tc:threadedComment ref="Q47" dT="2026-05-12T08:58:36.00" personId="{aaeedc4c-d628-4e6a-888e-5003435b31f9}" id="{f9734ba1-e17e-4b57-8d05-45ab613843db}" done="0">
    <x18tc:text xml:space="preserve">mom ơi em update @thanhngan.le@pmax.com.vn</x18tc:text>
    <x18tc:mentions>
      <x18tc:mention mentionpersonId="{0ef3a09f-575c-4f4c-a9a9-a62dcda2236b}" mentionId="{2c0f4f82-352e-4864-9f4e-1fe363e5488e}" startIndex="17" length="25"/>
    </x18tc:mentions>
  </x18tc:threadedComment>
  <x18tc:threadedComment ref="U34" dT="2026-05-22T07:23:50.00" personId="{aaeedc4c-d628-4e6a-888e-5003435b31f9}" id="{0f47b099-510b-445f-98fd-f70088904472}" done="1">
    <x18tc:text xml:space="preserve">chị Ngân ơi @thanhngan.le@pmax.com.vn
Assigned to thanhngan.le@pmax.com.vn</x18tc:text>
    <x18tc:mentions>
      <x18tc:mention mentionpersonId="{0ef3a09f-575c-4f4c-a9a9-a62dcda2236b}" mentionId="{4c3247c1-9b73-42e7-91de-4d15c36b4113}" startIndex="12" length="25"/>
    </x18tc:mentions>
  </x18tc:threadedComment>
  <x18tc:threadedComment ref="AB16" dT="2026-06-07T15:03:46.00" personId="{da6e6322-a5a8-4341-a038-83f3cd504479}" id="{d5f782f5-de25-4db6-9451-40f62bf008f0}" done="1">
    <x18tc:text xml:space="preserve">check update mới highlight xanh nước biển nha @quoctan.hoang@pmax.com.vn
Assigned to quoctan.hoang@pmax.com.vn</x18tc:text>
    <x18tc:mentions>
      <x18tc:mention mentionpersonId="{b48cb73e-0651-43f8-9972-5d0699cde47a}" mentionId="{af662f04-7843-4830-b7ad-8d11b13ab448}" startIndex="46" length="26"/>
    </x18tc:mentions>
  </x18tc:threadedComment>
  <x18tc:threadedComment ref="S46" dT="2026-05-12T08:47:07.00" personId="{aaeedc4c-d628-4e6a-888e-5003435b31f9}" id="{dea0efe0-0ee3-42eb-b8b0-e86df52ecef0}" done="0">
    <x18tc:text xml:space="preserve">cho em xin feedback với nhen chị @thanhngan.le@pmax.com.vn
Assigned to thanhngan.le@pmax.com.vn</x18tc:text>
    <x18tc:mentions>
      <x18tc:mention mentionpersonId="{0ef3a09f-575c-4f4c-a9a9-a62dcda2236b}" mentionId="{898f5bd9-c86d-4821-ae22-f30e23595552}" startIndex="33" length="25"/>
    </x18tc:mentions>
  </x18tc:threadedComment>
  <x18tc:threadedComment ref="AD10" dT="2026-05-25T04:15:46.00" personId="{aaeedc4c-d628-4e6a-888e-5003435b31f9}" id="{5fbde703-6917-4ebb-b618-93eabd87bd6e}" done="0">
    <x18tc:text xml:space="preserve">feedback giúp em nhe @thanhngan.le@pmax.com.vn
Assigned to thanhngan.le@pmax.com.vn</x18tc:text>
    <x18tc:mentions>
      <x18tc:mention mentionpersonId="{0ef3a09f-575c-4f4c-a9a9-a62dcda2236b}" mentionId="{809255fa-15e4-4e26-8f92-9a4284dd3ff6}" startIndex="21" length="25"/>
    </x18tc:mentions>
  </x18tc:threadedComment>
  <x18tc:threadedComment ref="Q26" dT="2026-05-13T11:58:46.00" personId="{5be54148-8bdf-4e96-a0e0-110f443abc89}" id="{b5bdb8c3-7896-47d3-842e-1b84ffa819cd}" done="0">
    <x18tc:text xml:space="preserve">bạn này có lịch quay ùi mà ch có script round 2 ne @quoctan.hoang@pmax.com.vn
Assigned to quoctan.hoang@pmax.com.vn</x18tc:text>
    <x18tc:mentions>
      <x18tc:mention mentionpersonId="{b48cb73e-0651-43f8-9972-5d0699cde47a}" mentionId="{d43ade22-55c7-4a86-af1a-820d27d2d8c9}" startIndex="51" length="26"/>
    </x18tc:mentions>
  </x18tc:threadedComment>
  <x18tc:threadedComment ref="J47" dT="2026-05-12T08:51:46.00" personId="{aaeedc4c-d628-4e6a-888e-5003435b31f9}" id="{36d8ec6a-20d7-4b5a-baf5-3bfaea696459}" done="1">
    <x18tc:text xml:space="preserve">em update lại case miên man dời qua 14/5 nhen chị @thanhngan.le@pmax.com.vn
Assigned to thanhngan.le@pmax.com.vn</x18tc:text>
    <x18tc:mentions>
      <x18tc:mention mentionpersonId="{0ef3a09f-575c-4f4c-a9a9-a62dcda2236b}" mentionId="{409229f9-366f-4fff-a32b-599faad719b3}" startIndex="50" length="25"/>
    </x18tc:mentions>
  </x18tc:threadedComment>
  <x18tc:threadedComment ref="J47" dT="2026-05-13T05:13:53.00" personId="{5be54148-8bdf-4e96-a0e0-110f443abc89}" id="{ba311420-d31d-4361-adb3-823ae196bc80}" parentId="{36d8ec6a-20d7-4b5a-baf5-3bfaea696459}">
    <x18tc:text xml:space="preserve">giờ ở HN phải đi quay tầm 15/05 nha Tấn ui</x18tc:text>
  </x18tc:threadedComment>
  <x18tc:threadedComment ref="X8" dT="2026-05-21T13:37:52.00" personId="{aaeedc4c-d628-4e6a-888e-5003435b31f9}" id="{891395af-42c4-4faf-807a-4a583ff96456}" done="1">
    <x18tc:text xml:space="preserve">chị @thanhngan.le@pmax.com.vn ơi em gửi demo R2
Assigned to thanhngan.le@pmax.com.vn</x18tc:text>
    <x18tc:mentions>
      <x18tc:mention mentionpersonId="{0ef3a09f-575c-4f4c-a9a9-a62dcda2236b}" mentionId="{603db6ac-7518-4ccb-b062-3d4e70fcef4f}" startIndex="4" length="25"/>
    </x18tc:mentions>
  </x18tc:threadedComment>
  <x18tc:threadedComment ref="X8" dT="2026-05-22T07:12:39.00" personId="{aaeedc4c-d628-4e6a-888e-5003435b31f9}" id="{58025300-45da-4397-b6d1-00de2363d6c7}" parentId="{891395af-42c4-4faf-807a-4a583ff96456}">
    <x18tc:text xml:space="preserve">em chưa thí feedback á</x18tc:text>
  </x18tc:threadedComment>
  <x18tc:threadedComment ref="X8" dT="2026-05-22T07:26:31.00" personId="{5be54148-8bdf-4e96-a0e0-110f443abc89}" id="{1ab20f2a-513f-4c93-b883-08c3b41e53c4}" parentId="{891395af-42c4-4faf-807a-4a583ff96456}">
    <x18tc:text xml:space="preserve">mới update hqua s nay fbs kipjppppp</x18tc:text>
  </x18tc:threadedComment>
  <x18tc:threadedComment ref="AB46" dT="2026-05-28T10:27:49.00" personId="{5be54148-8bdf-4e96-a0e0-110f443abc89}" id="{db96dd92-f250-4030-9b5f-f7f5d4807a33}" done="1">
    <x18tc:text xml:space="preserve">có 9 bạn cf r nè @quoctan.hoang@pmax.com.vn
Assigned to quoctan.hoang@pmax.com.vn</x18tc:text>
    <x18tc:mentions>
      <x18tc:mention mentionpersonId="{b48cb73e-0651-43f8-9972-5d0699cde47a}" mentionId="{ab9bac88-5ea2-4289-80cd-fcc84706bef4}" startIndex="17" length="26"/>
    </x18tc:mentions>
  </x18tc:threadedComment>
  <x18tc:threadedComment ref="U20" dT="2026-05-20T07:46:08.00" personId="{aaeedc4c-d628-4e6a-888e-5003435b31f9}" id="{18e02031-974e-4079-a74c-7ef97c6155be}" done="1">
    <x18tc:text xml:space="preserve">há lu chị @thanhngan.le@pmax.com.vn em update
Assigned to thanhngan.le@pmax.com.vn</x18tc:text>
    <x18tc:mentions>
      <x18tc:mention mentionpersonId="{0ef3a09f-575c-4f4c-a9a9-a62dcda2236b}" mentionId="{e7b07771-a70e-4ff1-b7aa-489fc5f1ade1}" startIndex="10" length="25"/>
    </x18tc:mentions>
  </x18tc:threadedComment>
  <x18tc:threadedComment ref="X41" dT="2026-05-28T06:06:22.00" personId="{aaeedc4c-d628-4e6a-888e-5003435b31f9}" id="{23c02594-91b9-43a6-a79e-930fce0cdf55}" done="1">
    <x18tc:text xml:space="preserve">em update nhe chị @thanhngan.le@pmax.com.vn
Assigned to thanhngan.le@pmax.com.vn</x18tc:text>
    <x18tc:mentions>
      <x18tc:mention mentionpersonId="{0ef3a09f-575c-4f4c-a9a9-a62dcda2236b}" mentionId="{f969a3e3-1093-4108-9b3a-1787bf4c1132}" startIndex="18" length="25"/>
    </x18tc:mentions>
  </x18tc:threadedComment>
  <x18tc:threadedComment ref="AD39" dT="2026-05-12T09:20:19.00" personId="{5be54148-8bdf-4e96-a0e0-110f443abc89}" id="{3eba6510-4f4a-4dae-9796-e6601a6780f9}" done="1">
    <x18tc:text xml:space="preserve">#FiveStar #FiveStarVietnam #GaRanFiveStar #GaDay</x18tc:text>
  </x18tc:threadedComment>
  <x18tc:threadedComment ref="J11" dT="2026-05-13T09:30:52.00" personId="{5be54148-8bdf-4e96-a0e0-110f443abc89}" id="{a678fa00-0bcd-462c-b648-51c96a347307}" done="0">
    <x18tc:text xml:space="preserve">update thời gian nha @quoctan.hoang@pmax.com.vn
Assigned to quoctan.hoang@pmax.com.vn</x18tc:text>
    <x18tc:mentions>
      <x18tc:mention mentionpersonId="{b48cb73e-0651-43f8-9972-5d0699cde47a}" mentionId="{08daf883-6693-41b6-96f4-3876394f7c8a}" startIndex="21" length="26"/>
    </x18tc:mentions>
  </x18tc:threadedComment>
  <x18tc:threadedComment ref="J11" dT="2026-05-13T11:21:29.00" personId="{aaeedc4c-d628-4e6a-888e-5003435b31f9}" id="{8ff0e45f-c0d4-4104-9679-2ebc299040ad}" parentId="{a678fa00-0bcd-462c-b648-51c96a347307}">
    <x18tc:text xml:space="preserve">mom ơi đi đơn @thanhngan.le@pmax.com.vn
Reassigned to thanhngan.le@pmax.com.vn</x18tc:text>
    <x18tc:mentions>
      <x18tc:mention mentionpersonId="{0ef3a09f-575c-4f4c-a9a9-a62dcda2236b}" mentionId="{3423e668-e88b-439d-ad4c-67778655ae07}" startIndex="14" length="25"/>
    </x18tc:mentions>
  </x18tc:threadedComment>
  <x18tc:threadedComment ref="AD6" dT="2026-05-25T09:37:21.00" personId="{aaeedc4c-d628-4e6a-888e-5003435b31f9}" id="{70c5d2de-5353-46f8-98b3-2d443c539ed2}" done="1">
    <x18tc:text xml:space="preserve">check caption giúp em với nhen @thanhngan.le@pmax.com.vn
Assigned to thanhngan.le@pmax.com.vn</x18tc:text>
    <x18tc:mentions>
      <x18tc:mention mentionpersonId="{0ef3a09f-575c-4f4c-a9a9-a62dcda2236b}" mentionId="{6f9a6d5d-f720-41af-b895-3ca73ccfdedc}" startIndex="31" length="25"/>
    </x18tc:mentions>
  </x18tc:threadedComment>
  <x18tc:threadedComment ref="U46" dT="2026-05-19T09:11:59.00" personId="{aaeedc4c-d628-4e6a-888e-5003435b31f9}" id="{73ad9053-6cb3-446f-aacb-097624be54b5}" done="1">
    <x18tc:text xml:space="preserve">em update nhen @thanhngan.le@pmax.com.vn
Assigned to thanhngan.le@pmax.com.vn</x18tc:text>
    <x18tc:mentions>
      <x18tc:mention mentionpersonId="{0ef3a09f-575c-4f4c-a9a9-a62dcda2236b}" mentionId="{62d4bbbb-7c50-456f-8c77-c7ce218087d1}" startIndex="15" length="25"/>
    </x18tc:mentions>
  </x18tc:threadedComment>
  <x18tc:threadedComment ref="W19" dT="2026-05-21T06:52:01.00" personId="{5be54148-8bdf-4e96-a0e0-110f443abc89}" id="{b8bfdd86-5b4d-4333-b18b-2f9cabb6d1b2}" done="1">
    <x18tc:text xml:space="preserve">@quoctan.hoang@pmax.com.vn ơi, bạn Chu Cao Food này output chán quá, brand team fbs dữ dội lun, e note với vendor vì chất lượng í ẹ quá nên fbs khá nhiều, cân nhắc bạn này 3 round nha vì output kém quá
Assigned to quoctan.hoang@pmax.com.vn</x18tc:text>
    <x18tc:mentions>
      <x18tc:mention mentionpersonId="{b48cb73e-0651-43f8-9972-5d0699cde47a}" mentionId="{c5e952b6-9d49-4bda-b50c-823e4c8447ff}" startIndex="0" length="26"/>
    </x18tc:mentions>
  </x18tc:threadedComment>
  <x18tc:threadedComment ref="AA7" dT="2026-05-27T07:59:45.00" personId="{aaeedc4c-d628-4e6a-888e-5003435b31f9}" id="{b0554432-b0c0-4c44-9ff1-0639dc28b7bf}" done="1">
    <x18tc:text xml:space="preserve">em gửi nhe chị @thanhngan.le@pmax.com.vn
Assigned to thanhngan.le@pmax.com.vn</x18tc:text>
    <x18tc:mentions>
      <x18tc:mention mentionpersonId="{0ef3a09f-575c-4f4c-a9a9-a62dcda2236b}" mentionId="{e4f6c8c0-f8c3-4706-8733-8ffe64ca5cd6}" startIndex="15" length="25"/>
    </x18tc:mentions>
  </x18tc:threadedComment>
  <x18tc:threadedComment ref="AA7" dT="2026-06-03T07:04:57.00" personId="{aaeedc4c-d628-4e6a-888e-5003435b31f9}" id="{2ed9b1cd-104f-4857-aa1d-ff402606e3bc}" parentId="{b0554432-b0c0-4c44-9ff1-0639dc28b7bf}">
    <x18tc:text xml:space="preserve">em gửi version xoá watermark nhen chị @thanhngan.le@pmax.com.vn
1 total reaction
Thanh Ngan Le (Account team) reacted with 😘 at 2026-06-03 07:05 AM</x18tc:text>
    <x18tc:mentions>
      <x18tc:mention mentionpersonId="{0ef3a09f-575c-4f4c-a9a9-a62dcda2236b}" mentionId="{b0588acc-eaba-440e-a7ae-15276926db0a}" startIndex="38" length="25"/>
    </x18tc:mentions>
  </x18tc:threadedComment>
  <x18tc:threadedComment ref="Z40" dT="2026-05-25T09:47:24.00" personId="{aaeedc4c-d628-4e6a-888e-5003435b31f9}" id="{5d1d44ea-4b5d-49e2-981f-912928e5f140}" done="1">
    <x18tc:text xml:space="preserve">phần này em chưa thấy feedback á chị @thanhngan.le@pmax.com.vn
Assigned to thanhngan.le@pmax.com.vn</x18tc:text>
    <x18tc:mentions>
      <x18tc:mention mentionpersonId="{0ef3a09f-575c-4f4c-a9a9-a62dcda2236b}" mentionId="{d90b2a4d-68b1-452e-a7b9-ff36e49534d1}" startIndex="37" length="25"/>
    </x18tc:mentions>
  </x18tc:threadedComment>
  <x18tc:threadedComment ref="Z40" dT="2026-05-25T09:47:52.00" personId="{5be54148-8bdf-4e96-a0e0-110f443abc89}" id="{94a906f4-dede-48ef-874d-09a629aaf3f6}" parentId="{5d1d44ea-4b5d-49e2-981f-912928e5f140}">
    <x18tc:text xml:space="preserve">umm c đang push ùi nha</x18tc:text>
  </x18tc:threadedComment>
  <x18tc:threadedComment ref="U5" dT="2026-05-19T09:38:53.00" personId="{aaeedc4c-d628-4e6a-888e-5003435b31f9}" id="{75247b42-631d-40b9-ade3-8b59258964ec}" done="1">
    <x18tc:text xml:space="preserve">em update demo nhen chị @thanhngan.le@pmax.com.vn
Assigned to thanhngan.le@pmax.com.vn</x18tc:text>
    <x18tc:mentions>
      <x18tc:mention mentionpersonId="{0ef3a09f-575c-4f4c-a9a9-a62dcda2236b}" mentionId="{f284b714-2ff1-4512-a07f-9a17e6b1176c}" startIndex="24" length="25"/>
    </x18tc:mentions>
  </x18tc:threadedComment>
  <x18tc:threadedComment ref="X43" dT="2026-05-28T07:51:25.00" personId="{aaeedc4c-d628-4e6a-888e-5003435b31f9}" id="{42b57bf2-7642-4121-b6d2-0dc85d018986}" done="1">
    <x18tc:text xml:space="preserve">em update nhe</x18tc:text>
  </x18tc:threadedComment>
  <x18tc:threadedComment ref="X43" dT="2026-05-28T07:51:29.00" personId="{aaeedc4c-d628-4e6a-888e-5003435b31f9}" id="{09394919-adac-4c28-ad49-88ed7885e0d0}" parentId="{42b57bf2-7642-4121-b6d2-0dc85d018986}">
    <x18tc:text xml:space="preserve">@thanhngan.le@pmax.com.vn</x18tc:text>
    <x18tc:mentions>
      <x18tc:mention mentionpersonId="{0ef3a09f-575c-4f4c-a9a9-a62dcda2236b}" mentionId="{37548899-9140-458e-aa75-8676442570fa}" startIndex="0" length="25"/>
    </x18tc:mentions>
  </x18tc:threadedComment>
  <x18tc:threadedComment ref="W13" dT="2026-05-26T11:10:53.00" personId="{5be54148-8bdf-4e96-a0e0-110f443abc89}" id="{a8b91e13-7983-4fcf-bbca-1b31a075e225}" done="1">
    <x18tc:text xml:space="preserve">fbs nha @quoctan.hoang@pmax.com.vn
Assigned to quoctan.hoang@pmax.com.vn</x18tc:text>
    <x18tc:mentions>
      <x18tc:mention mentionpersonId="{b48cb73e-0651-43f8-9972-5d0699cde47a}" mentionId="{61aad991-6eb2-4bac-ac77-2e4564f43f4f}" startIndex="8" length="26"/>
    </x18tc:mentions>
  </x18tc:threadedComment>
  <x18tc:threadedComment ref="J13" dT="2026-05-13T09:53:50.00" personId="{5be54148-8bdf-4e96-a0e0-110f443abc89}" id="{f91aacee-63f7-4a39-ba85-bb44a7eedc90}" done="1">
    <x18tc:text xml:space="preserve">bạn này chắc dời nha, chưa có script round 1 nựa</x18tc:text>
  </x18tc:threadedComment>
  <x18tc:threadedComment ref="AB28" dT="2026-06-08T03:53:16.00" personId="{aaeedc4c-d628-4e6a-888e-5003435b31f9}" id="{55a7759c-07e5-4442-9a12-37773d340a4b}" done="1">
    <x18tc:text xml:space="preserve">team ơi xin brand giùm Tấn case này đi, vì qua 2 round rùi, nếu chỉ cắt chữ rẻ là phải voice off lại gần full luôn mà 2 round trước chưa hề aware gì về vấn đề này á @thanhngan.le@pmax.com.vn @thaiha.doan@pmax.com.vn
Assigned to thanhngan.le@pmax.com.vn</x18tc:text>
    <x18tc:mentions>
      <x18tc:mention mentionpersonId="{0ef3a09f-575c-4f4c-a9a9-a62dcda2236b}" mentionId="{92e841df-0331-411c-9247-dd7df7b965ae}" startIndex="165" length="25"/>
      <x18tc:mention mentionpersonId="{09fec8b6-771b-4c05-97b1-78dc22dbd494}" mentionId="{3fdcb3d5-d203-46ad-a91a-612e8965b39e}" startIndex="191" length="24"/>
    </x18tc:mentions>
  </x18tc:threadedComment>
  <x18tc:threadedComment ref="AA10" dT="2026-05-26T04:21:37.00" personId="{aaeedc4c-d628-4e6a-888e-5003435b31f9}" id="{f139c37e-b7e2-4d7c-8348-fea92a0773a9}" done="1">
    <x18tc:text xml:space="preserve">ship final mom @thanhngan.le@pmax.com.vn
Assigned to thanhngan.le@pmax.com.vn</x18tc:text>
    <x18tc:mentions>
      <x18tc:mention mentionpersonId="{0ef3a09f-575c-4f4c-a9a9-a62dcda2236b}" mentionId="{762e782d-a7ce-4ca4-8d5b-a4a18d553d5f}" startIndex="15" length="25"/>
    </x18tc:mentions>
  </x18tc:threadedComment>
  <x18tc:threadedComment ref="AA10" dT="2026-05-26T04:22:51.00" personId="{5be54148-8bdf-4e96-a0e0-110f443abc89}" id="{00399429-a585-400e-9a6f-01e4f35db4a6}" parentId="{f139c37e-b7e2-4d7c-8348-fea92a0773a9}">
    <x18tc:text xml:space="preserve">ok nhận tin nha</x18tc:text>
  </x18tc:threadedComment>
  <x18tc:threadedComment ref="Q43" dT="2026-05-13T08:27:45.00" personId="{aaeedc4c-d628-4e6a-888e-5003435b31f9}" id="{6464a1d3-88d6-46f5-8c19-23ad42f6a27b}" done="0">
    <x18tc:text xml:space="preserve">chị ơi em update @thanhngan.le@pmax.com.vn</x18tc:text>
    <x18tc:mentions>
      <x18tc:mention mentionpersonId="{0ef3a09f-575c-4f4c-a9a9-a62dcda2236b}" mentionId="{5ad3d8e9-1c99-4bde-b0df-f8633a4493cc}" startIndex="17" length="25"/>
    </x18tc:mentions>
  </x18tc:threadedComment>
  <x18tc:threadedComment ref="Q43" dT="2026-05-14T05:07:30.00" personId="{aaeedc4c-d628-4e6a-888e-5003435b31f9}" id="{c35b89c6-c993-464a-9ef6-c1f33252edd5}" parentId="{6464a1d3-88d6-46f5-8c19-23ad42f6a27b}">
    <x18tc:text xml:space="preserve">@thanhngan.le@pmax.com.vn cho em xin feedback với</x18tc:text>
    <x18tc:mentions>
      <x18tc:mention mentionpersonId="{0ef3a09f-575c-4f4c-a9a9-a62dcda2236b}" mentionId="{bcaab920-8a8c-4a19-8fd4-38c7f7eec9ff}" startIndex="0" length="25"/>
    </x18tc:mentions>
  </x18tc:threadedComment>
  <x18tc:threadedComment ref="Q43" dT="2026-05-14T06:36:56.00" personId="{5be54148-8bdf-4e96-a0e0-110f443abc89}" id="{6975ee20-9d21-4cb8-abdb-5f56934437b1}" parentId="{6464a1d3-88d6-46f5-8c19-23ad42f6a27b}">
    <x18tc:text xml:space="preserve">done nha</x18tc:text>
  </x18tc:threadedComment>
  <x18tc:threadedComment ref="X47" dT="2026-05-28T07:51:57.00" personId="{aaeedc4c-d628-4e6a-888e-5003435b31f9}" id="{202f52a9-8f68-465b-b50f-bdf72f3ef5b1}" done="1">
    <x18tc:text xml:space="preserve">em update nhe mom @thanhngan.le@pmax.com.vn
Assigned to thanhngan.le@pmax.com.vn</x18tc:text>
    <x18tc:mentions>
      <x18tc:mention mentionpersonId="{0ef3a09f-575c-4f4c-a9a9-a62dcda2236b}" mentionId="{8d15aa1f-1e71-4695-9fd3-3a0256b66cb0}" startIndex="18" length="25"/>
    </x18tc:mentions>
  </x18tc:threadedComment>
  <x18tc:threadedComment ref="J6" dT="2026-05-12T05:06:51.00" personId="{5be54148-8bdf-4e96-a0e0-110f443abc89}" id="{4ef16cad-b6e3-414e-b599-2afc68dafded}" done="1">
    <x18tc:text xml:space="preserve">Script bạn này ok, điều chỉnh xíu thui check lại đi quay nha @quoctan.hoang@pmax.com.vn
Assigned to quoctan.hoang@pmax.com.vn</x18tc:text>
    <x18tc:mentions>
      <x18tc:mention mentionpersonId="{b48cb73e-0651-43f8-9972-5d0699cde47a}" mentionId="{0fc94e47-5edd-4366-9352-54779ab96cd8}" startIndex="61" length="26"/>
    </x18tc:mentions>
  </x18tc:threadedComment>
  <x18tc:threadedComment ref="J31" dT="2026-05-12T03:38:51.00" personId="{5be54148-8bdf-4e96-a0e0-110f443abc89}" id="{f8cdcd55-68e7-4cde-b235-97ee13bbd18d}" done="1">
    <x18tc:text xml:space="preserve">update địa chỉ chi tiết + script round 2</x18tc:text>
  </x18tc:threadedComment>
  <x18tc:threadedComment ref="J27" dT="2026-05-13T09:48:13.00" personId="{aaeedc4c-d628-4e6a-888e-5003435b31f9}" id="{e5ade292-f39b-4bb6-b765-02e763667cba}" done="0">
    <x18tc:text xml:space="preserve">em update bạn mới nìa chị @thanhngan.le@pmax.com.vn
Assigned to thanhngan.le@pmax.com.vn</x18tc:text>
    <x18tc:mentions>
      <x18tc:mention mentionpersonId="{0ef3a09f-575c-4f4c-a9a9-a62dcda2236b}" mentionId="{81fc5f21-8506-45ff-bf29-2f008d2df71c}" startIndex="26" length="25"/>
    </x18tc:mentions>
  </x18tc:threadedComment>
  <x18tc:threadedComment ref="AA34" dT="2026-06-05T05:23:27.00" personId="{da6e6322-a5a8-4341-a038-83f3cd504479}" id="{897b2436-9a74-4112-85fe-7100d2dabc90}" done="1">
    <x18tc:text xml:space="preserve">Cho Hà xin link final demo bạn này nha Tấn ơi, confirm rồi mà bị mất link nè @quoctan.hoang@pmax.com.vn
Assigned to quoctan.hoang@pmax.com.vn</x18tc:text>
    <x18tc:mentions>
      <x18tc:mention mentionpersonId="{b48cb73e-0651-43f8-9972-5d0699cde47a}" mentionId="{d9a42454-b008-44ae-8923-df0af8b992b5}" startIndex="77" length="26"/>
    </x18tc:mentions>
  </x18tc:threadedComment>
  <x18tc:threadedComment ref="AA34" dT="2026-06-05T06:26:12.00" personId="{aaeedc4c-d628-4e6a-888e-5003435b31f9}" id="{fec567b0-bdd5-48d1-a549-c9fc096bfa4a}" parentId="{897b2436-9a74-4112-85fe-7100d2dabc90}">
    <x18tc:text xml:space="preserve">rùi nhen</x18tc:text>
  </x18tc:threadedComment>
  <x18tc:threadedComment ref="W23" dT="2026-05-19T09:00:47.00" personId="{aaeedc4c-d628-4e6a-888e-5003435b31f9}" id="{d78d6bbe-6e9e-46d6-ac99-a1575ff7751c}" done="1">
    <x18tc:text xml:space="preserve">được cho em xin feedback lun nhen chị @thanhngan.le@pmax.com.vn</x18tc:text>
    <x18tc:mentions>
      <x18tc:mention mentionpersonId="{0ef3a09f-575c-4f4c-a9a9-a62dcda2236b}" mentionId="{ea3ec714-326c-463f-bfc3-5fdfb181b8dd}" startIndex="38" length="25"/>
    </x18tc:mentions>
  </x18tc:threadedComment>
  <x18tc:threadedComment ref="X6" dT="2026-05-20T07:48:04.00" personId="{aaeedc4c-d628-4e6a-888e-5003435b31f9}" id="{a8875bd0-c2b4-474a-8210-fc6ba0091515}" done="1">
    <x18tc:text xml:space="preserve">há lu chị @thanhngan.le@pmax.com.vn em update
1 total reaction
Thanh Ngan Le (Account team) reacted with 🩷 at 2026-05-20 08:37 AM
Assigned to thanhngan.le@pmax.com.vn</x18tc:text>
    <x18tc:mentions>
      <x18tc:mention mentionpersonId="{0ef3a09f-575c-4f4c-a9a9-a62dcda2236b}" mentionId="{57b41eb9-2804-4177-ba92-1b7d7826789d}" startIndex="10" length="25"/>
    </x18tc:mentions>
  </x18tc:threadedComment>
  <x18tc:threadedComment ref="X6" dT="2026-05-21T13:37:16.00" personId="{aaeedc4c-d628-4e6a-888e-5003435b31f9}" id="{d7fff812-0c46-43c7-8fb0-e07c0f72a34e}" parentId="{a8875bd0-c2b4-474a-8210-fc6ba0091515}">
    <x18tc:text xml:space="preserve">chị @thanhngan.le@pmax.com.vn ơi case này chưa có feedback hẻ</x18tc:text>
    <x18tc:mentions>
      <x18tc:mention mentionpersonId="{0ef3a09f-575c-4f4c-a9a9-a62dcda2236b}" mentionId="{cdf56238-b68c-47ae-9d4c-82246b176e32}" startIndex="4" length="25"/>
    </x18tc:mentions>
  </x18tc:threadedComment>
  <x18tc:threadedComment ref="X6" dT="2026-05-21T15:58:25.00" personId="{5be54148-8bdf-4e96-a0e0-110f443abc89}" id="{22eb8079-1c86-476b-860a-823f0fffec5b}" parentId="{a8875bd0-c2b4-474a-8210-fc6ba0091515}">
    <x18tc:text xml:space="preserve">cóa fbs rùi nhen</x18tc:text>
  </x18tc:threadedComment>
  <x18tc:threadedComment ref="Q5" dT="2026-05-12T09:23:11.00" personId="{aaeedc4c-d628-4e6a-888e-5003435b31f9}" id="{fbc1e55a-5704-42dc-b53d-3c3a69fbc650}" done="0">
    <x18tc:text xml:space="preserve">em update script nhen chị @thanhngan.le@pmax.com.vn</x18tc:text>
    <x18tc:mentions>
      <x18tc:mention mentionpersonId="{0ef3a09f-575c-4f4c-a9a9-a62dcda2236b}" mentionId="{7332c768-dcbd-4114-aa8f-c48e5b2ac59c}" startIndex="26" length="25"/>
    </x18tc:mentions>
  </x18tc:threadedComment>
  <x18tc:threadedComment ref="X17" dT="2026-06-02T06:52:59.00" personId="{5be54148-8bdf-4e96-a0e0-110f443abc89}" id="{7dab69d6-b66c-4933-b790-93f6edfcc9ee}" done="1">
    <x18tc:text xml:space="preserve">9mấy bạn hili hồng) cũng còn rất nhiều bạn đã cos fbs của brand mà chưa gửi lại demo á @quoctan.hoang@pmax.com.vn , push luôn gom giúp c nha vì bên brand này proceed lâu nên mình gom nhiều hạn chế update lắt nhắt để bển check 1 lần luôn nha
Assigned to quoctan.hoang@pmax.com.vn</x18tc:text>
    <x18tc:mentions>
      <x18tc:mention mentionpersonId="{b48cb73e-0651-43f8-9972-5d0699cde47a}" mentionId="{26c7a877-d5d3-4405-a2c2-62c9cf51086f}" startIndex="87" length="26"/>
    </x18tc:mentions>
  </x18tc:threadedComment>
  <x18tc:threadedComment ref="X17" dT="2026-06-03T08:00:59.00" personId="{aaeedc4c-d628-4e6a-888e-5003435b31f9}" id="{3eaa60a4-d522-4cc4-a5ac-a411a5a7f0d4}" parentId="{7dab69d6-b66c-4933-b790-93f6edfcc9ee}">
    <x18tc:text xml:space="preserve">gửi rùi nho</x18tc:text>
  </x18tc:threadedComment>
  <x18tc:threadedComment ref="J25" dT="2026-05-13T09:31:21.00" personId="{5be54148-8bdf-4e96-a0e0-110f443abc89}" id="{ef003172-bb21-40de-be66-ec85040f25fb}" done="0">
    <x18tc:text xml:space="preserve">update thời gian @quoctan.hoang@pmax.com.vn
Assigned to quoctan.hoang@pmax.com.vn</x18tc:text>
    <x18tc:mentions>
      <x18tc:mention mentionpersonId="{b48cb73e-0651-43f8-9972-5d0699cde47a}" mentionId="{21b5c230-ba06-462b-9727-ec313f89d45f}" startIndex="17" length="26"/>
    </x18tc:mentions>
  </x18tc:threadedComment>
  <x18tc:threadedComment ref="Z7" dT="2026-05-25T09:09:51.00" personId="{5be54148-8bdf-4e96-a0e0-110f443abc89}" id="{6b2b0f3f-669e-4600-ac8f-f65fc4fb536a}" done="1">
    <x18tc:text xml:space="preserve">@quoctan.hoang@pmax.com.vn ơi, Hàng về. Mấy bạn màu xanh lá cây nhen. Mấy bạn mà sửa minor sắp ok r thì check lịch đăng giúp c lun nhen
Assigned to quoctan.hoang@pmax.com.vn</x18tc:text>
    <x18tc:mentions>
      <x18tc:mention mentionpersonId="{b48cb73e-0651-43f8-9972-5d0699cde47a}" mentionId="{f9f4628f-ef4d-44e4-a0e4-00992bc7a7f8}" startIndex="0" length="26"/>
    </x18tc:mentions>
  </x18tc:threadedComment>
  <x18tc:threadedComment ref="X22" dT="2026-05-27T08:10:54.00" personId="{aaeedc4c-d628-4e6a-888e-5003435b31f9}" id="{e7381940-4980-48b5-b189-20c2e0952eda}" done="1">
    <x18tc:text xml:space="preserve">em update koi nam ăng nhe chị @thanhngan.le@pmax.com.vn
Assigned to thanhngan.le@pmax.com.vn</x18tc:text>
    <x18tc:mentions>
      <x18tc:mention mentionpersonId="{0ef3a09f-575c-4f4c-a9a9-a62dcda2236b}" mentionId="{e3d88710-abaa-4870-8167-466ce5d5bb0b}" startIndex="30" length="25"/>
    </x18tc:mentions>
  </x18tc:threadedComment>
  <x18tc:threadedComment ref="X22" dT="2026-05-27T08:29:14.00" personId="{5be54148-8bdf-4e96-a0e0-110f443abc89}" id="{83966194-a1b4-4c50-81b2-cacc33247506}" parentId="{e7381940-4980-48b5-b189-20c2e0952eda}">
    <x18tc:text xml:space="preserve">tô đỏ đê</x18tc:text>
  </x18tc:threadedComment>
  <x18tc:threadedComment ref="AA21" dT="2026-05-27T08:10:31.00" personId="{aaeedc4c-d628-4e6a-888e-5003435b31f9}" id="{b424475e-7503-4ac7-943f-db2d5d956c4e}" done="1">
    <x18tc:text xml:space="preserve">yuhi update final nhe chị @thanhngan.le@pmax.com.vn
Assigned to thanhngan.le@pmax.com.vn</x18tc:text>
    <x18tc:mentions>
      <x18tc:mention mentionpersonId="{0ef3a09f-575c-4f4c-a9a9-a62dcda2236b}" mentionId="{d50a95ac-002a-40d7-9846-73ac1ce64794}" startIndex="26" length="25"/>
    </x18tc:mentions>
  </x18tc:threadedComment>
  <x18tc:threadedComment ref="U47" dT="2026-05-25T09:51:35.00" personId="{aaeedc4c-d628-4e6a-888e-5003435b31f9}" id="{1d314cac-1692-4b8f-b8bf-b0d0ad91f7ac}" done="1">
    <x18tc:text xml:space="preserve">em update nhe chị @thanhngan.le@pmax.com.vn
Assigned to thanhngan.le@pmax.com.vn</x18tc:text>
    <x18tc:mentions>
      <x18tc:mention mentionpersonId="{0ef3a09f-575c-4f4c-a9a9-a62dcda2236b}" mentionId="{4a17baac-2c2c-4ddf-ac47-ec07ecedeafe}" startIndex="18" length="25"/>
    </x18tc:mentions>
  </x18tc:threadedComment>
  <x18tc:threadedComment ref="Z45" dT="2026-05-25T09:52:13.00" personId="{aaeedc4c-d628-4e6a-888e-5003435b31f9}" id="{426c26d5-6ff7-4bc0-92b8-aa24975c79c7}" done="1">
    <x18tc:text xml:space="preserve">phần này đã finalize chưa zạ</x18tc:text>
  </x18tc:threadedComment>
  <x18tc:threadedComment ref="Z45" dT="2026-05-26T07:15:44.00" personId="{aaeedc4c-d628-4e6a-888e-5003435b31f9}" id="{f9068c22-b7f0-4aa2-99d6-2595d20edf9e}" parentId="{426c26d5-6ff7-4bc0-92b8-aa24975c79c7}">
    <x18tc:text xml:space="preserve">há lu chị @thanhngan.le@pmax.com.vn , phần này đã finalize chưa zạ để em shoot qua cho bạn</x18tc:text>
    <x18tc:mentions>
      <x18tc:mention mentionpersonId="{0ef3a09f-575c-4f4c-a9a9-a62dcda2236b}" mentionId="{876cd5f9-b057-4a23-bfe0-88de18cb23bf}" startIndex="10" length="25"/>
    </x18tc:mentions>
  </x18tc:threadedComment>
  <x18tc:threadedComment ref="J6" dT="2026-05-11T03:45:43.00" personId="{5be54148-8bdf-4e96-a0e0-110f443abc89}" id="{611aff1b-3f7b-4935-b9cd-ccc7a7db2150}" done="1">
    <x18tc:text xml:space="preserve">kiosk mở cuawt từ 10h nha @quoctan.hoang@pmax.com.vn
Assigned to quoctan.hoang@pmax.com.vn</x18tc:text>
    <x18tc:mentions>
      <x18tc:mention mentionpersonId="{b48cb73e-0651-43f8-9972-5d0699cde47a}" mentionId="{e39b1d0b-5f0f-4765-8fcc-abad9c00f1ae}" startIndex="26" length="26"/>
    </x18tc:mentions>
  </x18tc:threadedComment>
  <x18tc:threadedComment ref="J6" dT="2026-05-11T04:04:58.00" personId="{f821b470-037a-4e32-b2cd-de8fb6f74664}" id="{8e4e71a2-b65f-4fa7-bc24-9b22fa3a83e3}" parentId="{611aff1b-3f7b-4935-b9cd-ccc7a7db2150}">
    <x18tc:text xml:space="preserve">Checking lịch đi quay khác</x18tc:text>
  </x18tc:threadedComment>
  <x18tc:threadedComment ref="AF42" dT="2026-05-27T08:04:58.00" personId="{aaeedc4c-d628-4e6a-888e-5003435b31f9}" id="{2823b123-7189-4547-8d3f-b5d33172e88e}" done="1">
    <x18tc:text xml:space="preserve">em update nhe</x18tc:text>
  </x18tc:threadedComment>
  <x18tc:threadedComment ref="AG8" dT="2026-05-27T05:17:43.00" personId="{aaeedc4c-d628-4e6a-888e-5003435b31f9}" id="{0d488846-1931-47f9-a6d5-16d7c39886c4}" done="1">
    <x18tc:text xml:space="preserve">update lịch nhe</x18tc:text>
  </x18tc:threadedComment>
  <x18tc:threadedComment ref="X19" dT="2026-05-26T07:47:24.00" personId="{aaeedc4c-d628-4e6a-888e-5003435b31f9}" id="{f34f397b-0d01-4f6c-9748-8be43afcb667}" done="1">
    <x18tc:text xml:space="preserve">up lên mà hồi hộp nè @thanhngan.le@pmax.com.vn :))) cục zàng của chúm ta
Assigned to thanhngan.le@pmax.com.vn</x18tc:text>
    <x18tc:mentions>
      <x18tc:mention mentionpersonId="{0ef3a09f-575c-4f4c-a9a9-a62dcda2236b}" mentionId="{905c5506-15af-4431-8f6e-14c6f0e427af}" startIndex="21" length="25"/>
    </x18tc:mentions>
  </x18tc:threadedComment>
  <x18tc:threadedComment ref="AB45" dT="2026-06-03T07:26:40.00" personId="{5be54148-8bdf-4e96-a0e0-110f443abc89}" id="{95937430-4e85-4bec-b739-97ab872336f6}" done="1">
    <x18tc:text xml:space="preserve">vd như post này là clip ok r nè @thaiha.doan@pmax.com.vn , note confirm + revise caption nha
Assigned to thaiha.doan@pmax.com.vn</x18tc:text>
    <x18tc:mentions>
      <x18tc:mention mentionpersonId="{09fec8b6-771b-4c05-97b1-78dc22dbd494}" mentionId="{b2e4533a-17a8-4f66-8f5a-02bb92d71e4a}" startIndex="32" length="24"/>
    </x18tc:mentions>
  </x18tc:threadedComment>
  <x18tc:threadedComment ref="U19" dT="2026-05-19T09:39:03.00" personId="{aaeedc4c-d628-4e6a-888e-5003435b31f9}" id="{7c25dbe9-930f-4e8e-8b34-c75d11aed3c0}" done="1">
    <x18tc:text xml:space="preserve">em update nhen chị @thanhngan.le@pmax.com.vn
Assigned to thanhngan.le@pmax.com.vn</x18tc:text>
    <x18tc:mentions>
      <x18tc:mention mentionpersonId="{0ef3a09f-575c-4f4c-a9a9-a62dcda2236b}" mentionId="{d37c2068-51d9-45ad-ab88-5f8cf86820eb}" startIndex="19" length="25"/>
    </x18tc:mentions>
  </x18tc:threadedComment>
  <x18tc:threadedComment ref="J16" dT="2026-05-15T07:37:00.00" personId="{aaeedc4c-d628-4e6a-888e-5003435b31f9}" id="{43da0bf4-ff19-4115-a49f-c452c9a2c3aa}" done="0">
    <x18tc:text xml:space="preserve">em update thêm chị @thanhngan.le@pmax.com.vn</x18tc:text>
    <x18tc:mentions>
      <x18tc:mention mentionpersonId="{0ef3a09f-575c-4f4c-a9a9-a62dcda2236b}" mentionId="{d27259f6-b3d8-486c-bbb6-436204df7d0f}" startIndex="19" length="25"/>
    </x18tc:mentions>
  </x18tc:threadedComment>
  <x18tc:threadedComment ref="X36" dT="2026-06-08T06:42:24.00" personId="{da6e6322-a5a8-4341-a038-83f3cd504479}" id="{1d27b244-10f7-4eb3-811c-94437a5802fd}" done="1">
    <x18tc:text xml:space="preserve">link demo R2 giống link demo R1, check nha @quoctan.hoang@pmax.com.vn
Assigned to quoctan.hoang@pmax.com.vn</x18tc:text>
    <x18tc:mentions>
      <x18tc:mention mentionpersonId="{b48cb73e-0651-43f8-9972-5d0699cde47a}" mentionId="{3b72c5c9-eb31-4c2b-abdc-8a7a7c6b8805}" startIndex="43" length="26"/>
    </x18tc:mentions>
  </x18tc:threadedComment>
  <x18tc:threadedComment ref="X36" dT="2026-06-08T09:51:43.00" personId="{aaeedc4c-d628-4e6a-888e-5003435b31f9}" id="{e18bd7ec-d0d7-4ce4-a13a-ff188854f579}" parentId="{1d27b244-10f7-4eb3-811c-94437a5802fd}">
    <x18tc:text xml:space="preserve">hi team ơi, Tấn có note 1 lần với mình là các bạn KOC sẽ sử dụng chung 1 link drive, và upload video lên (kèm xoá video round), nên bản chất sẽ chung 1 link á</x18tc:text>
  </x18tc:threadedComment>
  <x18tc:threadedComment ref="J20" dT="2026-05-12T11:26:12.00" personId="{aaeedc4c-d628-4e6a-888e-5003435b31f9}" id="{380a3d69-27e5-4ae7-b998-b29d3cab72f3}" done="0">
    <x18tc:text xml:space="preserve">em update nhen @thanhngan.le@pmax.com.vn</x18tc:text>
    <x18tc:mentions>
      <x18tc:mention mentionpersonId="{0ef3a09f-575c-4f4c-a9a9-a62dcda2236b}" mentionId="{6f4575d8-c530-4867-8962-d6fac69644da}" startIndex="15" length="25"/>
    </x18tc:mentions>
  </x18tc:threadedComment>
  <x18tc:threadedComment ref="J20" dT="2026-05-12T11:26:53.00" personId="{5be54148-8bdf-4e96-a0e0-110f443abc89}" id="{fde7dd39-1fa5-45cb-9f84-6b9a540711e2}" parentId="{380a3d69-27e5-4ae7-b998-b29d3cab72f3}">
    <x18tc:text xml:space="preserve">thời gian</x18tc:text>
  </x18tc:threadedComment>
  <x18tc:threadedComment ref="Q6" dT="2026-05-11T04:05:33.00" personId="{f821b470-037a-4e32-b2cd-de8fb6f74664}" id="{5c1c038a-02a7-48ab-a826-49af6c8b1384}" done="1">
    <x18tc:text xml:space="preserve">updated script R2</x18tc:text>
  </x18tc:threadedComment>
  <x18tc:threadedComment ref="X46" dT="2026-05-22T07:11:17.00" personId="{aaeedc4c-d628-4e6a-888e-5003435b31f9}" id="{0a34cb5f-4a16-4067-898a-00d4aade05e8}" done="1">
    <x18tc:text xml:space="preserve">hi chị @thanhngan.le@pmax.com.vn em update R2
Assigned to thanhngan.le@pmax.com.vn</x18tc:text>
    <x18tc:mentions>
      <x18tc:mention mentionpersonId="{0ef3a09f-575c-4f4c-a9a9-a62dcda2236b}" mentionId="{78d995dc-a002-4b10-8d88-6927927bb2e5}" startIndex="7" length="25"/>
    </x18tc:mentions>
  </x18tc:threadedComment>
  <x18tc:threadedComment ref="X46" dT="2026-05-25T03:23:05.00" personId="{aaeedc4c-d628-4e6a-888e-5003435b31f9}" id="{abb3a6a3-a41a-4d62-899a-2c7337e8f676}" parentId="{0a34cb5f-4a16-4067-898a-00d4aade05e8}">
    <x18tc:text xml:space="preserve">cho em xin status con này với chị @thanhngan.le@pmax.com.vn</x18tc:text>
    <x18tc:mentions>
      <x18tc:mention mentionpersonId="{0ef3a09f-575c-4f4c-a9a9-a62dcda2236b}" mentionId="{e493765b-eaee-4278-8862-962dbc0e38d0}" startIndex="34" length="25"/>
    </x18tc:mentions>
  </x18tc:threadedComment>
  <x18tc:threadedComment ref="U21" dT="2026-05-19T09:39:58.00" personId="{aaeedc4c-d628-4e6a-888e-5003435b31f9}" id="{291b88db-9595-4c50-95d1-7f8ecada87d9}" done="1">
    <x18tc:text xml:space="preserve">chị ơi em gửi nhe</x18tc:text>
  </x18tc:threadedComment>
  <x18tc:threadedComment ref="J8" dT="2026-05-11T04:09:24.00" personId="{f821b470-037a-4e32-b2cd-de8fb6f74664}" id="{b73ddcd3-4e45-4462-a41c-b873e1f45b82}" done="0">
    <x18tc:text xml:space="preserve">Checking lịch đi quay</x18tc:text>
  </x18tc:threadedComment>
  <x18tc:threadedComment ref="J8" dT="2026-05-12T08:43:33.00" personId="{aaeedc4c-d628-4e6a-888e-5003435b31f9}" id="{191b3b2d-e4d2-4303-bf91-920c9915df5f}" parentId="{b73ddcd3-4e45-4462-a41c-b873e1f45b82}">
    <x18tc:text xml:space="preserve">Với chị @thanhngan.le@pmax.com.vn ơi, check giúp em địa điểm này với, bạn KOC hỏi là nó nằm ở dĩ an hẻ tại tìm hong thấy trên map</x18tc:text>
    <x18tc:mentions>
      <x18tc:mention mentionpersonId="{0ef3a09f-575c-4f4c-a9a9-a62dcda2236b}" mentionId="{a114d7ef-9d09-46be-a65d-ca8a130192f1}" startIndex="8" length="25"/>
    </x18tc:mentions>
  </x18tc:threadedComment>
  <x18tc:threadedComment ref="J8" dT="2026-05-12T08:43:50.00" personId="{aaeedc4c-d628-4e6a-888e-5003435b31f9}" id="{3201b823-705a-4f8c-bae9-03d047c5ac39}" parentId="{b73ddcd3-4e45-4462-a41c-b873e1f45b82}">
    <x18tc:text xml:space="preserve">có gì brand cho bạn xin định vị lun nhen @thanhngan.le@pmax.com.vn</x18tc:text>
    <x18tc:mentions>
      <x18tc:mention mentionpersonId="{0ef3a09f-575c-4f4c-a9a9-a62dcda2236b}" mentionId="{7e6dee1f-35f8-412f-b605-8fe501a5ed78}" startIndex="41" length="25"/>
    </x18tc:mentions>
  </x18tc:threadedComment>
  <x18tc:threadedComment ref="J8" dT="2026-05-12T09:02:14.00" personId="{5be54148-8bdf-4e96-a0e0-110f443abc89}" id="{30a0371b-a121-4390-a800-ab14c952a414}" parentId="{b73ddcd3-4e45-4462-a41c-b873e1f45b82}">
    <x18tc:text xml:space="preserve">Địa chỉ nha: https://www.facebook.com/share/p/1Dw8gLG1TG/</x18tc:text>
    <x18tc:extLst>
      <ext uri="{F7C98A9C-CBB3-438F-8F68-D28B6AF4A901}">
        <xltc2:checksum/>
        <xltc2:hyperlink startIndex="13" length="44" url="https://www.facebook.com/share/p/1Dw8gLG1TG/"/>
      </ext>
    </x18tc:extLst>
  </x18tc:threadedComment>
  <x18tc:threadedComment ref="J8" dT="2026-05-12T09:02:58.00" personId="{aaeedc4c-d628-4e6a-888e-5003435b31f9}" id="{6c6ed995-17fd-45d1-a45d-4506f05fcae3}" parentId="{b73ddcd3-4e45-4462-a41c-b873e1f45b82}">
    <x18tc:text xml:space="preserve">em cũm gửi cái này xong bạn kiu nó nằm ở dĩ an :)))</x18tc:text>
  </x18tc:threadedComment>
  <x18tc:threadedComment ref="J8" dT="2026-05-12T09:09:14.00" personId="{5be54148-8bdf-4e96-a0e0-110f443abc89}" id="{801dec0c-711c-47e7-a25d-8b254e04ea18}" parentId="{b73ddcd3-4e45-4462-a41c-b873e1f45b82}">
    <x18tc:text xml:space="preserve">đường này ngay trung tâm Thủ Đức, gần Đặng Văn Bi mà hong phải Dĩ An gì đâu</x18tc:text>
  </x18tc:threadedComment>
  <x18tc:threadedComment ref="J36" dT="2026-05-12T17:07:09.00" personId="{aaeedc4c-d628-4e6a-888e-5003435b31f9}" id="{e2faf145-ef8f-443c-aa5a-df2af227a157}" done="0">
    <x18tc:text xml:space="preserve">mai chị dí em con này nha</x18tc:text>
  </x18tc:threadedComment>
  <x18tc:threadedComment ref="AA44" dT="2026-05-22T07:11:48.00" personId="{aaeedc4c-d628-4e6a-888e-5003435b31f9}" id="{669c87ff-2518-42e1-80fa-587942ea9553}" done="1">
    <x18tc:text xml:space="preserve">chị check giúp em nhe @thanhngan.le@pmax.com.vn
Assigned to thanhngan.le@pmax.com.vn</x18tc:text>
    <x18tc:mentions>
      <x18tc:mention mentionpersonId="{0ef3a09f-575c-4f4c-a9a9-a62dcda2236b}" mentionId="{aa78d557-d47f-4ed6-be70-4dea480df052}" startIndex="22" length="25"/>
    </x18tc:mentions>
  </x18tc:threadedComment>
  <x18tc:threadedComment ref="AA44" dT="2026-05-25T03:22:55.00" personId="{aaeedc4c-d628-4e6a-888e-5003435b31f9}" id="{d1292d77-be53-40b6-ad95-077868966d48}" parentId="{669c87ff-2518-42e1-80fa-587942ea9553}">
    <x18tc:text xml:space="preserve">cho em xin status con này với chị @thanhngan.le@pmax.com.vn</x18tc:text>
    <x18tc:mentions>
      <x18tc:mention mentionpersonId="{0ef3a09f-575c-4f4c-a9a9-a62dcda2236b}" mentionId="{875bd9d6-92a5-423f-8cd7-c70f707bd540}" startIndex="34" length="25"/>
    </x18tc:mentions>
  </x18tc:threadedComment>
  <x18tc:threadedComment ref="U43" dT="2026-05-21T13:53:03.00" personId="{aaeedc4c-d628-4e6a-888e-5003435b31f9}" id="{50846105-0f55-4778-b1dc-fcb05dcf58dc}" done="1">
    <x18tc:text xml:space="preserve">em up demo nhen chị @thanhngan.le@pmax.com.vn
Assigned to thanhngan.le@pmax.com.vn</x18tc:text>
    <x18tc:mentions>
      <x18tc:mention mentionpersonId="{0ef3a09f-575c-4f4c-a9a9-a62dcda2236b}" mentionId="{44885c95-edf3-4c61-a2c4-4c1c612f7350}" startIndex="20" length="25"/>
    </x18tc:mentions>
  </x18tc:threadedComment>
  <x18tc:threadedComment ref="U43" dT="2026-05-25T09:50:51.00" personId="{aaeedc4c-d628-4e6a-888e-5003435b31f9}" id="{741199c7-ef27-4068-b365-7b1a8d845a1c}" parentId="{50846105-0f55-4778-b1dc-fcb05dcf58dc}">
    <x18tc:text xml:space="preserve">đang bị miss á chị @thanhngan.le@pmax.com.vn
1 total reaction
Thanh Ngan Le (Account team) reacted with ♥️ at 2026-05-25 11:42 AM</x18tc:text>
    <x18tc:mentions>
      <x18tc:mention mentionpersonId="{0ef3a09f-575c-4f4c-a9a9-a62dcda2236b}" mentionId="{238cdd7e-0bfb-4dd2-b41e-6c93f15f88b5}" startIndex="19" length="25"/>
    </x18tc:mentions>
  </x18tc:threadedComment>
  <x18tc:threadedComment ref="U43" dT="2026-05-26T07:14:41.00" personId="{aaeedc4c-d628-4e6a-888e-5003435b31f9}" id="{ee24001c-7ca1-454b-b9db-843983e916ba}" parentId="{50846105-0f55-4778-b1dc-fcb05dcf58dc}">
    <x18tc:text xml:space="preserve">chị @thanhngan.le@pmax.com.vn ơi, case nào sao stuck dữ z không có feedback lun hẻ</x18tc:text>
    <x18tc:mentions>
      <x18tc:mention mentionpersonId="{0ef3a09f-575c-4f4c-a9a9-a62dcda2236b}" mentionId="{c167e6f2-0525-4072-97b6-27d63a9fde51}" startIndex="4" length="25"/>
    </x18tc:mentions>
  </x18tc:threadedComment>
  <x18tc:threadedComment ref="Y44" dT="2026-05-20T07:29:29.00" personId="{aaeedc4c-d628-4e6a-888e-5003435b31f9}" id="{c5f3ef9c-0a97-4915-8bfb-c0f91e6c0a67}" done="0">
    <x18tc:text xml:space="preserve">khi nào mình có feedback tag em nha chị @thanhngan.le@pmax.com.vn
Assigned to thanhngan.le@pmax.com.vn</x18tc:text>
    <x18tc:mentions>
      <x18tc:mention mentionpersonId="{0ef3a09f-575c-4f4c-a9a9-a62dcda2236b}" mentionId="{18229dd5-7273-4717-a848-98dc0e384f46}" startIndex="40" length="25"/>
    </x18tc:mentions>
  </x18tc:threadedComment>
  <x18tc:threadedComment ref="S45" dT="2026-05-12T09:59:52.00" personId="{aaeedc4c-d628-4e6a-888e-5003435b31f9}" id="{0b868674-c69c-401f-829d-b23ed1916217}" done="0">
    <x18tc:text xml:space="preserve">em update thêm bạn này nha @thanhngan.le@pmax.com.vn
Assigned to thanhngan.le@pmax.com.vn</x18tc:text>
    <x18tc:mentions>
      <x18tc:mention mentionpersonId="{0ef3a09f-575c-4f4c-a9a9-a62dcda2236b}" mentionId="{6eee8371-b7cb-4203-a09d-ef91ac7575a7}" startIndex="27" length="25"/>
    </x18tc:mentions>
  </x18tc:threadedComment>
  <x18tc:threadedComment ref="J18" dT="2026-05-13T09:29:48.00" personId="{5be54148-8bdf-4e96-a0e0-110f443abc89}" id="{7da9f12a-7570-464f-b67e-ec411f2d73c8}" done="0">
    <x18tc:text xml:space="preserve">bạn này chưa bổ sung outfit</x18tc:text>
  </x18tc:threadedComment>
  <x18tc:threadedComment ref="X9" dT="2026-05-22T07:12:28.00" personId="{aaeedc4c-d628-4e6a-888e-5003435b31f9}" id="{ec76f7bd-7c04-4579-907c-3db05d9ead4a}" done="1">
    <x18tc:text xml:space="preserve">chị @thanhngan.le@pmax.com.vn ơi em gửi nhe
Assigned to thanhngan.le@pmax.com.vn</x18tc:text>
    <x18tc:mentions>
      <x18tc:mention mentionpersonId="{0ef3a09f-575c-4f4c-a9a9-a62dcda2236b}" mentionId="{c5680ad6-7d15-42c4-ad7b-be7385b1d6b6}" startIndex="4" length="25"/>
    </x18tc:mentions>
  </x18tc:threadedComment>
  <x18tc:threadedComment ref="X7" dT="2026-05-21T13:59:03.00" personId="{aaeedc4c-d628-4e6a-888e-5003435b31f9}" id="{72e1e94d-376f-4242-b12e-805439bd796b}" done="1">
    <x18tc:text xml:space="preserve">em update nhen chị @thanhngan.le@pmax.com.vn
Assigned to thanhngan.le@pmax.com.vn</x18tc:text>
    <x18tc:mentions>
      <x18tc:mention mentionpersonId="{0ef3a09f-575c-4f4c-a9a9-a62dcda2236b}" mentionId="{bc4d716e-8196-4e04-9c9f-773665703b15}" startIndex="19" length="25"/>
    </x18tc:mentions>
  </x18tc:threadedComment>
  <x18tc:threadedComment ref="AE45" dT="2026-05-25T10:58:46.00" personId="{5be54148-8bdf-4e96-a0e0-110f443abc89}" id="{4e840601-447d-40f9-b3ae-2af573d5b476}" done="1">
    <x18tc:text xml:space="preserve">sửa cmt nhen @quoctan.hoang@pmax.com.vn
Assigned to quoctan.hoang@pmax.com.vn</x18tc:text>
    <x18tc:mentions>
      <x18tc:mention mentionpersonId="{b48cb73e-0651-43f8-9972-5d0699cde47a}" mentionId="{6a21df32-d6ca-441b-9b8f-78b065cc7780}" startIndex="13" length="26"/>
    </x18tc:mentions>
  </x18tc:threadedComment>
  <x18tc:threadedComment ref="Q36" dT="2026-05-12T17:02:42.00" personId="{aaeedc4c-d628-4e6a-888e-5003435b31f9}" id="{09b27b60-6c08-4305-9192-445f8bb57bb8}" done="0">
    <x18tc:text xml:space="preserve">chị Cứu em nhoé</x18tc:text>
  </x18tc:threadedComment>
  <x18tc:threadedComment ref="Q36" dT="2026-05-12T17:02:52.00" personId="{aaeedc4c-d628-4e6a-888e-5003435b31f9}" id="{26018f1c-a5b5-4ce0-b2bf-7e40f6ac4ee0}" parentId="{09b27b60-6c08-4305-9192-445f8bb57bb8}">
    <x18tc:text xml:space="preserve">@thanhngan.le@pmax.com.vn</x18tc:text>
    <x18tc:mentions>
      <x18tc:mention mentionpersonId="{0ef3a09f-575c-4f4c-a9a9-a62dcda2236b}" mentionId="{f07c5ef5-adf9-4bf0-b8fb-03c925d69653}" startIndex="0" length="25"/>
    </x18tc:mentions>
  </x18tc:threadedComment>
  <x18tc:threadedComment ref="Q36" dT="2026-05-12T17:14:30.00" personId="{5be54148-8bdf-4e96-a0e0-110f443abc89}" id="{7f32cbb6-e5aa-4811-ac38-1095005dac8c}" parentId="{09b27b60-6c08-4305-9192-445f8bb57bb8}">
    <x18tc:text xml:space="preserve">okiii mai brand check sớm nha</x18tc:text>
  </x18tc:threadedComment>
  <x18tc:threadedComment ref="Z29" dT="2026-06-09T05:11:40.00" personId="{aaeedc4c-d628-4e6a-888e-5003435b31f9}" id="{c50c4984-ceec-4540-879d-e7f7d86f768f}" done="0">
    <x18tc:text xml:space="preserve">há lu mình bị miss cái nì @thaiha.doan@pmax.com.vn @thanhngan.le@pmax.com.vn
1 total reaction
Thai Ha Doan (Account) reacted with ❤️ at 2026-06-09 05:12 AM
Assigned to thaiha.doan@pmax.com.vn</x18tc:text>
    <x18tc:mentions>
      <x18tc:mention mentionpersonId="{09fec8b6-771b-4c05-97b1-78dc22dbd494}" mentionId="{f909a47f-458d-4a5b-a1d1-74fc9cab1453}" startIndex="26" length="24"/>
      <x18tc:mention mentionpersonId="{0ef3a09f-575c-4f4c-a9a9-a62dcda2236b}" mentionId="{ed0c5aef-ee35-471d-bc8b-90036183f04f}" startIndex="51" length="25"/>
    </x18tc:mentions>
  </x18tc:threadedComment>
  <x18tc:threadedComment ref="J29" dT="2026-05-21T14:06:29.00" personId="{aaeedc4c-d628-4e6a-888e-5003435b31f9}" id="{527a7a63-d0f7-444c-9720-3e987ae4c061}" done="0">
    <x18tc:text xml:space="preserve">chị @thanhngan.le@pmax.com.vn ơi, lịch case này chị check giúp em đừng quên nhe
Assigned to thanhngan.le@pmax.com.vn</x18tc:text>
    <x18tc:mentions>
      <x18tc:mention mentionpersonId="{0ef3a09f-575c-4f4c-a9a9-a62dcda2236b}" mentionId="{52ee0d18-0549-41dd-9e56-5a14af0e6a07}" startIndex="4" length="25"/>
    </x18tc:mentions>
  </x18tc:threadedComment>
  <x18tc:threadedComment ref="J26" dT="2026-05-15T07:42:35.00" personId="{aaeedc4c-d628-4e6a-888e-5003435b31f9}" id="{fc206737-57a6-40ae-b401-4d522080133e}" done="0">
    <x18tc:text xml:space="preserve">chị check lại giúp em, em mới đổi site bạn này @thanhngan.le@pmax.com.vn
Assigned to thanhngan.le@pmax.com.vn</x18tc:text>
    <x18tc:mentions>
      <x18tc:mention mentionpersonId="{0ef3a09f-575c-4f4c-a9a9-a62dcda2236b}" mentionId="{096d97c4-a5a5-4ce2-aad2-b3be5c6409df}" startIndex="47" length="25"/>
    </x18tc:mentions>
  </x18tc:threadedComment>
  <x18tc:threadedComment ref="U9" dT="2026-05-18T06:41:45.00" personId="{aaeedc4c-d628-4e6a-888e-5003435b31f9}" id="{0e1159ec-c8c3-41a2-a602-aae222292a5d}" done="1">
    <x18tc:text xml:space="preserve">em update nho chị @thanhngan.le@pmax.com.vn
1 total reaction
Thanh Ngan Le (Account team) reacted with 🩷 at 2026-05-18 07:12 AM</x18tc:text>
    <x18tc:mentions>
      <x18tc:mention mentionpersonId="{0ef3a09f-575c-4f4c-a9a9-a62dcda2236b}" mentionId="{76532464-566e-45b2-8697-1ac426517fd9}" startIndex="18" length="25"/>
    </x18tc:mentions>
  </x18tc:threadedComment>
  <x18tc:threadedComment ref="J19" dT="2026-05-15T07:39:00.00" personId="{aaeedc4c-d628-4e6a-888e-5003435b31f9}" id="{e447b875-26be-47f3-a29e-6ba9e9d2f1e5}" done="0">
    <x18tc:text xml:space="preserve">em update nhen chị @thanhngan.le@pmax.com.vn
1 total reaction
Thanh Ngan Le (Account team) reacted with ♥️ at 2026-05-15 07:41 AM
Assigned to thanhngan.le@pmax.com.vn</x18tc:text>
    <x18tc:mentions>
      <x18tc:mention mentionpersonId="{0ef3a09f-575c-4f4c-a9a9-a62dcda2236b}" mentionId="{1aba1589-206a-49a8-b9e0-1e95a81d122e}" startIndex="19" length="25"/>
    </x18tc:mentions>
  </x18tc:threadedComment>
  <x18tc:threadedComment ref="Z9" dT="2026-05-22T10:19:58.00" personId="{5be54148-8bdf-4e96-a0e0-110f443abc89}" id="{4892774d-81b5-40e1-b0bf-920f4bd6f2e5}" done="1">
    <x18tc:text xml:space="preserve">hú @quoctan.hoang@pmax.com.vn lẹ lẹ cho 2 bạn chỉnh tuần sau air nha + check caption
Assigned to quoctan.hoang@pmax.com.vn</x18tc:text>
    <x18tc:mentions>
      <x18tc:mention mentionpersonId="{b48cb73e-0651-43f8-9972-5d0699cde47a}" mentionId="{f8b01f53-6994-4205-af46-e0a2ef52bb34}" startIndex="3" length="26"/>
    </x18tc:mentions>
  </x18tc:threadedComment>
  <x18tc:threadedComment ref="U6" dT="2026-05-18T06:41:34.00" personId="{aaeedc4c-d628-4e6a-888e-5003435b31f9}" id="{b75aaf18-6c4e-49fc-a7bb-4d2d59fde1ae}" done="1">
    <x18tc:text xml:space="preserve">em update nhen chị @thanhngan.le@pmax.com.vn
Assigned to thanhngan.le@pmax.com.vn</x18tc:text>
    <x18tc:mentions>
      <x18tc:mention mentionpersonId="{0ef3a09f-575c-4f4c-a9a9-a62dcda2236b}" mentionId="{0d1b03df-8899-49b1-99a6-ae3caab1d097}" startIndex="19" length="25"/>
    </x18tc:mentions>
  </x18tc:threadedComment>
  <x18tc:threadedComment ref="U13" dT="2026-05-26T07:18:42.00" personId="{aaeedc4c-d628-4e6a-888e-5003435b31f9}" id="{43f49300-96f7-4c08-bd74-4d8bfbac7294}" done="1">
    <x18tc:text xml:space="preserve">há lu mom @thanhngan.le@pmax.com.vn hỗ trợ em
Assigned to thanhngan.le@pmax.com.vn</x18tc:text>
    <x18tc:mentions>
      <x18tc:mention mentionpersonId="{0ef3a09f-575c-4f4c-a9a9-a62dcda2236b}" mentionId="{52eaff94-f3cc-40a1-be10-1ec1d6a56973}" startIndex="10" length="25"/>
    </x18tc:mentions>
  </x18tc:threadedComment>
  <x18tc:threadedComment ref="J34" dT="2026-05-13T05:14:55.00" personId="{5be54148-8bdf-4e96-a0e0-110f443abc89}" id="{05e5f178-1562-4944-9c39-4ca352cba272}" done="1">
    <x18tc:text xml:space="preserve">cho chị địa chỉ ở Đồng Nai nha hoặc brand sẽ propose địa điểm ở Đnai nha</x18tc:text>
  </x18tc:threadedComment>
  <x18tc:threadedComment ref="U29" dT="2026-05-30T09:04:56.00" personId="{aaeedc4c-d628-4e6a-888e-5003435b31f9}" id="{bb680ace-22e0-43e0-841e-2ad9c757e6bd}" done="1">
    <x18tc:text xml:space="preserve">em lên demo bánh ú nhen @thanhngan.le@pmax.com.vn
1 total reaction
Thanh Ngan Le (Account team) reacted with 😘 at 2026-05-30 16:03 PM
Assigned to thanhngan.le@pmax.com.vn</x18tc:text>
    <x18tc:mentions>
      <x18tc:mention mentionpersonId="{0ef3a09f-575c-4f4c-a9a9-a62dcda2236b}" mentionId="{45ace663-ed88-4b59-9731-5a79fbe82414}" startIndex="24" length="25"/>
    </x18tc:mentions>
  </x18tc:threadedComment>
  <x18tc:threadedComment ref="U23" dT="2026-05-14T08:53:45.00" personId="{aaeedc4c-d628-4e6a-888e-5003435b31f9}" id="{8fed5fd5-1e7f-41c1-a144-218c6b6283b2}" done="1">
    <x18tc:text xml:space="preserve">em gửi link demo</x18tc:text>
  </x18tc:threadedComment>
  <x18tc:threadedComment ref="U23" dT="2026-05-14T09:49:04.00" personId="{5be54148-8bdf-4e96-a0e0-110f443abc89}" id="{8ca38509-b2f9-4deb-9f55-30d5a30b0424}" parentId="{8fed5fd5-1e7f-41c1-a144-218c6b6283b2}">
    <x18tc:text xml:space="preserve">dễ thưn za, để check nha</x18tc:text>
  </x18tc:threadedComment>
  <x18tc:threadedComment ref="AA13" dT="2026-06-08T03:05:11.00" personId="{da6e6322-a5a8-4341-a038-83f3cd504479}" id="{ca278d1c-8ff3-4ac3-9e41-8224d164adfe}" done="1">
    <x18tc:text xml:space="preserve">bạn này confirm rồi mà nhở @quoctan.hoang@pmax.com.vn ơi, sao bị mất lịnk final demo hả
Assigned to quoctan.hoang@pmax.com.vn</x18tc:text>
    <x18tc:mentions>
      <x18tc:mention mentionpersonId="{b48cb73e-0651-43f8-9972-5d0699cde47a}" mentionId="{4d7a7565-39ab-4964-8e7b-2074445a86fd}" startIndex="27" length="26"/>
    </x18tc:mentions>
  </x18tc:threadedComment>
  <x18tc:threadedComment ref="AA13" dT="2026-06-08T03:15:22.00" personId="{aaeedc4c-d628-4e6a-888e-5003435b31f9}" id="{c4e83a93-4ca5-4d13-b9f3-caccfea7fc8e}" parentId="{ca278d1c-8ff3-4ac3-9e41-8224d164adfe}">
    <x18tc:text xml:space="preserve">ủa phần này chưa gửi demo lun mà sao có cf hay zị :)))</x18tc:text>
  </x18tc:threadedComment>
  <x18tc:threadedComment ref="AA13" dT="2026-06-08T03:28:56.00" personId="{da6e6322-a5a8-4341-a038-83f3cd504479}" id="{88fbe747-65aa-4662-a3b4-1eeddd3b1e80}" parentId="{ca278d1c-8ff3-4ac3-9e41-8224d164adfe}">
    <x18tc:text xml:space="preserve">số thứ tự 2 sheet INT với EXT lệch nhau nên Hà nhìn nhầm =)))) sori Tấn</x18tc:text>
  </x18tc:threadedComment>
  <x18tc:threadedComment ref="J46" dT="2026-05-12T03:36:16.00" personId="{5be54148-8bdf-4e96-a0e0-110f443abc89}" id="{aa0a8c3a-5318-4673-90f9-2606ff909796}" done="1">
    <x18tc:text xml:space="preserve">có phải đc này hong note rõ ra nha 7. OUTLET - HKD GÀ RÁN FIVE STAR THU HÀ - 37/3 Huỳnh Tấn Phát, Xã Nhà Bè, TPHCM
@quoctan.hoang@pmax.com.vn
Assigned to quoctan.hoang@pmax.com.vn</x18tc:text>
    <x18tc:mentions>
      <x18tc:mention mentionpersonId="{b48cb73e-0651-43f8-9972-5d0699cde47a}" mentionId="{a2226e27-fe48-4ca2-8ad6-eaadd9859bbe}" startIndex="115" length="26"/>
    </x18tc:mentions>
  </x18tc:threadedComment>
  <x18tc:threadedComment ref="J19" dT="2026-05-13T05:16:31.00" personId="{5be54148-8bdf-4e96-a0e0-110f443abc89}" id="{c87d4f05-fdb0-47aa-92df-7ec7fe7c0aaf}" done="1">
    <x18tc:text xml:space="preserve">tgian địa điểm nha, nếu HN là phải 15 trở đi</x18tc:text>
  </x18tc:threadedComment>
  <x18tc:threadedComment ref="AA16" dT="2026-06-04T11:21:02.00" personId="{aaeedc4c-d628-4e6a-888e-5003435b31f9}" id="{e1f872c6-61d9-4b65-818d-405693568981}" done="1">
    <x18tc:text xml:space="preserve">em reup lai video nhà mây nhe @thanhngan.le@pmax.com.vn @thaiha.doan@pmax.com.vn 
Video này có thấy confirm và chỉ cần bỏ cái bubble text thì em collect ngày air luôn nha
1 total reaction
Thanh Ngan Le (Account team) reacted with 🩷 at 2026-06-04 11:24 AM
Assigned to thanhngan.le@pmax.com.vn</x18tc:text>
    <x18tc:mentions>
      <x18tc:mention mentionpersonId="{0ef3a09f-575c-4f4c-a9a9-a62dcda2236b}" mentionId="{e1600437-84b1-44af-b4f8-d3929f322831}" startIndex="30" length="25"/>
      <x18tc:mention mentionpersonId="{09fec8b6-771b-4c05-97b1-78dc22dbd494}" mentionId="{ccf60c86-8013-4fef-a2ad-3a034882d598}" startIndex="56" length="24"/>
    </x18tc:mentions>
  </x18tc:threadedComment>
  <x18tc:threadedComment ref="N13" dT="2026-05-14T08:58:19.00" personId="{aaeedc4c-d628-4e6a-888e-5003435b31f9}" id="{b20af9af-d49b-423c-8f16-b51eaafdd31b}" done="0">
    <x18tc:text xml:space="preserve">update script R1 chị @thanhngan.le@pmax.com.vn</x18tc:text>
    <x18tc:mentions>
      <x18tc:mention mentionpersonId="{0ef3a09f-575c-4f4c-a9a9-a62dcda2236b}" mentionId="{c4f73f5a-50a9-4ee5-af33-519129f97968}" startIndex="21" length="25"/>
    </x18tc:mentions>
  </x18tc:threadedComment>
  <x18tc:threadedComment ref="N13" dT="2026-05-14T10:38:43.00" personId="{5be54148-8bdf-4e96-a0e0-110f443abc89}" id="{afa21427-ef7a-46b9-9c2b-01533e0979b2}" parentId="{b20af9af-d49b-423c-8f16-b51eaafdd31b}">
    <x18tc:text xml:space="preserve">oke để check lìn</x18tc:text>
  </x18tc:threadedComment>
  <x18tc:threadedComment ref="AF7" dT="2026-05-27T07:47:21.00" personId="{aaeedc4c-d628-4e6a-888e-5003435b31f9}" id="{b1cc2607-7b9b-4cf8-a6cb-dd132b80c027}" done="1">
    <x18tc:text xml:space="preserve">em gửi caption nhe chị @thanhngan.le@pmax.com.vn
Assigned to thanhngan.le@pmax.com.vn</x18tc:text>
    <x18tc:mentions>
      <x18tc:mention mentionpersonId="{0ef3a09f-575c-4f4c-a9a9-a62dcda2236b}" mentionId="{75fa0ec9-32da-4193-a9d7-9c664aa23eb1}" startIndex="23" length="25"/>
    </x18tc:mentions>
  </x18tc:threadedComment>
  <x18tc:threadedComment ref="AD18" dT="2026-06-08T03:24:48.00" personId="{aaeedc4c-d628-4e6a-888e-5003435b31f9}" id="{bef87fd0-1494-4add-8d7b-018ec458798c}" done="0">
    <x18tc:text xml:space="preserve">bạn này brand chưa feedback caption ha team ui @thanhngan.le@pmax.com.vn @thaiha.doan@pmax.com.vn</x18tc:text>
    <x18tc:mentions>
      <x18tc:mention mentionpersonId="{0ef3a09f-575c-4f4c-a9a9-a62dcda2236b}" mentionId="{312d225a-870a-452d-8392-854e5f24048b}" startIndex="47" length="25"/>
      <x18tc:mention mentionpersonId="{09fec8b6-771b-4c05-97b1-78dc22dbd494}" mentionId="{f2f3bbac-5832-4ad7-b15d-12cd65d6fe9b}" startIndex="73" length="24"/>
    </x18tc:mentions>
  </x18tc:threadedComment>
  <x18tc:threadedComment ref="AD18" dT="2026-06-09T02:51:53.00" personId="{da6e6322-a5a8-4341-a038-83f3cd504479}" id="{a37461d7-8137-4f70-8720-ecd88164e13b}" parentId="{bef87fd0-1494-4add-8d7b-018ec458798c}">
    <x18tc:text xml:space="preserve">đã có nha</x18tc:text>
  </x18tc:threadedComment>
  <x18tc:threadedComment ref="Z27" dT="2026-06-03T07:32:46.00" personId="{5be54148-8bdf-4e96-a0e0-110f443abc89}" id="{2f29a65b-c6e6-47a7-85f0-928defe97eac}" done="1">
    <x18tc:text xml:space="preserve">ví dụ như bạn này nè, mình có fbs sửa text nên note v INT hem hiểu nha @thaiha.doan@pmax.com.vn
Assigned to thaiha.doan@pmax.com.vn</x18tc:text>
    <x18tc:mentions>
      <x18tc:mention mentionpersonId="{09fec8b6-771b-4c05-97b1-78dc22dbd494}" mentionId="{536e2842-2d74-44b0-a3e7-7aaff565b520}" startIndex="71" length="24"/>
    </x18tc:mentions>
  </x18tc:threadedComment>
  <x18tc:threadedComment ref="Z27" dT="2026-06-03T07:37:42.00" personId="{da6e6322-a5a8-4341-a038-83f3cd504479}" id="{5e5fdfc4-1b4d-466e-8259-4366e26fceeb}" parentId="{2f29a65b-c6e6-47a7-85f0-928defe97eac}">
    <x18tc:text xml:space="preserve">em đã sửa ạ</x18tc:text>
  </x18tc:threadedComment>
  <x18tc:threadedComment ref="U36" dT="2026-05-27T07:45:48.00" personId="{aaeedc4c-d628-4e6a-888e-5003435b31f9}" id="{1dc850cb-0398-4fc3-800a-eb435616ed11}" done="1">
    <x18tc:text xml:space="preserve">em lên R1 nhe chị @thanhngan.le@pmax.com.vn
Assigned to thanhngan.le@pmax.com.vn</x18tc:text>
    <x18tc:mentions>
      <x18tc:mention mentionpersonId="{0ef3a09f-575c-4f4c-a9a9-a62dcda2236b}" mentionId="{78d3b06a-dd19-44f2-87de-57b1bdf15bbc}" startIndex="18" length="25"/>
    </x18tc:mentions>
  </x18tc:threadedComment>
  <x18tc:threadedComment ref="X31" dT="2026-06-04T11:31:33.00" personId="{aaeedc4c-d628-4e6a-888e-5003435b31f9}" id="{be18a7b6-f321-4d93-b83d-d275e88476f5}" done="1">
    <x18tc:text xml:space="preserve">đi đơn cho mom @thanhngan.le@pmax.com.vn
Assigned to thanhngan.le@pmax.com.vn</x18tc:text>
    <x18tc:mentions>
      <x18tc:mention mentionpersonId="{0ef3a09f-575c-4f4c-a9a9-a62dcda2236b}" mentionId="{6b44b655-5a37-497b-8728-37618b608e24}" startIndex="15" length="25"/>
    </x18tc:mentions>
  </x18tc:threadedComment>
  <x18tc:threadedComment ref="U31" dT="2026-05-27T07:45:32.00" personId="{aaeedc4c-d628-4e6a-888e-5003435b31f9}" id="{96e40018-b009-479c-8a72-7de9490285fb}" done="1">
    <x18tc:text xml:space="preserve">em lên demo R1 nhe chị @thanhngan.le@pmax.com.vn
Assigned to thanhngan.le@pmax.com.vn</x18tc:text>
    <x18tc:mentions>
      <x18tc:mention mentionpersonId="{0ef3a09f-575c-4f4c-a9a9-a62dcda2236b}" mentionId="{0b470e02-4905-4741-81ad-018168a2dd88}" startIndex="23" length="25"/>
    </x18tc:mentions>
  </x18tc:threadedComment>
  <x18tc:threadedComment ref="U25" dT="2026-05-27T07:45:17.00" personId="{aaeedc4c-d628-4e6a-888e-5003435b31f9}" id="{33c43927-9bee-42d8-904d-306e2c6f2a52}" done="1">
    <x18tc:text xml:space="preserve">em lên demo R1 nhe chị @thanhngan.le@pmax.com.vn
Assigned to thanhngan.le@pmax.com.vn</x18tc:text>
    <x18tc:mentions>
      <x18tc:mention mentionpersonId="{0ef3a09f-575c-4f4c-a9a9-a62dcda2236b}" mentionId="{da5f9d9b-6fd2-438a-8275-e33d3d04b045}" startIndex="23" length="25"/>
    </x18tc:mentions>
  </x18tc:threadedComment>
  <x18tc:threadedComment ref="U17" dT="2026-05-27T07:45:04.00" personId="{aaeedc4c-d628-4e6a-888e-5003435b31f9}" id="{aed1401e-4c84-4d6f-a958-cf8bf1dcf201}" done="1">
    <x18tc:text xml:space="preserve">em lên demo R1 nhe chị @thanhngan.le@pmax.com.vn
Assigned to thanhngan.le@pmax.com.vn</x18tc:text>
    <x18tc:mentions>
      <x18tc:mention mentionpersonId="{0ef3a09f-575c-4f4c-a9a9-a62dcda2236b}" mentionId="{e5aa08ad-015b-4b01-9fe9-986d352226f6}" startIndex="23" length="25"/>
    </x18tc:mentions>
  </x18tc:threadedComment>
  <x18tc:threadedComment ref="U17" dT="2026-05-27T07:59:06.00" personId="{5be54148-8bdf-4e96-a0e0-110f443abc89}" id="{3a6afac2-0b09-4503-a5e4-104311e38c2b}" parentId="{aed1401e-4c84-4d6f-a958-cf8bf1dcf201}">
    <x18tc:text xml:space="preserve">mở access nha</x18tc:text>
  </x18tc:threadedComment>
  <x18tc:threadedComment ref="N29" dT="2026-05-23T15:16:36.00" personId="{aaeedc4c-d628-4e6a-888e-5003435b31f9}" id="{38cd1f2d-c120-475f-b5dc-08aab824f875}" done="0">
    <x18tc:text xml:space="preserve">lên đơn mom @thanhngan.le@pmax.com.vn
Assigned to thanhngan.le@pmax.com.vn</x18tc:text>
    <x18tc:mentions>
      <x18tc:mention mentionpersonId="{0ef3a09f-575c-4f4c-a9a9-a62dcda2236b}" mentionId="{202e6d53-547a-43eb-87f2-1a60e86e1ee0}" startIndex="12" length="25"/>
    </x18tc:mentions>
  </x18tc:threadedComment>
  <x18tc:threadedComment ref="X36" dT="2026-06-05T07:40:55.00" personId="{da6e6322-a5a8-4341-a038-83f3cd504479}" id="{36e9feab-cbbc-4150-8aef-3c0994460d70}" done="1">
    <x18tc:text xml:space="preserve">còn bạn này chưa có demo R2 thôi, Tấn đuổi nốt nha @quoctan.hoang@pmax.com.vn
Assigned to quoctan.hoang@pmax.com.vn</x18tc:text>
    <x18tc:mentions>
      <x18tc:mention mentionpersonId="{b48cb73e-0651-43f8-9972-5d0699cde47a}" mentionId="{b896a15e-87cc-4345-8d60-13d024af9adc}" startIndex="51" length="26"/>
    </x18tc:mentions>
  </x18tc:threadedComment>
  <x18tc:threadedComment ref="X36" dT="2026-06-05T08:51:22.00" personId="{aaeedc4c-d628-4e6a-888e-5003435b31f9}" id="{afd6ebfa-ddf5-4aad-98cd-cfe9fad31bb9}" parentId="{36e9feab-cbbc-4150-8aef-3c0994460d70}">
    <x18tc:text xml:space="preserve">ráng lúm rùi :)))
1 total reaction
Thai Ha Doan (Account) reacted with 🥲 at 2026-06-07 14:37 PM</x18tc:text>
  </x18tc:threadedComment>
  <x18tc:threadedComment ref="X36" dT="2026-06-08T03:29:48.00" personId="{aaeedc4c-d628-4e6a-888e-5003435b31f9}" id="{27c809c6-ae33-40ef-946f-619257ef510b}" parentId="{36e9feab-cbbc-4150-8aef-3c0994460d70}">
    <x18tc:text xml:space="preserve">em update rùi nhen chị @thanhngan.le@pmax.com.vn @thaiha.doan@pmax.com.vn</x18tc:text>
    <x18tc:mentions>
      <x18tc:mention mentionpersonId="{0ef3a09f-575c-4f4c-a9a9-a62dcda2236b}" mentionId="{1b240e37-b713-4540-bc4d-0a3c518c722e}" startIndex="23" length="25"/>
      <x18tc:mention mentionpersonId="{09fec8b6-771b-4c05-97b1-78dc22dbd494}" mentionId="{be92d5ab-a95e-4358-8465-6e405b247638}" startIndex="49" length="24"/>
    </x18tc:mentions>
  </x18tc:threadedComment>
  <x18tc:threadedComment ref="T46" dT="2026-05-18T03:55:37.00" personId="{aaeedc4c-d628-4e6a-888e-5003435b31f9}" id="{c02484b3-f28a-48fd-a0ea-1f5a434ef623}" done="0">
    <x18tc:text xml:space="preserve">em update sheet round 3 nhen chị @thanhngan.le@pmax.com.vn
Assigned to thanhngan.le@pmax.com.vn</x18tc:text>
    <x18tc:mentions>
      <x18tc:mention mentionpersonId="{0ef3a09f-575c-4f4c-a9a9-a62dcda2236b}" mentionId="{2bb43784-2833-4ad8-94e0-31596f8e2f86}" startIndex="33" length="25"/>
    </x18tc:mentions>
  </x18tc:threadedComment>
  <x18tc:threadedComment ref="J25" dT="2026-05-12T09:49:01.00" personId="{5be54148-8bdf-4e96-a0e0-110f443abc89}" id="{6e1066cd-705a-4244-90bd-5cac214b40a4}" done="1">
    <x18tc:text xml:space="preserve">update địa chỉ chi tiết @quoctan.hoang@pmax.com.vn
Assigned to quoctan.hoang@pmax.com.vn</x18tc:text>
    <x18tc:mentions>
      <x18tc:mention mentionpersonId="{b48cb73e-0651-43f8-9972-5d0699cde47a}" mentionId="{fb3f6113-71b1-4234-9598-6cf63e7eeac3}" startIndex="24" length="26"/>
    </x18tc:mentions>
  </x18tc:threadedComment>
  <x18tc:threadedComment ref="J25" dT="2026-05-12T11:26:19.00" personId="{aaeedc4c-d628-4e6a-888e-5003435b31f9}" id="{c46338ea-69f8-4551-8ee5-87f9d228d9d6}" parentId="{6e1066cd-705a-4244-90bd-5cac214b40a4}">
    <x18tc:text xml:space="preserve">em update nhen chị @thanhngan.le@pmax.com.vn</x18tc:text>
    <x18tc:mentions>
      <x18tc:mention mentionpersonId="{0ef3a09f-575c-4f4c-a9a9-a62dcda2236b}" mentionId="{df8a3f2b-2719-411b-862e-5482a043d436}" startIndex="19" length="25"/>
    </x18tc:mentions>
  </x18tc:threadedComment>
  <x18tc:threadedComment ref="J25" dT="2026-05-13T05:16:06.00" personId="{5be54148-8bdf-4e96-a0e0-110f443abc89}" id="{45199464-3bc2-4cb8-b56b-d95c93be358b}" parentId="{6e1066cd-705a-4244-90bd-5cac214b40a4}">
    <x18tc:text xml:space="preserve">ở HN là 15 trở đi nha</x18tc:text>
  </x18tc:threadedComment>
  <x18tc:threadedComment ref="AA45" dT="2026-06-03T07:08:50.00" personId="{aaeedc4c-d628-4e6a-888e-5003435b31f9}" id="{b5878764-217a-4122-a2d0-0c902ae21178}" done="1">
    <x18tc:text xml:space="preserve">em đổi lại link đã chỉnh chả giò gai jor theo cái brand note rùi nhen chị @thanhngan.le@pmax.com.vn (cc @thaiha.doan@pmax.com.vn
Assigned to thanhngan.le@pmax.com.vn</x18tc:text>
    <x18tc:mentions>
      <x18tc:mention mentionpersonId="{0ef3a09f-575c-4f4c-a9a9-a62dcda2236b}" mentionId="{265e0e18-eb29-401b-9770-29ecc9d5da38}" startIndex="74" length="25"/>
      <x18tc:mention mentionpersonId="{09fec8b6-771b-4c05-97b1-78dc22dbd494}" mentionId="{011eb90c-2204-4707-b994-42e39a81cd25}" startIndex="104" length="24"/>
    </x18tc:mentions>
  </x18tc:threadedComment>
  <x18tc:threadedComment ref="AF9" dT="2026-05-30T08:53:12.00" personId="{aaeedc4c-d628-4e6a-888e-5003435b31f9}" id="{51906752-676d-454a-bef7-2bd1a0672f1d}" done="1">
    <x18tc:text xml:space="preserve">em update revised nhen chị @thanhngan.le@pmax.com.vn
Assigned to thanhngan.le@pmax.com.vn</x18tc:text>
    <x18tc:mentions>
      <x18tc:mention mentionpersonId="{0ef3a09f-575c-4f4c-a9a9-a62dcda2236b}" mentionId="{d5f00b5f-9439-4d60-b0c4-8acb8ec5dc60}" startIndex="27" length="25"/>
    </x18tc:mentions>
  </x18tc:threadedComment>
  <x18tc:threadedComment ref="AF41" dT="2026-06-03T07:07:01.00" personId="{da6e6322-a5a8-4341-a038-83f3cd504479}" id="{273a0a11-9cff-4861-abc8-16ec89b33a82}" done="0">
    <x18tc:text xml:space="preserve">Feedback brand team:
Leo: Bỏ ""Vietnam"". Đã dùng từ quán thì không cần thêm vào, trừ khi dùng từ chuỗi"
@quoctan.hoang@pmax.com.vn check nha ạ
Assigned to quoctan.hoang@pmax.com.vn</x18tc:text>
    <x18tc:mentions>
      <x18tc:mention mentionpersonId="{b48cb73e-0651-43f8-9972-5d0699cde47a}" mentionId="{78becbf0-a293-4da1-a485-7ae6e1873a55}" startIndex="105" length="26"/>
    </x18tc:mentions>
  </x18tc:threadedComment>
  <x18tc:threadedComment ref="AF41" dT="2026-06-09T04:42:10.00" personId="{aaeedc4c-d628-4e6a-888e-5003435b31f9}" id="{723848d6-9a71-4395-a4f0-8f7048c17f7f}" parentId="{273a0a11-9cff-4861-abc8-16ec89b33a82}">
    <x18tc:text xml:space="preserve">chữ Vietnam ở đâu zạaa</x18tc:text>
  </x18tc:threadedComment>
  <x18tc:threadedComment ref="AF41" dT="2026-06-09T04:46:13.00" personId="{da6e6322-a5a8-4341-a038-83f3cd504479}" id="{a4d1cc18-fff6-4ec0-8c34-e3a35d020875}" parentId="{273a0a11-9cff-4861-abc8-16ec89b33a82}">
    <x18tc:text xml:space="preserve">hashtag nha: #FiveStar #FiveStarVietnam #GaRanFiveStar #GaDay
@quoctan.hoang@pmax.com.vn</x18tc:text>
    <x18tc:mentions>
      <x18tc:mention mentionpersonId="{b48cb73e-0651-43f8-9972-5d0699cde47a}" mentionId="{5ed52f23-8242-4a9c-8096-05ebb40eb578}" startIndex="62" length="26"/>
    </x18tc:mentions>
  </x18tc:threadedComment>
  <x18tc:threadedComment ref="AF41" dT="2026-06-09T05:18:02.00" personId="{aaeedc4c-d628-4e6a-888e-5003435b31f9}" id="{e99e093b-76b3-4f7b-a202-70c235d815e0}" parentId="{273a0a11-9cff-4861-abc8-16ec89b33a82}">
    <x18tc:text xml:space="preserve">cc chị @thanhngan.le@pmax.com.vn phần hashtag này là brand confirm với team rùi đúng hong chị.</x18tc:text>
    <x18tc:mentions>
      <x18tc:mention mentionpersonId="{0ef3a09f-575c-4f4c-a9a9-a62dcda2236b}" mentionId="{eca8a3a8-5772-4e7e-b6f9-05089e92bf40}" startIndex="7" length="25"/>
    </x18tc:mentions>
  </x18tc:threadedComment>
  <x18tc:threadedComment ref="AF41" dT="2026-06-09T05:23:31.00" personId="{da6e6322-a5a8-4341-a038-83f3cd504479}" id="{28e6e190-46c2-4609-9a37-69fec86c5f9d}" parentId="{273a0a11-9cff-4861-abc8-16ec89b33a82}">
    <x18tc:text xml:space="preserve">confirm rồi nha Tấn, bản này đúng rồi nha @quoctan.hoang@pmax.com.vn</x18tc:text>
    <x18tc:mentions>
      <x18tc:mention mentionpersonId="{b48cb73e-0651-43f8-9972-5d0699cde47a}" mentionId="{a67a8a16-2b76-4866-9d20-dd55e4e4844a}" startIndex="42" length="26"/>
    </x18tc:mentions>
  </x18tc:threadedComment>
  <x18tc:threadedComment ref="X5" dT="2026-05-27T07:44:09.00" personId="{aaeedc4c-d628-4e6a-888e-5003435b31f9}" id="{e6c87c62-1ac6-40de-a2c2-5d9e2a6703b4}" done="1">
    <x18tc:text xml:space="preserve">em lên R2 nhe chị @thanhngan.le@pmax.com.vn
Assigned to thanhngan.le@pmax.com.vn</x18tc:text>
    <x18tc:mentions>
      <x18tc:mention mentionpersonId="{0ef3a09f-575c-4f4c-a9a9-a62dcda2236b}" mentionId="{667a5663-f34f-4d7f-91b8-910e9e4f4466}" startIndex="18" length="25"/>
    </x18tc:mentions>
  </x18tc:threadedComment>
  <x18tc:threadedComment ref="J3" dT="2026-05-09T07:46:34.00" personId="{5be54148-8bdf-4e96-a0e0-110f443abc89}" id="{45df1ffe-5c78-4e49-b74d-e7a9df02cbf3}" done="1">
    <x18tc:text xml:space="preserve">Check với KOL/ Community thời gian địa điểm nha @quoctan.hoang@pmax.com.vn
Assigned to quoctan.hoang@pmax.com.vn</x18tc:text>
    <x18tc:mentions>
      <x18tc:mention mentionpersonId="{b48cb73e-0651-43f8-9972-5d0699cde47a}" mentionId="{5ab6b8f3-3139-448d-a23e-254e1a6b5ff5}" startIndex="48" length="26"/>
    </x18tc:mentions>
  </x18tc:threadedComment>
  <x18tc:threadedComment ref="W25" dT="2026-05-30T08:48:45.00" personId="{aaeedc4c-d628-4e6a-888e-5003435b31f9}" id="{1243a0fb-0f87-49fe-a4fb-70842474023a}" done="1">
    <x18tc:text xml:space="preserve">mình bị miss bạn này á chị @thanhngan.le@pmax.com.vn
Assigned to thanhngan.le@pmax.com.vn</x18tc:text>
    <x18tc:mentions>
      <x18tc:mention mentionpersonId="{0ef3a09f-575c-4f4c-a9a9-a62dcda2236b}" mentionId="{b9d2f4da-58c3-475a-8818-d8c363c2c5d4}" startIndex="27" length="25"/>
    </x18tc:mentions>
  </x18tc:threadedComment>
  <x18tc:threadedComment ref="W25" dT="2026-05-30T16:02:01.00" personId="{5be54148-8bdf-4e96-a0e0-110f443abc89}" id="{b070a7b3-1895-4c11-a46e-d7c70cea5bc4}" parentId="{1243a0fb-0f87-49fe-a4fb-70842474023a}">
    <x18tc:text xml:space="preserve">c update nha</x18tc:text>
  </x18tc:threadedComment>
  <x18tc:threadedComment ref="AB12" dT="2026-06-09T02:28:02.00" personId="{da6e6322-a5a8-4341-a038-83f3cd504479}" id="{d027a95b-fde4-4e90-916a-9e082cde0ed2}" done="0">
    <x18tc:text xml:space="preserve">Tấn check các ô highlight xanh nước biển mới update nha @quoctan.hoang@pmax.com.vn
Assigned to quoctan.hoang@pmax.com.vn</x18tc:text>
    <x18tc:mentions>
      <x18tc:mention mentionpersonId="{b48cb73e-0651-43f8-9972-5d0699cde47a}" mentionId="{15895252-b3f1-470e-b1c0-02fc143c89d1}" startIndex="56" length="26"/>
    </x18tc:mentions>
  </x18tc:threadedComment>
  <x18tc:threadedComment ref="Z47" dT="2026-05-30T09:02:22.00" personId="{aaeedc4c-d628-4e6a-888e-5003435b31f9}" id="{b1cecb69-f79c-4cbf-b539-59e634813bb5}" done="1">
    <x18tc:text xml:space="preserve">mình bị miss bạn nì @thanhngan.le@pmax.com.vn
Assigned to thanhngan.le@pmax.com.vn</x18tc:text>
    <x18tc:mentions>
      <x18tc:mention mentionpersonId="{0ef3a09f-575c-4f4c-a9a9-a62dcda2236b}" mentionId="{7e414411-2693-4d61-a53d-fd8600f12485}" startIndex="20" length="25"/>
    </x18tc:mentions>
  </x18tc:threadedComment>
  <x18tc:threadedComment ref="AA40" dT="2026-05-26T07:09:41.00" personId="{aaeedc4c-d628-4e6a-888e-5003435b31f9}" id="{89164080-0119-4df1-adb4-0fcfb57a9d9d}" done="1">
    <x18tc:text xml:space="preserve">@thanhngan.le@pmax.com.vn hú hú
Assigned to thanhngan.le@pmax.com.vn</x18tc:text>
    <x18tc:mentions>
      <x18tc:mention mentionpersonId="{0ef3a09f-575c-4f4c-a9a9-a62dcda2236b}" mentionId="{df0f3ef1-0ccf-49f5-914c-0c87ec58efe2}" startIndex="0" length="25"/>
    </x18tc:mentions>
  </x18tc:threadedComment>
  <x18tc:threadedComment ref="AA40" dT="2026-05-26T07:13:29.00" personId="{5be54148-8bdf-4e96-a0e0-110f443abc89}" id="{80150b74-0ce5-4449-9535-eb0cd7f62305}" parentId="{89164080-0119-4df1-adb4-0fcfb57a9d9d}">
    <x18tc:text xml:space="preserve">ủa con này chưa có fbs R2 brand team s có Final demo hay z</x18tc:text>
  </x18tc:threadedComment>
  <x18tc:threadedComment ref="AA40" dT="2026-05-26T07:17:16.00" personId="{aaeedc4c-d628-4e6a-888e-5003435b31f9}" id="{e4e9a1fe-4b2c-4b5d-96e5-ae40759e62cb}" parentId="{89164080-0119-4df1-adb4-0fcfb57a9d9d}">
    <x18tc:text xml:space="preserve">ủa z em add lộn á để xoá :)))</x18tc:text>
  </x18tc:threadedComment>
  <x18tc:threadedComment ref="AA40" dT="2026-05-28T06:06:47.00" personId="{aaeedc4c-d628-4e6a-888e-5003435b31f9}" id="{eee11756-fd98-4618-9ce7-b943100263d9}" parentId="{89164080-0119-4df1-adb4-0fcfb57a9d9d}">
    <x18tc:text xml:space="preserve">em update nhe chị @thanhngan.le@pmax.com.vn 
Con này final push để air lun hen</x18tc:text>
    <x18tc:mentions>
      <x18tc:mention mentionpersonId="{0ef3a09f-575c-4f4c-a9a9-a62dcda2236b}" mentionId="{c2a0635b-a316-4d73-81c8-28dbf92886ed}" startIndex="18" length="25"/>
    </x18tc:mentions>
  </x18tc:threadedComment>
  <x18tc:threadedComment ref="AB45" dT="2026-06-03T07:11:09.00" personId="{aaeedc4c-d628-4e6a-888e-5003435b31f9}" id="{144edb12-5094-4919-acc4-4013bca4439c}" done="1">
    <x18tc:text xml:space="preserve">này là caption ha chị @thanhngan.le@pmax.com.vn
Assigned to thanhngan.le@pmax.com.vn</x18tc:text>
    <x18tc:mentions>
      <x18tc:mention mentionpersonId="{0ef3a09f-575c-4f4c-a9a9-a62dcda2236b}" mentionId="{02c0e8a9-f85e-4213-8a25-0749826122eb}" startIndex="22" length="25"/>
    </x18tc:mentions>
  </x18tc:threadedComment>
  <x18tc:threadedComment ref="N36" dT="2026-05-12T09:46:28.00" personId="{aaeedc4c-d628-4e6a-888e-5003435b31f9}" id="{779f6fb5-509c-4954-9f68-f4f981acb212}" done="0">
    <x18tc:text xml:space="preserve">chị @thanhngan.le@pmax.com.vn check giúp em script này với nhen, này mới round 1</x18tc:text>
    <x18tc:mentions>
      <x18tc:mention mentionpersonId="{0ef3a09f-575c-4f4c-a9a9-a62dcda2236b}" mentionId="{6325fcc0-bc8b-45a5-946f-35e0f2570eeb}" startIndex="4" length="25"/>
    </x18tc:mentions>
  </x18tc:threadedComment>
  <x18tc:threadedComment ref="W7" dT="2026-05-19T11:38:11.00" personId="{5be54148-8bdf-4e96-a0e0-110f443abc89}" id="{58b1231f-bc25-471f-918d-54699e593e2d}" done="1">
    <x18tc:text xml:space="preserve">bạn này c dơn fbs nhen @quoctan.hoang@pmax.com.vn
Assigned to quoctan.hoang@pmax.com.vn</x18tc:text>
    <x18tc:mentions>
      <x18tc:mention mentionpersonId="{b48cb73e-0651-43f8-9972-5d0699cde47a}" mentionId="{abd69faa-a3a6-436e-bd09-c8cd91fca4a6}" startIndex="23" length="26"/>
    </x18tc:mentions>
  </x18tc:threadedComment>
  <x18tc:threadedComment ref="W7" dT="2026-05-21T13:51:51.00" personId="{aaeedc4c-d628-4e6a-888e-5003435b31f9}" id="{a8c3ac39-cef6-4270-b52b-410440248b9e}" parentId="{58b1231f-bc25-471f-918d-54699e593e2d}">
    <x18tc:text xml:space="preserve">eiiiii có feedback add thêm là phải để ở R2 á, chứ em track hong hết được</x18tc:text>
  </x18tc:threadedComment>
  <x18tc:threadedComment ref="AD9" dT="2026-05-27T07:36:56.00" personId="{aaeedc4c-d628-4e6a-888e-5003435b31f9}" id="{fd651b80-49d0-4c76-8585-ac9bb7555898}" done="1">
    <x18tc:text xml:space="preserve">em update lun thư Bonny nhe</x18tc:text>
  </x18tc:threadedComment>
  <x18tc:threadedComment ref="AD9" dT="2026-05-27T07:37:02.00" personId="{aaeedc4c-d628-4e6a-888e-5003435b31f9}" id="{5f946a20-0faa-4324-9fc1-bcd756b837bd}" parentId="{fd651b80-49d0-4c76-8585-ac9bb7555898}">
    <x18tc:text xml:space="preserve">cc chị @thanhngan.le@pmax.com.vn</x18tc:text>
    <x18tc:mentions>
      <x18tc:mention mentionpersonId="{0ef3a09f-575c-4f4c-a9a9-a62dcda2236b}" mentionId="{2066c635-fd00-4b7d-be07-8f9020e55f0c}" startIndex="7" length="25"/>
    </x18tc:mentions>
  </x18tc:threadedComment>
  <x18tc:threadedComment ref="AA39" dT="2026-05-26T07:06:46.00" personId="{aaeedc4c-d628-4e6a-888e-5003435b31f9}" id="{27720e7a-5580-4db2-9f40-a2e0e5a55d8c}" done="1">
    <x18tc:text xml:space="preserve">gô gô @thanhngan.le@pmax.com.vn
Assigned to thanhngan.le@pmax.com.vn</x18tc:text>
    <x18tc:mentions>
      <x18tc:mention mentionpersonId="{0ef3a09f-575c-4f4c-a9a9-a62dcda2236b}" mentionId="{4da68098-05bb-4c53-b354-c305604b12c9}" startIndex="6" length="25"/>
    </x18tc:mentions>
  </x18tc:threadedComment>
  <x18tc:threadedComment ref="AA39" dT="2026-05-26T07:16:43.00" personId="{5be54148-8bdf-4e96-a0e0-110f443abc89}" id="{96c7fc8b-3d38-4052-81ba-03d4d56ce4d0}" parentId="{27720e7a-5580-4db2-9f40-a2e0e5a55d8c}">
    <x18tc:text xml:space="preserve">ok c nhận tin nha</x18tc:text>
  </x18tc:threadedComment>
  <x18tc:threadedComment ref="J34" dT="2026-05-15T03:05:08.00" personId="{5be54148-8bdf-4e96-a0e0-110f443abc89}" id="{f7d8bde1-7212-4a22-8ec0-ee3db755d2a7}" done="0">
    <x18tc:text xml:space="preserve">địa chỉ ở ĐN brand prpose nhen @quoctan.hoang@pmax.com.vn 
Đồng Nai:
HKD Cẩm Tiên - 1224, khu phố Phú Trạch, Phường Tân Triều, Tỉnh Đồng Nai, Việt Nam
HKD Gà Rán Tài Tú - Khu Phố Long Đức 1, Phường Tam Phước, Tỉnh Đồng Nai
HKD Hiệp Quyết - Khu phố Hiệp Tâm 1 TT. Định Quán, Huyện Định Quán, Tỉnh Đồng Nai, Việt Nam
Võ Thị Yến Nhi - Số 59 tổ 1, khu phố Hiệp Quyết, TT. Định Quán, huyện Định Quán, tỉnh Đồng Nai
HKD Phương Uyên - 86 Hùng Vương, Xã Xuân Lộc, Tỉnh Đồng Nai
Assigned to quoctan.hoang@pmax.com.vn</x18tc:text>
    <x18tc:mentions>
      <x18tc:mention mentionpersonId="{b48cb73e-0651-43f8-9972-5d0699cde47a}" mentionId="{f6a97959-100f-46c6-a914-2acd0a5c1d3a}" startIndex="31" length="26"/>
    </x18tc:mentions>
  </x18tc:threadedComment>
  <x18tc:threadedComment ref="AB32" dT="2026-06-08T03:29:06.00" personId="{aaeedc4c-d628-4e6a-888e-5003435b31f9}" id="{63fa3613-938c-4ab8-bbae-2db0adfae023}" done="1">
    <x18tc:text xml:space="preserve">sao qua 2 round rùi mà vẫn còn nhiều feedback tồn đọng z team ui @thanhngan.le@pmax.com.vn @thaiha.doan@pmax.com.vn 
Bên mình có note với brand hong zạ, tại phát sinh round là charge thêm tiền á
Assigned to thanhngan.le@pmax.com.vn</x18tc:text>
    <x18tc:mentions>
      <x18tc:mention mentionpersonId="{0ef3a09f-575c-4f4c-a9a9-a62dcda2236b}" mentionId="{df236e23-698e-4467-8974-ffb44fb07394}" startIndex="65" length="25"/>
      <x18tc:mention mentionpersonId="{09fec8b6-771b-4c05-97b1-78dc22dbd494}" mentionId="{109e32cf-256c-4f76-887b-6dd28f0dd82c}" startIndex="91" length="24"/>
    </x18tc:mentions>
  </x18tc:threadedComment>
  <x18tc:threadedComment ref="AA9" dT="2026-05-27T07:36:31.00" personId="{aaeedc4c-d628-4e6a-888e-5003435b31f9}" id="{da31acd8-8f73-4be9-be33-ffb960236aee}" done="1">
    <x18tc:text xml:space="preserve">em gửi lại final round nhe @thanhngan.le@pmax.com.vn
Assigned to thanhngan.le@pmax.com.vn</x18tc:text>
    <x18tc:mentions>
      <x18tc:mention mentionpersonId="{0ef3a09f-575c-4f4c-a9a9-a62dcda2236b}" mentionId="{0b448e2f-aae8-4040-b532-bdde408a9378}" startIndex="27" length="25"/>
    </x18tc:mentions>
  </x18tc:threadedComment>
  <x18tc:threadedComment ref="U26" dT="2026-05-22T07:24:25.00" personId="{aaeedc4c-d628-4e6a-888e-5003435b31f9}" id="{7abd563a-4501-4945-b3a2-e770be37e271}" done="1">
    <x18tc:text xml:space="preserve">há lu mom @thanhngan.le@pmax.com.vn
Assigned to thanhngan.le@pmax.com.vn</x18tc:text>
    <x18tc:mentions>
      <x18tc:mention mentionpersonId="{0ef3a09f-575c-4f4c-a9a9-a62dcda2236b}" mentionId="{94736ca2-ffbe-43b6-a5ac-a512299ca851}" startIndex="10" length="25"/>
    </x18tc:mentions>
  </x18tc:threadedComment>
  <x18tc:threadedComment ref="Q8" dT="2026-05-12T05:07:34.00" personId="{5be54148-8bdf-4e96-a0e0-110f443abc89}" id="{1888c6a3-fd00-4a8e-9067-39f64252ace2}" done="0">
    <x18tc:text xml:space="preserve">Update nè @quoctan.hoang@pmax.com.vn
Assigned to quoctan.hoang@pmax.com.vn</x18tc:text>
    <x18tc:mentions>
      <x18tc:mention mentionpersonId="{b48cb73e-0651-43f8-9972-5d0699cde47a}" mentionId="{dc5f78a7-31ee-448e-b9d8-b9cf48214bb4}" startIndex="10" length="26"/>
    </x18tc:mentions>
  </x18tc:threadedComment>
  <x18tc:threadedComment ref="Q8" dT="2026-05-12T08:42:43.00" personId="{aaeedc4c-d628-4e6a-888e-5003435b31f9}" id="{d20c5fca-1751-44f9-9d83-54437772fd00}" parentId="{1888c6a3-fd00-4a8e-9067-39f64252ace2}">
    <x18tc:text xml:space="preserve">em update rùi chị ui, chị check giúp em nhe
1 total reaction
Thanh Ngan Le (Account team) reacted with 🧡 at 2026-05-12 08:43 AM</x18tc:text>
  </x18tc:threadedComment>
  <x18tc:threadedComment ref="AA42" dT="2026-06-05T05:29:56.00" personId="{da6e6322-a5a8-4341-a038-83f3cd504479}" id="{3adcc72e-2cad-4b48-82af-6ef06cfb3fd2}" done="0">
    <x18tc:text xml:space="preserve">confirm rồi mà không thấy link final demo nè Tấn ơi, check nhaa @quoctan.hoang@pmax.com.vn
Assigned to quoctan.hoang@pmax.com.vn</x18tc:text>
    <x18tc:mentions>
      <x18tc:mention mentionpersonId="{b48cb73e-0651-43f8-9972-5d0699cde47a}" mentionId="{bbc08036-9cd7-453a-a547-dfbf2af423e2}" startIndex="64" length="26"/>
    </x18tc:mentions>
  </x18tc:threadedComment>
  <x18tc:threadedComment ref="AA42" dT="2026-06-05T07:40:30.00" personId="{aaeedc4c-d628-4e6a-888e-5003435b31f9}" id="{b4d51296-117d-4c65-89d7-3b3c7f383f69}" parentId="{3adcc72e-2cad-4b48-82af-6ef06cfb3fd2}">
    <x18tc:text xml:space="preserve">thường thì nếu brand đã confirm thì Tấn mặc định demo R2 là final demo á team, vậy chắc để Tấn add thêm nha</x18tc:text>
  </x18tc:threadedComment>
  <x18tc:threadedComment ref="AA45" dT="2026-06-01T10:42:41.00" personId="{aaeedc4c-d628-4e6a-888e-5003435b31f9}" id="{38a4b669-28fb-4c94-b5a5-e7fae7e61186}" done="1">
    <x18tc:text xml:space="preserve">em update lại round revise cái final comment nhen chị @thanhngan.le@pmax.com.vn ,cc @thaiha.doan@pmax.com.vn
Assigned to thanhngan.le@pmax.com.vn</x18tc:text>
    <x18tc:mentions>
      <x18tc:mention mentionpersonId="{0ef3a09f-575c-4f4c-a9a9-a62dcda2236b}" mentionId="{ff5da2c8-bd42-45f4-b28c-28426411870e}" startIndex="54" length="25"/>
      <x18tc:mention mentionpersonId="{09fec8b6-771b-4c05-97b1-78dc22dbd494}" mentionId="{9e06edb2-7793-45e6-9954-879fc3db4c36}" startIndex="84" length="24"/>
    </x18tc:mentions>
  </x18tc:threadedComment>
  <x18tc:threadedComment ref="Q20" dT="2026-05-12T09:37:36.00" personId="{aaeedc4c-d628-4e6a-888e-5003435b31f9}" id="{506ab122-4c29-4f59-875d-c52634d2d4cd}" done="0">
    <x18tc:text xml:space="preserve">em update nhen</x18tc:text>
  </x18tc:threadedComment>
  <x18tc:threadedComment ref="AB5" dT="2026-06-02T08:40:18.00" personId="{aaeedc4c-d628-4e6a-888e-5003435b31f9}" id="{1ad43a38-66a8-417b-816d-636d4ae53aef}" done="1">
    <x18tc:text xml:space="preserve">con này final confirm chưa chị @thanhngan.le@pmax.com.vn</x18tc:text>
    <x18tc:mentions>
      <x18tc:mention mentionpersonId="{0ef3a09f-575c-4f4c-a9a9-a62dcda2236b}" mentionId="{a40aa4f7-02c2-4d5f-b5fd-43212940919c}" startIndex="31" length="25"/>
    </x18tc:mentions>
  </x18tc:threadedComment>
  <x18tc:threadedComment ref="W45" dT="2026-05-19T11:38:50.00" personId="{5be54148-8bdf-4e96-a0e0-110f443abc89}" id="{b5ec548e-4cd4-4eee-9231-ab2865d40265}" done="1">
    <x18tc:text xml:space="preserve">bạn này team fbs nha @quoctan.hoang@pmax.com.vn
Assigned to quoctan.hoang@pmax.com.vn</x18tc:text>
    <x18tc:mentions>
      <x18tc:mention mentionpersonId="{b48cb73e-0651-43f8-9972-5d0699cde47a}" mentionId="{2b02d6cf-2d3d-4aaf-b987-040ba4801689}" startIndex="21" length="26"/>
    </x18tc:mentions>
  </x18tc:threadedComment>
  <x18tc:threadedComment ref="Q25" dT="2026-05-12T09:38:47.00" personId="{aaeedc4c-d628-4e6a-888e-5003435b31f9}" id="{2bb713cc-fc3f-4c2a-8ac3-d5b45440f195}" done="0">
    <x18tc:text xml:space="preserve">em update nhen chị @thanhngan.le@pmax.com.vn
1 total reaction
Thanh Ngan Le (Account team) reacted with 🩷 at 2026-05-12 09:42 AM</x18tc:text>
    <x18tc:mentions>
      <x18tc:mention mentionpersonId="{0ef3a09f-575c-4f4c-a9a9-a62dcda2236b}" mentionId="{31c8f122-0512-493f-a657-59891bfcc82e}" startIndex="19" length="25"/>
    </x18tc:mentions>
  </x18tc:threadedComment>
  <x18tc:threadedComment ref="X21" dT="2026-05-22T07:53:34.00" personId="{aaeedc4c-d628-4e6a-888e-5003435b31f9}" id="{7a79609d-2da7-4272-a1cf-444af04ce354}" done="1">
    <x18tc:text xml:space="preserve">em update nhen chị @thanhngan.le@pmax.com.vn
1 total reaction
Thanh Ngan Le (Account team) reacted with 🩷 at 2026-05-22 07:54 AM
Assigned to thanhngan.le@pmax.com.vn</x18tc:text>
    <x18tc:mentions>
      <x18tc:mention mentionpersonId="{0ef3a09f-575c-4f4c-a9a9-a62dcda2236b}" mentionId="{ea3cef63-612d-40bb-b2df-4ec3692bf90c}" startIndex="19" length="25"/>
    </x18tc:mentions>
  </x18tc:threadedComment>
  <x18tc:threadedComment ref="AD31" dT="2026-06-08T03:32:03.00" personId="{aaeedc4c-d628-4e6a-888e-5003435b31f9}" id="{10189d7c-93f6-448d-8f10-e22e01cd7c59}" done="1">
    <x18tc:text xml:space="preserve">mới update nhen team ui @thanhngan.le@pmax.com.vn @thaiha.doan@pmax.com.vn</x18tc:text>
    <x18tc:mentions>
      <x18tc:mention mentionpersonId="{0ef3a09f-575c-4f4c-a9a9-a62dcda2236b}" mentionId="{5520041e-589d-4465-8d71-13674d93b510}" startIndex="24" length="25"/>
      <x18tc:mention mentionpersonId="{09fec8b6-771b-4c05-97b1-78dc22dbd494}" mentionId="{968cd069-d37a-430a-9632-a7ae58fbed3f}" startIndex="50" length="24"/>
    </x18tc:mentions>
  </x18tc:threadedComment>
  <x18tc:threadedComment ref="U22" dT="2026-05-22T07:54:22.00" personId="{aaeedc4c-d628-4e6a-888e-5003435b31f9}" id="{d4277bcc-1e58-4699-990d-f96309ea7cd8}" done="1">
    <x18tc:text xml:space="preserve">em update nhe chị @thanhngan.le@pmax.com.vn
Assigned to thanhngan.le@pmax.com.vn</x18tc:text>
    <x18tc:mentions>
      <x18tc:mention mentionpersonId="{0ef3a09f-575c-4f4c-a9a9-a62dcda2236b}" mentionId="{6613a6ea-010e-474a-aad8-eb89444131d9}" startIndex="18" length="25"/>
    </x18tc:mentions>
  </x18tc:threadedComment>
  <x18tc:threadedComment ref="U22" dT="2026-05-22T07:54:27.00" personId="{aaeedc4c-d628-4e6a-888e-5003435b31f9}" id="{0361f540-6464-4be5-9dfe-da03425dc62f}" parentId="{d4277bcc-1e58-4699-990d-f96309ea7cd8}">
    <x18tc:text xml:space="preserve">có feedback chưa chị ui</x18tc:text>
  </x18tc:threadedComment>
  <x18tc:threadedComment ref="AD8" dT="2026-05-26T03:30:05.00" personId="{aaeedc4c-d628-4e6a-888e-5003435b31f9}" id="{75b86234-7223-425b-8b0c-f91c7eebc4fb}" done="1">
    <x18tc:text xml:space="preserve">em update, đẩy final bạn này giúp em i chị @thanhngan.le@pmax.com.vn
Assigned to thanhngan.le@pmax.com.vn</x18tc:text>
    <x18tc:mentions>
      <x18tc:mention mentionpersonId="{0ef3a09f-575c-4f4c-a9a9-a62dcda2236b}" mentionId="{79a88767-756a-4ac7-8c30-b78778cccf61}" startIndex="43" length="25"/>
    </x18tc:mentions>
  </x18tc:threadedComment>
  <x18tc:threadedComment ref="AA47" dT="2026-06-08T03:33:53.00" personId="{aaeedc4c-d628-4e6a-888e-5003435b31f9}" id="{694555b6-c997-46f6-9765-0e4b2833682f}" done="1">
    <x18tc:text xml:space="preserve">update nhen mấy mom @thanhngan.le@pmax.com.vn @thaiha.doan@pmax.com.vn
Assigned to thanhngan.le@pmax.com.vn</x18tc:text>
    <x18tc:mentions>
      <x18tc:mention mentionpersonId="{0ef3a09f-575c-4f4c-a9a9-a62dcda2236b}" mentionId="{69d041d1-dcfe-4559-bc87-669164dc897a}" startIndex="20" length="25"/>
      <x18tc:mention mentionpersonId="{09fec8b6-771b-4c05-97b1-78dc22dbd494}" mentionId="{17a71e80-0af5-49c2-83a4-09c95d4419b1}" startIndex="46" length="24"/>
    </x18tc:mentions>
  </x18tc:threadedComment>
  <x18tc:threadedComment ref="J47" dT="2026-05-14T08:48:47.00" personId="{aaeedc4c-d628-4e6a-888e-5003435b31f9}" id="{429ca42e-4a7e-4f9a-b845-49f7e75d12e5}" done="0">
    <x18tc:text xml:space="preserve">địa điểm này oke t7 pahir hem @thanhngan.le@pmax.com.vn
Assigned to thanhngan.le@pmax.com.vn</x18tc:text>
    <x18tc:mentions>
      <x18tc:mention mentionpersonId="{0ef3a09f-575c-4f4c-a9a9-a62dcda2236b}" mentionId="{c13f9058-15a3-4938-82f8-5e3009236786}" startIndex="30" length="25"/>
    </x18tc:mentions>
  </x18tc:threadedComment>
  <x18tc:threadedComment ref="J34" dT="2026-05-12T09:48:37.00" personId="{5be54148-8bdf-4e96-a0e0-110f443abc89}" id="{083cacbb-219f-4abf-bf2d-161f4bce96ff}" done="1">
    <x18tc:text xml:space="preserve">bạn này chưa confirm script @quoctan.hoang@pmax.com.vn</x18tc:text>
    <x18tc:mentions>
      <x18tc:mention mentionpersonId="{b48cb73e-0651-43f8-9972-5d0699cde47a}" mentionId="{7f1d7a2b-219f-4012-984d-298dabb8cfab}" startIndex="28" length="26"/>
    </x18tc:mentions>
  </x18tc:threadedComment>
  <x18tc:threadedComment ref="AB33" dT="2026-06-08T03:29:23.00" personId="{aaeedc4c-d628-4e6a-888e-5003435b31f9}" id="{b16027f0-024f-4762-852a-5a078c1853af}" done="1">
    <x18tc:text xml:space="preserve">sao qua 2 round rùi mà vẫn còn nhiều feedback tồn đọng z team ui @thanhngan.le@pmax.com.vn @thaiha.doan@pmax.com.vn 
Bên mình có note với brand hong zạ, tại phát sinh round là charge thêm tiền á
Assigned to thanhngan.le@pmax.com.vn</x18tc:text>
    <x18tc:mentions>
      <x18tc:mention mentionpersonId="{0ef3a09f-575c-4f4c-a9a9-a62dcda2236b}" mentionId="{adfb909b-7107-4ea8-b91f-f59c210efda5}" startIndex="65" length="25"/>
      <x18tc:mention mentionpersonId="{09fec8b6-771b-4c05-97b1-78dc22dbd494}" mentionId="{f0162e76-536f-4416-bf70-140e0c407e7d}" startIndex="91" length="24"/>
    </x18tc:mentions>
  </x18tc:threadedComment>
  <x18tc:threadedComment ref="U45" dT="2026-05-19T04:16:41.00" personId="{aaeedc4c-d628-4e6a-888e-5003435b31f9}" id="{d6b4d281-9a76-4ef4-9f8c-86ad8f6add14}" done="1">
    <x18tc:text xml:space="preserve">em update demo nho @thanhngan.le@pmax.com.vn
Assigned to thanhngan.le@pmax.com.vn</x18tc:text>
    <x18tc:mentions>
      <x18tc:mention mentionpersonId="{0ef3a09f-575c-4f4c-a9a9-a62dcda2236b}" mentionId="{b8453809-d3de-4d0c-8408-5eefb4f816f1}" startIndex="19" length="25"/>
    </x18tc:mentions>
  </x18tc:threadedComment>
  <x18tc:threadedComment ref="J43" dT="2026-05-14T08:48:38.00" personId="{aaeedc4c-d628-4e6a-888e-5003435b31f9}" id="{6bdac609-8489-41b8-bc01-e87fedf3a50f}" done="0">
    <x18tc:text xml:space="preserve">@thanhngan.le@pmax.com.vn confirm giúp em địa điểm này vẫn oke t7 pahir k
Assigned to thanhngan.le@pmax.com.vn</x18tc:text>
    <x18tc:mentions>
      <x18tc:mention mentionpersonId="{0ef3a09f-575c-4f4c-a9a9-a62dcda2236b}" mentionId="{6baa08ce-df82-43e6-a088-5a54d3734297}" startIndex="0" length="25"/>
    </x18tc:mentions>
  </x18tc:threadedComment>
  <x18tc:threadedComment ref="J43" dT="2026-05-14T09:08:37.00" personId="{5be54148-8bdf-4e96-a0e0-110f443abc89}" id="{50e54971-cf58-4695-95f7-88827ffa3776}" parentId="{6bdac609-8489-41b8-bc01-e87fedf3a50f}">
    <x18tc:text xml:space="preserve">để check với brand nha chứ bển note chỉ có ngã cầu j mới k được á</x18tc:text>
  </x18tc:threadedComment>
  <x18tc:threadedComment ref="Q17" dT="2026-05-12T09:28:33.00" personId="{aaeedc4c-d628-4e6a-888e-5003435b31f9}" id="{b10227ab-cda7-4ab2-a173-0aa7c8277357}" done="0">
    <x18tc:text xml:space="preserve">em udate nhen chị @thanhngan.le@pmax.com.vn</x18tc:text>
    <x18tc:mentions>
      <x18tc:mention mentionpersonId="{0ef3a09f-575c-4f4c-a9a9-a62dcda2236b}" mentionId="{1625f847-6821-4362-8123-c00371f6598b}" startIndex="18" length="25"/>
    </x18tc:mentions>
  </x18tc:threadedComment>
  <x18tc:threadedComment ref="AB5" dT="2026-06-03T07:25:32.00" personId="{da6e6322-a5a8-4341-a038-83f3cd504479}" id="{2748d1ba-6048-4d07-922f-bf830ca7ea70}" done="0">
    <x18tc:text xml:space="preserve">đã update status mới nhất tất cả các bạn ạ (highlight xanh lá cây), @quoctan.hoang@pmax.com.vn check nha thankyou 
cc chị @thanhngan.le@pmax.com.vn
Assigned to quoctan.hoang@pmax.com.vn</x18tc:text>
    <x18tc:mentions>
      <x18tc:mention mentionpersonId="{b48cb73e-0651-43f8-9972-5d0699cde47a}" mentionId="{3014096c-c921-401c-95aa-7d779e0615c4}" startIndex="68" length="26"/>
      <x18tc:mention mentionpersonId="{0ef3a09f-575c-4f4c-a9a9-a62dcda2236b}" mentionId="{1971f402-0b6c-42f7-9545-30e4c91d5fde}" startIndex="122" length="25"/>
    </x18tc:mentions>
  </x18tc:threadedComment>
  <x18tc:threadedComment ref="X29" dT="2026-06-03T11:04:14.00" personId="{5be54148-8bdf-4e96-a0e0-110f443abc89}" id="{f4df3f4d-9582-4e1b-98ce-ac4b5e8bfb4d}" done="1">
    <x18tc:text xml:space="preserve">còn có 3 bạn ch có demo R2 thui, ráng push để c shoot hết 1 lần cho brand lun được hem @quoctan.hoang@pmax.com.vn
Assigned to quoctan.hoang@pmax.com.vn</x18tc:text>
    <x18tc:mentions>
      <x18tc:mention mentionpersonId="{b48cb73e-0651-43f8-9972-5d0699cde47a}" mentionId="{13534552-e974-4e2a-ab57-59761752e941}" startIndex="87" length="26"/>
    </x18tc:mentions>
  </x18tc:threadedComment>
  <x18tc:threadedComment ref="AD42" dT="2026-05-12T09:10:30.00" personId="{aaeedc4c-d628-4e6a-888e-5003435b31f9}" id="{c8ab47b0-9c04-44ed-9c51-3c9ea3e76579}" done="1">
    <x18tc:text xml:space="preserve">em note trước case này chỉ feedback 1 lần về caption và ảnh nên brand check kỹ giúp em với nhen</x18tc:text>
  </x18tc:threadedComment>
  <x18tc:threadedComment ref="Q11" dT="2026-05-12T09:28:14.00" personId="{aaeedc4c-d628-4e6a-888e-5003435b31f9}" id="{be10a18f-ea5f-4e31-8aa5-116c71a77a5a}" done="0">
    <x18tc:text xml:space="preserve">@thanhngan.le@pmax.com.vn em update nhen</x18tc:text>
    <x18tc:mentions>
      <x18tc:mention mentionpersonId="{0ef3a09f-575c-4f4c-a9a9-a62dcda2236b}" mentionId="{93b40e8d-0404-42e5-ae47-471db693223e}" startIndex="0" length="25"/>
    </x18tc:mentions>
  </x18tc:threadedComment>
  <x18tc:threadedComment ref="AA43" dT="2026-06-08T03:33:59.00" personId="{aaeedc4c-d628-4e6a-888e-5003435b31f9}" id="{daba2eb4-a364-472b-869c-1e5e35ed4188}" done="1">
    <x18tc:text xml:space="preserve">update nhe @thanhngan.le@pmax.com.vn @thaiha.doan@pmax.com.vn
Assigned to thanhngan.le@pmax.com.vn</x18tc:text>
    <x18tc:mentions>
      <x18tc:mention mentionpersonId="{0ef3a09f-575c-4f4c-a9a9-a62dcda2236b}" mentionId="{21ad1164-f5c9-42a2-8972-60c9669a47df}" startIndex="11" length="25"/>
      <x18tc:mention mentionpersonId="{09fec8b6-771b-4c05-97b1-78dc22dbd494}" mentionId="{1784b212-056d-4a48-8edb-9d1efa564191}" startIndex="37" length="24"/>
    </x18tc:mentions>
  </x18tc:threadedComment>
  <x18tc:threadedComment ref="AE38" dT="2026-05-20T11:31:58.00" personId="{5be54148-8bdf-4e96-a0e0-110f443abc89}" id="{18fb0efd-9469-464d-a1cc-bd3ac0ede6e4}" done="1">
    <x18tc:text xml:space="preserve">phần cmt có fbs lun rùi push mí bạn revise lun nhen @quoctan.hoang@pmax.com.vn
Assigned to quoctan.hoang@pmax.com.vn</x18tc:text>
    <x18tc:mentions>
      <x18tc:mention mentionpersonId="{b48cb73e-0651-43f8-9972-5d0699cde47a}" mentionId="{744ccbbf-6580-434e-abe0-8a7314b2bd4d}" startIndex="52" length="26"/>
    </x18tc:mentions>
  </x18tc:threadedComment>
  <x18tc:threadedComment ref="Q16" dT="2026-05-12T09:28:21.00" personId="{aaeedc4c-d628-4e6a-888e-5003435b31f9}" id="{88626ec1-b792-440c-b991-18b667692d27}" done="0">
    <x18tc:text xml:space="preserve">em update nhen</x18tc:text>
  </x18tc:threadedComment>
  <x18tc:threadedComment ref="Q16" dT="2026-05-12T09:28:39.00" personId="{aaeedc4c-d628-4e6a-888e-5003435b31f9}" id="{7975d08f-0a67-484e-ac9a-3b057549b0e4}" parentId="{88626ec1-b792-440c-b991-18b667692d27}">
    <x18tc:text xml:space="preserve">@thanhngan.le@pmax.com.vn</x18tc:text>
    <x18tc:mentions>
      <x18tc:mention mentionpersonId="{0ef3a09f-575c-4f4c-a9a9-a62dcda2236b}" mentionId="{925a7d09-b67c-4b9b-a503-5da3c5677703}" startIndex="0" length="25"/>
    </x18tc:mentions>
  </x18tc:threadedComment>
  <x18tc:threadedComment ref="Z36" dT="2026-06-09T04:38:26.00" personId="{aaeedc4c-d628-4e6a-888e-5003435b31f9}" id="{54748ba0-228b-43c3-b78c-7cbdaf1150a3}" done="0">
    <x18tc:text xml:space="preserve">team ui miss nhà bé sushi</x18tc:text>
  </x18tc:threadedComment>
  <x18tc:threadedComment ref="Z11" dT="2026-06-03T08:07:06.00" personId="{da6e6322-a5a8-4341-a038-83f3cd504479}" id="{448cef17-cb8b-484a-b15a-03a028cf32ac}" done="0">
    <x18tc:text xml:space="preserve">Tấn check feedback R2 mới update nha @quoctan.hoang@pmax.com.vn
Assigned to quoctan.hoang@pmax.com.vn</x18tc:text>
    <x18tc:mentions>
      <x18tc:mention mentionpersonId="{b48cb73e-0651-43f8-9972-5d0699cde47a}" mentionId="{00083742-10a0-47d7-ae30-ebbc7bdf4f8d}" startIndex="37" length="26"/>
    </x18tc:mentions>
  </x18tc:threadedComment>
  <x18tc:threadedComment ref="W29" dT="2026-06-03T08:09:20.00" personId="{da6e6322-a5a8-4341-a038-83f3cd504479}" id="{cdeae657-fd69-4970-b15a-0123afe9c82c}" done="0">
    <x18tc:text xml:space="preserve">check nha @quoctan.hoang@pmax.com.vn
Assigned to quoctan.hoang@pmax.com.vn</x18tc:text>
    <x18tc:mentions>
      <x18tc:mention mentionpersonId="{b48cb73e-0651-43f8-9972-5d0699cde47a}" mentionId="{3f472131-f294-4e12-b687-02ec8a4977b2}" startIndex="10" length="26"/>
    </x18tc:mentions>
  </x18tc:threadedComment>
  <x18tc:threadedComment ref="AB6" dT="2026-06-07T15:02:26.00" personId="{da6e6322-a5a8-4341-a038-83f3cd504479}" id="{3c66e5bf-a7d2-4064-b75e-3da9ed055c6c}" done="1">
    <x18tc:text xml:space="preserve">check update mới (highlight xanh nước biển) nha @quoctan.hoang@pmax.com.vn
Assigned to quoctan.hoang@pmax.com.vn</x18tc:text>
    <x18tc:mentions>
      <x18tc:mention mentionpersonId="{b48cb73e-0651-43f8-9972-5d0699cde47a}" mentionId="{b3a8009b-b43f-417e-a158-e61eefdb35f5}" startIndex="48" length="26"/>
    </x18tc:mentions>
  </x18tc:threadedComment>
  <x18tc:threadedComment ref="Q19" dT="2026-05-12T09:36:25.00" personId="{aaeedc4c-d628-4e6a-888e-5003435b31f9}" id="{0a18d8bb-78a2-4e3a-b676-3f041cc0da98}" done="0">
    <x18tc:text xml:space="preserve">em update nhen chị @thanhngan.le@pmax.com.vn</x18tc:text>
    <x18tc:mentions>
      <x18tc:mention mentionpersonId="{0ef3a09f-575c-4f4c-a9a9-a62dcda2236b}" mentionId="{798fba16-efed-4268-9a7a-a80ffe7a936e}" startIndex="19" length="25"/>
    </x18tc:mentions>
  </x18tc:threadedComment>
  <x18tc:threadedComment ref="N26" dT="2026-05-12T09:35:02.00" personId="{aaeedc4c-d628-4e6a-888e-5003435b31f9}" id="{48f8f816-678b-4107-9d3b-739d4558d18b}" done="0">
    <x18tc:text xml:space="preserve">case này em chưa thấy feedback mom ơi</x18tc:text>
  </x18tc:threadedComment>
  <x18tc:threadedComment ref="N26" dT="2026-05-12T09:35:32.00" personId="{aaeedc4c-d628-4e6a-888e-5003435b31f9}" id="{00f5ae46-4ea6-4e55-9424-21e0c8457798}" parentId="{48f8f816-678b-4107-9d3b-739d4558d18b}">
    <x18tc:text xml:space="preserve">@thanhngan.le@pmax.com.vn</x18tc:text>
    <x18tc:mentions>
      <x18tc:mention mentionpersonId="{0ef3a09f-575c-4f4c-a9a9-a62dcda2236b}" mentionId="{89249a83-c263-479a-8870-74c9daf4388d}" startIndex="0" length="25"/>
    </x18tc:mentions>
  </x18tc:threadedComment>
  <x18tc:threadedComment ref="N26" dT="2026-05-14T08:32:10.00" personId="{aaeedc4c-d628-4e6a-888e-5003435b31f9}" id="{c917d691-d065-46e8-9b91-a7f277706deb}" parentId="{48f8f816-678b-4107-9d3b-739d4558d18b}">
    <x18tc:text xml:space="preserve">@thanhngan.le@pmax.com.vn case này em chưa thấy feedback để push  script r2</x18tc:text>
    <x18tc:mentions>
      <x18tc:mention mentionpersonId="{0ef3a09f-575c-4f4c-a9a9-a62dcda2236b}" mentionId="{8a957560-bdaf-4ea4-909c-fd51dbacc47b}" startIndex="0" length="25"/>
    </x18tc:mentions>
  </x18tc:threadedComment>
  <x18tc:threadedComment ref="N26" dT="2026-05-14T09:04:07.00" personId="{5be54148-8bdf-4e96-a0e0-110f443abc89}" id="{aa3f2ebd-1a6e-4cc5-ad06-16470063ee32}" parentId="{48f8f816-678b-4107-9d3b-739d4558d18b}">
    <x18tc:text xml:space="preserve">c update nha</x18tc:text>
  </x18tc:threadedComment>
  <x18tc:threadedComment ref="AF40" dT="2026-06-03T08:05:40.00" personId="{aaeedc4c-d628-4e6a-888e-5003435b31f9}" id="{411e0caf-27fe-4016-8ce7-0f57781ccafd}" done="0">
    <x18tc:text xml:space="preserve">này uki chưa tô xanh giúp em với nhe @thanhngan.le@pmax.com.vn
Assigned to thanhngan.le@pmax.com.vn</x18tc:text>
    <x18tc:mentions>
      <x18tc:mention mentionpersonId="{0ef3a09f-575c-4f4c-a9a9-a62dcda2236b}" mentionId="{785eee4a-8ffa-47c2-a7d0-f2703949515b}" startIndex="37"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5" dT="2026-05-04T11:00:02.00" personId="{aaeedc4c-d628-4e6a-888e-5003435b31f9}" id="{24076599-22b6-4bbd-9c58-ddccfc47d4b4}" done="0">
    <x18tc:text xml:space="preserve">check lại SOW</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45" dT="2026-04-15T05:16:57.00" personId="{4cc24f7b-3490-4c63-8139-3177019d9f13}" id="{e5024d4c-f0c3-4502-b9b8-fcd5deb3388a}" done="0">
    <x18tc:text xml:space="preserve">@thanhngan.le@pmax.com.vn  confirm là luôn package mua SDHA á, em merge lại nha
1 total reaction
Thanh Ngan Le (Account team) reacted with 🩷 at 2026-04-15 05:17 AM
Assigned to thanhngan.le@pmax.com.vn</x18tc:text>
    <x18tc:mentions>
      <x18tc:mention mentionpersonId="{0ef3a09f-575c-4f4c-a9a9-a62dcda2236b}" mentionId="{59c41d0a-c79f-4824-bb5d-d82f806a1ac5}" startIndex="0" length="25"/>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4" dT="2026-05-08T12:11:45.00" personId="{5be54148-8bdf-4e96-a0e0-110f443abc89}" id="{1a680c81-cb28-4af3-9540-ec47b60205e9}" done="0">
    <x18tc:text xml:space="preserve">chọn bạn này thay thế cho bạn Review Nghiệp dư nha @quoctan.hoang@pmax.com.vn
Assigned to quoctan.hoang@pmax.com.vn</x18tc:text>
    <x18tc:mentions>
      <x18tc:mention mentionpersonId="{b48cb73e-0651-43f8-9972-5d0699cde47a}" mentionId="{ad64d88f-dfc0-46cf-9bb7-f2eb98e66547}" startIndex="51" length="26"/>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1" dT="2026-06-08T07:54:38.00" personId="{f821b470-037a-4e32-b2cd-de8fb6f74664}" id="{20ee0859-6e60-4ed6-8ef2-33d87370fa81}" done="0">
    <x18tc:text xml:space="preserve">anh sửa lại cái này nha @quoctan.hoang@pmax.com.vn
Assigned to quoctan.hoang@pmax.com.vn</x18tc:text>
    <x18tc:mentions>
      <x18tc:mention mentionpersonId="{b48cb73e-0651-43f8-9972-5d0699cde47a}" mentionId="{40b4a146-987a-4583-9dfa-40eae2831d3e}" startIndex="24" length="26"/>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2" dT="2026-05-18T11:59:55.00" personId="{5be54148-8bdf-4e96-a0e0-110f443abc89}" id="{ceaa2972-47cf-459f-b0ab-75393c028820}" done="0">
    <x18tc:text xml:space="preserve">cái này gom thành 1 cục luôn hả @quoctan.hoang@pmax.com.vn
Assigned to quoctan.hoang@pmax.com.vn</x18tc:text>
    <x18tc:mentions>
      <x18tc:mention mentionpersonId="{b48cb73e-0651-43f8-9972-5d0699cde47a}" mentionId="{82d79baa-3adc-4760-8bb7-9dad9771715f}" startIndex="32" length="26"/>
    </x18tc:mentions>
  </x18tc:threadedComment>
  <x18tc:threadedComment ref="E12" dT="2026-05-18T12:40:06.00" personId="{aaeedc4c-d628-4e6a-888e-5003435b31f9}" id="{657259dd-022e-46f0-a29d-d5ba12b08445}" parentId="{ceaa2972-47cf-459f-b0ab-75393c028820}">
    <x18tc:text xml:space="preserve">Bữa em nói gom 1 cục lun mè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iktok.com/@hi.an.ne" TargetMode="External"/><Relationship Id="rId42" Type="http://schemas.openxmlformats.org/officeDocument/2006/relationships/hyperlink" Target="https://www.tiktok.com/@vuvicungyuhi"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www.tiktok.com/@koinamang" TargetMode="External"/><Relationship Id="rId43" Type="http://schemas.openxmlformats.org/officeDocument/2006/relationships/hyperlink" Target="https://fivestarnearyou.cp.com.vn/?Longtitude=105.48988584829794&amp;Latitude=9.128942686320757" TargetMode="External"/><Relationship Id="rId46" Type="http://schemas.openxmlformats.org/officeDocument/2006/relationships/hyperlink" Target="https://www.tiktok.com/@vieinhcm"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www.tiktok.com/@hathuto1201?_r=1&amp;_t=ZS-94mvtMPIp3C"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fivestarnearyou.cp.com.vn/?Longtitude=105.48988584829794&amp;Latitude=9.128942686320757" TargetMode="External"/><Relationship Id="rId31" Type="http://schemas.openxmlformats.org/officeDocument/2006/relationships/hyperlink" Target="https://fivestarnearyou.cp.com.vn/?Longtitude=105.48988584829794&amp;Latitude=9.128942686320757" TargetMode="External"/><Relationship Id="rId30" Type="http://schemas.openxmlformats.org/officeDocument/2006/relationships/hyperlink" Target="https://www.tiktok.com/@nhamay1606"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dieuphuongne_?_r=1&amp;_t=ZS-92j9nP4c71B"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8vv000?_r=1&amp;_t=ZS-91WI3LmQD6F" TargetMode="External"/><Relationship Id="rId37" Type="http://schemas.openxmlformats.org/officeDocument/2006/relationships/hyperlink" Target="https://fivestarnearyou.cp.com.vn/?Longtitude=105.48988584829794&amp;Latitude=9.128942686320757" TargetMode="External"/><Relationship Id="rId36" Type="http://schemas.openxmlformats.org/officeDocument/2006/relationships/hyperlink" Target="https://www.tiktok.com/@nhamomdiep2770?_t=8offZoBiXg8&amp;_r=1"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chucaofood?_t=8oLaNxaWT8E&amp;_r=1" TargetMode="External"/><Relationship Id="rId20" Type="http://schemas.openxmlformats.org/officeDocument/2006/relationships/hyperlink" Target="https://www.tiktok.com/@bobiengan?_t=ZS-8tu0m1Vyokq&amp;_r=1u0odLK9R3&amp;_r=1" TargetMode="External"/><Relationship Id="rId22" Type="http://schemas.openxmlformats.org/officeDocument/2006/relationships/hyperlink" Target="https://www.tiktok.com/@phamtrang.2401"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www.tiktok.com/@ansaphanoi" TargetMode="External"/><Relationship Id="rId23" Type="http://schemas.openxmlformats.org/officeDocument/2006/relationships/hyperlink" Target="https://fivestarnearyou.cp.com.vn/?Longtitude=105.48988584829794&amp;Latitude=9.128942686320757" TargetMode="External"/><Relationship Id="rId26" Type="http://schemas.openxmlformats.org/officeDocument/2006/relationships/hyperlink" Target="https://www.tiktok.com/@nguyenhimatto" TargetMode="External"/><Relationship Id="rId25" Type="http://schemas.openxmlformats.org/officeDocument/2006/relationships/hyperlink" Target="https://fivestarnearyou.cp.com.vn/?Longtitude=105.48988584829794&amp;Latitude=9.128942686320757" TargetMode="External"/><Relationship Id="rId28" Type="http://schemas.openxmlformats.org/officeDocument/2006/relationships/hyperlink" Target="https://www.tiktok.com/@ninhtito"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95" Type="http://schemas.openxmlformats.org/officeDocument/2006/relationships/hyperlink" Target="https://www.tiktok.com/@thongdongdoday?_r=1&amp;_t=ZS-94NJFKrtS9V" TargetMode="External"/><Relationship Id="rId94" Type="http://schemas.openxmlformats.org/officeDocument/2006/relationships/hyperlink" Target="https://www.tiktok.com/@vivusaigon.vn" TargetMode="External"/><Relationship Id="rId97" Type="http://schemas.openxmlformats.org/officeDocument/2006/relationships/hyperlink" Target="https://www.tiktok.com/@mienmanhanoi" TargetMode="External"/><Relationship Id="rId96" Type="http://schemas.openxmlformats.org/officeDocument/2006/relationships/hyperlink" Target="https://www.tiktok.com/@saigonmap" TargetMode="External"/><Relationship Id="rId11" Type="http://schemas.openxmlformats.org/officeDocument/2006/relationships/hyperlink" Target="https://www.tiktok.com/@nuchuu.0401" TargetMode="External"/><Relationship Id="rId10" Type="http://schemas.openxmlformats.org/officeDocument/2006/relationships/hyperlink" Target="https://fivestarnearyou.cp.com.vn/?Longtitude=105.48988584829794&amp;Latitude=9.128942686320757" TargetMode="External"/><Relationship Id="rId98" Type="http://schemas.openxmlformats.org/officeDocument/2006/relationships/drawing" Target="../drawings/drawing2.xml"/><Relationship Id="rId13" Type="http://schemas.openxmlformats.org/officeDocument/2006/relationships/hyperlink" Target="https://www.tiktok.com/@nuchuu.0401/video/7598539556157246738" TargetMode="External"/><Relationship Id="rId12" Type="http://schemas.openxmlformats.org/officeDocument/2006/relationships/hyperlink" Target="https://fivestarnearyou.cp.com.vn/?Longtitude=105.48988584829794&amp;Latitude=9.128942686320757" TargetMode="External"/><Relationship Id="rId91" Type="http://schemas.openxmlformats.org/officeDocument/2006/relationships/hyperlink" Target="https://www.facebook.com/groups/gdl.mmsg/" TargetMode="External"/><Relationship Id="rId90" Type="http://schemas.openxmlformats.org/officeDocument/2006/relationships/hyperlink" Target="https://www.facebook.com/groups/kosodoi" TargetMode="External"/><Relationship Id="rId93" Type="http://schemas.openxmlformats.org/officeDocument/2006/relationships/hyperlink" Target="https://www.tiktok.com/@hanoiangi" TargetMode="External"/><Relationship Id="rId92" Type="http://schemas.openxmlformats.org/officeDocument/2006/relationships/hyperlink" Target="https://www.facebook.com/groups/231350177556959/"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lenkycungkhoa"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anngoncungpuu?_t=8caIQvvAxxy&amp;_r=1" TargetMode="External"/><Relationship Id="rId19" Type="http://schemas.openxmlformats.org/officeDocument/2006/relationships/hyperlink" Target="https://fivestarnearyou.cp.com.vn/?Longtitude=105.48988584829794&amp;Latitude=9.128942686320757" TargetMode="External"/><Relationship Id="rId18" Type="http://schemas.openxmlformats.org/officeDocument/2006/relationships/hyperlink" Target="https://www.tiktok.com/@thon_foodie?lang=vi-VN" TargetMode="External"/><Relationship Id="rId84" Type="http://schemas.openxmlformats.org/officeDocument/2006/relationships/hyperlink" Target="https://www.tiktok.com/@duongnhicm"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www.tiktok.com/@hachireview74" TargetMode="External"/><Relationship Id="rId85" Type="http://schemas.openxmlformats.org/officeDocument/2006/relationships/hyperlink" Target="https://fivestarnearyou.cp.com.vn/?Longtitude=105.48988584829794&amp;Latitude=9.128942686320757" TargetMode="External"/><Relationship Id="rId88" Type="http://schemas.openxmlformats.org/officeDocument/2006/relationships/hyperlink" Target="https://www.facebook.com/DiaDiemAnUong" TargetMode="External"/><Relationship Id="rId87" Type="http://schemas.openxmlformats.org/officeDocument/2006/relationships/hyperlink" Target="https://fivestarnearyou.cp.com.vn/?Longtitude=105.48988584829794&amp;Latitude=9.128942686320757" TargetMode="External"/><Relationship Id="rId89" Type="http://schemas.openxmlformats.org/officeDocument/2006/relationships/hyperlink" Target="https://www.facebook.com/themtivi" TargetMode="External"/><Relationship Id="rId80" Type="http://schemas.openxmlformats.org/officeDocument/2006/relationships/hyperlink" Target="http://www.tiktok.com/@lysambonreview" TargetMode="External"/><Relationship Id="rId82" Type="http://schemas.openxmlformats.org/officeDocument/2006/relationships/hyperlink" Target="https://www.tiktok.com/@meshushi121" TargetMode="External"/><Relationship Id="rId81" Type="http://schemas.openxmlformats.org/officeDocument/2006/relationships/hyperlink" Target="https://fivestarnearyou.cp.com.vn/?Longtitude=105.48988584829794&amp;Latitude=9.128942686320757"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www.tiktok.com/@lulureview_" TargetMode="External"/><Relationship Id="rId4" Type="http://schemas.openxmlformats.org/officeDocument/2006/relationships/hyperlink" Target="https://fivestarnearyou.cp.com.vn/?Longtitude=105.48988584829794&amp;Latitude=9.128942686320757" TargetMode="External"/><Relationship Id="rId9" Type="http://schemas.openxmlformats.org/officeDocument/2006/relationships/hyperlink" Target="https://www.tiktok.com/@thubonny" TargetMode="External"/><Relationship Id="rId5" Type="http://schemas.openxmlformats.org/officeDocument/2006/relationships/hyperlink" Target="https://www.tiktok.com/@hellolapday"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www.tiktok.com/@hhuyennhiii" TargetMode="External"/><Relationship Id="rId8"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fivestarnearyou.cp.com.vn/?Longtitude=105.48988584829794&amp;Latitude=9.128942686320757" TargetMode="External"/><Relationship Id="rId72" Type="http://schemas.openxmlformats.org/officeDocument/2006/relationships/hyperlink" Target="https://www.tiktok.com/@thanhhuongrv" TargetMode="External"/><Relationship Id="rId75" Type="http://schemas.openxmlformats.org/officeDocument/2006/relationships/hyperlink" Target="https://fivestarnearyou.cp.com.vn/?Longtitude=105.48988584829794&amp;Latitude=9.128942686320757" TargetMode="External"/><Relationship Id="rId74" Type="http://schemas.openxmlformats.org/officeDocument/2006/relationships/hyperlink" Target="https://www.tiktok.com/@zan.riviu?_r=1&amp;_t=ZS-94n3uOkLyE8" TargetMode="External"/><Relationship Id="rId77" Type="http://schemas.openxmlformats.org/officeDocument/2006/relationships/hyperlink" Target="https://fivestarnearyou.cp.com.vn/?Longtitude=105.48988584829794&amp;Latitude=9.128942686320757" TargetMode="External"/><Relationship Id="rId76" Type="http://schemas.openxmlformats.org/officeDocument/2006/relationships/hyperlink" Target="https://www.tiktok.com/@phuongoychillthoy"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huynhhongocduc"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tranngocyen230" TargetMode="External"/><Relationship Id="rId62" Type="http://schemas.openxmlformats.org/officeDocument/2006/relationships/hyperlink" Target="https://www.tiktok.com/@emhuyendoimeomeo" TargetMode="External"/><Relationship Id="rId61" Type="http://schemas.openxmlformats.org/officeDocument/2006/relationships/hyperlink" Target="https://fivestarnearyou.cp.com.vn/?Longtitude=105.48988584829794&amp;Latitude=9.128942686320757" TargetMode="External"/><Relationship Id="rId64" Type="http://schemas.openxmlformats.org/officeDocument/2006/relationships/hyperlink" Target="https://www.tiktok.com/@ng.hamii"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www.tiktok.com/@ahthunek_" TargetMode="External"/><Relationship Id="rId65" Type="http://schemas.openxmlformats.org/officeDocument/2006/relationships/hyperlink" Target="https://fivestarnearyou.cp.com.vn/?Longtitude=105.48988584829794&amp;Latitude=9.128942686320757" TargetMode="External"/><Relationship Id="rId68" Type="http://schemas.openxmlformats.org/officeDocument/2006/relationships/hyperlink" Target="https://www.tiktok.com/@tuanfoodkhongphet"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www.tiktok.com/@minhphuong130595?_r=1&amp;_t=ZS-94ac29NM9v3" TargetMode="External"/><Relationship Id="rId69" Type="http://schemas.openxmlformats.org/officeDocument/2006/relationships/hyperlink" Target="https://fivestarnearyou.cp.com.vn/?Longtitude=105.48988584829794&amp;Latitude=9.128942686320757"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phuocdidaudo?lang=vi-VN"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duongbaoanh2kk?_r=1&amp;_t=ZS-94n5aTW7D9A" TargetMode="External"/><Relationship Id="rId55" Type="http://schemas.openxmlformats.org/officeDocument/2006/relationships/hyperlink" Target="https://fivestarnearyou.cp.com.vn/?Longtitude=105.48988584829794&amp;Latitude=9.128942686320757" TargetMode="External"/><Relationship Id="rId54" Type="http://schemas.openxmlformats.org/officeDocument/2006/relationships/hyperlink" Target="http://tiktok.com/@vunguyetthu"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s://www.tiktok.com/@nhaembebo2025?_t=ZS-8xFQzvmAh6O&amp;_r=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rj04u6opUum2Q3akMO005m1syZI-YQlb/view?fbclid=IwY2xjawSB9OlleHRuA2FlbQIxMABicmlkETFtRHVTNnRtak5YMlQ0bUVIc3J0YwZhcHBfaWQQMjIyMDM5MTc4ODIwMDg5MgABHnIoRBnC0-YYRHN7E0tg6AZteZzVbh-sMMmP9Sg94ZdmM9IuCa_X6FGiaohC_aem_XsTSspRMijVP137bCBbUHA" TargetMode="External"/><Relationship Id="rId190" Type="http://schemas.openxmlformats.org/officeDocument/2006/relationships/hyperlink" Target="https://drive.google.com/drive/folders/10s11E7iNwe0c-1YJ934qrUvZV6idnMgU" TargetMode="External"/><Relationship Id="rId42" Type="http://schemas.openxmlformats.org/officeDocument/2006/relationships/hyperlink" Target="https://www.tiktok.com/@anngoncungpuu?_t=8caIQvvAxxy&amp;_r=1" TargetMode="External"/><Relationship Id="rId41" Type="http://schemas.openxmlformats.org/officeDocument/2006/relationships/hyperlink" Target="https://vt.tiktok.com/ZSx45rKrU/" TargetMode="External"/><Relationship Id="rId44" Type="http://schemas.openxmlformats.org/officeDocument/2006/relationships/hyperlink" Target="https://docs.google.com/spreadsheets/d/1jC0a00h3FsNPkNZqCO8tCfHq8Ux2lS9cjcq9OYS5YDw/edit?gid=1937930012" TargetMode="External"/><Relationship Id="rId194" Type="http://schemas.openxmlformats.org/officeDocument/2006/relationships/hyperlink" Target="https://drive.google.com/drive/folders/1F8Y3Ocb_GXFjKCVrGAEJyt1LbeyV1uGo?usp=sharing" TargetMode="External"/><Relationship Id="rId43" Type="http://schemas.openxmlformats.org/officeDocument/2006/relationships/hyperlink" Target="https://fivestarnearyou.cp.com.vn/?Longtitude=105.48988584829794&amp;Latitude=9.128942686320757" TargetMode="External"/><Relationship Id="rId193" Type="http://schemas.openxmlformats.org/officeDocument/2006/relationships/hyperlink" Target="https://drive.google.com/drive/folders/12yBGOkeqhLxeerxDXMuBtK-41vgUeWxf?usp=sharing" TargetMode="External"/><Relationship Id="rId46" Type="http://schemas.openxmlformats.org/officeDocument/2006/relationships/hyperlink" Target="https://drive.google.com/drive/folders/110dLNgTuRhRmD7fAW9mPfIvRAASVPXpA" TargetMode="External"/><Relationship Id="rId192" Type="http://schemas.openxmlformats.org/officeDocument/2006/relationships/hyperlink" Target="https://www.facebook.com/groups/231350177556959/" TargetMode="External"/><Relationship Id="rId45" Type="http://schemas.openxmlformats.org/officeDocument/2006/relationships/hyperlink" Target="https://drive.google.com/drive/folders/110dLNgTuRhRmD7fAW9mPfIvRAASVPXpA" TargetMode="External"/><Relationship Id="rId191" Type="http://schemas.openxmlformats.org/officeDocument/2006/relationships/hyperlink" Target="https://drive.google.com/drive/folders/10s11E7iNwe0c-1YJ934qrUvZV6idnMgU" TargetMode="External"/><Relationship Id="rId48" Type="http://schemas.openxmlformats.org/officeDocument/2006/relationships/hyperlink" Target="https://www.tiktok.com/@phamtrang.2401" TargetMode="External"/><Relationship Id="rId187" Type="http://schemas.openxmlformats.org/officeDocument/2006/relationships/hyperlink" Target="https://www.facebook.com/groups/gdl.mmsg/" TargetMode="External"/><Relationship Id="rId47" Type="http://schemas.openxmlformats.org/officeDocument/2006/relationships/hyperlink" Target="https://drive.google.com/drive/folders/110dLNgTuRhRmD7fAW9mPfIvRAASVPXpA" TargetMode="External"/><Relationship Id="rId186" Type="http://schemas.openxmlformats.org/officeDocument/2006/relationships/hyperlink" Target="https://www.facebook.com/groups/kosodoi/posts/27023379973991978" TargetMode="External"/><Relationship Id="rId185" Type="http://schemas.openxmlformats.org/officeDocument/2006/relationships/hyperlink" Target="https://fivestarnearyou.cp.com.vn/" TargetMode="External"/><Relationship Id="rId49" Type="http://schemas.openxmlformats.org/officeDocument/2006/relationships/hyperlink" Target="https://fivestarnearyou.cp.com.vn/?Longtitude=105.48988584829794&amp;Latitude=9.128942686320757" TargetMode="External"/><Relationship Id="rId184" Type="http://schemas.openxmlformats.org/officeDocument/2006/relationships/hyperlink" Target="https://drive.google.com/drive/folders/1iw0zlpAoQ_rBV9CaS6qtBBt_JZI2J-se" TargetMode="External"/><Relationship Id="rId189" Type="http://schemas.openxmlformats.org/officeDocument/2006/relationships/hyperlink" Target="https://drive.google.com/drive/folders/1yzIsQySNlHH9Qmnnu6ONb51zbOesHe78?usp=sharing" TargetMode="External"/><Relationship Id="rId188" Type="http://schemas.openxmlformats.org/officeDocument/2006/relationships/hyperlink" Target="https://drive.google.com/drive/folders/1yzIsQySNlHH9Qmnnu6ONb51zbOesHe78?usp=sharing" TargetMode="External"/><Relationship Id="rId31" Type="http://schemas.openxmlformats.org/officeDocument/2006/relationships/hyperlink" Target="https://fivestarnearyou.cp.com.vn/?Longtitude=105.48988584829794&amp;Latitude=9.128942686320757" TargetMode="External"/><Relationship Id="rId30" Type="http://schemas.openxmlformats.org/officeDocument/2006/relationships/hyperlink" Target="https://www.tiktok.com/@thubonny" TargetMode="External"/><Relationship Id="rId33" Type="http://schemas.openxmlformats.org/officeDocument/2006/relationships/hyperlink" Target="https://drive.google.com/file/d/1QjurRtSs_004WtM0egChyuALFNen9LNO/view?usp=drivesdk" TargetMode="External"/><Relationship Id="rId183" Type="http://schemas.openxmlformats.org/officeDocument/2006/relationships/hyperlink" Target="https://drive.google.com/drive/folders/1iw0zlpAoQ_rBV9CaS6qtBBt_JZI2J-se" TargetMode="External"/><Relationship Id="rId32" Type="http://schemas.openxmlformats.org/officeDocument/2006/relationships/hyperlink" Target="https://drive.google.com/file/d/1AZq9kXca86qm8iqwRBwV3dQuHBzmyjw0/view?usp=drivesdk" TargetMode="External"/><Relationship Id="rId182" Type="http://schemas.openxmlformats.org/officeDocument/2006/relationships/hyperlink" Target="https://drive.google.com/drive/folders/1iw0zlpAoQ_rBV9CaS6qtBBt_JZI2J-se?usp=sharing" TargetMode="External"/><Relationship Id="rId35" Type="http://schemas.openxmlformats.org/officeDocument/2006/relationships/hyperlink" Target="https://www.tiktok.com/@thubonny/video/7646757218007715079?_r=1&amp;_t=ZS-96sF5iS0M78" TargetMode="External"/><Relationship Id="rId181" Type="http://schemas.openxmlformats.org/officeDocument/2006/relationships/hyperlink" Target="https://www.facebook.com/groups/kosodoi" TargetMode="External"/><Relationship Id="rId34" Type="http://schemas.openxmlformats.org/officeDocument/2006/relationships/hyperlink" Target="https://drive.google.com/file/d/1OyIKU1LjE8w9vI3IK6QMT15pNHB9X5v3/view?usp=drivesdk" TargetMode="External"/><Relationship Id="rId180" Type="http://schemas.openxmlformats.org/officeDocument/2006/relationships/hyperlink" Target="https://www.facebook.com/share/p/18h4jLfJWe/?mibextid=wwXIfr" TargetMode="External"/><Relationship Id="rId37" Type="http://schemas.openxmlformats.org/officeDocument/2006/relationships/hyperlink" Target="https://fivestarnearyou.cp.com.vn/?Longtitude=105.48988584829794&amp;Latitude=9.128942686320757" TargetMode="External"/><Relationship Id="rId176" Type="http://schemas.openxmlformats.org/officeDocument/2006/relationships/hyperlink" Target="https://www.facebook.com/themtivi" TargetMode="External"/><Relationship Id="rId36" Type="http://schemas.openxmlformats.org/officeDocument/2006/relationships/hyperlink" Target="https://www.tiktok.com/@nuchuu.0401" TargetMode="External"/><Relationship Id="rId175" Type="http://schemas.openxmlformats.org/officeDocument/2006/relationships/hyperlink" Target="https://www.facebook.com/share/p/1BEEgaStVN/?mibextid=wwXIfr" TargetMode="External"/><Relationship Id="rId39" Type="http://schemas.openxmlformats.org/officeDocument/2006/relationships/hyperlink" Target="https://drive.google.com/file/d/1r3bf8YmNPabnYmfb4DFSzMoO1lKu4PqJ/view?fbclid=IwY2xjawR8wNBleHRuA2FlbQIxMABicmlkETFpWG5Nbkc5YXhyaFBjQUtTc3J0YwZhcHBfaWQQMjIyMDM5MTc4ODIwMDg5MgABHsLslILr7cVcOJ7KKL4r2w-BMoB9_Sj0kCFOEh2mWhi8GCPbPZZ-mzmO7avW_aem_W7kuQNc-loUTvVEFPnoMCg" TargetMode="External"/><Relationship Id="rId174" Type="http://schemas.openxmlformats.org/officeDocument/2006/relationships/hyperlink" Target="https://fivestarnearyou.cp.com.vn/" TargetMode="External"/><Relationship Id="rId38" Type="http://schemas.openxmlformats.org/officeDocument/2006/relationships/hyperlink" Target="https://drive.google.com/file/d/1hUjHsvmBvuYvXdnW9EMdMXlMFE3ev0iJ/view?fbclid=IwY2xjawRza1FleHRuA2FlbQIxMABicmlkETFteWVteEtIaHVaekluOVcxc3J0YwZhcHBfaWQQMjIyMDM5MTc4ODIwMDg5MgABHqKJMUmZ15kxMKyDFZ0gyN6cRI0eNZrKphmdW4veWCv_EkPnPUKWZXEux2XX_aem_2D1HZIad0Z-HCShSUTaLXg" TargetMode="External"/><Relationship Id="rId173" Type="http://schemas.openxmlformats.org/officeDocument/2006/relationships/hyperlink" Target="https://drive.google.com/drive/u/2/folders/18fhk1nYoP55xczYSJAJPpHe0uGZBAtS6" TargetMode="External"/><Relationship Id="rId179" Type="http://schemas.openxmlformats.org/officeDocument/2006/relationships/hyperlink" Target="https://drive.google.com/drive/folders/1CdlWf4xt1O6AhIM1cllwJS-kI1YN28Z0?usp=sharing" TargetMode="External"/><Relationship Id="rId178" Type="http://schemas.openxmlformats.org/officeDocument/2006/relationships/hyperlink" Target="https://drive.google.com/drive/u/2/folders/11BREkfdsiSkqXHPqIoTuB_X3TVhndd7_" TargetMode="External"/><Relationship Id="rId177" Type="http://schemas.openxmlformats.org/officeDocument/2006/relationships/hyperlink" Target="https://drive.google.com/drive/u/2/folders/11BREkfdsiSkqXHPqIoTuB_X3TVhndd7_" TargetMode="External"/><Relationship Id="rId20" Type="http://schemas.openxmlformats.org/officeDocument/2006/relationships/hyperlink" Target="https://drive.google.com/file/d/1lRiiQmeEjhjccoLTMvtL9CJ339fuKuUy/view?usp=drive_link" TargetMode="External"/><Relationship Id="rId22" Type="http://schemas.openxmlformats.org/officeDocument/2006/relationships/hyperlink" Target="https://vt.tiktok.com/ZSxt8cXaM/" TargetMode="External"/><Relationship Id="rId21" Type="http://schemas.openxmlformats.org/officeDocument/2006/relationships/hyperlink" Target="https://drive.google.com/file/d/1vPfmlyFbkdBxAAxtTbW42455C6H0hXB3/view?usp=drivesdk"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hhuyennhiii" TargetMode="External"/><Relationship Id="rId26" Type="http://schemas.openxmlformats.org/officeDocument/2006/relationships/hyperlink" Target="https://drive.google.com/file/d/1BQQEQ3ggRs06IXWejYz58QsoKTgGPsd1/view" TargetMode="External"/><Relationship Id="rId25" Type="http://schemas.openxmlformats.org/officeDocument/2006/relationships/hyperlink" Target="https://docs.google.com/spreadsheets/d/1TlMiQyjUC_8vG--FMqD48heIruNjrv0a_-BycV6vMug/edit?gid=80012582" TargetMode="External"/><Relationship Id="rId28" Type="http://schemas.openxmlformats.org/officeDocument/2006/relationships/hyperlink" Target="https://drive.google.com/file/d/1qJxaezCXrSlDXG29sDkksX_jZKoB9ZqM/view?usp=drivesdk" TargetMode="External"/><Relationship Id="rId27" Type="http://schemas.openxmlformats.org/officeDocument/2006/relationships/hyperlink" Target="https://drive.google.com/file/d/1FHJD-DVN5yvqkgqVIHgOR6tfsrWjR9ht/view?usp=drivesdk" TargetMode="External"/><Relationship Id="rId29" Type="http://schemas.openxmlformats.org/officeDocument/2006/relationships/hyperlink" Target="https://www.tiktok.com/@hhuyennhiii/video/7644779715093482772?_r=1&amp;_t=ZS-96jFcDqShi1" TargetMode="External"/><Relationship Id="rId11" Type="http://schemas.openxmlformats.org/officeDocument/2006/relationships/hyperlink" Target="https://www.tiktok.com/@lulureview_" TargetMode="External"/><Relationship Id="rId10" Type="http://schemas.openxmlformats.org/officeDocument/2006/relationships/hyperlink" Target="https://vt.tiktok.com/ZSQ1XDNsR/" TargetMode="External"/><Relationship Id="rId13" Type="http://schemas.openxmlformats.org/officeDocument/2006/relationships/hyperlink" Target="https://drive.google.com/drive/folders/1WLes2-C3PZsK0zl4ZA5D5yJ1xAYDkhWR"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drive.google.com/file/d/1pmsQfzjtuZdATJQ_yn_7jK7w3fMZe-n8/view" TargetMode="External"/><Relationship Id="rId198" Type="http://schemas.openxmlformats.org/officeDocument/2006/relationships/hyperlink" Target="https://docs.google.com/spreadsheets/d/1VVMeHf2sGW8ymO4iXQtvCgyoT4rc0OuQeg-j3A20B_o/edit?gid=1999364123" TargetMode="External"/><Relationship Id="rId14" Type="http://schemas.openxmlformats.org/officeDocument/2006/relationships/hyperlink" Target="https://drive.google.com/drive/folders/1WLes2-C3PZsK0zl4ZA5D5yJ1xAYDkhWR" TargetMode="External"/><Relationship Id="rId197" Type="http://schemas.openxmlformats.org/officeDocument/2006/relationships/hyperlink" Target="https://www.tiktok.com/@hanoiangi" TargetMode="External"/><Relationship Id="rId17" Type="http://schemas.openxmlformats.org/officeDocument/2006/relationships/hyperlink" Target="https://www.tiktok.com/@hellolapday" TargetMode="External"/><Relationship Id="rId196" Type="http://schemas.openxmlformats.org/officeDocument/2006/relationships/hyperlink" Target="https://www.facebook.com/share/p/1BHGncNZtK/?mibextid=wwXIfr" TargetMode="External"/><Relationship Id="rId16" Type="http://schemas.openxmlformats.org/officeDocument/2006/relationships/hyperlink" Target="https://www.tiktok.com/@lulureview_/video/7644513610072460551?_r=1&amp;_t=ZS-96jI4dZLIL1" TargetMode="External"/><Relationship Id="rId195" Type="http://schemas.openxmlformats.org/officeDocument/2006/relationships/hyperlink" Target="https://drive.google.com/drive/folders/1F8Y3Ocb_GXFjKCVrGAEJyt1LbeyV1uGo?usp=sharing" TargetMode="External"/><Relationship Id="rId19" Type="http://schemas.openxmlformats.org/officeDocument/2006/relationships/hyperlink" Target="https://drive.google.com/file/d/1g9cNs6CQDxkAGpdVQKXv9hL6E9CFAGq9/view?usp=drive_link" TargetMode="External"/><Relationship Id="rId18" Type="http://schemas.openxmlformats.org/officeDocument/2006/relationships/hyperlink" Target="https://fivestarnearyou.cp.com.vn/?Longtitude=105.48988584829794&amp;Latitude=9.128942686320757" TargetMode="External"/><Relationship Id="rId199" Type="http://schemas.openxmlformats.org/officeDocument/2006/relationships/hyperlink" Target="https://drive.google.com/file/d/17JCV9KbKCJomRr9c0gNu7OXxKCZj1RYq/view?usp=drive_link" TargetMode="External"/><Relationship Id="rId84" Type="http://schemas.openxmlformats.org/officeDocument/2006/relationships/hyperlink" Target="https://docs.google.com/spreadsheets/d/14zMYJFq84bLogXppl5iBijvsYFm90xU8MuxJDdbrRZ4/edit?gid=1983410445"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s://drive.google.com/file/d/18J0RawbXOkA9mYVVANfpCAohF9Hrz5TD/view?usp=drivesdk" TargetMode="External"/><Relationship Id="rId85" Type="http://schemas.openxmlformats.org/officeDocument/2006/relationships/hyperlink" Target="https://drive.google.com/file/d/19qrXjrJe-qlyzar7iRfiheO-QPwlJR4O/view?usp=drive_link" TargetMode="External"/><Relationship Id="rId88" Type="http://schemas.openxmlformats.org/officeDocument/2006/relationships/hyperlink" Target="https://vt.tiktok.com/ZSQJJgvLk/" TargetMode="External"/><Relationship Id="rId150" Type="http://schemas.openxmlformats.org/officeDocument/2006/relationships/hyperlink" Target="https://www.tiktok.com/@huynhhongocduc" TargetMode="External"/><Relationship Id="rId87" Type="http://schemas.openxmlformats.org/officeDocument/2006/relationships/hyperlink" Target="https://drive.google.com/file/d/1F0SA7JeRx1EqdmlRkFGSBF_SaabxMNu8/view?usp=drivesdk" TargetMode="External"/><Relationship Id="rId89" Type="http://schemas.openxmlformats.org/officeDocument/2006/relationships/hyperlink" Target="https://www.tiktok.com/@vuvicungyuhi" TargetMode="External"/><Relationship Id="rId80" Type="http://schemas.openxmlformats.org/officeDocument/2006/relationships/hyperlink" Target="https://drive.google.com/drive/folders/10RsGeU0svEawSYop60YVJ8WO2n4-KhtB" TargetMode="External"/><Relationship Id="rId82" Type="http://schemas.openxmlformats.org/officeDocument/2006/relationships/hyperlink" Target="https://www.tiktok.com/@hi.an.ne" TargetMode="External"/><Relationship Id="rId81" Type="http://schemas.openxmlformats.org/officeDocument/2006/relationships/hyperlink" Target="https://drive.google.com/file/d/1Ee_jefL9ivLqDX_6vK1glOjjKN7Q7wHX/view?usp=drivesd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file/d/141U7EOEvNY_4xTolh6R8QStMFTC8eDgZ/view?usp=drivesdk" TargetMode="External"/><Relationship Id="rId4" Type="http://schemas.openxmlformats.org/officeDocument/2006/relationships/hyperlink" Target="https://www.tiktok.com/@thangloi2k2?_t=8W1SCUWFQaQ&amp;_r=1" TargetMode="External"/><Relationship Id="rId148" Type="http://schemas.openxmlformats.org/officeDocument/2006/relationships/hyperlink" Target="https://drive.google.com/file/d/13PRMu6rqiok3LdKpppBpSY2cRnLBYAi_/view?usp=drivesdk" TargetMode="External"/><Relationship Id="rId9" Type="http://schemas.openxmlformats.org/officeDocument/2006/relationships/hyperlink" Target="https://drive.google.com/file/d/1h74wlhoDoRD_Y03lKWFQV6RdRRRdzK7N/view?usp=drivesdk" TargetMode="External"/><Relationship Id="rId143" Type="http://schemas.openxmlformats.org/officeDocument/2006/relationships/hyperlink" Target="https://www.tiktok.com/@phuongoychillthoy" TargetMode="External"/><Relationship Id="rId142" Type="http://schemas.openxmlformats.org/officeDocument/2006/relationships/hyperlink" Target="https://drive.google.com/file/d/1nOym0BHk3CDWARQsI_YUwBTK9Yz2JPGx/view?usp=drivesdk" TargetMode="External"/><Relationship Id="rId141" Type="http://schemas.openxmlformats.org/officeDocument/2006/relationships/hyperlink" Target="https://drive.google.com/file/d/1bRU2TqH8q5zPYkAQuTaWxdYHemFj0fd_/view?usp=drivesdk" TargetMode="External"/><Relationship Id="rId140" Type="http://schemas.openxmlformats.org/officeDocument/2006/relationships/hyperlink" Target="https://docs.google.com/spreadsheets/d/1ZhzA7f0EEVZSZERZ6T98bKeCW85zp9ua9X8yo01_CDM/edit?gid=871204788" TargetMode="External"/><Relationship Id="rId5" Type="http://schemas.openxmlformats.org/officeDocument/2006/relationships/hyperlink" Target="https://fivestarnearyou.cp.com.vn/?Longtitude=105.48988584829794&amp;Latitude=9.128942686320757" TargetMode="External"/><Relationship Id="rId147" Type="http://schemas.openxmlformats.org/officeDocument/2006/relationships/hyperlink" Target="https://drive.google.com/file/d/1LDe8C7Hg4HgxV-t6dIn5fYfzZkjEO6l_/view?usp=drive_link" TargetMode="External"/><Relationship Id="rId6" Type="http://schemas.openxmlformats.org/officeDocument/2006/relationships/hyperlink" Target="https://docs.google.com/spreadsheets/d/1sek28q8dSpx6DU8QYhlKU5FqtCePEZaUhxd1o63zgyI/edit?gid=771502114" TargetMode="External"/><Relationship Id="rId146" Type="http://schemas.openxmlformats.org/officeDocument/2006/relationships/hyperlink" Target="https://docs.google.com/spreadsheets/d/1uFmHyUA8c77qUKk6WPFkRM-bCzcgemvAJT4YpHjKU1M/edit?gid=985365261" TargetMode="External"/><Relationship Id="rId7" Type="http://schemas.openxmlformats.org/officeDocument/2006/relationships/hyperlink" Target="https://drive.google.com/drive/folders/15ODXPBRTw5WmN8MAY5ueU-3G_tHaar-8" TargetMode="External"/><Relationship Id="rId145" Type="http://schemas.openxmlformats.org/officeDocument/2006/relationships/hyperlink" Target="https://fivestarnearyou.cp.com.vn/?Longtitude=105.7684087&amp;Latitude=20.9698673" TargetMode="External"/><Relationship Id="rId8" Type="http://schemas.openxmlformats.org/officeDocument/2006/relationships/hyperlink" Target="https://drive.google.com/file/d/1W_rLKrdvJSUqVmyRZnA2Vx3-PkXcG-_A/view?usp=drive_link" TargetMode="External"/><Relationship Id="rId144"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drive.google.com/drive/folders/15ODXPBRTw5WmN8MAY5ueU-3G_tHaar-8" TargetMode="External"/><Relationship Id="rId72" Type="http://schemas.openxmlformats.org/officeDocument/2006/relationships/hyperlink" Target="https://docs.google.com/spreadsheets/d/1Zs-sbAumg9ydXNKSreenvInyRfXK3lg9oVTB-V7R3bY/edit?gid=137961595" TargetMode="External"/><Relationship Id="rId75" Type="http://schemas.openxmlformats.org/officeDocument/2006/relationships/hyperlink" Target="https://drive.google.com/file/d/126XMma-dkzPcV3-Uut9x2qxhXLqiFHIR/view?usp=drivesdk" TargetMode="External"/><Relationship Id="rId74" Type="http://schemas.openxmlformats.org/officeDocument/2006/relationships/hyperlink" Target="https://drive.google.com/file/d/18El277CcGBgrfq_x9z3o9IyPtWrXKCY4/view?usp=drivesdk" TargetMode="External"/><Relationship Id="rId77" Type="http://schemas.openxmlformats.org/officeDocument/2006/relationships/hyperlink" Target="https://fivestarnearyou.cp.com.vn/?Longtitude=105.48988584829794&amp;Latitude=9.128942686320757" TargetMode="External"/><Relationship Id="rId76" Type="http://schemas.openxmlformats.org/officeDocument/2006/relationships/hyperlink" Target="https://www.tiktok.com/@chucaofood?_t=8oLaNxaWT8E&amp;_r=1" TargetMode="External"/><Relationship Id="rId79" Type="http://schemas.openxmlformats.org/officeDocument/2006/relationships/hyperlink" Target="https://drive.google.com/drive/folders/10RsGeU0svEawSYop60YVJ8WO2n4-KhtB" TargetMode="External"/><Relationship Id="rId78" Type="http://schemas.openxmlformats.org/officeDocument/2006/relationships/hyperlink" Target="https://docs.google.com/spreadsheets/d/191E4WQVYqKQGCKUc6VNpr6XcIAnFaPVzZakBmOWs_dE/edit?gid=476608211"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8vv000?_r=1&amp;_t=ZS-91WI3LmQD6F" TargetMode="External"/><Relationship Id="rId139" Type="http://schemas.openxmlformats.org/officeDocument/2006/relationships/hyperlink" Target="https://fivestarnearyou.cp.com.vn/?Longtitude=105.48988584829794&amp;Latitude=9.128942686320757" TargetMode="External"/><Relationship Id="rId138" Type="http://schemas.openxmlformats.org/officeDocument/2006/relationships/hyperlink" Target="https://www.tiktok.com/@zan.riviu?_r=1&amp;_t=ZS-94n3uOkLyE8" TargetMode="External"/><Relationship Id="rId137" Type="http://schemas.openxmlformats.org/officeDocument/2006/relationships/hyperlink" Target="https://drive.google.com/file/d/1rlzwgOq0PWq6fG1dmeEl0LV5iYQonkOI/view?usp=drivesdk" TargetMode="External"/><Relationship Id="rId132" Type="http://schemas.openxmlformats.org/officeDocument/2006/relationships/hyperlink" Target="https://drive.google.com/file/d/1UBhSebjZtII_oloZVUbhXPWoijbkfptQ/view?usp=drivesdk" TargetMode="External"/><Relationship Id="rId131" Type="http://schemas.openxmlformats.org/officeDocument/2006/relationships/hyperlink" Target="https://drive.google.com/file/d/1i5y7qeKhPxPWxi9rUEcOqDfE-RruS7Ds/view?usp=drivesdk" TargetMode="External"/><Relationship Id="rId130" Type="http://schemas.openxmlformats.org/officeDocument/2006/relationships/hyperlink" Target="https://docs.google.com/spreadsheets/d/1dJYfbH8b6VPdopiloXVCki9tb8tEfNmJswmXBej_IuY/edit?gid=2147041016" TargetMode="External"/><Relationship Id="rId136" Type="http://schemas.openxmlformats.org/officeDocument/2006/relationships/hyperlink" Target="https://drive.google.com/file/d/1TLD5wGiqwJt9CCm74kCtjLmacn9Q_Kdm/view?usp=drivesdk" TargetMode="External"/><Relationship Id="rId135" Type="http://schemas.openxmlformats.org/officeDocument/2006/relationships/hyperlink" Target="https://docs.google.com/spreadsheets/d/16r94Uhc-qr9PG0gK2UeQAbXC_QauJPiw69iHxyJwxcc/edit?usp=sharing" TargetMode="External"/><Relationship Id="rId134" Type="http://schemas.openxmlformats.org/officeDocument/2006/relationships/hyperlink" Target="https://www.tiktok.com/@ng.hamii" TargetMode="External"/><Relationship Id="rId133" Type="http://schemas.openxmlformats.org/officeDocument/2006/relationships/hyperlink" Target="https://drive.google.com/file/d/1ZRnaN3wKQ3O_eeiVTHfU_XCsfByghDlc/view?usp=drivesdk" TargetMode="External"/><Relationship Id="rId62" Type="http://schemas.openxmlformats.org/officeDocument/2006/relationships/hyperlink" Target="https://drive.google.com/file/d/1x8QOtbLWnADBcJywmLn0W5ait-HDHlKo/view" TargetMode="External"/><Relationship Id="rId61" Type="http://schemas.openxmlformats.org/officeDocument/2006/relationships/hyperlink" Target="https://docs.google.com/spreadsheets/d/1xQ1mD1D5YIQbOnp-TcVfi31RHqUWCR8Z0vOrkp-JFkc/edit?gid=1550874505" TargetMode="External"/><Relationship Id="rId64" Type="http://schemas.openxmlformats.org/officeDocument/2006/relationships/hyperlink" Target="https://drive.google.com/file/d/1sZHGKI_PcOJKNWz10je1zPSxj2dOPseW/view" TargetMode="External"/><Relationship Id="rId63" Type="http://schemas.openxmlformats.org/officeDocument/2006/relationships/hyperlink" Target="https://drive.google.com/file/d/1keeYRqLAubhlGzyjqcHeWfszahdAURLY/view?usp=sharing" TargetMode="External"/><Relationship Id="rId66" Type="http://schemas.openxmlformats.org/officeDocument/2006/relationships/hyperlink" Target="https://fivestarnearyou.cp.com.vn/?Longtitude=105.48988584829794&amp;Latitude=9.128942686320757" TargetMode="External"/><Relationship Id="rId172" Type="http://schemas.openxmlformats.org/officeDocument/2006/relationships/hyperlink" Target="https://drive.google.com/drive/u/2/folders/18fhk1nYoP55xczYSJAJPpHe0uGZBAtS6" TargetMode="External"/><Relationship Id="rId65" Type="http://schemas.openxmlformats.org/officeDocument/2006/relationships/hyperlink" Target="https://www.tiktok.com/@dieuphuongne_?_r=1&amp;_t=ZS-92j9nP4c71B" TargetMode="External"/><Relationship Id="rId171" Type="http://schemas.openxmlformats.org/officeDocument/2006/relationships/hyperlink" Target="https://drive.google.com/drive/u/2/folders/18fhk1nYoP55xczYSJAJPpHe0uGZBAtS6" TargetMode="External"/><Relationship Id="rId68" Type="http://schemas.openxmlformats.org/officeDocument/2006/relationships/hyperlink" Target="https://drive.google.com/file/d/1Vo1WLNbMtD_wKSf6FcK2245x0oUL2Au6/view?usp=drivesdk" TargetMode="External"/><Relationship Id="rId170" Type="http://schemas.openxmlformats.org/officeDocument/2006/relationships/hyperlink" Target="https://www.facebook.com/DiaDiemAnUong" TargetMode="External"/><Relationship Id="rId67" Type="http://schemas.openxmlformats.org/officeDocument/2006/relationships/hyperlink" Target="https://docs.google.com/spreadsheets/d/1fpgklNz15kb8DM2y7cMvWmIrrpZJ52PQO1AcoqBHmEA/edit?gid=335140389" TargetMode="External"/><Relationship Id="rId60" Type="http://schemas.openxmlformats.org/officeDocument/2006/relationships/hyperlink" Target="https://fivestarnearyou.cp.com.vn/?Longtitude=105.48988584829794&amp;Latitude=9.128942686320757" TargetMode="External"/><Relationship Id="rId165" Type="http://schemas.openxmlformats.org/officeDocument/2006/relationships/hyperlink" Target="https://goo.gl/maps/qYtJdih4aZFAcWmB7" TargetMode="External"/><Relationship Id="rId69" Type="http://schemas.openxmlformats.org/officeDocument/2006/relationships/hyperlink" Target="https://drive.google.com/file/d/1eF6shCgyyvjXuLPZACynSS5SwkfR5qDC/view?usp=drivesdk" TargetMode="External"/><Relationship Id="rId164" Type="http://schemas.openxmlformats.org/officeDocument/2006/relationships/hyperlink" Target="https://fivestarnearyou.cp.com.vn/?Longtitude=105.48988584829794&amp;Latitude=9.128942686320757" TargetMode="External"/><Relationship Id="rId163" Type="http://schemas.openxmlformats.org/officeDocument/2006/relationships/hyperlink" Target="https://www.tiktok.com/@meshushi121" TargetMode="External"/><Relationship Id="rId162" Type="http://schemas.openxmlformats.org/officeDocument/2006/relationships/hyperlink" Target="https://www.tiktok.com/@lysambonreview/video/7647516576224185620" TargetMode="External"/><Relationship Id="rId169" Type="http://schemas.openxmlformats.org/officeDocument/2006/relationships/hyperlink" Target="https://drive.google.com/drive/folders/1popF1KGVp0UiLgw4ne5gDIiH7CtG3Wuf" TargetMode="External"/><Relationship Id="rId168" Type="http://schemas.openxmlformats.org/officeDocument/2006/relationships/hyperlink" Target="https://drive.google.com/drive/folders/1popF1KGVp0UiLgw4ne5gDIiH7CtG3Wuf" TargetMode="External"/><Relationship Id="rId167" Type="http://schemas.openxmlformats.org/officeDocument/2006/relationships/hyperlink" Target="https://docs.google.com/spreadsheets/d/1t-7Q5oGMoWXh30EwMS3VIVjf3VlpRjXbjQu-7kPX60A/edit?gid=911497265" TargetMode="External"/><Relationship Id="rId166" Type="http://schemas.openxmlformats.org/officeDocument/2006/relationships/hyperlink" Target="https://docs.google.com/spreadsheets/d/1t-7Q5oGMoWXh30EwMS3VIVjf3VlpRjXbjQu-7kPX60A/edit?gid=0" TargetMode="External"/><Relationship Id="rId51" Type="http://schemas.openxmlformats.org/officeDocument/2006/relationships/hyperlink" Target="https://drive.google.com/file/d/1QWiIeGyMi5lPxKIJ3cVXH9IjQi11wUNE/view?usp=drivesdk" TargetMode="External"/><Relationship Id="rId50" Type="http://schemas.openxmlformats.org/officeDocument/2006/relationships/hyperlink" Target="https://docs.google.com/spreadsheets/d/1z-HdLijlKbGSj5qe5SrB_0F34ISWgdy1XuSDOjDegrg/edit?gid=1633982349" TargetMode="External"/><Relationship Id="rId53" Type="http://schemas.openxmlformats.org/officeDocument/2006/relationships/hyperlink" Target="https://drive.google.com/file/d/1VYvbOQfbuMKOKGFAvVH6GgciZr8rN3NX/view?usp=drivesdk" TargetMode="External"/><Relationship Id="rId52" Type="http://schemas.openxmlformats.org/officeDocument/2006/relationships/hyperlink" Target="https://drive.google.com/file/d/1a9cTmTDG8Q4oW3-jqPiq0IK9eus3n2ML/view?usp=drivesdk" TargetMode="External"/><Relationship Id="rId55" Type="http://schemas.openxmlformats.org/officeDocument/2006/relationships/hyperlink" Target="https://docs.google.com/spreadsheets/d/1qrkChaVikylLImYDjoO9c9LJguLywYjcZlrLUc7Q0hI/edit?gid=0" TargetMode="External"/><Relationship Id="rId161" Type="http://schemas.openxmlformats.org/officeDocument/2006/relationships/hyperlink" Target="https://drive.google.com/file/d/1RirYHb64UuE6VwiTk7eaJeHb4Ekwt5N9/view?usp=drivesdk" TargetMode="External"/><Relationship Id="rId54" Type="http://schemas.openxmlformats.org/officeDocument/2006/relationships/hyperlink" Target="https://fivestarnearyou.cp.com.vn/?Longtitude=105.48988584829794&amp;Latitude=9.128942686320757" TargetMode="External"/><Relationship Id="rId160" Type="http://schemas.openxmlformats.org/officeDocument/2006/relationships/hyperlink" Target="https://drive.google.com/file/d/1RirYHb64UuE6VwiTk7eaJeHb4Ekwt5N9/view?usp=drivesdk" TargetMode="External"/><Relationship Id="rId57" Type="http://schemas.openxmlformats.org/officeDocument/2006/relationships/hyperlink" Target="https://drive.google.com/file/d/1kQpIV8620mDHm-rlSMxU6fggdmfaQJjL/view?usp=drivesdk" TargetMode="External"/><Relationship Id="rId56" Type="http://schemas.openxmlformats.org/officeDocument/2006/relationships/hyperlink" Target="https://docs.google.com/spreadsheets/d/1qrkChaVikylLImYDjoO9c9LJguLywYjcZlrLUc7Q0hI/edit?gid=1924183939" TargetMode="External"/><Relationship Id="rId159" Type="http://schemas.openxmlformats.org/officeDocument/2006/relationships/hyperlink" Target="https://drive.google.com/drive/folders/1Sp5ULQg_Nu-h32nZnI4lP3_Pp98IGOFR" TargetMode="External"/><Relationship Id="rId59" Type="http://schemas.openxmlformats.org/officeDocument/2006/relationships/hyperlink" Target="https://www.tiktok.com/@nhamay1606" TargetMode="External"/><Relationship Id="rId154" Type="http://schemas.openxmlformats.org/officeDocument/2006/relationships/hyperlink" Target="https://drive.google.com/file/d/1XWw1i_WFPBCcsqW9luPL694uHyFhmr2t/view?usp=drivesdk" TargetMode="External"/><Relationship Id="rId58" Type="http://schemas.openxmlformats.org/officeDocument/2006/relationships/hyperlink" Target="https://drive.google.com/file/d/1z8o7htdhrZZ_rAseU7a6rqR9Js2gAuoM/view?usp=drivesdk" TargetMode="External"/><Relationship Id="rId153" Type="http://schemas.openxmlformats.org/officeDocument/2006/relationships/hyperlink" Target="https://drive.google.com/file/d/1BkXcgms9Vd5tj4I2vnBxqBY-y36BHvvs/view?usp=drive_link" TargetMode="External"/><Relationship Id="rId152" Type="http://schemas.openxmlformats.org/officeDocument/2006/relationships/hyperlink" Target="https://docs.google.com/spreadsheets/d/1lt3E1B2b2qUAC6cYVT7NB805xBZGdfWfOiL1656BC0g/edit?gid=978883368" TargetMode="External"/><Relationship Id="rId151" Type="http://schemas.openxmlformats.org/officeDocument/2006/relationships/hyperlink" Target="https://fivestarnearyou.cp.com.vn/?Longtitude=105.48988584829794&amp;Latitude=9.128942686320757" TargetMode="External"/><Relationship Id="rId158" Type="http://schemas.openxmlformats.org/officeDocument/2006/relationships/hyperlink" Target="https://docs.google.com/spreadsheets/d/1jtk6BCNAw-jnbFSu2pxRRbrxpwCHVeCHGWt7dLAr_9E/edit?gid=587180911" TargetMode="External"/><Relationship Id="rId157" Type="http://schemas.openxmlformats.org/officeDocument/2006/relationships/hyperlink" Target="https://fivestarnearyou.cp.com.vn/?Longtitude=105.48988584829794&amp;Latitude=9.128942686320757" TargetMode="External"/><Relationship Id="rId156" Type="http://schemas.openxmlformats.org/officeDocument/2006/relationships/hyperlink" Target="http://www.tiktok.com/@lysambonreview" TargetMode="External"/><Relationship Id="rId155" Type="http://schemas.openxmlformats.org/officeDocument/2006/relationships/hyperlink" Target="https://drive.google.com/file/d/1jqPVWc0iHQs98Qo15XJ1FBDgMzWcY1E4/view?usp=drivesdk" TargetMode="External"/><Relationship Id="rId107" Type="http://schemas.openxmlformats.org/officeDocument/2006/relationships/hyperlink" Target="https://www.tiktok.com/@vieinhcm/video/7644541637095443720?_r=1&amp;_t=ZS-96iB9ChjAgv" TargetMode="External"/><Relationship Id="rId106" Type="http://schemas.openxmlformats.org/officeDocument/2006/relationships/hyperlink" Target="https://drive.google.com/file/d/1EfhqHOz1tZS_5luGlgV9TikVYrCRyfUR/view?usp=drive_link" TargetMode="External"/><Relationship Id="rId227" Type="http://schemas.openxmlformats.org/officeDocument/2006/relationships/table" Target="../tables/table1.xml"/><Relationship Id="rId105" Type="http://schemas.openxmlformats.org/officeDocument/2006/relationships/hyperlink" Target="https://drive.google.com/file/d/1Zkir7QKdPYoVkkbwp1yjl6o-Kb3CD1j8/view?usp=drive_link" TargetMode="External"/><Relationship Id="rId104" Type="http://schemas.openxmlformats.org/officeDocument/2006/relationships/hyperlink" Target="https://drive.google.com/file/d/1_dvxfVS2-f02KIi3ZSLcZRFn1xM9mYIC/view" TargetMode="External"/><Relationship Id="rId225" Type="http://schemas.openxmlformats.org/officeDocument/2006/relationships/vmlDrawing" Target="../drawings/vmlDrawing2.vml"/><Relationship Id="rId109" Type="http://schemas.openxmlformats.org/officeDocument/2006/relationships/hyperlink" Target="https://fivestarnearyou.cp.com.vn/?Longtitude=105.48988584829794&amp;Latitude=9.128942686320757" TargetMode="External"/><Relationship Id="rId108" Type="http://schemas.openxmlformats.org/officeDocument/2006/relationships/hyperlink" Target="https://www.tiktok.com/@duongbaoanh2kk?_r=1&amp;_t=ZS-94n5aTW7D9A" TargetMode="External"/><Relationship Id="rId220" Type="http://schemas.openxmlformats.org/officeDocument/2006/relationships/hyperlink" Target="https://docs.google.com/spreadsheets/d/1s73hp06B3Mcm2XxooLuX0PBD9R1WJN7cKVv-1JsxMNo/edit?gid=1596471473" TargetMode="External"/><Relationship Id="rId103" Type="http://schemas.openxmlformats.org/officeDocument/2006/relationships/hyperlink" Target="https://docs.google.com/spreadsheets/d/1sFqEAfN8N0lcOoXThx0t58Z8JdMal5nNG1sEjaYr_5A/edit?gid=1560319503" TargetMode="External"/><Relationship Id="rId224" Type="http://schemas.openxmlformats.org/officeDocument/2006/relationships/drawing" Target="../drawings/drawing3.xml"/><Relationship Id="rId102" Type="http://schemas.openxmlformats.org/officeDocument/2006/relationships/hyperlink" Target="https://fivestarnearyou.cp.com.vn/?Longtitude=105.48988584829794&amp;Latitude=9.128942686320757" TargetMode="External"/><Relationship Id="rId223" Type="http://schemas.openxmlformats.org/officeDocument/2006/relationships/hyperlink" Target="https://drive.google.com/file/d/1E6JcPVC4gF0_iY-Hr49W_iDMtM5NxT8Z/view?usp=drive_link" TargetMode="External"/><Relationship Id="rId101" Type="http://schemas.openxmlformats.org/officeDocument/2006/relationships/hyperlink" Target="https://www.tiktok.com/@vieinhcm" TargetMode="External"/><Relationship Id="rId222" Type="http://schemas.openxmlformats.org/officeDocument/2006/relationships/hyperlink" Target="https://drive.google.com/file/d/1hYXC7LQYH8BUbAQdxdv9tKJ5ZfyK3TGH/view?usp=drive_link" TargetMode="External"/><Relationship Id="rId100" Type="http://schemas.openxmlformats.org/officeDocument/2006/relationships/hyperlink" Target="https://drive.google.com/file/d/1f8AMm7IEJ9TmpSEhkx8Wh6bMl_R-maIr/view?usp=drivesdk" TargetMode="External"/><Relationship Id="rId221" Type="http://schemas.openxmlformats.org/officeDocument/2006/relationships/hyperlink" Target="https://drive.google.com/file/d/1QifAbdZuxMGX2LabFqBbOZrAhxT7_iYi/view?usp=drive_link" TargetMode="External"/><Relationship Id="rId217" Type="http://schemas.openxmlformats.org/officeDocument/2006/relationships/hyperlink" Target="https://drive.google.com/file/d/1sZ5JkOylTp90aiUK9_A_gKbwBLGshMRr/view?usp=drivesdk" TargetMode="External"/><Relationship Id="rId216" Type="http://schemas.openxmlformats.org/officeDocument/2006/relationships/hyperlink" Target="https://drive.google.com/file/d/1sZ5JkOylTp90aiUK9_A_gKbwBLGshMRr/view?usp=drivesdk" TargetMode="External"/><Relationship Id="rId215" Type="http://schemas.openxmlformats.org/officeDocument/2006/relationships/hyperlink" Target="https://drive.google.com/file/d/126voDv_eow-AZySZj8J51bk2YXbbR-t8/view?usp=drivesdk" TargetMode="External"/><Relationship Id="rId214" Type="http://schemas.openxmlformats.org/officeDocument/2006/relationships/hyperlink" Target="https://docs.google.com/spreadsheets/d/165wHINGJNG6u-TKltL9IFycAvysmlg8PM9SMb5b7ZEI/edit?gid=394600701" TargetMode="External"/><Relationship Id="rId219" Type="http://schemas.openxmlformats.org/officeDocument/2006/relationships/hyperlink" Target="https://www.tiktok.com/@mienmanhanoi" TargetMode="External"/><Relationship Id="rId218" Type="http://schemas.openxmlformats.org/officeDocument/2006/relationships/hyperlink" Target="https://www.tiktok.com/@saigonmap/video/7644787494319312136?_r=1&amp;_t=ZS-96jG8hKdGL9" TargetMode="External"/><Relationship Id="rId213" Type="http://schemas.openxmlformats.org/officeDocument/2006/relationships/hyperlink" Target="https://www.tiktok.com/@saigonmap" TargetMode="External"/><Relationship Id="rId212" Type="http://schemas.openxmlformats.org/officeDocument/2006/relationships/hyperlink" Target="https://vt.tiktok.com/ZSQYL87Kt/" TargetMode="External"/><Relationship Id="rId211" Type="http://schemas.openxmlformats.org/officeDocument/2006/relationships/hyperlink" Target="https://drive.google.com/file/d/1CHksn0Bqm_2snadSuMjJY6TOvPXveQPX/view?usp=drive_link" TargetMode="External"/><Relationship Id="rId210" Type="http://schemas.openxmlformats.org/officeDocument/2006/relationships/hyperlink" Target="https://drive.google.com/file/d/1HZKYFLaCzwAAFz_LZ3rHpAY33Q5AB4fg/view?usp=drive_link" TargetMode="External"/><Relationship Id="rId129" Type="http://schemas.openxmlformats.org/officeDocument/2006/relationships/hyperlink" Target="https://fivestarnearyou.cp.com.vn/?Longtitude=105.7684087&amp;Latitude=20.9698673" TargetMode="External"/><Relationship Id="rId128" Type="http://schemas.openxmlformats.org/officeDocument/2006/relationships/hyperlink" Target="https://fivestarnearyou.cp.com.vn/?Longtitude=105.48988584829794&amp;Latitude=9.128942686320757" TargetMode="External"/><Relationship Id="rId127" Type="http://schemas.openxmlformats.org/officeDocument/2006/relationships/hyperlink" Target="https://www.tiktok.com/@tuanfoodkhongphet" TargetMode="External"/><Relationship Id="rId126" Type="http://schemas.openxmlformats.org/officeDocument/2006/relationships/hyperlink" Target="https://drive.google.com/drive/folders/1IoEjLiuFyydLpkFb1FZlOKKYhvHwsAKU" TargetMode="External"/><Relationship Id="rId121" Type="http://schemas.openxmlformats.org/officeDocument/2006/relationships/hyperlink" Target="https://www.tiktok.com/@ng.hamii" TargetMode="External"/><Relationship Id="rId120" Type="http://schemas.openxmlformats.org/officeDocument/2006/relationships/hyperlink" Target="https://www.tiktok.com/@vunguyetthu/video/7647513882709314834" TargetMode="External"/><Relationship Id="rId125" Type="http://schemas.openxmlformats.org/officeDocument/2006/relationships/hyperlink" Target="https://drive.google.com/drive/folders/1IoEjLiuFyydLpkFb1FZlOKKYhvHwsAKU" TargetMode="External"/><Relationship Id="rId124" Type="http://schemas.openxmlformats.org/officeDocument/2006/relationships/hyperlink" Target="https://drive.google.com/drive/folders/1IoEjLiuFyydLpkFb1FZlOKKYhvHwsAKU" TargetMode="External"/><Relationship Id="rId123" Type="http://schemas.openxmlformats.org/officeDocument/2006/relationships/hyperlink" Target="https://docs.google.com/spreadsheets/d/1-Tou9o64WjWdG5dHbESWyKyghnsgtgjtYtvRWVBT8eM/edit?gid=1629455125" TargetMode="External"/><Relationship Id="rId122" Type="http://schemas.openxmlformats.org/officeDocument/2006/relationships/hyperlink" Target="https://fivestarnearyou.cp.com.vn/?Longtitude=105.48988584829794&amp;Latitude=9.128942686320757" TargetMode="External"/><Relationship Id="rId95" Type="http://schemas.openxmlformats.org/officeDocument/2006/relationships/hyperlink" Target="https://www.tiktok.com/@koinamang" TargetMode="External"/><Relationship Id="rId94" Type="http://schemas.openxmlformats.org/officeDocument/2006/relationships/hyperlink" Target="https://www.tiktok.com/@vuvicungyuhi/video/7645645226396241160?is_from_webapp=1&amp;sender_device=pc&amp;web_id=7637478982196135431" TargetMode="External"/><Relationship Id="rId97" Type="http://schemas.openxmlformats.org/officeDocument/2006/relationships/hyperlink" Target="https://docs.google.com/spreadsheets/d/1ElUYUftJAo28QUTzMDf6W8D9d5rKU9kobs52VaXPhHo/edit?gid=409127678" TargetMode="External"/><Relationship Id="rId96" Type="http://schemas.openxmlformats.org/officeDocument/2006/relationships/hyperlink" Target="https://fivestarnearyou.cp.com.vn/?Longtitude=105.48988584829794&amp;Latitude=9.128942686320757" TargetMode="External"/><Relationship Id="rId99" Type="http://schemas.openxmlformats.org/officeDocument/2006/relationships/hyperlink" Target="https://drive.google.com/file/d/1LNhGaEE6QISIynkDb-q-U5JMbX22yDom/view?usp=drivesdk" TargetMode="External"/><Relationship Id="rId98" Type="http://schemas.openxmlformats.org/officeDocument/2006/relationships/hyperlink" Target="https://drive.google.com/file/d/1_ZH_c0Qo6GswWsr-zONSIpj6y2RG5PCK/view?usp=drivesdk" TargetMode="External"/><Relationship Id="rId91" Type="http://schemas.openxmlformats.org/officeDocument/2006/relationships/hyperlink" Target="https://drive.google.com/file/d/1wQIqstwbnbealKyyFsN0sumUkzSEeYAn/view?usp=drivesdk" TargetMode="External"/><Relationship Id="rId90" Type="http://schemas.openxmlformats.org/officeDocument/2006/relationships/hyperlink" Target="https://fivestarnearyou.cp.com.vn/?Longtitude=105.48988584829794&amp;Latitude=9.128942686320757" TargetMode="External"/><Relationship Id="rId93" Type="http://schemas.openxmlformats.org/officeDocument/2006/relationships/hyperlink" Target="https://drive.google.com/file/d/16bpYZ2ZbxWQPkEa828FQZyQTt6JkgZ9U/view?usp=drivesdk" TargetMode="External"/><Relationship Id="rId92" Type="http://schemas.openxmlformats.org/officeDocument/2006/relationships/hyperlink" Target="https://drive.google.com/file/d/1KeJ_kihAFCrhD7fNant8IKnYB43OjuCU/view?usp=drivesdk" TargetMode="External"/><Relationship Id="rId118" Type="http://schemas.openxmlformats.org/officeDocument/2006/relationships/hyperlink" Target="https://drive.google.com/drive/folders/1YndvQ1ScckTHVKucJFIX6S6MjM8RgtrG" TargetMode="External"/><Relationship Id="rId117" Type="http://schemas.openxmlformats.org/officeDocument/2006/relationships/hyperlink" Target="https://drive.google.com/drive/folders/1YndvQ1ScckTHVKucJFIX6S6MjM8RgtrG" TargetMode="External"/><Relationship Id="rId116" Type="http://schemas.openxmlformats.org/officeDocument/2006/relationships/hyperlink" Target="https://fivestarnearyou.cp.com.vn/?Longtitude=105.7567036&amp;Latitude=20.9464944" TargetMode="External"/><Relationship Id="rId115" Type="http://schemas.openxmlformats.org/officeDocument/2006/relationships/hyperlink" Target="https://fivestarnearyou.cp.com.vn/?Longtitude=105.48988584829794&amp;Latitude=9.128942686320757" TargetMode="External"/><Relationship Id="rId119" Type="http://schemas.openxmlformats.org/officeDocument/2006/relationships/hyperlink" Target="https://drive.google.com/drive/folders/1YndvQ1ScckTHVKucJFIX6S6MjM8RgtrG" TargetMode="External"/><Relationship Id="rId110" Type="http://schemas.openxmlformats.org/officeDocument/2006/relationships/hyperlink" Target="https://fivestarnearyou.cp.com.vn/?Longtitude=105.72529189288616&amp;Latitude=20.990128247353965" TargetMode="External"/><Relationship Id="rId114" Type="http://schemas.openxmlformats.org/officeDocument/2006/relationships/hyperlink" Target="http://tiktok.com/@vunguyetthu" TargetMode="External"/><Relationship Id="rId113" Type="http://schemas.openxmlformats.org/officeDocument/2006/relationships/hyperlink" Target="https://drive.google.com/drive/folders/17OaMFofAT9QZKayRtDBwvKrEDFY0qFNi" TargetMode="External"/><Relationship Id="rId112" Type="http://schemas.openxmlformats.org/officeDocument/2006/relationships/hyperlink" Target="https://drive.google.com/drive/folders/17OaMFofAT9QZKayRtDBwvKrEDFY0qFNi" TargetMode="External"/><Relationship Id="rId111" Type="http://schemas.openxmlformats.org/officeDocument/2006/relationships/hyperlink" Target="https://docs.google.com/spreadsheets/d/1v_4l8kffwO5HDSDp9f0NMZ20h7cM9EQfqTMr2OwgAO4/edit?gid=544064614" TargetMode="External"/><Relationship Id="rId206" Type="http://schemas.openxmlformats.org/officeDocument/2006/relationships/hyperlink" Target="https://vt.tiktok.com/ZSx4j4dK3/" TargetMode="External"/><Relationship Id="rId205" Type="http://schemas.openxmlformats.org/officeDocument/2006/relationships/hyperlink" Target="https://drive.google.com/file/d/1Xfi4scMbDGQeex1Llpxafvuu7LVFnkvn/view?usp=sharing" TargetMode="External"/><Relationship Id="rId204" Type="http://schemas.openxmlformats.org/officeDocument/2006/relationships/hyperlink" Target="https://drive.google.com/drive/folders/1hn0ZUu3LSUPwUmZw8WCjPiD3dMHiONEQ" TargetMode="External"/><Relationship Id="rId203" Type="http://schemas.openxmlformats.org/officeDocument/2006/relationships/hyperlink" Target="https://drive.google.com/drive/folders/1Bc_QRFSO43MrECAP0CbC7hTNNsQqnKOu" TargetMode="External"/><Relationship Id="rId209" Type="http://schemas.openxmlformats.org/officeDocument/2006/relationships/hyperlink" Target="https://drive.google.com/drive/u/1/folders/1j-yItxjm9KCiL9zljS3GetUOPFhik4_7" TargetMode="External"/><Relationship Id="rId208" Type="http://schemas.openxmlformats.org/officeDocument/2006/relationships/hyperlink" Target="https://docs.google.com/spreadsheets/d/19KBHFXJZdTSkntAMXMrEZpTkm9ELKraMsDFSVYrKolo/edit?gid=1139038946" TargetMode="External"/><Relationship Id="rId207" Type="http://schemas.openxmlformats.org/officeDocument/2006/relationships/hyperlink" Target="https://www.tiktok.com/@thongdongdoday?_r=1&amp;_t=ZS-94NJFKrtS9V" TargetMode="External"/><Relationship Id="rId202" Type="http://schemas.openxmlformats.org/officeDocument/2006/relationships/hyperlink" Target="https://www.tiktok.com/@vivusaigon.vn" TargetMode="External"/><Relationship Id="rId201" Type="http://schemas.openxmlformats.org/officeDocument/2006/relationships/hyperlink" Target="https://drive.google.com/file/d/19C2bLoYd_3sijzlxA-4Aj_cw6a9xtfTX/view?usp=drivesdk" TargetMode="External"/><Relationship Id="rId200" Type="http://schemas.openxmlformats.org/officeDocument/2006/relationships/hyperlink" Target="https://drive.google.com/file/d/1xUctY1jCB8DIvVNOzGEOgksOCw67MR25/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facebook.com/DiaDiemAnUong" TargetMode="External"/><Relationship Id="rId42" Type="http://schemas.openxmlformats.org/officeDocument/2006/relationships/hyperlink" Target="https://www.facebook.com/themtivi" TargetMode="External"/><Relationship Id="rId41" Type="http://schemas.openxmlformats.org/officeDocument/2006/relationships/hyperlink" Target="https://www.facebook.com/share/p/1BEEgaStVN/?mibextid=wwXIfr" TargetMode="External"/><Relationship Id="rId44" Type="http://schemas.openxmlformats.org/officeDocument/2006/relationships/hyperlink" Target="https://www.facebook.com/groups/kosodoi" TargetMode="External"/><Relationship Id="rId43" Type="http://schemas.openxmlformats.org/officeDocument/2006/relationships/hyperlink" Target="https://www.facebook.com/share/p/18h4jLfJWe/?mibextid=wwXIfr" TargetMode="External"/><Relationship Id="rId46" Type="http://schemas.openxmlformats.org/officeDocument/2006/relationships/hyperlink" Target="https://www.facebook.com/groups/gdl.mmsg/" TargetMode="External"/><Relationship Id="rId45" Type="http://schemas.openxmlformats.org/officeDocument/2006/relationships/hyperlink" Target="https://www.facebook.com/groups/kosodoi/posts/27023379973991978" TargetMode="External"/><Relationship Id="rId48" Type="http://schemas.openxmlformats.org/officeDocument/2006/relationships/hyperlink" Target="https://www.facebook.com/share/p/1BHGncNZtK/?mibextid=wwXIfr" TargetMode="External"/><Relationship Id="rId47" Type="http://schemas.openxmlformats.org/officeDocument/2006/relationships/hyperlink" Target="https://www.facebook.com/groups/231350177556959/" TargetMode="External"/><Relationship Id="rId49" Type="http://schemas.openxmlformats.org/officeDocument/2006/relationships/hyperlink" Target="https://www.tiktok.com/@hanoiangi" TargetMode="External"/><Relationship Id="rId31" Type="http://schemas.openxmlformats.org/officeDocument/2006/relationships/hyperlink" Target="https://www.tiktok.com/@ng.hamii" TargetMode="External"/><Relationship Id="rId30" Type="http://schemas.openxmlformats.org/officeDocument/2006/relationships/hyperlink" Target="https://www.tiktok.com/@vunguyetthu/video/7647513882709314834" TargetMode="External"/><Relationship Id="rId33" Type="http://schemas.openxmlformats.org/officeDocument/2006/relationships/hyperlink" Target="https://www.tiktok.com/@banhudaayyy?_r=1&amp;_t=ZS-96SZmB6SpNM" TargetMode="External"/><Relationship Id="rId32" Type="http://schemas.openxmlformats.org/officeDocument/2006/relationships/hyperlink" Target="https://www.tiktok.com/@tuanfoodkhongphet" TargetMode="External"/><Relationship Id="rId35" Type="http://schemas.openxmlformats.org/officeDocument/2006/relationships/hyperlink" Target="https://www.tiktok.com/@phuongoychillthoy" TargetMode="External"/><Relationship Id="rId34" Type="http://schemas.openxmlformats.org/officeDocument/2006/relationships/hyperlink" Target="https://www.tiktok.com/@zan.riviu?_r=1&amp;_t=ZS-94n3uOkLyE8" TargetMode="External"/><Relationship Id="rId37" Type="http://schemas.openxmlformats.org/officeDocument/2006/relationships/hyperlink" Target="http://www.tiktok.com/@lysambonreview" TargetMode="External"/><Relationship Id="rId36" Type="http://schemas.openxmlformats.org/officeDocument/2006/relationships/hyperlink" Target="https://www.tiktok.com/@huynhhongocduc" TargetMode="External"/><Relationship Id="rId39" Type="http://schemas.openxmlformats.org/officeDocument/2006/relationships/hyperlink" Target="https://www.tiktok.com/@meshushi121" TargetMode="External"/><Relationship Id="rId38" Type="http://schemas.openxmlformats.org/officeDocument/2006/relationships/hyperlink" Target="https://www.tiktok.com/@lysambonreview/video/7647516576224185620" TargetMode="External"/><Relationship Id="rId20" Type="http://schemas.openxmlformats.org/officeDocument/2006/relationships/hyperlink" Target="https://www.tiktok.com/@chucaofood?_t=8oLaNxaWT8E&amp;_r=1" TargetMode="External"/><Relationship Id="rId22" Type="http://schemas.openxmlformats.org/officeDocument/2006/relationships/hyperlink" Target="https://vt.tiktok.com/ZSQJJgvLk/" TargetMode="External"/><Relationship Id="rId21" Type="http://schemas.openxmlformats.org/officeDocument/2006/relationships/hyperlink" Target="https://www.tiktok.com/@hi.an.ne" TargetMode="External"/><Relationship Id="rId24" Type="http://schemas.openxmlformats.org/officeDocument/2006/relationships/hyperlink" Target="https://www.tiktok.com/@vuvicungyuhi/video/7645645226396241160?is_from_webapp=1&amp;sender_device=pc&amp;web_id=7637478982196135431" TargetMode="External"/><Relationship Id="rId23" Type="http://schemas.openxmlformats.org/officeDocument/2006/relationships/hyperlink" Target="https://www.tiktok.com/@vuvicungyuhi" TargetMode="External"/><Relationship Id="rId26" Type="http://schemas.openxmlformats.org/officeDocument/2006/relationships/hyperlink" Target="https://www.tiktok.com/@vieinhcm" TargetMode="External"/><Relationship Id="rId25" Type="http://schemas.openxmlformats.org/officeDocument/2006/relationships/hyperlink" Target="https://www.tiktok.com/@koinamang" TargetMode="External"/><Relationship Id="rId28" Type="http://schemas.openxmlformats.org/officeDocument/2006/relationships/hyperlink" Target="https://www.tiktok.com/@duongbaoanh2kk?_r=1&amp;_t=ZS-94n5aTW7D9A" TargetMode="External"/><Relationship Id="rId27" Type="http://schemas.openxmlformats.org/officeDocument/2006/relationships/hyperlink" Target="https://www.tiktok.com/@vieinhcm/video/7644541637095443720?_r=1&amp;_t=ZS-96iB9ChjAgv" TargetMode="External"/><Relationship Id="rId29" Type="http://schemas.openxmlformats.org/officeDocument/2006/relationships/hyperlink" Target="http://tiktok.com/@vunguyetthu" TargetMode="External"/><Relationship Id="rId11" Type="http://schemas.openxmlformats.org/officeDocument/2006/relationships/hyperlink" Target="https://www.tiktok.com/@thubonny/video/7646757218007715079?_r=1&amp;_t=ZS-96sF5iS0M78" TargetMode="External"/><Relationship Id="rId10" Type="http://schemas.openxmlformats.org/officeDocument/2006/relationships/hyperlink" Target="https://www.tiktok.com/@thubonny" TargetMode="External"/><Relationship Id="rId13" Type="http://schemas.openxmlformats.org/officeDocument/2006/relationships/hyperlink" Target="https://vt.tiktok.com/ZSx45rKrU/" TargetMode="External"/><Relationship Id="rId12" Type="http://schemas.openxmlformats.org/officeDocument/2006/relationships/hyperlink" Target="https://www.tiktok.com/@nuchuu.0401" TargetMode="External"/><Relationship Id="rId15" Type="http://schemas.openxmlformats.org/officeDocument/2006/relationships/hyperlink" Target="https://www.tiktok.com/@phamtrang.2401" TargetMode="External"/><Relationship Id="rId14" Type="http://schemas.openxmlformats.org/officeDocument/2006/relationships/hyperlink" Target="https://www.tiktok.com/@anngoncungpuu?_t=8caIQvvAxxy&amp;_r=1" TargetMode="External"/><Relationship Id="rId17" Type="http://schemas.openxmlformats.org/officeDocument/2006/relationships/hyperlink" Target="https://www.tiktok.com/@nhamay1606" TargetMode="External"/><Relationship Id="rId16" Type="http://schemas.openxmlformats.org/officeDocument/2006/relationships/hyperlink" Target="https://www.tiktok.com/@bobiengan?_t=ZS-8tu0m1Vyokq&amp;_r=1u0odLK9R3&amp;_r=1" TargetMode="External"/><Relationship Id="rId19" Type="http://schemas.openxmlformats.org/officeDocument/2006/relationships/hyperlink" Target="https://www.tiktok.com/@8vv000?_r=1&amp;_t=ZS-91WI3LmQD6F" TargetMode="External"/><Relationship Id="rId18" Type="http://schemas.openxmlformats.org/officeDocument/2006/relationships/hyperlink" Target="https://www.tiktok.com/@dieuphuongne_?_r=1&amp;_t=ZS-92j9nP4c71B"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vt.tiktok.com/ZSQ1XDNsR/" TargetMode="External"/><Relationship Id="rId3" Type="http://schemas.openxmlformats.org/officeDocument/2006/relationships/hyperlink" Target="https://www.tiktok.com/@lulureview_" TargetMode="External"/><Relationship Id="rId4" Type="http://schemas.openxmlformats.org/officeDocument/2006/relationships/hyperlink" Target="https://www.tiktok.com/@lulureview_/video/7644513610072460551?_r=1&amp;_t=ZS-96jI4dZLIL1" TargetMode="External"/><Relationship Id="rId9" Type="http://schemas.openxmlformats.org/officeDocument/2006/relationships/hyperlink" Target="https://www.tiktok.com/@hhuyennhiii/video/7644779715093482772?_r=1&amp;_t=ZS-96jFcDqShi1" TargetMode="External"/><Relationship Id="rId5" Type="http://schemas.openxmlformats.org/officeDocument/2006/relationships/hyperlink" Target="https://www.tiktok.com/@hellolapday" TargetMode="External"/><Relationship Id="rId6" Type="http://schemas.openxmlformats.org/officeDocument/2006/relationships/hyperlink" Target="https://vt.tiktok.com/ZSxt8cXaM/" TargetMode="External"/><Relationship Id="rId7" Type="http://schemas.openxmlformats.org/officeDocument/2006/relationships/hyperlink" Target="https://www.instagram.com/reel/DY9hZnczdim/?igsh=MWk3cnVvcjlwZ3VndA==" TargetMode="External"/><Relationship Id="rId8" Type="http://schemas.openxmlformats.org/officeDocument/2006/relationships/hyperlink" Target="https://www.tiktok.com/@hhuyennhiii" TargetMode="External"/><Relationship Id="rId51" Type="http://schemas.openxmlformats.org/officeDocument/2006/relationships/hyperlink" Target="https://vt.tiktok.com/ZSx4j4dK3/" TargetMode="External"/><Relationship Id="rId50" Type="http://schemas.openxmlformats.org/officeDocument/2006/relationships/hyperlink" Target="https://www.tiktok.com/@vivusaigon.vn" TargetMode="External"/><Relationship Id="rId53" Type="http://schemas.openxmlformats.org/officeDocument/2006/relationships/hyperlink" Target="https://vt.tiktok.com/ZSQYL87Kt/" TargetMode="External"/><Relationship Id="rId52" Type="http://schemas.openxmlformats.org/officeDocument/2006/relationships/hyperlink" Target="https://www.tiktok.com/@thongdongdoday?_r=1&amp;_t=ZS-94NJFKrtS9V" TargetMode="External"/><Relationship Id="rId55" Type="http://schemas.openxmlformats.org/officeDocument/2006/relationships/hyperlink" Target="https://www.tiktok.com/@saigonmap/video/7644787494319312136?_r=1&amp;_t=ZS-96jG8hKdGL9" TargetMode="External"/><Relationship Id="rId54" Type="http://schemas.openxmlformats.org/officeDocument/2006/relationships/hyperlink" Target="https://www.tiktok.com/@saigonmap" TargetMode="External"/><Relationship Id="rId57" Type="http://schemas.openxmlformats.org/officeDocument/2006/relationships/drawing" Target="../drawings/drawing4.xml"/><Relationship Id="rId56" Type="http://schemas.openxmlformats.org/officeDocument/2006/relationships/hyperlink" Target="https://www.tiktok.com/@mienmanhano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fivestarnearyou.cp.com.vn/?Longtitude=105.72529189288616&amp;Latitude=20.990128247353965"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vaepmEWZwQPcFnJybT7zJVCFQxsVk_MSW_pJStnUg6U/edit?gid=40167146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tiktok.com/@chucaofood?_t=8oLaNxaWT8E&amp;_r=1" TargetMode="External"/><Relationship Id="rId42" Type="http://schemas.openxmlformats.org/officeDocument/2006/relationships/hyperlink" Target="https://docs.google.com/spreadsheets/d/191E4WQVYqKQGCKUc6VNpr6XcIAnFaPVzZakBmOWs_dE/edit?gid=0"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hi.an.ne" TargetMode="External"/><Relationship Id="rId46" Type="http://schemas.openxmlformats.org/officeDocument/2006/relationships/hyperlink" Target="https://www.tiktok.com/@vuvicungyuhi" TargetMode="External"/><Relationship Id="rId45" Type="http://schemas.openxmlformats.org/officeDocument/2006/relationships/hyperlink" Target="https://docs.google.com/spreadsheets/d/14zMYJFq84bLogXppl5iBijvsYFm90xU8MuxJDdbrRZ4/edit?gid=0" TargetMode="External"/><Relationship Id="rId48" Type="http://schemas.openxmlformats.org/officeDocument/2006/relationships/hyperlink" Target="https://docs.google.com/spreadsheets/d/1hY2b8b5_EtKYxGXaNgirKjOArXXbMdXlIgAe3-7WkNw/edit?gid=0"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www.tiktok.com/@koinamang" TargetMode="External"/><Relationship Id="rId31" Type="http://schemas.openxmlformats.org/officeDocument/2006/relationships/hyperlink" Target="https://www.tiktok.com/@nhamay1606" TargetMode="External"/><Relationship Id="rId30" Type="http://schemas.openxmlformats.org/officeDocument/2006/relationships/hyperlink" Target="https://docs.google.com/spreadsheets/d/1z-HdLijlKbGSj5qe5SrB_0F34ISWgdy1XuSDOjDegrg/edit?gid=0" TargetMode="External"/><Relationship Id="rId33" Type="http://schemas.openxmlformats.org/officeDocument/2006/relationships/hyperlink" Target="https://docs.google.com/spreadsheets/d/1xQ1mD1D5YIQbOnp-TcVfi31RHqUWCR8Z0vOrkp-JFkc/edit?gid=0"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dieuphuongne_?_r=1&amp;_t=ZS-92j9nP4c71B" TargetMode="External"/><Relationship Id="rId37" Type="http://schemas.openxmlformats.org/officeDocument/2006/relationships/hyperlink" Target="https://www.tiktok.com/@8vv000?_r=1&amp;_t=ZS-91WI3LmQD6F" TargetMode="External"/><Relationship Id="rId36" Type="http://schemas.openxmlformats.org/officeDocument/2006/relationships/hyperlink" Target="https://docs.google.com/spreadsheets/d/1fpgklNz15kb8DM2y7cMvWmIrrpZJ52PQO1AcoqBHmEA/edit?gid=0" TargetMode="External"/><Relationship Id="rId39" Type="http://schemas.openxmlformats.org/officeDocument/2006/relationships/hyperlink" Target="https://docs.google.com/spreadsheets/d/1Zs-sbAumg9ydXNKSreenvInyRfXK3lg9oVTB-V7R3bY/edit?gid=0"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fivestarnearyou.cp.com.vn/?Longtitude=105.48988584829794&amp;Latitude=9.128942686320757" TargetMode="External"/><Relationship Id="rId22" Type="http://schemas.openxmlformats.org/officeDocument/2006/relationships/hyperlink" Target="https://docs.google.com/spreadsheets/d/1SNimKtZBUz4pm9ejeDfbgV1a815ex8d26sGSutaoT0A/edit?gid=1256513125" TargetMode="External"/><Relationship Id="rId21" Type="http://schemas.openxmlformats.org/officeDocument/2006/relationships/hyperlink" Target="https://docs.google.com/spreadsheets/d/1SNimKtZBUz4pm9ejeDfbgV1a815ex8d26sGSutaoT0A/edit?gid=0"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anngoncungpuu?_t=8caIQvvAxxy&amp;_r=1" TargetMode="External"/><Relationship Id="rId26" Type="http://schemas.openxmlformats.org/officeDocument/2006/relationships/hyperlink" Target="https://www.tiktok.com/@bobiengan?_t=ZS-8tu0m1Vyokq&amp;_r=1u0odLK9R3&amp;_r=1" TargetMode="External"/><Relationship Id="rId25" Type="http://schemas.openxmlformats.org/officeDocument/2006/relationships/hyperlink" Target="https://docs.google.com/spreadsheets/d/1jC0a00h3FsNPkNZqCO8tCfHq8Ux2lS9cjcq9OYS5YDw/edit?gid=0" TargetMode="External"/><Relationship Id="rId28" Type="http://schemas.openxmlformats.org/officeDocument/2006/relationships/hyperlink" Target="https://www.tiktok.com/@phamtrang.2401"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docs.google.com/spreadsheets/d/161njDQndXtRs8o07Zhz1nU0rtGGgw4RpJvwe5s0bWPc/edit?gid=972901149" TargetMode="External"/><Relationship Id="rId10" Type="http://schemas.openxmlformats.org/officeDocument/2006/relationships/hyperlink" Target="https://docs.google.com/spreadsheets/d/161njDQndXtRs8o07Zhz1nU0rtGGgw4RpJvwe5s0bWPc/edit?gid=0" TargetMode="External"/><Relationship Id="rId13" Type="http://schemas.openxmlformats.org/officeDocument/2006/relationships/hyperlink" Target="https://fivestarnearyou.cp.com.vn/?Longtitude=105.48988584829794&amp;Latitude=9.128942686320757" TargetMode="External"/><Relationship Id="rId12" Type="http://schemas.openxmlformats.org/officeDocument/2006/relationships/hyperlink" Target="https://www.tiktok.com/@hhuyennhiii" TargetMode="External"/><Relationship Id="rId15" Type="http://schemas.openxmlformats.org/officeDocument/2006/relationships/hyperlink" Target="https://www.tiktok.com/@thubonny" TargetMode="External"/><Relationship Id="rId14" Type="http://schemas.openxmlformats.org/officeDocument/2006/relationships/hyperlink" Target="https://docs.google.com/spreadsheets/d/1TlMiQyjUC_8vG--FMqD48heIruNjrv0a_-BycV6vMug/edit?gid=2103508750" TargetMode="External"/><Relationship Id="rId17" Type="http://schemas.openxmlformats.org/officeDocument/2006/relationships/hyperlink" Target="https://docs.google.com/spreadsheets/d/11qQ5wa_wLzoqxwxYWqwWOeh0TAKOK7_d4tXx9pgrw0M/edit?gid=0" TargetMode="External"/><Relationship Id="rId16" Type="http://schemas.openxmlformats.org/officeDocument/2006/relationships/hyperlink" Target="https://fivestarnearyou.cp.com.vn/?Longtitude=105.48988584829794&amp;Latitude=9.128942686320757" TargetMode="External"/><Relationship Id="rId19" Type="http://schemas.openxmlformats.org/officeDocument/2006/relationships/hyperlink" Target="https://www.tiktok.com/@nuchuu.0401" TargetMode="External"/><Relationship Id="rId18" Type="http://schemas.openxmlformats.org/officeDocument/2006/relationships/hyperlink" Target="https://docs.google.com/spreadsheets/d/11qQ5wa_wLzoqxwxYWqwWOeh0TAKOK7_d4tXx9pgrw0M/edit?gid=1343518029" TargetMode="External"/><Relationship Id="rId84" Type="http://schemas.openxmlformats.org/officeDocument/2006/relationships/hyperlink" Target="https://www.tiktok.com/@meshushi121" TargetMode="External"/><Relationship Id="rId83" Type="http://schemas.openxmlformats.org/officeDocument/2006/relationships/hyperlink" Target="https://docs.google.com/spreadsheets/d/1lt3E1B2b2qUAC6cYVT7NB805xBZGdfWfOiL1656BC0g/edit?gid=0" TargetMode="External"/><Relationship Id="rId86" Type="http://schemas.openxmlformats.org/officeDocument/2006/relationships/hyperlink" Target="https://www.facebook.com/DiaDiemAnUong" TargetMode="External"/><Relationship Id="rId85" Type="http://schemas.openxmlformats.org/officeDocument/2006/relationships/hyperlink" Target="https://fivestarnearyou.cp.com.vn/?Longtitude=105.48988584829794&amp;Latitude=9.128942686320757" TargetMode="External"/><Relationship Id="rId88" Type="http://schemas.openxmlformats.org/officeDocument/2006/relationships/hyperlink" Target="https://www.facebook.com/groups/kosodoi" TargetMode="External"/><Relationship Id="rId87" Type="http://schemas.openxmlformats.org/officeDocument/2006/relationships/hyperlink" Target="https://www.facebook.com/themtivi" TargetMode="External"/><Relationship Id="rId89" Type="http://schemas.openxmlformats.org/officeDocument/2006/relationships/hyperlink" Target="https://www.facebook.com/groups/gdl.mmsg/" TargetMode="External"/><Relationship Id="rId80" Type="http://schemas.openxmlformats.org/officeDocument/2006/relationships/hyperlink" Target="https://docs.google.com/spreadsheets/d/1uFmHyUA8c77qUKk6WPFkRM-bCzcgemvAJT4YpHjKU1M/edit?gid=0" TargetMode="External"/><Relationship Id="rId82" Type="http://schemas.openxmlformats.org/officeDocument/2006/relationships/hyperlink" Target="https://fivestarnearyou.cp.com.vn/?Longtitude=105.48988584829794&amp;Latitude=9.128942686320757" TargetMode="External"/><Relationship Id="rId81" Type="http://schemas.openxmlformats.org/officeDocument/2006/relationships/hyperlink" Target="https://www.tiktok.com/@huynhhongocduc"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docs.google.com/spreadsheets/d/1sek28q8dSpx6DU8QYhlKU5FqtCePEZaUhxd1o63zgyI/edit?gid=1935125103" TargetMode="External"/><Relationship Id="rId4" Type="http://schemas.openxmlformats.org/officeDocument/2006/relationships/hyperlink" Target="https://www.tiktok.com/@lulureview_" TargetMode="External"/><Relationship Id="rId9" Type="http://schemas.openxmlformats.org/officeDocument/2006/relationships/hyperlink" Target="https://fivestarnearyou.cp.com.vn/?Longtitude=105.48988584829794&amp;Latitude=9.128942686320757"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docs.google.com/spreadsheets/d/1vaRBTbnZy9dvsd-SpvXhO76Gg-InJKD2u8IGmvjbPTo/edit?gid=0" TargetMode="External"/><Relationship Id="rId7" Type="http://schemas.openxmlformats.org/officeDocument/2006/relationships/hyperlink" Target="https://docs.google.com/spreadsheets/d/1vaRBTbnZy9dvsd-SpvXhO76Gg-InJKD2u8IGmvjbPTo/edit?gid=1396100120" TargetMode="External"/><Relationship Id="rId8" Type="http://schemas.openxmlformats.org/officeDocument/2006/relationships/hyperlink" Target="https://www.tiktok.com/@hellolapday" TargetMode="External"/><Relationship Id="rId73" Type="http://schemas.openxmlformats.org/officeDocument/2006/relationships/hyperlink" Target="https://fivestarnearyou.cp.com.vn/?Longtitude=105.48988584829794&amp;Latitude=9.128942686320757" TargetMode="External"/><Relationship Id="rId72" Type="http://schemas.openxmlformats.org/officeDocument/2006/relationships/hyperlink" Target="https://www.tiktok.com/@zan.riviu?_r=1&amp;_t=ZS-94n3uOkLyE8" TargetMode="External"/><Relationship Id="rId75" Type="http://schemas.openxmlformats.org/officeDocument/2006/relationships/hyperlink" Target="http://www.tiktok.com/@lysambonreview" TargetMode="External"/><Relationship Id="rId74" Type="http://schemas.openxmlformats.org/officeDocument/2006/relationships/hyperlink" Target="https://docs.google.com/spreadsheets/d/1ZhzA7f0EEVZSZERZ6T98bKeCW85zp9ua9X8yo01_CDM/edit?gid=0" TargetMode="External"/><Relationship Id="rId77" Type="http://schemas.openxmlformats.org/officeDocument/2006/relationships/hyperlink" Target="https://docs.google.com/spreadsheets/d/1jtk6BCNAw-jnbFSu2pxRRbrxpwCHVeCHGWt7dLAr_9E/edit?gid=0" TargetMode="External"/><Relationship Id="rId76" Type="http://schemas.openxmlformats.org/officeDocument/2006/relationships/hyperlink" Target="https://fivestarnearyou.cp.com.vn/?Longtitude=105.48988584829794&amp;Latitude=9.128942686320757"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phuongoychillthoy" TargetMode="External"/><Relationship Id="rId71" Type="http://schemas.openxmlformats.org/officeDocument/2006/relationships/hyperlink" Target="https://docs.google.com/spreadsheets/d/1dJYfbH8b6VPdopiloXVCki9tb8tEfNmJswmXBej_IuY/edit?gid=0" TargetMode="External"/><Relationship Id="rId70" Type="http://schemas.openxmlformats.org/officeDocument/2006/relationships/hyperlink" Target="https://fivestarnearyou.cp.com.vn/?Longtitude=105.48988584829794&amp;Latitude=9.128942686320757" TargetMode="External"/><Relationship Id="rId62" Type="http://schemas.openxmlformats.org/officeDocument/2006/relationships/hyperlink" Target="https://www.tiktok.com/@ng.hamii" TargetMode="External"/><Relationship Id="rId61" Type="http://schemas.openxmlformats.org/officeDocument/2006/relationships/hyperlink" Target="https://docs.google.com/spreadsheets/d/1cj90244KvR8OqH9KZFgowQ9lYz0p3GYlqiGHupXlQK4/edit?gid=0" TargetMode="External"/><Relationship Id="rId64" Type="http://schemas.openxmlformats.org/officeDocument/2006/relationships/hyperlink" Target="https://docs.google.com/spreadsheets/d/1-Tou9o64WjWdG5dHbESWyKyghnsgtgjtYtvRWVBT8eM/edit?gid=0"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fivestarnearyou.cp.com.vn/?Longtitude=105.48988584829794&amp;Latitude=9.128942686320757" TargetMode="External"/><Relationship Id="rId65" Type="http://schemas.openxmlformats.org/officeDocument/2006/relationships/hyperlink" Target="https://www.tiktok.com/@ahthunek_" TargetMode="External"/><Relationship Id="rId68" Type="http://schemas.openxmlformats.org/officeDocument/2006/relationships/hyperlink" Target="https://docs.google.com/document/d/1D5DM5DGA7yCuF0R81ZZ8XLLPmdljjHWhg2k0IP53AWU/edit?tab=t.0" TargetMode="External"/><Relationship Id="rId67" Type="http://schemas.openxmlformats.org/officeDocument/2006/relationships/hyperlink" Target="https://maps.app.goo.gl/iksHBBkVmUmfAYXT9?g_st=ic"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www.tiktok.com/@tuanfoodkhongphet" TargetMode="External"/><Relationship Id="rId51" Type="http://schemas.openxmlformats.org/officeDocument/2006/relationships/hyperlink" Target="https://maps.app.goo.gl/8nfYco4okWjL8bpN7?g_st=ipc"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www.tiktok.com/@vieinhcm" TargetMode="External"/><Relationship Id="rId52" Type="http://schemas.openxmlformats.org/officeDocument/2006/relationships/hyperlink" Target="https://docs.google.com/spreadsheets/d/1ElUYUftJAo28QUTzMDf6W8D9d5rKU9kobs52VaXPhHo/edit?gid=0" TargetMode="External"/><Relationship Id="rId55" Type="http://schemas.openxmlformats.org/officeDocument/2006/relationships/hyperlink" Target="https://docs.google.com/spreadsheets/d/1sFqEAfN8N0lcOoXThx0t58Z8JdMal5nNG1sEjaYr_5A/edit?gid=1051730808" TargetMode="External"/><Relationship Id="rId54" Type="http://schemas.openxmlformats.org/officeDocument/2006/relationships/hyperlink" Target="https://fivestarnearyou.cp.com.vn/?Longtitude=105.48988584829794&amp;Latitude=9.128942686320757"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duongbaoanh2kk?_r=1&amp;_t=ZS-94n5aTW7D9A" TargetMode="External"/><Relationship Id="rId59" Type="http://schemas.openxmlformats.org/officeDocument/2006/relationships/hyperlink" Target="http://tiktok.com/@vunguyetthu" TargetMode="External"/><Relationship Id="rId58" Type="http://schemas.openxmlformats.org/officeDocument/2006/relationships/hyperlink" Target="https://docs.google.com/spreadsheets/d/1v_4l8kffwO5HDSDp9f0NMZ20h7cM9EQfqTMr2OwgAO4/edit?gid=0" TargetMode="External"/><Relationship Id="rId103" Type="http://schemas.openxmlformats.org/officeDocument/2006/relationships/drawing" Target="../drawings/drawing7.xml"/><Relationship Id="rId102" Type="http://schemas.openxmlformats.org/officeDocument/2006/relationships/hyperlink" Target="https://docs.google.com/spreadsheets/d/1s73hp06B3Mcm2XxooLuX0PBD9R1WJN7cKVv-1JsxMNo/edit?usp=sharing" TargetMode="External"/><Relationship Id="rId101" Type="http://schemas.openxmlformats.org/officeDocument/2006/relationships/hyperlink" Target="https://www.tiktok.com/@mienmanhanoi" TargetMode="External"/><Relationship Id="rId100" Type="http://schemas.openxmlformats.org/officeDocument/2006/relationships/hyperlink" Target="https://docs.google.com/spreadsheets/d/165wHINGJNG6u-TKltL9IFycAvysmlg8PM9SMb5b7ZEI/edit?gid=369007203" TargetMode="External"/><Relationship Id="rId95" Type="http://schemas.openxmlformats.org/officeDocument/2006/relationships/hyperlink" Target="https://docs.google.com/spreadsheets/d/1ExKareGYH9VR7c6hXA2BPlNn2qL7U879Nzgg7lYOoyk/edit?gid=1350617545" TargetMode="External"/><Relationship Id="rId94" Type="http://schemas.openxmlformats.org/officeDocument/2006/relationships/hyperlink" Target="https://docs.google.com/spreadsheets/d/1ExKareGYH9VR7c6hXA2BPlNn2qL7U879Nzgg7lYOoyk/edit?gid=0" TargetMode="External"/><Relationship Id="rId97" Type="http://schemas.openxmlformats.org/officeDocument/2006/relationships/hyperlink" Target="https://docs.google.com/spreadsheets/d/19KBHFXJZdTSkntAMXMrEZpTkm9ELKraMsDFSVYrKolo/edit?gid=1454906472" TargetMode="External"/><Relationship Id="rId96" Type="http://schemas.openxmlformats.org/officeDocument/2006/relationships/hyperlink" Target="https://www.tiktok.com/@thongdongdoday?_r=1&amp;_t=ZS-94NJFKrtS9V" TargetMode="External"/><Relationship Id="rId99" Type="http://schemas.openxmlformats.org/officeDocument/2006/relationships/hyperlink" Target="https://docs.google.com/spreadsheets/d/165wHINGJNG6u-TKltL9IFycAvysmlg8PM9SMb5b7ZEI/edit?gid=0" TargetMode="External"/><Relationship Id="rId98" Type="http://schemas.openxmlformats.org/officeDocument/2006/relationships/hyperlink" Target="https://www.tiktok.com/@saigonmap" TargetMode="External"/><Relationship Id="rId91" Type="http://schemas.openxmlformats.org/officeDocument/2006/relationships/hyperlink" Target="https://www.tiktok.com/@hanoiangi" TargetMode="External"/><Relationship Id="rId90" Type="http://schemas.openxmlformats.org/officeDocument/2006/relationships/hyperlink" Target="https://www.facebook.com/groups/231350177556959/" TargetMode="External"/><Relationship Id="rId93" Type="http://schemas.openxmlformats.org/officeDocument/2006/relationships/hyperlink" Target="https://www.tiktok.com/@vivusaigon.vn" TargetMode="External"/><Relationship Id="rId92" Type="http://schemas.openxmlformats.org/officeDocument/2006/relationships/hyperlink" Target="https://docs.google.com/spreadsheets/d/1VVMeHf2sGW8ymO4iXQtvCgyoT4rc0OuQeg-j3A20B_o/edit?gid=719708239"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tiktok.com/@vuvicungyuhi" TargetMode="External"/><Relationship Id="rId42" Type="http://schemas.openxmlformats.org/officeDocument/2006/relationships/hyperlink" Target="https://docs.google.com/spreadsheets/d/1zp_LaYpWA9sZHsid5iK9uwpUrgqLfDp_I-uIAAKEj48/edit?gid=86066825"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koinamang" TargetMode="External"/><Relationship Id="rId46" Type="http://schemas.openxmlformats.org/officeDocument/2006/relationships/hyperlink" Target="https://fivestarnearyou.cp.com.vn/?Longtitude=105.48988584829794&amp;Latitude=9.128942686320757" TargetMode="External"/><Relationship Id="rId45" Type="http://schemas.openxmlformats.org/officeDocument/2006/relationships/hyperlink" Target="https://www.tiktok.com/@vieinhcm" TargetMode="External"/><Relationship Id="rId48" Type="http://schemas.openxmlformats.org/officeDocument/2006/relationships/hyperlink" Target="https://www.tiktok.com/@duongbaoanh2kk?_r=1&amp;_t=ZS-94n5aTW7D9A" TargetMode="External"/><Relationship Id="rId47" Type="http://schemas.openxmlformats.org/officeDocument/2006/relationships/hyperlink" Target="https://docs.google.com/spreadsheets/d/16OvFx7PrR-T2MT2uGxvOhLg9LXOi0HWql6pSWU7HRfg/edit?gid=1826739190" TargetMode="External"/><Relationship Id="rId49" Type="http://schemas.openxmlformats.org/officeDocument/2006/relationships/hyperlink" Target="https://fivestarnearyou.cp.com.vn/?Longtitude=105.48988584829794&amp;Latitude=9.128942686320757" TargetMode="External"/><Relationship Id="rId31" Type="http://schemas.openxmlformats.org/officeDocument/2006/relationships/hyperlink" Target="https://www.tiktok.com/@8vv000?_r=1&amp;_t=ZS-91WI3LmQD6F" TargetMode="External"/><Relationship Id="rId30" Type="http://schemas.openxmlformats.org/officeDocument/2006/relationships/hyperlink" Target="https://docs.google.com/spreadsheets/d/16OvFx7PrR-T2MT2uGxvOhLg9LXOi0HWql6pSWU7HRfg/edit?gid=1826739190" TargetMode="External"/><Relationship Id="rId33" Type="http://schemas.openxmlformats.org/officeDocument/2006/relationships/hyperlink" Target="https://docs.google.com/spreadsheets/d/16OvFx7PrR-T2MT2uGxvOhLg9LXOi0HWql6pSWU7HRfg/edit?gid=1826739190"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chucaofood?_t=8oLaNxaWT8E&amp;_r=1" TargetMode="External"/><Relationship Id="rId37" Type="http://schemas.openxmlformats.org/officeDocument/2006/relationships/hyperlink" Target="https://www.tiktok.com/@hi.an.ne" TargetMode="External"/><Relationship Id="rId36" Type="http://schemas.openxmlformats.org/officeDocument/2006/relationships/hyperlink" Target="https://docs.google.com/spreadsheets/d/16OvFx7PrR-T2MT2uGxvOhLg9LXOi0HWql6pSWU7HRfg/edit?gid=1826739190" TargetMode="External"/><Relationship Id="rId39" Type="http://schemas.openxmlformats.org/officeDocument/2006/relationships/hyperlink" Target="https://docs.google.com/spreadsheets/d/16OvFx7PrR-T2MT2uGxvOhLg9LXOi0HWql6pSWU7HRfg/edit?gid=1826739190"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www.tiktok.com/@phamtrang.2401" TargetMode="External"/><Relationship Id="rId22" Type="http://schemas.openxmlformats.org/officeDocument/2006/relationships/hyperlink" Target="https://docs.google.com/spreadsheets/d/1zp_LaYpWA9sZHsid5iK9uwpUrgqLfDp_I-uIAAKEj48/edit?gid=86066825"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bobiengan?_t=ZS-8tu0m1Vyokq&amp;_r=1u0odLK9R3&amp;_r=1" TargetMode="External"/><Relationship Id="rId26" Type="http://schemas.openxmlformats.org/officeDocument/2006/relationships/hyperlink" Target="https://fivestarnearyou.cp.com.vn/?Longtitude=105.48988584829794&amp;Latitude=9.128942686320757" TargetMode="External"/><Relationship Id="rId25" Type="http://schemas.openxmlformats.org/officeDocument/2006/relationships/hyperlink" Target="https://www.tiktok.com/@nhamay1606" TargetMode="External"/><Relationship Id="rId28" Type="http://schemas.openxmlformats.org/officeDocument/2006/relationships/hyperlink" Target="https://www.tiktok.com/@dieuphuongne_?_r=1&amp;_t=ZS-92j9nP4c71B" TargetMode="External"/><Relationship Id="rId27" Type="http://schemas.openxmlformats.org/officeDocument/2006/relationships/hyperlink" Target="https://docs.google.com/spreadsheets/d/16OvFx7PrR-T2MT2uGxvOhLg9LXOi0HWql6pSWU7HRfg/edit?gid=1826739190"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www.tiktok.com/@thubonny"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www.tiktok.com/@nuchuu.0401/video/7598539556157246738" TargetMode="External"/><Relationship Id="rId14" Type="http://schemas.openxmlformats.org/officeDocument/2006/relationships/hyperlink" Target="https://fivestarnearyou.cp.com.vn/?Longtitude=105.48988584829794&amp;Latitude=9.128942686320757" TargetMode="External"/><Relationship Id="rId17" Type="http://schemas.openxmlformats.org/officeDocument/2006/relationships/hyperlink" Target="https://www.tiktok.com/@anngoncungpuu?_t=8caIQvvAxxy&amp;_r=1" TargetMode="External"/><Relationship Id="rId16" Type="http://schemas.openxmlformats.org/officeDocument/2006/relationships/hyperlink" Target="https://docs.google.com/spreadsheets/d/1G2tMrOxJpcW3osvBoXzc-RPm5XZa-6xKs05LG1czwZ0/edit?gid=0" TargetMode="External"/><Relationship Id="rId19" Type="http://schemas.openxmlformats.org/officeDocument/2006/relationships/hyperlink" Target="https://docs.google.com/spreadsheets/d/16OvFx7PrR-T2MT2uGxvOhLg9LXOi0HWql6pSWU7HRfg/edit?gid=1826739190" TargetMode="External"/><Relationship Id="rId18" Type="http://schemas.openxmlformats.org/officeDocument/2006/relationships/hyperlink" Target="https://fivestarnearyou.cp.com.vn/?Longtitude=105.48988584829794&amp;Latitude=9.128942686320757" TargetMode="External"/><Relationship Id="rId84" Type="http://schemas.openxmlformats.org/officeDocument/2006/relationships/hyperlink" Target="https://docs.google.com/spreadsheets/d/16OvFx7PrR-T2MT2uGxvOhLg9LXOi0HWql6pSWU7HRfg/edit?gid=317397432" TargetMode="External"/><Relationship Id="rId83" Type="http://schemas.openxmlformats.org/officeDocument/2006/relationships/hyperlink" Target="https://docs.google.com/spreadsheets/d/16OvFx7PrR-T2MT2uGxvOhLg9LXOi0HWql6pSWU7HRfg/edit?gid=317397432" TargetMode="External"/><Relationship Id="rId86" Type="http://schemas.openxmlformats.org/officeDocument/2006/relationships/hyperlink" Target="https://docs.google.com/spreadsheets/d/1G2tMrOxJpcW3osvBoXzc-RPm5XZa-6xKs05LG1czwZ0/edit?gid=1537112938" TargetMode="External"/><Relationship Id="rId85" Type="http://schemas.openxmlformats.org/officeDocument/2006/relationships/hyperlink" Target="https://www.facebook.com/DiaDiemAnUong" TargetMode="External"/><Relationship Id="rId88" Type="http://schemas.openxmlformats.org/officeDocument/2006/relationships/hyperlink" Target="https://docs.google.com/spreadsheets/d/1G2tMrOxJpcW3osvBoXzc-RPm5XZa-6xKs05LG1czwZ0/edit?gid=1537112938" TargetMode="External"/><Relationship Id="rId87" Type="http://schemas.openxmlformats.org/officeDocument/2006/relationships/hyperlink" Target="https://www.facebook.com/themtivi" TargetMode="External"/><Relationship Id="rId89" Type="http://schemas.openxmlformats.org/officeDocument/2006/relationships/hyperlink" Target="https://www.facebook.com/groups/kosodoi" TargetMode="External"/><Relationship Id="rId80" Type="http://schemas.openxmlformats.org/officeDocument/2006/relationships/hyperlink" Target="https://docs.google.com/spreadsheets/d/16OvFx7PrR-T2MT2uGxvOhLg9LXOi0HWql6pSWU7HRfg/edit?gid=317397432" TargetMode="External"/><Relationship Id="rId82" Type="http://schemas.openxmlformats.org/officeDocument/2006/relationships/hyperlink" Target="https://fivestarnearyou.cp.com.vn/?Longtitude=105.48988584829794&amp;Latitude=9.128942686320757" TargetMode="External"/><Relationship Id="rId81" Type="http://schemas.openxmlformats.org/officeDocument/2006/relationships/hyperlink" Target="https://www.tiktok.com/@meshushi121"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docs.google.com/spreadsheets/d/16OvFx7PrR-T2MT2uGxvOhLg9LXOi0HWql6pSWU7HRfg/edit?gid=1826739190" TargetMode="External"/><Relationship Id="rId4" Type="http://schemas.openxmlformats.org/officeDocument/2006/relationships/hyperlink" Target="https://www.tiktok.com/@lulureview_" TargetMode="External"/><Relationship Id="rId9" Type="http://schemas.openxmlformats.org/officeDocument/2006/relationships/hyperlink" Target="https://www.tiktok.com/@hhuyennhiii"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www.tiktok.com/@hellolapday" TargetMode="External"/><Relationship Id="rId7" Type="http://schemas.openxmlformats.org/officeDocument/2006/relationships/hyperlink" Target="https://fivestarnearyou.cp.com.vn/?Longtitude=105.48988584829794&amp;Latitude=9.128942686320757" TargetMode="External"/><Relationship Id="rId8" Type="http://schemas.openxmlformats.org/officeDocument/2006/relationships/hyperlink" Target="https://docs.google.com/spreadsheets/d/1G2tMrOxJpcW3osvBoXzc-RPm5XZa-6xKs05LG1czwZ0/edit?gid=0" TargetMode="External"/><Relationship Id="rId73" Type="http://schemas.openxmlformats.org/officeDocument/2006/relationships/hyperlink" Target="https://www.tiktok.com/@huynhhongocduc" TargetMode="External"/><Relationship Id="rId72" Type="http://schemas.openxmlformats.org/officeDocument/2006/relationships/hyperlink" Target="https://docs.google.com/spreadsheets/d/16OvFx7PrR-T2MT2uGxvOhLg9LXOi0HWql6pSWU7HRfg/edit?gid=317397432" TargetMode="External"/><Relationship Id="rId75" Type="http://schemas.openxmlformats.org/officeDocument/2006/relationships/hyperlink" Target="https://docs.google.com/spreadsheets/d/16OvFx7PrR-T2MT2uGxvOhLg9LXOi0HWql6pSWU7HRfg/edit?gid=317397432" TargetMode="External"/><Relationship Id="rId74" Type="http://schemas.openxmlformats.org/officeDocument/2006/relationships/hyperlink" Target="https://fivestarnearyou.cp.com.vn/?Longtitude=105.48988584829794&amp;Latitude=9.128942686320757" TargetMode="External"/><Relationship Id="rId77" Type="http://schemas.openxmlformats.org/officeDocument/2006/relationships/hyperlink" Target="http://www.tiktok.com/@lysambonreview" TargetMode="External"/><Relationship Id="rId76" Type="http://schemas.openxmlformats.org/officeDocument/2006/relationships/hyperlink" Target="https://docs.google.com/spreadsheets/d/16OvFx7PrR-T2MT2uGxvOhLg9LXOi0HWql6pSWU7HRfg/edit?gid=317397432" TargetMode="External"/><Relationship Id="rId79" Type="http://schemas.openxmlformats.org/officeDocument/2006/relationships/hyperlink" Target="https://docs.google.com/spreadsheets/d/16OvFx7PrR-T2MT2uGxvOhLg9LXOi0HWql6pSWU7HRfg/edit?gid=317397432" TargetMode="External"/><Relationship Id="rId78" Type="http://schemas.openxmlformats.org/officeDocument/2006/relationships/hyperlink" Target="https://fivestarnearyou.cp.com.vn/?Longtitude=105.48988584829794&amp;Latitude=9.128942686320757" TargetMode="External"/><Relationship Id="rId71" Type="http://schemas.openxmlformats.org/officeDocument/2006/relationships/hyperlink" Target="https://docs.google.com/spreadsheets/d/16OvFx7PrR-T2MT2uGxvOhLg9LXOi0HWql6pSWU7HRfg/edit?gid=317397432" TargetMode="External"/><Relationship Id="rId70" Type="http://schemas.openxmlformats.org/officeDocument/2006/relationships/hyperlink" Target="https://fivestarnearyou.cp.com.vn/?Longtitude=105.48988584829794&amp;Latitude=9.128942686320757" TargetMode="External"/><Relationship Id="rId62" Type="http://schemas.openxmlformats.org/officeDocument/2006/relationships/hyperlink" Target="https://www.tiktok.com/@banhudaayyy?_r=1&amp;_t=ZS-96SZmB6SpNM" TargetMode="External"/><Relationship Id="rId61" Type="http://schemas.openxmlformats.org/officeDocument/2006/relationships/hyperlink" Target="https://docs.google.com/spreadsheets/d/1zp_LaYpWA9sZHsid5iK9uwpUrgqLfDp_I-uIAAKEj48/edit?gid=86066825" TargetMode="External"/><Relationship Id="rId64" Type="http://schemas.openxmlformats.org/officeDocument/2006/relationships/hyperlink" Target="https://docs.google.com/spreadsheets/d/1zp_LaYpWA9sZHsid5iK9uwpUrgqLfDp_I-uIAAKEj48/edit?gid=86066825"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fivestarnearyou.cp.com.vn/?Longtitude=105.48988584829794&amp;Latitude=9.128942686320757" TargetMode="External"/><Relationship Id="rId65" Type="http://schemas.openxmlformats.org/officeDocument/2006/relationships/hyperlink" Target="https://www.tiktok.com/@zan.riviu?_r=1&amp;_t=ZS-94n3uOkLyE8" TargetMode="External"/><Relationship Id="rId68" Type="http://schemas.openxmlformats.org/officeDocument/2006/relationships/hyperlink" Target="https://docs.google.com/spreadsheets/d/16OvFx7PrR-T2MT2uGxvOhLg9LXOi0HWql6pSWU7HRfg/edit?gid=317397432" TargetMode="External"/><Relationship Id="rId67" Type="http://schemas.openxmlformats.org/officeDocument/2006/relationships/hyperlink" Target="https://docs.google.com/spreadsheets/d/16OvFx7PrR-T2MT2uGxvOhLg9LXOi0HWql6pSWU7HRfg/edit?gid=317397432"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www.tiktok.com/@phuongoychillthoy" TargetMode="External"/><Relationship Id="rId51" Type="http://schemas.openxmlformats.org/officeDocument/2006/relationships/hyperlink" Target="https://docs.google.com/spreadsheets/d/16OvFx7PrR-T2MT2uGxvOhLg9LXOi0HWql6pSWU7HRfg/edit?gid=317397432" TargetMode="External"/><Relationship Id="rId50" Type="http://schemas.openxmlformats.org/officeDocument/2006/relationships/hyperlink" Target="https://docs.google.com/spreadsheets/d/16OvFx7PrR-T2MT2uGxvOhLg9LXOi0HWql6pSWU7HRfg/edit?gid=317397432"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tiktok.com/@vunguyetthu" TargetMode="External"/><Relationship Id="rId55" Type="http://schemas.openxmlformats.org/officeDocument/2006/relationships/hyperlink" Target="https://docs.google.com/spreadsheets/d/16OvFx7PrR-T2MT2uGxvOhLg9LXOi0HWql6pSWU7HRfg/edit?gid=317397432" TargetMode="External"/><Relationship Id="rId54" Type="http://schemas.openxmlformats.org/officeDocument/2006/relationships/hyperlink" Target="https://docs.google.com/spreadsheets/d/16OvFx7PrR-T2MT2uGxvOhLg9LXOi0HWql6pSWU7HRfg/edit?gid=317397432"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ng.hamii" TargetMode="External"/><Relationship Id="rId59" Type="http://schemas.openxmlformats.org/officeDocument/2006/relationships/hyperlink" Target="https://www.tiktok.com/@tuanfoodkhongphet" TargetMode="External"/><Relationship Id="rId58" Type="http://schemas.openxmlformats.org/officeDocument/2006/relationships/hyperlink" Target="https://docs.google.com/spreadsheets/d/1zp_LaYpWA9sZHsid5iK9uwpUrgqLfDp_I-uIAAKEj48/edit?gid=86066825" TargetMode="External"/><Relationship Id="rId107" Type="http://schemas.openxmlformats.org/officeDocument/2006/relationships/hyperlink" Target="https://docs.google.com/spreadsheets/d/1kLxq-1cfdLfNdD7pCIvGp6B8LRYWZ8If0fLjn6FKapM/edit?gid=979601156" TargetMode="External"/><Relationship Id="rId106" Type="http://schemas.openxmlformats.org/officeDocument/2006/relationships/hyperlink" Target="https://docs.google.com/spreadsheets/d/1tdM8mM5NVup3HoWT-pT6mtnUpdaNhmwBh9Y0PiXwfBA/edit?gid=2067434365" TargetMode="External"/><Relationship Id="rId105" Type="http://schemas.openxmlformats.org/officeDocument/2006/relationships/hyperlink" Target="https://docs.google.com/spreadsheets/d/1MdUXcEjefJOtEwLDz2L2QFLvh0vVffRPOCfgWSS8Boc/edit?gid=979601156" TargetMode="External"/><Relationship Id="rId104" Type="http://schemas.openxmlformats.org/officeDocument/2006/relationships/hyperlink" Target="https://docs.google.com/spreadsheets/d/1l9bfdoC0eSQXKINNcNIzHmrOA0JsYfGIZxtgB3d4o3g/edit?gid=979601156" TargetMode="External"/><Relationship Id="rId108" Type="http://schemas.openxmlformats.org/officeDocument/2006/relationships/drawing" Target="../drawings/drawing9.xml"/><Relationship Id="rId103" Type="http://schemas.openxmlformats.org/officeDocument/2006/relationships/hyperlink" Target="https://docs.google.com/spreadsheets/d/1Rn87HnwLQJGNGg-NH0Sa5q83987h6iPvkeqhBFQ54RY/edit?gid=0" TargetMode="External"/><Relationship Id="rId102" Type="http://schemas.openxmlformats.org/officeDocument/2006/relationships/hyperlink" Target="https://docs.google.com/spreadsheets/d/1G2tMrOxJpcW3osvBoXzc-RPm5XZa-6xKs05LG1czwZ0/edit?gid=1537112938" TargetMode="External"/><Relationship Id="rId101" Type="http://schemas.openxmlformats.org/officeDocument/2006/relationships/hyperlink" Target="https://www.tiktok.com/@mienmanhanoi" TargetMode="External"/><Relationship Id="rId100" Type="http://schemas.openxmlformats.org/officeDocument/2006/relationships/hyperlink" Target="https://www.tiktok.com/@saigonmap" TargetMode="External"/><Relationship Id="rId95" Type="http://schemas.openxmlformats.org/officeDocument/2006/relationships/hyperlink" Target="https://www.tiktok.com/@hanoiangi" TargetMode="External"/><Relationship Id="rId94" Type="http://schemas.openxmlformats.org/officeDocument/2006/relationships/hyperlink" Target="https://docs.google.com/spreadsheets/d/1G2tMrOxJpcW3osvBoXzc-RPm5XZa-6xKs05LG1czwZ0/edit?gid=1537112938" TargetMode="External"/><Relationship Id="rId97" Type="http://schemas.openxmlformats.org/officeDocument/2006/relationships/hyperlink" Target="https://www.tiktok.com/@vivusaigon.vn" TargetMode="External"/><Relationship Id="rId96" Type="http://schemas.openxmlformats.org/officeDocument/2006/relationships/hyperlink" Target="https://docs.google.com/spreadsheets/d/1G2tMrOxJpcW3osvBoXzc-RPm5XZa-6xKs05LG1czwZ0/edit?gid=1537112938" TargetMode="External"/><Relationship Id="rId99" Type="http://schemas.openxmlformats.org/officeDocument/2006/relationships/hyperlink" Target="https://docs.google.com/spreadsheets/d/1G2tMrOxJpcW3osvBoXzc-RPm5XZa-6xKs05LG1czwZ0/edit?gid=1537112938" TargetMode="External"/><Relationship Id="rId98" Type="http://schemas.openxmlformats.org/officeDocument/2006/relationships/hyperlink" Target="https://www.tiktok.com/@thongdongdoday?_r=1&amp;_t=ZS-94NJFKrtS9V" TargetMode="External"/><Relationship Id="rId91" Type="http://schemas.openxmlformats.org/officeDocument/2006/relationships/hyperlink" Target="https://www.facebook.com/groups/gdl.mmsg/" TargetMode="External"/><Relationship Id="rId90" Type="http://schemas.openxmlformats.org/officeDocument/2006/relationships/hyperlink" Target="https://docs.google.com/spreadsheets/d/1G2tMrOxJpcW3osvBoXzc-RPm5XZa-6xKs05LG1czwZ0/edit?gid=1537112938" TargetMode="External"/><Relationship Id="rId93" Type="http://schemas.openxmlformats.org/officeDocument/2006/relationships/hyperlink" Target="https://www.facebook.com/groups/231350177556959/" TargetMode="External"/><Relationship Id="rId92" Type="http://schemas.openxmlformats.org/officeDocument/2006/relationships/hyperlink" Target="https://docs.google.com/spreadsheets/d/1G2tMrOxJpcW3osvBoXzc-RPm5XZa-6xKs05LG1czwZ0/edit?gid=1537112938"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spreadsheets/d/16OvFx7PrR-T2MT2uGxvOhLg9LXOi0HWql6pSWU7HRfg/edit?gid=1826739190" TargetMode="External"/><Relationship Id="rId42" Type="http://schemas.openxmlformats.org/officeDocument/2006/relationships/hyperlink" Target="https://docs.google.com/spreadsheets/d/16OvFx7PrR-T2MT2uGxvOhLg9LXOi0HWql6pSWU7HRfg/edit?gid=1826739190" TargetMode="External"/><Relationship Id="rId41" Type="http://schemas.openxmlformats.org/officeDocument/2006/relationships/hyperlink" Target="https://www.tiktok.com/@8vv000?_r=1&amp;_t=ZS-91WI3LmQD6F" TargetMode="External"/><Relationship Id="rId44" Type="http://schemas.openxmlformats.org/officeDocument/2006/relationships/hyperlink" Target="https://docs.google.com/spreadsheets/d/16OvFx7PrR-T2MT2uGxvOhLg9LXOi0HWql6pSWU7HRfg/edit?gid=1826739190" TargetMode="External"/><Relationship Id="rId43" Type="http://schemas.openxmlformats.org/officeDocument/2006/relationships/hyperlink" Target="https://www.tiktok.com/@hi.an.ne" TargetMode="External"/><Relationship Id="rId46" Type="http://schemas.openxmlformats.org/officeDocument/2006/relationships/hyperlink" Target="https://docs.google.com/spreadsheets/d/16OvFx7PrR-T2MT2uGxvOhLg9LXOi0HWql6pSWU7HRfg/edit?gid=1826739190" TargetMode="External"/><Relationship Id="rId45" Type="http://schemas.openxmlformats.org/officeDocument/2006/relationships/hyperlink" Target="https://www.tiktok.com/@kuncookingg?_r=1&amp;_t=ZS-92jFJ6KCP9U" TargetMode="External"/><Relationship Id="rId48" Type="http://schemas.openxmlformats.org/officeDocument/2006/relationships/hyperlink" Target="https://docs.google.com/spreadsheets/d/1G2tMrOxJpcW3osvBoXzc-RPm5XZa-6xKs05LG1czwZ0/edit?gid=1537112938" TargetMode="External"/><Relationship Id="rId47" Type="http://schemas.openxmlformats.org/officeDocument/2006/relationships/hyperlink" Target="https://www.facebook.com/DiaDiemAnUong" TargetMode="External"/><Relationship Id="rId49" Type="http://schemas.openxmlformats.org/officeDocument/2006/relationships/hyperlink" Target="https://www.facebook.com/themtivi" TargetMode="External"/><Relationship Id="rId31" Type="http://schemas.openxmlformats.org/officeDocument/2006/relationships/hyperlink" Target="https://www.tiktok.com/@chucaofood?_t=8oLaNxaWT8E&amp;_r=1" TargetMode="External"/><Relationship Id="rId30" Type="http://schemas.openxmlformats.org/officeDocument/2006/relationships/hyperlink" Target="https://docs.google.com/spreadsheets/d/16OvFx7PrR-T2MT2uGxvOhLg9LXOi0HWql6pSWU7HRfg/edit?gid=1826739190" TargetMode="External"/><Relationship Id="rId33" Type="http://schemas.openxmlformats.org/officeDocument/2006/relationships/hyperlink" Target="https://www.tiktok.com/@dieuphuongne_?_r=1&amp;_t=ZS-92j9nP4c71B" TargetMode="External"/><Relationship Id="rId32" Type="http://schemas.openxmlformats.org/officeDocument/2006/relationships/hyperlink" Target="https://docs.google.com/spreadsheets/d/16OvFx7PrR-T2MT2uGxvOhLg9LXOi0HWql6pSWU7HRfg/edit?gid=1826739190" TargetMode="External"/><Relationship Id="rId35" Type="http://schemas.openxmlformats.org/officeDocument/2006/relationships/hyperlink" Target="https://www.tiktok.com/@phuongdun20?_r=1&amp;_t=ZS-91WLwoCfHxx" TargetMode="External"/><Relationship Id="rId34" Type="http://schemas.openxmlformats.org/officeDocument/2006/relationships/hyperlink" Target="https://docs.google.com/spreadsheets/d/16OvFx7PrR-T2MT2uGxvOhLg9LXOi0HWql6pSWU7HRfg/edit?gid=1826739190" TargetMode="External"/><Relationship Id="rId37" Type="http://schemas.openxmlformats.org/officeDocument/2006/relationships/hyperlink" Target="https://www.tiktok.com/@tieumilonton" TargetMode="External"/><Relationship Id="rId36" Type="http://schemas.openxmlformats.org/officeDocument/2006/relationships/hyperlink" Target="https://docs.google.com/spreadsheets/d/16OvFx7PrR-T2MT2uGxvOhLg9LXOi0HWql6pSWU7HRfg/edit?gid=1826739190" TargetMode="External"/><Relationship Id="rId39" Type="http://schemas.openxmlformats.org/officeDocument/2006/relationships/hyperlink" Target="https://www.tiktok.com/@huyduc446" TargetMode="External"/><Relationship Id="rId38" Type="http://schemas.openxmlformats.org/officeDocument/2006/relationships/hyperlink" Target="https://docs.google.com/spreadsheets/d/16OvFx7PrR-T2MT2uGxvOhLg9LXOi0HWql6pSWU7HRfg/edit?gid=1826739190" TargetMode="External"/><Relationship Id="rId20" Type="http://schemas.openxmlformats.org/officeDocument/2006/relationships/hyperlink" Target="https://docs.google.com/spreadsheets/d/1G2tMrOxJpcW3osvBoXzc-RPm5XZa-6xKs05LG1czwZ0/edit?gid=0" TargetMode="External"/><Relationship Id="rId22" Type="http://schemas.openxmlformats.org/officeDocument/2006/relationships/hyperlink" Target="https://fivestarnearyou.cp.com.vn/?Longtitude=105.48988584829794&amp;Latitude=9.128942686320757" TargetMode="External"/><Relationship Id="rId21" Type="http://schemas.openxmlformats.org/officeDocument/2006/relationships/hyperlink" Target="https://www.tiktok.com/@lamgidayta.channel"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hhuyennhiii" TargetMode="External"/><Relationship Id="rId26" Type="http://schemas.openxmlformats.org/officeDocument/2006/relationships/hyperlink" Target="https://fivestarnearyou.cp.com.vn/?Longtitude=105.48988584829794&amp;Latitude=9.128942686320757" TargetMode="External"/><Relationship Id="rId25" Type="http://schemas.openxmlformats.org/officeDocument/2006/relationships/hyperlink" Target="https://www.tiktok.com/@thubonny" TargetMode="External"/><Relationship Id="rId28" Type="http://schemas.openxmlformats.org/officeDocument/2006/relationships/hyperlink" Target="https://docs.google.com/spreadsheets/d/16OvFx7PrR-T2MT2uGxvOhLg9LXOi0HWql6pSWU7HRfg/edit?gid=1826739190" TargetMode="External"/><Relationship Id="rId27" Type="http://schemas.openxmlformats.org/officeDocument/2006/relationships/hyperlink" Target="https://www.tiktok.com/@nhamay1606" TargetMode="External"/><Relationship Id="rId29" Type="http://schemas.openxmlformats.org/officeDocument/2006/relationships/hyperlink" Target="https://www.tiktok.com/@nhamomdiep2770?_t=8offZoBiXg8&amp;_r=1" TargetMode="External"/><Relationship Id="rId11" Type="http://schemas.openxmlformats.org/officeDocument/2006/relationships/hyperlink" Target="https://fivestarnearyou.cp.com.vn/?Longtitude=105.48988584829794&amp;Latitude=9.128942686320757" TargetMode="External"/><Relationship Id="rId10" Type="http://schemas.openxmlformats.org/officeDocument/2006/relationships/hyperlink" Target="https://www.tiktok.com/@anngoncungpuu?_t=8caIQvvAxxy&amp;_r=1" TargetMode="External"/><Relationship Id="rId13" Type="http://schemas.openxmlformats.org/officeDocument/2006/relationships/hyperlink" Target="https://www.tiktok.com/@lulureview_" TargetMode="External"/><Relationship Id="rId12" Type="http://schemas.openxmlformats.org/officeDocument/2006/relationships/hyperlink" Target="https://docs.google.com/spreadsheets/d/16OvFx7PrR-T2MT2uGxvOhLg9LXOi0HWql6pSWU7HRfg/edit?gid=1826739190" TargetMode="External"/><Relationship Id="rId15" Type="http://schemas.openxmlformats.org/officeDocument/2006/relationships/hyperlink" Target="https://www.tiktok.com/@hellolapday" TargetMode="External"/><Relationship Id="rId14" Type="http://schemas.openxmlformats.org/officeDocument/2006/relationships/hyperlink" Target="https://fivestarnearyou.cp.com.vn/?Longtitude=105.48988584829794&amp;Latitude=9.128942686320757" TargetMode="External"/><Relationship Id="rId17" Type="http://schemas.openxmlformats.org/officeDocument/2006/relationships/hyperlink" Target="https://docs.google.com/spreadsheets/d/1G2tMrOxJpcW3osvBoXzc-RPm5XZa-6xKs05LG1czwZ0/edit?gid=0" TargetMode="External"/><Relationship Id="rId16" Type="http://schemas.openxmlformats.org/officeDocument/2006/relationships/hyperlink" Target="https://fivestarnearyou.cp.com.vn/?Longtitude=105.48988584829794&amp;Latitude=9.128942686320757" TargetMode="External"/><Relationship Id="rId19" Type="http://schemas.openxmlformats.org/officeDocument/2006/relationships/hyperlink" Target="https://fivestarnearyou.cp.com.vn/?Longtitude=105.48988584829794&amp;Latitude=9.128942686320757" TargetMode="External"/><Relationship Id="rId18" Type="http://schemas.openxmlformats.org/officeDocument/2006/relationships/hyperlink" Target="https://www.tiktok.com/@thon_foodie?lang=vi-VN" TargetMode="External"/><Relationship Id="rId1" Type="http://schemas.openxmlformats.org/officeDocument/2006/relationships/hyperlink" Target="https://www.tiktok.com/@nuchuu.040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docs.google.com/spreadsheets/d/1G2tMrOxJpcW3osvBoXzc-RPm5XZa-6xKs05LG1czwZ0/edit?gid=0" TargetMode="External"/><Relationship Id="rId4" Type="http://schemas.openxmlformats.org/officeDocument/2006/relationships/hyperlink" Target="https://www.tiktok.com/@lenkycungkhoa" TargetMode="External"/><Relationship Id="rId9" Type="http://schemas.openxmlformats.org/officeDocument/2006/relationships/hyperlink" Target="https://docs.google.com/spreadsheets/d/16OvFx7PrR-T2MT2uGxvOhLg9LXOi0HWql6pSWU7HRfg/edit?gid=1826739190"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docs.google.com/spreadsheets/d/1G2tMrOxJpcW3osvBoXzc-RPm5XZa-6xKs05LG1czwZ0/edit?gid=0" TargetMode="External"/><Relationship Id="rId7" Type="http://schemas.openxmlformats.org/officeDocument/2006/relationships/hyperlink" Target="https://www.tiktok.com/@thangloi2k2?_t=8W1SCUWFQaQ&amp;_r=1" TargetMode="External"/><Relationship Id="rId8" Type="http://schemas.openxmlformats.org/officeDocument/2006/relationships/hyperlink" Target="https://fivestarnearyou.cp.com.vn/?Longtitude=105.48988584829794&amp;Latitude=9.128942686320757" TargetMode="External"/><Relationship Id="rId62" Type="http://schemas.openxmlformats.org/officeDocument/2006/relationships/hyperlink" Target="https://www.tiktok.com/@saigonmap" TargetMode="External"/><Relationship Id="rId61" Type="http://schemas.openxmlformats.org/officeDocument/2006/relationships/hyperlink" Target="https://docs.google.com/spreadsheets/d/1G2tMrOxJpcW3osvBoXzc-RPm5XZa-6xKs05LG1czwZ0/edit?gid=1537112938" TargetMode="External"/><Relationship Id="rId64" Type="http://schemas.openxmlformats.org/officeDocument/2006/relationships/hyperlink" Target="https://docs.google.com/spreadsheets/d/1G2tMrOxJpcW3osvBoXzc-RPm5XZa-6xKs05LG1czwZ0/edit?gid=1537112938" TargetMode="External"/><Relationship Id="rId63" Type="http://schemas.openxmlformats.org/officeDocument/2006/relationships/hyperlink" Target="https://www.tiktok.com/@mienmanhanoi" TargetMode="External"/><Relationship Id="rId65" Type="http://schemas.openxmlformats.org/officeDocument/2006/relationships/drawing" Target="../drawings/drawing10.xml"/><Relationship Id="rId60" Type="http://schemas.openxmlformats.org/officeDocument/2006/relationships/hyperlink" Target="https://www.tiktok.com/@thongdongdoday?_r=1&amp;_t=ZS-94NJFKrtS9V" TargetMode="External"/><Relationship Id="rId51" Type="http://schemas.openxmlformats.org/officeDocument/2006/relationships/hyperlink" Target="https://www.facebook.com/groups/kosodoi" TargetMode="External"/><Relationship Id="rId50" Type="http://schemas.openxmlformats.org/officeDocument/2006/relationships/hyperlink" Target="https://docs.google.com/spreadsheets/d/1G2tMrOxJpcW3osvBoXzc-RPm5XZa-6xKs05LG1czwZ0/edit?gid=1537112938" TargetMode="External"/><Relationship Id="rId53" Type="http://schemas.openxmlformats.org/officeDocument/2006/relationships/hyperlink" Target="https://www.facebook.com/groups/gdl.mmsg/" TargetMode="External"/><Relationship Id="rId52" Type="http://schemas.openxmlformats.org/officeDocument/2006/relationships/hyperlink" Target="https://docs.google.com/spreadsheets/d/1G2tMrOxJpcW3osvBoXzc-RPm5XZa-6xKs05LG1czwZ0/edit?gid=1537112938" TargetMode="External"/><Relationship Id="rId55" Type="http://schemas.openxmlformats.org/officeDocument/2006/relationships/hyperlink" Target="https://www.facebook.com/groups/231350177556959/" TargetMode="External"/><Relationship Id="rId54" Type="http://schemas.openxmlformats.org/officeDocument/2006/relationships/hyperlink" Target="https://docs.google.com/spreadsheets/d/1G2tMrOxJpcW3osvBoXzc-RPm5XZa-6xKs05LG1czwZ0/edit?gid=1537112938" TargetMode="External"/><Relationship Id="rId57" Type="http://schemas.openxmlformats.org/officeDocument/2006/relationships/hyperlink" Target="https://www.tiktok.com/@hanoiangi" TargetMode="External"/><Relationship Id="rId56" Type="http://schemas.openxmlformats.org/officeDocument/2006/relationships/hyperlink" Target="https://docs.google.com/spreadsheets/d/1G2tMrOxJpcW3osvBoXzc-RPm5XZa-6xKs05LG1czwZ0/edit?gid=1537112938" TargetMode="External"/><Relationship Id="rId59" Type="http://schemas.openxmlformats.org/officeDocument/2006/relationships/hyperlink" Target="https://www.tiktok.com/@vivusaigon.vn" TargetMode="External"/><Relationship Id="rId58" Type="http://schemas.openxmlformats.org/officeDocument/2006/relationships/hyperlink" Target="https://docs.google.com/spreadsheets/d/1G2tMrOxJpcW3osvBoXzc-RPm5XZa-6xKs05LG1czwZ0/edit?gid=1537112938"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6OvFx7PrR-T2MT2uGxvOhLg9LXOi0HWql6pSWU7HRfg/edit?gid=1826739190" TargetMode="External"/><Relationship Id="rId42" Type="http://schemas.openxmlformats.org/officeDocument/2006/relationships/hyperlink" Target="https://fivestarnearyou.cp.com.vn/?Longtitude=105.48988584829794&amp;Latitude=9.128942686320757" TargetMode="External"/><Relationship Id="rId41" Type="http://schemas.openxmlformats.org/officeDocument/2006/relationships/hyperlink" Target="https://www.tiktok.com/@hi.an.ne" TargetMode="External"/><Relationship Id="rId44" Type="http://schemas.openxmlformats.org/officeDocument/2006/relationships/hyperlink" Target="https://www.tiktok.com/@vuvicungyuhi" TargetMode="External"/><Relationship Id="rId43" Type="http://schemas.openxmlformats.org/officeDocument/2006/relationships/hyperlink" Target="https://docs.google.com/spreadsheets/d/16OvFx7PrR-T2MT2uGxvOhLg9LXOi0HWql6pSWU7HRfg/edit?gid=1826739190" TargetMode="External"/><Relationship Id="rId46" Type="http://schemas.openxmlformats.org/officeDocument/2006/relationships/hyperlink" Target="https://docs.google.com/spreadsheets/d/1zp_LaYpWA9sZHsid5iK9uwpUrgqLfDp_I-uIAAKEj48/edit?gid=86066825"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fivestarnearyou.cp.com.vn/?Longtitude=105.48988584829794&amp;Latitude=9.128942686320757" TargetMode="External"/><Relationship Id="rId47" Type="http://schemas.openxmlformats.org/officeDocument/2006/relationships/hyperlink" Target="https://www.tiktok.com/@koinamang" TargetMode="External"/><Relationship Id="rId49" Type="http://schemas.openxmlformats.org/officeDocument/2006/relationships/hyperlink" Target="https://www.tiktok.com/@vieinhcm" TargetMode="External"/><Relationship Id="rId31" Type="http://schemas.openxmlformats.org/officeDocument/2006/relationships/hyperlink" Target="https://docs.google.com/spreadsheets/d/16OvFx7PrR-T2MT2uGxvOhLg9LXOi0HWql6pSWU7HRfg/edit?gid=1826739190"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dieuphuongne_?_r=1&amp;_t=ZS-92j9nP4c71B" TargetMode="External"/><Relationship Id="rId35" Type="http://schemas.openxmlformats.org/officeDocument/2006/relationships/hyperlink" Target="https://www.tiktok.com/@8vv000?_r=1&amp;_t=ZS-91WI3LmQD6F" TargetMode="External"/><Relationship Id="rId34" Type="http://schemas.openxmlformats.org/officeDocument/2006/relationships/hyperlink" Target="https://docs.google.com/spreadsheets/d/16OvFx7PrR-T2MT2uGxvOhLg9LXOi0HWql6pSWU7HRfg/edit?gid=1826739190" TargetMode="External"/><Relationship Id="rId37" Type="http://schemas.openxmlformats.org/officeDocument/2006/relationships/hyperlink" Target="https://docs.google.com/spreadsheets/d/16OvFx7PrR-T2MT2uGxvOhLg9LXOi0HWql6pSWU7HRfg/edit?gid=1826739190" TargetMode="External"/><Relationship Id="rId36" Type="http://schemas.openxmlformats.org/officeDocument/2006/relationships/hyperlink" Target="https://fivestarnearyou.cp.com.vn/?Longtitude=105.48988584829794&amp;Latitude=9.128942686320757"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chucaofood?_t=8oLaNxaWT8E&amp;_r=1" TargetMode="External"/><Relationship Id="rId20" Type="http://schemas.openxmlformats.org/officeDocument/2006/relationships/hyperlink" Target="https://www.tiktok.com/@anngoncungpuu?_t=8caIQvvAxxy&amp;_r=1" TargetMode="External"/><Relationship Id="rId22" Type="http://schemas.openxmlformats.org/officeDocument/2006/relationships/hyperlink" Target="https://docs.google.com/spreadsheets/d/16OvFx7PrR-T2MT2uGxvOhLg9LXOi0HWql6pSWU7HRfg/edit?gid=1826739190"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lieten91th" TargetMode="External"/><Relationship Id="rId26" Type="http://schemas.openxmlformats.org/officeDocument/2006/relationships/hyperlink" Target="https://www.tiktok.com/@phamtrang.2401" TargetMode="External"/><Relationship Id="rId25" Type="http://schemas.openxmlformats.org/officeDocument/2006/relationships/hyperlink" Target="https://docs.google.com/spreadsheets/d/1zp_LaYpWA9sZHsid5iK9uwpUrgqLfDp_I-uIAAKEj48/edit?gid=86066825" TargetMode="External"/><Relationship Id="rId28" Type="http://schemas.openxmlformats.org/officeDocument/2006/relationships/hyperlink" Target="https://docs.google.com/spreadsheets/d/1zp_LaYpWA9sZHsid5iK9uwpUrgqLfDp_I-uIAAKEj48/edit?gid=86066825"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www.tiktok.com/@nhamay1606" TargetMode="External"/><Relationship Id="rId11" Type="http://schemas.openxmlformats.org/officeDocument/2006/relationships/hyperlink" Target="https://fivestarnearyou.cp.com.vn/?Longtitude=105.48988584829794&amp;Latitude=9.128942686320757" TargetMode="External"/><Relationship Id="rId10" Type="http://schemas.openxmlformats.org/officeDocument/2006/relationships/hyperlink" Target="https://www.tiktok.com/@hellolapday" TargetMode="External"/><Relationship Id="rId13" Type="http://schemas.openxmlformats.org/officeDocument/2006/relationships/hyperlink" Target="https://fivestarnearyou.cp.com.vn/?Longtitude=105.48988584829794&amp;Latitude=9.128942686320757" TargetMode="External"/><Relationship Id="rId12" Type="http://schemas.openxmlformats.org/officeDocument/2006/relationships/hyperlink" Target="https://www.tiktok.com/@hhuyennhiii"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thubonny"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nuchuu.0401" TargetMode="External"/><Relationship Id="rId19" Type="http://schemas.openxmlformats.org/officeDocument/2006/relationships/hyperlink" Target="https://docs.google.com/spreadsheets/d/1G2tMrOxJpcW3osvBoXzc-RPm5XZa-6xKs05LG1czwZ0/edit?gid=0" TargetMode="External"/><Relationship Id="rId18" Type="http://schemas.openxmlformats.org/officeDocument/2006/relationships/hyperlink" Target="https://www.tiktok.com/@nuchuu.0401/video/7598539556157246738" TargetMode="External"/><Relationship Id="rId84" Type="http://schemas.openxmlformats.org/officeDocument/2006/relationships/hyperlink" Target="https://docs.google.com/spreadsheets/d/16OvFx7PrR-T2MT2uGxvOhLg9LXOi0HWql6pSWU7HRfg/edit?gid=317397432" TargetMode="External"/><Relationship Id="rId83" Type="http://schemas.openxmlformats.org/officeDocument/2006/relationships/hyperlink" Target="https://docs.google.com/spreadsheets/d/16OvFx7PrR-T2MT2uGxvOhLg9LXOi0HWql6pSWU7HRfg/edit?gid=317397432" TargetMode="External"/><Relationship Id="rId86" Type="http://schemas.openxmlformats.org/officeDocument/2006/relationships/hyperlink" Target="https://fivestarnearyou.cp.com.vn/?Longtitude=105.48988584829794&amp;Latitude=9.128942686320757" TargetMode="External"/><Relationship Id="rId85" Type="http://schemas.openxmlformats.org/officeDocument/2006/relationships/hyperlink" Target="https://www.tiktok.com/@meshushi121" TargetMode="External"/><Relationship Id="rId88" Type="http://schemas.openxmlformats.org/officeDocument/2006/relationships/hyperlink" Target="https://docs.google.com/spreadsheets/d/16OvFx7PrR-T2MT2uGxvOhLg9LXOi0HWql6pSWU7HRfg/edit?gid=317397432" TargetMode="External"/><Relationship Id="rId87" Type="http://schemas.openxmlformats.org/officeDocument/2006/relationships/hyperlink" Target="https://docs.google.com/spreadsheets/d/16OvFx7PrR-T2MT2uGxvOhLg9LXOi0HWql6pSWU7HRfg/edit?gid=317397432" TargetMode="External"/><Relationship Id="rId89" Type="http://schemas.openxmlformats.org/officeDocument/2006/relationships/hyperlink" Target="https://www.facebook.com/DiaDiemAnUong" TargetMode="External"/><Relationship Id="rId80" Type="http://schemas.openxmlformats.org/officeDocument/2006/relationships/hyperlink" Target="https://docs.google.com/spreadsheets/d/16OvFx7PrR-T2MT2uGxvOhLg9LXOi0HWql6pSWU7HRfg/edit?gid=317397432" TargetMode="External"/><Relationship Id="rId82" Type="http://schemas.openxmlformats.org/officeDocument/2006/relationships/hyperlink" Target="https://fivestarnearyou.cp.com.vn/?Longtitude=105.48988584829794&amp;Latitude=9.128942686320757" TargetMode="External"/><Relationship Id="rId81" Type="http://schemas.openxmlformats.org/officeDocument/2006/relationships/hyperlink" Target="https://www.tiktok.com/@huynhhongocduc"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vaepmEWZwQPcFnJybT7zJVCFQxsVk_MSW_pJStnUg6U/edit?gid=153416723" TargetMode="External"/><Relationship Id="rId9" Type="http://schemas.openxmlformats.org/officeDocument/2006/relationships/hyperlink" Target="https://fivestarnearyou.cp.com.vn/?Longtitude=105.48988584829794&amp;Latitude=9.128942686320757" TargetMode="External"/><Relationship Id="rId5" Type="http://schemas.openxmlformats.org/officeDocument/2006/relationships/hyperlink" Target="https://www.tiktok.com/@thangloi2k2?_t=8W1SCUWFQaQ&amp;_r=1"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docs.google.com/spreadsheets/d/16OvFx7PrR-T2MT2uGxvOhLg9LXOi0HWql6pSWU7HRfg/edit?gid=1826739190" TargetMode="External"/><Relationship Id="rId8" Type="http://schemas.openxmlformats.org/officeDocument/2006/relationships/hyperlink" Target="https://www.tiktok.com/@lulureview_" TargetMode="External"/><Relationship Id="rId73" Type="http://schemas.openxmlformats.org/officeDocument/2006/relationships/hyperlink" Target="http://www.tiktok.com/@lysambonreview" TargetMode="External"/><Relationship Id="rId72" Type="http://schemas.openxmlformats.org/officeDocument/2006/relationships/hyperlink" Target="https://docs.google.com/spreadsheets/d/16OvFx7PrR-T2MT2uGxvOhLg9LXOi0HWql6pSWU7HRfg/edit?gid=317397432" TargetMode="External"/><Relationship Id="rId75" Type="http://schemas.openxmlformats.org/officeDocument/2006/relationships/hyperlink" Target="https://docs.google.com/spreadsheets/d/16OvFx7PrR-T2MT2uGxvOhLg9LXOi0HWql6pSWU7HRfg/edit?gid=317397432" TargetMode="External"/><Relationship Id="rId74" Type="http://schemas.openxmlformats.org/officeDocument/2006/relationships/hyperlink" Target="https://fivestarnearyou.cp.com.vn/?Longtitude=105.48988584829794&amp;Latitude=9.128942686320757" TargetMode="External"/><Relationship Id="rId77" Type="http://schemas.openxmlformats.org/officeDocument/2006/relationships/hyperlink" Target="https://www.tiktok.com/@phuongoychillthoy" TargetMode="External"/><Relationship Id="rId76" Type="http://schemas.openxmlformats.org/officeDocument/2006/relationships/hyperlink" Target="https://docs.google.com/spreadsheets/d/16OvFx7PrR-T2MT2uGxvOhLg9LXOi0HWql6pSWU7HRfg/edit?gid=317397432" TargetMode="External"/><Relationship Id="rId79" Type="http://schemas.openxmlformats.org/officeDocument/2006/relationships/hyperlink" Target="https://docs.google.com/spreadsheets/d/16OvFx7PrR-T2MT2uGxvOhLg9LXOi0HWql6pSWU7HRfg/edit?gid=317397432" TargetMode="External"/><Relationship Id="rId78" Type="http://schemas.openxmlformats.org/officeDocument/2006/relationships/hyperlink" Target="https://fivestarnearyou.cp.com.vn/?Longtitude=105.48988584829794&amp;Latitude=9.128942686320757" TargetMode="External"/><Relationship Id="rId71" Type="http://schemas.openxmlformats.org/officeDocument/2006/relationships/hyperlink" Target="https://docs.google.com/spreadsheets/d/16OvFx7PrR-T2MT2uGxvOhLg9LXOi0HWql6pSWU7HRfg/edit?gid=317397432" TargetMode="External"/><Relationship Id="rId70" Type="http://schemas.openxmlformats.org/officeDocument/2006/relationships/hyperlink" Target="https://fivestarnearyou.cp.com.vn/?Longtitude=105.48988584829794&amp;Latitude=9.128942686320757" TargetMode="External"/><Relationship Id="rId62" Type="http://schemas.openxmlformats.org/officeDocument/2006/relationships/hyperlink" Target="https://docs.google.com/spreadsheets/d/1zp_LaYpWA9sZHsid5iK9uwpUrgqLfDp_I-uIAAKEj48/edit?gid=86066825" TargetMode="External"/><Relationship Id="rId61" Type="http://schemas.openxmlformats.org/officeDocument/2006/relationships/hyperlink" Target="https://fivestarnearyou.cp.com.vn/?Longtitude=105.48988584829794&amp;Latitude=9.128942686320757" TargetMode="External"/><Relationship Id="rId64" Type="http://schemas.openxmlformats.org/officeDocument/2006/relationships/hyperlink" Target="https://fivestarnearyou.cp.com.vn/?Longtitude=105.48988584829794&amp;Latitude=9.128942686320757" TargetMode="External"/><Relationship Id="rId63" Type="http://schemas.openxmlformats.org/officeDocument/2006/relationships/hyperlink" Target="https://www.tiktok.com/@ahthunek_" TargetMode="External"/><Relationship Id="rId66" Type="http://schemas.openxmlformats.org/officeDocument/2006/relationships/hyperlink" Target="https://www.tiktok.com/@tuanfoodkhongphet" TargetMode="External"/><Relationship Id="rId65" Type="http://schemas.openxmlformats.org/officeDocument/2006/relationships/hyperlink" Target="https://docs.google.com/spreadsheets/d/1zp_LaYpWA9sZHsid5iK9uwpUrgqLfDp_I-uIAAKEj48/edit?gid=86066825" TargetMode="External"/><Relationship Id="rId68" Type="http://schemas.openxmlformats.org/officeDocument/2006/relationships/hyperlink" Target="https://docs.google.com/spreadsheets/d/1zp_LaYpWA9sZHsid5iK9uwpUrgqLfDp_I-uIAAKEj48/edit?gid=86066825"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www.tiktok.com/@ng.hamii" TargetMode="External"/><Relationship Id="rId69" Type="http://schemas.openxmlformats.org/officeDocument/2006/relationships/hyperlink" Target="https://www.tiktok.com/@zan.riviu?_r=1&amp;_t=ZS-94n3uOkLyE8" TargetMode="External"/><Relationship Id="rId51" Type="http://schemas.openxmlformats.org/officeDocument/2006/relationships/hyperlink" Target="https://docs.google.com/spreadsheets/d/1G2tMrOxJpcW3osvBoXzc-RPm5XZa-6xKs05LG1czwZ0/edit?gid=0"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duongbaoanh2kk?_r=1&amp;_t=ZS-94n5aTW7D9A" TargetMode="External"/><Relationship Id="rId55" Type="http://schemas.openxmlformats.org/officeDocument/2006/relationships/hyperlink" Target="https://docs.google.com/spreadsheets/d/16OvFx7PrR-T2MT2uGxvOhLg9LXOi0HWql6pSWU7HRfg/edit?gid=317397432" TargetMode="External"/><Relationship Id="rId54" Type="http://schemas.openxmlformats.org/officeDocument/2006/relationships/hyperlink" Target="https://docs.google.com/spreadsheets/d/16OvFx7PrR-T2MT2uGxvOhLg9LXOi0HWql6pSWU7HRfg/edit?gid=317397432"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tiktok.com/@vunguyetthu" TargetMode="External"/><Relationship Id="rId59" Type="http://schemas.openxmlformats.org/officeDocument/2006/relationships/hyperlink" Target="https://docs.google.com/spreadsheets/d/16OvFx7PrR-T2MT2uGxvOhLg9LXOi0HWql6pSWU7HRfg/edit?gid=317397432" TargetMode="External"/><Relationship Id="rId58" Type="http://schemas.openxmlformats.org/officeDocument/2006/relationships/hyperlink" Target="https://docs.google.com/spreadsheets/d/16OvFx7PrR-T2MT2uGxvOhLg9LXOi0HWql6pSWU7HRfg/edit?gid=317397432" TargetMode="External"/><Relationship Id="rId107" Type="http://schemas.openxmlformats.org/officeDocument/2006/relationships/drawing" Target="../drawings/drawing11.xml"/><Relationship Id="rId106" Type="http://schemas.openxmlformats.org/officeDocument/2006/relationships/hyperlink" Target="https://docs.google.com/spreadsheets/d/1G2tMrOxJpcW3osvBoXzc-RPm5XZa-6xKs05LG1czwZ0/edit?gid=1537112938" TargetMode="External"/><Relationship Id="rId105" Type="http://schemas.openxmlformats.org/officeDocument/2006/relationships/hyperlink" Target="https://www.tiktok.com/@mienmanhanoi" TargetMode="External"/><Relationship Id="rId104" Type="http://schemas.openxmlformats.org/officeDocument/2006/relationships/hyperlink" Target="https://www.tiktok.com/@saigonmap" TargetMode="External"/><Relationship Id="rId108" Type="http://schemas.openxmlformats.org/officeDocument/2006/relationships/vmlDrawing" Target="../drawings/vmlDrawing3.vml"/><Relationship Id="rId103" Type="http://schemas.openxmlformats.org/officeDocument/2006/relationships/hyperlink" Target="https://docs.google.com/spreadsheets/d/1G2tMrOxJpcW3osvBoXzc-RPm5XZa-6xKs05LG1czwZ0/edit?gid=1537112938" TargetMode="External"/><Relationship Id="rId102" Type="http://schemas.openxmlformats.org/officeDocument/2006/relationships/hyperlink" Target="https://www.tiktok.com/@thongdongdoday?_r=1&amp;_t=ZS-94NJFKrtS9V" TargetMode="External"/><Relationship Id="rId101" Type="http://schemas.openxmlformats.org/officeDocument/2006/relationships/hyperlink" Target="https://www.tiktok.com/@vivusaigon.vn" TargetMode="External"/><Relationship Id="rId100" Type="http://schemas.openxmlformats.org/officeDocument/2006/relationships/hyperlink" Target="https://docs.google.com/spreadsheets/d/1G2tMrOxJpcW3osvBoXzc-RPm5XZa-6xKs05LG1czwZ0/edit?gid=1537112938" TargetMode="External"/><Relationship Id="rId95" Type="http://schemas.openxmlformats.org/officeDocument/2006/relationships/hyperlink" Target="https://www.facebook.com/groups/gdl.mmsg/" TargetMode="External"/><Relationship Id="rId94" Type="http://schemas.openxmlformats.org/officeDocument/2006/relationships/hyperlink" Target="https://docs.google.com/spreadsheets/d/1G2tMrOxJpcW3osvBoXzc-RPm5XZa-6xKs05LG1czwZ0/edit?gid=1537112938" TargetMode="External"/><Relationship Id="rId97" Type="http://schemas.openxmlformats.org/officeDocument/2006/relationships/hyperlink" Target="https://www.facebook.com/groups/231350177556959/" TargetMode="External"/><Relationship Id="rId96" Type="http://schemas.openxmlformats.org/officeDocument/2006/relationships/hyperlink" Target="https://docs.google.com/spreadsheets/d/1G2tMrOxJpcW3osvBoXzc-RPm5XZa-6xKs05LG1czwZ0/edit?gid=1537112938" TargetMode="External"/><Relationship Id="rId99" Type="http://schemas.openxmlformats.org/officeDocument/2006/relationships/hyperlink" Target="https://www.tiktok.com/@hanoiangi" TargetMode="External"/><Relationship Id="rId98" Type="http://schemas.openxmlformats.org/officeDocument/2006/relationships/hyperlink" Target="https://docs.google.com/spreadsheets/d/1G2tMrOxJpcW3osvBoXzc-RPm5XZa-6xKs05LG1czwZ0/edit?gid=1537112938" TargetMode="External"/><Relationship Id="rId91" Type="http://schemas.openxmlformats.org/officeDocument/2006/relationships/hyperlink" Target="https://www.facebook.com/themtivi" TargetMode="External"/><Relationship Id="rId90" Type="http://schemas.openxmlformats.org/officeDocument/2006/relationships/hyperlink" Target="https://docs.google.com/spreadsheets/d/1G2tMrOxJpcW3osvBoXzc-RPm5XZa-6xKs05LG1czwZ0/edit?gid=1537112938" TargetMode="External"/><Relationship Id="rId93" Type="http://schemas.openxmlformats.org/officeDocument/2006/relationships/hyperlink" Target="https://www.facebook.com/groups/kosodoi" TargetMode="External"/><Relationship Id="rId92" Type="http://schemas.openxmlformats.org/officeDocument/2006/relationships/hyperlink" Target="https://docs.google.com/spreadsheets/d/1G2tMrOxJpcW3osvBoXzc-RPm5XZa-6xKs05LG1czwZ0/edit?gid=1537112938"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tiktok.com/@phuongdun20?_r=1&amp;_t=ZS-91WLwoCfHxx" TargetMode="External"/><Relationship Id="rId42" Type="http://schemas.openxmlformats.org/officeDocument/2006/relationships/hyperlink" Target="https://docs.google.com/spreadsheets/d/16OvFx7PrR-T2MT2uGxvOhLg9LXOi0HWql6pSWU7HRfg/edit?gid=1826739190"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tieumilonton" TargetMode="External"/><Relationship Id="rId46" Type="http://schemas.openxmlformats.org/officeDocument/2006/relationships/hyperlink" Target="https://www.tiktok.com/@huyduc446" TargetMode="External"/><Relationship Id="rId45" Type="http://schemas.openxmlformats.org/officeDocument/2006/relationships/hyperlink" Target="https://docs.google.com/spreadsheets/d/16OvFx7PrR-T2MT2uGxvOhLg9LXOi0HWql6pSWU7HRfg/edit?gid=1826739190" TargetMode="External"/><Relationship Id="rId48" Type="http://schemas.openxmlformats.org/officeDocument/2006/relationships/hyperlink" Target="https://docs.google.com/spreadsheets/d/16OvFx7PrR-T2MT2uGxvOhLg9LXOi0HWql6pSWU7HRfg/edit?gid=1826739190"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www.tiktok.com/@8vv000?_r=1&amp;_t=ZS-91WI3LmQD6F" TargetMode="External"/><Relationship Id="rId31" Type="http://schemas.openxmlformats.org/officeDocument/2006/relationships/hyperlink" Target="https://www.tiktok.com/@nhamomdiep2770?_t=8offZoBiXg8&amp;_r=1" TargetMode="External"/><Relationship Id="rId30" Type="http://schemas.openxmlformats.org/officeDocument/2006/relationships/hyperlink" Target="https://docs.google.com/spreadsheets/d/16OvFx7PrR-T2MT2uGxvOhLg9LXOi0HWql6pSWU7HRfg/edit?gid=1826739190" TargetMode="External"/><Relationship Id="rId33" Type="http://schemas.openxmlformats.org/officeDocument/2006/relationships/hyperlink" Target="https://docs.google.com/spreadsheets/d/16OvFx7PrR-T2MT2uGxvOhLg9LXOi0HWql6pSWU7HRfg/edit?gid=1826739190"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chucaofood?_t=8oLaNxaWT8E&amp;_r=1" TargetMode="External"/><Relationship Id="rId37" Type="http://schemas.openxmlformats.org/officeDocument/2006/relationships/hyperlink" Target="https://www.tiktok.com/@dieuphuongne_?_r=1&amp;_t=ZS-92j9nP4c71B" TargetMode="External"/><Relationship Id="rId36" Type="http://schemas.openxmlformats.org/officeDocument/2006/relationships/hyperlink" Target="https://docs.google.com/spreadsheets/d/16OvFx7PrR-T2MT2uGxvOhLg9LXOi0HWql6pSWU7HRfg/edit?gid=1826739190" TargetMode="External"/><Relationship Id="rId39" Type="http://schemas.openxmlformats.org/officeDocument/2006/relationships/hyperlink" Target="https://docs.google.com/spreadsheets/d/16OvFx7PrR-T2MT2uGxvOhLg9LXOi0HWql6pSWU7HRfg/edit?gid=1826739190"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fivestarnearyou.cp.com.vn/?Longtitude=105.48988584829794&amp;Latitude=9.128942686320757" TargetMode="External"/><Relationship Id="rId22" Type="http://schemas.openxmlformats.org/officeDocument/2006/relationships/hyperlink" Target="https://www.tiktok.com/@lamgidayta.channel" TargetMode="External"/><Relationship Id="rId21" Type="http://schemas.openxmlformats.org/officeDocument/2006/relationships/hyperlink" Target="https://docs.google.com/spreadsheets/d/1G2tMrOxJpcW3osvBoXzc-RPm5XZa-6xKs05LG1czwZ0/edit?gid=0" TargetMode="External"/><Relationship Id="rId24" Type="http://schemas.openxmlformats.org/officeDocument/2006/relationships/hyperlink" Target="https://www.tiktok.com/@hhuyennhiii" TargetMode="External"/><Relationship Id="rId23" Type="http://schemas.openxmlformats.org/officeDocument/2006/relationships/hyperlink" Target="https://fivestarnearyou.cp.com.vn/?Longtitude=105.48988584829794&amp;Latitude=9.128942686320757" TargetMode="External"/><Relationship Id="rId26" Type="http://schemas.openxmlformats.org/officeDocument/2006/relationships/hyperlink" Target="https://www.tiktok.com/@thubonny" TargetMode="External"/><Relationship Id="rId25" Type="http://schemas.openxmlformats.org/officeDocument/2006/relationships/hyperlink" Target="https://fivestarnearyou.cp.com.vn/?Longtitude=105.48988584829794&amp;Latitude=9.128942686320757" TargetMode="External"/><Relationship Id="rId28" Type="http://schemas.openxmlformats.org/officeDocument/2006/relationships/hyperlink" Target="https://www.tiktok.com/@nhamay1606"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www.tiktok.com/@anngoncungpuu?_t=8caIQvvAxxy&amp;_r=1" TargetMode="External"/><Relationship Id="rId10" Type="http://schemas.openxmlformats.org/officeDocument/2006/relationships/hyperlink" Target="https://docs.google.com/spreadsheets/d/16OvFx7PrR-T2MT2uGxvOhLg9LXOi0HWql6pSWU7HRfg/edit?gid=1826739190" TargetMode="External"/><Relationship Id="rId13" Type="http://schemas.openxmlformats.org/officeDocument/2006/relationships/hyperlink" Target="https://docs.google.com/spreadsheets/d/16OvFx7PrR-T2MT2uGxvOhLg9LXOi0HWql6pSWU7HRfg/edit?gid=1826739190"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lulureview_"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hellolapday" TargetMode="External"/><Relationship Id="rId19" Type="http://schemas.openxmlformats.org/officeDocument/2006/relationships/hyperlink" Target="https://www.tiktok.com/@thon_foodie?lang=vi-VN" TargetMode="External"/><Relationship Id="rId18" Type="http://schemas.openxmlformats.org/officeDocument/2006/relationships/hyperlink" Target="https://docs.google.com/spreadsheets/d/1G2tMrOxJpcW3osvBoXzc-RPm5XZa-6xKs05LG1czwZ0/edit?gid=0" TargetMode="External"/><Relationship Id="rId84" Type="http://schemas.openxmlformats.org/officeDocument/2006/relationships/hyperlink" Target="https://docs.google.com/spreadsheets/d/16OvFx7PrR-T2MT2uGxvOhLg9LXOi0HWql6pSWU7HRfg/edit?gid=317397432"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s://www.tiktok.com/@squitopus" TargetMode="External"/><Relationship Id="rId85" Type="http://schemas.openxmlformats.org/officeDocument/2006/relationships/hyperlink" Target="https://docs.google.com/spreadsheets/d/16OvFx7PrR-T2MT2uGxvOhLg9LXOi0HWql6pSWU7HRfg/edit?gid=317397432" TargetMode="External"/><Relationship Id="rId88" Type="http://schemas.openxmlformats.org/officeDocument/2006/relationships/hyperlink" Target="https://docs.google.com/spreadsheets/d/16OvFx7PrR-T2MT2uGxvOhLg9LXOi0HWql6pSWU7HRfg/edit?gid=317397432" TargetMode="External"/><Relationship Id="rId87" Type="http://schemas.openxmlformats.org/officeDocument/2006/relationships/hyperlink" Target="https://fivestarnearyou.cp.com.vn/?Longtitude=105.48988584829794&amp;Latitude=9.128942686320757" TargetMode="External"/><Relationship Id="rId89" Type="http://schemas.openxmlformats.org/officeDocument/2006/relationships/hyperlink" Target="https://docs.google.com/spreadsheets/d/16OvFx7PrR-T2MT2uGxvOhLg9LXOi0HWql6pSWU7HRfg/edit?gid=317397432" TargetMode="External"/><Relationship Id="rId80" Type="http://schemas.openxmlformats.org/officeDocument/2006/relationships/hyperlink" Target="https://docs.google.com/spreadsheets/d/16OvFx7PrR-T2MT2uGxvOhLg9LXOi0HWql6pSWU7HRfg/edit?gid=317397432" TargetMode="External"/><Relationship Id="rId82" Type="http://schemas.openxmlformats.org/officeDocument/2006/relationships/hyperlink" Target="https://www.tiktok.com/@minhphuong130595?_r=1&amp;_t=ZS-94ac29NM9v3" TargetMode="External"/><Relationship Id="rId81" Type="http://schemas.openxmlformats.org/officeDocument/2006/relationships/hyperlink" Target="https://docs.google.com/spreadsheets/d/16OvFx7PrR-T2MT2uGxvOhLg9LXOi0HWql6pSWU7HRfg/edit?gid=317397432" TargetMode="External"/><Relationship Id="rId1" Type="http://schemas.openxmlformats.org/officeDocument/2006/relationships/hyperlink" Target="https://www.tiktok.com/@nuchuu.040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www.tiktok.com/@nuchuu.0401/video/7598539556157246738" TargetMode="External"/><Relationship Id="rId4" Type="http://schemas.openxmlformats.org/officeDocument/2006/relationships/hyperlink" Target="https://docs.google.com/spreadsheets/d/1G2tMrOxJpcW3osvBoXzc-RPm5XZa-6xKs05LG1czwZ0/edit?gid=0" TargetMode="External"/><Relationship Id="rId9" Type="http://schemas.openxmlformats.org/officeDocument/2006/relationships/hyperlink" Target="https://fivestarnearyou.cp.com.vn/?Longtitude=105.48988584829794&amp;Latitude=9.128942686320757" TargetMode="External"/><Relationship Id="rId5" Type="http://schemas.openxmlformats.org/officeDocument/2006/relationships/hyperlink" Target="https://www.tiktok.com/@lenkycungkhoa"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docs.google.com/spreadsheets/d/1G2tMrOxJpcW3osvBoXzc-RPm5XZa-6xKs05LG1czwZ0/edit?gid=0" TargetMode="External"/><Relationship Id="rId8" Type="http://schemas.openxmlformats.org/officeDocument/2006/relationships/hyperlink" Target="https://www.tiktok.com/@thangloi2k2?_t=8W1SCUWFQaQ&amp;_r=1" TargetMode="External"/><Relationship Id="rId73" Type="http://schemas.openxmlformats.org/officeDocument/2006/relationships/hyperlink" Target="https://docs.google.com/spreadsheets/d/16OvFx7PrR-T2MT2uGxvOhLg9LXOi0HWql6pSWU7HRfg/edit?gid=317397432" TargetMode="External"/><Relationship Id="rId72" Type="http://schemas.openxmlformats.org/officeDocument/2006/relationships/hyperlink" Target="https://docs.google.com/spreadsheets/d/16OvFx7PrR-T2MT2uGxvOhLg9LXOi0HWql6pSWU7HRfg/edit?gid=317397432" TargetMode="External"/><Relationship Id="rId75" Type="http://schemas.openxmlformats.org/officeDocument/2006/relationships/hyperlink" Target="https://fivestarnearyou.cp.com.vn/?Longtitude=105.48988584829794&amp;Latitude=9.128942686320757" TargetMode="External"/><Relationship Id="rId74" Type="http://schemas.openxmlformats.org/officeDocument/2006/relationships/hyperlink" Target="http://tiktok.com/@vunguyetthu" TargetMode="External"/><Relationship Id="rId77" Type="http://schemas.openxmlformats.org/officeDocument/2006/relationships/hyperlink" Target="https://docs.google.com/spreadsheets/d/16OvFx7PrR-T2MT2uGxvOhLg9LXOi0HWql6pSWU7HRfg/edit?gid=317397432" TargetMode="External"/><Relationship Id="rId76" Type="http://schemas.openxmlformats.org/officeDocument/2006/relationships/hyperlink" Target="https://docs.google.com/spreadsheets/d/16OvFx7PrR-T2MT2uGxvOhLg9LXOi0HWql6pSWU7HRfg/edit?gid=317397432"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nhaembebo2025?_t=ZS-8xFQzvmAh6O&amp;_r=1"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maian0714?_r=1&amp;_t=ZS-94mvmLibgn3" TargetMode="External"/><Relationship Id="rId132" Type="http://schemas.openxmlformats.org/officeDocument/2006/relationships/drawing" Target="../drawings/drawing12.xml"/><Relationship Id="rId131" Type="http://schemas.openxmlformats.org/officeDocument/2006/relationships/hyperlink" Target="https://docs.google.com/spreadsheets/d/1G2tMrOxJpcW3osvBoXzc-RPm5XZa-6xKs05LG1czwZ0/edit?gid=1537112938" TargetMode="External"/><Relationship Id="rId130" Type="http://schemas.openxmlformats.org/officeDocument/2006/relationships/hyperlink" Target="https://www.tiktok.com/@mienmanhanoi" TargetMode="External"/><Relationship Id="rId62"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61" Type="http://schemas.openxmlformats.org/officeDocument/2006/relationships/hyperlink" Target="https://docs.google.com/spreadsheets/d/16OvFx7PrR-T2MT2uGxvOhLg9LXOi0HWql6pSWU7HRfg/edit?gid=317397432" TargetMode="External"/><Relationship Id="rId64" Type="http://schemas.openxmlformats.org/officeDocument/2006/relationships/hyperlink" Target="https://docs.google.com/spreadsheets/d/16OvFx7PrR-T2MT2uGxvOhLg9LXOi0HWql6pSWU7HRfg/edit?gid=317397432"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www.tiktok.com/@triemnana_?_r=1&amp;_t=ZS-94n5nUppOfl" TargetMode="External"/><Relationship Id="rId65" Type="http://schemas.openxmlformats.org/officeDocument/2006/relationships/hyperlink" Target="https://docs.google.com/spreadsheets/d/16OvFx7PrR-T2MT2uGxvOhLg9LXOi0HWql6pSWU7HRfg/edit?gid=317397432" TargetMode="External"/><Relationship Id="rId68" Type="http://schemas.openxmlformats.org/officeDocument/2006/relationships/hyperlink" Target="https://docs.google.com/spreadsheets/d/16OvFx7PrR-T2MT2uGxvOhLg9LXOi0HWql6pSWU7HRfg/edit?gid=317397432"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docs.google.com/spreadsheets/d/16OvFx7PrR-T2MT2uGxvOhLg9LXOi0HWql6pSWU7HRfg/edit?gid=317397432" TargetMode="External"/><Relationship Id="rId69" Type="http://schemas.openxmlformats.org/officeDocument/2006/relationships/hyperlink" Target="https://docs.google.com/spreadsheets/d/16OvFx7PrR-T2MT2uGxvOhLg9LXOi0HWql6pSWU7HRfg/edit?gid=317397432" TargetMode="External"/><Relationship Id="rId51" Type="http://schemas.openxmlformats.org/officeDocument/2006/relationships/hyperlink" Target="https://docs.google.com/spreadsheets/d/16OvFx7PrR-T2MT2uGxvOhLg9LXOi0HWql6pSWU7HRfg/edit?gid=1826739190"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hi.an.ne" TargetMode="External"/><Relationship Id="rId55" Type="http://schemas.openxmlformats.org/officeDocument/2006/relationships/hyperlink" Target="https://www.tiktok.com/@kuncookingg?_r=1&amp;_t=ZS-92jFJ6KCP9U" TargetMode="External"/><Relationship Id="rId54" Type="http://schemas.openxmlformats.org/officeDocument/2006/relationships/hyperlink" Target="https://docs.google.com/spreadsheets/d/16OvFx7PrR-T2MT2uGxvOhLg9LXOi0HWql6pSWU7HRfg/edit?gid=1826739190" TargetMode="External"/><Relationship Id="rId57" Type="http://schemas.openxmlformats.org/officeDocument/2006/relationships/hyperlink" Target="https://docs.google.com/spreadsheets/d/16OvFx7PrR-T2MT2uGxvOhLg9LXOi0HWql6pSWU7HRfg/edit?gid=1826739190" TargetMode="External"/><Relationship Id="rId56" Type="http://schemas.openxmlformats.org/officeDocument/2006/relationships/hyperlink" Target="https://fivestarnearyou.cp.com.vn/?Longtitude=105.48988584829794&amp;Latitude=9.128942686320757"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s://www.tiktok.com/@duongbaoanh2kk?_r=1&amp;_t=ZS-94n5aTW7D9A" TargetMode="External"/><Relationship Id="rId107" Type="http://schemas.openxmlformats.org/officeDocument/2006/relationships/hyperlink" Target="https://fivestarnearyou.cp.com.vn/?Longtitude=105.48988584829794&amp;Latitude=9.128942686320757" TargetMode="External"/><Relationship Id="rId106" Type="http://schemas.openxmlformats.org/officeDocument/2006/relationships/hyperlink" Target="https://www.tiktok.com/@meshushi121" TargetMode="External"/><Relationship Id="rId105" Type="http://schemas.openxmlformats.org/officeDocument/2006/relationships/hyperlink" Target="https://docs.google.com/spreadsheets/d/16OvFx7PrR-T2MT2uGxvOhLg9LXOi0HWql6pSWU7HRfg/edit?gid=317397432" TargetMode="External"/><Relationship Id="rId104" Type="http://schemas.openxmlformats.org/officeDocument/2006/relationships/hyperlink" Target="https://docs.google.com/spreadsheets/d/16OvFx7PrR-T2MT2uGxvOhLg9LXOi0HWql6pSWU7HRfg/edit?gid=317397432" TargetMode="External"/><Relationship Id="rId109" Type="http://schemas.openxmlformats.org/officeDocument/2006/relationships/hyperlink" Target="https://docs.google.com/spreadsheets/d/16OvFx7PrR-T2MT2uGxvOhLg9LXOi0HWql6pSWU7HRfg/edit?gid=317397432" TargetMode="External"/><Relationship Id="rId108" Type="http://schemas.openxmlformats.org/officeDocument/2006/relationships/hyperlink" Target="https://docs.google.com/spreadsheets/d/16OvFx7PrR-T2MT2uGxvOhLg9LXOi0HWql6pSWU7HRfg/edit?gid=317397432" TargetMode="External"/><Relationship Id="rId103" Type="http://schemas.openxmlformats.org/officeDocument/2006/relationships/hyperlink" Target="https://fivestarnearyou.cp.com.vn/?Longtitude=105.48988584829794&amp;Latitude=9.128942686320757" TargetMode="External"/><Relationship Id="rId102" Type="http://schemas.openxmlformats.org/officeDocument/2006/relationships/hyperlink" Target="https://www.tiktok.com/@duongnhicm" TargetMode="External"/><Relationship Id="rId101" Type="http://schemas.openxmlformats.org/officeDocument/2006/relationships/hyperlink" Target="https://docs.google.com/spreadsheets/d/16OvFx7PrR-T2MT2uGxvOhLg9LXOi0HWql6pSWU7HRfg/edit?gid=317397432" TargetMode="External"/><Relationship Id="rId100" Type="http://schemas.openxmlformats.org/officeDocument/2006/relationships/hyperlink" Target="https://docs.google.com/spreadsheets/d/16OvFx7PrR-T2MT2uGxvOhLg9LXOi0HWql6pSWU7HRfg/edit?gid=317397432" TargetMode="External"/><Relationship Id="rId129" Type="http://schemas.openxmlformats.org/officeDocument/2006/relationships/hyperlink" Target="https://www.tiktok.com/@saigonmap" TargetMode="External"/><Relationship Id="rId128" Type="http://schemas.openxmlformats.org/officeDocument/2006/relationships/hyperlink" Target="https://docs.google.com/spreadsheets/d/1G2tMrOxJpcW3osvBoXzc-RPm5XZa-6xKs05LG1czwZ0/edit?gid=1537112938" TargetMode="External"/><Relationship Id="rId127" Type="http://schemas.openxmlformats.org/officeDocument/2006/relationships/hyperlink" Target="https://www.tiktok.com/@thongdongdoday?_r=1&amp;_t=ZS-94NJFKrtS9V" TargetMode="External"/><Relationship Id="rId126" Type="http://schemas.openxmlformats.org/officeDocument/2006/relationships/hyperlink" Target="https://www.tiktok.com/@vivusaigon.vn" TargetMode="External"/><Relationship Id="rId121" Type="http://schemas.openxmlformats.org/officeDocument/2006/relationships/hyperlink" Target="https://docs.google.com/spreadsheets/d/1G2tMrOxJpcW3osvBoXzc-RPm5XZa-6xKs05LG1czwZ0/edit?gid=1537112938" TargetMode="External"/><Relationship Id="rId120" Type="http://schemas.openxmlformats.org/officeDocument/2006/relationships/hyperlink" Target="https://www.facebook.com/groups/gdl.mmsg/" TargetMode="External"/><Relationship Id="rId125" Type="http://schemas.openxmlformats.org/officeDocument/2006/relationships/hyperlink" Target="https://docs.google.com/spreadsheets/d/1G2tMrOxJpcW3osvBoXzc-RPm5XZa-6xKs05LG1czwZ0/edit?gid=1537112938" TargetMode="External"/><Relationship Id="rId124" Type="http://schemas.openxmlformats.org/officeDocument/2006/relationships/hyperlink" Target="https://www.tiktok.com/@hanoiangi" TargetMode="External"/><Relationship Id="rId123" Type="http://schemas.openxmlformats.org/officeDocument/2006/relationships/hyperlink" Target="https://docs.google.com/spreadsheets/d/1G2tMrOxJpcW3osvBoXzc-RPm5XZa-6xKs05LG1czwZ0/edit?gid=1537112938" TargetMode="External"/><Relationship Id="rId122" Type="http://schemas.openxmlformats.org/officeDocument/2006/relationships/hyperlink" Target="https://www.facebook.com/groups/231350177556959/" TargetMode="External"/><Relationship Id="rId95" Type="http://schemas.openxmlformats.org/officeDocument/2006/relationships/hyperlink" Target="https://fivestarnearyou.cp.com.vn/?Longtitude=105.48988584829794&amp;Latitude=9.128942686320757" TargetMode="External"/><Relationship Id="rId94" Type="http://schemas.openxmlformats.org/officeDocument/2006/relationships/hyperlink" Target="https://www.tiktok.com/@huynhhongocduc" TargetMode="External"/><Relationship Id="rId97" Type="http://schemas.openxmlformats.org/officeDocument/2006/relationships/hyperlink" Target="https://docs.google.com/spreadsheets/d/16OvFx7PrR-T2MT2uGxvOhLg9LXOi0HWql6pSWU7HRfg/edit?gid=317397432" TargetMode="External"/><Relationship Id="rId96" Type="http://schemas.openxmlformats.org/officeDocument/2006/relationships/hyperlink" Target="https://docs.google.com/spreadsheets/d/16OvFx7PrR-T2MT2uGxvOhLg9LXOi0HWql6pSWU7HRfg/edit?gid=317397432" TargetMode="External"/><Relationship Id="rId99" Type="http://schemas.openxmlformats.org/officeDocument/2006/relationships/hyperlink" Target="https://fivestarnearyou.cp.com.vn/?Longtitude=105.48988584829794&amp;Latitude=9.128942686320757" TargetMode="External"/><Relationship Id="rId98" Type="http://schemas.openxmlformats.org/officeDocument/2006/relationships/hyperlink" Target="https://www.tiktok.com/@zan.riviu?_r=1&amp;_t=ZS-94n3uOkLyE8" TargetMode="External"/><Relationship Id="rId91" Type="http://schemas.openxmlformats.org/officeDocument/2006/relationships/hyperlink" Target="https://fivestarnearyou.cp.com.vn/?Longtitude=105.48988584829794&amp;Latitude=9.128942686320757" TargetMode="External"/><Relationship Id="rId90" Type="http://schemas.openxmlformats.org/officeDocument/2006/relationships/hyperlink" Target="https://www.tiktok.com/@phuongoychillthoy" TargetMode="External"/><Relationship Id="rId93" Type="http://schemas.openxmlformats.org/officeDocument/2006/relationships/hyperlink" Target="https://docs.google.com/spreadsheets/d/16OvFx7PrR-T2MT2uGxvOhLg9LXOi0HWql6pSWU7HRfg/edit?gid=317397432" TargetMode="External"/><Relationship Id="rId92" Type="http://schemas.openxmlformats.org/officeDocument/2006/relationships/hyperlink" Target="https://docs.google.com/spreadsheets/d/16OvFx7PrR-T2MT2uGxvOhLg9LXOi0HWql6pSWU7HRfg/edit?gid=317397432" TargetMode="External"/><Relationship Id="rId118" Type="http://schemas.openxmlformats.org/officeDocument/2006/relationships/hyperlink" Target="https://www.facebook.com/groups/kosodoi" TargetMode="External"/><Relationship Id="rId117" Type="http://schemas.openxmlformats.org/officeDocument/2006/relationships/hyperlink" Target="https://docs.google.com/spreadsheets/d/1G2tMrOxJpcW3osvBoXzc-RPm5XZa-6xKs05LG1czwZ0/edit?gid=1537112938" TargetMode="External"/><Relationship Id="rId116" Type="http://schemas.openxmlformats.org/officeDocument/2006/relationships/hyperlink" Target="https://www.facebook.com/themtivi" TargetMode="External"/><Relationship Id="rId115" Type="http://schemas.openxmlformats.org/officeDocument/2006/relationships/hyperlink" Target="https://docs.google.com/spreadsheets/d/1G2tMrOxJpcW3osvBoXzc-RPm5XZa-6xKs05LG1czwZ0/edit?gid=1537112938" TargetMode="External"/><Relationship Id="rId119" Type="http://schemas.openxmlformats.org/officeDocument/2006/relationships/hyperlink" Target="https://docs.google.com/spreadsheets/d/1G2tMrOxJpcW3osvBoXzc-RPm5XZa-6xKs05LG1czwZ0/edit?gid=1537112938" TargetMode="External"/><Relationship Id="rId110" Type="http://schemas.openxmlformats.org/officeDocument/2006/relationships/hyperlink" Target="https://www.tiktok.com/@iamwin1994" TargetMode="External"/><Relationship Id="rId114" Type="http://schemas.openxmlformats.org/officeDocument/2006/relationships/hyperlink" Target="https://www.facebook.com/DiaDiemAnUong" TargetMode="External"/><Relationship Id="rId113" Type="http://schemas.openxmlformats.org/officeDocument/2006/relationships/hyperlink" Target="https://docs.google.com/spreadsheets/d/16OvFx7PrR-T2MT2uGxvOhLg9LXOi0HWql6pSWU7HRfg/edit?gid=317397432" TargetMode="External"/><Relationship Id="rId112" Type="http://schemas.openxmlformats.org/officeDocument/2006/relationships/hyperlink" Target="https://docs.google.com/spreadsheets/d/16OvFx7PrR-T2MT2uGxvOhLg9LXOi0HWql6pSWU7HRfg/edit?gid=317397432" TargetMode="External"/><Relationship Id="rId111" Type="http://schemas.openxmlformats.org/officeDocument/2006/relationships/hyperlink" Target="https://fivestarnearyou.cp.com.vn/?Longtitude=105.48988584829794&amp;Latitude=9.128942686320757"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6OvFx7PrR-T2MT2uGxvOhLg9LXOi0HWql6pSWU7HRfg/edit?gid=1826739190" TargetMode="External"/><Relationship Id="rId42" Type="http://schemas.openxmlformats.org/officeDocument/2006/relationships/hyperlink" Target="https://fivestarnearyou.cp.com.vn/?Longtitude=105.48988584829794&amp;Latitude=9.128942686320757" TargetMode="External"/><Relationship Id="rId41" Type="http://schemas.openxmlformats.org/officeDocument/2006/relationships/hyperlink" Target="https://www.tiktok.com/@nhamomdiep2770?_t=8offZoBiXg8&amp;_r=1" TargetMode="External"/><Relationship Id="rId44" Type="http://schemas.openxmlformats.org/officeDocument/2006/relationships/hyperlink" Target="https://www.tiktok.com/@chucaofood?_t=8oLaNxaWT8E&amp;_r=1" TargetMode="External"/><Relationship Id="rId43" Type="http://schemas.openxmlformats.org/officeDocument/2006/relationships/hyperlink" Target="https://docs.google.com/spreadsheets/d/16OvFx7PrR-T2MT2uGxvOhLg9LXOi0HWql6pSWU7HRfg/edit?gid=1826739190" TargetMode="External"/><Relationship Id="rId46" Type="http://schemas.openxmlformats.org/officeDocument/2006/relationships/hyperlink" Target="https://docs.google.com/spreadsheets/d/16OvFx7PrR-T2MT2uGxvOhLg9LXOi0HWql6pSWU7HRfg/edit?gid=1826739190"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fivestarnearyou.cp.com.vn/?Longtitude=105.48988584829794&amp;Latitude=9.128942686320757" TargetMode="External"/><Relationship Id="rId47" Type="http://schemas.openxmlformats.org/officeDocument/2006/relationships/hyperlink" Target="https://www.tiktok.com/@hi.an.ne" TargetMode="External"/><Relationship Id="rId49" Type="http://schemas.openxmlformats.org/officeDocument/2006/relationships/hyperlink" Target="https://docs.google.com/spreadsheets/d/16OvFx7PrR-T2MT2uGxvOhLg9LXOi0HWql6pSWU7HRfg/edit?gid=1826739190" TargetMode="External"/><Relationship Id="rId31" Type="http://schemas.openxmlformats.org/officeDocument/2006/relationships/hyperlink" Target="https://docs.google.com/spreadsheets/d/1G2tMrOxJpcW3osvBoXzc-RPm5XZa-6xKs05LG1czwZ0/edit?gid=0"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nhamay1606" TargetMode="External"/><Relationship Id="rId35" Type="http://schemas.openxmlformats.org/officeDocument/2006/relationships/hyperlink" Target="https://www.tiktok.com/@dieuphuongne_?_r=1&amp;_t=ZS-92j9nP4c71B" TargetMode="External"/><Relationship Id="rId34" Type="http://schemas.openxmlformats.org/officeDocument/2006/relationships/hyperlink" Target="https://docs.google.com/spreadsheets/d/16OvFx7PrR-T2MT2uGxvOhLg9LXOi0HWql6pSWU7HRfg/edit?gid=1826739190" TargetMode="External"/><Relationship Id="rId37" Type="http://schemas.openxmlformats.org/officeDocument/2006/relationships/hyperlink" Target="https://docs.google.com/spreadsheets/d/16OvFx7PrR-T2MT2uGxvOhLg9LXOi0HWql6pSWU7HRfg/edit?gid=1826739190" TargetMode="External"/><Relationship Id="rId36" Type="http://schemas.openxmlformats.org/officeDocument/2006/relationships/hyperlink" Target="https://fivestarnearyou.cp.com.vn/?Longtitude=105.48988584829794&amp;Latitude=9.128942686320757"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8vv000?_r=1&amp;_t=ZS-91WI3LmQD6F" TargetMode="External"/><Relationship Id="rId20" Type="http://schemas.openxmlformats.org/officeDocument/2006/relationships/hyperlink" Target="https://www.tiktok.com/@lenkycungkhoa" TargetMode="External"/><Relationship Id="rId22" Type="http://schemas.openxmlformats.org/officeDocument/2006/relationships/hyperlink" Target="https://docs.google.com/spreadsheets/d/1G2tMrOxJpcW3osvBoXzc-RPm5XZa-6xKs05LG1czwZ0/edit?gid=0"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anngoncungpuu?_t=8caIQvvAxxy&amp;_r=1" TargetMode="External"/><Relationship Id="rId26" Type="http://schemas.openxmlformats.org/officeDocument/2006/relationships/hyperlink" Target="https://www.tiktok.com/@thon_foodie?lang=vi-VN" TargetMode="External"/><Relationship Id="rId25" Type="http://schemas.openxmlformats.org/officeDocument/2006/relationships/hyperlink" Target="https://docs.google.com/spreadsheets/d/16OvFx7PrR-T2MT2uGxvOhLg9LXOi0HWql6pSWU7HRfg/edit?gid=1826739190" TargetMode="External"/><Relationship Id="rId28" Type="http://schemas.openxmlformats.org/officeDocument/2006/relationships/hyperlink" Target="https://docs.google.com/spreadsheets/d/1G2tMrOxJpcW3osvBoXzc-RPm5XZa-6xKs05LG1czwZ0/edit?gid=0"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www.tiktok.com/@nhacuaanvymeo" TargetMode="External"/><Relationship Id="rId11" Type="http://schemas.openxmlformats.org/officeDocument/2006/relationships/hyperlink" Target="https://docs.google.com/spreadsheets/d/1G2tMrOxJpcW3osvBoXzc-RPm5XZa-6xKs05LG1czwZ0/edit?gid=0"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fivestarnearyou.cp.com.vn/?Longtitude=105.48988584829794&amp;Latitude=9.128942686320757" TargetMode="External"/><Relationship Id="rId12" Type="http://schemas.openxmlformats.org/officeDocument/2006/relationships/hyperlink" Target="https://www.tiktok.com/@hhuyennhiii"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thubonny"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nuchuu.0401" TargetMode="External"/><Relationship Id="rId19" Type="http://schemas.openxmlformats.org/officeDocument/2006/relationships/hyperlink" Target="https://docs.google.com/spreadsheets/d/1G2tMrOxJpcW3osvBoXzc-RPm5XZa-6xKs05LG1czwZ0/edit?gid=0" TargetMode="External"/><Relationship Id="rId18" Type="http://schemas.openxmlformats.org/officeDocument/2006/relationships/hyperlink" Target="https://www.tiktok.com/@nuchuu.0401/video/7598539556157246738" TargetMode="External"/><Relationship Id="rId84" Type="http://schemas.openxmlformats.org/officeDocument/2006/relationships/hyperlink" Target="https://docs.google.com/spreadsheets/d/16OvFx7PrR-T2MT2uGxvOhLg9LXOi0HWql6pSWU7HRfg/edit?gid=317397432"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s://www.tiktok.com/@thanhhuongrv" TargetMode="External"/><Relationship Id="rId85" Type="http://schemas.openxmlformats.org/officeDocument/2006/relationships/hyperlink" Target="https://docs.google.com/spreadsheets/d/16OvFx7PrR-T2MT2uGxvOhLg9LXOi0HWql6pSWU7HRfg/edit?gid=317397432" TargetMode="External"/><Relationship Id="rId88" Type="http://schemas.openxmlformats.org/officeDocument/2006/relationships/hyperlink" Target="https://docs.google.com/spreadsheets/d/16OvFx7PrR-T2MT2uGxvOhLg9LXOi0HWql6pSWU7HRfg/edit?gid=317397432" TargetMode="External"/><Relationship Id="rId87" Type="http://schemas.openxmlformats.org/officeDocument/2006/relationships/hyperlink" Target="https://fivestarnearyou.cp.com.vn/?Longtitude=105.48988584829794&amp;Latitude=9.128942686320757" TargetMode="External"/><Relationship Id="rId89" Type="http://schemas.openxmlformats.org/officeDocument/2006/relationships/hyperlink" Target="https://docs.google.com/spreadsheets/d/16OvFx7PrR-T2MT2uGxvOhLg9LXOi0HWql6pSWU7HRfg/edit?gid=317397432" TargetMode="External"/><Relationship Id="rId80" Type="http://schemas.openxmlformats.org/officeDocument/2006/relationships/hyperlink" Target="https://docs.google.com/spreadsheets/d/16OvFx7PrR-T2MT2uGxvOhLg9LXOi0HWql6pSWU7HRfg/edit?gid=317397432" TargetMode="External"/><Relationship Id="rId82" Type="http://schemas.openxmlformats.org/officeDocument/2006/relationships/hyperlink" Target="https://www.tiktok.com/@tranngocyen230" TargetMode="External"/><Relationship Id="rId81" Type="http://schemas.openxmlformats.org/officeDocument/2006/relationships/hyperlink" Target="https://docs.google.com/spreadsheets/d/16OvFx7PrR-T2MT2uGxvOhLg9LXOi0HWql6pSWU7HRfg/edit?gid=317397432"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tiktok.com/@thangloi2k2?_t=8W1SCUWFQaQ&amp;_r=1" TargetMode="External"/><Relationship Id="rId9" Type="http://schemas.openxmlformats.org/officeDocument/2006/relationships/hyperlink" Target="https://www.tiktok.com/@hellolapday"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docs.google.com/spreadsheets/d/16OvFx7PrR-T2MT2uGxvOhLg9LXOi0HWql6pSWU7HRfg/edit?gid=1826739190" TargetMode="External"/><Relationship Id="rId7" Type="http://schemas.openxmlformats.org/officeDocument/2006/relationships/hyperlink" Target="https://www.tiktok.com/@lulureview_" TargetMode="External"/><Relationship Id="rId8"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docs.google.com/spreadsheets/d/16OvFx7PrR-T2MT2uGxvOhLg9LXOi0HWql6pSWU7HRfg/edit?gid=317397432" TargetMode="External"/><Relationship Id="rId72" Type="http://schemas.openxmlformats.org/officeDocument/2006/relationships/hyperlink" Target="https://docs.google.com/spreadsheets/d/16OvFx7PrR-T2MT2uGxvOhLg9LXOi0HWql6pSWU7HRfg/edit?gid=317397432" TargetMode="External"/><Relationship Id="rId75" Type="http://schemas.openxmlformats.org/officeDocument/2006/relationships/hyperlink" Target="https://fivestarnearyou.cp.com.vn/?Longtitude=105.48988584829794&amp;Latitude=9.128942686320757" TargetMode="External"/><Relationship Id="rId74" Type="http://schemas.openxmlformats.org/officeDocument/2006/relationships/hyperlink" Target="https://www.tiktok.com/@nhaembebo2025?_t=ZS-8xFQzvmAh6O&amp;_r=1" TargetMode="External"/><Relationship Id="rId77" Type="http://schemas.openxmlformats.org/officeDocument/2006/relationships/hyperlink" Target="https://docs.google.com/spreadsheets/d/16OvFx7PrR-T2MT2uGxvOhLg9LXOi0HWql6pSWU7HRfg/edit?gid=317397432" TargetMode="External"/><Relationship Id="rId76" Type="http://schemas.openxmlformats.org/officeDocument/2006/relationships/hyperlink" Target="https://docs.google.com/spreadsheets/d/16OvFx7PrR-T2MT2uGxvOhLg9LXOi0HWql6pSWU7HRfg/edit?gid=317397432"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minhphuong130595?_r=1&amp;_t=ZS-94ac29NM9v3"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137" Type="http://schemas.openxmlformats.org/officeDocument/2006/relationships/vmlDrawing" Target="../drawings/vmlDrawing4.vml"/><Relationship Id="rId132" Type="http://schemas.openxmlformats.org/officeDocument/2006/relationships/hyperlink" Target="https://docs.google.com/spreadsheets/d/1G2tMrOxJpcW3osvBoXzc-RPm5XZa-6xKs05LG1czwZ0/edit?gid=1537112938" TargetMode="External"/><Relationship Id="rId131" Type="http://schemas.openxmlformats.org/officeDocument/2006/relationships/hyperlink" Target="https://www.tiktok.com/@thongdongdoday?_r=1&amp;_t=ZS-94NJFKrtS9V" TargetMode="External"/><Relationship Id="rId130" Type="http://schemas.openxmlformats.org/officeDocument/2006/relationships/hyperlink" Target="https://www.tiktok.com/@vivusaigon.vn" TargetMode="External"/><Relationship Id="rId136" Type="http://schemas.openxmlformats.org/officeDocument/2006/relationships/drawing" Target="../drawings/drawing13.xml"/><Relationship Id="rId135" Type="http://schemas.openxmlformats.org/officeDocument/2006/relationships/hyperlink" Target="https://docs.google.com/spreadsheets/d/1G2tMrOxJpcW3osvBoXzc-RPm5XZa-6xKs05LG1czwZ0/edit?gid=1537112938" TargetMode="External"/><Relationship Id="rId134" Type="http://schemas.openxmlformats.org/officeDocument/2006/relationships/hyperlink" Target="https://www.tiktok.com/@mienmanhanoi" TargetMode="External"/><Relationship Id="rId133" Type="http://schemas.openxmlformats.org/officeDocument/2006/relationships/hyperlink" Target="https://www.tiktok.com/@saigonmap" TargetMode="External"/><Relationship Id="rId62" Type="http://schemas.openxmlformats.org/officeDocument/2006/relationships/hyperlink" Target="https://www.tiktok.com/@duongbaoanh2kk?_r=1&amp;_t=ZS-94n5aTW7D9A" TargetMode="External"/><Relationship Id="rId61" Type="http://schemas.openxmlformats.org/officeDocument/2006/relationships/hyperlink" Target="https://docs.google.com/spreadsheets/d/1G2tMrOxJpcW3osvBoXzc-RPm5XZa-6xKs05LG1czwZ0/edit?gid=0" TargetMode="External"/><Relationship Id="rId64" Type="http://schemas.openxmlformats.org/officeDocument/2006/relationships/hyperlink" Target="https://docs.google.com/spreadsheets/d/16OvFx7PrR-T2MT2uGxvOhLg9LXOi0HWql6pSWU7HRfg/edit?gid=317397432"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tiktok.com/@vunguyetthu" TargetMode="External"/><Relationship Id="rId65" Type="http://schemas.openxmlformats.org/officeDocument/2006/relationships/hyperlink" Target="https://docs.google.com/spreadsheets/d/16OvFx7PrR-T2MT2uGxvOhLg9LXOi0HWql6pSWU7HRfg/edit?gid=317397432" TargetMode="External"/><Relationship Id="rId68" Type="http://schemas.openxmlformats.org/officeDocument/2006/relationships/hyperlink" Target="https://docs.google.com/spreadsheets/d/16OvFx7PrR-T2MT2uGxvOhLg9LXOi0HWql6pSWU7HRfg/edit?gid=317397432"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docs.google.com/spreadsheets/d/16OvFx7PrR-T2MT2uGxvOhLg9LXOi0HWql6pSWU7HRfg/edit?gid=317397432"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emhuyendoimeomeo" TargetMode="External"/><Relationship Id="rId53" Type="http://schemas.openxmlformats.org/officeDocument/2006/relationships/hyperlink" Target="https://www.tiktok.com/@vieinhcm" TargetMode="External"/><Relationship Id="rId52" Type="http://schemas.openxmlformats.org/officeDocument/2006/relationships/hyperlink" Target="https://docs.google.com/spreadsheets/d/16OvFx7PrR-T2MT2uGxvOhLg9LXOi0HWql6pSWU7HRfg/edit?gid=1826739190" TargetMode="External"/><Relationship Id="rId55" Type="http://schemas.openxmlformats.org/officeDocument/2006/relationships/hyperlink" Target="https://docs.google.com/spreadsheets/d/16OvFx7PrR-T2MT2uGxvOhLg9LXOi0HWql6pSWU7HRfg/edit?gid=1826739190" TargetMode="External"/><Relationship Id="rId54" Type="http://schemas.openxmlformats.org/officeDocument/2006/relationships/hyperlink" Target="https://fivestarnearyou.cp.com.vn/?Longtitude=105.48988584829794&amp;Latitude=9.128942686320757"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hathuto1201?_r=1&amp;_t=ZS-94mvtMPIp3C" TargetMode="External"/><Relationship Id="rId59" Type="http://schemas.openxmlformats.org/officeDocument/2006/relationships/hyperlink" Target="https://www.tiktok.com/@phuocdidaudo?lang=vi-VN" TargetMode="External"/><Relationship Id="rId58" Type="http://schemas.openxmlformats.org/officeDocument/2006/relationships/hyperlink" Target="https://docs.google.com/spreadsheets/d/16OvFx7PrR-T2MT2uGxvOhLg9LXOi0HWql6pSWU7HRfg/edit?gid=1826739190" TargetMode="External"/><Relationship Id="rId107" Type="http://schemas.openxmlformats.org/officeDocument/2006/relationships/hyperlink" Target="https://fivestarnearyou.cp.com.vn/?Longtitude=105.48988584829794&amp;Latitude=9.128942686320757" TargetMode="External"/><Relationship Id="rId106" Type="http://schemas.openxmlformats.org/officeDocument/2006/relationships/hyperlink" Target="https://www.tiktok.com/@meshushi121" TargetMode="External"/><Relationship Id="rId105" Type="http://schemas.openxmlformats.org/officeDocument/2006/relationships/hyperlink" Target="https://docs.google.com/spreadsheets/d/16OvFx7PrR-T2MT2uGxvOhLg9LXOi0HWql6pSWU7HRfg/edit?gid=317397432" TargetMode="External"/><Relationship Id="rId104" Type="http://schemas.openxmlformats.org/officeDocument/2006/relationships/hyperlink" Target="https://docs.google.com/spreadsheets/d/16OvFx7PrR-T2MT2uGxvOhLg9LXOi0HWql6pSWU7HRfg/edit?gid=317397432" TargetMode="External"/><Relationship Id="rId109" Type="http://schemas.openxmlformats.org/officeDocument/2006/relationships/hyperlink" Target="https://docs.google.com/spreadsheets/d/16OvFx7PrR-T2MT2uGxvOhLg9LXOi0HWql6pSWU7HRfg/edit?gid=317397432" TargetMode="External"/><Relationship Id="rId108" Type="http://schemas.openxmlformats.org/officeDocument/2006/relationships/hyperlink" Target="https://docs.google.com/spreadsheets/d/16OvFx7PrR-T2MT2uGxvOhLg9LXOi0HWql6pSWU7HRfg/edit?gid=317397432" TargetMode="External"/><Relationship Id="rId103" Type="http://schemas.openxmlformats.org/officeDocument/2006/relationships/hyperlink" Target="https://fivestarnearyou.cp.com.vn/?Longtitude=105.48988584829794&amp;Latitude=9.128942686320757" TargetMode="External"/><Relationship Id="rId102" Type="http://schemas.openxmlformats.org/officeDocument/2006/relationships/hyperlink" Target="http://www.tiktok.com/@lysambonreview" TargetMode="External"/><Relationship Id="rId101" Type="http://schemas.openxmlformats.org/officeDocument/2006/relationships/hyperlink" Target="https://docs.google.com/spreadsheets/d/16OvFx7PrR-T2MT2uGxvOhLg9LXOi0HWql6pSWU7HRfg/edit?gid=317397432" TargetMode="External"/><Relationship Id="rId100" Type="http://schemas.openxmlformats.org/officeDocument/2006/relationships/hyperlink" Target="https://docs.google.com/spreadsheets/d/16OvFx7PrR-T2MT2uGxvOhLg9LXOi0HWql6pSWU7HRfg/edit?gid=317397432" TargetMode="External"/><Relationship Id="rId129" Type="http://schemas.openxmlformats.org/officeDocument/2006/relationships/hyperlink" Target="https://docs.google.com/spreadsheets/d/1G2tMrOxJpcW3osvBoXzc-RPm5XZa-6xKs05LG1czwZ0/edit?gid=1537112938" TargetMode="External"/><Relationship Id="rId128" Type="http://schemas.openxmlformats.org/officeDocument/2006/relationships/hyperlink" Target="https://www.tiktok.com/@hanoiangi" TargetMode="External"/><Relationship Id="rId127" Type="http://schemas.openxmlformats.org/officeDocument/2006/relationships/hyperlink" Target="https://docs.google.com/spreadsheets/d/1G2tMrOxJpcW3osvBoXzc-RPm5XZa-6xKs05LG1czwZ0/edit?gid=1537112938" TargetMode="External"/><Relationship Id="rId126" Type="http://schemas.openxmlformats.org/officeDocument/2006/relationships/hyperlink" Target="https://www.facebook.com/groups/231350177556959/" TargetMode="External"/><Relationship Id="rId121" Type="http://schemas.openxmlformats.org/officeDocument/2006/relationships/hyperlink" Target="https://docs.google.com/spreadsheets/d/1G2tMrOxJpcW3osvBoXzc-RPm5XZa-6xKs05LG1czwZ0/edit?gid=1537112938" TargetMode="External"/><Relationship Id="rId120" Type="http://schemas.openxmlformats.org/officeDocument/2006/relationships/hyperlink" Target="https://www.facebook.com/themtivi" TargetMode="External"/><Relationship Id="rId125" Type="http://schemas.openxmlformats.org/officeDocument/2006/relationships/hyperlink" Target="https://docs.google.com/spreadsheets/d/1G2tMrOxJpcW3osvBoXzc-RPm5XZa-6xKs05LG1czwZ0/edit?gid=1537112938" TargetMode="External"/><Relationship Id="rId124" Type="http://schemas.openxmlformats.org/officeDocument/2006/relationships/hyperlink" Target="https://www.facebook.com/groups/gdl.mmsg/" TargetMode="External"/><Relationship Id="rId123" Type="http://schemas.openxmlformats.org/officeDocument/2006/relationships/hyperlink" Target="https://docs.google.com/spreadsheets/d/1G2tMrOxJpcW3osvBoXzc-RPm5XZa-6xKs05LG1czwZ0/edit?gid=1537112938" TargetMode="External"/><Relationship Id="rId122" Type="http://schemas.openxmlformats.org/officeDocument/2006/relationships/hyperlink" Target="https://www.facebook.com/groups/kosodoi" TargetMode="External"/><Relationship Id="rId95" Type="http://schemas.openxmlformats.org/officeDocument/2006/relationships/hyperlink" Target="https://fivestarnearyou.cp.com.vn/?Longtitude=105.48988584829794&amp;Latitude=9.128942686320757" TargetMode="External"/><Relationship Id="rId94" Type="http://schemas.openxmlformats.org/officeDocument/2006/relationships/hyperlink" Target="https://www.tiktok.com/@phuongoychillthoy" TargetMode="External"/><Relationship Id="rId97" Type="http://schemas.openxmlformats.org/officeDocument/2006/relationships/hyperlink" Target="https://docs.google.com/spreadsheets/d/16OvFx7PrR-T2MT2uGxvOhLg9LXOi0HWql6pSWU7HRfg/edit?gid=317397432" TargetMode="External"/><Relationship Id="rId96" Type="http://schemas.openxmlformats.org/officeDocument/2006/relationships/hyperlink" Target="https://docs.google.com/spreadsheets/d/16OvFx7PrR-T2MT2uGxvOhLg9LXOi0HWql6pSWU7HRfg/edit?gid=317397432" TargetMode="External"/><Relationship Id="rId99" Type="http://schemas.openxmlformats.org/officeDocument/2006/relationships/hyperlink" Target="https://fivestarnearyou.cp.com.vn/?Longtitude=105.48988584829794&amp;Latitude=9.128942686320757" TargetMode="External"/><Relationship Id="rId98" Type="http://schemas.openxmlformats.org/officeDocument/2006/relationships/hyperlink" Target="https://www.tiktok.com/@huynhhongocduc" TargetMode="External"/><Relationship Id="rId91" Type="http://schemas.openxmlformats.org/officeDocument/2006/relationships/hyperlink" Target="https://fivestarnearyou.cp.com.vn/?Longtitude=105.48988584829794&amp;Latitude=9.128942686320757" TargetMode="External"/><Relationship Id="rId90" Type="http://schemas.openxmlformats.org/officeDocument/2006/relationships/hyperlink" Target="https://www.tiktok.com/@zan.riviu?_r=1&amp;_t=ZS-94n3uOkLyE8" TargetMode="External"/><Relationship Id="rId93" Type="http://schemas.openxmlformats.org/officeDocument/2006/relationships/hyperlink" Target="https://docs.google.com/spreadsheets/d/16OvFx7PrR-T2MT2uGxvOhLg9LXOi0HWql6pSWU7HRfg/edit?gid=317397432" TargetMode="External"/><Relationship Id="rId92" Type="http://schemas.openxmlformats.org/officeDocument/2006/relationships/hyperlink" Target="https://docs.google.com/spreadsheets/d/16OvFx7PrR-T2MT2uGxvOhLg9LXOi0HWql6pSWU7HRfg/edit?gid=317397432" TargetMode="External"/><Relationship Id="rId118" Type="http://schemas.openxmlformats.org/officeDocument/2006/relationships/hyperlink" Target="https://www.facebook.com/DiaDiemAnUong" TargetMode="External"/><Relationship Id="rId117" Type="http://schemas.openxmlformats.org/officeDocument/2006/relationships/hyperlink" Target="https://docs.google.com/spreadsheets/d/16OvFx7PrR-T2MT2uGxvOhLg9LXOi0HWql6pSWU7HRfg/edit?gid=317397432" TargetMode="External"/><Relationship Id="rId116" Type="http://schemas.openxmlformats.org/officeDocument/2006/relationships/hyperlink" Target="https://docs.google.com/spreadsheets/d/16OvFx7PrR-T2MT2uGxvOhLg9LXOi0HWql6pSWU7HRfg/edit?gid=317397432" TargetMode="External"/><Relationship Id="rId115" Type="http://schemas.openxmlformats.org/officeDocument/2006/relationships/hyperlink" Target="https://fivestarnearyou.cp.com.vn/?Longtitude=105.48988584829794&amp;Latitude=9.128942686320757" TargetMode="External"/><Relationship Id="rId119" Type="http://schemas.openxmlformats.org/officeDocument/2006/relationships/hyperlink" Target="https://docs.google.com/spreadsheets/d/1G2tMrOxJpcW3osvBoXzc-RPm5XZa-6xKs05LG1czwZ0/edit?gid=1537112938" TargetMode="External"/><Relationship Id="rId110" Type="http://schemas.openxmlformats.org/officeDocument/2006/relationships/hyperlink" Target="https://www.tiktok.com/@duongnhicm" TargetMode="External"/><Relationship Id="rId114" Type="http://schemas.openxmlformats.org/officeDocument/2006/relationships/hyperlink" Target="http://www.tiktok.com/@hachireview74" TargetMode="External"/><Relationship Id="rId113" Type="http://schemas.openxmlformats.org/officeDocument/2006/relationships/hyperlink" Target="https://docs.google.com/spreadsheets/d/16OvFx7PrR-T2MT2uGxvOhLg9LXOi0HWql6pSWU7HRfg/edit?gid=317397432" TargetMode="External"/><Relationship Id="rId112" Type="http://schemas.openxmlformats.org/officeDocument/2006/relationships/hyperlink" Target="https://docs.google.com/spreadsheets/d/16OvFx7PrR-T2MT2uGxvOhLg9LXOi0HWql6pSWU7HRfg/edit?gid=317397432" TargetMode="External"/><Relationship Id="rId111" Type="http://schemas.openxmlformats.org/officeDocument/2006/relationships/hyperlink" Target="https://fivestarnearyou.cp.com.vn/?Longtitude=105.48988584829794&amp;Latitude=9.128942686320757"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ocs.google.com/spreadsheets/d/16OvFx7PrR-T2MT2uGxvOhLg9LXOi0HWql6pSWU7HRfg/edit?gid=1826739190" TargetMode="External"/><Relationship Id="rId42" Type="http://schemas.openxmlformats.org/officeDocument/2006/relationships/hyperlink" Target="https://fivestarnearyou.cp.com.vn/?Longtitude=105.48988584829794&amp;Latitude=9.128942686320757" TargetMode="External"/><Relationship Id="rId41" Type="http://schemas.openxmlformats.org/officeDocument/2006/relationships/hyperlink" Target="https://www.tiktok.com/@dieuphuongne_?_r=1&amp;_t=ZS-92j9nP4c71B" TargetMode="External"/><Relationship Id="rId44" Type="http://schemas.openxmlformats.org/officeDocument/2006/relationships/hyperlink" Target="https://www.tiktok.com/@8vv000?_r=1&amp;_t=ZS-91WI3LmQD6F" TargetMode="External"/><Relationship Id="rId43" Type="http://schemas.openxmlformats.org/officeDocument/2006/relationships/hyperlink" Target="https://docs.google.com/spreadsheets/d/16OvFx7PrR-T2MT2uGxvOhLg9LXOi0HWql6pSWU7HRfg/edit?gid=1826739190" TargetMode="External"/><Relationship Id="rId46" Type="http://schemas.openxmlformats.org/officeDocument/2006/relationships/hyperlink" Target="https://docs.google.com/spreadsheets/d/16OvFx7PrR-T2MT2uGxvOhLg9LXOi0HWql6pSWU7HRfg/edit?gid=1826739190"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fivestarnearyou.cp.com.vn/?Longtitude=105.48988584829794&amp;Latitude=9.128942686320757" TargetMode="External"/><Relationship Id="rId47" Type="http://schemas.openxmlformats.org/officeDocument/2006/relationships/hyperlink" Target="https://www.tiktok.com/@nhamomdiep2770?_t=8offZoBiXg8&amp;_r=1" TargetMode="External"/><Relationship Id="rId49" Type="http://schemas.openxmlformats.org/officeDocument/2006/relationships/hyperlink" Target="https://docs.google.com/spreadsheets/d/16OvFx7PrR-T2MT2uGxvOhLg9LXOi0HWql6pSWU7HRfg/edit?gid=1826739190" TargetMode="External"/><Relationship Id="rId31" Type="http://schemas.openxmlformats.org/officeDocument/2006/relationships/hyperlink" Target="https://docs.google.com/spreadsheets/d/1zp_LaYpWA9sZHsid5iK9uwpUrgqLfDp_I-uIAAKEj48/edit?gid=86066825"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ansaphanoi"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nguyenhimatto" TargetMode="External"/><Relationship Id="rId37" Type="http://schemas.openxmlformats.org/officeDocument/2006/relationships/hyperlink" Target="https://fivestarnearyou.cp.com.vn/?Longtitude=105.48988584829794&amp;Latitude=9.128942686320757" TargetMode="External"/><Relationship Id="rId36" Type="http://schemas.openxmlformats.org/officeDocument/2006/relationships/hyperlink" Target="https://www.tiktok.com/@ninhtito"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nhamay1606" TargetMode="External"/><Relationship Id="rId20" Type="http://schemas.openxmlformats.org/officeDocument/2006/relationships/hyperlink" Target="https://www.tiktok.com/@anngoncungpuu?_t=8caIQvvAxxy&amp;_r=1" TargetMode="External"/><Relationship Id="rId22" Type="http://schemas.openxmlformats.org/officeDocument/2006/relationships/hyperlink" Target="https://docs.google.com/spreadsheets/d/16OvFx7PrR-T2MT2uGxvOhLg9LXOi0HWql6pSWU7HRfg/edit?gid=1826739190"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thon_foodie?lang=vi-VN" TargetMode="External"/><Relationship Id="rId26" Type="http://schemas.openxmlformats.org/officeDocument/2006/relationships/hyperlink" Target="https://www.tiktok.com/@lieten91th" TargetMode="External"/><Relationship Id="rId25" Type="http://schemas.openxmlformats.org/officeDocument/2006/relationships/hyperlink" Target="https://docs.google.com/spreadsheets/d/1G2tMrOxJpcW3osvBoXzc-RPm5XZa-6xKs05LG1czwZ0/edit?gid=0" TargetMode="External"/><Relationship Id="rId28" Type="http://schemas.openxmlformats.org/officeDocument/2006/relationships/hyperlink" Target="https://docs.google.com/spreadsheets/d/1zp_LaYpWA9sZHsid5iK9uwpUrgqLfDp_I-uIAAKEj48/edit?gid=86066825"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www.tiktok.com/@phamtrang.2401" TargetMode="External"/><Relationship Id="rId11" Type="http://schemas.openxmlformats.org/officeDocument/2006/relationships/hyperlink" Target="https://www.tiktok.com/@thubonny"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www.tiktok.com/@nuchuu.0401/video/7598539556157246738" TargetMode="External"/><Relationship Id="rId14" Type="http://schemas.openxmlformats.org/officeDocument/2006/relationships/hyperlink" Target="https://fivestarnearyou.cp.com.vn/?Longtitude=105.48988584829794&amp;Latitude=9.128942686320757" TargetMode="External"/><Relationship Id="rId17" Type="http://schemas.openxmlformats.org/officeDocument/2006/relationships/hyperlink" Target="https://www.tiktok.com/@lenkycungkhoa" TargetMode="External"/><Relationship Id="rId16" Type="http://schemas.openxmlformats.org/officeDocument/2006/relationships/hyperlink" Target="https://docs.google.com/spreadsheets/d/1G2tMrOxJpcW3osvBoXzc-RPm5XZa-6xKs05LG1czwZ0/edit?gid=0" TargetMode="External"/><Relationship Id="rId19" Type="http://schemas.openxmlformats.org/officeDocument/2006/relationships/hyperlink" Target="https://docs.google.com/spreadsheets/d/1G2tMrOxJpcW3osvBoXzc-RPm5XZa-6xKs05LG1czwZ0/edit?gid=0" TargetMode="External"/><Relationship Id="rId18" Type="http://schemas.openxmlformats.org/officeDocument/2006/relationships/hyperlink" Target="https://fivestarnearyou.cp.com.vn/?Longtitude=105.48988584829794&amp;Latitude=9.128942686320757" TargetMode="External"/><Relationship Id="rId84" Type="http://schemas.openxmlformats.org/officeDocument/2006/relationships/hyperlink" Target="https://docs.google.com/spreadsheets/d/16OvFx7PrR-T2MT2uGxvOhLg9LXOi0HWql6pSWU7HRfg/edit?gid=317397432"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s://www.tiktok.com/@minhphuong130595?_r=1&amp;_t=ZS-94ac29NM9v3" TargetMode="External"/><Relationship Id="rId85" Type="http://schemas.openxmlformats.org/officeDocument/2006/relationships/hyperlink" Target="https://docs.google.com/spreadsheets/d/16OvFx7PrR-T2MT2uGxvOhLg9LXOi0HWql6pSWU7HRfg/edit?gid=317397432" TargetMode="External"/><Relationship Id="rId88" Type="http://schemas.openxmlformats.org/officeDocument/2006/relationships/hyperlink" Target="https://docs.google.com/spreadsheets/d/16OvFx7PrR-T2MT2uGxvOhLg9LXOi0HWql6pSWU7HRfg/edit?gid=317397432" TargetMode="External"/><Relationship Id="rId150" Type="http://schemas.openxmlformats.org/officeDocument/2006/relationships/hyperlink" Target="https://www.tiktok.com/@vivusaigon.vn" TargetMode="External"/><Relationship Id="rId87" Type="http://schemas.openxmlformats.org/officeDocument/2006/relationships/hyperlink" Target="https://fivestarnearyou.cp.com.vn/?Longtitude=105.48988584829794&amp;Latitude=9.128942686320757" TargetMode="External"/><Relationship Id="rId89" Type="http://schemas.openxmlformats.org/officeDocument/2006/relationships/hyperlink" Target="https://docs.google.com/spreadsheets/d/16OvFx7PrR-T2MT2uGxvOhLg9LXOi0HWql6pSWU7HRfg/edit?gid=317397432" TargetMode="External"/><Relationship Id="rId80" Type="http://schemas.openxmlformats.org/officeDocument/2006/relationships/hyperlink" Target="https://docs.google.com/spreadsheets/d/16OvFx7PrR-T2MT2uGxvOhLg9LXOi0HWql6pSWU7HRfg/edit?gid=317397432" TargetMode="External"/><Relationship Id="rId82" Type="http://schemas.openxmlformats.org/officeDocument/2006/relationships/hyperlink" Target="https://www.tiktok.com/@nhaembebo2025?_t=ZS-8xFQzvmAh6O&amp;_r=1" TargetMode="External"/><Relationship Id="rId81" Type="http://schemas.openxmlformats.org/officeDocument/2006/relationships/hyperlink" Target="https://docs.google.com/spreadsheets/d/16OvFx7PrR-T2MT2uGxvOhLg9LXOi0HWql6pSWU7HRfg/edit?gid=317397432"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docs.google.com/spreadsheets/d/16OvFx7PrR-T2MT2uGxvOhLg9LXOi0HWql6pSWU7HRfg/edit?gid=1826739190" TargetMode="External"/><Relationship Id="rId149" Type="http://schemas.openxmlformats.org/officeDocument/2006/relationships/hyperlink" Target="https://docs.google.com/spreadsheets/d/1G2tMrOxJpcW3osvBoXzc-RPm5XZa-6xKs05LG1czwZ0/edit?gid=1537112938" TargetMode="External"/><Relationship Id="rId4" Type="http://schemas.openxmlformats.org/officeDocument/2006/relationships/hyperlink" Target="https://www.tiktok.com/@lulureview_" TargetMode="External"/><Relationship Id="rId148" Type="http://schemas.openxmlformats.org/officeDocument/2006/relationships/hyperlink" Target="https://www.tiktok.com/@hanoiangi" TargetMode="External"/><Relationship Id="rId9" Type="http://schemas.openxmlformats.org/officeDocument/2006/relationships/hyperlink" Target="https://www.tiktok.com/@hhuyennhiii" TargetMode="External"/><Relationship Id="rId143" Type="http://schemas.openxmlformats.org/officeDocument/2006/relationships/hyperlink" Target="https://docs.google.com/spreadsheets/d/1G2tMrOxJpcW3osvBoXzc-RPm5XZa-6xKs05LG1czwZ0/edit?gid=1537112938" TargetMode="External"/><Relationship Id="rId142" Type="http://schemas.openxmlformats.org/officeDocument/2006/relationships/hyperlink" Target="https://www.facebook.com/groups/kosodoi" TargetMode="External"/><Relationship Id="rId141" Type="http://schemas.openxmlformats.org/officeDocument/2006/relationships/hyperlink" Target="https://docs.google.com/spreadsheets/d/1G2tMrOxJpcW3osvBoXzc-RPm5XZa-6xKs05LG1czwZ0/edit?gid=1537112938" TargetMode="External"/><Relationship Id="rId140" Type="http://schemas.openxmlformats.org/officeDocument/2006/relationships/hyperlink" Target="https://www.facebook.com/themtivi" TargetMode="External"/><Relationship Id="rId5" Type="http://schemas.openxmlformats.org/officeDocument/2006/relationships/hyperlink" Target="https://fivestarnearyou.cp.com.vn/?Longtitude=105.48988584829794&amp;Latitude=9.128942686320757" TargetMode="External"/><Relationship Id="rId147" Type="http://schemas.openxmlformats.org/officeDocument/2006/relationships/hyperlink" Target="https://docs.google.com/spreadsheets/d/1G2tMrOxJpcW3osvBoXzc-RPm5XZa-6xKs05LG1czwZ0/edit?gid=1537112938" TargetMode="External"/><Relationship Id="rId6" Type="http://schemas.openxmlformats.org/officeDocument/2006/relationships/hyperlink" Target="https://www.tiktok.com/@hellolapday" TargetMode="External"/><Relationship Id="rId146" Type="http://schemas.openxmlformats.org/officeDocument/2006/relationships/hyperlink" Target="https://www.facebook.com/groups/231350177556959/" TargetMode="External"/><Relationship Id="rId7" Type="http://schemas.openxmlformats.org/officeDocument/2006/relationships/hyperlink" Target="https://fivestarnearyou.cp.com.vn/?Longtitude=105.48988584829794&amp;Latitude=9.128942686320757" TargetMode="External"/><Relationship Id="rId145" Type="http://schemas.openxmlformats.org/officeDocument/2006/relationships/hyperlink" Target="https://docs.google.com/spreadsheets/d/1G2tMrOxJpcW3osvBoXzc-RPm5XZa-6xKs05LG1czwZ0/edit?gid=1537112938" TargetMode="External"/><Relationship Id="rId8" Type="http://schemas.openxmlformats.org/officeDocument/2006/relationships/hyperlink" Target="https://docs.google.com/spreadsheets/d/1G2tMrOxJpcW3osvBoXzc-RPm5XZa-6xKs05LG1czwZ0/edit?gid=0" TargetMode="External"/><Relationship Id="rId144" Type="http://schemas.openxmlformats.org/officeDocument/2006/relationships/hyperlink" Target="https://www.facebook.com/groups/gdl.mmsg/" TargetMode="External"/><Relationship Id="rId73" Type="http://schemas.openxmlformats.org/officeDocument/2006/relationships/hyperlink" Target="https://docs.google.com/spreadsheets/d/16OvFx7PrR-T2MT2uGxvOhLg9LXOi0HWql6pSWU7HRfg/edit?gid=317397432" TargetMode="External"/><Relationship Id="rId72" Type="http://schemas.openxmlformats.org/officeDocument/2006/relationships/hyperlink" Target="https://docs.google.com/spreadsheets/d/16OvFx7PrR-T2MT2uGxvOhLg9LXOi0HWql6pSWU7HRfg/edit?gid=317397432" TargetMode="External"/><Relationship Id="rId75" Type="http://schemas.openxmlformats.org/officeDocument/2006/relationships/hyperlink" Target="https://fivestarnearyou.cp.com.vn/?Longtitude=105.48988584829794&amp;Latitude=9.128942686320757" TargetMode="External"/><Relationship Id="rId74" Type="http://schemas.openxmlformats.org/officeDocument/2006/relationships/hyperlink" Target="http://tiktok.com/@vunguyetthu" TargetMode="External"/><Relationship Id="rId77" Type="http://schemas.openxmlformats.org/officeDocument/2006/relationships/hyperlink" Target="https://docs.google.com/spreadsheets/d/16OvFx7PrR-T2MT2uGxvOhLg9LXOi0HWql6pSWU7HRfg/edit?gid=317397432" TargetMode="External"/><Relationship Id="rId76" Type="http://schemas.openxmlformats.org/officeDocument/2006/relationships/hyperlink" Target="https://docs.google.com/spreadsheets/d/16OvFx7PrR-T2MT2uGxvOhLg9LXOi0HWql6pSWU7HRfg/edit?gid=317397432"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duongbaoanh2kk?_r=1&amp;_t=ZS-94n5aTW7D9A" TargetMode="External"/><Relationship Id="rId139" Type="http://schemas.openxmlformats.org/officeDocument/2006/relationships/hyperlink" Target="https://docs.google.com/spreadsheets/d/1G2tMrOxJpcW3osvBoXzc-RPm5XZa-6xKs05LG1czwZ0/edit?gid=1537112938" TargetMode="External"/><Relationship Id="rId138" Type="http://schemas.openxmlformats.org/officeDocument/2006/relationships/hyperlink" Target="https://www.facebook.com/DiaDiemAnUong" TargetMode="External"/><Relationship Id="rId137" Type="http://schemas.openxmlformats.org/officeDocument/2006/relationships/hyperlink" Target="https://docs.google.com/spreadsheets/d/16OvFx7PrR-T2MT2uGxvOhLg9LXOi0HWql6pSWU7HRfg/edit?gid=317397432" TargetMode="External"/><Relationship Id="rId132" Type="http://schemas.openxmlformats.org/officeDocument/2006/relationships/hyperlink" Target="https://docs.google.com/spreadsheets/d/16OvFx7PrR-T2MT2uGxvOhLg9LXOi0HWql6pSWU7HRfg/edit?gid=317397432" TargetMode="External"/><Relationship Id="rId131" Type="http://schemas.openxmlformats.org/officeDocument/2006/relationships/hyperlink" Target="https://fivestarnearyou.cp.com.vn/?Longtitude=105.48988584829794&amp;Latitude=9.128942686320757" TargetMode="External"/><Relationship Id="rId130" Type="http://schemas.openxmlformats.org/officeDocument/2006/relationships/hyperlink" Target="https://www.tiktok.com/@duongnhicm" TargetMode="External"/><Relationship Id="rId136" Type="http://schemas.openxmlformats.org/officeDocument/2006/relationships/hyperlink" Target="https://docs.google.com/spreadsheets/d/16OvFx7PrR-T2MT2uGxvOhLg9LXOi0HWql6pSWU7HRfg/edit?gid=317397432" TargetMode="External"/><Relationship Id="rId135" Type="http://schemas.openxmlformats.org/officeDocument/2006/relationships/hyperlink" Target="https://fivestarnearyou.cp.com.vn/?Longtitude=105.48988584829794&amp;Latitude=9.128942686320757" TargetMode="External"/><Relationship Id="rId134" Type="http://schemas.openxmlformats.org/officeDocument/2006/relationships/hyperlink" Target="http://www.tiktok.com/@hachireview74" TargetMode="External"/><Relationship Id="rId133" Type="http://schemas.openxmlformats.org/officeDocument/2006/relationships/hyperlink" Target="https://docs.google.com/spreadsheets/d/16OvFx7PrR-T2MT2uGxvOhLg9LXOi0HWql6pSWU7HRfg/edit?gid=317397432" TargetMode="External"/><Relationship Id="rId62" Type="http://schemas.openxmlformats.org/officeDocument/2006/relationships/hyperlink" Target="https://fivestarnearyou.cp.com.vn/?Longtitude=105.48988584829794&amp;Latitude=9.128942686320757" TargetMode="External"/><Relationship Id="rId61" Type="http://schemas.openxmlformats.org/officeDocument/2006/relationships/hyperlink" Target="https://www.tiktok.com/@vieinhcm" TargetMode="External"/><Relationship Id="rId64" Type="http://schemas.openxmlformats.org/officeDocument/2006/relationships/hyperlink" Target="https://www.tiktok.com/@hathuto1201?_r=1&amp;_t=ZS-94mvtMPIp3C" TargetMode="External"/><Relationship Id="rId63" Type="http://schemas.openxmlformats.org/officeDocument/2006/relationships/hyperlink" Target="https://docs.google.com/spreadsheets/d/16OvFx7PrR-T2MT2uGxvOhLg9LXOi0HWql6pSWU7HRfg/edit?gid=1826739190" TargetMode="External"/><Relationship Id="rId66" Type="http://schemas.openxmlformats.org/officeDocument/2006/relationships/hyperlink" Target="https://docs.google.com/spreadsheets/d/16OvFx7PrR-T2MT2uGxvOhLg9LXOi0HWql6pSWU7HRfg/edit?gid=1826739190" TargetMode="External"/><Relationship Id="rId65" Type="http://schemas.openxmlformats.org/officeDocument/2006/relationships/hyperlink" Target="https://fivestarnearyou.cp.com.vn/?Longtitude=105.48988584829794&amp;Latitude=9.128942686320757" TargetMode="External"/><Relationship Id="rId68" Type="http://schemas.openxmlformats.org/officeDocument/2006/relationships/hyperlink" Target="https://fivestarnearyou.cp.com.vn/?Longtitude=105.48988584829794&amp;Latitude=9.128942686320757" TargetMode="External"/><Relationship Id="rId67" Type="http://schemas.openxmlformats.org/officeDocument/2006/relationships/hyperlink" Target="https://www.tiktok.com/@phuocdidaudo?lang=vi-VN"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docs.google.com/spreadsheets/d/1G2tMrOxJpcW3osvBoXzc-RPm5XZa-6xKs05LG1czwZ0/edit?gid=0"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chucaofood?_t=8oLaNxaWT8E&amp;_r=1" TargetMode="External"/><Relationship Id="rId53" Type="http://schemas.openxmlformats.org/officeDocument/2006/relationships/hyperlink" Target="https://www.tiktok.com/@hi.an.ne" TargetMode="External"/><Relationship Id="rId52" Type="http://schemas.openxmlformats.org/officeDocument/2006/relationships/hyperlink" Target="https://docs.google.com/spreadsheets/d/16OvFx7PrR-T2MT2uGxvOhLg9LXOi0HWql6pSWU7HRfg/edit?gid=1826739190" TargetMode="External"/><Relationship Id="rId55" Type="http://schemas.openxmlformats.org/officeDocument/2006/relationships/hyperlink" Target="https://docs.google.com/spreadsheets/d/16OvFx7PrR-T2MT2uGxvOhLg9LXOi0HWql6pSWU7HRfg/edit?gid=1826739190" TargetMode="External"/><Relationship Id="rId54" Type="http://schemas.openxmlformats.org/officeDocument/2006/relationships/hyperlink" Target="https://fivestarnearyou.cp.com.vn/?Longtitude=105.48988584829794&amp;Latitude=9.128942686320757"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vuvicungyuhi" TargetMode="External"/><Relationship Id="rId59" Type="http://schemas.openxmlformats.org/officeDocument/2006/relationships/hyperlink" Target="https://www.tiktok.com/@koinamang" TargetMode="External"/><Relationship Id="rId154" Type="http://schemas.openxmlformats.org/officeDocument/2006/relationships/hyperlink" Target="https://www.tiktok.com/@mienmanhanoi" TargetMode="External"/><Relationship Id="rId58" Type="http://schemas.openxmlformats.org/officeDocument/2006/relationships/hyperlink" Target="https://docs.google.com/spreadsheets/d/1zp_LaYpWA9sZHsid5iK9uwpUrgqLfDp_I-uIAAKEj48/edit?gid=86066825" TargetMode="External"/><Relationship Id="rId153" Type="http://schemas.openxmlformats.org/officeDocument/2006/relationships/hyperlink" Target="https://www.tiktok.com/@saigonmap" TargetMode="External"/><Relationship Id="rId152" Type="http://schemas.openxmlformats.org/officeDocument/2006/relationships/hyperlink" Target="https://docs.google.com/spreadsheets/d/1G2tMrOxJpcW3osvBoXzc-RPm5XZa-6xKs05LG1czwZ0/edit?gid=1537112938" TargetMode="External"/><Relationship Id="rId151" Type="http://schemas.openxmlformats.org/officeDocument/2006/relationships/hyperlink" Target="https://www.tiktok.com/@thongdongdoday?_r=1&amp;_t=ZS-94NJFKrtS9V" TargetMode="External"/><Relationship Id="rId156" Type="http://schemas.openxmlformats.org/officeDocument/2006/relationships/drawing" Target="../drawings/drawing14.xml"/><Relationship Id="rId155" Type="http://schemas.openxmlformats.org/officeDocument/2006/relationships/hyperlink" Target="https://docs.google.com/spreadsheets/d/1G2tMrOxJpcW3osvBoXzc-RPm5XZa-6xKs05LG1czwZ0/edit?gid=1537112938" TargetMode="External"/><Relationship Id="rId107" Type="http://schemas.openxmlformats.org/officeDocument/2006/relationships/hyperlink" Target="https://fivestarnearyou.cp.com.vn/?Longtitude=105.48988584829794&amp;Latitude=9.128942686320757" TargetMode="External"/><Relationship Id="rId106" Type="http://schemas.openxmlformats.org/officeDocument/2006/relationships/hyperlink" Target="https://www.tiktok.com/@thanhhuongrv" TargetMode="External"/><Relationship Id="rId105" Type="http://schemas.openxmlformats.org/officeDocument/2006/relationships/hyperlink" Target="https://docs.google.com/spreadsheets/d/16OvFx7PrR-T2MT2uGxvOhLg9LXOi0HWql6pSWU7HRfg/edit?gid=317397432" TargetMode="External"/><Relationship Id="rId104" Type="http://schemas.openxmlformats.org/officeDocument/2006/relationships/hyperlink" Target="https://docs.google.com/spreadsheets/d/16OvFx7PrR-T2MT2uGxvOhLg9LXOi0HWql6pSWU7HRfg/edit?gid=317397432" TargetMode="External"/><Relationship Id="rId109" Type="http://schemas.openxmlformats.org/officeDocument/2006/relationships/hyperlink" Target="https://docs.google.com/spreadsheets/d/16OvFx7PrR-T2MT2uGxvOhLg9LXOi0HWql6pSWU7HRfg/edit?gid=317397432" TargetMode="External"/><Relationship Id="rId108" Type="http://schemas.openxmlformats.org/officeDocument/2006/relationships/hyperlink" Target="https://docs.google.com/spreadsheets/d/16OvFx7PrR-T2MT2uGxvOhLg9LXOi0HWql6pSWU7HRfg/edit?gid=317397432" TargetMode="External"/><Relationship Id="rId103" Type="http://schemas.openxmlformats.org/officeDocument/2006/relationships/hyperlink" Target="https://fivestarnearyou.cp.com.vn/?Longtitude=105.48988584829794&amp;Latitude=9.128942686320757" TargetMode="External"/><Relationship Id="rId102" Type="http://schemas.openxmlformats.org/officeDocument/2006/relationships/hyperlink" Target="https://www.tiktok.com/@tranngocyen230" TargetMode="External"/><Relationship Id="rId101" Type="http://schemas.openxmlformats.org/officeDocument/2006/relationships/hyperlink" Target="https://docs.google.com/spreadsheets/d/1zp_LaYpWA9sZHsid5iK9uwpUrgqLfDp_I-uIAAKEj48/edit?gid=86066825" TargetMode="External"/><Relationship Id="rId100" Type="http://schemas.openxmlformats.org/officeDocument/2006/relationships/hyperlink" Target="https://fivestarnearyou.cp.com.vn/?Longtitude=105.48988584829794&amp;Latitude=9.128942686320757" TargetMode="External"/><Relationship Id="rId129" Type="http://schemas.openxmlformats.org/officeDocument/2006/relationships/hyperlink" Target="https://docs.google.com/spreadsheets/d/16OvFx7PrR-T2MT2uGxvOhLg9LXOi0HWql6pSWU7HRfg/edit?gid=317397432" TargetMode="External"/><Relationship Id="rId128" Type="http://schemas.openxmlformats.org/officeDocument/2006/relationships/hyperlink" Target="https://docs.google.com/spreadsheets/d/16OvFx7PrR-T2MT2uGxvOhLg9LXOi0HWql6pSWU7HRfg/edit?gid=317397432" TargetMode="External"/><Relationship Id="rId127" Type="http://schemas.openxmlformats.org/officeDocument/2006/relationships/hyperlink" Target="https://fivestarnearyou.cp.com.vn/?Longtitude=105.48988584829794&amp;Latitude=9.128942686320757" TargetMode="External"/><Relationship Id="rId126" Type="http://schemas.openxmlformats.org/officeDocument/2006/relationships/hyperlink" Target="https://www.tiktok.com/@meshushi121" TargetMode="External"/><Relationship Id="rId121" Type="http://schemas.openxmlformats.org/officeDocument/2006/relationships/hyperlink" Target="https://docs.google.com/spreadsheets/d/16OvFx7PrR-T2MT2uGxvOhLg9LXOi0HWql6pSWU7HRfg/edit?gid=317397432" TargetMode="External"/><Relationship Id="rId120" Type="http://schemas.openxmlformats.org/officeDocument/2006/relationships/hyperlink" Target="https://docs.google.com/spreadsheets/d/16OvFx7PrR-T2MT2uGxvOhLg9LXOi0HWql6pSWU7HRfg/edit?gid=317397432" TargetMode="External"/><Relationship Id="rId125" Type="http://schemas.openxmlformats.org/officeDocument/2006/relationships/hyperlink" Target="https://docs.google.com/spreadsheets/d/16OvFx7PrR-T2MT2uGxvOhLg9LXOi0HWql6pSWU7HRfg/edit?gid=317397432" TargetMode="External"/><Relationship Id="rId124" Type="http://schemas.openxmlformats.org/officeDocument/2006/relationships/hyperlink" Target="https://docs.google.com/spreadsheets/d/16OvFx7PrR-T2MT2uGxvOhLg9LXOi0HWql6pSWU7HRfg/edit?gid=317397432" TargetMode="External"/><Relationship Id="rId123" Type="http://schemas.openxmlformats.org/officeDocument/2006/relationships/hyperlink" Target="https://fivestarnearyou.cp.com.vn/?Longtitude=105.48988584829794&amp;Latitude=9.128942686320757" TargetMode="External"/><Relationship Id="rId122" Type="http://schemas.openxmlformats.org/officeDocument/2006/relationships/hyperlink" Target="http://www.tiktok.com/@lysambonreview" TargetMode="External"/><Relationship Id="rId95" Type="http://schemas.openxmlformats.org/officeDocument/2006/relationships/hyperlink" Target="https://docs.google.com/spreadsheets/d/1zp_LaYpWA9sZHsid5iK9uwpUrgqLfDp_I-uIAAKEj48/edit?gid=86066825" TargetMode="External"/><Relationship Id="rId94" Type="http://schemas.openxmlformats.org/officeDocument/2006/relationships/hyperlink" Target="https://fivestarnearyou.cp.com.vn/?Longtitude=105.48988584829794&amp;Latitude=9.128942686320757" TargetMode="External"/><Relationship Id="rId97" Type="http://schemas.openxmlformats.org/officeDocument/2006/relationships/hyperlink" Target="https://fivestarnearyou.cp.com.vn/?Longtitude=105.48988584829794&amp;Latitude=9.128942686320757" TargetMode="External"/><Relationship Id="rId96" Type="http://schemas.openxmlformats.org/officeDocument/2006/relationships/hyperlink" Target="https://www.tiktok.com/@ahthunek_" TargetMode="External"/><Relationship Id="rId99" Type="http://schemas.openxmlformats.org/officeDocument/2006/relationships/hyperlink" Target="https://www.tiktok.com/@tuanfoodkhongphet" TargetMode="External"/><Relationship Id="rId98" Type="http://schemas.openxmlformats.org/officeDocument/2006/relationships/hyperlink" Target="https://docs.google.com/spreadsheets/d/1zp_LaYpWA9sZHsid5iK9uwpUrgqLfDp_I-uIAAKEj48/edit?gid=86066825" TargetMode="External"/><Relationship Id="rId91" Type="http://schemas.openxmlformats.org/officeDocument/2006/relationships/hyperlink" Target="https://fivestarnearyou.cp.com.vn/?Longtitude=105.48988584829794&amp;Latitude=9.128942686320757" TargetMode="External"/><Relationship Id="rId90" Type="http://schemas.openxmlformats.org/officeDocument/2006/relationships/hyperlink" Target="https://www.tiktok.com/@emhuyendoimeomeo" TargetMode="External"/><Relationship Id="rId93" Type="http://schemas.openxmlformats.org/officeDocument/2006/relationships/hyperlink" Target="https://www.tiktok.com/@ng.hamii" TargetMode="External"/><Relationship Id="rId92" Type="http://schemas.openxmlformats.org/officeDocument/2006/relationships/hyperlink" Target="https://docs.google.com/spreadsheets/d/1zp_LaYpWA9sZHsid5iK9uwpUrgqLfDp_I-uIAAKEj48/edit?gid=86066825" TargetMode="External"/><Relationship Id="rId118" Type="http://schemas.openxmlformats.org/officeDocument/2006/relationships/hyperlink" Target="https://www.tiktok.com/@huynhhongocduc" TargetMode="External"/><Relationship Id="rId117" Type="http://schemas.openxmlformats.org/officeDocument/2006/relationships/hyperlink" Target="https://docs.google.com/spreadsheets/d/16OvFx7PrR-T2MT2uGxvOhLg9LXOi0HWql6pSWU7HRfg/edit?gid=317397432" TargetMode="External"/><Relationship Id="rId116" Type="http://schemas.openxmlformats.org/officeDocument/2006/relationships/hyperlink" Target="https://docs.google.com/spreadsheets/d/16OvFx7PrR-T2MT2uGxvOhLg9LXOi0HWql6pSWU7HRfg/edit?gid=317397432" TargetMode="External"/><Relationship Id="rId115" Type="http://schemas.openxmlformats.org/officeDocument/2006/relationships/hyperlink" Target="https://fivestarnearyou.cp.com.vn/?Longtitude=105.48988584829794&amp;Latitude=9.128942686320757" TargetMode="External"/><Relationship Id="rId119" Type="http://schemas.openxmlformats.org/officeDocument/2006/relationships/hyperlink" Target="https://fivestarnearyou.cp.com.vn/?Longtitude=105.48988584829794&amp;Latitude=9.128942686320757" TargetMode="External"/><Relationship Id="rId110" Type="http://schemas.openxmlformats.org/officeDocument/2006/relationships/hyperlink" Target="https://www.tiktok.com/@zan.riviu?_r=1&amp;_t=ZS-94n3uOkLyE8" TargetMode="External"/><Relationship Id="rId114" Type="http://schemas.openxmlformats.org/officeDocument/2006/relationships/hyperlink" Target="https://www.tiktok.com/@phuongoychillthoy" TargetMode="External"/><Relationship Id="rId113" Type="http://schemas.openxmlformats.org/officeDocument/2006/relationships/hyperlink" Target="https://docs.google.com/spreadsheets/d/16OvFx7PrR-T2MT2uGxvOhLg9LXOi0HWql6pSWU7HRfg/edit?gid=317397432" TargetMode="External"/><Relationship Id="rId112" Type="http://schemas.openxmlformats.org/officeDocument/2006/relationships/hyperlink" Target="https://docs.google.com/spreadsheets/d/16OvFx7PrR-T2MT2uGxvOhLg9LXOi0HWql6pSWU7HRfg/edit?gid=317397432" TargetMode="External"/><Relationship Id="rId111" Type="http://schemas.openxmlformats.org/officeDocument/2006/relationships/hyperlink" Target="https://fivestarnearyou.cp.com.vn/?Longtitude=105.48988584829794&amp;Latitude=9.128942686320757"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tiktok.com/@hi.an.ne" TargetMode="External"/><Relationship Id="rId42" Type="http://schemas.openxmlformats.org/officeDocument/2006/relationships/hyperlink" Target="https://www.tiktok.com/@vuvicungyuhi"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www.tiktok.com/@koinamang" TargetMode="External"/><Relationship Id="rId43" Type="http://schemas.openxmlformats.org/officeDocument/2006/relationships/hyperlink" Target="https://fivestarnearyou.cp.com.vn/?Longtitude=105.48988584829794&amp;Latitude=9.128942686320757" TargetMode="External"/><Relationship Id="rId46" Type="http://schemas.openxmlformats.org/officeDocument/2006/relationships/hyperlink" Target="https://www.tiktok.com/@vieinhcm"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www.tiktok.com/@hathuto1201?_r=1&amp;_t=ZS-94mvtMPIp3C"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fivestarnearyou.cp.com.vn/?Longtitude=105.48988584829794&amp;Latitude=9.128942686320757" TargetMode="External"/><Relationship Id="rId31" Type="http://schemas.openxmlformats.org/officeDocument/2006/relationships/hyperlink" Target="https://fivestarnearyou.cp.com.vn/?Longtitude=105.48988584829794&amp;Latitude=9.128942686320757" TargetMode="External"/><Relationship Id="rId30" Type="http://schemas.openxmlformats.org/officeDocument/2006/relationships/hyperlink" Target="https://www.tiktok.com/@nhamay1606"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dieuphuongne_?_r=1&amp;_t=ZS-92j9nP4c71B"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8vv000?_r=1&amp;_t=ZS-91WI3LmQD6F" TargetMode="External"/><Relationship Id="rId37" Type="http://schemas.openxmlformats.org/officeDocument/2006/relationships/hyperlink" Target="https://fivestarnearyou.cp.com.vn/?Longtitude=105.48988584829794&amp;Latitude=9.128942686320757" TargetMode="External"/><Relationship Id="rId36" Type="http://schemas.openxmlformats.org/officeDocument/2006/relationships/hyperlink" Target="https://www.tiktok.com/@nhamomdiep2770?_t=8offZoBiXg8&amp;_r=1"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chucaofood?_t=8oLaNxaWT8E&amp;_r=1" TargetMode="External"/><Relationship Id="rId20" Type="http://schemas.openxmlformats.org/officeDocument/2006/relationships/hyperlink" Target="https://www.tiktok.com/@lieten91th" TargetMode="External"/><Relationship Id="rId22" Type="http://schemas.openxmlformats.org/officeDocument/2006/relationships/hyperlink" Target="https://www.tiktok.com/@phamtrang.2401"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www.tiktok.com/@ansaphanoi" TargetMode="External"/><Relationship Id="rId23" Type="http://schemas.openxmlformats.org/officeDocument/2006/relationships/hyperlink" Target="https://fivestarnearyou.cp.com.vn/?Longtitude=105.48988584829794&amp;Latitude=9.128942686320757" TargetMode="External"/><Relationship Id="rId26" Type="http://schemas.openxmlformats.org/officeDocument/2006/relationships/hyperlink" Target="https://www.tiktok.com/@nguyenhimatto" TargetMode="External"/><Relationship Id="rId25" Type="http://schemas.openxmlformats.org/officeDocument/2006/relationships/hyperlink" Target="https://fivestarnearyou.cp.com.vn/?Longtitude=105.48988584829794&amp;Latitude=9.128942686320757" TargetMode="External"/><Relationship Id="rId28" Type="http://schemas.openxmlformats.org/officeDocument/2006/relationships/hyperlink" Target="https://www.tiktok.com/@ninhtito"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www.tiktok.com/@nuchuu.0401"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video/7598539556157246738"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lenkycungkhoa"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anngoncungpuu?_t=8caIQvvAxxy&amp;_r=1" TargetMode="External"/><Relationship Id="rId19" Type="http://schemas.openxmlformats.org/officeDocument/2006/relationships/hyperlink" Target="https://fivestarnearyou.cp.com.vn/?Longtitude=105.48988584829794&amp;Latitude=9.128942686320757" TargetMode="External"/><Relationship Id="rId18" Type="http://schemas.openxmlformats.org/officeDocument/2006/relationships/hyperlink" Target="https://www.tiktok.com/@thon_foodie?lang=vi-VN" TargetMode="External"/><Relationship Id="rId84" Type="http://schemas.openxmlformats.org/officeDocument/2006/relationships/hyperlink" Target="https://www.tiktok.com/@duongnhicm" TargetMode="External"/><Relationship Id="rId83" Type="http://schemas.openxmlformats.org/officeDocument/2006/relationships/hyperlink" Target="https://fivestarnearyou.cp.com.vn/?Longtitude=105.48988584829794&amp;Latitude=9.128942686320757" TargetMode="External"/><Relationship Id="rId86" Type="http://schemas.openxmlformats.org/officeDocument/2006/relationships/hyperlink" Target="http://www.tiktok.com/@hachireview74" TargetMode="External"/><Relationship Id="rId85" Type="http://schemas.openxmlformats.org/officeDocument/2006/relationships/hyperlink" Target="https://fivestarnearyou.cp.com.vn/?Longtitude=105.48988584829794&amp;Latitude=9.128942686320757" TargetMode="External"/><Relationship Id="rId88" Type="http://schemas.openxmlformats.org/officeDocument/2006/relationships/hyperlink" Target="https://www.facebook.com/DiaDiemAnUong" TargetMode="External"/><Relationship Id="rId87" Type="http://schemas.openxmlformats.org/officeDocument/2006/relationships/hyperlink" Target="https://fivestarnearyou.cp.com.vn/?Longtitude=105.48988584829794&amp;Latitude=9.128942686320757" TargetMode="External"/><Relationship Id="rId89" Type="http://schemas.openxmlformats.org/officeDocument/2006/relationships/hyperlink" Target="https://www.facebook.com/themtivi" TargetMode="External"/><Relationship Id="rId80" Type="http://schemas.openxmlformats.org/officeDocument/2006/relationships/hyperlink" Target="http://www.tiktok.com/@lysambonreview" TargetMode="External"/><Relationship Id="rId82" Type="http://schemas.openxmlformats.org/officeDocument/2006/relationships/hyperlink" Target="https://www.tiktok.com/@meshushi121" TargetMode="External"/><Relationship Id="rId81" Type="http://schemas.openxmlformats.org/officeDocument/2006/relationships/hyperlink" Target="https://fivestarnearyou.cp.com.vn/?Longtitude=105.48988584829794&amp;Latitude=9.128942686320757"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www.tiktok.com/@lulureview_" TargetMode="External"/><Relationship Id="rId4" Type="http://schemas.openxmlformats.org/officeDocument/2006/relationships/hyperlink" Target="https://fivestarnearyou.cp.com.vn/?Longtitude=105.48988584829794&amp;Latitude=9.128942686320757" TargetMode="External"/><Relationship Id="rId9" Type="http://schemas.openxmlformats.org/officeDocument/2006/relationships/hyperlink" Target="https://www.tiktok.com/@thubonny" TargetMode="External"/><Relationship Id="rId5" Type="http://schemas.openxmlformats.org/officeDocument/2006/relationships/hyperlink" Target="https://www.tiktok.com/@hellolapday"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www.tiktok.com/@hhuyennhiii" TargetMode="External"/><Relationship Id="rId8"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fivestarnearyou.cp.com.vn/?Longtitude=105.48988584829794&amp;Latitude=9.128942686320757" TargetMode="External"/><Relationship Id="rId72" Type="http://schemas.openxmlformats.org/officeDocument/2006/relationships/hyperlink" Target="https://www.tiktok.com/@thanhhuongrv" TargetMode="External"/><Relationship Id="rId75" Type="http://schemas.openxmlformats.org/officeDocument/2006/relationships/hyperlink" Target="https://fivestarnearyou.cp.com.vn/?Longtitude=105.48988584829794&amp;Latitude=9.128942686320757" TargetMode="External"/><Relationship Id="rId74" Type="http://schemas.openxmlformats.org/officeDocument/2006/relationships/hyperlink" Target="https://www.tiktok.com/@zan.riviu?_r=1&amp;_t=ZS-94n3uOkLyE8" TargetMode="External"/><Relationship Id="rId77" Type="http://schemas.openxmlformats.org/officeDocument/2006/relationships/hyperlink" Target="https://fivestarnearyou.cp.com.vn/?Longtitude=105.48988584829794&amp;Latitude=9.128942686320757" TargetMode="External"/><Relationship Id="rId76" Type="http://schemas.openxmlformats.org/officeDocument/2006/relationships/hyperlink" Target="https://www.tiktok.com/@phuongoychillthoy" TargetMode="External"/><Relationship Id="rId79" Type="http://schemas.openxmlformats.org/officeDocument/2006/relationships/hyperlink" Target="https://fivestarnearyou.cp.com.vn/?Longtitude=105.48988584829794&amp;Latitude=9.128942686320757" TargetMode="External"/><Relationship Id="rId78" Type="http://schemas.openxmlformats.org/officeDocument/2006/relationships/hyperlink" Target="https://www.tiktok.com/@huynhhongocduc" TargetMode="External"/><Relationship Id="rId71" Type="http://schemas.openxmlformats.org/officeDocument/2006/relationships/hyperlink" Target="https://fivestarnearyou.cp.com.vn/?Longtitude=105.48988584829794&amp;Latitude=9.128942686320757" TargetMode="External"/><Relationship Id="rId70" Type="http://schemas.openxmlformats.org/officeDocument/2006/relationships/hyperlink" Target="https://www.tiktok.com/@tranngocyen230" TargetMode="External"/><Relationship Id="rId62" Type="http://schemas.openxmlformats.org/officeDocument/2006/relationships/hyperlink" Target="https://www.tiktok.com/@emhuyendoimeomeo" TargetMode="External"/><Relationship Id="rId61" Type="http://schemas.openxmlformats.org/officeDocument/2006/relationships/hyperlink" Target="https://fivestarnearyou.cp.com.vn/?Longtitude=105.48988584829794&amp;Latitude=9.128942686320757" TargetMode="External"/><Relationship Id="rId64" Type="http://schemas.openxmlformats.org/officeDocument/2006/relationships/hyperlink" Target="https://www.tiktok.com/@ng.hamii"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www.tiktok.com/@ahthunek_" TargetMode="External"/><Relationship Id="rId65" Type="http://schemas.openxmlformats.org/officeDocument/2006/relationships/hyperlink" Target="https://fivestarnearyou.cp.com.vn/?Longtitude=105.48988584829794&amp;Latitude=9.128942686320757" TargetMode="External"/><Relationship Id="rId68" Type="http://schemas.openxmlformats.org/officeDocument/2006/relationships/hyperlink" Target="https://www.tiktok.com/@tuanfoodkhongphet"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www.tiktok.com/@minhphuong130595?_r=1&amp;_t=ZS-94ac29NM9v3" TargetMode="External"/><Relationship Id="rId69" Type="http://schemas.openxmlformats.org/officeDocument/2006/relationships/hyperlink" Target="https://fivestarnearyou.cp.com.vn/?Longtitude=105.48988584829794&amp;Latitude=9.128942686320757"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phuocdidaudo?lang=vi-VN"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duongbaoanh2kk?_r=1&amp;_t=ZS-94n5aTW7D9A" TargetMode="External"/><Relationship Id="rId55" Type="http://schemas.openxmlformats.org/officeDocument/2006/relationships/hyperlink" Target="https://fivestarnearyou.cp.com.vn/?Longtitude=105.48988584829794&amp;Latitude=9.128942686320757" TargetMode="External"/><Relationship Id="rId54" Type="http://schemas.openxmlformats.org/officeDocument/2006/relationships/hyperlink" Target="http://tiktok.com/@vunguyetthu"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s://www.tiktok.com/@nhaembebo2025?_t=ZS-8xFQzvmAh6O&amp;_r=1" TargetMode="External"/><Relationship Id="rId95" Type="http://schemas.openxmlformats.org/officeDocument/2006/relationships/hyperlink" Target="https://www.tiktok.com/@thongdongdoday?_r=1&amp;_t=ZS-94NJFKrtS9V" TargetMode="External"/><Relationship Id="rId94" Type="http://schemas.openxmlformats.org/officeDocument/2006/relationships/hyperlink" Target="https://www.tiktok.com/@vivusaigon.vn" TargetMode="External"/><Relationship Id="rId97" Type="http://schemas.openxmlformats.org/officeDocument/2006/relationships/hyperlink" Target="https://www.tiktok.com/@mienmanhanoi" TargetMode="External"/><Relationship Id="rId96" Type="http://schemas.openxmlformats.org/officeDocument/2006/relationships/hyperlink" Target="https://www.tiktok.com/@saigonmap" TargetMode="External"/><Relationship Id="rId98" Type="http://schemas.openxmlformats.org/officeDocument/2006/relationships/drawing" Target="../drawings/drawing15.xml"/><Relationship Id="rId91" Type="http://schemas.openxmlformats.org/officeDocument/2006/relationships/hyperlink" Target="https://www.facebook.com/groups/gdl.mmsg/" TargetMode="External"/><Relationship Id="rId90" Type="http://schemas.openxmlformats.org/officeDocument/2006/relationships/hyperlink" Target="https://www.facebook.com/groups/kosodoi" TargetMode="External"/><Relationship Id="rId93" Type="http://schemas.openxmlformats.org/officeDocument/2006/relationships/hyperlink" Target="https://www.tiktok.com/@hanoiangi" TargetMode="External"/><Relationship Id="rId92" Type="http://schemas.openxmlformats.org/officeDocument/2006/relationships/hyperlink" Target="https://www.facebook.com/groups/231350177556959/"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www.tiktok.com/@lieten91th" TargetMode="External"/><Relationship Id="rId10" Type="http://schemas.openxmlformats.org/officeDocument/2006/relationships/hyperlink" Target="https://www.tiktok.com/@ahthunek_" TargetMode="External"/><Relationship Id="rId13" Type="http://schemas.openxmlformats.org/officeDocument/2006/relationships/hyperlink" Target="https://www.tiktok.com/@nguyenhimatto" TargetMode="External"/><Relationship Id="rId12" Type="http://schemas.openxmlformats.org/officeDocument/2006/relationships/hyperlink" Target="https://web.facebook.com/profile.php?id=100063594278905&amp;sk=reels_tab" TargetMode="External"/><Relationship Id="rId14" Type="http://schemas.openxmlformats.org/officeDocument/2006/relationships/drawing" Target="../drawings/drawing16.xml"/><Relationship Id="rId1" Type="http://schemas.openxmlformats.org/officeDocument/2006/relationships/hyperlink" Target="https://www.tiktok.com/@ninhtito" TargetMode="External"/><Relationship Id="rId2" Type="http://schemas.openxmlformats.org/officeDocument/2006/relationships/hyperlink" Target="https://www.tiktok.com/@emhuyendoimeomeo" TargetMode="External"/><Relationship Id="rId3" Type="http://schemas.openxmlformats.org/officeDocument/2006/relationships/hyperlink" Target="https://www.tiktok.com/@ng.hamii" TargetMode="External"/><Relationship Id="rId4" Type="http://schemas.openxmlformats.org/officeDocument/2006/relationships/hyperlink" Target="https://www.tiktok.com/@phamtrang.2401" TargetMode="External"/><Relationship Id="rId9" Type="http://schemas.openxmlformats.org/officeDocument/2006/relationships/hyperlink" Target="https://www.tiktok.com/@koinamang" TargetMode="External"/><Relationship Id="rId5" Type="http://schemas.openxmlformats.org/officeDocument/2006/relationships/hyperlink" Target="https://www.tiktok.com/@tuanfoodkhongphet" TargetMode="External"/><Relationship Id="rId6" Type="http://schemas.openxmlformats.org/officeDocument/2006/relationships/hyperlink" Target="https://www.tiktok.com/@ansaphanoi" TargetMode="External"/><Relationship Id="rId7" Type="http://schemas.openxmlformats.org/officeDocument/2006/relationships/hyperlink" Target="https://www.tiktok.com/@vuvicungyuhi?_r=1&amp;_t=ZS-950bAQDDtXJ" TargetMode="External"/><Relationship Id="rId8" Type="http://schemas.openxmlformats.org/officeDocument/2006/relationships/hyperlink" Target="https://www.tiktok.com/@vuvicungyuhi"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tiktok.com/@phuocdidaudo?lang=vi-VN" TargetMode="External"/><Relationship Id="rId42" Type="http://schemas.openxmlformats.org/officeDocument/2006/relationships/hyperlink" Target="https://www.tiktok.com/@duongbaoanh2kk?_r=1&amp;_t=ZS-94n5aTW7D9A"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tiktok.com/@vunguyetthu" TargetMode="External"/><Relationship Id="rId43" Type="http://schemas.openxmlformats.org/officeDocument/2006/relationships/hyperlink" Target="https://fivestarnearyou.cp.com.vn/?Longtitude=105.48988584829794&amp;Latitude=9.128942686320757" TargetMode="External"/><Relationship Id="rId46"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www.tiktok.com/@nhaembebo2025?_t=ZS-8xFQzvmAh6O&amp;_r=1"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fivestarnearyou.cp.com.vn/?Longtitude=105.48988584829794&amp;Latitude=9.128942686320757" TargetMode="External"/><Relationship Id="rId31" Type="http://schemas.openxmlformats.org/officeDocument/2006/relationships/hyperlink" Target="https://fivestarnearyou.cp.com.vn/?Longtitude=105.48988584829794&amp;Latitude=9.128942686320757" TargetMode="External"/><Relationship Id="rId30" Type="http://schemas.openxmlformats.org/officeDocument/2006/relationships/hyperlink" Target="https://www.tiktok.com/@chucaofood?_t=8oLaNxaWT8E&amp;_r=1"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hi.an.ne"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emhuyendoimeomeo" TargetMode="External"/><Relationship Id="rId37" Type="http://schemas.openxmlformats.org/officeDocument/2006/relationships/hyperlink" Target="https://fivestarnearyou.cp.com.vn/?Longtitude=105.48988584829794&amp;Latitude=9.128942686320757" TargetMode="External"/><Relationship Id="rId36" Type="http://schemas.openxmlformats.org/officeDocument/2006/relationships/hyperlink" Target="https://www.tiktok.com/@vieinhcm"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hathuto1201?_r=1&amp;_t=ZS-94mvtMPIp3C" TargetMode="External"/><Relationship Id="rId20" Type="http://schemas.openxmlformats.org/officeDocument/2006/relationships/hyperlink" Target="https://www.tiktok.com/@nhacuaanvymeo" TargetMode="External"/><Relationship Id="rId22" Type="http://schemas.openxmlformats.org/officeDocument/2006/relationships/hyperlink" Target="https://www.tiktok.com/@nhamay1606"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www.tiktok.com/@dieuphuongne_?_r=1&amp;_t=ZS-92j9nP4c71B" TargetMode="External"/><Relationship Id="rId23" Type="http://schemas.openxmlformats.org/officeDocument/2006/relationships/hyperlink" Target="https://fivestarnearyou.cp.com.vn/?Longtitude=105.48988584829794&amp;Latitude=9.128942686320757" TargetMode="External"/><Relationship Id="rId26" Type="http://schemas.openxmlformats.org/officeDocument/2006/relationships/hyperlink" Target="https://www.tiktok.com/@8vv000?_r=1&amp;_t=ZS-91WI3LmQD6F" TargetMode="External"/><Relationship Id="rId25" Type="http://schemas.openxmlformats.org/officeDocument/2006/relationships/hyperlink" Target="https://fivestarnearyou.cp.com.vn/?Longtitude=105.48988584829794&amp;Latitude=9.128942686320757" TargetMode="External"/><Relationship Id="rId28" Type="http://schemas.openxmlformats.org/officeDocument/2006/relationships/hyperlink" Target="https://www.tiktok.com/@nhamomdiep2770?_t=8offZoBiXg8&amp;_r=1"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www.tiktok.com/@nuchuu.0401"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video/7598539556157246738"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lenkycungkhoa"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anngoncungpuu?_t=8caIQvvAxxy&amp;_r=1" TargetMode="External"/><Relationship Id="rId19" Type="http://schemas.openxmlformats.org/officeDocument/2006/relationships/hyperlink" Target="https://fivestarnearyou.cp.com.vn/?Longtitude=105.48988584829794&amp;Latitude=9.128942686320757" TargetMode="External"/><Relationship Id="rId18" Type="http://schemas.openxmlformats.org/officeDocument/2006/relationships/hyperlink" Target="https://www.tiktok.com/@thon_foodie?lang=vi-VN" TargetMode="External"/><Relationship Id="rId80" Type="http://schemas.openxmlformats.org/officeDocument/2006/relationships/drawing" Target="../drawings/drawing17.xm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www.tiktok.com/@lulureview_" TargetMode="External"/><Relationship Id="rId4" Type="http://schemas.openxmlformats.org/officeDocument/2006/relationships/hyperlink" Target="https://fivestarnearyou.cp.com.vn/?Longtitude=105.48988584829794&amp;Latitude=9.128942686320757" TargetMode="External"/><Relationship Id="rId9" Type="http://schemas.openxmlformats.org/officeDocument/2006/relationships/hyperlink" Target="https://www.tiktok.com/@thubonny" TargetMode="External"/><Relationship Id="rId5" Type="http://schemas.openxmlformats.org/officeDocument/2006/relationships/hyperlink" Target="https://www.tiktok.com/@hellolapday"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www.tiktok.com/@hhuyennhiii" TargetMode="External"/><Relationship Id="rId8"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www.facebook.com/groups/gdl.mmsg/" TargetMode="External"/><Relationship Id="rId72" Type="http://schemas.openxmlformats.org/officeDocument/2006/relationships/hyperlink" Target="https://www.facebook.com/groups/kosodoi" TargetMode="External"/><Relationship Id="rId75" Type="http://schemas.openxmlformats.org/officeDocument/2006/relationships/hyperlink" Target="https://www.tiktok.com/@hanoiangi" TargetMode="External"/><Relationship Id="rId74" Type="http://schemas.openxmlformats.org/officeDocument/2006/relationships/hyperlink" Target="https://www.facebook.com/groups/231350177556959/" TargetMode="External"/><Relationship Id="rId77" Type="http://schemas.openxmlformats.org/officeDocument/2006/relationships/hyperlink" Target="https://www.tiktok.com/@thongdongdoday?_r=1&amp;_t=ZS-94NJFKrtS9V" TargetMode="External"/><Relationship Id="rId76" Type="http://schemas.openxmlformats.org/officeDocument/2006/relationships/hyperlink" Target="https://www.tiktok.com/@vivusaigon.vn" TargetMode="External"/><Relationship Id="rId79" Type="http://schemas.openxmlformats.org/officeDocument/2006/relationships/hyperlink" Target="https://www.tiktok.com/@mienmanhanoi" TargetMode="External"/><Relationship Id="rId78" Type="http://schemas.openxmlformats.org/officeDocument/2006/relationships/hyperlink" Target="https://www.tiktok.com/@saigonmap" TargetMode="External"/><Relationship Id="rId71" Type="http://schemas.openxmlformats.org/officeDocument/2006/relationships/hyperlink" Target="https://www.facebook.com/themtivi" TargetMode="External"/><Relationship Id="rId70" Type="http://schemas.openxmlformats.org/officeDocument/2006/relationships/hyperlink" Target="https://www.facebook.com/DiaDiemAnUong" TargetMode="External"/><Relationship Id="rId62" Type="http://schemas.openxmlformats.org/officeDocument/2006/relationships/hyperlink" Target="http://www.tiktok.com/@lysambonreview" TargetMode="External"/><Relationship Id="rId61" Type="http://schemas.openxmlformats.org/officeDocument/2006/relationships/hyperlink" Target="https://fivestarnearyou.cp.com.vn/?Longtitude=105.48988584829794&amp;Latitude=9.128942686320757" TargetMode="External"/><Relationship Id="rId64" Type="http://schemas.openxmlformats.org/officeDocument/2006/relationships/hyperlink" Target="https://www.tiktok.com/@meshushi121"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www.tiktok.com/@duongnhicm" TargetMode="External"/><Relationship Id="rId65" Type="http://schemas.openxmlformats.org/officeDocument/2006/relationships/hyperlink" Target="https://fivestarnearyou.cp.com.vn/?Longtitude=105.48988584829794&amp;Latitude=9.128942686320757" TargetMode="External"/><Relationship Id="rId68" Type="http://schemas.openxmlformats.org/officeDocument/2006/relationships/hyperlink" Target="http://www.tiktok.com/@hachireview74"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www.tiktok.com/@huynhhongocduc" TargetMode="External"/><Relationship Id="rId69" Type="http://schemas.openxmlformats.org/officeDocument/2006/relationships/hyperlink" Target="https://fivestarnearyou.cp.com.vn/?Longtitude=105.48988584829794&amp;Latitude=9.128942686320757"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minhphuong130595?_r=1&amp;_t=ZS-94ac29NM9v3"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tranngocyen230" TargetMode="External"/><Relationship Id="rId55" Type="http://schemas.openxmlformats.org/officeDocument/2006/relationships/hyperlink" Target="https://fivestarnearyou.cp.com.vn/?Longtitude=105.48988584829794&amp;Latitude=9.128942686320757" TargetMode="External"/><Relationship Id="rId54" Type="http://schemas.openxmlformats.org/officeDocument/2006/relationships/hyperlink" Target="https://www.tiktok.com/@thanhhuongrv"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zan.riviu?_r=1&amp;_t=ZS-94n3uOkLyE8"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s://www.tiktok.com/@phuongoychillthoy"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www.tiktok.com/@thuytymy88?shop_region=VN" TargetMode="External"/><Relationship Id="rId42" Type="http://schemas.openxmlformats.org/officeDocument/2006/relationships/hyperlink" Target="https://www.tiktok.com/@vinhcorau" TargetMode="External"/><Relationship Id="rId41" Type="http://schemas.openxmlformats.org/officeDocument/2006/relationships/hyperlink" Target="https://www.tiktok.com/@thichhuongne" TargetMode="External"/><Relationship Id="rId44" Type="http://schemas.openxmlformats.org/officeDocument/2006/relationships/hyperlink" Target="https://www.tiktok.com/@hienbachhoa01" TargetMode="External"/><Relationship Id="rId43" Type="http://schemas.openxmlformats.org/officeDocument/2006/relationships/hyperlink" Target="https://www.tiktok.com/@hungbeosanseo?shop_region=VN" TargetMode="External"/><Relationship Id="rId46" Type="http://schemas.openxmlformats.org/officeDocument/2006/relationships/hyperlink" Target="https://www.tiktok.com/@thanh.san.deal" TargetMode="External"/><Relationship Id="rId45" Type="http://schemas.openxmlformats.org/officeDocument/2006/relationships/hyperlink" Target="https://www.tiktok.com/@_dknhat_" TargetMode="External"/><Relationship Id="rId48" Type="http://schemas.openxmlformats.org/officeDocument/2006/relationships/hyperlink" Target="https://www.tiktok.com/@lemlem1602" TargetMode="External"/><Relationship Id="rId47" Type="http://schemas.openxmlformats.org/officeDocument/2006/relationships/hyperlink" Target="https://www.tiktok.com/@quoc.anvat?shop_region=VN" TargetMode="External"/><Relationship Id="rId49" Type="http://schemas.openxmlformats.org/officeDocument/2006/relationships/hyperlink" Target="https://www.tiktok.com/@luuluutham91" TargetMode="External"/><Relationship Id="rId31" Type="http://schemas.openxmlformats.org/officeDocument/2006/relationships/hyperlink" Target="https://www.tiktok.com/@donna_iuu" TargetMode="External"/><Relationship Id="rId30" Type="http://schemas.openxmlformats.org/officeDocument/2006/relationships/hyperlink" Target="https://www.tiktok.com/@17tiktok202" TargetMode="External"/><Relationship Id="rId33" Type="http://schemas.openxmlformats.org/officeDocument/2006/relationships/hyperlink" Target="https://www.tiktok.com/@bagiaanvung" TargetMode="External"/><Relationship Id="rId32" Type="http://schemas.openxmlformats.org/officeDocument/2006/relationships/hyperlink" Target="https://www.tiktok.com/@linhta_linhtinh1109" TargetMode="External"/><Relationship Id="rId35" Type="http://schemas.openxmlformats.org/officeDocument/2006/relationships/hyperlink" Target="https://www.tiktok.com/@kokuma04" TargetMode="External"/><Relationship Id="rId34" Type="http://schemas.openxmlformats.org/officeDocument/2006/relationships/hyperlink" Target="https://www.tiktok.com/@dhoa.nguyen_" TargetMode="External"/><Relationship Id="rId37" Type="http://schemas.openxmlformats.org/officeDocument/2006/relationships/hyperlink" Target="https://www.tiktok.com/@sangthichanvat" TargetMode="External"/><Relationship Id="rId36" Type="http://schemas.openxmlformats.org/officeDocument/2006/relationships/hyperlink" Target="https://www.tiktok.com/@buunboxlonxon" TargetMode="External"/><Relationship Id="rId39" Type="http://schemas.openxmlformats.org/officeDocument/2006/relationships/hyperlink" Target="https://www.tiktok.com/@angidayphong" TargetMode="External"/><Relationship Id="rId38" Type="http://schemas.openxmlformats.org/officeDocument/2006/relationships/hyperlink" Target="https://www.tiktok.com/@thuvaobep.23" TargetMode="External"/><Relationship Id="rId20" Type="http://schemas.openxmlformats.org/officeDocument/2006/relationships/hyperlink" Target="https://www.tiktok.com/@pudding.diary" TargetMode="External"/><Relationship Id="rId22" Type="http://schemas.openxmlformats.org/officeDocument/2006/relationships/hyperlink" Target="https://www.tiktok.com/@tina_day25" TargetMode="External"/><Relationship Id="rId21" Type="http://schemas.openxmlformats.org/officeDocument/2006/relationships/hyperlink" Target="https://www.tiktok.com/@cn.mp09" TargetMode="External"/><Relationship Id="rId24" Type="http://schemas.openxmlformats.org/officeDocument/2006/relationships/hyperlink" Target="https://www.tiktok.com/@thaothaoriview" TargetMode="External"/><Relationship Id="rId23" Type="http://schemas.openxmlformats.org/officeDocument/2006/relationships/hyperlink" Target="https://www.tiktok.com/@pudding.diary" TargetMode="External"/><Relationship Id="rId26" Type="http://schemas.openxmlformats.org/officeDocument/2006/relationships/hyperlink" Target="https://www.tiktok.com/@0phaibounbun" TargetMode="External"/><Relationship Id="rId25" Type="http://schemas.openxmlformats.org/officeDocument/2006/relationships/hyperlink" Target="https://www.tiktok.com/@madrie_02" TargetMode="External"/><Relationship Id="rId28" Type="http://schemas.openxmlformats.org/officeDocument/2006/relationships/hyperlink" Target="https://www.tiktok.com/@uchiha_satrantran" TargetMode="External"/><Relationship Id="rId27" Type="http://schemas.openxmlformats.org/officeDocument/2006/relationships/hyperlink" Target="https://www.tiktok.com/@i0m.bunny" TargetMode="External"/><Relationship Id="rId29" Type="http://schemas.openxmlformats.org/officeDocument/2006/relationships/hyperlink" Target="https://www.tiktok.com/@minhminhanlinhtinh" TargetMode="External"/><Relationship Id="rId11" Type="http://schemas.openxmlformats.org/officeDocument/2006/relationships/hyperlink" Target="https://www.tiktok.com/@langacday" TargetMode="External"/><Relationship Id="rId10" Type="http://schemas.openxmlformats.org/officeDocument/2006/relationships/hyperlink" Target="https://www.instagram.com/maioanhxb/" TargetMode="External"/><Relationship Id="rId13" Type="http://schemas.openxmlformats.org/officeDocument/2006/relationships/hyperlink" Target="https://www.tiktok.com/@nhihehe" TargetMode="External"/><Relationship Id="rId12" Type="http://schemas.openxmlformats.org/officeDocument/2006/relationships/hyperlink" Target="https://www.tiktok.com/@bidone_2411" TargetMode="External"/><Relationship Id="rId15" Type="http://schemas.openxmlformats.org/officeDocument/2006/relationships/hyperlink" Target="https://www.tiktok.com/@hisoxinh" TargetMode="External"/><Relationship Id="rId14" Type="http://schemas.openxmlformats.org/officeDocument/2006/relationships/hyperlink" Target="https://www.tiktok.com/@chuthiquynh27" TargetMode="External"/><Relationship Id="rId17" Type="http://schemas.openxmlformats.org/officeDocument/2006/relationships/hyperlink" Target="https://www.tiktok.com/@myyunbox" TargetMode="External"/><Relationship Id="rId16" Type="http://schemas.openxmlformats.org/officeDocument/2006/relationships/hyperlink" Target="https://www.tiktok.com/@netcoshop" TargetMode="External"/><Relationship Id="rId19" Type="http://schemas.openxmlformats.org/officeDocument/2006/relationships/hyperlink" Target="https://www.tiktok.com/@qahn04" TargetMode="External"/><Relationship Id="rId18" Type="http://schemas.openxmlformats.org/officeDocument/2006/relationships/hyperlink" Target="https://www.tiktok.com/@lyly_shop6" TargetMode="External"/><Relationship Id="rId1" Type="http://schemas.openxmlformats.org/officeDocument/2006/relationships/hyperlink" Target="https://www.tiktok.com/@ngocshopna" TargetMode="External"/><Relationship Id="rId2" Type="http://schemas.openxmlformats.org/officeDocument/2006/relationships/hyperlink" Target="https://www.tiktok.com/@huumanh247" TargetMode="External"/><Relationship Id="rId3" Type="http://schemas.openxmlformats.org/officeDocument/2006/relationships/hyperlink" Target="https://www.tiktok.com/@sanbengua2025" TargetMode="External"/><Relationship Id="rId4" Type="http://schemas.openxmlformats.org/officeDocument/2006/relationships/hyperlink" Target="https://www.tiktok.com/@lethituyetnghi" TargetMode="External"/><Relationship Id="rId9" Type="http://schemas.openxmlformats.org/officeDocument/2006/relationships/hyperlink" Target="https://www.tiktok.com/@maioanh119" TargetMode="External"/><Relationship Id="rId5" Type="http://schemas.openxmlformats.org/officeDocument/2006/relationships/hyperlink" Target="https://www.tiktok.com/@anvatcungtientien" TargetMode="External"/><Relationship Id="rId6" Type="http://schemas.openxmlformats.org/officeDocument/2006/relationships/hyperlink" Target="https://www.tiktok.com/@letuyen9879official" TargetMode="External"/><Relationship Id="rId7" Type="http://schemas.openxmlformats.org/officeDocument/2006/relationships/hyperlink" Target="https://www.tiktok.com/@tienbandoanvat1" TargetMode="External"/><Relationship Id="rId8" Type="http://schemas.openxmlformats.org/officeDocument/2006/relationships/hyperlink" Target="https://www.tiktok.com/@anngoncungtien2" TargetMode="External"/><Relationship Id="rId51" Type="http://schemas.openxmlformats.org/officeDocument/2006/relationships/hyperlink" Target="https://www.tiktok.com/@kieuchi.live" TargetMode="External"/><Relationship Id="rId50" Type="http://schemas.openxmlformats.org/officeDocument/2006/relationships/hyperlink" Target="https://www.tiktok.com/@celinecam94" TargetMode="External"/><Relationship Id="rId53" Type="http://schemas.openxmlformats.org/officeDocument/2006/relationships/hyperlink" Target="https://www.tiktok.com/@tranmyle1992" TargetMode="External"/><Relationship Id="rId52" Type="http://schemas.openxmlformats.org/officeDocument/2006/relationships/hyperlink" Target="https://www.tiktok.com/@phan_vi170804" TargetMode="External"/><Relationship Id="rId55" Type="http://schemas.openxmlformats.org/officeDocument/2006/relationships/hyperlink" Target="https://www.tiktok.com/@nhatlinhnoithat.94" TargetMode="External"/><Relationship Id="rId54" Type="http://schemas.openxmlformats.org/officeDocument/2006/relationships/hyperlink" Target="https://www.tiktok.com/@ngan.huynh.ne" TargetMode="External"/><Relationship Id="rId57" Type="http://schemas.openxmlformats.org/officeDocument/2006/relationships/hyperlink" Target="https://www.tiktok.com/@meberyne?shop_region=VN" TargetMode="External"/><Relationship Id="rId56" Type="http://schemas.openxmlformats.org/officeDocument/2006/relationships/hyperlink" Target="https://www.tiktok.com/@tieumyluoinauan?shop_region=VN" TargetMode="External"/><Relationship Id="rId5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www.tiktok.com/@phuocdidaudo?lang=vi-VN" TargetMode="External"/><Relationship Id="rId42" Type="http://schemas.openxmlformats.org/officeDocument/2006/relationships/hyperlink" Target="https://www.tiktok.com/@duongbaoanh2kk?_r=1&amp;_t=ZS-94n5aTW7D9A"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tiktok.com/@vunguyetthu" TargetMode="External"/><Relationship Id="rId43" Type="http://schemas.openxmlformats.org/officeDocument/2006/relationships/hyperlink" Target="https://fivestarnearyou.cp.com.vn/?Longtitude=105.48988584829794&amp;Latitude=9.128942686320757" TargetMode="External"/><Relationship Id="rId46" Type="http://schemas.openxmlformats.org/officeDocument/2006/relationships/hyperlink" Target="https://www.tiktok.com/@phuonggthaoo155?_r=1&amp;_d=secCgYIASAHKAESPgo8rJmnnWlHZUkhbZZ3X7bbu%2BpVNROGUxmH8Bp%2BrbWlf45hqhUYGBCwtBQ8g%2BXSrx4OwI%2BIpJWHrVLLunWHGgA%3D&amp;_svg=1&amp;checksum=d29afffc63226d6ec094b009585e48a92b16dcf45bd1a7ed6bbabcdd3790180c&amp;item_author_type=1&amp;sec_uid=MS4wLjABAAAAYm4z8eBamGKjHwCkQhnT11kOCMYpAsr2Qvlnr0IV4OZudRSEjT-pKHMM96QnQ479&amp;sec_user_id=MS4wLjABAAAAYm4z8eBamGKjHwCkQhnT11kOCMYpAsr2Qvlnr0IV4OZudRSEjT-pKHMM96QnQ479&amp;share_app_id=1180&amp;share_author_id=6560476734818385922&amp;share_link_id=5337E2FE-8F9C-49EF-8042-0E8DC3ECC050&amp;share_region=VN&amp;share_scene=1&amp;sharer_language=vi&amp;social_share_type=4&amp;source=h5_t&amp;timestamp=1769680772&amp;tt_from=copy&amp;u_code=d0894j604lb1i0&amp;ug_btm=b8727%2Cb0&amp;user_id=6560476734818385922&amp;utm_campaign=client_share&amp;utm_medium=ios&amp;utm_source=copy" TargetMode="External"/><Relationship Id="rId45" Type="http://schemas.openxmlformats.org/officeDocument/2006/relationships/hyperlink" Target="https://fivestarnearyou.cp.com.vn/?Longtitude=105.48988584829794&amp;Latitude=9.128942686320757" TargetMode="External"/><Relationship Id="rId48" Type="http://schemas.openxmlformats.org/officeDocument/2006/relationships/hyperlink" Target="https://www.tiktok.com/@nhaembebo2025?_t=ZS-8xFQzvmAh6O&amp;_r=1"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fivestarnearyou.cp.com.vn/?Longtitude=105.48988584829794&amp;Latitude=9.128942686320757" TargetMode="External"/><Relationship Id="rId31" Type="http://schemas.openxmlformats.org/officeDocument/2006/relationships/hyperlink" Target="https://fivestarnearyou.cp.com.vn/?Longtitude=105.48988584829794&amp;Latitude=9.128942686320757" TargetMode="External"/><Relationship Id="rId30" Type="http://schemas.openxmlformats.org/officeDocument/2006/relationships/hyperlink" Target="https://www.tiktok.com/@chucaofood?_t=8oLaNxaWT8E&amp;_r=1" TargetMode="External"/><Relationship Id="rId33" Type="http://schemas.openxmlformats.org/officeDocument/2006/relationships/hyperlink" Target="https://fivestarnearyou.cp.com.vn/?Longtitude=105.48988584829794&amp;Latitude=9.128942686320757" TargetMode="External"/><Relationship Id="rId32" Type="http://schemas.openxmlformats.org/officeDocument/2006/relationships/hyperlink" Target="https://www.tiktok.com/@hi.an.ne"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emhuyendoimeomeo" TargetMode="External"/><Relationship Id="rId37" Type="http://schemas.openxmlformats.org/officeDocument/2006/relationships/hyperlink" Target="https://fivestarnearyou.cp.com.vn/?Longtitude=105.48988584829794&amp;Latitude=9.128942686320757" TargetMode="External"/><Relationship Id="rId36" Type="http://schemas.openxmlformats.org/officeDocument/2006/relationships/hyperlink" Target="https://www.tiktok.com/@vieinhcm" TargetMode="External"/><Relationship Id="rId39" Type="http://schemas.openxmlformats.org/officeDocument/2006/relationships/hyperlink" Target="https://fivestarnearyou.cp.com.vn/?Longtitude=105.48988584829794&amp;Latitude=9.128942686320757" TargetMode="External"/><Relationship Id="rId38" Type="http://schemas.openxmlformats.org/officeDocument/2006/relationships/hyperlink" Target="https://www.tiktok.com/@hathuto1201?_r=1&amp;_t=ZS-94mvtMPIp3C" TargetMode="External"/><Relationship Id="rId20" Type="http://schemas.openxmlformats.org/officeDocument/2006/relationships/hyperlink" Target="https://www.tiktok.com/@nhacuaanvymeo" TargetMode="External"/><Relationship Id="rId22" Type="http://schemas.openxmlformats.org/officeDocument/2006/relationships/hyperlink" Target="https://www.tiktok.com/@nhamay1606"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www.tiktok.com/@dieuphuongne_?_r=1&amp;_t=ZS-92j9nP4c71B" TargetMode="External"/><Relationship Id="rId23" Type="http://schemas.openxmlformats.org/officeDocument/2006/relationships/hyperlink" Target="https://fivestarnearyou.cp.com.vn/?Longtitude=105.48988584829794&amp;Latitude=9.128942686320757" TargetMode="External"/><Relationship Id="rId26" Type="http://schemas.openxmlformats.org/officeDocument/2006/relationships/hyperlink" Target="https://www.tiktok.com/@8vv000?_r=1&amp;_t=ZS-91WI3LmQD6F" TargetMode="External"/><Relationship Id="rId25" Type="http://schemas.openxmlformats.org/officeDocument/2006/relationships/hyperlink" Target="https://fivestarnearyou.cp.com.vn/?Longtitude=105.48988584829794&amp;Latitude=9.128942686320757" TargetMode="External"/><Relationship Id="rId28" Type="http://schemas.openxmlformats.org/officeDocument/2006/relationships/hyperlink" Target="https://www.tiktok.com/@nhamomdiep2770?_t=8offZoBiXg8&amp;_r=1" TargetMode="External"/><Relationship Id="rId27" Type="http://schemas.openxmlformats.org/officeDocument/2006/relationships/hyperlink" Target="https://fivestarnearyou.cp.com.vn/?Longtitude=105.48988584829794&amp;Latitude=9.128942686320757" TargetMode="External"/><Relationship Id="rId29" Type="http://schemas.openxmlformats.org/officeDocument/2006/relationships/hyperlink" Target="https://fivestarnearyou.cp.com.vn/?Longtitude=105.48988584829794&amp;Latitude=9.128942686320757" TargetMode="External"/><Relationship Id="rId11" Type="http://schemas.openxmlformats.org/officeDocument/2006/relationships/hyperlink" Target="https://www.tiktok.com/@nuchuu.0401"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video/7598539556157246738"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lenkycungkhoa" TargetMode="External"/><Relationship Id="rId17" Type="http://schemas.openxmlformats.org/officeDocument/2006/relationships/hyperlink" Target="https://fivestarnearyou.cp.com.vn/?Longtitude=105.48988584829794&amp;Latitude=9.128942686320757" TargetMode="External"/><Relationship Id="rId16" Type="http://schemas.openxmlformats.org/officeDocument/2006/relationships/hyperlink" Target="https://www.tiktok.com/@anngoncungpuu?_t=8caIQvvAxxy&amp;_r=1" TargetMode="External"/><Relationship Id="rId19" Type="http://schemas.openxmlformats.org/officeDocument/2006/relationships/hyperlink" Target="https://fivestarnearyou.cp.com.vn/?Longtitude=105.48988584829794&amp;Latitude=9.128942686320757" TargetMode="External"/><Relationship Id="rId18" Type="http://schemas.openxmlformats.org/officeDocument/2006/relationships/hyperlink" Target="https://www.tiktok.com/@thon_foodie?lang=vi-VN" TargetMode="External"/><Relationship Id="rId80" Type="http://schemas.openxmlformats.org/officeDocument/2006/relationships/drawing" Target="../drawings/drawing20.xm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www.tiktok.com/@lulureview_" TargetMode="External"/><Relationship Id="rId4" Type="http://schemas.openxmlformats.org/officeDocument/2006/relationships/hyperlink" Target="https://fivestarnearyou.cp.com.vn/?Longtitude=105.48988584829794&amp;Latitude=9.128942686320757" TargetMode="External"/><Relationship Id="rId9" Type="http://schemas.openxmlformats.org/officeDocument/2006/relationships/hyperlink" Target="https://www.tiktok.com/@thubonny" TargetMode="External"/><Relationship Id="rId5" Type="http://schemas.openxmlformats.org/officeDocument/2006/relationships/hyperlink" Target="https://www.tiktok.com/@hellolapday" TargetMode="External"/><Relationship Id="rId6" Type="http://schemas.openxmlformats.org/officeDocument/2006/relationships/hyperlink" Target="https://fivestarnearyou.cp.com.vn/?Longtitude=105.48988584829794&amp;Latitude=9.128942686320757" TargetMode="External"/><Relationship Id="rId7" Type="http://schemas.openxmlformats.org/officeDocument/2006/relationships/hyperlink" Target="https://www.tiktok.com/@hhuyennhiii" TargetMode="External"/><Relationship Id="rId8" Type="http://schemas.openxmlformats.org/officeDocument/2006/relationships/hyperlink" Target="https://fivestarnearyou.cp.com.vn/?Longtitude=105.48988584829794&amp;Latitude=9.128942686320757" TargetMode="External"/><Relationship Id="rId73" Type="http://schemas.openxmlformats.org/officeDocument/2006/relationships/hyperlink" Target="https://www.facebook.com/groups/gdl.mmsg/" TargetMode="External"/><Relationship Id="rId72" Type="http://schemas.openxmlformats.org/officeDocument/2006/relationships/hyperlink" Target="https://www.facebook.com/groups/kosodoi" TargetMode="External"/><Relationship Id="rId75" Type="http://schemas.openxmlformats.org/officeDocument/2006/relationships/hyperlink" Target="https://www.tiktok.com/@hanoiangi" TargetMode="External"/><Relationship Id="rId74" Type="http://schemas.openxmlformats.org/officeDocument/2006/relationships/hyperlink" Target="https://www.facebook.com/groups/231350177556959/" TargetMode="External"/><Relationship Id="rId77" Type="http://schemas.openxmlformats.org/officeDocument/2006/relationships/hyperlink" Target="https://www.tiktok.com/@thongdongdoday?_r=1&amp;_t=ZS-94NJFKrtS9V" TargetMode="External"/><Relationship Id="rId76" Type="http://schemas.openxmlformats.org/officeDocument/2006/relationships/hyperlink" Target="https://www.tiktok.com/@vivusaigon.vn" TargetMode="External"/><Relationship Id="rId79" Type="http://schemas.openxmlformats.org/officeDocument/2006/relationships/hyperlink" Target="https://www.tiktok.com/@mienmanhanoi" TargetMode="External"/><Relationship Id="rId78" Type="http://schemas.openxmlformats.org/officeDocument/2006/relationships/hyperlink" Target="https://www.tiktok.com/@saigonmap" TargetMode="External"/><Relationship Id="rId71" Type="http://schemas.openxmlformats.org/officeDocument/2006/relationships/hyperlink" Target="https://www.facebook.com/themtivi" TargetMode="External"/><Relationship Id="rId70" Type="http://schemas.openxmlformats.org/officeDocument/2006/relationships/hyperlink" Target="https://www.facebook.com/DiaDiemAnUong" TargetMode="External"/><Relationship Id="rId62" Type="http://schemas.openxmlformats.org/officeDocument/2006/relationships/hyperlink" Target="http://www.tiktok.com/@lysambonreview" TargetMode="External"/><Relationship Id="rId61" Type="http://schemas.openxmlformats.org/officeDocument/2006/relationships/hyperlink" Target="https://fivestarnearyou.cp.com.vn/?Longtitude=105.48988584829794&amp;Latitude=9.128942686320757" TargetMode="External"/><Relationship Id="rId64" Type="http://schemas.openxmlformats.org/officeDocument/2006/relationships/hyperlink" Target="https://www.tiktok.com/@meshushi121"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www.tiktok.com/@duongnhicm" TargetMode="External"/><Relationship Id="rId65" Type="http://schemas.openxmlformats.org/officeDocument/2006/relationships/hyperlink" Target="https://fivestarnearyou.cp.com.vn/?Longtitude=105.48988584829794&amp;Latitude=9.128942686320757" TargetMode="External"/><Relationship Id="rId68" Type="http://schemas.openxmlformats.org/officeDocument/2006/relationships/hyperlink" Target="http://www.tiktok.com/@hachireview74" TargetMode="External"/><Relationship Id="rId67" Type="http://schemas.openxmlformats.org/officeDocument/2006/relationships/hyperlink" Target="https://fivestarnearyou.cp.com.vn/?Longtitude=105.48988584829794&amp;Latitude=9.128942686320757" TargetMode="External"/><Relationship Id="rId60" Type="http://schemas.openxmlformats.org/officeDocument/2006/relationships/hyperlink" Target="https://www.tiktok.com/@huynhhongocduc" TargetMode="External"/><Relationship Id="rId69" Type="http://schemas.openxmlformats.org/officeDocument/2006/relationships/hyperlink" Target="https://fivestarnearyou.cp.com.vn/?Longtitude=105.48988584829794&amp;Latitude=9.128942686320757" TargetMode="External"/><Relationship Id="rId51" Type="http://schemas.openxmlformats.org/officeDocument/2006/relationships/hyperlink" Target="https://fivestarnearyou.cp.com.vn/?Longtitude=105.48988584829794&amp;Latitude=9.128942686320757" TargetMode="External"/><Relationship Id="rId50" Type="http://schemas.openxmlformats.org/officeDocument/2006/relationships/hyperlink" Target="https://www.tiktok.com/@minhphuong130595?_r=1&amp;_t=ZS-94ac29NM9v3" TargetMode="External"/><Relationship Id="rId53" Type="http://schemas.openxmlformats.org/officeDocument/2006/relationships/hyperlink" Target="https://fivestarnearyou.cp.com.vn/?Longtitude=105.48988584829794&amp;Latitude=9.128942686320757" TargetMode="External"/><Relationship Id="rId52" Type="http://schemas.openxmlformats.org/officeDocument/2006/relationships/hyperlink" Target="https://www.tiktok.com/@tranngocyen230" TargetMode="External"/><Relationship Id="rId55" Type="http://schemas.openxmlformats.org/officeDocument/2006/relationships/hyperlink" Target="https://fivestarnearyou.cp.com.vn/?Longtitude=105.48988584829794&amp;Latitude=9.128942686320757" TargetMode="External"/><Relationship Id="rId54" Type="http://schemas.openxmlformats.org/officeDocument/2006/relationships/hyperlink" Target="https://www.tiktok.com/@thanhhuongrv" TargetMode="External"/><Relationship Id="rId57" Type="http://schemas.openxmlformats.org/officeDocument/2006/relationships/hyperlink" Target="https://fivestarnearyou.cp.com.vn/?Longtitude=105.48988584829794&amp;Latitude=9.128942686320757" TargetMode="External"/><Relationship Id="rId56" Type="http://schemas.openxmlformats.org/officeDocument/2006/relationships/hyperlink" Target="https://www.tiktok.com/@zan.riviu?_r=1&amp;_t=ZS-94n3uOkLyE8"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s://www.tiktok.com/@phuongoychillthoy"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tiktok.com/@chucaofood?_t=8oLaNxaWT8E&amp;_r=1" TargetMode="External"/><Relationship Id="rId42" Type="http://schemas.openxmlformats.org/officeDocument/2006/relationships/hyperlink" Target="https://docs.google.com/spreadsheets/d/16OvFx7PrR-T2MT2uGxvOhLg9LXOi0HWql6pSWU7HRfg/edit?gid=1826739190" TargetMode="External"/><Relationship Id="rId41" Type="http://schemas.openxmlformats.org/officeDocument/2006/relationships/hyperlink" Target="https://fivestarnearyou.cp.com.vn/?Longtitude=105.48988584829794&amp;Latitude=9.128942686320757"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hi.an.ne" TargetMode="External"/><Relationship Id="rId46" Type="http://schemas.openxmlformats.org/officeDocument/2006/relationships/hyperlink" Target="https://www.tiktok.com/@vuvicungyuhi" TargetMode="External"/><Relationship Id="rId45" Type="http://schemas.openxmlformats.org/officeDocument/2006/relationships/hyperlink" Target="https://docs.google.com/spreadsheets/d/16OvFx7PrR-T2MT2uGxvOhLg9LXOi0HWql6pSWU7HRfg/edit?gid=1826739190" TargetMode="External"/><Relationship Id="rId48" Type="http://schemas.openxmlformats.org/officeDocument/2006/relationships/hyperlink" Target="https://docs.google.com/spreadsheets/d/1zp_LaYpWA9sZHsid5iK9uwpUrgqLfDp_I-uIAAKEj48/edit?gid=86066825" TargetMode="External"/><Relationship Id="rId47" Type="http://schemas.openxmlformats.org/officeDocument/2006/relationships/hyperlink" Target="https://fivestarnearyou.cp.com.vn/?Longtitude=105.48988584829794&amp;Latitude=9.128942686320757" TargetMode="External"/><Relationship Id="rId49" Type="http://schemas.openxmlformats.org/officeDocument/2006/relationships/hyperlink" Target="https://www.tiktok.com/@koinamang" TargetMode="External"/><Relationship Id="rId31" Type="http://schemas.openxmlformats.org/officeDocument/2006/relationships/hyperlink" Target="https://www.tiktok.com/@nhamay1606"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docs.google.com/spreadsheets/d/16OvFx7PrR-T2MT2uGxvOhLg9LXOi0HWql6pSWU7HRfg/edit?gid=1826739190"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fivestarnearyou.cp.com.vn/?Longtitude=105.48988584829794&amp;Latitude=9.128942686320757" TargetMode="External"/><Relationship Id="rId34" Type="http://schemas.openxmlformats.org/officeDocument/2006/relationships/hyperlink" Target="https://www.tiktok.com/@dieuphuongne_?_r=1&amp;_t=ZS-92j9nP4c71B" TargetMode="External"/><Relationship Id="rId37" Type="http://schemas.openxmlformats.org/officeDocument/2006/relationships/hyperlink" Target="https://www.tiktok.com/@8vv000?_r=1&amp;_t=ZS-91WI3LmQD6F" TargetMode="External"/><Relationship Id="rId36" Type="http://schemas.openxmlformats.org/officeDocument/2006/relationships/hyperlink" Target="https://docs.google.com/spreadsheets/d/16OvFx7PrR-T2MT2uGxvOhLg9LXOi0HWql6pSWU7HRfg/edit?gid=1826739190" TargetMode="External"/><Relationship Id="rId39" Type="http://schemas.openxmlformats.org/officeDocument/2006/relationships/hyperlink" Target="https://docs.google.com/spreadsheets/d/16OvFx7PrR-T2MT2uGxvOhLg9LXOi0HWql6pSWU7HRfg/edit?gid=1826739190"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www.tiktok.com/@phamtrang.2401" TargetMode="External"/><Relationship Id="rId22" Type="http://schemas.openxmlformats.org/officeDocument/2006/relationships/hyperlink" Target="https://docs.google.com/spreadsheets/d/1zp_LaYpWA9sZHsid5iK9uwpUrgqLfDp_I-uIAAKEj48/edit?gid=86066825" TargetMode="External"/><Relationship Id="rId21" Type="http://schemas.openxmlformats.org/officeDocument/2006/relationships/hyperlink" Target="https://fivestarnearyou.cp.com.vn/?Longtitude=105.48988584829794&amp;Latitude=9.128942686320757"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foodtravelhanoi?_t=ZS-8tu0XudOugL&amp;_r=1" TargetMode="External"/><Relationship Id="rId26" Type="http://schemas.openxmlformats.org/officeDocument/2006/relationships/hyperlink" Target="https://fivestarnearyou.cp.com.vn/?Longtitude=105.48988584829794&amp;Latitude=9.128942686320757" TargetMode="External"/><Relationship Id="rId25" Type="http://schemas.openxmlformats.org/officeDocument/2006/relationships/hyperlink" Target="https://www.tiktok.com/@anchoicungvanh?_r=1&amp;_t=ZS-93X6USlK0e1" TargetMode="External"/><Relationship Id="rId28" Type="http://schemas.openxmlformats.org/officeDocument/2006/relationships/hyperlink" Target="https://fivestarnearyou.cp.com.vn/?Longtitude=105.48988584829794&amp;Latitude=9.128942686320757" TargetMode="External"/><Relationship Id="rId27" Type="http://schemas.openxmlformats.org/officeDocument/2006/relationships/hyperlink" Target="https://www.tiktok.com/@tieuchereview?_t=ZS-8tu0uJ77dVR&amp;_r=1" TargetMode="External"/><Relationship Id="rId29" Type="http://schemas.openxmlformats.org/officeDocument/2006/relationships/hyperlink" Target="https://www.tiktok.com/@bobiengan?_t=ZS-8tu0m1Vyokq&amp;_r=1u0odLK9R3&amp;_r=1" TargetMode="External"/><Relationship Id="rId11" Type="http://schemas.openxmlformats.org/officeDocument/2006/relationships/hyperlink" Target="https://www.tiktok.com/@thubonny" TargetMode="External"/><Relationship Id="rId10" Type="http://schemas.openxmlformats.org/officeDocument/2006/relationships/hyperlink" Target="https://fivestarnearyou.cp.com.vn/?Longtitude=105.48988584829794&amp;Latitude=9.128942686320757" TargetMode="External"/><Relationship Id="rId13" Type="http://schemas.openxmlformats.org/officeDocument/2006/relationships/hyperlink" Target="https://www.tiktok.com/@nuchuu.0401" TargetMode="External"/><Relationship Id="rId12" Type="http://schemas.openxmlformats.org/officeDocument/2006/relationships/hyperlink" Target="https://fivestarnearyou.cp.com.vn/?Longtitude=105.48988584829794&amp;Latitude=9.128942686320757" TargetMode="External"/><Relationship Id="rId15" Type="http://schemas.openxmlformats.org/officeDocument/2006/relationships/hyperlink" Target="https://www.tiktok.com/@nuchuu.0401/video/7598539556157246738" TargetMode="External"/><Relationship Id="rId14" Type="http://schemas.openxmlformats.org/officeDocument/2006/relationships/hyperlink" Target="https://fivestarnearyou.cp.com.vn/?Longtitude=105.48988584829794&amp;Latitude=9.128942686320757" TargetMode="External"/><Relationship Id="rId17" Type="http://schemas.openxmlformats.org/officeDocument/2006/relationships/hyperlink" Target="https://www.tiktok.com/@anngoncungpuu?_t=8caIQvvAxxy&amp;_r=1" TargetMode="External"/><Relationship Id="rId16" Type="http://schemas.openxmlformats.org/officeDocument/2006/relationships/hyperlink" Target="https://docs.google.com/spreadsheets/d/1G2tMrOxJpcW3osvBoXzc-RPm5XZa-6xKs05LG1czwZ0/edit?gid=0" TargetMode="External"/><Relationship Id="rId19" Type="http://schemas.openxmlformats.org/officeDocument/2006/relationships/hyperlink" Target="https://docs.google.com/spreadsheets/d/16OvFx7PrR-T2MT2uGxvOhLg9LXOi0HWql6pSWU7HRfg/edit?gid=1826739190" TargetMode="External"/><Relationship Id="rId18" Type="http://schemas.openxmlformats.org/officeDocument/2006/relationships/hyperlink" Target="https://fivestarnearyou.cp.com.vn/?Longtitude=105.48988584829794&amp;Latitude=9.128942686320757" TargetMode="External"/><Relationship Id="rId84" Type="http://schemas.openxmlformats.org/officeDocument/2006/relationships/hyperlink" Target="https://fivestarnearyou.cp.com.vn/?Longtitude=105.48988584829794&amp;Latitude=9.128942686320757" TargetMode="External"/><Relationship Id="rId83" Type="http://schemas.openxmlformats.org/officeDocument/2006/relationships/hyperlink" Target="http://www.tiktok.com/@lysambonreview" TargetMode="External"/><Relationship Id="rId86" Type="http://schemas.openxmlformats.org/officeDocument/2006/relationships/hyperlink" Target="https://docs.google.com/spreadsheets/d/16OvFx7PrR-T2MT2uGxvOhLg9LXOi0HWql6pSWU7HRfg/edit?gid=317397432" TargetMode="External"/><Relationship Id="rId85" Type="http://schemas.openxmlformats.org/officeDocument/2006/relationships/hyperlink" Target="https://docs.google.com/spreadsheets/d/16OvFx7PrR-T2MT2uGxvOhLg9LXOi0HWql6pSWU7HRfg/edit?gid=317397432" TargetMode="External"/><Relationship Id="rId88" Type="http://schemas.openxmlformats.org/officeDocument/2006/relationships/hyperlink" Target="https://fivestarnearyou.cp.com.vn/?Longtitude=105.48988584829794&amp;Latitude=9.128942686320757" TargetMode="External"/><Relationship Id="rId87" Type="http://schemas.openxmlformats.org/officeDocument/2006/relationships/hyperlink" Target="https://www.tiktok.com/@meshushi121" TargetMode="External"/><Relationship Id="rId89" Type="http://schemas.openxmlformats.org/officeDocument/2006/relationships/hyperlink" Target="https://docs.google.com/spreadsheets/d/16OvFx7PrR-T2MT2uGxvOhLg9LXOi0HWql6pSWU7HRfg/edit?gid=317397432" TargetMode="External"/><Relationship Id="rId80" Type="http://schemas.openxmlformats.org/officeDocument/2006/relationships/hyperlink" Target="https://fivestarnearyou.cp.com.vn/?Longtitude=105.48988584829794&amp;Latitude=9.128942686320757" TargetMode="External"/><Relationship Id="rId82" Type="http://schemas.openxmlformats.org/officeDocument/2006/relationships/hyperlink" Target="https://docs.google.com/spreadsheets/d/16OvFx7PrR-T2MT2uGxvOhLg9LXOi0HWql6pSWU7HRfg/edit?gid=317397432" TargetMode="External"/><Relationship Id="rId81" Type="http://schemas.openxmlformats.org/officeDocument/2006/relationships/hyperlink" Target="https://docs.google.com/spreadsheets/d/16OvFx7PrR-T2MT2uGxvOhLg9LXOi0HWql6pSWU7HRfg/edit?gid=317397432" TargetMode="External"/><Relationship Id="rId1" Type="http://schemas.openxmlformats.org/officeDocument/2006/relationships/hyperlink" Target="https://www.tiktok.com/@thangloi2k2?_t=8W1SCUWFQaQ&amp;_r=1" TargetMode="External"/><Relationship Id="rId2" Type="http://schemas.openxmlformats.org/officeDocument/2006/relationships/hyperlink" Target="https://fivestarnearyou.cp.com.vn/?Longtitude=105.48988584829794&amp;Latitude=9.128942686320757" TargetMode="External"/><Relationship Id="rId3" Type="http://schemas.openxmlformats.org/officeDocument/2006/relationships/hyperlink" Target="https://docs.google.com/spreadsheets/d/16OvFx7PrR-T2MT2uGxvOhLg9LXOi0HWql6pSWU7HRfg/edit?gid=1826739190" TargetMode="External"/><Relationship Id="rId4" Type="http://schemas.openxmlformats.org/officeDocument/2006/relationships/hyperlink" Target="https://www.tiktok.com/@lulureview_" TargetMode="External"/><Relationship Id="rId9" Type="http://schemas.openxmlformats.org/officeDocument/2006/relationships/hyperlink" Target="https://www.tiktok.com/@hhuyennhiii"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www.tiktok.com/@hellolapday" TargetMode="External"/><Relationship Id="rId7" Type="http://schemas.openxmlformats.org/officeDocument/2006/relationships/hyperlink" Target="https://fivestarnearyou.cp.com.vn/?Longtitude=105.48988584829794&amp;Latitude=9.128942686320757" TargetMode="External"/><Relationship Id="rId8" Type="http://schemas.openxmlformats.org/officeDocument/2006/relationships/hyperlink" Target="https://docs.google.com/spreadsheets/d/1G2tMrOxJpcW3osvBoXzc-RPm5XZa-6xKs05LG1czwZ0/edit?gid=0" TargetMode="External"/><Relationship Id="rId73" Type="http://schemas.openxmlformats.org/officeDocument/2006/relationships/hyperlink" Target="https://docs.google.com/spreadsheets/d/16OvFx7PrR-T2MT2uGxvOhLg9LXOi0HWql6pSWU7HRfg/edit?gid=317397432" TargetMode="External"/><Relationship Id="rId72" Type="http://schemas.openxmlformats.org/officeDocument/2006/relationships/hyperlink" Target="https://fivestarnearyou.cp.com.vn/?Longtitude=105.48988584829794&amp;Latitude=9.128942686320757" TargetMode="External"/><Relationship Id="rId75" Type="http://schemas.openxmlformats.org/officeDocument/2006/relationships/hyperlink" Target="https://www.tiktok.com/@phuongoychillthoy" TargetMode="External"/><Relationship Id="rId74" Type="http://schemas.openxmlformats.org/officeDocument/2006/relationships/hyperlink" Target="https://docs.google.com/spreadsheets/d/16OvFx7PrR-T2MT2uGxvOhLg9LXOi0HWql6pSWU7HRfg/edit?gid=317397432" TargetMode="External"/><Relationship Id="rId77" Type="http://schemas.openxmlformats.org/officeDocument/2006/relationships/hyperlink" Target="https://docs.google.com/spreadsheets/d/16OvFx7PrR-T2MT2uGxvOhLg9LXOi0HWql6pSWU7HRfg/edit?gid=317397432" TargetMode="External"/><Relationship Id="rId76" Type="http://schemas.openxmlformats.org/officeDocument/2006/relationships/hyperlink" Target="https://fivestarnearyou.cp.com.vn/?Longtitude=105.48988584829794&amp;Latitude=9.128942686320757" TargetMode="External"/><Relationship Id="rId79" Type="http://schemas.openxmlformats.org/officeDocument/2006/relationships/hyperlink" Target="https://www.tiktok.com/@huynhhongocduc" TargetMode="External"/><Relationship Id="rId78" Type="http://schemas.openxmlformats.org/officeDocument/2006/relationships/hyperlink" Target="https://docs.google.com/spreadsheets/d/16OvFx7PrR-T2MT2uGxvOhLg9LXOi0HWql6pSWU7HRfg/edit?gid=317397432" TargetMode="External"/><Relationship Id="rId71" Type="http://schemas.openxmlformats.org/officeDocument/2006/relationships/hyperlink" Target="https://www.tiktok.com/@zan.riviu?_r=1&amp;_t=ZS-94n3uOkLyE8" TargetMode="External"/><Relationship Id="rId70" Type="http://schemas.openxmlformats.org/officeDocument/2006/relationships/hyperlink" Target="https://docs.google.com/spreadsheets/d/1zp_LaYpWA9sZHsid5iK9uwpUrgqLfDp_I-uIAAKEj48/edit?gid=86066825" TargetMode="External"/><Relationship Id="rId62" Type="http://schemas.openxmlformats.org/officeDocument/2006/relationships/hyperlink" Target="https://www.tiktok.com/@ng.hamii" TargetMode="External"/><Relationship Id="rId61" Type="http://schemas.openxmlformats.org/officeDocument/2006/relationships/hyperlink" Target="https://docs.google.com/spreadsheets/d/16OvFx7PrR-T2MT2uGxvOhLg9LXOi0HWql6pSWU7HRfg/edit?gid=317397432" TargetMode="External"/><Relationship Id="rId64" Type="http://schemas.openxmlformats.org/officeDocument/2006/relationships/hyperlink" Target="https://docs.google.com/spreadsheets/d/1zp_LaYpWA9sZHsid5iK9uwpUrgqLfDp_I-uIAAKEj48/edit?gid=86066825" TargetMode="External"/><Relationship Id="rId63" Type="http://schemas.openxmlformats.org/officeDocument/2006/relationships/hyperlink" Target="https://fivestarnearyou.cp.com.vn/?Longtitude=105.48988584829794&amp;Latitude=9.128942686320757" TargetMode="External"/><Relationship Id="rId66" Type="http://schemas.openxmlformats.org/officeDocument/2006/relationships/hyperlink" Target="https://fivestarnearyou.cp.com.vn/?Longtitude=105.48988584829794&amp;Latitude=9.128942686320757" TargetMode="External"/><Relationship Id="rId65" Type="http://schemas.openxmlformats.org/officeDocument/2006/relationships/hyperlink" Target="https://www.tiktok.com/@ahthunek_" TargetMode="External"/><Relationship Id="rId68" Type="http://schemas.openxmlformats.org/officeDocument/2006/relationships/hyperlink" Target="https://www.tiktok.com/@tuanfoodkhongphet" TargetMode="External"/><Relationship Id="rId67" Type="http://schemas.openxmlformats.org/officeDocument/2006/relationships/hyperlink" Target="https://docs.google.com/spreadsheets/d/1zp_LaYpWA9sZHsid5iK9uwpUrgqLfDp_I-uIAAKEj48/edit?gid=86066825" TargetMode="External"/><Relationship Id="rId60" Type="http://schemas.openxmlformats.org/officeDocument/2006/relationships/hyperlink" Target="https://docs.google.com/spreadsheets/d/16OvFx7PrR-T2MT2uGxvOhLg9LXOi0HWql6pSWU7HRfg/edit?gid=317397432" TargetMode="External"/><Relationship Id="rId69" Type="http://schemas.openxmlformats.org/officeDocument/2006/relationships/hyperlink" Target="https://fivestarnearyou.cp.com.vn/?Longtitude=105.48988584829794&amp;Latitude=9.128942686320757" TargetMode="External"/><Relationship Id="rId51" Type="http://schemas.openxmlformats.org/officeDocument/2006/relationships/hyperlink" Target="https://www.tiktok.com/@vieinhcm"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docs.google.com/spreadsheets/d/16OvFx7PrR-T2MT2uGxvOhLg9LXOi0HWql6pSWU7HRfg/edit?gid=1826739190" TargetMode="External"/><Relationship Id="rId52" Type="http://schemas.openxmlformats.org/officeDocument/2006/relationships/hyperlink" Target="https://fivestarnearyou.cp.com.vn/?Longtitude=105.48988584829794&amp;Latitude=9.128942686320757" TargetMode="External"/><Relationship Id="rId55" Type="http://schemas.openxmlformats.org/officeDocument/2006/relationships/hyperlink" Target="https://fivestarnearyou.cp.com.vn/?Longtitude=105.48988584829794&amp;Latitude=9.128942686320757" TargetMode="External"/><Relationship Id="rId54" Type="http://schemas.openxmlformats.org/officeDocument/2006/relationships/hyperlink" Target="https://www.tiktok.com/@duongbaoanh2kk?_r=1&amp;_t=ZS-94n5aTW7D9A" TargetMode="External"/><Relationship Id="rId57" Type="http://schemas.openxmlformats.org/officeDocument/2006/relationships/hyperlink" Target="https://docs.google.com/spreadsheets/d/16OvFx7PrR-T2MT2uGxvOhLg9LXOi0HWql6pSWU7HRfg/edit?gid=317397432" TargetMode="External"/><Relationship Id="rId56" Type="http://schemas.openxmlformats.org/officeDocument/2006/relationships/hyperlink" Target="https://docs.google.com/spreadsheets/d/16OvFx7PrR-T2MT2uGxvOhLg9LXOi0HWql6pSWU7HRfg/edit?gid=317397432" TargetMode="External"/><Relationship Id="rId59" Type="http://schemas.openxmlformats.org/officeDocument/2006/relationships/hyperlink" Target="https://fivestarnearyou.cp.com.vn/?Longtitude=105.48988584829794&amp;Latitude=9.128942686320757" TargetMode="External"/><Relationship Id="rId58" Type="http://schemas.openxmlformats.org/officeDocument/2006/relationships/hyperlink" Target="http://tiktok.com/@vunguyetthu" TargetMode="External"/><Relationship Id="rId107" Type="http://schemas.openxmlformats.org/officeDocument/2006/relationships/hyperlink" Target="https://www.tiktok.com/@mienmanhanoi" TargetMode="External"/><Relationship Id="rId106" Type="http://schemas.openxmlformats.org/officeDocument/2006/relationships/hyperlink" Target="https://www.tiktok.com/@saigonmap" TargetMode="External"/><Relationship Id="rId105" Type="http://schemas.openxmlformats.org/officeDocument/2006/relationships/hyperlink" Target="https://docs.google.com/spreadsheets/d/1G2tMrOxJpcW3osvBoXzc-RPm5XZa-6xKs05LG1czwZ0/edit?gid=1537112938" TargetMode="External"/><Relationship Id="rId104" Type="http://schemas.openxmlformats.org/officeDocument/2006/relationships/hyperlink" Target="https://www.tiktok.com/@thongdongdoday?_r=1&amp;_t=ZS-94NJFKrtS9V" TargetMode="External"/><Relationship Id="rId109" Type="http://schemas.openxmlformats.org/officeDocument/2006/relationships/drawing" Target="../drawings/drawing21.xml"/><Relationship Id="rId108" Type="http://schemas.openxmlformats.org/officeDocument/2006/relationships/hyperlink" Target="https://docs.google.com/spreadsheets/d/1G2tMrOxJpcW3osvBoXzc-RPm5XZa-6xKs05LG1czwZ0/edit?gid=1537112938" TargetMode="External"/><Relationship Id="rId103" Type="http://schemas.openxmlformats.org/officeDocument/2006/relationships/hyperlink" Target="https://www.tiktok.com/@vivusaigon.vn" TargetMode="External"/><Relationship Id="rId102" Type="http://schemas.openxmlformats.org/officeDocument/2006/relationships/hyperlink" Target="https://docs.google.com/spreadsheets/d/1G2tMrOxJpcW3osvBoXzc-RPm5XZa-6xKs05LG1czwZ0/edit?gid=1537112938" TargetMode="External"/><Relationship Id="rId101" Type="http://schemas.openxmlformats.org/officeDocument/2006/relationships/hyperlink" Target="https://www.tiktok.com/@hanoiangi" TargetMode="External"/><Relationship Id="rId100" Type="http://schemas.openxmlformats.org/officeDocument/2006/relationships/hyperlink" Target="https://docs.google.com/spreadsheets/d/1G2tMrOxJpcW3osvBoXzc-RPm5XZa-6xKs05LG1czwZ0/edit?gid=1537112938" TargetMode="External"/><Relationship Id="rId95" Type="http://schemas.openxmlformats.org/officeDocument/2006/relationships/hyperlink" Target="https://www.facebook.com/groups/kosodoi" TargetMode="External"/><Relationship Id="rId94" Type="http://schemas.openxmlformats.org/officeDocument/2006/relationships/hyperlink" Target="https://docs.google.com/spreadsheets/d/1G2tMrOxJpcW3osvBoXzc-RPm5XZa-6xKs05LG1czwZ0/edit?gid=1537112938" TargetMode="External"/><Relationship Id="rId97" Type="http://schemas.openxmlformats.org/officeDocument/2006/relationships/hyperlink" Target="https://www.facebook.com/groups/gdl.mmsg/" TargetMode="External"/><Relationship Id="rId96" Type="http://schemas.openxmlformats.org/officeDocument/2006/relationships/hyperlink" Target="https://docs.google.com/spreadsheets/d/1G2tMrOxJpcW3osvBoXzc-RPm5XZa-6xKs05LG1czwZ0/edit?gid=1537112938" TargetMode="External"/><Relationship Id="rId99" Type="http://schemas.openxmlformats.org/officeDocument/2006/relationships/hyperlink" Target="https://www.facebook.com/groups/231350177556959/" TargetMode="External"/><Relationship Id="rId98" Type="http://schemas.openxmlformats.org/officeDocument/2006/relationships/hyperlink" Target="https://docs.google.com/spreadsheets/d/1G2tMrOxJpcW3osvBoXzc-RPm5XZa-6xKs05LG1czwZ0/edit?gid=1537112938" TargetMode="External"/><Relationship Id="rId91" Type="http://schemas.openxmlformats.org/officeDocument/2006/relationships/hyperlink" Target="https://www.facebook.com/DiaDiemAnUong" TargetMode="External"/><Relationship Id="rId90" Type="http://schemas.openxmlformats.org/officeDocument/2006/relationships/hyperlink" Target="https://docs.google.com/spreadsheets/d/16OvFx7PrR-T2MT2uGxvOhLg9LXOi0HWql6pSWU7HRfg/edit?gid=317397432" TargetMode="External"/><Relationship Id="rId93" Type="http://schemas.openxmlformats.org/officeDocument/2006/relationships/hyperlink" Target="https://www.facebook.com/themtivi" TargetMode="External"/><Relationship Id="rId92" Type="http://schemas.openxmlformats.org/officeDocument/2006/relationships/hyperlink" Target="https://docs.google.com/spreadsheets/d/1G2tMrOxJpcW3osvBoXzc-RPm5XZa-6xKs05LG1czwZ0/edit?gid=1537112938"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fivestarnearyou.cp.com.vn/?Longtitude=105.48988584829794&amp;Latitude=9.128942686320757" TargetMode="External"/><Relationship Id="rId42" Type="http://schemas.openxmlformats.org/officeDocument/2006/relationships/hyperlink" Target="https://fivestarnearyou.cp.com.vn/?Longtitude=105.48988584829794&amp;Latitude=9.128942686320757" TargetMode="External"/><Relationship Id="rId41" Type="http://schemas.openxmlformats.org/officeDocument/2006/relationships/hyperlink" Target="https://www.tiktok.com/@koinamang"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vieinhcm" TargetMode="External"/><Relationship Id="rId46" Type="http://schemas.openxmlformats.org/officeDocument/2006/relationships/hyperlink" Target="https://fivestarnearyou.cp.com.vn/?Longtitude=105.48988584829794&amp;Latitude=9.128942686320757" TargetMode="External"/><Relationship Id="rId45" Type="http://schemas.openxmlformats.org/officeDocument/2006/relationships/hyperlink" Target="https://www.tiktok.com/@duongbaoanh2kk?_r=1&amp;_t=ZS-94n5aTW7D9A" TargetMode="External"/><Relationship Id="rId48" Type="http://schemas.openxmlformats.org/officeDocument/2006/relationships/hyperlink" Target="https://fivestarnearyou.cp.com.vn/?Longtitude=105.48988584829794&amp;Latitude=9.128942686320757" TargetMode="External"/><Relationship Id="rId47" Type="http://schemas.openxmlformats.org/officeDocument/2006/relationships/hyperlink" Target="http://tiktok.com/@vunguyetthu" TargetMode="External"/><Relationship Id="rId49" Type="http://schemas.openxmlformats.org/officeDocument/2006/relationships/hyperlink" Target="https://www.tiktok.com/@ng.hamii" TargetMode="External"/><Relationship Id="rId31" Type="http://schemas.openxmlformats.org/officeDocument/2006/relationships/hyperlink" Target="https://www.tiktok.com/@dieuphuongne_?_r=1&amp;_t=ZS-92j9nP4c71B"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www.tiktok.com/@8vv000?_r=1&amp;_t=ZS-91WI3LmQD6F"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www.tiktok.com/@chucaofood?_t=8oLaNxaWT8E&amp;_r=1" TargetMode="External"/><Relationship Id="rId34" Type="http://schemas.openxmlformats.org/officeDocument/2006/relationships/hyperlink" Target="https://fivestarnearyou.cp.com.vn/?Longtitude=105.48988584829794&amp;Latitude=9.128942686320757" TargetMode="External"/><Relationship Id="rId37" Type="http://schemas.openxmlformats.org/officeDocument/2006/relationships/hyperlink" Target="https://www.tiktok.com/@hi.an.ne" TargetMode="External"/><Relationship Id="rId36" Type="http://schemas.openxmlformats.org/officeDocument/2006/relationships/hyperlink" Target="https://fivestarnearyou.cp.com.vn/?Longtitude=105.48988584829794&amp;Latitude=9.128942686320757" TargetMode="External"/><Relationship Id="rId39" Type="http://schemas.openxmlformats.org/officeDocument/2006/relationships/hyperlink" Target="https://www.tiktok.com/@vuvicungyuhi"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fivestarnearyou.cp.com.vn/?Longtitude=105.48988584829794&amp;Latitude=9.128942686320757" TargetMode="External"/><Relationship Id="rId22" Type="http://schemas.openxmlformats.org/officeDocument/2006/relationships/hyperlink" Target="https://fivestarnearyou.cp.com.vn/?Longtitude=105.48988584829794&amp;Latitude=9.128942686320757" TargetMode="External"/><Relationship Id="rId21" Type="http://schemas.openxmlformats.org/officeDocument/2006/relationships/hyperlink" Target="https://www.tiktok.com/@foodtravelhanoi?_t=ZS-8tu0XudOugL&amp;_r=1"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anchoicungvanh?_r=1&amp;_t=ZS-93X6USlK0e1" TargetMode="External"/><Relationship Id="rId26" Type="http://schemas.openxmlformats.org/officeDocument/2006/relationships/hyperlink" Target="https://fivestarnearyou.cp.com.vn/?Longtitude=105.48988584829794&amp;Latitude=9.128942686320757" TargetMode="External"/><Relationship Id="rId25" Type="http://schemas.openxmlformats.org/officeDocument/2006/relationships/hyperlink" Target="https://www.tiktok.com/@tieuchereview?_t=ZS-8tu0uJ77dVR&amp;_r=1" TargetMode="External"/><Relationship Id="rId28" Type="http://schemas.openxmlformats.org/officeDocument/2006/relationships/hyperlink" Target="https://fivestarnearyou.cp.com.vn/?Longtitude=105.48988584829794&amp;Latitude=9.128942686320757" TargetMode="External"/><Relationship Id="rId27" Type="http://schemas.openxmlformats.org/officeDocument/2006/relationships/hyperlink" Target="https://www.tiktok.com/@bobiengan?_t=ZS-8tu0m1Vyokq&amp;_r=1u0odLK9R3&amp;_r=1" TargetMode="External"/><Relationship Id="rId29" Type="http://schemas.openxmlformats.org/officeDocument/2006/relationships/hyperlink" Target="https://www.tiktok.com/@nhamay1606" TargetMode="External"/><Relationship Id="rId11" Type="http://schemas.openxmlformats.org/officeDocument/2006/relationships/hyperlink" Target="https://fivestarnearyou.cp.com.vn/?Longtitude=105.48988584829794&amp;Latitude=9.128942686320757" TargetMode="External"/><Relationship Id="rId10" Type="http://schemas.openxmlformats.org/officeDocument/2006/relationships/hyperlink" Target="https://www.tiktok.com/@hhuyennhiii" TargetMode="External"/><Relationship Id="rId13" Type="http://schemas.openxmlformats.org/officeDocument/2006/relationships/hyperlink" Target="https://fivestarnearyou.cp.com.vn/?Longtitude=105.48988584829794&amp;Latitude=9.128942686320757" TargetMode="External"/><Relationship Id="rId12" Type="http://schemas.openxmlformats.org/officeDocument/2006/relationships/hyperlink" Target="https://www.tiktok.com/@thubonny"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nuchuu.0401" TargetMode="External"/><Relationship Id="rId17" Type="http://schemas.openxmlformats.org/officeDocument/2006/relationships/hyperlink" Target="https://www.tiktok.com/@anngoncungpuu?_t=8caIQvvAxxy&amp;_r=1" TargetMode="External"/><Relationship Id="rId16" Type="http://schemas.openxmlformats.org/officeDocument/2006/relationships/hyperlink" Target="https://www.tiktok.com/@nuchuu.0401/video/7598539556157246738" TargetMode="External"/><Relationship Id="rId19" Type="http://schemas.openxmlformats.org/officeDocument/2006/relationships/hyperlink" Target="https://www.tiktok.com/@phamtrang.2401" TargetMode="External"/><Relationship Id="rId18" Type="http://schemas.openxmlformats.org/officeDocument/2006/relationships/hyperlink" Target="https://fivestarnearyou.cp.com.vn/?Longtitude=105.48988584829794&amp;Latitude=9.128942686320757"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tiktok.com/@thangloi2k2?_t=8W1SCUWFQaQ&amp;_r=1" TargetMode="External"/><Relationship Id="rId9" Type="http://schemas.openxmlformats.org/officeDocument/2006/relationships/hyperlink" Target="https://fivestarnearyou.cp.com.vn/?Longtitude=105.48988584829794&amp;Latitude=9.128942686320757"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www.tiktok.com/@lulureview_" TargetMode="External"/><Relationship Id="rId7" Type="http://schemas.openxmlformats.org/officeDocument/2006/relationships/hyperlink" Target="https://fivestarnearyou.cp.com.vn/?Longtitude=105.48988584829794&amp;Latitude=9.128942686320757" TargetMode="External"/><Relationship Id="rId8" Type="http://schemas.openxmlformats.org/officeDocument/2006/relationships/hyperlink" Target="https://www.tiktok.com/@hellolapday" TargetMode="External"/><Relationship Id="rId73" Type="http://schemas.openxmlformats.org/officeDocument/2006/relationships/hyperlink" Target="https://www.tiktok.com/@saigonmap" TargetMode="External"/><Relationship Id="rId72" Type="http://schemas.openxmlformats.org/officeDocument/2006/relationships/hyperlink" Target="https://www.tiktok.com/@thongdongdoday?_r=1&amp;_t=ZS-94NJFKrtS9V" TargetMode="External"/><Relationship Id="rId75" Type="http://schemas.openxmlformats.org/officeDocument/2006/relationships/drawing" Target="../drawings/drawing22.xml"/><Relationship Id="rId74" Type="http://schemas.openxmlformats.org/officeDocument/2006/relationships/hyperlink" Target="https://www.tiktok.com/@mienmanhanoi" TargetMode="External"/><Relationship Id="rId76" Type="http://schemas.openxmlformats.org/officeDocument/2006/relationships/vmlDrawing" Target="../drawings/vmlDrawing5.vml"/><Relationship Id="rId71" Type="http://schemas.openxmlformats.org/officeDocument/2006/relationships/hyperlink" Target="https://www.tiktok.com/@vivusaigon.vn" TargetMode="External"/><Relationship Id="rId70" Type="http://schemas.openxmlformats.org/officeDocument/2006/relationships/hyperlink" Target="https://www.tiktok.com/@hanoiangi" TargetMode="External"/><Relationship Id="rId62" Type="http://schemas.openxmlformats.org/officeDocument/2006/relationships/hyperlink" Target="https://fivestarnearyou.cp.com.vn/?Longtitude=105.48988584829794&amp;Latitude=9.128942686320757" TargetMode="External"/><Relationship Id="rId61" Type="http://schemas.openxmlformats.org/officeDocument/2006/relationships/hyperlink" Target="http://www.tiktok.com/@lysambonreview" TargetMode="External"/><Relationship Id="rId64" Type="http://schemas.openxmlformats.org/officeDocument/2006/relationships/hyperlink" Target="https://fivestarnearyou.cp.com.vn/?Longtitude=105.48988584829794&amp;Latitude=9.128942686320757" TargetMode="External"/><Relationship Id="rId63" Type="http://schemas.openxmlformats.org/officeDocument/2006/relationships/hyperlink" Target="https://www.tiktok.com/@meshushi121" TargetMode="External"/><Relationship Id="rId66" Type="http://schemas.openxmlformats.org/officeDocument/2006/relationships/hyperlink" Target="https://www.facebook.com/themtivi" TargetMode="External"/><Relationship Id="rId65" Type="http://schemas.openxmlformats.org/officeDocument/2006/relationships/hyperlink" Target="https://www.facebook.com/DiaDiemAnUong" TargetMode="External"/><Relationship Id="rId68" Type="http://schemas.openxmlformats.org/officeDocument/2006/relationships/hyperlink" Target="https://www.facebook.com/groups/gdl.mmsg/" TargetMode="External"/><Relationship Id="rId67" Type="http://schemas.openxmlformats.org/officeDocument/2006/relationships/hyperlink" Target="https://www.facebook.com/groups/kosodoi"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www.facebook.com/groups/231350177556959/" TargetMode="External"/><Relationship Id="rId51" Type="http://schemas.openxmlformats.org/officeDocument/2006/relationships/hyperlink" Target="https://www.tiktok.com/@ahthunek_"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www.tiktok.com/@tuanfoodkhongphet" TargetMode="External"/><Relationship Id="rId52" Type="http://schemas.openxmlformats.org/officeDocument/2006/relationships/hyperlink" Target="https://fivestarnearyou.cp.com.vn/?Longtitude=105.48988584829794&amp;Latitude=9.128942686320757" TargetMode="External"/><Relationship Id="rId55" Type="http://schemas.openxmlformats.org/officeDocument/2006/relationships/hyperlink" Target="https://www.tiktok.com/@zan.riviu?_r=1&amp;_t=ZS-94n3uOkLyE8" TargetMode="External"/><Relationship Id="rId54" Type="http://schemas.openxmlformats.org/officeDocument/2006/relationships/hyperlink" Target="https://fivestarnearyou.cp.com.vn/?Longtitude=105.48988584829794&amp;Latitude=9.128942686320757" TargetMode="External"/><Relationship Id="rId57" Type="http://schemas.openxmlformats.org/officeDocument/2006/relationships/hyperlink" Target="https://www.tiktok.com/@phuongoychillthoy" TargetMode="External"/><Relationship Id="rId56" Type="http://schemas.openxmlformats.org/officeDocument/2006/relationships/hyperlink" Target="https://fivestarnearyou.cp.com.vn/?Longtitude=105.48988584829794&amp;Latitude=9.128942686320757" TargetMode="External"/><Relationship Id="rId59" Type="http://schemas.openxmlformats.org/officeDocument/2006/relationships/hyperlink" Target="https://www.tiktok.com/@huynhhongocduc" TargetMode="External"/><Relationship Id="rId58" Type="http://schemas.openxmlformats.org/officeDocument/2006/relationships/hyperlink" Target="https://fivestarnearyou.cp.com.vn/?Longtitude=105.48988584829794&amp;Latitude=9.128942686320757" TargetMode="Externa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spreadsheets/d/1vaepmEWZwQPcFnJybT7zJVCFQxsVk_MSW_pJStnUg6U/edit?gid=153416723" TargetMode="External"/><Relationship Id="rId5" Type="http://schemas.openxmlformats.org/officeDocument/2006/relationships/hyperlink" Target="https://docs.google.com/spreadsheets/d/1vaepmEWZwQPcFnJybT7zJVCFQxsVk_MSW_pJStnUg6U/edit?gid=153416723" TargetMode="External"/><Relationship Id="rId6" Type="http://schemas.openxmlformats.org/officeDocument/2006/relationships/hyperlink" Target="https://docs.google.com/spreadsheets/d/1vaepmEWZwQPcFnJybT7zJVCFQxsVk_MSW_pJStnUg6U/edit?gid=153416723" TargetMode="External"/><Relationship Id="rId7" Type="http://schemas.openxmlformats.org/officeDocument/2006/relationships/drawing" Target="../drawings/drawing23.xml"/><Relationship Id="rId8"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40" Type="http://schemas.openxmlformats.org/officeDocument/2006/relationships/hyperlink" Target="https://fivestarnearyou.cp.com.vn/?Longtitude=105.48988584829794&amp;Latitude=9.128942686320757" TargetMode="External"/><Relationship Id="rId42" Type="http://schemas.openxmlformats.org/officeDocument/2006/relationships/hyperlink" Target="https://fivestarnearyou.cp.com.vn/?Longtitude=105.48988584829794&amp;Latitude=9.128942686320757" TargetMode="External"/><Relationship Id="rId41" Type="http://schemas.openxmlformats.org/officeDocument/2006/relationships/hyperlink" Target="http://tiktok.com/@vunguyetthu" TargetMode="External"/><Relationship Id="rId44" Type="http://schemas.openxmlformats.org/officeDocument/2006/relationships/hyperlink" Target="https://fivestarnearyou.cp.com.vn/?Longtitude=105.48988584829794&amp;Latitude=9.128942686320757" TargetMode="External"/><Relationship Id="rId43" Type="http://schemas.openxmlformats.org/officeDocument/2006/relationships/hyperlink" Target="https://www.tiktok.com/@ng.hamii" TargetMode="External"/><Relationship Id="rId46" Type="http://schemas.openxmlformats.org/officeDocument/2006/relationships/hyperlink" Target="https://fivestarnearyou.cp.com.vn/?Longtitude=105.48988584829794&amp;Latitude=9.128942686320757" TargetMode="External"/><Relationship Id="rId45" Type="http://schemas.openxmlformats.org/officeDocument/2006/relationships/hyperlink" Target="https://www.tiktok.com/@tuanfoodkhongphet" TargetMode="External"/><Relationship Id="rId48" Type="http://schemas.openxmlformats.org/officeDocument/2006/relationships/hyperlink" Target="https://fivestarnearyou.cp.com.vn/?Longtitude=105.48988584829794&amp;Latitude=9.128942686320757" TargetMode="External"/><Relationship Id="rId47" Type="http://schemas.openxmlformats.org/officeDocument/2006/relationships/hyperlink" Target="https://www.tiktok.com/@banhudaayyy?_r=1&amp;_t=ZS-96SZmB6SpNM" TargetMode="External"/><Relationship Id="rId49" Type="http://schemas.openxmlformats.org/officeDocument/2006/relationships/hyperlink" Target="https://www.tiktok.com/@thodiahanois?_r=1&amp;_t=ZS-96SZmaMmEGS" TargetMode="External"/><Relationship Id="rId31" Type="http://schemas.openxmlformats.org/officeDocument/2006/relationships/hyperlink" Target="https://www.tiktok.com/@hi.an.ne" TargetMode="External"/><Relationship Id="rId30" Type="http://schemas.openxmlformats.org/officeDocument/2006/relationships/hyperlink" Target="https://fivestarnearyou.cp.com.vn/?Longtitude=105.48988584829794&amp;Latitude=9.128942686320757" TargetMode="External"/><Relationship Id="rId33" Type="http://schemas.openxmlformats.org/officeDocument/2006/relationships/hyperlink" Target="https://www.tiktok.com/@vuvicungyuhi" TargetMode="External"/><Relationship Id="rId32" Type="http://schemas.openxmlformats.org/officeDocument/2006/relationships/hyperlink" Target="https://fivestarnearyou.cp.com.vn/?Longtitude=105.48988584829794&amp;Latitude=9.128942686320757" TargetMode="External"/><Relationship Id="rId35" Type="http://schemas.openxmlformats.org/officeDocument/2006/relationships/hyperlink" Target="https://www.tiktok.com/@koinamang" TargetMode="External"/><Relationship Id="rId34" Type="http://schemas.openxmlformats.org/officeDocument/2006/relationships/hyperlink" Target="https://fivestarnearyou.cp.com.vn/?Longtitude=105.48988584829794&amp;Latitude=9.128942686320757" TargetMode="External"/><Relationship Id="rId37" Type="http://schemas.openxmlformats.org/officeDocument/2006/relationships/hyperlink" Target="https://www.tiktok.com/@vieinhcm" TargetMode="External"/><Relationship Id="rId36" Type="http://schemas.openxmlformats.org/officeDocument/2006/relationships/hyperlink" Target="https://fivestarnearyou.cp.com.vn/?Longtitude=105.48988584829794&amp;Latitude=9.128942686320757" TargetMode="External"/><Relationship Id="rId39" Type="http://schemas.openxmlformats.org/officeDocument/2006/relationships/hyperlink" Target="https://www.tiktok.com/@duongbaoanh2kk?_r=1&amp;_t=ZS-94n5aTW7D9A" TargetMode="External"/><Relationship Id="rId38" Type="http://schemas.openxmlformats.org/officeDocument/2006/relationships/hyperlink" Target="https://fivestarnearyou.cp.com.vn/?Longtitude=105.48988584829794&amp;Latitude=9.128942686320757" TargetMode="External"/><Relationship Id="rId20" Type="http://schemas.openxmlformats.org/officeDocument/2006/relationships/hyperlink" Target="https://fivestarnearyou.cp.com.vn/?Longtitude=105.48988584829794&amp;Latitude=9.128942686320757" TargetMode="External"/><Relationship Id="rId22" Type="http://schemas.openxmlformats.org/officeDocument/2006/relationships/hyperlink" Target="https://fivestarnearyou.cp.com.vn/?Longtitude=105.48988584829794&amp;Latitude=9.128942686320757" TargetMode="External"/><Relationship Id="rId21" Type="http://schemas.openxmlformats.org/officeDocument/2006/relationships/hyperlink" Target="https://www.tiktok.com/@bobiengan?_t=ZS-8tu0m1Vyokq&amp;_r=1u0odLK9R3&amp;_r=1" TargetMode="External"/><Relationship Id="rId24" Type="http://schemas.openxmlformats.org/officeDocument/2006/relationships/hyperlink" Target="https://fivestarnearyou.cp.com.vn/?Longtitude=105.48988584829794&amp;Latitude=9.128942686320757" TargetMode="External"/><Relationship Id="rId23" Type="http://schemas.openxmlformats.org/officeDocument/2006/relationships/hyperlink" Target="https://www.tiktok.com/@nhamay1606" TargetMode="External"/><Relationship Id="rId26" Type="http://schemas.openxmlformats.org/officeDocument/2006/relationships/hyperlink" Target="https://fivestarnearyou.cp.com.vn/?Longtitude=105.48988584829794&amp;Latitude=9.128942686320757" TargetMode="External"/><Relationship Id="rId25" Type="http://schemas.openxmlformats.org/officeDocument/2006/relationships/hyperlink" Target="https://www.tiktok.com/@dieuphuongne_?_r=1&amp;_t=ZS-92j9nP4c71B" TargetMode="External"/><Relationship Id="rId28" Type="http://schemas.openxmlformats.org/officeDocument/2006/relationships/hyperlink" Target="https://fivestarnearyou.cp.com.vn/?Longtitude=105.48988584829794&amp;Latitude=9.128942686320757" TargetMode="External"/><Relationship Id="rId27" Type="http://schemas.openxmlformats.org/officeDocument/2006/relationships/hyperlink" Target="https://www.tiktok.com/@8vv000?_r=1&amp;_t=ZS-91WI3LmQD6F" TargetMode="External"/><Relationship Id="rId29" Type="http://schemas.openxmlformats.org/officeDocument/2006/relationships/hyperlink" Target="https://www.tiktok.com/@chucaofood?_t=8oLaNxaWT8E&amp;_r=1" TargetMode="External"/><Relationship Id="rId11" Type="http://schemas.openxmlformats.org/officeDocument/2006/relationships/hyperlink" Target="https://fivestarnearyou.cp.com.vn/?Longtitude=105.48988584829794&amp;Latitude=9.128942686320757" TargetMode="External"/><Relationship Id="rId10" Type="http://schemas.openxmlformats.org/officeDocument/2006/relationships/hyperlink" Target="https://www.tiktok.com/@hhuyennhiii" TargetMode="External"/><Relationship Id="rId13" Type="http://schemas.openxmlformats.org/officeDocument/2006/relationships/hyperlink" Target="https://fivestarnearyou.cp.com.vn/?Longtitude=105.48988584829794&amp;Latitude=9.128942686320757" TargetMode="External"/><Relationship Id="rId12" Type="http://schemas.openxmlformats.org/officeDocument/2006/relationships/hyperlink" Target="https://www.tiktok.com/@thubonny" TargetMode="External"/><Relationship Id="rId15" Type="http://schemas.openxmlformats.org/officeDocument/2006/relationships/hyperlink" Target="https://fivestarnearyou.cp.com.vn/?Longtitude=105.48988584829794&amp;Latitude=9.128942686320757" TargetMode="External"/><Relationship Id="rId14" Type="http://schemas.openxmlformats.org/officeDocument/2006/relationships/hyperlink" Target="https://www.tiktok.com/@nuchuu.0401" TargetMode="External"/><Relationship Id="rId17" Type="http://schemas.openxmlformats.org/officeDocument/2006/relationships/hyperlink" Target="https://www.tiktok.com/@anngoncungpuu?_t=8caIQvvAxxy&amp;_r=1" TargetMode="External"/><Relationship Id="rId16" Type="http://schemas.openxmlformats.org/officeDocument/2006/relationships/hyperlink" Target="https://www.tiktok.com/@nuchuu.0401/video/7598539556157246738" TargetMode="External"/><Relationship Id="rId19" Type="http://schemas.openxmlformats.org/officeDocument/2006/relationships/hyperlink" Target="https://www.tiktok.com/@phamtrang.2401" TargetMode="External"/><Relationship Id="rId18" Type="http://schemas.openxmlformats.org/officeDocument/2006/relationships/hyperlink" Target="https://fivestarnearyou.cp.com.vn/?Longtitude=105.48988584829794&amp;Latitude=9.128942686320757"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tiktok.com/@thangloi2k2?_t=8W1SCUWFQaQ&amp;_r=1" TargetMode="External"/><Relationship Id="rId9" Type="http://schemas.openxmlformats.org/officeDocument/2006/relationships/hyperlink" Target="https://fivestarnearyou.cp.com.vn/?Longtitude=105.48988584829794&amp;Latitude=9.128942686320757" TargetMode="External"/><Relationship Id="rId5" Type="http://schemas.openxmlformats.org/officeDocument/2006/relationships/hyperlink" Target="https://fivestarnearyou.cp.com.vn/?Longtitude=105.48988584829794&amp;Latitude=9.128942686320757" TargetMode="External"/><Relationship Id="rId6" Type="http://schemas.openxmlformats.org/officeDocument/2006/relationships/hyperlink" Target="https://www.tiktok.com/@lulureview_" TargetMode="External"/><Relationship Id="rId7" Type="http://schemas.openxmlformats.org/officeDocument/2006/relationships/hyperlink" Target="https://fivestarnearyou.cp.com.vn/?Longtitude=105.48988584829794&amp;Latitude=9.128942686320757" TargetMode="External"/><Relationship Id="rId8" Type="http://schemas.openxmlformats.org/officeDocument/2006/relationships/hyperlink" Target="https://www.tiktok.com/@hellolapday" TargetMode="External"/><Relationship Id="rId73" Type="http://schemas.openxmlformats.org/officeDocument/2006/relationships/drawing" Target="../drawings/drawing24.xml"/><Relationship Id="rId72" Type="http://schemas.openxmlformats.org/officeDocument/2006/relationships/hyperlink" Target="https://www.tiktok.com/@mienmanhanoi" TargetMode="External"/><Relationship Id="rId74" Type="http://schemas.openxmlformats.org/officeDocument/2006/relationships/vmlDrawing" Target="../drawings/vmlDrawing7.vml"/><Relationship Id="rId71" Type="http://schemas.openxmlformats.org/officeDocument/2006/relationships/hyperlink" Target="https://www.tiktok.com/@saigonmap" TargetMode="External"/><Relationship Id="rId70" Type="http://schemas.openxmlformats.org/officeDocument/2006/relationships/hyperlink" Target="https://www.tiktok.com/@thongdongdoday?_r=1&amp;_t=ZS-94NJFKrtS9V" TargetMode="External"/><Relationship Id="rId62" Type="http://schemas.openxmlformats.org/officeDocument/2006/relationships/hyperlink" Target="https://fivestarnearyou.cp.com.vn/?Longtitude=105.48988584829794&amp;Latitude=9.128942686320757" TargetMode="External"/><Relationship Id="rId61" Type="http://schemas.openxmlformats.org/officeDocument/2006/relationships/hyperlink" Target="https://www.tiktok.com/@meshushi121" TargetMode="External"/><Relationship Id="rId64" Type="http://schemas.openxmlformats.org/officeDocument/2006/relationships/hyperlink" Target="https://www.facebook.com/themtivi" TargetMode="External"/><Relationship Id="rId63" Type="http://schemas.openxmlformats.org/officeDocument/2006/relationships/hyperlink" Target="https://www.facebook.com/DiaDiemAnUong" TargetMode="External"/><Relationship Id="rId66" Type="http://schemas.openxmlformats.org/officeDocument/2006/relationships/hyperlink" Target="https://www.facebook.com/groups/gdl.mmsg/" TargetMode="External"/><Relationship Id="rId65" Type="http://schemas.openxmlformats.org/officeDocument/2006/relationships/hyperlink" Target="https://www.facebook.com/groups/kosodoi" TargetMode="External"/><Relationship Id="rId68" Type="http://schemas.openxmlformats.org/officeDocument/2006/relationships/hyperlink" Target="https://www.tiktok.com/@hanoiangi" TargetMode="External"/><Relationship Id="rId67" Type="http://schemas.openxmlformats.org/officeDocument/2006/relationships/hyperlink" Target="https://www.facebook.com/groups/231350177556959/" TargetMode="External"/><Relationship Id="rId60" Type="http://schemas.openxmlformats.org/officeDocument/2006/relationships/hyperlink" Target="https://fivestarnearyou.cp.com.vn/?Longtitude=105.48988584829794&amp;Latitude=9.128942686320757" TargetMode="External"/><Relationship Id="rId69" Type="http://schemas.openxmlformats.org/officeDocument/2006/relationships/hyperlink" Target="https://www.tiktok.com/@vivusaigon.vn" TargetMode="External"/><Relationship Id="rId51" Type="http://schemas.openxmlformats.org/officeDocument/2006/relationships/hyperlink" Target="https://www.tiktok.com/@mn.ngon.h.ni?is_from_webapp=1&amp;sender_device=pc" TargetMode="External"/><Relationship Id="rId50" Type="http://schemas.openxmlformats.org/officeDocument/2006/relationships/hyperlink" Target="https://fivestarnearyou.cp.com.vn/?Longtitude=105.48988584829794&amp;Latitude=9.128942686320757" TargetMode="External"/><Relationship Id="rId53" Type="http://schemas.openxmlformats.org/officeDocument/2006/relationships/hyperlink" Target="https://www.tiktok.com/@zan.riviu?_r=1&amp;_t=ZS-94n3uOkLyE8" TargetMode="External"/><Relationship Id="rId52" Type="http://schemas.openxmlformats.org/officeDocument/2006/relationships/hyperlink" Target="https://fivestarnearyou.cp.com.vn/?Longtitude=105.48988584829794&amp;Latitude=9.128942686320757" TargetMode="External"/><Relationship Id="rId55" Type="http://schemas.openxmlformats.org/officeDocument/2006/relationships/hyperlink" Target="https://www.tiktok.com/@phuongoychillthoy" TargetMode="External"/><Relationship Id="rId54" Type="http://schemas.openxmlformats.org/officeDocument/2006/relationships/hyperlink" Target="https://fivestarnearyou.cp.com.vn/?Longtitude=105.48988584829794&amp;Latitude=9.128942686320757" TargetMode="External"/><Relationship Id="rId57" Type="http://schemas.openxmlformats.org/officeDocument/2006/relationships/hyperlink" Target="https://www.tiktok.com/@huynhhongocduc" TargetMode="External"/><Relationship Id="rId56" Type="http://schemas.openxmlformats.org/officeDocument/2006/relationships/hyperlink" Target="https://fivestarnearyou.cp.com.vn/?Longtitude=105.48988584829794&amp;Latitude=9.128942686320757" TargetMode="External"/><Relationship Id="rId59" Type="http://schemas.openxmlformats.org/officeDocument/2006/relationships/hyperlink" Target="http://www.tiktok.com/@lysambonreview" TargetMode="External"/><Relationship Id="rId58" Type="http://schemas.openxmlformats.org/officeDocument/2006/relationships/hyperlink" Target="https://fivestarnearyou.cp.com.vn/?Longtitude=105.48988584829794&amp;Latitude=9.12894268632075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2229"/>
    <outlinePr summaryBelow="0" summaryRight="0"/>
  </sheetPr>
  <sheetViews>
    <sheetView workbookViewId="0"/>
  </sheetViews>
  <sheetFormatPr customHeight="1" defaultColWidth="12.63" defaultRowHeight="15.75"/>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2" width="13.25"/>
    <col customWidth="1" min="23" max="23" width="7.25"/>
  </cols>
  <sheetData>
    <row r="1" outlineLevel="1">
      <c r="A1" s="1" t="s">
        <v>0</v>
      </c>
      <c r="B1" s="2"/>
      <c r="C1" s="2"/>
      <c r="D1" s="3"/>
      <c r="E1" s="2"/>
      <c r="F1" s="4"/>
      <c r="G1" s="2"/>
      <c r="H1" s="2"/>
      <c r="I1" s="2"/>
      <c r="J1" s="2"/>
      <c r="K1" s="5"/>
      <c r="L1" s="6"/>
      <c r="M1" s="6"/>
      <c r="N1" s="6"/>
      <c r="O1" s="6"/>
      <c r="P1" s="6"/>
      <c r="Q1" s="6"/>
      <c r="R1" s="7"/>
      <c r="S1" s="8"/>
      <c r="T1" s="8"/>
      <c r="U1" s="8"/>
      <c r="V1" s="8"/>
      <c r="W1" s="9"/>
    </row>
    <row r="2" outlineLevel="1">
      <c r="A2" s="10"/>
      <c r="B2" s="11"/>
      <c r="C2" s="11"/>
      <c r="D2" s="11"/>
      <c r="E2" s="2"/>
      <c r="F2" s="4"/>
      <c r="G2" s="2"/>
      <c r="H2" s="2"/>
      <c r="I2" s="2"/>
      <c r="J2" s="2"/>
      <c r="K2" s="5"/>
      <c r="L2" s="6"/>
      <c r="M2" s="6"/>
      <c r="N2" s="6"/>
      <c r="O2" s="6"/>
      <c r="P2" s="6"/>
      <c r="Q2" s="6"/>
      <c r="R2" s="7"/>
      <c r="S2" s="8"/>
      <c r="T2" s="8"/>
      <c r="U2" s="8"/>
      <c r="V2" s="8"/>
      <c r="W2" s="9"/>
    </row>
    <row r="3" ht="27.0" customHeight="1" outlineLevel="1">
      <c r="A3" s="12" t="s">
        <v>1</v>
      </c>
      <c r="B3" s="13" t="s">
        <v>2</v>
      </c>
      <c r="C3" s="14" t="s">
        <v>3</v>
      </c>
      <c r="D3" s="14" t="s">
        <v>4</v>
      </c>
      <c r="E3" s="15" t="s">
        <v>5</v>
      </c>
      <c r="J3" s="6"/>
      <c r="K3" s="2"/>
      <c r="L3" s="5"/>
      <c r="M3" s="6"/>
      <c r="N3" s="6"/>
      <c r="O3" s="6"/>
      <c r="P3" s="6"/>
      <c r="Q3" s="6"/>
      <c r="R3" s="16"/>
      <c r="S3" s="7"/>
      <c r="T3" s="7"/>
      <c r="U3" s="7"/>
      <c r="V3" s="7"/>
      <c r="W3" s="9"/>
    </row>
    <row r="4" ht="27.0" customHeight="1" outlineLevel="1">
      <c r="A4" s="17"/>
      <c r="B4" s="18"/>
      <c r="C4" s="19" t="s">
        <v>6</v>
      </c>
      <c r="D4" s="20">
        <f>sum(D5,D7,D9:D10)</f>
        <v>37</v>
      </c>
      <c r="E4" s="20">
        <f>Sum(E5:E11)</f>
        <v>616000000</v>
      </c>
      <c r="J4" s="2"/>
      <c r="K4" s="2"/>
      <c r="L4" s="5"/>
      <c r="M4" s="6"/>
      <c r="N4" s="6"/>
      <c r="O4" s="6"/>
      <c r="P4" s="6"/>
      <c r="Q4" s="6"/>
      <c r="R4" s="16"/>
      <c r="S4" s="7"/>
      <c r="T4" s="7"/>
      <c r="U4" s="7"/>
      <c r="V4" s="7"/>
      <c r="W4" s="9"/>
    </row>
    <row r="5" ht="27.0" customHeight="1" outlineLevel="1">
      <c r="A5" s="21">
        <v>1.0</v>
      </c>
      <c r="B5" s="22" t="str">
        <f>A20</f>
        <v>FOODY REVIEWER</v>
      </c>
      <c r="C5" s="23" t="s">
        <v>7</v>
      </c>
      <c r="D5" s="24">
        <f t="shared" ref="D5:D6" si="1">K20</f>
        <v>9</v>
      </c>
      <c r="E5" s="25">
        <f>Q20</f>
        <v>217000000</v>
      </c>
      <c r="J5" s="2"/>
      <c r="K5" s="2"/>
      <c r="L5" s="5"/>
      <c r="M5" s="6"/>
      <c r="N5" s="6"/>
      <c r="O5" s="6"/>
      <c r="P5" s="6"/>
      <c r="Q5" s="6"/>
      <c r="R5" s="16"/>
      <c r="S5" s="7"/>
      <c r="T5" s="7"/>
      <c r="U5" s="7"/>
      <c r="V5" s="7"/>
      <c r="W5" s="9"/>
    </row>
    <row r="6" ht="27.0" customHeight="1" outlineLevel="1">
      <c r="A6" s="26"/>
      <c r="B6" s="26"/>
      <c r="C6" s="23" t="s">
        <v>8</v>
      </c>
      <c r="D6" s="24">
        <f t="shared" si="1"/>
        <v>9</v>
      </c>
      <c r="E6" s="26"/>
      <c r="J6" s="2"/>
      <c r="K6" s="2"/>
      <c r="L6" s="5"/>
      <c r="M6" s="6"/>
      <c r="N6" s="6"/>
      <c r="O6" s="6"/>
      <c r="P6" s="6"/>
      <c r="Q6" s="6"/>
      <c r="R6" s="16"/>
      <c r="S6" s="7"/>
      <c r="T6" s="7"/>
      <c r="U6" s="7"/>
      <c r="V6" s="7"/>
      <c r="W6" s="9"/>
    </row>
    <row r="7" ht="27.0" customHeight="1" outlineLevel="1">
      <c r="A7" s="27">
        <v>2.0</v>
      </c>
      <c r="B7" s="22" t="str">
        <f>A50</f>
        <v>FOODY UGC</v>
      </c>
      <c r="C7" s="23" t="s">
        <v>7</v>
      </c>
      <c r="D7" s="24">
        <f t="shared" ref="D7:D8" si="2">K50</f>
        <v>18</v>
      </c>
      <c r="E7" s="25">
        <f>Q50</f>
        <v>163000000</v>
      </c>
      <c r="J7" s="2"/>
      <c r="K7" s="2"/>
      <c r="L7" s="5"/>
      <c r="M7" s="6"/>
      <c r="N7" s="6"/>
      <c r="O7" s="6"/>
      <c r="P7" s="6"/>
      <c r="Q7" s="6"/>
      <c r="R7" s="16"/>
      <c r="S7" s="7"/>
      <c r="T7" s="7"/>
      <c r="U7" s="7"/>
      <c r="V7" s="7"/>
      <c r="W7" s="9"/>
    </row>
    <row r="8" ht="27.0" customHeight="1" outlineLevel="1">
      <c r="A8" s="26"/>
      <c r="B8" s="26"/>
      <c r="C8" s="23" t="s">
        <v>8</v>
      </c>
      <c r="D8" s="28">
        <f t="shared" si="2"/>
        <v>18</v>
      </c>
      <c r="E8" s="26"/>
      <c r="J8" s="2"/>
      <c r="K8" s="2"/>
      <c r="L8" s="5"/>
      <c r="M8" s="6"/>
      <c r="N8" s="6"/>
      <c r="O8" s="6"/>
      <c r="P8" s="6"/>
      <c r="Q8" s="6"/>
      <c r="R8" s="16"/>
      <c r="S8" s="7"/>
      <c r="T8" s="7"/>
      <c r="U8" s="7"/>
      <c r="V8" s="7"/>
      <c r="W8" s="9"/>
    </row>
    <row r="9" ht="27.0" customHeight="1" outlineLevel="1">
      <c r="A9" s="27">
        <v>3.0</v>
      </c>
      <c r="B9" s="22" t="str">
        <f>A114</f>
        <v>FOODY COMMUNITY</v>
      </c>
      <c r="C9" s="23" t="s">
        <v>9</v>
      </c>
      <c r="D9" s="28">
        <f>K115</f>
        <v>5</v>
      </c>
      <c r="E9" s="25">
        <f>Q114</f>
        <v>216000000</v>
      </c>
      <c r="J9" s="2"/>
      <c r="K9" s="2"/>
      <c r="L9" s="5"/>
      <c r="M9" s="6"/>
      <c r="N9" s="6"/>
      <c r="O9" s="6"/>
      <c r="P9" s="6"/>
      <c r="Q9" s="6"/>
      <c r="R9" s="16"/>
      <c r="S9" s="7"/>
      <c r="T9" s="7"/>
      <c r="U9" s="7"/>
      <c r="V9" s="7"/>
      <c r="W9" s="9"/>
    </row>
    <row r="10" ht="27.0" customHeight="1" outlineLevel="1">
      <c r="A10" s="26"/>
      <c r="B10" s="26"/>
      <c r="C10" s="29" t="s">
        <v>10</v>
      </c>
      <c r="D10" s="28">
        <f>K114</f>
        <v>5</v>
      </c>
      <c r="E10" s="26"/>
      <c r="J10" s="2"/>
      <c r="K10" s="2"/>
      <c r="L10" s="5"/>
      <c r="M10" s="6"/>
      <c r="N10" s="6"/>
      <c r="O10" s="6"/>
      <c r="P10" s="6"/>
      <c r="Q10" s="6"/>
      <c r="R10" s="16"/>
      <c r="S10" s="7"/>
      <c r="T10" s="7"/>
      <c r="U10" s="7"/>
      <c r="V10" s="7"/>
      <c r="W10" s="9"/>
    </row>
    <row r="11" ht="27.0" customHeight="1" outlineLevel="1">
      <c r="A11" s="30">
        <v>4.0</v>
      </c>
      <c r="B11" s="31" t="str">
        <f>A126</f>
        <v>SEEDING PACKAGE</v>
      </c>
      <c r="C11" s="29" t="s">
        <v>11</v>
      </c>
      <c r="D11" s="28">
        <f>K127</f>
        <v>2000</v>
      </c>
      <c r="E11" s="32">
        <f>Q126</f>
        <v>20000000</v>
      </c>
      <c r="J11" s="2"/>
      <c r="K11" s="2"/>
      <c r="L11" s="5"/>
      <c r="M11" s="6"/>
      <c r="N11" s="6"/>
      <c r="O11" s="6"/>
      <c r="P11" s="6"/>
      <c r="Q11" s="6"/>
      <c r="R11" s="16"/>
      <c r="S11" s="7"/>
      <c r="T11" s="7"/>
      <c r="U11" s="7"/>
      <c r="V11" s="7"/>
      <c r="W11" s="9"/>
    </row>
    <row r="12" ht="27.0" customHeight="1" outlineLevel="1">
      <c r="A12" s="33"/>
      <c r="B12" s="34" t="s">
        <v>12</v>
      </c>
      <c r="C12" s="35"/>
      <c r="D12" s="35"/>
      <c r="E12" s="36">
        <f>E4</f>
        <v>616000000</v>
      </c>
      <c r="K12" s="2"/>
      <c r="L12" s="5"/>
      <c r="M12" s="6"/>
      <c r="N12" s="6"/>
      <c r="O12" s="6"/>
      <c r="P12" s="6"/>
      <c r="Q12" s="6"/>
      <c r="R12" s="37"/>
      <c r="S12" s="7"/>
      <c r="T12" s="7"/>
      <c r="U12" s="7"/>
      <c r="V12" s="7"/>
      <c r="W12" s="9"/>
    </row>
    <row r="13" ht="27.0" customHeight="1" outlineLevel="1">
      <c r="A13" s="38"/>
      <c r="B13" s="34" t="s">
        <v>13</v>
      </c>
      <c r="C13" s="39"/>
      <c r="D13" s="40">
        <v>0.12</v>
      </c>
      <c r="E13" s="41">
        <f>E12*D13</f>
        <v>73920000</v>
      </c>
      <c r="J13" s="42"/>
      <c r="K13" s="42"/>
      <c r="L13" s="43"/>
      <c r="M13" s="43"/>
      <c r="N13" s="43"/>
      <c r="O13" s="43"/>
      <c r="P13" s="43"/>
      <c r="Q13" s="43"/>
      <c r="R13" s="7"/>
      <c r="S13" s="8"/>
      <c r="T13" s="8"/>
      <c r="U13" s="8"/>
      <c r="V13" s="8"/>
      <c r="W13" s="9"/>
    </row>
    <row r="14" ht="27.0" customHeight="1" outlineLevel="1">
      <c r="A14" s="38"/>
      <c r="B14" s="34" t="s">
        <v>14</v>
      </c>
      <c r="C14" s="39"/>
      <c r="D14" s="39"/>
      <c r="E14" s="41">
        <f>sum(E12:E13)</f>
        <v>689920000</v>
      </c>
      <c r="J14" s="42"/>
      <c r="K14" s="42"/>
      <c r="L14" s="43"/>
      <c r="M14" s="43"/>
      <c r="N14" s="43"/>
      <c r="O14" s="43"/>
      <c r="P14" s="43"/>
      <c r="Q14" s="43"/>
      <c r="R14" s="7"/>
      <c r="S14" s="8"/>
      <c r="T14" s="8"/>
      <c r="U14" s="8"/>
      <c r="V14" s="8"/>
      <c r="W14" s="9"/>
    </row>
    <row r="15" ht="27.0" customHeight="1" outlineLevel="1">
      <c r="A15" s="38"/>
      <c r="B15" s="34" t="s">
        <v>15</v>
      </c>
      <c r="C15" s="39"/>
      <c r="D15" s="39"/>
      <c r="E15" s="41">
        <f>E14*1.08</f>
        <v>745113600</v>
      </c>
      <c r="J15" s="42"/>
      <c r="K15" s="42"/>
      <c r="L15" s="43"/>
      <c r="M15" s="43"/>
      <c r="N15" s="43"/>
      <c r="O15" s="43"/>
      <c r="P15" s="43"/>
      <c r="Q15" s="43"/>
      <c r="R15" s="7"/>
      <c r="S15" s="8"/>
      <c r="T15" s="8"/>
      <c r="U15" s="8"/>
      <c r="V15" s="8"/>
      <c r="W15" s="9"/>
    </row>
    <row r="16" outlineLevel="1">
      <c r="A16" s="38"/>
      <c r="B16" s="44"/>
      <c r="C16" s="42"/>
      <c r="D16" s="42"/>
      <c r="E16" s="42"/>
      <c r="J16" s="42"/>
      <c r="K16" s="42"/>
      <c r="L16" s="43"/>
      <c r="M16" s="43"/>
      <c r="N16" s="43"/>
      <c r="O16" s="43"/>
      <c r="P16" s="43"/>
      <c r="Q16" s="43"/>
      <c r="R16" s="7"/>
      <c r="S16" s="8"/>
      <c r="T16" s="8"/>
      <c r="U16" s="8"/>
      <c r="V16" s="8"/>
      <c r="W16" s="9"/>
    </row>
    <row r="17" outlineLevel="1">
      <c r="R17" s="45"/>
      <c r="S17" s="8"/>
      <c r="T17" s="8"/>
      <c r="U17" s="8"/>
      <c r="V17" s="8"/>
      <c r="W17" s="9"/>
    </row>
    <row r="18" ht="44.25" customHeight="1" outlineLevel="1">
      <c r="A18" s="43"/>
      <c r="B18" s="43"/>
      <c r="C18" s="43"/>
      <c r="D18" s="43"/>
      <c r="E18" s="43"/>
      <c r="G18" s="43"/>
      <c r="H18" s="43"/>
      <c r="K18" s="43"/>
      <c r="L18" s="43"/>
      <c r="M18" s="43"/>
      <c r="N18" s="43"/>
      <c r="O18" s="43"/>
      <c r="P18" s="43"/>
      <c r="Q18" s="43"/>
      <c r="R18" s="46"/>
      <c r="S18" s="47"/>
      <c r="T18" s="47"/>
      <c r="U18" s="47"/>
      <c r="V18" s="47"/>
      <c r="W18" s="9"/>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33</v>
      </c>
      <c r="U19" s="53" t="s">
        <v>34</v>
      </c>
      <c r="V19" s="54"/>
      <c r="W19" s="9"/>
    </row>
    <row r="20" ht="30.0" customHeight="1">
      <c r="A20" s="55" t="s">
        <v>35</v>
      </c>
      <c r="B20" s="56"/>
      <c r="C20" s="57"/>
      <c r="D20" s="58"/>
      <c r="E20" s="59"/>
      <c r="F20" s="60"/>
      <c r="G20" s="61"/>
      <c r="H20" s="61"/>
      <c r="I20" s="62"/>
      <c r="J20" s="63" t="s">
        <v>7</v>
      </c>
      <c r="K20" s="64">
        <f>SUMIFS(K22:K49,J22:J49,"Video Post")</f>
        <v>9</v>
      </c>
      <c r="L20" s="65"/>
      <c r="M20" s="66">
        <f t="shared" ref="M20:N20" si="3">sumif($I$22:$I$49,"TRUE",M22:M49)</f>
        <v>710000</v>
      </c>
      <c r="N20" s="66">
        <f t="shared" si="3"/>
        <v>28700</v>
      </c>
      <c r="O20" s="65"/>
      <c r="P20" s="65"/>
      <c r="Q20" s="66">
        <f>sum(Q22:Q49)</f>
        <v>217000000</v>
      </c>
      <c r="R20" s="67"/>
      <c r="S20" s="68"/>
      <c r="T20" s="68"/>
      <c r="U20" s="68"/>
      <c r="V20" s="69"/>
      <c r="W20" s="9"/>
    </row>
    <row r="21" ht="30.0" customHeight="1">
      <c r="A21" s="70"/>
      <c r="B21" s="71"/>
      <c r="C21" s="57"/>
      <c r="D21" s="58"/>
      <c r="E21" s="59"/>
      <c r="F21" s="60"/>
      <c r="G21" s="61"/>
      <c r="H21" s="61"/>
      <c r="I21" s="62"/>
      <c r="J21" s="63" t="s">
        <v>8</v>
      </c>
      <c r="K21" s="64">
        <f>SUMIFS(K22:K49,J22:J49,"Tháng")</f>
        <v>9</v>
      </c>
      <c r="L21" s="65"/>
      <c r="M21" s="72"/>
      <c r="N21" s="72"/>
      <c r="O21" s="65"/>
      <c r="P21" s="65"/>
      <c r="Q21" s="72"/>
      <c r="R21" s="67"/>
      <c r="S21" s="72"/>
      <c r="T21" s="72"/>
      <c r="U21" s="72"/>
      <c r="V21" s="69"/>
      <c r="W21" s="9"/>
    </row>
    <row r="22" ht="96.75" customHeight="1" outlineLevel="1">
      <c r="A22" s="73" t="s">
        <v>36</v>
      </c>
      <c r="B22" s="74" t="s">
        <v>37</v>
      </c>
      <c r="C22" s="75" t="s">
        <v>38</v>
      </c>
      <c r="D22" s="76" t="s">
        <v>39</v>
      </c>
      <c r="E22" s="77" t="s">
        <v>40</v>
      </c>
      <c r="F22" s="78" t="s">
        <v>21</v>
      </c>
      <c r="G22" s="79" t="s">
        <v>41</v>
      </c>
      <c r="H22" s="80" t="s">
        <v>42</v>
      </c>
      <c r="I22" s="81" t="b">
        <v>1</v>
      </c>
      <c r="J22" s="82" t="s">
        <v>7</v>
      </c>
      <c r="K22" s="83">
        <f t="shared" ref="K22:K49" si="4">if(I22=True,1,if(I22=False,0))</f>
        <v>1</v>
      </c>
      <c r="L22" s="84">
        <v>1.6E7</v>
      </c>
      <c r="M22" s="84">
        <v>50000.0</v>
      </c>
      <c r="N22" s="84">
        <v>3000.0</v>
      </c>
      <c r="O22" s="84">
        <f t="shared" ref="O22:O32" si="5">IFERROR(Q22/M22,"-")</f>
        <v>320</v>
      </c>
      <c r="P22" s="84">
        <f t="shared" ref="P22:P32" si="6">IFERROR(Q22/N22,"-")</f>
        <v>5333.333333</v>
      </c>
      <c r="Q22" s="84">
        <f t="shared" ref="Q22:Q49" si="7">iferror(L22*K22,"-")</f>
        <v>16000000</v>
      </c>
      <c r="R22" s="75" t="s">
        <v>43</v>
      </c>
      <c r="S22" s="85" t="s">
        <v>44</v>
      </c>
      <c r="T22" s="85"/>
      <c r="U22" s="86" t="s">
        <v>45</v>
      </c>
      <c r="V22" s="87"/>
      <c r="W22" s="9"/>
    </row>
    <row r="23" ht="96.75" customHeight="1" outlineLevel="1">
      <c r="A23" s="72"/>
      <c r="B23" s="72"/>
      <c r="C23" s="72"/>
      <c r="D23" s="72"/>
      <c r="E23" s="72"/>
      <c r="F23" s="72"/>
      <c r="G23" s="72"/>
      <c r="H23" s="88" t="s">
        <v>46</v>
      </c>
      <c r="I23" s="81" t="b">
        <v>1</v>
      </c>
      <c r="J23" s="82" t="s">
        <v>47</v>
      </c>
      <c r="K23" s="83">
        <f t="shared" si="4"/>
        <v>1</v>
      </c>
      <c r="L23" s="84">
        <v>8000000.0</v>
      </c>
      <c r="M23" s="84">
        <v>0.0</v>
      </c>
      <c r="N23" s="84">
        <v>0.0</v>
      </c>
      <c r="O23" s="84" t="str">
        <f t="shared" si="5"/>
        <v>-</v>
      </c>
      <c r="P23" s="84" t="str">
        <f t="shared" si="6"/>
        <v>-</v>
      </c>
      <c r="Q23" s="84">
        <f t="shared" si="7"/>
        <v>8000000</v>
      </c>
      <c r="R23" s="72"/>
      <c r="S23" s="72"/>
      <c r="T23" s="72"/>
      <c r="U23" s="72"/>
      <c r="V23" s="87"/>
      <c r="W23" s="9"/>
    </row>
    <row r="24" ht="96.75" customHeight="1" outlineLevel="1">
      <c r="A24" s="73" t="s">
        <v>36</v>
      </c>
      <c r="B24" s="89" t="s">
        <v>48</v>
      </c>
      <c r="C24" s="75" t="s">
        <v>38</v>
      </c>
      <c r="D24" s="76" t="s">
        <v>49</v>
      </c>
      <c r="E24" s="77" t="s">
        <v>40</v>
      </c>
      <c r="F24" s="78" t="s">
        <v>21</v>
      </c>
      <c r="G24" s="79" t="s">
        <v>50</v>
      </c>
      <c r="H24" s="80" t="s">
        <v>51</v>
      </c>
      <c r="I24" s="81" t="b">
        <v>1</v>
      </c>
      <c r="J24" s="82" t="s">
        <v>7</v>
      </c>
      <c r="K24" s="83">
        <f t="shared" si="4"/>
        <v>1</v>
      </c>
      <c r="L24" s="84">
        <v>1.2E7</v>
      </c>
      <c r="M24" s="84">
        <v>100000.0</v>
      </c>
      <c r="N24" s="84">
        <v>3000.0</v>
      </c>
      <c r="O24" s="84">
        <f t="shared" si="5"/>
        <v>120</v>
      </c>
      <c r="P24" s="84">
        <f t="shared" si="6"/>
        <v>4000</v>
      </c>
      <c r="Q24" s="84">
        <f t="shared" si="7"/>
        <v>12000000</v>
      </c>
      <c r="R24" s="75" t="s">
        <v>52</v>
      </c>
      <c r="S24" s="85" t="s">
        <v>53</v>
      </c>
      <c r="T24" s="85"/>
      <c r="U24" s="86" t="s">
        <v>45</v>
      </c>
      <c r="V24" s="87"/>
      <c r="W24" s="9"/>
    </row>
    <row r="25" ht="96.75" customHeight="1" outlineLevel="1">
      <c r="A25" s="72"/>
      <c r="B25" s="72"/>
      <c r="C25" s="72"/>
      <c r="D25" s="72"/>
      <c r="E25" s="72"/>
      <c r="F25" s="72"/>
      <c r="G25" s="72"/>
      <c r="H25" s="88" t="s">
        <v>54</v>
      </c>
      <c r="I25" s="81" t="b">
        <v>1</v>
      </c>
      <c r="J25" s="82" t="s">
        <v>47</v>
      </c>
      <c r="K25" s="83">
        <f t="shared" si="4"/>
        <v>1</v>
      </c>
      <c r="L25" s="90">
        <v>6000000.0</v>
      </c>
      <c r="M25" s="84">
        <v>0.0</v>
      </c>
      <c r="N25" s="84">
        <v>0.0</v>
      </c>
      <c r="O25" s="84" t="str">
        <f t="shared" si="5"/>
        <v>-</v>
      </c>
      <c r="P25" s="84" t="str">
        <f t="shared" si="6"/>
        <v>-</v>
      </c>
      <c r="Q25" s="84">
        <f t="shared" si="7"/>
        <v>6000000</v>
      </c>
      <c r="R25" s="72"/>
      <c r="S25" s="72"/>
      <c r="T25" s="72"/>
      <c r="U25" s="72"/>
      <c r="V25" s="9"/>
      <c r="W25" s="9"/>
    </row>
    <row r="26" ht="96.75" customHeight="1" outlineLevel="1">
      <c r="A26" s="73" t="s">
        <v>36</v>
      </c>
      <c r="B26" s="89" t="s">
        <v>55</v>
      </c>
      <c r="C26" s="75" t="s">
        <v>38</v>
      </c>
      <c r="D26" s="76" t="s">
        <v>56</v>
      </c>
      <c r="E26" s="77" t="s">
        <v>40</v>
      </c>
      <c r="F26" s="78" t="s">
        <v>21</v>
      </c>
      <c r="G26" s="79" t="s">
        <v>50</v>
      </c>
      <c r="H26" s="80" t="s">
        <v>57</v>
      </c>
      <c r="I26" s="81" t="b">
        <v>1</v>
      </c>
      <c r="J26" s="82" t="s">
        <v>7</v>
      </c>
      <c r="K26" s="83">
        <f t="shared" si="4"/>
        <v>1</v>
      </c>
      <c r="L26" s="84">
        <v>2.0E7</v>
      </c>
      <c r="M26" s="84">
        <v>130000.0</v>
      </c>
      <c r="N26" s="84">
        <v>4000.0</v>
      </c>
      <c r="O26" s="84">
        <f t="shared" si="5"/>
        <v>153.8461538</v>
      </c>
      <c r="P26" s="84">
        <f t="shared" si="6"/>
        <v>5000</v>
      </c>
      <c r="Q26" s="84">
        <f t="shared" si="7"/>
        <v>20000000</v>
      </c>
      <c r="R26" s="75" t="s">
        <v>58</v>
      </c>
      <c r="S26" s="85" t="s">
        <v>59</v>
      </c>
      <c r="T26" s="85"/>
      <c r="U26" s="86" t="s">
        <v>45</v>
      </c>
      <c r="V26" s="87"/>
      <c r="W26" s="9"/>
    </row>
    <row r="27" ht="96.75" customHeight="1" outlineLevel="1">
      <c r="A27" s="72"/>
      <c r="B27" s="72"/>
      <c r="C27" s="72"/>
      <c r="D27" s="72"/>
      <c r="E27" s="72"/>
      <c r="F27" s="72"/>
      <c r="G27" s="72"/>
      <c r="H27" s="88" t="s">
        <v>60</v>
      </c>
      <c r="I27" s="81" t="b">
        <v>1</v>
      </c>
      <c r="J27" s="82" t="s">
        <v>47</v>
      </c>
      <c r="K27" s="83">
        <f t="shared" si="4"/>
        <v>1</v>
      </c>
      <c r="L27" s="84">
        <v>1.3E7</v>
      </c>
      <c r="M27" s="84">
        <v>0.0</v>
      </c>
      <c r="N27" s="84">
        <v>0.0</v>
      </c>
      <c r="O27" s="84" t="str">
        <f t="shared" si="5"/>
        <v>-</v>
      </c>
      <c r="P27" s="84" t="str">
        <f t="shared" si="6"/>
        <v>-</v>
      </c>
      <c r="Q27" s="84">
        <f t="shared" si="7"/>
        <v>13000000</v>
      </c>
      <c r="R27" s="72"/>
      <c r="S27" s="72"/>
      <c r="T27" s="72"/>
      <c r="U27" s="72"/>
      <c r="V27" s="9"/>
      <c r="W27" s="9"/>
    </row>
    <row r="28" ht="96.75" customHeight="1" outlineLevel="1">
      <c r="A28" s="73" t="s">
        <v>36</v>
      </c>
      <c r="B28" s="89" t="s">
        <v>61</v>
      </c>
      <c r="C28" s="75" t="s">
        <v>38</v>
      </c>
      <c r="D28" s="76" t="s">
        <v>62</v>
      </c>
      <c r="E28" s="77" t="s">
        <v>40</v>
      </c>
      <c r="F28" s="78" t="s">
        <v>21</v>
      </c>
      <c r="G28" s="79" t="s">
        <v>50</v>
      </c>
      <c r="H28" s="80" t="s">
        <v>63</v>
      </c>
      <c r="I28" s="81" t="b">
        <v>1</v>
      </c>
      <c r="J28" s="82" t="s">
        <v>7</v>
      </c>
      <c r="K28" s="83">
        <f t="shared" si="4"/>
        <v>1</v>
      </c>
      <c r="L28" s="84">
        <v>8000000.0</v>
      </c>
      <c r="M28" s="84">
        <v>30000.0</v>
      </c>
      <c r="N28" s="84">
        <v>1200.0</v>
      </c>
      <c r="O28" s="84">
        <f t="shared" si="5"/>
        <v>266.6666667</v>
      </c>
      <c r="P28" s="84">
        <f t="shared" si="6"/>
        <v>6666.666667</v>
      </c>
      <c r="Q28" s="84">
        <f t="shared" si="7"/>
        <v>8000000</v>
      </c>
      <c r="R28" s="75" t="s">
        <v>64</v>
      </c>
      <c r="S28" s="85" t="s">
        <v>65</v>
      </c>
      <c r="T28" s="85"/>
      <c r="U28" s="86" t="s">
        <v>45</v>
      </c>
      <c r="V28" s="87"/>
      <c r="W28" s="9"/>
    </row>
    <row r="29" ht="96.75" customHeight="1" outlineLevel="1">
      <c r="A29" s="72"/>
      <c r="B29" s="72"/>
      <c r="C29" s="72"/>
      <c r="D29" s="72"/>
      <c r="E29" s="72"/>
      <c r="F29" s="72"/>
      <c r="G29" s="72"/>
      <c r="H29" s="88" t="s">
        <v>66</v>
      </c>
      <c r="I29" s="81" t="b">
        <v>1</v>
      </c>
      <c r="J29" s="82" t="s">
        <v>47</v>
      </c>
      <c r="K29" s="83">
        <f t="shared" si="4"/>
        <v>1</v>
      </c>
      <c r="L29" s="90">
        <v>4000000.0</v>
      </c>
      <c r="M29" s="84">
        <v>0.0</v>
      </c>
      <c r="N29" s="84">
        <v>0.0</v>
      </c>
      <c r="O29" s="84" t="str">
        <f t="shared" si="5"/>
        <v>-</v>
      </c>
      <c r="P29" s="84" t="str">
        <f t="shared" si="6"/>
        <v>-</v>
      </c>
      <c r="Q29" s="84">
        <f t="shared" si="7"/>
        <v>4000000</v>
      </c>
      <c r="R29" s="72"/>
      <c r="S29" s="72"/>
      <c r="T29" s="72"/>
      <c r="U29" s="72"/>
      <c r="V29" s="9"/>
      <c r="W29" s="9"/>
    </row>
    <row r="30" ht="96.75" customHeight="1" outlineLevel="1">
      <c r="A30" s="73" t="s">
        <v>36</v>
      </c>
      <c r="B30" s="89" t="s">
        <v>67</v>
      </c>
      <c r="C30" s="75" t="s">
        <v>38</v>
      </c>
      <c r="D30" s="76" t="s">
        <v>68</v>
      </c>
      <c r="E30" s="77" t="s">
        <v>40</v>
      </c>
      <c r="F30" s="78" t="s">
        <v>21</v>
      </c>
      <c r="G30" s="79" t="s">
        <v>50</v>
      </c>
      <c r="H30" s="80" t="s">
        <v>69</v>
      </c>
      <c r="I30" s="81" t="b">
        <v>1</v>
      </c>
      <c r="J30" s="82" t="s">
        <v>7</v>
      </c>
      <c r="K30" s="83">
        <f t="shared" si="4"/>
        <v>1</v>
      </c>
      <c r="L30" s="84">
        <v>1.0E7</v>
      </c>
      <c r="M30" s="84">
        <v>50000.0</v>
      </c>
      <c r="N30" s="84">
        <v>3000.0</v>
      </c>
      <c r="O30" s="84">
        <f t="shared" si="5"/>
        <v>200</v>
      </c>
      <c r="P30" s="84">
        <f t="shared" si="6"/>
        <v>3333.333333</v>
      </c>
      <c r="Q30" s="84">
        <f t="shared" si="7"/>
        <v>10000000</v>
      </c>
      <c r="R30" s="75" t="s">
        <v>70</v>
      </c>
      <c r="S30" s="85" t="s">
        <v>71</v>
      </c>
      <c r="T30" s="85"/>
      <c r="U30" s="86" t="s">
        <v>45</v>
      </c>
      <c r="V30" s="87"/>
      <c r="W30" s="9"/>
    </row>
    <row r="31" ht="96.75" customHeight="1" outlineLevel="1">
      <c r="A31" s="72"/>
      <c r="B31" s="72"/>
      <c r="C31" s="72"/>
      <c r="D31" s="72"/>
      <c r="E31" s="72"/>
      <c r="F31" s="72"/>
      <c r="G31" s="72"/>
      <c r="H31" s="88" t="s">
        <v>72</v>
      </c>
      <c r="I31" s="81" t="b">
        <v>1</v>
      </c>
      <c r="J31" s="82" t="s">
        <v>47</v>
      </c>
      <c r="K31" s="83">
        <f t="shared" si="4"/>
        <v>1</v>
      </c>
      <c r="L31" s="90">
        <v>5000000.0</v>
      </c>
      <c r="M31" s="84">
        <v>0.0</v>
      </c>
      <c r="N31" s="84">
        <v>0.0</v>
      </c>
      <c r="O31" s="84" t="str">
        <f t="shared" si="5"/>
        <v>-</v>
      </c>
      <c r="P31" s="84" t="str">
        <f t="shared" si="6"/>
        <v>-</v>
      </c>
      <c r="Q31" s="84">
        <f t="shared" si="7"/>
        <v>5000000</v>
      </c>
      <c r="R31" s="72"/>
      <c r="S31" s="72"/>
      <c r="T31" s="72"/>
      <c r="U31" s="72"/>
      <c r="V31" s="9"/>
      <c r="W31" s="9"/>
    </row>
    <row r="32" ht="96.75" customHeight="1" outlineLevel="1">
      <c r="A32" s="73" t="s">
        <v>73</v>
      </c>
      <c r="B32" s="91" t="s">
        <v>74</v>
      </c>
      <c r="C32" s="75" t="s">
        <v>38</v>
      </c>
      <c r="D32" s="76" t="s">
        <v>75</v>
      </c>
      <c r="E32" s="77" t="s">
        <v>40</v>
      </c>
      <c r="F32" s="78" t="s">
        <v>21</v>
      </c>
      <c r="G32" s="79" t="s">
        <v>50</v>
      </c>
      <c r="H32" s="80" t="s">
        <v>76</v>
      </c>
      <c r="I32" s="81" t="b">
        <v>1</v>
      </c>
      <c r="J32" s="82" t="s">
        <v>7</v>
      </c>
      <c r="K32" s="83">
        <f t="shared" si="4"/>
        <v>1</v>
      </c>
      <c r="L32" s="84">
        <v>3.0E7</v>
      </c>
      <c r="M32" s="84">
        <v>120000.0</v>
      </c>
      <c r="N32" s="84">
        <v>4500.0</v>
      </c>
      <c r="O32" s="84">
        <f t="shared" si="5"/>
        <v>250</v>
      </c>
      <c r="P32" s="84">
        <f t="shared" si="6"/>
        <v>6666.666667</v>
      </c>
      <c r="Q32" s="84">
        <f t="shared" si="7"/>
        <v>30000000</v>
      </c>
      <c r="R32" s="75" t="s">
        <v>77</v>
      </c>
      <c r="S32" s="92" t="s">
        <v>78</v>
      </c>
      <c r="T32" s="93" t="s">
        <v>79</v>
      </c>
      <c r="U32" s="94" t="s">
        <v>45</v>
      </c>
      <c r="V32" s="9"/>
      <c r="W32" s="9"/>
    </row>
    <row r="33" ht="96.75" customHeight="1" outlineLevel="1">
      <c r="A33" s="72"/>
      <c r="B33" s="72"/>
      <c r="C33" s="72"/>
      <c r="D33" s="72"/>
      <c r="E33" s="72"/>
      <c r="F33" s="72"/>
      <c r="G33" s="72"/>
      <c r="H33" s="88" t="s">
        <v>80</v>
      </c>
      <c r="I33" s="81" t="b">
        <v>1</v>
      </c>
      <c r="J33" s="82" t="s">
        <v>47</v>
      </c>
      <c r="K33" s="83">
        <f t="shared" si="4"/>
        <v>1</v>
      </c>
      <c r="L33" s="84">
        <v>1.7E7</v>
      </c>
      <c r="M33" s="84">
        <v>0.0</v>
      </c>
      <c r="N33" s="84">
        <v>0.0</v>
      </c>
      <c r="O33" s="84" t="s">
        <v>81</v>
      </c>
      <c r="P33" s="84" t="s">
        <v>81</v>
      </c>
      <c r="Q33" s="84">
        <f t="shared" si="7"/>
        <v>17000000</v>
      </c>
      <c r="R33" s="72"/>
      <c r="S33" s="72"/>
      <c r="T33" s="72"/>
      <c r="U33" s="72"/>
      <c r="V33" s="9"/>
      <c r="W33" s="9"/>
    </row>
    <row r="34" ht="96.75" hidden="1" customHeight="1" outlineLevel="1">
      <c r="A34" s="73" t="s">
        <v>73</v>
      </c>
      <c r="B34" s="95" t="s">
        <v>82</v>
      </c>
      <c r="C34" s="75" t="s">
        <v>38</v>
      </c>
      <c r="D34" s="76" t="s">
        <v>83</v>
      </c>
      <c r="E34" s="77" t="s">
        <v>40</v>
      </c>
      <c r="F34" s="78" t="s">
        <v>21</v>
      </c>
      <c r="G34" s="79" t="s">
        <v>50</v>
      </c>
      <c r="H34" s="80" t="s">
        <v>84</v>
      </c>
      <c r="I34" s="81" t="b">
        <v>0</v>
      </c>
      <c r="J34" s="82" t="s">
        <v>7</v>
      </c>
      <c r="K34" s="83">
        <f t="shared" si="4"/>
        <v>0</v>
      </c>
      <c r="L34" s="84">
        <v>2.2E7</v>
      </c>
      <c r="M34" s="84">
        <v>100000.0</v>
      </c>
      <c r="N34" s="84">
        <v>3500.0</v>
      </c>
      <c r="O34" s="84">
        <f t="shared" ref="O34:O49" si="8">IFERROR(Q34/M34,"-")</f>
        <v>0</v>
      </c>
      <c r="P34" s="84">
        <f t="shared" ref="P34:P49" si="9">IFERROR(Q34/N34,"-")</f>
        <v>0</v>
      </c>
      <c r="Q34" s="84">
        <f t="shared" si="7"/>
        <v>0</v>
      </c>
      <c r="R34" s="75" t="s">
        <v>85</v>
      </c>
      <c r="S34" s="85" t="s">
        <v>86</v>
      </c>
      <c r="T34" s="93" t="s">
        <v>79</v>
      </c>
      <c r="U34" s="94" t="s">
        <v>87</v>
      </c>
      <c r="V34" s="87"/>
      <c r="W34" s="9"/>
    </row>
    <row r="35" ht="96.75" hidden="1" customHeight="1" outlineLevel="1">
      <c r="A35" s="72"/>
      <c r="B35" s="72"/>
      <c r="C35" s="72"/>
      <c r="D35" s="72"/>
      <c r="E35" s="72"/>
      <c r="F35" s="72"/>
      <c r="G35" s="72"/>
      <c r="H35" s="88" t="s">
        <v>88</v>
      </c>
      <c r="I35" s="81" t="b">
        <v>0</v>
      </c>
      <c r="J35" s="82" t="s">
        <v>47</v>
      </c>
      <c r="K35" s="83">
        <f t="shared" si="4"/>
        <v>0</v>
      </c>
      <c r="L35" s="84">
        <v>1.3E7</v>
      </c>
      <c r="M35" s="84">
        <v>0.0</v>
      </c>
      <c r="N35" s="84">
        <v>0.0</v>
      </c>
      <c r="O35" s="84" t="str">
        <f t="shared" si="8"/>
        <v>-</v>
      </c>
      <c r="P35" s="84" t="str">
        <f t="shared" si="9"/>
        <v>-</v>
      </c>
      <c r="Q35" s="84">
        <f t="shared" si="7"/>
        <v>0</v>
      </c>
      <c r="R35" s="72"/>
      <c r="S35" s="72"/>
      <c r="T35" s="72"/>
      <c r="U35" s="72"/>
      <c r="V35" s="9"/>
      <c r="W35" s="9"/>
    </row>
    <row r="36" ht="96.75" customHeight="1" outlineLevel="1">
      <c r="A36" s="73" t="s">
        <v>73</v>
      </c>
      <c r="B36" s="91" t="s">
        <v>89</v>
      </c>
      <c r="C36" s="75" t="s">
        <v>38</v>
      </c>
      <c r="D36" s="76" t="s">
        <v>90</v>
      </c>
      <c r="E36" s="77" t="s">
        <v>40</v>
      </c>
      <c r="F36" s="78" t="s">
        <v>21</v>
      </c>
      <c r="G36" s="79" t="s">
        <v>50</v>
      </c>
      <c r="H36" s="80" t="s">
        <v>91</v>
      </c>
      <c r="I36" s="81" t="b">
        <v>1</v>
      </c>
      <c r="J36" s="82" t="s">
        <v>7</v>
      </c>
      <c r="K36" s="83">
        <f t="shared" si="4"/>
        <v>1</v>
      </c>
      <c r="L36" s="84">
        <v>1.7E7</v>
      </c>
      <c r="M36" s="84">
        <v>100000.0</v>
      </c>
      <c r="N36" s="84">
        <v>4000.0</v>
      </c>
      <c r="O36" s="84">
        <f t="shared" si="8"/>
        <v>170</v>
      </c>
      <c r="P36" s="84">
        <f t="shared" si="9"/>
        <v>4250</v>
      </c>
      <c r="Q36" s="84">
        <f t="shared" si="7"/>
        <v>17000000</v>
      </c>
      <c r="R36" s="75" t="s">
        <v>92</v>
      </c>
      <c r="S36" s="85" t="s">
        <v>93</v>
      </c>
      <c r="T36" s="93" t="s">
        <v>79</v>
      </c>
      <c r="U36" s="94" t="s">
        <v>45</v>
      </c>
      <c r="V36" s="9"/>
      <c r="W36" s="9"/>
    </row>
    <row r="37" ht="96.75" customHeight="1" outlineLevel="1">
      <c r="A37" s="72"/>
      <c r="B37" s="72"/>
      <c r="C37" s="72"/>
      <c r="D37" s="72"/>
      <c r="E37" s="72"/>
      <c r="F37" s="72"/>
      <c r="G37" s="72"/>
      <c r="H37" s="88" t="s">
        <v>94</v>
      </c>
      <c r="I37" s="81" t="b">
        <v>1</v>
      </c>
      <c r="J37" s="82" t="s">
        <v>47</v>
      </c>
      <c r="K37" s="83">
        <f t="shared" si="4"/>
        <v>1</v>
      </c>
      <c r="L37" s="84">
        <v>7000000.0</v>
      </c>
      <c r="M37" s="84">
        <v>0.0</v>
      </c>
      <c r="N37" s="84">
        <v>0.0</v>
      </c>
      <c r="O37" s="84" t="str">
        <f t="shared" si="8"/>
        <v>-</v>
      </c>
      <c r="P37" s="84" t="str">
        <f t="shared" si="9"/>
        <v>-</v>
      </c>
      <c r="Q37" s="84">
        <f t="shared" si="7"/>
        <v>7000000</v>
      </c>
      <c r="R37" s="72"/>
      <c r="S37" s="72"/>
      <c r="T37" s="72"/>
      <c r="U37" s="72"/>
      <c r="V37" s="9"/>
      <c r="W37" s="9"/>
    </row>
    <row r="38" ht="96.75" hidden="1" customHeight="1" outlineLevel="1">
      <c r="A38" s="73" t="s">
        <v>73</v>
      </c>
      <c r="B38" s="96" t="s">
        <v>95</v>
      </c>
      <c r="C38" s="75" t="s">
        <v>38</v>
      </c>
      <c r="D38" s="76" t="s">
        <v>96</v>
      </c>
      <c r="E38" s="77" t="s">
        <v>40</v>
      </c>
      <c r="F38" s="78" t="s">
        <v>21</v>
      </c>
      <c r="G38" s="79" t="s">
        <v>50</v>
      </c>
      <c r="H38" s="80" t="s">
        <v>97</v>
      </c>
      <c r="I38" s="97" t="b">
        <v>0</v>
      </c>
      <c r="J38" s="82" t="s">
        <v>7</v>
      </c>
      <c r="K38" s="83">
        <f t="shared" si="4"/>
        <v>0</v>
      </c>
      <c r="L38" s="84">
        <v>1.7E7</v>
      </c>
      <c r="M38" s="84">
        <v>60000.0</v>
      </c>
      <c r="N38" s="84">
        <v>2500.0</v>
      </c>
      <c r="O38" s="84">
        <f t="shared" si="8"/>
        <v>0</v>
      </c>
      <c r="P38" s="84">
        <f t="shared" si="9"/>
        <v>0</v>
      </c>
      <c r="Q38" s="84">
        <f t="shared" si="7"/>
        <v>0</v>
      </c>
      <c r="R38" s="75" t="s">
        <v>98</v>
      </c>
      <c r="S38" s="85" t="s">
        <v>99</v>
      </c>
      <c r="T38" s="93" t="s">
        <v>79</v>
      </c>
      <c r="U38" s="94" t="s">
        <v>87</v>
      </c>
      <c r="V38" s="9"/>
      <c r="W38" s="9"/>
    </row>
    <row r="39" ht="96.75" hidden="1" customHeight="1" outlineLevel="1">
      <c r="A39" s="72"/>
      <c r="B39" s="72"/>
      <c r="C39" s="72"/>
      <c r="D39" s="72"/>
      <c r="E39" s="72"/>
      <c r="F39" s="72"/>
      <c r="G39" s="72"/>
      <c r="H39" s="88" t="s">
        <v>100</v>
      </c>
      <c r="I39" s="97" t="b">
        <v>0</v>
      </c>
      <c r="J39" s="98" t="s">
        <v>47</v>
      </c>
      <c r="K39" s="99">
        <f t="shared" si="4"/>
        <v>0</v>
      </c>
      <c r="L39" s="84">
        <v>1.0E7</v>
      </c>
      <c r="M39" s="100">
        <v>0.0</v>
      </c>
      <c r="N39" s="100">
        <v>0.0</v>
      </c>
      <c r="O39" s="100" t="str">
        <f t="shared" si="8"/>
        <v>-</v>
      </c>
      <c r="P39" s="100" t="str">
        <f t="shared" si="9"/>
        <v>-</v>
      </c>
      <c r="Q39" s="84">
        <f t="shared" si="7"/>
        <v>0</v>
      </c>
      <c r="R39" s="72"/>
      <c r="S39" s="72"/>
      <c r="T39" s="72"/>
      <c r="U39" s="72"/>
      <c r="V39" s="9"/>
      <c r="W39" s="9"/>
    </row>
    <row r="40" ht="59.25" customHeight="1" outlineLevel="1">
      <c r="A40" s="101" t="s">
        <v>101</v>
      </c>
      <c r="B40" s="102" t="s">
        <v>102</v>
      </c>
      <c r="C40" s="103" t="s">
        <v>38</v>
      </c>
      <c r="D40" s="104" t="s">
        <v>103</v>
      </c>
      <c r="E40" s="105" t="s">
        <v>40</v>
      </c>
      <c r="F40" s="106" t="s">
        <v>104</v>
      </c>
      <c r="G40" s="104" t="s">
        <v>105</v>
      </c>
      <c r="H40" s="107" t="s">
        <v>106</v>
      </c>
      <c r="I40" s="108" t="b">
        <v>1</v>
      </c>
      <c r="J40" s="109" t="s">
        <v>7</v>
      </c>
      <c r="K40" s="110">
        <f t="shared" si="4"/>
        <v>1</v>
      </c>
      <c r="L40" s="111">
        <v>1.5E7</v>
      </c>
      <c r="M40" s="112">
        <v>65000.0</v>
      </c>
      <c r="N40" s="112">
        <v>3000.0</v>
      </c>
      <c r="O40" s="112">
        <f t="shared" si="8"/>
        <v>230.7692308</v>
      </c>
      <c r="P40" s="112">
        <f t="shared" si="9"/>
        <v>5000</v>
      </c>
      <c r="Q40" s="113">
        <f t="shared" si="7"/>
        <v>15000000</v>
      </c>
      <c r="R40" s="114" t="s">
        <v>107</v>
      </c>
      <c r="S40" s="115"/>
      <c r="T40" s="115"/>
      <c r="U40" s="94" t="s">
        <v>45</v>
      </c>
      <c r="V40" s="9"/>
      <c r="W40" s="9"/>
    </row>
    <row r="41" ht="59.25" customHeight="1" outlineLevel="1">
      <c r="A41" s="72"/>
      <c r="B41" s="72"/>
      <c r="C41" s="72"/>
      <c r="D41" s="72"/>
      <c r="E41" s="72"/>
      <c r="F41" s="72"/>
      <c r="G41" s="72"/>
      <c r="H41" s="107" t="s">
        <v>108</v>
      </c>
      <c r="I41" s="108" t="b">
        <v>1</v>
      </c>
      <c r="J41" s="110" t="s">
        <v>47</v>
      </c>
      <c r="K41" s="110">
        <f t="shared" si="4"/>
        <v>1</v>
      </c>
      <c r="L41" s="111">
        <v>4000000.0</v>
      </c>
      <c r="M41" s="112">
        <v>0.0</v>
      </c>
      <c r="N41" s="112">
        <v>0.0</v>
      </c>
      <c r="O41" s="112" t="str">
        <f t="shared" si="8"/>
        <v>-</v>
      </c>
      <c r="P41" s="112" t="str">
        <f t="shared" si="9"/>
        <v>-</v>
      </c>
      <c r="Q41" s="113">
        <f t="shared" si="7"/>
        <v>4000000</v>
      </c>
      <c r="R41" s="72"/>
      <c r="S41" s="72"/>
      <c r="T41" s="72"/>
      <c r="U41" s="72"/>
      <c r="V41" s="9"/>
      <c r="W41" s="9"/>
    </row>
    <row r="42" ht="96.75" customHeight="1" outlineLevel="1">
      <c r="A42" s="73" t="s">
        <v>109</v>
      </c>
      <c r="B42" s="116" t="s">
        <v>110</v>
      </c>
      <c r="C42" s="75" t="s">
        <v>38</v>
      </c>
      <c r="D42" s="79" t="s">
        <v>111</v>
      </c>
      <c r="E42" s="77" t="s">
        <v>40</v>
      </c>
      <c r="F42" s="117" t="s">
        <v>112</v>
      </c>
      <c r="G42" s="79" t="s">
        <v>105</v>
      </c>
      <c r="H42" s="80" t="s">
        <v>113</v>
      </c>
      <c r="I42" s="97" t="b">
        <v>1</v>
      </c>
      <c r="J42" s="82" t="s">
        <v>7</v>
      </c>
      <c r="K42" s="99">
        <f t="shared" si="4"/>
        <v>1</v>
      </c>
      <c r="L42" s="84">
        <v>1.9E7</v>
      </c>
      <c r="M42" s="100">
        <v>65000.0</v>
      </c>
      <c r="N42" s="100">
        <v>3000.0</v>
      </c>
      <c r="O42" s="100">
        <f t="shared" si="8"/>
        <v>292.3076923</v>
      </c>
      <c r="P42" s="100">
        <f t="shared" si="9"/>
        <v>6333.333333</v>
      </c>
      <c r="Q42" s="84">
        <f t="shared" si="7"/>
        <v>19000000</v>
      </c>
      <c r="R42" s="75" t="s">
        <v>114</v>
      </c>
      <c r="S42" s="85"/>
      <c r="T42" s="85"/>
      <c r="U42" s="94" t="s">
        <v>45</v>
      </c>
      <c r="V42" s="9"/>
      <c r="W42" s="9"/>
    </row>
    <row r="43" ht="96.75" customHeight="1" outlineLevel="1">
      <c r="A43" s="72"/>
      <c r="B43" s="72"/>
      <c r="C43" s="72"/>
      <c r="D43" s="72"/>
      <c r="E43" s="72"/>
      <c r="F43" s="72"/>
      <c r="G43" s="72"/>
      <c r="H43" s="88" t="s">
        <v>115</v>
      </c>
      <c r="I43" s="97" t="b">
        <v>1</v>
      </c>
      <c r="J43" s="98" t="s">
        <v>47</v>
      </c>
      <c r="K43" s="99">
        <f t="shared" si="4"/>
        <v>1</v>
      </c>
      <c r="L43" s="84">
        <v>6000000.0</v>
      </c>
      <c r="M43" s="100">
        <v>0.0</v>
      </c>
      <c r="N43" s="100">
        <v>0.0</v>
      </c>
      <c r="O43" s="100" t="str">
        <f t="shared" si="8"/>
        <v>-</v>
      </c>
      <c r="P43" s="100" t="str">
        <f t="shared" si="9"/>
        <v>-</v>
      </c>
      <c r="Q43" s="84">
        <f t="shared" si="7"/>
        <v>6000000</v>
      </c>
      <c r="R43" s="72"/>
      <c r="S43" s="72"/>
      <c r="T43" s="72"/>
      <c r="U43" s="72"/>
      <c r="V43" s="9"/>
      <c r="W43" s="9"/>
    </row>
    <row r="44" ht="59.25" hidden="1" customHeight="1" outlineLevel="1">
      <c r="A44" s="118" t="s">
        <v>109</v>
      </c>
      <c r="B44" s="119" t="s">
        <v>116</v>
      </c>
      <c r="C44" s="120" t="s">
        <v>38</v>
      </c>
      <c r="D44" s="121" t="s">
        <v>117</v>
      </c>
      <c r="E44" s="122" t="s">
        <v>118</v>
      </c>
      <c r="F44" s="123" t="s">
        <v>119</v>
      </c>
      <c r="G44" s="121" t="s">
        <v>105</v>
      </c>
      <c r="H44" s="124" t="s">
        <v>120</v>
      </c>
      <c r="I44" s="125" t="b">
        <v>0</v>
      </c>
      <c r="J44" s="126" t="s">
        <v>7</v>
      </c>
      <c r="K44" s="127">
        <f t="shared" si="4"/>
        <v>0</v>
      </c>
      <c r="L44" s="128">
        <v>0.0</v>
      </c>
      <c r="M44" s="128">
        <v>0.0</v>
      </c>
      <c r="N44" s="128">
        <v>0.0</v>
      </c>
      <c r="O44" s="128" t="str">
        <f t="shared" si="8"/>
        <v>-</v>
      </c>
      <c r="P44" s="128" t="str">
        <f t="shared" si="9"/>
        <v>-</v>
      </c>
      <c r="Q44" s="128">
        <f t="shared" si="7"/>
        <v>0</v>
      </c>
      <c r="R44" s="120"/>
      <c r="S44" s="129" t="s">
        <v>121</v>
      </c>
      <c r="T44" s="130"/>
      <c r="U44" s="122" t="s">
        <v>122</v>
      </c>
      <c r="V44" s="131"/>
      <c r="W44" s="131"/>
    </row>
    <row r="45" ht="59.25" hidden="1" customHeight="1" outlineLevel="1">
      <c r="A45" s="72"/>
      <c r="B45" s="72"/>
      <c r="C45" s="72"/>
      <c r="D45" s="72"/>
      <c r="E45" s="72"/>
      <c r="F45" s="72"/>
      <c r="G45" s="72"/>
      <c r="H45" s="132" t="s">
        <v>123</v>
      </c>
      <c r="I45" s="125" t="b">
        <v>0</v>
      </c>
      <c r="J45" s="126" t="s">
        <v>47</v>
      </c>
      <c r="K45" s="127">
        <f t="shared" si="4"/>
        <v>0</v>
      </c>
      <c r="L45" s="128">
        <v>0.0</v>
      </c>
      <c r="M45" s="128">
        <v>0.0</v>
      </c>
      <c r="N45" s="128">
        <v>0.0</v>
      </c>
      <c r="O45" s="128" t="str">
        <f t="shared" si="8"/>
        <v>-</v>
      </c>
      <c r="P45" s="128" t="str">
        <f t="shared" si="9"/>
        <v>-</v>
      </c>
      <c r="Q45" s="128">
        <f t="shared" si="7"/>
        <v>0</v>
      </c>
      <c r="R45" s="72"/>
      <c r="S45" s="72"/>
      <c r="T45" s="72"/>
      <c r="U45" s="72"/>
      <c r="V45" s="131"/>
      <c r="W45" s="131"/>
    </row>
    <row r="46" ht="59.25" hidden="1" customHeight="1" outlineLevel="1">
      <c r="A46" s="118" t="s">
        <v>109</v>
      </c>
      <c r="B46" s="119" t="s">
        <v>124</v>
      </c>
      <c r="C46" s="120" t="s">
        <v>38</v>
      </c>
      <c r="D46" s="121" t="s">
        <v>125</v>
      </c>
      <c r="E46" s="122" t="s">
        <v>40</v>
      </c>
      <c r="F46" s="123" t="s">
        <v>126</v>
      </c>
      <c r="G46" s="121" t="s">
        <v>50</v>
      </c>
      <c r="H46" s="124" t="s">
        <v>127</v>
      </c>
      <c r="I46" s="125" t="b">
        <v>0</v>
      </c>
      <c r="J46" s="126" t="s">
        <v>7</v>
      </c>
      <c r="K46" s="127">
        <f t="shared" si="4"/>
        <v>0</v>
      </c>
      <c r="L46" s="128">
        <v>0.0</v>
      </c>
      <c r="M46" s="128">
        <v>0.0</v>
      </c>
      <c r="N46" s="128">
        <v>0.0</v>
      </c>
      <c r="O46" s="128" t="str">
        <f t="shared" si="8"/>
        <v>-</v>
      </c>
      <c r="P46" s="128" t="str">
        <f t="shared" si="9"/>
        <v>-</v>
      </c>
      <c r="Q46" s="128">
        <f t="shared" si="7"/>
        <v>0</v>
      </c>
      <c r="R46" s="120"/>
      <c r="S46" s="129" t="s">
        <v>121</v>
      </c>
      <c r="T46" s="130"/>
      <c r="U46" s="122" t="s">
        <v>122</v>
      </c>
      <c r="V46" s="131"/>
      <c r="W46" s="131"/>
    </row>
    <row r="47" ht="59.25" hidden="1" customHeight="1" outlineLevel="1">
      <c r="A47" s="72"/>
      <c r="B47" s="72"/>
      <c r="C47" s="72"/>
      <c r="D47" s="72"/>
      <c r="E47" s="72"/>
      <c r="F47" s="72"/>
      <c r="G47" s="72"/>
      <c r="H47" s="132" t="s">
        <v>128</v>
      </c>
      <c r="I47" s="125" t="b">
        <v>0</v>
      </c>
      <c r="J47" s="126" t="s">
        <v>47</v>
      </c>
      <c r="K47" s="127">
        <f t="shared" si="4"/>
        <v>0</v>
      </c>
      <c r="L47" s="128">
        <v>0.0</v>
      </c>
      <c r="M47" s="128">
        <v>0.0</v>
      </c>
      <c r="N47" s="128">
        <v>0.0</v>
      </c>
      <c r="O47" s="128" t="str">
        <f t="shared" si="8"/>
        <v>-</v>
      </c>
      <c r="P47" s="128" t="str">
        <f t="shared" si="9"/>
        <v>-</v>
      </c>
      <c r="Q47" s="128">
        <f t="shared" si="7"/>
        <v>0</v>
      </c>
      <c r="R47" s="72"/>
      <c r="S47" s="72"/>
      <c r="T47" s="72"/>
      <c r="U47" s="72"/>
      <c r="V47" s="131"/>
      <c r="W47" s="131"/>
    </row>
    <row r="48" ht="59.25" hidden="1" customHeight="1" outlineLevel="1">
      <c r="A48" s="118" t="s">
        <v>109</v>
      </c>
      <c r="B48" s="119" t="s">
        <v>129</v>
      </c>
      <c r="C48" s="120" t="s">
        <v>38</v>
      </c>
      <c r="D48" s="121" t="s">
        <v>130</v>
      </c>
      <c r="E48" s="122" t="s">
        <v>40</v>
      </c>
      <c r="F48" s="123" t="s">
        <v>131</v>
      </c>
      <c r="G48" s="121" t="s">
        <v>105</v>
      </c>
      <c r="H48" s="124" t="s">
        <v>132</v>
      </c>
      <c r="I48" s="125" t="b">
        <v>0</v>
      </c>
      <c r="J48" s="126" t="s">
        <v>7</v>
      </c>
      <c r="K48" s="127">
        <f t="shared" si="4"/>
        <v>0</v>
      </c>
      <c r="L48" s="128">
        <v>0.0</v>
      </c>
      <c r="M48" s="128">
        <v>0.0</v>
      </c>
      <c r="N48" s="128">
        <v>0.0</v>
      </c>
      <c r="O48" s="128" t="str">
        <f t="shared" si="8"/>
        <v>-</v>
      </c>
      <c r="P48" s="128" t="str">
        <f t="shared" si="9"/>
        <v>-</v>
      </c>
      <c r="Q48" s="128">
        <f t="shared" si="7"/>
        <v>0</v>
      </c>
      <c r="R48" s="120"/>
      <c r="S48" s="129" t="s">
        <v>121</v>
      </c>
      <c r="T48" s="130"/>
      <c r="U48" s="122" t="s">
        <v>122</v>
      </c>
      <c r="V48" s="131"/>
      <c r="W48" s="131"/>
    </row>
    <row r="49" ht="59.25" hidden="1" customHeight="1" outlineLevel="1">
      <c r="A49" s="72"/>
      <c r="B49" s="72"/>
      <c r="C49" s="72"/>
      <c r="D49" s="72"/>
      <c r="E49" s="72"/>
      <c r="F49" s="72"/>
      <c r="G49" s="72"/>
      <c r="H49" s="132" t="s">
        <v>133</v>
      </c>
      <c r="I49" s="125" t="b">
        <v>0</v>
      </c>
      <c r="J49" s="126" t="s">
        <v>47</v>
      </c>
      <c r="K49" s="127">
        <f t="shared" si="4"/>
        <v>0</v>
      </c>
      <c r="L49" s="128">
        <v>0.0</v>
      </c>
      <c r="M49" s="128">
        <v>0.0</v>
      </c>
      <c r="N49" s="128">
        <v>0.0</v>
      </c>
      <c r="O49" s="128" t="str">
        <f t="shared" si="8"/>
        <v>-</v>
      </c>
      <c r="P49" s="128" t="str">
        <f t="shared" si="9"/>
        <v>-</v>
      </c>
      <c r="Q49" s="128">
        <f t="shared" si="7"/>
        <v>0</v>
      </c>
      <c r="R49" s="72"/>
      <c r="S49" s="72"/>
      <c r="T49" s="72"/>
      <c r="U49" s="72"/>
      <c r="V49" s="131"/>
      <c r="W49" s="131"/>
    </row>
    <row r="50" ht="30.0" customHeight="1">
      <c r="A50" s="55" t="s">
        <v>134</v>
      </c>
      <c r="B50" s="56"/>
      <c r="C50" s="57"/>
      <c r="D50" s="58"/>
      <c r="E50" s="59"/>
      <c r="F50" s="59"/>
      <c r="G50" s="61"/>
      <c r="H50" s="61"/>
      <c r="I50" s="62"/>
      <c r="J50" s="63" t="s">
        <v>7</v>
      </c>
      <c r="K50" s="64">
        <f>SUMIFS(K53:K113,J53:J113,"Video Post")</f>
        <v>18</v>
      </c>
      <c r="L50" s="65"/>
      <c r="M50" s="66">
        <f t="shared" ref="M50:N50" si="10">sumif($I$53:$I$113,"TRUE",M53:M113)</f>
        <v>516500</v>
      </c>
      <c r="N50" s="66">
        <f t="shared" si="10"/>
        <v>30000</v>
      </c>
      <c r="O50" s="65"/>
      <c r="P50" s="65"/>
      <c r="Q50" s="66">
        <f>sum(Q53:Q113)</f>
        <v>163000000</v>
      </c>
      <c r="R50" s="133"/>
      <c r="S50" s="133"/>
      <c r="T50" s="133"/>
      <c r="U50" s="133"/>
      <c r="V50" s="69"/>
      <c r="W50" s="9"/>
    </row>
    <row r="51" ht="30.0" customHeight="1">
      <c r="A51" s="70"/>
      <c r="B51" s="71"/>
      <c r="C51" s="57"/>
      <c r="D51" s="58"/>
      <c r="E51" s="59"/>
      <c r="F51" s="60"/>
      <c r="G51" s="61"/>
      <c r="H51" s="61"/>
      <c r="I51" s="62"/>
      <c r="J51" s="63" t="s">
        <v>8</v>
      </c>
      <c r="K51" s="64">
        <f>SUMIFS(K53:K113,J53:J113,"Tháng")</f>
        <v>18</v>
      </c>
      <c r="L51" s="65"/>
      <c r="M51" s="72"/>
      <c r="N51" s="72"/>
      <c r="O51" s="65"/>
      <c r="P51" s="65"/>
      <c r="Q51" s="72"/>
      <c r="R51" s="133"/>
      <c r="S51" s="133"/>
      <c r="T51" s="133"/>
      <c r="U51" s="133"/>
      <c r="V51" s="69"/>
      <c r="W51" s="9"/>
    </row>
    <row r="52" outlineLevel="1">
      <c r="A52" s="134" t="s">
        <v>135</v>
      </c>
      <c r="B52" s="135" t="s">
        <v>136</v>
      </c>
      <c r="C52" s="136"/>
      <c r="D52" s="137"/>
      <c r="E52" s="138"/>
      <c r="F52" s="139"/>
      <c r="G52" s="140"/>
      <c r="H52" s="136"/>
      <c r="I52" s="141" t="b">
        <v>0</v>
      </c>
      <c r="J52" s="142"/>
      <c r="K52" s="143"/>
      <c r="L52" s="144"/>
      <c r="M52" s="144"/>
      <c r="N52" s="144"/>
      <c r="O52" s="144"/>
      <c r="P52" s="144"/>
      <c r="Q52" s="144"/>
      <c r="R52" s="136"/>
      <c r="S52" s="145"/>
      <c r="T52" s="145"/>
      <c r="U52" s="138"/>
      <c r="V52" s="146"/>
      <c r="W52" s="146"/>
    </row>
    <row r="53" ht="43.5" customHeight="1" outlineLevel="1">
      <c r="A53" s="73" t="s">
        <v>45</v>
      </c>
      <c r="B53" s="147" t="s">
        <v>137</v>
      </c>
      <c r="C53" s="75" t="s">
        <v>38</v>
      </c>
      <c r="D53" s="76" t="s">
        <v>138</v>
      </c>
      <c r="E53" s="77" t="s">
        <v>40</v>
      </c>
      <c r="F53" s="78" t="s">
        <v>139</v>
      </c>
      <c r="G53" s="79" t="s">
        <v>50</v>
      </c>
      <c r="H53" s="80" t="s">
        <v>140</v>
      </c>
      <c r="I53" s="81" t="b">
        <v>1</v>
      </c>
      <c r="J53" s="82" t="s">
        <v>7</v>
      </c>
      <c r="K53" s="83">
        <f t="shared" ref="K53:K74" si="11">if(I53=True,1,if(I53=False,0))</f>
        <v>1</v>
      </c>
      <c r="L53" s="84">
        <v>6000000.0</v>
      </c>
      <c r="M53" s="84">
        <v>30000.0</v>
      </c>
      <c r="N53" s="84">
        <v>2000.0</v>
      </c>
      <c r="O53" s="84">
        <f>IFERROR(Q53/M53,"-")</f>
        <v>200</v>
      </c>
      <c r="P53" s="84">
        <f>IFERROR(Q53/N53,"-")</f>
        <v>3000</v>
      </c>
      <c r="Q53" s="84">
        <f t="shared" ref="Q53:Q74" si="12">iferror(L53*K53,"-")</f>
        <v>6000000</v>
      </c>
      <c r="R53" s="75" t="s">
        <v>141</v>
      </c>
      <c r="S53" s="85" t="s">
        <v>142</v>
      </c>
      <c r="T53" s="85"/>
      <c r="U53" s="86" t="s">
        <v>45</v>
      </c>
      <c r="V53" s="9"/>
      <c r="W53" s="9"/>
    </row>
    <row r="54" ht="141.75" customHeight="1" outlineLevel="1">
      <c r="A54" s="72"/>
      <c r="B54" s="72"/>
      <c r="C54" s="72"/>
      <c r="D54" s="72"/>
      <c r="E54" s="72"/>
      <c r="F54" s="72"/>
      <c r="G54" s="72"/>
      <c r="H54" s="88" t="s">
        <v>143</v>
      </c>
      <c r="I54" s="81" t="b">
        <v>1</v>
      </c>
      <c r="J54" s="82" t="s">
        <v>47</v>
      </c>
      <c r="K54" s="83">
        <f t="shared" si="11"/>
        <v>1</v>
      </c>
      <c r="L54" s="84">
        <v>2000000.0</v>
      </c>
      <c r="M54" s="84">
        <v>0.0</v>
      </c>
      <c r="N54" s="84">
        <v>0.0</v>
      </c>
      <c r="O54" s="84" t="s">
        <v>81</v>
      </c>
      <c r="P54" s="84" t="s">
        <v>81</v>
      </c>
      <c r="Q54" s="84">
        <f t="shared" si="12"/>
        <v>2000000</v>
      </c>
      <c r="R54" s="72"/>
      <c r="S54" s="72"/>
      <c r="T54" s="72"/>
      <c r="U54" s="72"/>
      <c r="V54" s="9"/>
      <c r="W54" s="9"/>
    </row>
    <row r="55" ht="80.25" customHeight="1" outlineLevel="1">
      <c r="A55" s="73" t="s">
        <v>45</v>
      </c>
      <c r="B55" s="89" t="s">
        <v>144</v>
      </c>
      <c r="C55" s="75" t="s">
        <v>38</v>
      </c>
      <c r="D55" s="76" t="s">
        <v>145</v>
      </c>
      <c r="E55" s="77" t="s">
        <v>146</v>
      </c>
      <c r="F55" s="78" t="s">
        <v>139</v>
      </c>
      <c r="G55" s="79" t="s">
        <v>50</v>
      </c>
      <c r="H55" s="80" t="s">
        <v>147</v>
      </c>
      <c r="I55" s="81" t="b">
        <v>1</v>
      </c>
      <c r="J55" s="82" t="s">
        <v>7</v>
      </c>
      <c r="K55" s="83">
        <f t="shared" si="11"/>
        <v>1</v>
      </c>
      <c r="L55" s="84">
        <v>5000000.0</v>
      </c>
      <c r="M55" s="84">
        <v>20000.0</v>
      </c>
      <c r="N55" s="84">
        <v>1500.0</v>
      </c>
      <c r="O55" s="84">
        <f t="shared" ref="O55:O74" si="13">IFERROR(Q55/M55,"-")</f>
        <v>250</v>
      </c>
      <c r="P55" s="84">
        <f t="shared" ref="P55:P74" si="14">IFERROR(Q55/N55,"-")</f>
        <v>3333.333333</v>
      </c>
      <c r="Q55" s="84">
        <f t="shared" si="12"/>
        <v>5000000</v>
      </c>
      <c r="R55" s="75" t="s">
        <v>148</v>
      </c>
      <c r="S55" s="85" t="s">
        <v>149</v>
      </c>
      <c r="T55" s="85"/>
      <c r="U55" s="86" t="s">
        <v>45</v>
      </c>
      <c r="V55" s="87"/>
      <c r="W55" s="9"/>
    </row>
    <row r="56" ht="80.25" customHeight="1" outlineLevel="1">
      <c r="A56" s="72"/>
      <c r="B56" s="72"/>
      <c r="C56" s="72"/>
      <c r="D56" s="72"/>
      <c r="E56" s="72"/>
      <c r="F56" s="72"/>
      <c r="G56" s="72"/>
      <c r="H56" s="88" t="s">
        <v>150</v>
      </c>
      <c r="I56" s="81" t="b">
        <v>1</v>
      </c>
      <c r="J56" s="82" t="s">
        <v>47</v>
      </c>
      <c r="K56" s="83">
        <f t="shared" si="11"/>
        <v>1</v>
      </c>
      <c r="L56" s="84">
        <v>2000000.0</v>
      </c>
      <c r="M56" s="84">
        <v>0.0</v>
      </c>
      <c r="N56" s="84">
        <v>0.0</v>
      </c>
      <c r="O56" s="84" t="str">
        <f t="shared" si="13"/>
        <v>-</v>
      </c>
      <c r="P56" s="84" t="str">
        <f t="shared" si="14"/>
        <v>-</v>
      </c>
      <c r="Q56" s="84">
        <f t="shared" si="12"/>
        <v>2000000</v>
      </c>
      <c r="R56" s="72"/>
      <c r="S56" s="72"/>
      <c r="T56" s="72"/>
      <c r="U56" s="72"/>
      <c r="V56" s="9"/>
      <c r="W56" s="9"/>
    </row>
    <row r="57" ht="80.25" customHeight="1" outlineLevel="1">
      <c r="A57" s="73" t="s">
        <v>45</v>
      </c>
      <c r="B57" s="147" t="s">
        <v>151</v>
      </c>
      <c r="C57" s="75" t="s">
        <v>38</v>
      </c>
      <c r="D57" s="76" t="s">
        <v>152</v>
      </c>
      <c r="E57" s="77" t="s">
        <v>146</v>
      </c>
      <c r="F57" s="78" t="s">
        <v>139</v>
      </c>
      <c r="G57" s="79" t="s">
        <v>50</v>
      </c>
      <c r="H57" s="80" t="s">
        <v>153</v>
      </c>
      <c r="I57" s="81" t="b">
        <v>1</v>
      </c>
      <c r="J57" s="82" t="s">
        <v>7</v>
      </c>
      <c r="K57" s="83">
        <f t="shared" si="11"/>
        <v>1</v>
      </c>
      <c r="L57" s="84">
        <v>3000000.0</v>
      </c>
      <c r="M57" s="84">
        <v>20000.0</v>
      </c>
      <c r="N57" s="84">
        <v>1500.0</v>
      </c>
      <c r="O57" s="84">
        <f t="shared" si="13"/>
        <v>150</v>
      </c>
      <c r="P57" s="84">
        <f t="shared" si="14"/>
        <v>2000</v>
      </c>
      <c r="Q57" s="84">
        <f t="shared" si="12"/>
        <v>3000000</v>
      </c>
      <c r="R57" s="75" t="s">
        <v>154</v>
      </c>
      <c r="S57" s="85" t="s">
        <v>155</v>
      </c>
      <c r="T57" s="85"/>
      <c r="U57" s="86" t="s">
        <v>45</v>
      </c>
      <c r="V57" s="9"/>
      <c r="W57" s="9"/>
    </row>
    <row r="58" ht="80.25" customHeight="1" outlineLevel="1">
      <c r="A58" s="72"/>
      <c r="B58" s="72"/>
      <c r="C58" s="72"/>
      <c r="D58" s="72"/>
      <c r="E58" s="72"/>
      <c r="F58" s="72"/>
      <c r="G58" s="72"/>
      <c r="H58" s="88" t="s">
        <v>156</v>
      </c>
      <c r="I58" s="81" t="b">
        <v>1</v>
      </c>
      <c r="J58" s="82" t="s">
        <v>47</v>
      </c>
      <c r="K58" s="83">
        <f t="shared" si="11"/>
        <v>1</v>
      </c>
      <c r="L58" s="84">
        <v>2000000.0</v>
      </c>
      <c r="M58" s="84">
        <v>0.0</v>
      </c>
      <c r="N58" s="84">
        <v>0.0</v>
      </c>
      <c r="O58" s="84" t="str">
        <f t="shared" si="13"/>
        <v>-</v>
      </c>
      <c r="P58" s="84" t="str">
        <f t="shared" si="14"/>
        <v>-</v>
      </c>
      <c r="Q58" s="84">
        <f t="shared" si="12"/>
        <v>2000000</v>
      </c>
      <c r="R58" s="72"/>
      <c r="S58" s="72"/>
      <c r="T58" s="72"/>
      <c r="U58" s="72"/>
      <c r="V58" s="9"/>
      <c r="W58" s="9"/>
    </row>
    <row r="59" ht="80.25" hidden="1" customHeight="1" outlineLevel="1">
      <c r="A59" s="73" t="s">
        <v>73</v>
      </c>
      <c r="B59" s="96" t="s">
        <v>157</v>
      </c>
      <c r="C59" s="75" t="s">
        <v>38</v>
      </c>
      <c r="D59" s="76" t="s">
        <v>158</v>
      </c>
      <c r="E59" s="77" t="s">
        <v>40</v>
      </c>
      <c r="F59" s="78" t="s">
        <v>139</v>
      </c>
      <c r="G59" s="79" t="s">
        <v>50</v>
      </c>
      <c r="H59" s="80" t="s">
        <v>159</v>
      </c>
      <c r="I59" s="81" t="b">
        <v>0</v>
      </c>
      <c r="J59" s="82" t="s">
        <v>7</v>
      </c>
      <c r="K59" s="83">
        <f t="shared" si="11"/>
        <v>0</v>
      </c>
      <c r="L59" s="84">
        <v>6000000.0</v>
      </c>
      <c r="M59" s="84">
        <v>30000.0</v>
      </c>
      <c r="N59" s="84">
        <v>2000.0</v>
      </c>
      <c r="O59" s="84">
        <f t="shared" si="13"/>
        <v>0</v>
      </c>
      <c r="P59" s="84">
        <f t="shared" si="14"/>
        <v>0</v>
      </c>
      <c r="Q59" s="84">
        <f t="shared" si="12"/>
        <v>0</v>
      </c>
      <c r="R59" s="75" t="s">
        <v>160</v>
      </c>
      <c r="S59" s="85" t="s">
        <v>161</v>
      </c>
      <c r="T59" s="85"/>
      <c r="U59" s="94" t="s">
        <v>87</v>
      </c>
      <c r="V59" s="87"/>
      <c r="W59" s="9"/>
    </row>
    <row r="60" ht="80.25" hidden="1" customHeight="1" outlineLevel="1">
      <c r="A60" s="72"/>
      <c r="B60" s="72"/>
      <c r="C60" s="72"/>
      <c r="D60" s="72"/>
      <c r="E60" s="72"/>
      <c r="F60" s="72"/>
      <c r="G60" s="72"/>
      <c r="H60" s="88" t="s">
        <v>162</v>
      </c>
      <c r="I60" s="81" t="b">
        <v>0</v>
      </c>
      <c r="J60" s="82" t="s">
        <v>47</v>
      </c>
      <c r="K60" s="83">
        <f t="shared" si="11"/>
        <v>0</v>
      </c>
      <c r="L60" s="84">
        <v>2000000.0</v>
      </c>
      <c r="M60" s="84">
        <v>0.0</v>
      </c>
      <c r="N60" s="84">
        <v>0.0</v>
      </c>
      <c r="O60" s="84" t="str">
        <f t="shared" si="13"/>
        <v>-</v>
      </c>
      <c r="P60" s="84" t="str">
        <f t="shared" si="14"/>
        <v>-</v>
      </c>
      <c r="Q60" s="84">
        <f t="shared" si="12"/>
        <v>0</v>
      </c>
      <c r="R60" s="72"/>
      <c r="S60" s="72"/>
      <c r="T60" s="72"/>
      <c r="U60" s="72"/>
      <c r="V60" s="87"/>
      <c r="W60" s="9"/>
    </row>
    <row r="61" ht="80.25" customHeight="1" outlineLevel="1">
      <c r="A61" s="73" t="s">
        <v>73</v>
      </c>
      <c r="B61" s="96" t="s">
        <v>163</v>
      </c>
      <c r="C61" s="75" t="s">
        <v>38</v>
      </c>
      <c r="D61" s="76" t="s">
        <v>164</v>
      </c>
      <c r="E61" s="77" t="s">
        <v>146</v>
      </c>
      <c r="F61" s="78" t="s">
        <v>21</v>
      </c>
      <c r="G61" s="79" t="s">
        <v>50</v>
      </c>
      <c r="H61" s="80" t="s">
        <v>165</v>
      </c>
      <c r="I61" s="81" t="b">
        <v>1</v>
      </c>
      <c r="J61" s="82" t="s">
        <v>7</v>
      </c>
      <c r="K61" s="83">
        <f t="shared" si="11"/>
        <v>1</v>
      </c>
      <c r="L61" s="84">
        <v>5000000.0</v>
      </c>
      <c r="M61" s="84">
        <v>20000.0</v>
      </c>
      <c r="N61" s="84">
        <v>1500.0</v>
      </c>
      <c r="O61" s="84">
        <f t="shared" si="13"/>
        <v>250</v>
      </c>
      <c r="P61" s="84">
        <f t="shared" si="14"/>
        <v>3333.333333</v>
      </c>
      <c r="Q61" s="84">
        <f t="shared" si="12"/>
        <v>5000000</v>
      </c>
      <c r="R61" s="75" t="s">
        <v>166</v>
      </c>
      <c r="S61" s="85" t="s">
        <v>167</v>
      </c>
      <c r="T61" s="85"/>
      <c r="U61" s="94" t="s">
        <v>45</v>
      </c>
      <c r="V61" s="87"/>
      <c r="W61" s="9"/>
    </row>
    <row r="62" ht="80.25" customHeight="1" outlineLevel="1">
      <c r="A62" s="72"/>
      <c r="B62" s="72"/>
      <c r="C62" s="72"/>
      <c r="D62" s="72"/>
      <c r="E62" s="72"/>
      <c r="F62" s="72"/>
      <c r="G62" s="72"/>
      <c r="H62" s="88" t="s">
        <v>168</v>
      </c>
      <c r="I62" s="81" t="b">
        <v>1</v>
      </c>
      <c r="J62" s="82" t="s">
        <v>47</v>
      </c>
      <c r="K62" s="83">
        <f t="shared" si="11"/>
        <v>1</v>
      </c>
      <c r="L62" s="84">
        <v>3000000.0</v>
      </c>
      <c r="M62" s="84">
        <v>0.0</v>
      </c>
      <c r="N62" s="84">
        <v>0.0</v>
      </c>
      <c r="O62" s="84" t="str">
        <f t="shared" si="13"/>
        <v>-</v>
      </c>
      <c r="P62" s="84" t="str">
        <f t="shared" si="14"/>
        <v>-</v>
      </c>
      <c r="Q62" s="84">
        <f t="shared" si="12"/>
        <v>3000000</v>
      </c>
      <c r="R62" s="72"/>
      <c r="S62" s="72"/>
      <c r="T62" s="72"/>
      <c r="U62" s="72"/>
      <c r="V62" s="9"/>
      <c r="W62" s="9"/>
    </row>
    <row r="63" ht="98.25" customHeight="1" outlineLevel="1">
      <c r="A63" s="73" t="s">
        <v>73</v>
      </c>
      <c r="B63" s="91" t="s">
        <v>169</v>
      </c>
      <c r="C63" s="75" t="s">
        <v>38</v>
      </c>
      <c r="D63" s="76">
        <v>6489.0</v>
      </c>
      <c r="E63" s="77" t="s">
        <v>146</v>
      </c>
      <c r="F63" s="78" t="s">
        <v>139</v>
      </c>
      <c r="G63" s="79" t="s">
        <v>50</v>
      </c>
      <c r="H63" s="80" t="s">
        <v>170</v>
      </c>
      <c r="I63" s="81" t="b">
        <v>1</v>
      </c>
      <c r="J63" s="82" t="s">
        <v>7</v>
      </c>
      <c r="K63" s="83">
        <f t="shared" si="11"/>
        <v>1</v>
      </c>
      <c r="L63" s="84">
        <v>3000000.0</v>
      </c>
      <c r="M63" s="84">
        <v>15000.0</v>
      </c>
      <c r="N63" s="84">
        <v>1000.0</v>
      </c>
      <c r="O63" s="84">
        <f t="shared" si="13"/>
        <v>200</v>
      </c>
      <c r="P63" s="84">
        <f t="shared" si="14"/>
        <v>3000</v>
      </c>
      <c r="Q63" s="84">
        <f t="shared" si="12"/>
        <v>3000000</v>
      </c>
      <c r="R63" s="75" t="s">
        <v>171</v>
      </c>
      <c r="S63" s="85" t="s">
        <v>172</v>
      </c>
      <c r="T63" s="93" t="s">
        <v>79</v>
      </c>
      <c r="U63" s="94" t="s">
        <v>45</v>
      </c>
      <c r="V63" s="9"/>
      <c r="W63" s="9"/>
    </row>
    <row r="64" ht="80.25" customHeight="1" outlineLevel="1">
      <c r="A64" s="72"/>
      <c r="B64" s="72"/>
      <c r="C64" s="72"/>
      <c r="D64" s="72"/>
      <c r="E64" s="72"/>
      <c r="F64" s="72"/>
      <c r="G64" s="72"/>
      <c r="H64" s="88" t="s">
        <v>173</v>
      </c>
      <c r="I64" s="81" t="b">
        <v>1</v>
      </c>
      <c r="J64" s="82" t="s">
        <v>47</v>
      </c>
      <c r="K64" s="83">
        <f t="shared" si="11"/>
        <v>1</v>
      </c>
      <c r="L64" s="84">
        <v>2000000.0</v>
      </c>
      <c r="M64" s="84">
        <v>0.0</v>
      </c>
      <c r="N64" s="84">
        <v>0.0</v>
      </c>
      <c r="O64" s="84" t="str">
        <f t="shared" si="13"/>
        <v>-</v>
      </c>
      <c r="P64" s="84" t="str">
        <f t="shared" si="14"/>
        <v>-</v>
      </c>
      <c r="Q64" s="84">
        <f t="shared" si="12"/>
        <v>2000000</v>
      </c>
      <c r="R64" s="72"/>
      <c r="S64" s="72"/>
      <c r="T64" s="72"/>
      <c r="U64" s="72"/>
      <c r="V64" s="9"/>
      <c r="W64" s="9"/>
    </row>
    <row r="65" ht="80.25" customHeight="1" outlineLevel="1">
      <c r="A65" s="73" t="s">
        <v>109</v>
      </c>
      <c r="B65" s="148" t="s">
        <v>174</v>
      </c>
      <c r="C65" s="75" t="s">
        <v>38</v>
      </c>
      <c r="D65" s="76" t="s">
        <v>175</v>
      </c>
      <c r="E65" s="77" t="s">
        <v>146</v>
      </c>
      <c r="F65" s="78" t="s">
        <v>176</v>
      </c>
      <c r="G65" s="79" t="s">
        <v>50</v>
      </c>
      <c r="H65" s="80" t="s">
        <v>177</v>
      </c>
      <c r="I65" s="97" t="b">
        <v>1</v>
      </c>
      <c r="J65" s="82" t="s">
        <v>7</v>
      </c>
      <c r="K65" s="83">
        <f t="shared" si="11"/>
        <v>1</v>
      </c>
      <c r="L65" s="84">
        <v>1.1E7</v>
      </c>
      <c r="M65" s="84">
        <v>46000.0</v>
      </c>
      <c r="N65" s="84">
        <v>2000.0</v>
      </c>
      <c r="O65" s="84">
        <f t="shared" si="13"/>
        <v>239.1304348</v>
      </c>
      <c r="P65" s="84">
        <f t="shared" si="14"/>
        <v>5500</v>
      </c>
      <c r="Q65" s="84">
        <f t="shared" si="12"/>
        <v>11000000</v>
      </c>
      <c r="R65" s="75" t="s">
        <v>178</v>
      </c>
      <c r="S65" s="85"/>
      <c r="T65" s="85"/>
      <c r="U65" s="149" t="s">
        <v>45</v>
      </c>
      <c r="V65" s="87"/>
      <c r="W65" s="9"/>
    </row>
    <row r="66" ht="80.25" customHeight="1" outlineLevel="1">
      <c r="A66" s="72"/>
      <c r="B66" s="72"/>
      <c r="C66" s="72"/>
      <c r="D66" s="72"/>
      <c r="E66" s="72"/>
      <c r="F66" s="72"/>
      <c r="G66" s="72"/>
      <c r="H66" s="88" t="s">
        <v>179</v>
      </c>
      <c r="I66" s="97" t="b">
        <v>1</v>
      </c>
      <c r="J66" s="82" t="s">
        <v>47</v>
      </c>
      <c r="K66" s="83">
        <f t="shared" si="11"/>
        <v>1</v>
      </c>
      <c r="L66" s="84">
        <v>2000000.0</v>
      </c>
      <c r="M66" s="84">
        <v>0.0</v>
      </c>
      <c r="N66" s="84">
        <v>0.0</v>
      </c>
      <c r="O66" s="84" t="str">
        <f t="shared" si="13"/>
        <v>-</v>
      </c>
      <c r="P66" s="84" t="str">
        <f t="shared" si="14"/>
        <v>-</v>
      </c>
      <c r="Q66" s="84">
        <f t="shared" si="12"/>
        <v>2000000</v>
      </c>
      <c r="R66" s="72"/>
      <c r="S66" s="72"/>
      <c r="T66" s="72"/>
      <c r="U66" s="72"/>
      <c r="V66" s="9"/>
      <c r="W66" s="9"/>
    </row>
    <row r="67" ht="80.25" customHeight="1" outlineLevel="1">
      <c r="A67" s="73" t="s">
        <v>109</v>
      </c>
      <c r="B67" s="150" t="s">
        <v>180</v>
      </c>
      <c r="C67" s="75" t="s">
        <v>38</v>
      </c>
      <c r="D67" s="76" t="s">
        <v>181</v>
      </c>
      <c r="E67" s="77" t="s">
        <v>146</v>
      </c>
      <c r="F67" s="78" t="s">
        <v>182</v>
      </c>
      <c r="G67" s="79" t="s">
        <v>50</v>
      </c>
      <c r="H67" s="80" t="s">
        <v>183</v>
      </c>
      <c r="I67" s="97" t="b">
        <v>1</v>
      </c>
      <c r="J67" s="82" t="s">
        <v>7</v>
      </c>
      <c r="K67" s="83">
        <f t="shared" si="11"/>
        <v>1</v>
      </c>
      <c r="L67" s="84">
        <v>1.0E7</v>
      </c>
      <c r="M67" s="84">
        <v>40500.0</v>
      </c>
      <c r="N67" s="84">
        <v>2000.0</v>
      </c>
      <c r="O67" s="84">
        <f t="shared" si="13"/>
        <v>246.9135802</v>
      </c>
      <c r="P67" s="84">
        <f t="shared" si="14"/>
        <v>5000</v>
      </c>
      <c r="Q67" s="84">
        <f t="shared" si="12"/>
        <v>10000000</v>
      </c>
      <c r="R67" s="75" t="s">
        <v>184</v>
      </c>
      <c r="S67" s="85"/>
      <c r="T67" s="85"/>
      <c r="U67" s="149" t="s">
        <v>45</v>
      </c>
      <c r="V67" s="9"/>
      <c r="W67" s="9"/>
    </row>
    <row r="68" ht="80.25" customHeight="1" outlineLevel="1">
      <c r="A68" s="72"/>
      <c r="B68" s="72"/>
      <c r="C68" s="72"/>
      <c r="D68" s="72"/>
      <c r="E68" s="72"/>
      <c r="F68" s="72"/>
      <c r="G68" s="72"/>
      <c r="H68" s="88" t="s">
        <v>185</v>
      </c>
      <c r="I68" s="97" t="b">
        <v>1</v>
      </c>
      <c r="J68" s="82" t="s">
        <v>47</v>
      </c>
      <c r="K68" s="83">
        <f t="shared" si="11"/>
        <v>1</v>
      </c>
      <c r="L68" s="84">
        <v>3000000.0</v>
      </c>
      <c r="M68" s="84">
        <v>0.0</v>
      </c>
      <c r="N68" s="84">
        <v>0.0</v>
      </c>
      <c r="O68" s="84" t="str">
        <f t="shared" si="13"/>
        <v>-</v>
      </c>
      <c r="P68" s="84" t="str">
        <f t="shared" si="14"/>
        <v>-</v>
      </c>
      <c r="Q68" s="84">
        <f t="shared" si="12"/>
        <v>3000000</v>
      </c>
      <c r="R68" s="72"/>
      <c r="S68" s="72"/>
      <c r="T68" s="72"/>
      <c r="U68" s="72"/>
      <c r="V68" s="9"/>
      <c r="W68" s="9"/>
    </row>
    <row r="69" ht="80.25" customHeight="1" outlineLevel="1">
      <c r="A69" s="73" t="s">
        <v>186</v>
      </c>
      <c r="B69" s="151" t="s">
        <v>187</v>
      </c>
      <c r="C69" s="75" t="s">
        <v>38</v>
      </c>
      <c r="D69" s="76" t="s">
        <v>188</v>
      </c>
      <c r="E69" s="77" t="s">
        <v>146</v>
      </c>
      <c r="F69" s="78" t="s">
        <v>139</v>
      </c>
      <c r="G69" s="79" t="s">
        <v>50</v>
      </c>
      <c r="H69" s="80" t="s">
        <v>189</v>
      </c>
      <c r="I69" s="81" t="b">
        <v>1</v>
      </c>
      <c r="J69" s="82" t="s">
        <v>7</v>
      </c>
      <c r="K69" s="83">
        <f t="shared" si="11"/>
        <v>1</v>
      </c>
      <c r="L69" s="84">
        <v>1.2E7</v>
      </c>
      <c r="M69" s="84">
        <v>60000.0</v>
      </c>
      <c r="N69" s="84">
        <v>3000.0</v>
      </c>
      <c r="O69" s="84">
        <f t="shared" si="13"/>
        <v>200</v>
      </c>
      <c r="P69" s="84">
        <f t="shared" si="14"/>
        <v>4000</v>
      </c>
      <c r="Q69" s="84">
        <f t="shared" si="12"/>
        <v>12000000</v>
      </c>
      <c r="R69" s="75" t="s">
        <v>190</v>
      </c>
      <c r="S69" s="85"/>
      <c r="T69" s="85"/>
      <c r="U69" s="149" t="s">
        <v>45</v>
      </c>
      <c r="V69" s="87"/>
      <c r="W69" s="9"/>
    </row>
    <row r="70" ht="80.25" customHeight="1" outlineLevel="1">
      <c r="A70" s="72"/>
      <c r="B70" s="72"/>
      <c r="C70" s="72"/>
      <c r="D70" s="72"/>
      <c r="E70" s="72"/>
      <c r="F70" s="72"/>
      <c r="G70" s="72"/>
      <c r="H70" s="88" t="s">
        <v>191</v>
      </c>
      <c r="I70" s="81" t="b">
        <v>1</v>
      </c>
      <c r="J70" s="82" t="s">
        <v>47</v>
      </c>
      <c r="K70" s="83">
        <f t="shared" si="11"/>
        <v>1</v>
      </c>
      <c r="L70" s="84">
        <v>8000000.0</v>
      </c>
      <c r="M70" s="84">
        <v>0.0</v>
      </c>
      <c r="N70" s="84">
        <v>0.0</v>
      </c>
      <c r="O70" s="84" t="str">
        <f t="shared" si="13"/>
        <v>-</v>
      </c>
      <c r="P70" s="84" t="str">
        <f t="shared" si="14"/>
        <v>-</v>
      </c>
      <c r="Q70" s="84">
        <f t="shared" si="12"/>
        <v>8000000</v>
      </c>
      <c r="R70" s="72"/>
      <c r="S70" s="72"/>
      <c r="T70" s="72"/>
      <c r="U70" s="72"/>
      <c r="V70" s="9"/>
      <c r="W70" s="9"/>
    </row>
    <row r="71" ht="80.25" hidden="1" customHeight="1" outlineLevel="1">
      <c r="A71" s="73" t="s">
        <v>186</v>
      </c>
      <c r="B71" s="151" t="s">
        <v>192</v>
      </c>
      <c r="C71" s="75" t="s">
        <v>38</v>
      </c>
      <c r="D71" s="76" t="s">
        <v>193</v>
      </c>
      <c r="E71" s="77" t="s">
        <v>146</v>
      </c>
      <c r="F71" s="78" t="s">
        <v>139</v>
      </c>
      <c r="G71" s="79" t="s">
        <v>50</v>
      </c>
      <c r="H71" s="80" t="s">
        <v>194</v>
      </c>
      <c r="I71" s="81" t="b">
        <v>0</v>
      </c>
      <c r="J71" s="82" t="s">
        <v>7</v>
      </c>
      <c r="K71" s="83">
        <f t="shared" si="11"/>
        <v>0</v>
      </c>
      <c r="L71" s="84">
        <v>6000000.0</v>
      </c>
      <c r="M71" s="84">
        <v>25000.0</v>
      </c>
      <c r="N71" s="84">
        <v>2000.0</v>
      </c>
      <c r="O71" s="84">
        <f t="shared" si="13"/>
        <v>0</v>
      </c>
      <c r="P71" s="84">
        <f t="shared" si="14"/>
        <v>0</v>
      </c>
      <c r="Q71" s="84">
        <f t="shared" si="12"/>
        <v>0</v>
      </c>
      <c r="R71" s="75" t="s">
        <v>195</v>
      </c>
      <c r="S71" s="85"/>
      <c r="T71" s="85"/>
      <c r="U71" s="149" t="s">
        <v>122</v>
      </c>
      <c r="V71" s="87"/>
      <c r="W71" s="9"/>
    </row>
    <row r="72" ht="80.25" hidden="1" customHeight="1" outlineLevel="1">
      <c r="A72" s="72"/>
      <c r="B72" s="72"/>
      <c r="C72" s="72"/>
      <c r="D72" s="72"/>
      <c r="E72" s="72"/>
      <c r="F72" s="72"/>
      <c r="G72" s="72"/>
      <c r="H72" s="88" t="s">
        <v>196</v>
      </c>
      <c r="I72" s="81" t="b">
        <v>0</v>
      </c>
      <c r="J72" s="82" t="s">
        <v>47</v>
      </c>
      <c r="K72" s="83">
        <f t="shared" si="11"/>
        <v>0</v>
      </c>
      <c r="L72" s="84">
        <v>2000000.0</v>
      </c>
      <c r="M72" s="84">
        <v>0.0</v>
      </c>
      <c r="N72" s="84">
        <v>0.0</v>
      </c>
      <c r="O72" s="84" t="str">
        <f t="shared" si="13"/>
        <v>-</v>
      </c>
      <c r="P72" s="84" t="str">
        <f t="shared" si="14"/>
        <v>-</v>
      </c>
      <c r="Q72" s="84">
        <f t="shared" si="12"/>
        <v>0</v>
      </c>
      <c r="R72" s="72"/>
      <c r="S72" s="72"/>
      <c r="T72" s="72"/>
      <c r="U72" s="72"/>
      <c r="V72" s="9"/>
      <c r="W72" s="9"/>
    </row>
    <row r="73" ht="80.25" hidden="1" customHeight="1" outlineLevel="1">
      <c r="A73" s="73" t="s">
        <v>186</v>
      </c>
      <c r="B73" s="152" t="s">
        <v>197</v>
      </c>
      <c r="C73" s="75" t="s">
        <v>38</v>
      </c>
      <c r="D73" s="76" t="s">
        <v>198</v>
      </c>
      <c r="E73" s="77" t="s">
        <v>40</v>
      </c>
      <c r="F73" s="78" t="s">
        <v>139</v>
      </c>
      <c r="G73" s="79" t="s">
        <v>50</v>
      </c>
      <c r="H73" s="80" t="s">
        <v>199</v>
      </c>
      <c r="I73" s="81" t="b">
        <v>0</v>
      </c>
      <c r="J73" s="82" t="s">
        <v>7</v>
      </c>
      <c r="K73" s="83">
        <f t="shared" si="11"/>
        <v>0</v>
      </c>
      <c r="L73" s="84">
        <v>2.2E7</v>
      </c>
      <c r="M73" s="84">
        <v>90000.0</v>
      </c>
      <c r="N73" s="84">
        <v>4000.0</v>
      </c>
      <c r="O73" s="84">
        <f t="shared" si="13"/>
        <v>0</v>
      </c>
      <c r="P73" s="84">
        <f t="shared" si="14"/>
        <v>0</v>
      </c>
      <c r="Q73" s="84">
        <f t="shared" si="12"/>
        <v>0</v>
      </c>
      <c r="R73" s="75" t="s">
        <v>200</v>
      </c>
      <c r="S73" s="85"/>
      <c r="T73" s="85"/>
      <c r="U73" s="149" t="s">
        <v>122</v>
      </c>
      <c r="V73" s="9"/>
      <c r="W73" s="9"/>
    </row>
    <row r="74" ht="80.25" hidden="1" customHeight="1" outlineLevel="1">
      <c r="A74" s="72"/>
      <c r="B74" s="72"/>
      <c r="C74" s="72"/>
      <c r="D74" s="72"/>
      <c r="E74" s="72"/>
      <c r="F74" s="72"/>
      <c r="G74" s="72"/>
      <c r="H74" s="88" t="s">
        <v>201</v>
      </c>
      <c r="I74" s="81" t="b">
        <v>0</v>
      </c>
      <c r="J74" s="82" t="s">
        <v>47</v>
      </c>
      <c r="K74" s="83">
        <f t="shared" si="11"/>
        <v>0</v>
      </c>
      <c r="L74" s="84">
        <v>6000000.0</v>
      </c>
      <c r="M74" s="84">
        <v>0.0</v>
      </c>
      <c r="N74" s="84">
        <v>0.0</v>
      </c>
      <c r="O74" s="84" t="str">
        <f t="shared" si="13"/>
        <v>-</v>
      </c>
      <c r="P74" s="84" t="str">
        <f t="shared" si="14"/>
        <v>-</v>
      </c>
      <c r="Q74" s="84">
        <f t="shared" si="12"/>
        <v>0</v>
      </c>
      <c r="R74" s="72"/>
      <c r="S74" s="72"/>
      <c r="T74" s="72"/>
      <c r="U74" s="72"/>
      <c r="V74" s="9"/>
      <c r="W74" s="9"/>
    </row>
    <row r="75" outlineLevel="1">
      <c r="A75" s="134" t="s">
        <v>202</v>
      </c>
      <c r="B75" s="135" t="s">
        <v>203</v>
      </c>
      <c r="C75" s="136"/>
      <c r="D75" s="137"/>
      <c r="E75" s="138"/>
      <c r="F75" s="139"/>
      <c r="G75" s="140"/>
      <c r="H75" s="136"/>
      <c r="I75" s="141"/>
      <c r="J75" s="142"/>
      <c r="K75" s="143"/>
      <c r="L75" s="144"/>
      <c r="M75" s="144"/>
      <c r="N75" s="144"/>
      <c r="O75" s="144"/>
      <c r="P75" s="144"/>
      <c r="Q75" s="144"/>
      <c r="R75" s="136"/>
      <c r="S75" s="145"/>
      <c r="T75" s="145"/>
      <c r="U75" s="138"/>
      <c r="V75" s="146"/>
      <c r="W75" s="146"/>
    </row>
    <row r="76" ht="42.0" customHeight="1" outlineLevel="1">
      <c r="A76" s="73" t="s">
        <v>101</v>
      </c>
      <c r="B76" s="147" t="s">
        <v>204</v>
      </c>
      <c r="C76" s="75" t="s">
        <v>38</v>
      </c>
      <c r="D76" s="76" t="s">
        <v>205</v>
      </c>
      <c r="E76" s="77" t="s">
        <v>146</v>
      </c>
      <c r="F76" s="78" t="s">
        <v>206</v>
      </c>
      <c r="G76" s="79" t="s">
        <v>105</v>
      </c>
      <c r="H76" s="80" t="s">
        <v>207</v>
      </c>
      <c r="I76" s="81" t="b">
        <v>1</v>
      </c>
      <c r="J76" s="82" t="s">
        <v>7</v>
      </c>
      <c r="K76" s="83">
        <f t="shared" ref="K76:K97" si="15">if(I76=True,1,if(I76=False,0))</f>
        <v>1</v>
      </c>
      <c r="L76" s="84">
        <v>4000000.0</v>
      </c>
      <c r="M76" s="84">
        <v>20000.0</v>
      </c>
      <c r="N76" s="84">
        <v>1500.0</v>
      </c>
      <c r="O76" s="84">
        <f t="shared" ref="O76:O82" si="16">IFERROR(Q76/M76,"-")</f>
        <v>200</v>
      </c>
      <c r="P76" s="84">
        <f t="shared" ref="P76:P82" si="17">IFERROR(Q76/N76,"-")</f>
        <v>2666.666667</v>
      </c>
      <c r="Q76" s="84">
        <f t="shared" ref="Q76:Q97" si="18">iferror(L76*K76,"-")</f>
        <v>4000000</v>
      </c>
      <c r="R76" s="75" t="s">
        <v>208</v>
      </c>
      <c r="S76" s="85" t="s">
        <v>209</v>
      </c>
      <c r="T76" s="85"/>
      <c r="U76" s="86" t="s">
        <v>45</v>
      </c>
      <c r="V76" s="9"/>
      <c r="W76" s="9"/>
    </row>
    <row r="77" ht="42.0" customHeight="1" outlineLevel="1">
      <c r="A77" s="72"/>
      <c r="B77" s="72"/>
      <c r="C77" s="72"/>
      <c r="D77" s="72"/>
      <c r="E77" s="72"/>
      <c r="F77" s="72"/>
      <c r="G77" s="72"/>
      <c r="H77" s="88" t="s">
        <v>210</v>
      </c>
      <c r="I77" s="81" t="b">
        <v>1</v>
      </c>
      <c r="J77" s="82" t="s">
        <v>47</v>
      </c>
      <c r="K77" s="83">
        <f t="shared" si="15"/>
        <v>1</v>
      </c>
      <c r="L77" s="84">
        <v>2000000.0</v>
      </c>
      <c r="M77" s="84">
        <v>0.0</v>
      </c>
      <c r="N77" s="84">
        <v>0.0</v>
      </c>
      <c r="O77" s="84" t="str">
        <f t="shared" si="16"/>
        <v>-</v>
      </c>
      <c r="P77" s="84" t="str">
        <f t="shared" si="17"/>
        <v>-</v>
      </c>
      <c r="Q77" s="84">
        <f t="shared" si="18"/>
        <v>2000000</v>
      </c>
      <c r="R77" s="68"/>
      <c r="S77" s="72"/>
      <c r="T77" s="72"/>
      <c r="U77" s="72"/>
      <c r="V77" s="9"/>
      <c r="W77" s="9"/>
    </row>
    <row r="78" ht="42.0" customHeight="1" outlineLevel="1">
      <c r="A78" s="73" t="s">
        <v>101</v>
      </c>
      <c r="B78" s="89" t="s">
        <v>211</v>
      </c>
      <c r="C78" s="75" t="s">
        <v>38</v>
      </c>
      <c r="D78" s="76">
        <v>45000.0</v>
      </c>
      <c r="E78" s="77" t="s">
        <v>146</v>
      </c>
      <c r="F78" s="78" t="s">
        <v>212</v>
      </c>
      <c r="G78" s="79" t="s">
        <v>213</v>
      </c>
      <c r="H78" s="80" t="s">
        <v>214</v>
      </c>
      <c r="I78" s="81" t="b">
        <v>1</v>
      </c>
      <c r="J78" s="82" t="s">
        <v>7</v>
      </c>
      <c r="K78" s="83">
        <f t="shared" si="15"/>
        <v>1</v>
      </c>
      <c r="L78" s="84">
        <v>5000000.0</v>
      </c>
      <c r="M78" s="84">
        <v>20000.0</v>
      </c>
      <c r="N78" s="84">
        <v>1500.0</v>
      </c>
      <c r="O78" s="84">
        <f t="shared" si="16"/>
        <v>250</v>
      </c>
      <c r="P78" s="84">
        <f t="shared" si="17"/>
        <v>3333.333333</v>
      </c>
      <c r="Q78" s="84">
        <f t="shared" si="18"/>
        <v>5000000</v>
      </c>
      <c r="R78" s="68"/>
      <c r="S78" s="85" t="s">
        <v>215</v>
      </c>
      <c r="T78" s="85"/>
      <c r="U78" s="86" t="s">
        <v>45</v>
      </c>
      <c r="V78" s="9"/>
      <c r="W78" s="9"/>
    </row>
    <row r="79" ht="81.75" customHeight="1" outlineLevel="1">
      <c r="A79" s="72"/>
      <c r="B79" s="72"/>
      <c r="C79" s="72"/>
      <c r="D79" s="72"/>
      <c r="E79" s="72"/>
      <c r="F79" s="72"/>
      <c r="G79" s="72"/>
      <c r="H79" s="88" t="s">
        <v>216</v>
      </c>
      <c r="I79" s="81" t="b">
        <v>1</v>
      </c>
      <c r="J79" s="82" t="s">
        <v>47</v>
      </c>
      <c r="K79" s="83">
        <f t="shared" si="15"/>
        <v>1</v>
      </c>
      <c r="L79" s="84">
        <v>2000000.0</v>
      </c>
      <c r="M79" s="84">
        <v>0.0</v>
      </c>
      <c r="N79" s="84">
        <v>0.0</v>
      </c>
      <c r="O79" s="84" t="str">
        <f t="shared" si="16"/>
        <v>-</v>
      </c>
      <c r="P79" s="84" t="str">
        <f t="shared" si="17"/>
        <v>-</v>
      </c>
      <c r="Q79" s="84">
        <f t="shared" si="18"/>
        <v>2000000</v>
      </c>
      <c r="R79" s="68"/>
      <c r="S79" s="72"/>
      <c r="T79" s="72"/>
      <c r="U79" s="72"/>
      <c r="V79" s="87"/>
      <c r="W79" s="9"/>
    </row>
    <row r="80" ht="42.0" hidden="1" customHeight="1" outlineLevel="1">
      <c r="A80" s="73" t="s">
        <v>101</v>
      </c>
      <c r="B80" s="96" t="s">
        <v>217</v>
      </c>
      <c r="C80" s="75" t="s">
        <v>38</v>
      </c>
      <c r="D80" s="76" t="s">
        <v>218</v>
      </c>
      <c r="E80" s="77" t="s">
        <v>146</v>
      </c>
      <c r="F80" s="78" t="s">
        <v>219</v>
      </c>
      <c r="G80" s="79" t="s">
        <v>105</v>
      </c>
      <c r="H80" s="80" t="s">
        <v>220</v>
      </c>
      <c r="I80" s="81" t="b">
        <v>0</v>
      </c>
      <c r="J80" s="82" t="s">
        <v>7</v>
      </c>
      <c r="K80" s="83">
        <f t="shared" si="15"/>
        <v>0</v>
      </c>
      <c r="L80" s="84">
        <v>4000000.0</v>
      </c>
      <c r="M80" s="84">
        <v>20000.0</v>
      </c>
      <c r="N80" s="84">
        <v>2000.0</v>
      </c>
      <c r="O80" s="84">
        <f t="shared" si="16"/>
        <v>0</v>
      </c>
      <c r="P80" s="84">
        <f t="shared" si="17"/>
        <v>0</v>
      </c>
      <c r="Q80" s="84">
        <f t="shared" si="18"/>
        <v>0</v>
      </c>
      <c r="R80" s="75"/>
      <c r="S80" s="85" t="s">
        <v>221</v>
      </c>
      <c r="T80" s="93" t="s">
        <v>79</v>
      </c>
      <c r="U80" s="153" t="s">
        <v>222</v>
      </c>
      <c r="V80" s="9"/>
      <c r="W80" s="9"/>
    </row>
    <row r="81" ht="42.0" hidden="1" customHeight="1" outlineLevel="1">
      <c r="A81" s="72"/>
      <c r="B81" s="72"/>
      <c r="C81" s="72"/>
      <c r="D81" s="72"/>
      <c r="E81" s="72"/>
      <c r="F81" s="72"/>
      <c r="G81" s="72"/>
      <c r="H81" s="88" t="s">
        <v>223</v>
      </c>
      <c r="I81" s="81" t="b">
        <v>0</v>
      </c>
      <c r="J81" s="82" t="s">
        <v>47</v>
      </c>
      <c r="K81" s="83">
        <f t="shared" si="15"/>
        <v>0</v>
      </c>
      <c r="L81" s="84">
        <v>2000000.0</v>
      </c>
      <c r="M81" s="84">
        <v>0.0</v>
      </c>
      <c r="N81" s="84">
        <v>0.0</v>
      </c>
      <c r="O81" s="84" t="str">
        <f t="shared" si="16"/>
        <v>-</v>
      </c>
      <c r="P81" s="84" t="str">
        <f t="shared" si="17"/>
        <v>-</v>
      </c>
      <c r="Q81" s="84">
        <f t="shared" si="18"/>
        <v>0</v>
      </c>
      <c r="R81" s="68"/>
      <c r="S81" s="72"/>
      <c r="T81" s="72"/>
      <c r="U81" s="72"/>
      <c r="V81" s="87"/>
      <c r="W81" s="9"/>
    </row>
    <row r="82" ht="42.0" hidden="1" customHeight="1" outlineLevel="1">
      <c r="A82" s="73" t="s">
        <v>101</v>
      </c>
      <c r="B82" s="91" t="s">
        <v>224</v>
      </c>
      <c r="C82" s="75" t="s">
        <v>38</v>
      </c>
      <c r="D82" s="76">
        <v>76600.0</v>
      </c>
      <c r="E82" s="77" t="s">
        <v>146</v>
      </c>
      <c r="F82" s="78" t="s">
        <v>225</v>
      </c>
      <c r="G82" s="79" t="s">
        <v>226</v>
      </c>
      <c r="H82" s="80" t="s">
        <v>227</v>
      </c>
      <c r="I82" s="81" t="b">
        <v>0</v>
      </c>
      <c r="J82" s="82" t="s">
        <v>7</v>
      </c>
      <c r="K82" s="83">
        <f t="shared" si="15"/>
        <v>0</v>
      </c>
      <c r="L82" s="84">
        <v>5000000.0</v>
      </c>
      <c r="M82" s="84">
        <v>30000.0</v>
      </c>
      <c r="N82" s="84">
        <v>2000.0</v>
      </c>
      <c r="O82" s="84">
        <f t="shared" si="16"/>
        <v>0</v>
      </c>
      <c r="P82" s="84">
        <f t="shared" si="17"/>
        <v>0</v>
      </c>
      <c r="Q82" s="84">
        <f t="shared" si="18"/>
        <v>0</v>
      </c>
      <c r="R82" s="75"/>
      <c r="S82" s="85" t="s">
        <v>228</v>
      </c>
      <c r="T82" s="85"/>
      <c r="U82" s="153" t="s">
        <v>222</v>
      </c>
      <c r="V82" s="9"/>
      <c r="W82" s="9"/>
    </row>
    <row r="83" ht="42.0" hidden="1" customHeight="1" outlineLevel="1">
      <c r="A83" s="72"/>
      <c r="B83" s="72"/>
      <c r="C83" s="72"/>
      <c r="D83" s="72"/>
      <c r="E83" s="72"/>
      <c r="F83" s="72"/>
      <c r="G83" s="72"/>
      <c r="H83" s="88" t="s">
        <v>229</v>
      </c>
      <c r="I83" s="81" t="b">
        <v>0</v>
      </c>
      <c r="J83" s="82" t="s">
        <v>47</v>
      </c>
      <c r="K83" s="83">
        <f t="shared" si="15"/>
        <v>0</v>
      </c>
      <c r="L83" s="84">
        <v>2000000.0</v>
      </c>
      <c r="M83" s="84">
        <v>0.0</v>
      </c>
      <c r="N83" s="84">
        <v>0.0</v>
      </c>
      <c r="O83" s="84" t="s">
        <v>81</v>
      </c>
      <c r="P83" s="84" t="s">
        <v>81</v>
      </c>
      <c r="Q83" s="84">
        <f t="shared" si="18"/>
        <v>0</v>
      </c>
      <c r="R83" s="68"/>
      <c r="S83" s="72"/>
      <c r="T83" s="72"/>
      <c r="U83" s="72"/>
      <c r="V83" s="9"/>
      <c r="W83" s="9"/>
    </row>
    <row r="84" ht="42.0" hidden="1" customHeight="1" outlineLevel="1">
      <c r="A84" s="73" t="s">
        <v>101</v>
      </c>
      <c r="B84" s="91" t="s">
        <v>230</v>
      </c>
      <c r="C84" s="75" t="s">
        <v>38</v>
      </c>
      <c r="D84" s="76" t="s">
        <v>231</v>
      </c>
      <c r="E84" s="77" t="s">
        <v>146</v>
      </c>
      <c r="F84" s="78" t="s">
        <v>232</v>
      </c>
      <c r="G84" s="79" t="s">
        <v>226</v>
      </c>
      <c r="H84" s="80" t="s">
        <v>233</v>
      </c>
      <c r="I84" s="81" t="b">
        <v>0</v>
      </c>
      <c r="J84" s="82" t="s">
        <v>7</v>
      </c>
      <c r="K84" s="83">
        <f t="shared" si="15"/>
        <v>0</v>
      </c>
      <c r="L84" s="84">
        <v>4000000.0</v>
      </c>
      <c r="M84" s="84">
        <v>30000.0</v>
      </c>
      <c r="N84" s="84">
        <v>2000.0</v>
      </c>
      <c r="O84" s="84">
        <f>IFERROR(Q84/M84,"-")</f>
        <v>0</v>
      </c>
      <c r="P84" s="84">
        <f>IFERROR(Q84/N84,"-")</f>
        <v>0</v>
      </c>
      <c r="Q84" s="84">
        <f t="shared" si="18"/>
        <v>0</v>
      </c>
      <c r="R84" s="75"/>
      <c r="S84" s="85" t="s">
        <v>234</v>
      </c>
      <c r="T84" s="85"/>
      <c r="U84" s="153" t="s">
        <v>222</v>
      </c>
      <c r="V84" s="9"/>
      <c r="W84" s="9"/>
    </row>
    <row r="85" ht="42.0" hidden="1" customHeight="1" outlineLevel="1">
      <c r="A85" s="72"/>
      <c r="B85" s="72"/>
      <c r="C85" s="72"/>
      <c r="D85" s="72"/>
      <c r="E85" s="72"/>
      <c r="F85" s="72"/>
      <c r="G85" s="72"/>
      <c r="H85" s="88" t="s">
        <v>235</v>
      </c>
      <c r="I85" s="81" t="b">
        <v>0</v>
      </c>
      <c r="J85" s="82" t="s">
        <v>47</v>
      </c>
      <c r="K85" s="83">
        <f t="shared" si="15"/>
        <v>0</v>
      </c>
      <c r="L85" s="84">
        <v>2000000.0</v>
      </c>
      <c r="M85" s="84">
        <v>0.0</v>
      </c>
      <c r="N85" s="84">
        <v>0.0</v>
      </c>
      <c r="O85" s="84" t="s">
        <v>81</v>
      </c>
      <c r="P85" s="84" t="s">
        <v>81</v>
      </c>
      <c r="Q85" s="84">
        <f t="shared" si="18"/>
        <v>0</v>
      </c>
      <c r="R85" s="68"/>
      <c r="S85" s="72"/>
      <c r="T85" s="72"/>
      <c r="U85" s="72"/>
      <c r="V85" s="9"/>
      <c r="W85" s="9"/>
    </row>
    <row r="86" ht="84.75" hidden="1" customHeight="1" outlineLevel="1">
      <c r="A86" s="73" t="s">
        <v>236</v>
      </c>
      <c r="B86" s="148" t="s">
        <v>237</v>
      </c>
      <c r="C86" s="75" t="s">
        <v>38</v>
      </c>
      <c r="D86" s="76" t="s">
        <v>238</v>
      </c>
      <c r="E86" s="77" t="s">
        <v>146</v>
      </c>
      <c r="F86" s="78" t="s">
        <v>139</v>
      </c>
      <c r="G86" s="79" t="s">
        <v>105</v>
      </c>
      <c r="H86" s="80" t="s">
        <v>239</v>
      </c>
      <c r="I86" s="81" t="b">
        <v>0</v>
      </c>
      <c r="J86" s="82" t="s">
        <v>7</v>
      </c>
      <c r="K86" s="83">
        <f t="shared" si="15"/>
        <v>0</v>
      </c>
      <c r="L86" s="84">
        <v>1.6E7</v>
      </c>
      <c r="M86" s="84">
        <v>70000.0</v>
      </c>
      <c r="N86" s="84">
        <v>4000.0</v>
      </c>
      <c r="O86" s="84">
        <f t="shared" ref="O86:O97" si="19">IFERROR(Q86/M86,"-")</f>
        <v>0</v>
      </c>
      <c r="P86" s="84">
        <f t="shared" ref="P86:P97" si="20">IFERROR(Q86/N86,"-")</f>
        <v>0</v>
      </c>
      <c r="Q86" s="84">
        <f t="shared" si="18"/>
        <v>0</v>
      </c>
      <c r="R86" s="75" t="s">
        <v>240</v>
      </c>
      <c r="S86" s="85"/>
      <c r="T86" s="85"/>
      <c r="U86" s="149" t="s">
        <v>122</v>
      </c>
      <c r="V86" s="87"/>
      <c r="W86" s="9"/>
    </row>
    <row r="87" ht="84.75" hidden="1" customHeight="1" outlineLevel="1">
      <c r="A87" s="72"/>
      <c r="B87" s="72"/>
      <c r="C87" s="72"/>
      <c r="D87" s="72"/>
      <c r="E87" s="72"/>
      <c r="F87" s="72"/>
      <c r="G87" s="72"/>
      <c r="H87" s="88" t="s">
        <v>241</v>
      </c>
      <c r="I87" s="81" t="b">
        <v>0</v>
      </c>
      <c r="J87" s="82" t="s">
        <v>47</v>
      </c>
      <c r="K87" s="83">
        <f t="shared" si="15"/>
        <v>0</v>
      </c>
      <c r="L87" s="84">
        <v>8000000.0</v>
      </c>
      <c r="M87" s="84">
        <v>0.0</v>
      </c>
      <c r="N87" s="84">
        <v>0.0</v>
      </c>
      <c r="O87" s="84" t="str">
        <f t="shared" si="19"/>
        <v>-</v>
      </c>
      <c r="P87" s="84" t="str">
        <f t="shared" si="20"/>
        <v>-</v>
      </c>
      <c r="Q87" s="84">
        <f t="shared" si="18"/>
        <v>0</v>
      </c>
      <c r="R87" s="72"/>
      <c r="S87" s="72"/>
      <c r="T87" s="72"/>
      <c r="U87" s="72"/>
      <c r="V87" s="9"/>
      <c r="W87" s="9"/>
    </row>
    <row r="88" ht="84.75" customHeight="1" outlineLevel="1">
      <c r="A88" s="73" t="s">
        <v>109</v>
      </c>
      <c r="B88" s="148" t="s">
        <v>242</v>
      </c>
      <c r="C88" s="75" t="s">
        <v>38</v>
      </c>
      <c r="D88" s="76" t="s">
        <v>243</v>
      </c>
      <c r="E88" s="77" t="s">
        <v>146</v>
      </c>
      <c r="F88" s="78" t="s">
        <v>244</v>
      </c>
      <c r="G88" s="79" t="s">
        <v>105</v>
      </c>
      <c r="H88" s="80" t="s">
        <v>245</v>
      </c>
      <c r="I88" s="97" t="b">
        <v>1</v>
      </c>
      <c r="J88" s="82" t="s">
        <v>7</v>
      </c>
      <c r="K88" s="83">
        <f t="shared" si="15"/>
        <v>1</v>
      </c>
      <c r="L88" s="84">
        <v>1.0E7</v>
      </c>
      <c r="M88" s="84">
        <v>35000.0</v>
      </c>
      <c r="N88" s="84">
        <v>1500.0</v>
      </c>
      <c r="O88" s="84">
        <f t="shared" si="19"/>
        <v>285.7142857</v>
      </c>
      <c r="P88" s="84">
        <f t="shared" si="20"/>
        <v>6666.666667</v>
      </c>
      <c r="Q88" s="84">
        <f t="shared" si="18"/>
        <v>10000000</v>
      </c>
      <c r="R88" s="75" t="s">
        <v>246</v>
      </c>
      <c r="S88" s="85"/>
      <c r="T88" s="85"/>
      <c r="U88" s="149" t="s">
        <v>45</v>
      </c>
      <c r="V88" s="9"/>
      <c r="W88" s="9"/>
    </row>
    <row r="89" ht="84.75" customHeight="1" outlineLevel="1">
      <c r="A89" s="72"/>
      <c r="B89" s="72"/>
      <c r="C89" s="72"/>
      <c r="D89" s="72"/>
      <c r="E89" s="72"/>
      <c r="F89" s="72"/>
      <c r="G89" s="72"/>
      <c r="H89" s="88" t="s">
        <v>247</v>
      </c>
      <c r="I89" s="97" t="b">
        <v>1</v>
      </c>
      <c r="J89" s="82" t="s">
        <v>47</v>
      </c>
      <c r="K89" s="83">
        <f t="shared" si="15"/>
        <v>1</v>
      </c>
      <c r="L89" s="90">
        <v>2000000.0</v>
      </c>
      <c r="M89" s="84">
        <v>0.0</v>
      </c>
      <c r="N89" s="84">
        <v>0.0</v>
      </c>
      <c r="O89" s="84" t="str">
        <f t="shared" si="19"/>
        <v>-</v>
      </c>
      <c r="P89" s="84" t="str">
        <f t="shared" si="20"/>
        <v>-</v>
      </c>
      <c r="Q89" s="84">
        <f t="shared" si="18"/>
        <v>2000000</v>
      </c>
      <c r="R89" s="72"/>
      <c r="S89" s="72"/>
      <c r="T89" s="72"/>
      <c r="U89" s="72"/>
      <c r="V89" s="87"/>
      <c r="W89" s="9"/>
    </row>
    <row r="90" ht="84.75" customHeight="1" outlineLevel="1">
      <c r="A90" s="73" t="s">
        <v>109</v>
      </c>
      <c r="B90" s="148" t="s">
        <v>248</v>
      </c>
      <c r="C90" s="75" t="s">
        <v>38</v>
      </c>
      <c r="D90" s="76" t="s">
        <v>249</v>
      </c>
      <c r="E90" s="77" t="s">
        <v>146</v>
      </c>
      <c r="F90" s="78" t="s">
        <v>250</v>
      </c>
      <c r="G90" s="79" t="s">
        <v>105</v>
      </c>
      <c r="H90" s="80" t="s">
        <v>251</v>
      </c>
      <c r="I90" s="97" t="b">
        <v>1</v>
      </c>
      <c r="J90" s="82" t="s">
        <v>7</v>
      </c>
      <c r="K90" s="83">
        <f t="shared" si="15"/>
        <v>1</v>
      </c>
      <c r="L90" s="84">
        <v>7000000.0</v>
      </c>
      <c r="M90" s="84">
        <v>25000.0</v>
      </c>
      <c r="N90" s="84">
        <v>1500.0</v>
      </c>
      <c r="O90" s="84">
        <f t="shared" si="19"/>
        <v>280</v>
      </c>
      <c r="P90" s="84">
        <f t="shared" si="20"/>
        <v>4666.666667</v>
      </c>
      <c r="Q90" s="84">
        <f t="shared" si="18"/>
        <v>7000000</v>
      </c>
      <c r="R90" s="75" t="s">
        <v>252</v>
      </c>
      <c r="S90" s="85"/>
      <c r="T90" s="85"/>
      <c r="U90" s="149" t="s">
        <v>45</v>
      </c>
      <c r="V90" s="9"/>
      <c r="W90" s="9"/>
    </row>
    <row r="91" ht="84.75" customHeight="1" outlineLevel="1">
      <c r="A91" s="72"/>
      <c r="B91" s="72"/>
      <c r="C91" s="72"/>
      <c r="D91" s="72"/>
      <c r="E91" s="72"/>
      <c r="F91" s="72"/>
      <c r="G91" s="72"/>
      <c r="H91" s="88" t="s">
        <v>253</v>
      </c>
      <c r="I91" s="97" t="b">
        <v>1</v>
      </c>
      <c r="J91" s="82" t="s">
        <v>47</v>
      </c>
      <c r="K91" s="83">
        <f t="shared" si="15"/>
        <v>1</v>
      </c>
      <c r="L91" s="84">
        <v>3000000.0</v>
      </c>
      <c r="M91" s="84">
        <v>0.0</v>
      </c>
      <c r="N91" s="84">
        <v>0.0</v>
      </c>
      <c r="O91" s="84" t="str">
        <f t="shared" si="19"/>
        <v>-</v>
      </c>
      <c r="P91" s="84" t="str">
        <f t="shared" si="20"/>
        <v>-</v>
      </c>
      <c r="Q91" s="84">
        <f t="shared" si="18"/>
        <v>3000000</v>
      </c>
      <c r="R91" s="72"/>
      <c r="S91" s="72"/>
      <c r="T91" s="72"/>
      <c r="U91" s="72"/>
      <c r="V91" s="9"/>
      <c r="W91" s="9"/>
    </row>
    <row r="92" ht="84.75" customHeight="1" outlineLevel="1">
      <c r="A92" s="73" t="s">
        <v>109</v>
      </c>
      <c r="B92" s="148" t="s">
        <v>254</v>
      </c>
      <c r="C92" s="75" t="s">
        <v>38</v>
      </c>
      <c r="D92" s="76" t="s">
        <v>255</v>
      </c>
      <c r="E92" s="77" t="s">
        <v>146</v>
      </c>
      <c r="F92" s="78" t="s">
        <v>256</v>
      </c>
      <c r="G92" s="79" t="s">
        <v>105</v>
      </c>
      <c r="H92" s="80" t="s">
        <v>257</v>
      </c>
      <c r="I92" s="97" t="b">
        <v>1</v>
      </c>
      <c r="J92" s="82" t="s">
        <v>7</v>
      </c>
      <c r="K92" s="83">
        <f t="shared" si="15"/>
        <v>1</v>
      </c>
      <c r="L92" s="84">
        <v>9000000.0</v>
      </c>
      <c r="M92" s="84">
        <v>30000.0</v>
      </c>
      <c r="N92" s="84">
        <v>1500.0</v>
      </c>
      <c r="O92" s="84">
        <f t="shared" si="19"/>
        <v>300</v>
      </c>
      <c r="P92" s="84">
        <f t="shared" si="20"/>
        <v>6000</v>
      </c>
      <c r="Q92" s="84">
        <f t="shared" si="18"/>
        <v>9000000</v>
      </c>
      <c r="R92" s="75" t="s">
        <v>258</v>
      </c>
      <c r="S92" s="85"/>
      <c r="T92" s="85"/>
      <c r="U92" s="149" t="s">
        <v>45</v>
      </c>
      <c r="V92" s="9"/>
      <c r="W92" s="9"/>
    </row>
    <row r="93" ht="84.75" customHeight="1" outlineLevel="1">
      <c r="A93" s="72"/>
      <c r="B93" s="72"/>
      <c r="C93" s="72"/>
      <c r="D93" s="72"/>
      <c r="E93" s="72"/>
      <c r="F93" s="72"/>
      <c r="G93" s="72"/>
      <c r="H93" s="88" t="s">
        <v>259</v>
      </c>
      <c r="I93" s="97" t="b">
        <v>1</v>
      </c>
      <c r="J93" s="82" t="s">
        <v>47</v>
      </c>
      <c r="K93" s="83">
        <f t="shared" si="15"/>
        <v>1</v>
      </c>
      <c r="L93" s="84">
        <v>3000000.0</v>
      </c>
      <c r="M93" s="84">
        <v>0.0</v>
      </c>
      <c r="N93" s="84">
        <v>0.0</v>
      </c>
      <c r="O93" s="84" t="str">
        <f t="shared" si="19"/>
        <v>-</v>
      </c>
      <c r="P93" s="84" t="str">
        <f t="shared" si="20"/>
        <v>-</v>
      </c>
      <c r="Q93" s="84">
        <f t="shared" si="18"/>
        <v>3000000</v>
      </c>
      <c r="R93" s="72"/>
      <c r="S93" s="72"/>
      <c r="T93" s="72"/>
      <c r="U93" s="72"/>
      <c r="V93" s="9"/>
      <c r="W93" s="9"/>
    </row>
    <row r="94" ht="42.0" hidden="1" customHeight="1" outlineLevel="1">
      <c r="A94" s="73" t="s">
        <v>101</v>
      </c>
      <c r="B94" s="154" t="s">
        <v>260</v>
      </c>
      <c r="C94" s="75" t="s">
        <v>38</v>
      </c>
      <c r="D94" s="76" t="s">
        <v>261</v>
      </c>
      <c r="E94" s="77" t="s">
        <v>146</v>
      </c>
      <c r="F94" s="78" t="s">
        <v>262</v>
      </c>
      <c r="G94" s="79" t="s">
        <v>105</v>
      </c>
      <c r="H94" s="80" t="s">
        <v>263</v>
      </c>
      <c r="I94" s="81" t="b">
        <v>0</v>
      </c>
      <c r="J94" s="82" t="s">
        <v>7</v>
      </c>
      <c r="K94" s="83">
        <f t="shared" si="15"/>
        <v>0</v>
      </c>
      <c r="L94" s="84">
        <v>6000000.0</v>
      </c>
      <c r="M94" s="84">
        <v>20000.0</v>
      </c>
      <c r="N94" s="84">
        <v>1000.0</v>
      </c>
      <c r="O94" s="84">
        <f t="shared" si="19"/>
        <v>0</v>
      </c>
      <c r="P94" s="84">
        <f t="shared" si="20"/>
        <v>0</v>
      </c>
      <c r="Q94" s="84">
        <f t="shared" si="18"/>
        <v>0</v>
      </c>
      <c r="R94" s="75"/>
      <c r="S94" s="85"/>
      <c r="T94" s="85"/>
      <c r="U94" s="149" t="s">
        <v>122</v>
      </c>
      <c r="V94" s="9"/>
      <c r="W94" s="9"/>
    </row>
    <row r="95" ht="42.0" hidden="1" customHeight="1" outlineLevel="1">
      <c r="A95" s="72"/>
      <c r="B95" s="72"/>
      <c r="C95" s="72"/>
      <c r="D95" s="72"/>
      <c r="E95" s="72"/>
      <c r="F95" s="72"/>
      <c r="G95" s="72"/>
      <c r="H95" s="88" t="s">
        <v>264</v>
      </c>
      <c r="I95" s="81" t="b">
        <v>0</v>
      </c>
      <c r="J95" s="82" t="s">
        <v>47</v>
      </c>
      <c r="K95" s="83">
        <f t="shared" si="15"/>
        <v>0</v>
      </c>
      <c r="L95" s="84">
        <v>3000000.0</v>
      </c>
      <c r="M95" s="84">
        <v>0.0</v>
      </c>
      <c r="N95" s="84">
        <v>0.0</v>
      </c>
      <c r="O95" s="84" t="str">
        <f t="shared" si="19"/>
        <v>-</v>
      </c>
      <c r="P95" s="84" t="str">
        <f t="shared" si="20"/>
        <v>-</v>
      </c>
      <c r="Q95" s="84">
        <f t="shared" si="18"/>
        <v>0</v>
      </c>
      <c r="R95" s="68"/>
      <c r="S95" s="72"/>
      <c r="T95" s="72"/>
      <c r="U95" s="72"/>
      <c r="V95" s="87"/>
      <c r="W95" s="9"/>
    </row>
    <row r="96" ht="42.0" hidden="1" customHeight="1" outlineLevel="1">
      <c r="A96" s="73" t="s">
        <v>101</v>
      </c>
      <c r="B96" s="151" t="s">
        <v>265</v>
      </c>
      <c r="C96" s="75" t="s">
        <v>38</v>
      </c>
      <c r="D96" s="76" t="s">
        <v>266</v>
      </c>
      <c r="E96" s="77" t="s">
        <v>146</v>
      </c>
      <c r="F96" s="78" t="s">
        <v>267</v>
      </c>
      <c r="G96" s="79" t="s">
        <v>226</v>
      </c>
      <c r="H96" s="80" t="s">
        <v>268</v>
      </c>
      <c r="I96" s="81" t="b">
        <v>0</v>
      </c>
      <c r="J96" s="82" t="s">
        <v>7</v>
      </c>
      <c r="K96" s="83">
        <f t="shared" si="15"/>
        <v>0</v>
      </c>
      <c r="L96" s="84">
        <v>8000000.0</v>
      </c>
      <c r="M96" s="84">
        <v>20000.0</v>
      </c>
      <c r="N96" s="84">
        <v>1500.0</v>
      </c>
      <c r="O96" s="84">
        <f t="shared" si="19"/>
        <v>0</v>
      </c>
      <c r="P96" s="84">
        <f t="shared" si="20"/>
        <v>0</v>
      </c>
      <c r="Q96" s="84">
        <f t="shared" si="18"/>
        <v>0</v>
      </c>
      <c r="R96" s="75"/>
      <c r="S96" s="85"/>
      <c r="T96" s="85"/>
      <c r="U96" s="149" t="s">
        <v>122</v>
      </c>
      <c r="V96" s="9"/>
      <c r="W96" s="9"/>
    </row>
    <row r="97" ht="42.0" hidden="1" customHeight="1" outlineLevel="1">
      <c r="A97" s="72"/>
      <c r="B97" s="72"/>
      <c r="C97" s="72"/>
      <c r="D97" s="72"/>
      <c r="E97" s="72"/>
      <c r="F97" s="72"/>
      <c r="G97" s="72"/>
      <c r="H97" s="88" t="s">
        <v>269</v>
      </c>
      <c r="I97" s="81" t="b">
        <v>0</v>
      </c>
      <c r="J97" s="82" t="s">
        <v>47</v>
      </c>
      <c r="K97" s="83">
        <f t="shared" si="15"/>
        <v>0</v>
      </c>
      <c r="L97" s="84">
        <v>4000000.0</v>
      </c>
      <c r="M97" s="84">
        <v>0.0</v>
      </c>
      <c r="N97" s="84">
        <v>0.0</v>
      </c>
      <c r="O97" s="84" t="str">
        <f t="shared" si="19"/>
        <v>-</v>
      </c>
      <c r="P97" s="84" t="str">
        <f t="shared" si="20"/>
        <v>-</v>
      </c>
      <c r="Q97" s="84">
        <f t="shared" si="18"/>
        <v>0</v>
      </c>
      <c r="R97" s="68"/>
      <c r="S97" s="72"/>
      <c r="T97" s="72"/>
      <c r="U97" s="72"/>
      <c r="V97" s="9"/>
      <c r="W97" s="9"/>
    </row>
    <row r="98" outlineLevel="1">
      <c r="A98" s="134" t="s">
        <v>270</v>
      </c>
      <c r="B98" s="135" t="s">
        <v>271</v>
      </c>
      <c r="C98" s="136"/>
      <c r="D98" s="137"/>
      <c r="E98" s="138"/>
      <c r="F98" s="139"/>
      <c r="G98" s="140"/>
      <c r="H98" s="136"/>
      <c r="I98" s="141" t="b">
        <v>0</v>
      </c>
      <c r="J98" s="142"/>
      <c r="K98" s="143"/>
      <c r="L98" s="144"/>
      <c r="M98" s="144"/>
      <c r="N98" s="144"/>
      <c r="O98" s="144"/>
      <c r="P98" s="144"/>
      <c r="Q98" s="144"/>
      <c r="R98" s="136"/>
      <c r="S98" s="145"/>
      <c r="T98" s="145"/>
      <c r="U98" s="138"/>
      <c r="V98" s="146"/>
      <c r="W98" s="146"/>
    </row>
    <row r="99" ht="42.75" customHeight="1" outlineLevel="1">
      <c r="A99" s="73" t="s">
        <v>45</v>
      </c>
      <c r="B99" s="147" t="s">
        <v>272</v>
      </c>
      <c r="C99" s="75" t="s">
        <v>38</v>
      </c>
      <c r="D99" s="76" t="s">
        <v>273</v>
      </c>
      <c r="E99" s="77" t="s">
        <v>146</v>
      </c>
      <c r="F99" s="78" t="s">
        <v>274</v>
      </c>
      <c r="G99" s="79" t="s">
        <v>275</v>
      </c>
      <c r="H99" s="80" t="s">
        <v>276</v>
      </c>
      <c r="I99" s="81" t="b">
        <v>1</v>
      </c>
      <c r="J99" s="82" t="s">
        <v>7</v>
      </c>
      <c r="K99" s="83">
        <f t="shared" ref="K99:K106" si="21">if(I99=True,1,if(I99=False,0))</f>
        <v>1</v>
      </c>
      <c r="L99" s="84">
        <v>5000000.0</v>
      </c>
      <c r="M99" s="84">
        <v>40000.0</v>
      </c>
      <c r="N99" s="84">
        <v>2000.0</v>
      </c>
      <c r="O99" s="84">
        <f t="shared" ref="O99:O106" si="22">IFERROR(Q99/M99,"-")</f>
        <v>125</v>
      </c>
      <c r="P99" s="84">
        <f t="shared" ref="P99:P106" si="23">IFERROR(Q99/N99,"-")</f>
        <v>2500</v>
      </c>
      <c r="Q99" s="84">
        <f t="shared" ref="Q99:Q106" si="24">iferror(L99*K99,"-")</f>
        <v>5000000</v>
      </c>
      <c r="R99" s="75" t="s">
        <v>277</v>
      </c>
      <c r="S99" s="85" t="s">
        <v>278</v>
      </c>
      <c r="T99" s="85"/>
      <c r="U99" s="86" t="s">
        <v>45</v>
      </c>
      <c r="V99" s="9"/>
      <c r="W99" s="9"/>
    </row>
    <row r="100" ht="42.75" customHeight="1" outlineLevel="1">
      <c r="A100" s="72"/>
      <c r="B100" s="72"/>
      <c r="C100" s="72"/>
      <c r="D100" s="72"/>
      <c r="E100" s="72"/>
      <c r="F100" s="72"/>
      <c r="G100" s="72"/>
      <c r="H100" s="88" t="s">
        <v>279</v>
      </c>
      <c r="I100" s="81" t="b">
        <v>1</v>
      </c>
      <c r="J100" s="82" t="s">
        <v>47</v>
      </c>
      <c r="K100" s="83">
        <f t="shared" si="21"/>
        <v>1</v>
      </c>
      <c r="L100" s="84">
        <v>2000000.0</v>
      </c>
      <c r="M100" s="84">
        <v>0.0</v>
      </c>
      <c r="N100" s="84">
        <v>0.0</v>
      </c>
      <c r="O100" s="84" t="str">
        <f t="shared" si="22"/>
        <v>-</v>
      </c>
      <c r="P100" s="84" t="str">
        <f t="shared" si="23"/>
        <v>-</v>
      </c>
      <c r="Q100" s="84">
        <f t="shared" si="24"/>
        <v>2000000</v>
      </c>
      <c r="R100" s="68"/>
      <c r="S100" s="72"/>
      <c r="T100" s="72"/>
      <c r="U100" s="72"/>
      <c r="V100" s="9"/>
      <c r="W100" s="9"/>
    </row>
    <row r="101" ht="42.75" customHeight="1" outlineLevel="1">
      <c r="A101" s="73" t="s">
        <v>73</v>
      </c>
      <c r="B101" s="91" t="s">
        <v>280</v>
      </c>
      <c r="C101" s="75" t="s">
        <v>38</v>
      </c>
      <c r="D101" s="76">
        <v>13600.0</v>
      </c>
      <c r="E101" s="77" t="s">
        <v>146</v>
      </c>
      <c r="F101" s="78" t="s">
        <v>281</v>
      </c>
      <c r="G101" s="79" t="s">
        <v>41</v>
      </c>
      <c r="H101" s="80" t="s">
        <v>282</v>
      </c>
      <c r="I101" s="97" t="b">
        <v>1</v>
      </c>
      <c r="J101" s="82" t="s">
        <v>7</v>
      </c>
      <c r="K101" s="83">
        <f t="shared" si="21"/>
        <v>1</v>
      </c>
      <c r="L101" s="84">
        <v>5000000.0</v>
      </c>
      <c r="M101" s="84">
        <v>25000.0</v>
      </c>
      <c r="N101" s="84">
        <v>1500.0</v>
      </c>
      <c r="O101" s="84">
        <f t="shared" si="22"/>
        <v>200</v>
      </c>
      <c r="P101" s="84">
        <f t="shared" si="23"/>
        <v>3333.333333</v>
      </c>
      <c r="Q101" s="84">
        <f t="shared" si="24"/>
        <v>5000000</v>
      </c>
      <c r="R101" s="68"/>
      <c r="S101" s="85" t="s">
        <v>283</v>
      </c>
      <c r="T101" s="93" t="s">
        <v>79</v>
      </c>
      <c r="U101" s="86" t="s">
        <v>45</v>
      </c>
      <c r="V101" s="9"/>
      <c r="W101" s="9"/>
    </row>
    <row r="102" ht="42.75" customHeight="1" outlineLevel="1">
      <c r="A102" s="72"/>
      <c r="B102" s="72"/>
      <c r="C102" s="72"/>
      <c r="D102" s="72"/>
      <c r="E102" s="72"/>
      <c r="F102" s="72"/>
      <c r="G102" s="72"/>
      <c r="H102" s="88" t="s">
        <v>284</v>
      </c>
      <c r="I102" s="97" t="b">
        <v>1</v>
      </c>
      <c r="J102" s="82" t="s">
        <v>47</v>
      </c>
      <c r="K102" s="83">
        <f t="shared" si="21"/>
        <v>1</v>
      </c>
      <c r="L102" s="84">
        <v>2000000.0</v>
      </c>
      <c r="M102" s="84">
        <v>0.0</v>
      </c>
      <c r="N102" s="84">
        <v>0.0</v>
      </c>
      <c r="O102" s="84" t="str">
        <f t="shared" si="22"/>
        <v>-</v>
      </c>
      <c r="P102" s="84" t="str">
        <f t="shared" si="23"/>
        <v>-</v>
      </c>
      <c r="Q102" s="84">
        <f t="shared" si="24"/>
        <v>2000000</v>
      </c>
      <c r="R102" s="68"/>
      <c r="S102" s="72"/>
      <c r="T102" s="72"/>
      <c r="U102" s="72"/>
      <c r="V102" s="9"/>
      <c r="W102" s="9"/>
    </row>
    <row r="103" ht="42.75" customHeight="1" outlineLevel="1">
      <c r="A103" s="73" t="s">
        <v>73</v>
      </c>
      <c r="B103" s="96" t="s">
        <v>285</v>
      </c>
      <c r="C103" s="75" t="s">
        <v>38</v>
      </c>
      <c r="D103" s="76" t="s">
        <v>286</v>
      </c>
      <c r="E103" s="77" t="s">
        <v>146</v>
      </c>
      <c r="F103" s="78" t="s">
        <v>287</v>
      </c>
      <c r="G103" s="79" t="s">
        <v>275</v>
      </c>
      <c r="H103" s="80" t="s">
        <v>288</v>
      </c>
      <c r="I103" s="97" t="b">
        <v>1</v>
      </c>
      <c r="J103" s="82" t="s">
        <v>7</v>
      </c>
      <c r="K103" s="83">
        <f t="shared" si="21"/>
        <v>1</v>
      </c>
      <c r="L103" s="84">
        <v>5000000.0</v>
      </c>
      <c r="M103" s="84">
        <v>20000.0</v>
      </c>
      <c r="N103" s="84">
        <v>1000.0</v>
      </c>
      <c r="O103" s="84">
        <f t="shared" si="22"/>
        <v>250</v>
      </c>
      <c r="P103" s="84">
        <f t="shared" si="23"/>
        <v>5000</v>
      </c>
      <c r="Q103" s="84">
        <f t="shared" si="24"/>
        <v>5000000</v>
      </c>
      <c r="R103" s="68"/>
      <c r="S103" s="85" t="s">
        <v>289</v>
      </c>
      <c r="T103" s="93" t="s">
        <v>79</v>
      </c>
      <c r="U103" s="86" t="s">
        <v>45</v>
      </c>
      <c r="V103" s="9"/>
      <c r="W103" s="9"/>
    </row>
    <row r="104" ht="42.75" customHeight="1" outlineLevel="1">
      <c r="A104" s="72"/>
      <c r="B104" s="72"/>
      <c r="C104" s="72"/>
      <c r="D104" s="72"/>
      <c r="E104" s="72"/>
      <c r="F104" s="72"/>
      <c r="G104" s="72"/>
      <c r="H104" s="88" t="s">
        <v>290</v>
      </c>
      <c r="I104" s="97" t="b">
        <v>1</v>
      </c>
      <c r="J104" s="82" t="s">
        <v>47</v>
      </c>
      <c r="K104" s="83">
        <f t="shared" si="21"/>
        <v>1</v>
      </c>
      <c r="L104" s="84">
        <v>2000000.0</v>
      </c>
      <c r="M104" s="84">
        <v>0.0</v>
      </c>
      <c r="N104" s="84">
        <v>0.0</v>
      </c>
      <c r="O104" s="84" t="str">
        <f t="shared" si="22"/>
        <v>-</v>
      </c>
      <c r="P104" s="84" t="str">
        <f t="shared" si="23"/>
        <v>-</v>
      </c>
      <c r="Q104" s="84">
        <f t="shared" si="24"/>
        <v>2000000</v>
      </c>
      <c r="R104" s="68"/>
      <c r="S104" s="72"/>
      <c r="T104" s="72"/>
      <c r="U104" s="72"/>
      <c r="V104" s="9"/>
      <c r="W104" s="9"/>
    </row>
    <row r="105" ht="42.75" customHeight="1" outlineLevel="1">
      <c r="A105" s="73" t="s">
        <v>101</v>
      </c>
      <c r="B105" s="151" t="s">
        <v>291</v>
      </c>
      <c r="C105" s="75" t="s">
        <v>38</v>
      </c>
      <c r="D105" s="155" t="s">
        <v>292</v>
      </c>
      <c r="E105" s="77" t="s">
        <v>146</v>
      </c>
      <c r="F105" s="78" t="s">
        <v>293</v>
      </c>
      <c r="G105" s="79" t="s">
        <v>41</v>
      </c>
      <c r="H105" s="80" t="s">
        <v>294</v>
      </c>
      <c r="I105" s="81" t="b">
        <v>1</v>
      </c>
      <c r="J105" s="82" t="s">
        <v>7</v>
      </c>
      <c r="K105" s="83">
        <f t="shared" si="21"/>
        <v>1</v>
      </c>
      <c r="L105" s="84">
        <v>5000000.0</v>
      </c>
      <c r="M105" s="84">
        <v>20000.0</v>
      </c>
      <c r="N105" s="84">
        <v>1500.0</v>
      </c>
      <c r="O105" s="84">
        <f t="shared" si="22"/>
        <v>250</v>
      </c>
      <c r="P105" s="84">
        <f t="shared" si="23"/>
        <v>3333.333333</v>
      </c>
      <c r="Q105" s="84">
        <f t="shared" si="24"/>
        <v>5000000</v>
      </c>
      <c r="R105" s="68"/>
      <c r="S105" s="85"/>
      <c r="T105" s="85"/>
      <c r="U105" s="149" t="s">
        <v>45</v>
      </c>
      <c r="V105" s="9"/>
      <c r="W105" s="9"/>
    </row>
    <row r="106" ht="42.75" customHeight="1" outlineLevel="1">
      <c r="A106" s="72"/>
      <c r="B106" s="72"/>
      <c r="C106" s="72"/>
      <c r="D106" s="72"/>
      <c r="E106" s="72"/>
      <c r="F106" s="72"/>
      <c r="G106" s="72"/>
      <c r="H106" s="88" t="s">
        <v>295</v>
      </c>
      <c r="I106" s="81" t="b">
        <v>1</v>
      </c>
      <c r="J106" s="82" t="s">
        <v>47</v>
      </c>
      <c r="K106" s="83">
        <f t="shared" si="21"/>
        <v>1</v>
      </c>
      <c r="L106" s="84">
        <v>3000000.0</v>
      </c>
      <c r="M106" s="84">
        <v>0.0</v>
      </c>
      <c r="N106" s="84">
        <v>0.0</v>
      </c>
      <c r="O106" s="84" t="str">
        <f t="shared" si="22"/>
        <v>-</v>
      </c>
      <c r="P106" s="84" t="str">
        <f t="shared" si="23"/>
        <v>-</v>
      </c>
      <c r="Q106" s="84">
        <f t="shared" si="24"/>
        <v>3000000</v>
      </c>
      <c r="R106" s="72"/>
      <c r="S106" s="72"/>
      <c r="T106" s="72"/>
      <c r="U106" s="72"/>
      <c r="V106" s="87"/>
      <c r="W106" s="9"/>
    </row>
    <row r="107" ht="42.75" customHeight="1" outlineLevel="1">
      <c r="A107" s="134" t="s">
        <v>296</v>
      </c>
      <c r="B107" s="135" t="s">
        <v>297</v>
      </c>
      <c r="C107" s="136"/>
      <c r="D107" s="137"/>
      <c r="E107" s="138"/>
      <c r="F107" s="139"/>
      <c r="G107" s="140"/>
      <c r="H107" s="136"/>
      <c r="I107" s="141" t="b">
        <v>0</v>
      </c>
      <c r="J107" s="142"/>
      <c r="K107" s="143"/>
      <c r="L107" s="144"/>
      <c r="M107" s="144"/>
      <c r="N107" s="144"/>
      <c r="O107" s="144"/>
      <c r="P107" s="144"/>
      <c r="Q107" s="144"/>
      <c r="R107" s="136"/>
      <c r="S107" s="145"/>
      <c r="T107" s="145"/>
      <c r="U107" s="138"/>
      <c r="V107" s="146"/>
      <c r="W107" s="146"/>
    </row>
    <row r="108" ht="42.75" customHeight="1" outlineLevel="1">
      <c r="A108" s="73" t="s">
        <v>45</v>
      </c>
      <c r="B108" s="147" t="s">
        <v>298</v>
      </c>
      <c r="C108" s="75" t="s">
        <v>38</v>
      </c>
      <c r="D108" s="76">
        <v>270000.0</v>
      </c>
      <c r="E108" s="77" t="s">
        <v>40</v>
      </c>
      <c r="F108" s="78" t="s">
        <v>299</v>
      </c>
      <c r="G108" s="79" t="s">
        <v>300</v>
      </c>
      <c r="H108" s="80" t="s">
        <v>301</v>
      </c>
      <c r="I108" s="81" t="b">
        <v>1</v>
      </c>
      <c r="J108" s="82" t="s">
        <v>7</v>
      </c>
      <c r="K108" s="83">
        <f t="shared" ref="K108:K113" si="25">if(I108=True,1,if(I108=False,0))</f>
        <v>1</v>
      </c>
      <c r="L108" s="84">
        <v>6000000.0</v>
      </c>
      <c r="M108" s="84">
        <v>30000.0</v>
      </c>
      <c r="N108" s="84">
        <v>2000.0</v>
      </c>
      <c r="O108" s="84">
        <f>IFERROR(Q108/M108,"-")</f>
        <v>200</v>
      </c>
      <c r="P108" s="84">
        <f>IFERROR(Q108/N108,"-")</f>
        <v>3000</v>
      </c>
      <c r="Q108" s="84">
        <f t="shared" ref="Q108:Q113" si="26">iferror(L108*K108,"-")</f>
        <v>6000000</v>
      </c>
      <c r="R108" s="75" t="s">
        <v>302</v>
      </c>
      <c r="S108" s="85" t="s">
        <v>303</v>
      </c>
      <c r="T108" s="85"/>
      <c r="U108" s="86" t="s">
        <v>45</v>
      </c>
      <c r="V108" s="9" t="s">
        <v>304</v>
      </c>
      <c r="W108" s="9"/>
    </row>
    <row r="109" ht="42.75" customHeight="1" outlineLevel="1">
      <c r="A109" s="72"/>
      <c r="B109" s="72"/>
      <c r="C109" s="72"/>
      <c r="D109" s="72"/>
      <c r="E109" s="72"/>
      <c r="F109" s="72"/>
      <c r="G109" s="72"/>
      <c r="H109" s="88" t="s">
        <v>305</v>
      </c>
      <c r="I109" s="81" t="b">
        <v>1</v>
      </c>
      <c r="J109" s="82" t="s">
        <v>47</v>
      </c>
      <c r="K109" s="83">
        <f t="shared" si="25"/>
        <v>1</v>
      </c>
      <c r="L109" s="84">
        <v>2000000.0</v>
      </c>
      <c r="M109" s="84">
        <v>0.0</v>
      </c>
      <c r="N109" s="84">
        <v>0.0</v>
      </c>
      <c r="O109" s="84" t="s">
        <v>81</v>
      </c>
      <c r="P109" s="84" t="s">
        <v>81</v>
      </c>
      <c r="Q109" s="84">
        <f t="shared" si="26"/>
        <v>2000000</v>
      </c>
      <c r="R109" s="68"/>
      <c r="S109" s="72"/>
      <c r="T109" s="72"/>
      <c r="U109" s="72"/>
      <c r="V109" s="9"/>
      <c r="W109" s="9"/>
    </row>
    <row r="110" ht="42.75" hidden="1" customHeight="1" outlineLevel="1">
      <c r="A110" s="73" t="s">
        <v>73</v>
      </c>
      <c r="B110" s="91" t="s">
        <v>306</v>
      </c>
      <c r="C110" s="75" t="s">
        <v>38</v>
      </c>
      <c r="D110" s="76">
        <v>129000.0</v>
      </c>
      <c r="E110" s="77" t="s">
        <v>40</v>
      </c>
      <c r="F110" s="78" t="s">
        <v>307</v>
      </c>
      <c r="G110" s="79" t="s">
        <v>308</v>
      </c>
      <c r="H110" s="80" t="s">
        <v>309</v>
      </c>
      <c r="I110" s="81" t="b">
        <v>0</v>
      </c>
      <c r="J110" s="82" t="s">
        <v>7</v>
      </c>
      <c r="K110" s="83">
        <f t="shared" si="25"/>
        <v>0</v>
      </c>
      <c r="L110" s="84">
        <v>6000000.0</v>
      </c>
      <c r="M110" s="84">
        <v>40000.0</v>
      </c>
      <c r="N110" s="84">
        <v>2000.0</v>
      </c>
      <c r="O110" s="84">
        <f>IFERROR(Q110/M110,"-")</f>
        <v>0</v>
      </c>
      <c r="P110" s="84">
        <f>IFERROR(Q110/N110,"-")</f>
        <v>0</v>
      </c>
      <c r="Q110" s="84">
        <f t="shared" si="26"/>
        <v>0</v>
      </c>
      <c r="R110" s="68"/>
      <c r="S110" s="85" t="s">
        <v>310</v>
      </c>
      <c r="T110" s="85" t="s">
        <v>79</v>
      </c>
      <c r="U110" s="94" t="s">
        <v>87</v>
      </c>
      <c r="V110" s="9"/>
      <c r="W110" s="9"/>
    </row>
    <row r="111" ht="42.75" hidden="1" customHeight="1" outlineLevel="1">
      <c r="A111" s="72"/>
      <c r="B111" s="72"/>
      <c r="C111" s="72"/>
      <c r="D111" s="72"/>
      <c r="E111" s="72"/>
      <c r="F111" s="72"/>
      <c r="G111" s="72"/>
      <c r="H111" s="88" t="s">
        <v>311</v>
      </c>
      <c r="I111" s="81" t="b">
        <v>0</v>
      </c>
      <c r="J111" s="82" t="s">
        <v>47</v>
      </c>
      <c r="K111" s="83">
        <f t="shared" si="25"/>
        <v>0</v>
      </c>
      <c r="L111" s="84">
        <v>2000000.0</v>
      </c>
      <c r="M111" s="84">
        <v>0.0</v>
      </c>
      <c r="N111" s="84">
        <v>0.0</v>
      </c>
      <c r="O111" s="84" t="s">
        <v>81</v>
      </c>
      <c r="P111" s="84" t="s">
        <v>81</v>
      </c>
      <c r="Q111" s="84">
        <f t="shared" si="26"/>
        <v>0</v>
      </c>
      <c r="R111" s="68"/>
      <c r="S111" s="72"/>
      <c r="T111" s="72"/>
      <c r="U111" s="72"/>
      <c r="V111" s="9"/>
      <c r="W111" s="9"/>
    </row>
    <row r="112" ht="42.75" hidden="1" customHeight="1" outlineLevel="1">
      <c r="A112" s="73" t="s">
        <v>101</v>
      </c>
      <c r="B112" s="152" t="s">
        <v>312</v>
      </c>
      <c r="C112" s="75" t="s">
        <v>38</v>
      </c>
      <c r="D112" s="76" t="s">
        <v>313</v>
      </c>
      <c r="E112" s="77" t="s">
        <v>40</v>
      </c>
      <c r="F112" s="78" t="s">
        <v>314</v>
      </c>
      <c r="G112" s="79" t="s">
        <v>315</v>
      </c>
      <c r="H112" s="80" t="s">
        <v>316</v>
      </c>
      <c r="I112" s="81" t="b">
        <v>0</v>
      </c>
      <c r="J112" s="82" t="s">
        <v>7</v>
      </c>
      <c r="K112" s="83">
        <f t="shared" si="25"/>
        <v>0</v>
      </c>
      <c r="L112" s="84">
        <v>1.7E7</v>
      </c>
      <c r="M112" s="84">
        <v>70000.0</v>
      </c>
      <c r="N112" s="84">
        <v>5000.0</v>
      </c>
      <c r="O112" s="84">
        <f>IFERROR(Q112/M112,"-")</f>
        <v>0</v>
      </c>
      <c r="P112" s="84">
        <f>IFERROR(Q112/N112,"-")</f>
        <v>0</v>
      </c>
      <c r="Q112" s="84">
        <f t="shared" si="26"/>
        <v>0</v>
      </c>
      <c r="R112" s="68"/>
      <c r="S112" s="85"/>
      <c r="T112" s="85"/>
      <c r="U112" s="149" t="s">
        <v>122</v>
      </c>
      <c r="V112" s="9"/>
      <c r="W112" s="9"/>
    </row>
    <row r="113" ht="42.75" hidden="1" customHeight="1" outlineLevel="1">
      <c r="A113" s="72"/>
      <c r="B113" s="72"/>
      <c r="C113" s="72"/>
      <c r="D113" s="72"/>
      <c r="E113" s="72"/>
      <c r="F113" s="72"/>
      <c r="G113" s="72"/>
      <c r="H113" s="88" t="s">
        <v>317</v>
      </c>
      <c r="I113" s="81" t="b">
        <v>0</v>
      </c>
      <c r="J113" s="82" t="s">
        <v>47</v>
      </c>
      <c r="K113" s="83">
        <f t="shared" si="25"/>
        <v>0</v>
      </c>
      <c r="L113" s="84">
        <v>7000000.0</v>
      </c>
      <c r="M113" s="84">
        <v>0.0</v>
      </c>
      <c r="N113" s="84">
        <v>0.0</v>
      </c>
      <c r="O113" s="84" t="s">
        <v>81</v>
      </c>
      <c r="P113" s="84" t="s">
        <v>81</v>
      </c>
      <c r="Q113" s="84">
        <f t="shared" si="26"/>
        <v>0</v>
      </c>
      <c r="R113" s="72"/>
      <c r="S113" s="72"/>
      <c r="T113" s="72"/>
      <c r="U113" s="72"/>
      <c r="V113" s="9"/>
      <c r="W113" s="9"/>
    </row>
    <row r="114" ht="34.5" customHeight="1" collapsed="1">
      <c r="A114" s="156" t="s">
        <v>318</v>
      </c>
      <c r="B114" s="56"/>
      <c r="C114" s="61"/>
      <c r="D114" s="61"/>
      <c r="E114" s="61"/>
      <c r="F114" s="61"/>
      <c r="G114" s="61"/>
      <c r="H114" s="61"/>
      <c r="I114" s="62"/>
      <c r="J114" s="63" t="s">
        <v>10</v>
      </c>
      <c r="K114" s="64">
        <f>SUMIFS(K116:K125,J116:J125,"Photo Post")</f>
        <v>5</v>
      </c>
      <c r="L114" s="65"/>
      <c r="M114" s="66">
        <f t="shared" ref="M114:N114" si="27">sum(M116:M125)</f>
        <v>320000</v>
      </c>
      <c r="N114" s="66">
        <f t="shared" si="27"/>
        <v>23500</v>
      </c>
      <c r="O114" s="65"/>
      <c r="P114" s="65"/>
      <c r="Q114" s="66">
        <f>sum(Q116:Q125)</f>
        <v>216000000</v>
      </c>
      <c r="R114" s="133"/>
      <c r="S114" s="133"/>
      <c r="T114" s="133"/>
      <c r="U114" s="133"/>
      <c r="V114" s="69"/>
      <c r="W114" s="9"/>
    </row>
    <row r="115" ht="34.5" customHeight="1">
      <c r="A115" s="70"/>
      <c r="B115" s="71"/>
      <c r="C115" s="61"/>
      <c r="D115" s="61"/>
      <c r="E115" s="61"/>
      <c r="F115" s="61"/>
      <c r="G115" s="61"/>
      <c r="H115" s="61"/>
      <c r="I115" s="62"/>
      <c r="J115" s="63" t="s">
        <v>7</v>
      </c>
      <c r="K115" s="64">
        <f>SUMIFS(K116:K125,J116:J125,"Video Post")</f>
        <v>5</v>
      </c>
      <c r="L115" s="65"/>
      <c r="M115" s="72"/>
      <c r="N115" s="72"/>
      <c r="O115" s="65"/>
      <c r="P115" s="65"/>
      <c r="Q115" s="72"/>
      <c r="R115" s="133"/>
      <c r="S115" s="133"/>
      <c r="T115" s="133"/>
      <c r="U115" s="133"/>
      <c r="V115" s="69"/>
      <c r="W115" s="9"/>
    </row>
    <row r="116" ht="207.75" customHeight="1" outlineLevel="1">
      <c r="A116" s="157" t="s">
        <v>45</v>
      </c>
      <c r="B116" s="158" t="s">
        <v>319</v>
      </c>
      <c r="C116" s="159" t="s">
        <v>320</v>
      </c>
      <c r="D116" s="160" t="s">
        <v>321</v>
      </c>
      <c r="E116" s="161" t="s">
        <v>118</v>
      </c>
      <c r="F116" s="162" t="s">
        <v>21</v>
      </c>
      <c r="G116" s="163" t="s">
        <v>322</v>
      </c>
      <c r="H116" s="164" t="s">
        <v>323</v>
      </c>
      <c r="I116" s="97" t="b">
        <v>1</v>
      </c>
      <c r="J116" s="98" t="s">
        <v>10</v>
      </c>
      <c r="K116" s="99">
        <f t="shared" ref="K116:K125" si="28">if(I116=True,1,if(I116=False,0))</f>
        <v>1</v>
      </c>
      <c r="L116" s="100">
        <v>3.2E7</v>
      </c>
      <c r="M116" s="100">
        <v>0.0</v>
      </c>
      <c r="N116" s="100">
        <v>3000.0</v>
      </c>
      <c r="O116" s="100" t="str">
        <f t="shared" ref="O116:O125" si="29">IFERROR(Q116/M116,"-")</f>
        <v>-</v>
      </c>
      <c r="P116" s="100">
        <f t="shared" ref="P116:P125" si="30">IFERROR(Q116/N116,"-")</f>
        <v>10666.66667</v>
      </c>
      <c r="Q116" s="100">
        <f t="shared" ref="Q116:Q125" si="31">iferror(L116*K116,"-")</f>
        <v>32000000</v>
      </c>
      <c r="R116" s="165" t="s">
        <v>324</v>
      </c>
      <c r="S116" s="166"/>
      <c r="T116" s="166"/>
      <c r="U116" s="167" t="s">
        <v>45</v>
      </c>
      <c r="V116" s="168"/>
      <c r="W116" s="9"/>
    </row>
    <row r="117" ht="207.75" customHeight="1" outlineLevel="1">
      <c r="A117" s="157" t="s">
        <v>45</v>
      </c>
      <c r="B117" s="158" t="s">
        <v>325</v>
      </c>
      <c r="C117" s="159" t="s">
        <v>320</v>
      </c>
      <c r="D117" s="160" t="s">
        <v>326</v>
      </c>
      <c r="E117" s="161" t="s">
        <v>118</v>
      </c>
      <c r="F117" s="162" t="s">
        <v>139</v>
      </c>
      <c r="G117" s="163" t="s">
        <v>322</v>
      </c>
      <c r="H117" s="164" t="s">
        <v>323</v>
      </c>
      <c r="I117" s="97" t="b">
        <v>1</v>
      </c>
      <c r="J117" s="98" t="s">
        <v>10</v>
      </c>
      <c r="K117" s="99">
        <f t="shared" si="28"/>
        <v>1</v>
      </c>
      <c r="L117" s="100">
        <v>2.6E7</v>
      </c>
      <c r="M117" s="100">
        <v>0.0</v>
      </c>
      <c r="N117" s="100">
        <v>3000.0</v>
      </c>
      <c r="O117" s="100" t="str">
        <f t="shared" si="29"/>
        <v>-</v>
      </c>
      <c r="P117" s="100">
        <f t="shared" si="30"/>
        <v>8666.666667</v>
      </c>
      <c r="Q117" s="100">
        <f t="shared" si="31"/>
        <v>26000000</v>
      </c>
      <c r="R117" s="165" t="s">
        <v>327</v>
      </c>
      <c r="S117" s="169"/>
      <c r="T117" s="169"/>
      <c r="U117" s="167" t="s">
        <v>45</v>
      </c>
      <c r="V117" s="170"/>
      <c r="W117" s="9"/>
    </row>
    <row r="118" ht="207.75" customHeight="1" outlineLevel="1">
      <c r="A118" s="157" t="s">
        <v>45</v>
      </c>
      <c r="B118" s="158" t="s">
        <v>328</v>
      </c>
      <c r="C118" s="159" t="s">
        <v>320</v>
      </c>
      <c r="D118" s="160" t="s">
        <v>329</v>
      </c>
      <c r="E118" s="161" t="s">
        <v>118</v>
      </c>
      <c r="F118" s="162" t="s">
        <v>21</v>
      </c>
      <c r="G118" s="163" t="s">
        <v>322</v>
      </c>
      <c r="H118" s="164" t="s">
        <v>323</v>
      </c>
      <c r="I118" s="97" t="b">
        <v>1</v>
      </c>
      <c r="J118" s="98" t="s">
        <v>10</v>
      </c>
      <c r="K118" s="99">
        <f t="shared" si="28"/>
        <v>1</v>
      </c>
      <c r="L118" s="100">
        <v>2.6E7</v>
      </c>
      <c r="M118" s="100">
        <v>0.0</v>
      </c>
      <c r="N118" s="100">
        <v>3000.0</v>
      </c>
      <c r="O118" s="100" t="str">
        <f t="shared" si="29"/>
        <v>-</v>
      </c>
      <c r="P118" s="100">
        <f t="shared" si="30"/>
        <v>8666.666667</v>
      </c>
      <c r="Q118" s="100">
        <f t="shared" si="31"/>
        <v>26000000</v>
      </c>
      <c r="R118" s="165" t="s">
        <v>330</v>
      </c>
      <c r="S118" s="169"/>
      <c r="T118" s="169"/>
      <c r="U118" s="167" t="s">
        <v>45</v>
      </c>
      <c r="V118" s="170"/>
      <c r="W118" s="9"/>
    </row>
    <row r="119" ht="207.75" customHeight="1" outlineLevel="1">
      <c r="A119" s="157" t="s">
        <v>45</v>
      </c>
      <c r="B119" s="171" t="s">
        <v>331</v>
      </c>
      <c r="C119" s="159" t="s">
        <v>320</v>
      </c>
      <c r="D119" s="160" t="s">
        <v>332</v>
      </c>
      <c r="E119" s="161" t="s">
        <v>40</v>
      </c>
      <c r="F119" s="162" t="s">
        <v>21</v>
      </c>
      <c r="G119" s="163" t="s">
        <v>50</v>
      </c>
      <c r="H119" s="164" t="s">
        <v>323</v>
      </c>
      <c r="I119" s="97" t="b">
        <v>1</v>
      </c>
      <c r="J119" s="98" t="s">
        <v>10</v>
      </c>
      <c r="K119" s="99">
        <f t="shared" si="28"/>
        <v>1</v>
      </c>
      <c r="L119" s="100">
        <v>2.5E7</v>
      </c>
      <c r="M119" s="100">
        <v>0.0</v>
      </c>
      <c r="N119" s="100">
        <v>3000.0</v>
      </c>
      <c r="O119" s="100" t="str">
        <f t="shared" si="29"/>
        <v>-</v>
      </c>
      <c r="P119" s="100">
        <f t="shared" si="30"/>
        <v>8333.333333</v>
      </c>
      <c r="Q119" s="100">
        <f t="shared" si="31"/>
        <v>25000000</v>
      </c>
      <c r="R119" s="165" t="s">
        <v>333</v>
      </c>
      <c r="S119" s="169"/>
      <c r="T119" s="169"/>
      <c r="U119" s="167" t="s">
        <v>45</v>
      </c>
      <c r="V119" s="170"/>
      <c r="W119" s="9"/>
    </row>
    <row r="120" ht="207.75" customHeight="1" outlineLevel="1">
      <c r="A120" s="157" t="s">
        <v>45</v>
      </c>
      <c r="B120" s="158" t="s">
        <v>334</v>
      </c>
      <c r="C120" s="159" t="s">
        <v>320</v>
      </c>
      <c r="D120" s="160" t="s">
        <v>335</v>
      </c>
      <c r="E120" s="161" t="s">
        <v>40</v>
      </c>
      <c r="F120" s="162" t="s">
        <v>21</v>
      </c>
      <c r="G120" s="163" t="s">
        <v>322</v>
      </c>
      <c r="H120" s="164" t="s">
        <v>336</v>
      </c>
      <c r="I120" s="97" t="b">
        <v>1</v>
      </c>
      <c r="J120" s="98" t="s">
        <v>10</v>
      </c>
      <c r="K120" s="99">
        <f t="shared" si="28"/>
        <v>1</v>
      </c>
      <c r="L120" s="100">
        <v>1.7E7</v>
      </c>
      <c r="M120" s="100">
        <v>0.0</v>
      </c>
      <c r="N120" s="100">
        <v>3000.0</v>
      </c>
      <c r="O120" s="100" t="str">
        <f t="shared" si="29"/>
        <v>-</v>
      </c>
      <c r="P120" s="100">
        <f t="shared" si="30"/>
        <v>5666.666667</v>
      </c>
      <c r="Q120" s="100">
        <f t="shared" si="31"/>
        <v>17000000</v>
      </c>
      <c r="R120" s="165" t="s">
        <v>337</v>
      </c>
      <c r="S120" s="169"/>
      <c r="T120" s="169"/>
      <c r="U120" s="167" t="s">
        <v>45</v>
      </c>
      <c r="V120" s="170"/>
      <c r="W120" s="9"/>
    </row>
    <row r="121" ht="207.75" customHeight="1" outlineLevel="1">
      <c r="A121" s="157" t="s">
        <v>45</v>
      </c>
      <c r="B121" s="171" t="s">
        <v>338</v>
      </c>
      <c r="C121" s="159" t="s">
        <v>38</v>
      </c>
      <c r="D121" s="160" t="s">
        <v>339</v>
      </c>
      <c r="E121" s="161" t="s">
        <v>118</v>
      </c>
      <c r="F121" s="162" t="s">
        <v>21</v>
      </c>
      <c r="G121" s="163" t="s">
        <v>105</v>
      </c>
      <c r="H121" s="164" t="s">
        <v>340</v>
      </c>
      <c r="I121" s="97" t="b">
        <v>1</v>
      </c>
      <c r="J121" s="98" t="s">
        <v>7</v>
      </c>
      <c r="K121" s="99">
        <f t="shared" si="28"/>
        <v>1</v>
      </c>
      <c r="L121" s="100">
        <v>2.5E7</v>
      </c>
      <c r="M121" s="100">
        <v>80000.0</v>
      </c>
      <c r="N121" s="100">
        <v>2000.0</v>
      </c>
      <c r="O121" s="100">
        <f t="shared" si="29"/>
        <v>312.5</v>
      </c>
      <c r="P121" s="100">
        <f t="shared" si="30"/>
        <v>12500</v>
      </c>
      <c r="Q121" s="100">
        <f t="shared" si="31"/>
        <v>25000000</v>
      </c>
      <c r="R121" s="165" t="s">
        <v>341</v>
      </c>
      <c r="S121" s="169"/>
      <c r="T121" s="169"/>
      <c r="U121" s="167" t="s">
        <v>45</v>
      </c>
      <c r="V121" s="170"/>
      <c r="W121" s="9"/>
    </row>
    <row r="122" ht="207.75" customHeight="1" outlineLevel="1">
      <c r="A122" s="157" t="s">
        <v>45</v>
      </c>
      <c r="B122" s="158" t="s">
        <v>342</v>
      </c>
      <c r="C122" s="159" t="s">
        <v>38</v>
      </c>
      <c r="D122" s="160" t="s">
        <v>343</v>
      </c>
      <c r="E122" s="161" t="s">
        <v>40</v>
      </c>
      <c r="F122" s="162" t="s">
        <v>21</v>
      </c>
      <c r="G122" s="163" t="s">
        <v>50</v>
      </c>
      <c r="H122" s="164" t="s">
        <v>340</v>
      </c>
      <c r="I122" s="97" t="b">
        <v>1</v>
      </c>
      <c r="J122" s="98" t="s">
        <v>7</v>
      </c>
      <c r="K122" s="99">
        <f t="shared" si="28"/>
        <v>1</v>
      </c>
      <c r="L122" s="100">
        <v>1.5E7</v>
      </c>
      <c r="M122" s="100">
        <v>30000.0</v>
      </c>
      <c r="N122" s="100">
        <v>1500.0</v>
      </c>
      <c r="O122" s="100">
        <f t="shared" si="29"/>
        <v>500</v>
      </c>
      <c r="P122" s="100">
        <f t="shared" si="30"/>
        <v>10000</v>
      </c>
      <c r="Q122" s="100">
        <f t="shared" si="31"/>
        <v>15000000</v>
      </c>
      <c r="R122" s="165" t="s">
        <v>344</v>
      </c>
      <c r="S122" s="169"/>
      <c r="T122" s="169"/>
      <c r="U122" s="167" t="s">
        <v>45</v>
      </c>
      <c r="V122" s="170"/>
      <c r="W122" s="9"/>
    </row>
    <row r="123" ht="207.75" customHeight="1" outlineLevel="1">
      <c r="A123" s="157" t="s">
        <v>45</v>
      </c>
      <c r="B123" s="158" t="s">
        <v>345</v>
      </c>
      <c r="C123" s="159" t="s">
        <v>38</v>
      </c>
      <c r="D123" s="160" t="s">
        <v>346</v>
      </c>
      <c r="E123" s="161" t="s">
        <v>40</v>
      </c>
      <c r="F123" s="162" t="s">
        <v>21</v>
      </c>
      <c r="G123" s="163" t="s">
        <v>322</v>
      </c>
      <c r="H123" s="164" t="s">
        <v>340</v>
      </c>
      <c r="I123" s="97" t="b">
        <v>1</v>
      </c>
      <c r="J123" s="98" t="s">
        <v>7</v>
      </c>
      <c r="K123" s="99">
        <f t="shared" si="28"/>
        <v>1</v>
      </c>
      <c r="L123" s="100">
        <v>1.8E7</v>
      </c>
      <c r="M123" s="100">
        <v>80000.0</v>
      </c>
      <c r="N123" s="100">
        <v>1500.0</v>
      </c>
      <c r="O123" s="100">
        <f t="shared" si="29"/>
        <v>225</v>
      </c>
      <c r="P123" s="100">
        <f t="shared" si="30"/>
        <v>12000</v>
      </c>
      <c r="Q123" s="100">
        <f t="shared" si="31"/>
        <v>18000000</v>
      </c>
      <c r="R123" s="165" t="s">
        <v>347</v>
      </c>
      <c r="S123" s="169"/>
      <c r="T123" s="169"/>
      <c r="U123" s="167" t="s">
        <v>45</v>
      </c>
      <c r="V123" s="170"/>
      <c r="W123" s="9"/>
    </row>
    <row r="124" ht="207.75" customHeight="1" outlineLevel="1">
      <c r="A124" s="157" t="s">
        <v>45</v>
      </c>
      <c r="B124" s="158" t="s">
        <v>348</v>
      </c>
      <c r="C124" s="159" t="s">
        <v>38</v>
      </c>
      <c r="D124" s="160" t="s">
        <v>349</v>
      </c>
      <c r="E124" s="161" t="s">
        <v>40</v>
      </c>
      <c r="F124" s="162" t="s">
        <v>21</v>
      </c>
      <c r="G124" s="163" t="s">
        <v>50</v>
      </c>
      <c r="H124" s="164" t="s">
        <v>340</v>
      </c>
      <c r="I124" s="97" t="b">
        <v>1</v>
      </c>
      <c r="J124" s="98" t="s">
        <v>7</v>
      </c>
      <c r="K124" s="99">
        <f t="shared" si="28"/>
        <v>1</v>
      </c>
      <c r="L124" s="100">
        <v>1.2E7</v>
      </c>
      <c r="M124" s="100">
        <v>50000.0</v>
      </c>
      <c r="N124" s="100">
        <v>1500.0</v>
      </c>
      <c r="O124" s="100">
        <f t="shared" si="29"/>
        <v>240</v>
      </c>
      <c r="P124" s="100">
        <f t="shared" si="30"/>
        <v>8000</v>
      </c>
      <c r="Q124" s="100">
        <f t="shared" si="31"/>
        <v>12000000</v>
      </c>
      <c r="R124" s="165" t="s">
        <v>350</v>
      </c>
      <c r="S124" s="169"/>
      <c r="T124" s="169"/>
      <c r="U124" s="167" t="s">
        <v>45</v>
      </c>
      <c r="V124" s="170"/>
      <c r="W124" s="9"/>
    </row>
    <row r="125" ht="207.75" customHeight="1" outlineLevel="1">
      <c r="A125" s="157" t="s">
        <v>45</v>
      </c>
      <c r="B125" s="158" t="s">
        <v>351</v>
      </c>
      <c r="C125" s="159" t="s">
        <v>38</v>
      </c>
      <c r="D125" s="160" t="s">
        <v>352</v>
      </c>
      <c r="E125" s="161" t="s">
        <v>40</v>
      </c>
      <c r="F125" s="162" t="s">
        <v>21</v>
      </c>
      <c r="G125" s="163" t="s">
        <v>105</v>
      </c>
      <c r="H125" s="164" t="s">
        <v>340</v>
      </c>
      <c r="I125" s="97" t="b">
        <v>1</v>
      </c>
      <c r="J125" s="98" t="s">
        <v>7</v>
      </c>
      <c r="K125" s="99">
        <f t="shared" si="28"/>
        <v>1</v>
      </c>
      <c r="L125" s="100">
        <v>2.0E7</v>
      </c>
      <c r="M125" s="100">
        <v>80000.0</v>
      </c>
      <c r="N125" s="100">
        <v>2000.0</v>
      </c>
      <c r="O125" s="100">
        <f t="shared" si="29"/>
        <v>250</v>
      </c>
      <c r="P125" s="100">
        <f t="shared" si="30"/>
        <v>10000</v>
      </c>
      <c r="Q125" s="100">
        <f t="shared" si="31"/>
        <v>20000000</v>
      </c>
      <c r="R125" s="165" t="s">
        <v>353</v>
      </c>
      <c r="S125" s="166"/>
      <c r="T125" s="166"/>
      <c r="U125" s="167" t="s">
        <v>45</v>
      </c>
      <c r="V125" s="168"/>
      <c r="W125" s="9"/>
    </row>
    <row r="126" ht="54.0" customHeight="1">
      <c r="A126" s="172" t="s">
        <v>354</v>
      </c>
      <c r="B126" s="173"/>
      <c r="C126" s="174"/>
      <c r="D126" s="175"/>
      <c r="E126" s="174"/>
      <c r="F126" s="174"/>
      <c r="G126" s="174"/>
      <c r="H126" s="174"/>
      <c r="I126" s="176"/>
      <c r="J126" s="177"/>
      <c r="K126" s="178"/>
      <c r="L126" s="177"/>
      <c r="M126" s="177"/>
      <c r="N126" s="179">
        <f>K127</f>
        <v>2000</v>
      </c>
      <c r="O126" s="177"/>
      <c r="P126" s="177"/>
      <c r="Q126" s="179">
        <f>Q127</f>
        <v>20000000</v>
      </c>
      <c r="R126" s="180"/>
      <c r="S126" s="181"/>
      <c r="T126" s="181"/>
      <c r="U126" s="181"/>
      <c r="V126" s="181"/>
      <c r="W126" s="9"/>
    </row>
    <row r="127" ht="67.5" customHeight="1" outlineLevel="1">
      <c r="A127" s="182">
        <v>1.0</v>
      </c>
      <c r="B127" s="183" t="s">
        <v>355</v>
      </c>
      <c r="C127" s="184" t="s">
        <v>356</v>
      </c>
      <c r="D127" s="185"/>
      <c r="E127" s="185"/>
      <c r="F127" s="185"/>
      <c r="G127" s="185"/>
      <c r="H127" s="186"/>
      <c r="I127" s="187" t="b">
        <v>1</v>
      </c>
      <c r="J127" s="188" t="s">
        <v>11</v>
      </c>
      <c r="K127" s="189">
        <v>2000.0</v>
      </c>
      <c r="L127" s="189">
        <v>10000.0</v>
      </c>
      <c r="M127" s="190"/>
      <c r="N127" s="191">
        <f>L127</f>
        <v>10000</v>
      </c>
      <c r="O127" s="190"/>
      <c r="P127" s="190"/>
      <c r="Q127" s="192">
        <f>iferror(L127*K127,"-")</f>
        <v>20000000</v>
      </c>
      <c r="R127" s="193"/>
      <c r="S127" s="181"/>
      <c r="T127" s="181"/>
      <c r="U127" s="181"/>
      <c r="V127" s="181"/>
      <c r="W127" s="9"/>
    </row>
    <row r="128" ht="23.25" customHeight="1">
      <c r="A128" s="194"/>
      <c r="B128" s="195"/>
      <c r="C128" s="195"/>
      <c r="D128" s="195"/>
      <c r="E128" s="195"/>
      <c r="F128" s="196"/>
      <c r="G128" s="195"/>
      <c r="H128" s="195"/>
      <c r="I128" s="197" t="s">
        <v>357</v>
      </c>
      <c r="J128" s="195"/>
      <c r="K128" s="195"/>
      <c r="L128" s="195"/>
      <c r="M128" s="198">
        <f t="shared" ref="M128:N128" si="32">sum(M126,M114,M50,M20)</f>
        <v>1546500</v>
      </c>
      <c r="N128" s="198">
        <f t="shared" si="32"/>
        <v>84200</v>
      </c>
      <c r="O128" s="199"/>
      <c r="P128" s="199"/>
      <c r="Q128" s="198">
        <f>sum(Q126,Q114,Q50,Q20)</f>
        <v>616000000</v>
      </c>
      <c r="R128" s="200"/>
      <c r="S128" s="8"/>
      <c r="T128" s="8"/>
      <c r="U128" s="8"/>
      <c r="V128" s="8"/>
      <c r="W128" s="9"/>
    </row>
    <row r="129" ht="25.5" customHeight="1">
      <c r="A129" s="194"/>
      <c r="B129" s="195"/>
      <c r="C129" s="195"/>
      <c r="D129" s="195"/>
      <c r="E129" s="195"/>
      <c r="F129" s="196"/>
      <c r="G129" s="195"/>
      <c r="H129" s="195"/>
      <c r="I129" s="197" t="s">
        <v>358</v>
      </c>
      <c r="J129" s="195"/>
      <c r="K129" s="195"/>
      <c r="L129" s="195"/>
      <c r="M129" s="195"/>
      <c r="N129" s="195"/>
      <c r="O129" s="195"/>
      <c r="P129" s="201">
        <v>0.12</v>
      </c>
      <c r="Q129" s="198">
        <f>Q128*P129</f>
        <v>73920000</v>
      </c>
      <c r="R129" s="200"/>
      <c r="S129" s="8"/>
      <c r="T129" s="8"/>
      <c r="U129" s="8"/>
      <c r="V129" s="8"/>
      <c r="W129" s="9"/>
    </row>
    <row r="130" ht="25.5" customHeight="1">
      <c r="A130" s="202"/>
      <c r="B130" s="203"/>
      <c r="C130" s="203"/>
      <c r="D130" s="203"/>
      <c r="E130" s="203"/>
      <c r="F130" s="204"/>
      <c r="G130" s="203"/>
      <c r="H130" s="203"/>
      <c r="I130" s="205" t="s">
        <v>359</v>
      </c>
      <c r="J130" s="203"/>
      <c r="K130" s="203"/>
      <c r="L130" s="203"/>
      <c r="M130" s="203"/>
      <c r="N130" s="203"/>
      <c r="O130" s="203"/>
      <c r="P130" s="206"/>
      <c r="Q130" s="207">
        <f>SUM(Q128:Q129)</f>
        <v>689920000</v>
      </c>
      <c r="R130" s="208"/>
      <c r="S130" s="8"/>
      <c r="T130" s="8"/>
      <c r="U130" s="8"/>
      <c r="V130" s="8"/>
      <c r="W130" s="9"/>
    </row>
    <row r="131" ht="25.5" customHeight="1">
      <c r="A131" s="209"/>
      <c r="B131" s="210"/>
      <c r="C131" s="210"/>
      <c r="D131" s="210"/>
      <c r="E131" s="210"/>
      <c r="F131" s="211"/>
      <c r="G131" s="210"/>
      <c r="H131" s="210"/>
      <c r="I131" s="212" t="s">
        <v>360</v>
      </c>
      <c r="J131" s="210"/>
      <c r="K131" s="210"/>
      <c r="L131" s="210"/>
      <c r="M131" s="210"/>
      <c r="N131" s="210"/>
      <c r="O131" s="210"/>
      <c r="P131" s="213"/>
      <c r="Q131" s="214">
        <f>Q130*1.08</f>
        <v>745113600</v>
      </c>
      <c r="R131" s="215"/>
      <c r="S131" s="8"/>
      <c r="T131" s="8"/>
      <c r="U131" s="8"/>
      <c r="V131" s="8"/>
      <c r="W131" s="9"/>
    </row>
    <row r="132" ht="25.5" customHeight="1">
      <c r="R132" s="216"/>
      <c r="S132" s="8"/>
      <c r="T132" s="8"/>
      <c r="U132" s="8"/>
      <c r="V132" s="8"/>
      <c r="W132" s="9"/>
    </row>
    <row r="133" ht="25.5" customHeight="1">
      <c r="A133" s="217"/>
      <c r="B133" s="218"/>
      <c r="C133" s="218"/>
      <c r="D133" s="219"/>
      <c r="E133" s="218"/>
      <c r="F133" s="220"/>
      <c r="G133" s="218"/>
      <c r="H133" s="218"/>
      <c r="I133" s="218"/>
      <c r="J133" s="221"/>
      <c r="K133" s="222"/>
      <c r="L133" s="221"/>
      <c r="M133" s="221"/>
      <c r="N133" s="221"/>
      <c r="O133" s="221"/>
      <c r="P133" s="221"/>
      <c r="Q133" s="221"/>
      <c r="R133" s="223"/>
      <c r="S133" s="8"/>
      <c r="T133" s="8"/>
      <c r="U133" s="8"/>
      <c r="V133" s="8"/>
      <c r="W133" s="9"/>
    </row>
    <row r="134" ht="29.25" customHeight="1">
      <c r="A134" s="33"/>
      <c r="B134" s="2"/>
      <c r="C134" s="2"/>
      <c r="D134" s="2"/>
      <c r="E134" s="2"/>
      <c r="F134" s="4"/>
      <c r="G134" s="2"/>
      <c r="H134" s="2"/>
      <c r="I134" s="2"/>
      <c r="J134" s="2"/>
      <c r="K134" s="5"/>
      <c r="L134" s="2"/>
      <c r="M134" s="2"/>
      <c r="N134" s="2"/>
      <c r="O134" s="2"/>
      <c r="P134" s="2"/>
      <c r="Q134" s="2"/>
      <c r="R134" s="7"/>
      <c r="S134" s="224"/>
      <c r="T134" s="224"/>
      <c r="U134" s="224"/>
      <c r="V134" s="224"/>
      <c r="W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9"/>
    </row>
    <row r="136">
      <c r="A136" s="33"/>
      <c r="B136" s="2"/>
      <c r="C136" s="225"/>
      <c r="D136" s="2"/>
      <c r="E136" s="2"/>
      <c r="F136" s="4"/>
      <c r="G136" s="2"/>
      <c r="H136" s="2"/>
      <c r="I136" s="2"/>
      <c r="J136" s="2"/>
      <c r="K136" s="5"/>
      <c r="L136" s="2"/>
      <c r="M136" s="2"/>
      <c r="N136" s="2"/>
      <c r="O136" s="2"/>
      <c r="P136" s="2"/>
      <c r="Q136" s="2"/>
      <c r="R136" s="7"/>
      <c r="S136" s="224"/>
      <c r="T136" s="224"/>
      <c r="U136" s="224"/>
      <c r="V136" s="224"/>
      <c r="W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9"/>
    </row>
    <row r="142">
      <c r="A142" s="33"/>
      <c r="B142" s="2"/>
      <c r="C142" s="2"/>
      <c r="D142" s="2"/>
      <c r="E142" s="2"/>
      <c r="F142" s="4"/>
      <c r="G142" s="2"/>
      <c r="H142" s="2"/>
      <c r="I142" s="2"/>
      <c r="J142" s="2"/>
      <c r="K142" s="5"/>
      <c r="L142" s="2"/>
      <c r="M142" s="2"/>
      <c r="N142" s="2"/>
      <c r="O142" s="2"/>
      <c r="P142" s="2"/>
      <c r="Q142" s="2"/>
      <c r="R142" s="7"/>
      <c r="S142" s="224"/>
      <c r="T142" s="224"/>
      <c r="U142" s="224"/>
      <c r="V142" s="224"/>
      <c r="W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9"/>
    </row>
    <row r="146">
      <c r="A146" s="33"/>
      <c r="B146" s="2"/>
      <c r="C146" s="2"/>
      <c r="D146" s="2"/>
      <c r="E146" s="2"/>
      <c r="F146" s="4"/>
      <c r="G146" s="2"/>
      <c r="H146" s="2"/>
      <c r="I146" s="2"/>
      <c r="J146" s="2"/>
      <c r="K146" s="5"/>
      <c r="L146" s="2"/>
      <c r="M146" s="2"/>
      <c r="N146" s="2"/>
      <c r="O146" s="2"/>
      <c r="P146" s="2"/>
      <c r="Q146" s="2"/>
      <c r="R146" s="7"/>
      <c r="S146" s="224"/>
      <c r="T146" s="224"/>
      <c r="U146" s="224"/>
      <c r="V146" s="224"/>
      <c r="W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9"/>
    </row>
    <row r="164">
      <c r="A164" s="33"/>
      <c r="B164" s="2"/>
      <c r="C164" s="2"/>
      <c r="D164" s="2"/>
      <c r="E164" s="2"/>
      <c r="F164" s="4"/>
      <c r="G164" s="2"/>
      <c r="H164" s="2"/>
      <c r="I164" s="2"/>
      <c r="J164" s="2"/>
      <c r="K164" s="5"/>
      <c r="L164" s="2"/>
      <c r="M164" s="2"/>
      <c r="N164" s="2"/>
      <c r="O164" s="2"/>
      <c r="P164" s="2"/>
      <c r="Q164" s="2"/>
      <c r="R164" s="7"/>
      <c r="S164" s="226"/>
      <c r="T164" s="226"/>
      <c r="U164" s="226"/>
      <c r="V164" s="226"/>
      <c r="W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9"/>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c r="W1055" s="9"/>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c r="W1056" s="9"/>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c r="W1057" s="9"/>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c r="W1058" s="9"/>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c r="W1059" s="9"/>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c r="W1060" s="9"/>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c r="W1061" s="9"/>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c r="W1062" s="9"/>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c r="W1063" s="9"/>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c r="W1064" s="9"/>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c r="W1065" s="9"/>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c r="W1066" s="9"/>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c r="W1067" s="9"/>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c r="W1068" s="9"/>
    </row>
    <row r="1069">
      <c r="A1069" s="33"/>
      <c r="B1069" s="2"/>
      <c r="C1069" s="2"/>
      <c r="D1069" s="2"/>
      <c r="E1069" s="2"/>
      <c r="F1069" s="4"/>
      <c r="G1069" s="2"/>
      <c r="H1069" s="2"/>
      <c r="I1069" s="2"/>
      <c r="J1069" s="2"/>
      <c r="K1069" s="5"/>
      <c r="L1069" s="2"/>
      <c r="M1069" s="2"/>
      <c r="N1069" s="2"/>
      <c r="O1069" s="2"/>
      <c r="P1069" s="2"/>
      <c r="Q1069" s="2"/>
      <c r="R1069" s="7"/>
      <c r="S1069" s="224"/>
      <c r="T1069" s="224"/>
      <c r="U1069" s="224"/>
      <c r="V1069" s="224"/>
      <c r="W1069" s="9"/>
    </row>
    <row r="1070">
      <c r="A1070" s="33"/>
      <c r="B1070" s="2"/>
      <c r="C1070" s="2"/>
      <c r="D1070" s="2"/>
      <c r="E1070" s="2"/>
      <c r="F1070" s="4"/>
      <c r="G1070" s="2"/>
      <c r="H1070" s="2"/>
      <c r="I1070" s="2"/>
      <c r="J1070" s="2"/>
      <c r="K1070" s="5"/>
      <c r="L1070" s="2"/>
      <c r="M1070" s="2"/>
      <c r="N1070" s="2"/>
      <c r="O1070" s="2"/>
      <c r="P1070" s="2"/>
      <c r="Q1070" s="2"/>
      <c r="R1070" s="7"/>
      <c r="S1070" s="224"/>
      <c r="T1070" s="224"/>
      <c r="U1070" s="224"/>
      <c r="V1070" s="224"/>
      <c r="W1070" s="9"/>
    </row>
    <row r="1071">
      <c r="A1071" s="33"/>
      <c r="B1071" s="2"/>
      <c r="C1071" s="2"/>
      <c r="D1071" s="2"/>
      <c r="E1071" s="2"/>
      <c r="F1071" s="4"/>
      <c r="G1071" s="2"/>
      <c r="H1071" s="2"/>
      <c r="I1071" s="2"/>
      <c r="J1071" s="2"/>
      <c r="K1071" s="5"/>
      <c r="L1071" s="2"/>
      <c r="M1071" s="2"/>
      <c r="N1071" s="2"/>
      <c r="O1071" s="2"/>
      <c r="P1071" s="2"/>
      <c r="Q1071" s="2"/>
      <c r="R1071" s="7"/>
      <c r="S1071" s="224"/>
      <c r="T1071" s="224"/>
      <c r="U1071" s="224"/>
      <c r="V1071" s="224"/>
      <c r="W1071" s="9"/>
    </row>
    <row r="1072">
      <c r="A1072" s="33"/>
      <c r="B1072" s="2"/>
      <c r="C1072" s="2"/>
      <c r="D1072" s="2"/>
      <c r="E1072" s="2"/>
      <c r="F1072" s="4"/>
      <c r="G1072" s="2"/>
      <c r="H1072" s="2"/>
      <c r="I1072" s="2"/>
      <c r="J1072" s="2"/>
      <c r="K1072" s="5"/>
      <c r="L1072" s="2"/>
      <c r="M1072" s="2"/>
      <c r="N1072" s="2"/>
      <c r="O1072" s="2"/>
      <c r="P1072" s="2"/>
      <c r="Q1072" s="2"/>
      <c r="R1072" s="7"/>
      <c r="S1072" s="224"/>
      <c r="T1072" s="224"/>
      <c r="U1072" s="224"/>
      <c r="V1072" s="224"/>
      <c r="W1072" s="9"/>
    </row>
    <row r="1073">
      <c r="A1073" s="33"/>
      <c r="B1073" s="2"/>
      <c r="C1073" s="2"/>
      <c r="D1073" s="2"/>
      <c r="E1073" s="2"/>
      <c r="F1073" s="4"/>
      <c r="G1073" s="2"/>
      <c r="H1073" s="2"/>
      <c r="I1073" s="2"/>
      <c r="J1073" s="2"/>
      <c r="K1073" s="5"/>
      <c r="L1073" s="2"/>
      <c r="M1073" s="2"/>
      <c r="N1073" s="2"/>
      <c r="O1073" s="2"/>
      <c r="P1073" s="2"/>
      <c r="Q1073" s="2"/>
      <c r="R1073" s="7"/>
      <c r="S1073" s="224"/>
      <c r="T1073" s="224"/>
      <c r="U1073" s="224"/>
      <c r="V1073" s="224"/>
      <c r="W1073" s="9"/>
    </row>
    <row r="1074">
      <c r="A1074" s="33"/>
      <c r="B1074" s="2"/>
      <c r="C1074" s="2"/>
      <c r="D1074" s="2"/>
      <c r="E1074" s="2"/>
      <c r="F1074" s="4"/>
      <c r="G1074" s="2"/>
      <c r="H1074" s="2"/>
      <c r="I1074" s="2"/>
      <c r="J1074" s="2"/>
      <c r="K1074" s="5"/>
      <c r="L1074" s="2"/>
      <c r="M1074" s="2"/>
      <c r="N1074" s="2"/>
      <c r="O1074" s="2"/>
      <c r="P1074" s="2"/>
      <c r="Q1074" s="2"/>
      <c r="R1074" s="7"/>
      <c r="S1074" s="224"/>
      <c r="T1074" s="224"/>
      <c r="U1074" s="224"/>
      <c r="V1074" s="224"/>
      <c r="W1074" s="9"/>
    </row>
    <row r="1075">
      <c r="A1075" s="33"/>
      <c r="B1075" s="2"/>
      <c r="C1075" s="2"/>
      <c r="D1075" s="2"/>
      <c r="E1075" s="2"/>
      <c r="F1075" s="4"/>
      <c r="G1075" s="2"/>
      <c r="H1075" s="2"/>
      <c r="I1075" s="2"/>
      <c r="J1075" s="2"/>
      <c r="K1075" s="5"/>
      <c r="L1075" s="2"/>
      <c r="M1075" s="2"/>
      <c r="N1075" s="2"/>
      <c r="O1075" s="2"/>
      <c r="P1075" s="2"/>
      <c r="Q1075" s="2"/>
      <c r="R1075" s="7"/>
      <c r="S1075" s="224"/>
      <c r="T1075" s="224"/>
      <c r="U1075" s="224"/>
      <c r="V1075" s="224"/>
      <c r="W1075" s="9"/>
    </row>
    <row r="1076">
      <c r="A1076" s="33"/>
      <c r="B1076" s="2"/>
      <c r="C1076" s="2"/>
      <c r="D1076" s="2"/>
      <c r="E1076" s="2"/>
      <c r="F1076" s="4"/>
      <c r="G1076" s="2"/>
      <c r="H1076" s="2"/>
      <c r="I1076" s="2"/>
      <c r="J1076" s="2"/>
      <c r="K1076" s="5"/>
      <c r="L1076" s="2"/>
      <c r="M1076" s="2"/>
      <c r="N1076" s="2"/>
      <c r="O1076" s="2"/>
      <c r="P1076" s="2"/>
      <c r="Q1076" s="2"/>
      <c r="R1076" s="7"/>
      <c r="S1076" s="224"/>
      <c r="T1076" s="224"/>
      <c r="U1076" s="224"/>
      <c r="V1076" s="224"/>
      <c r="W1076" s="9"/>
    </row>
    <row r="1077">
      <c r="A1077" s="33"/>
      <c r="B1077" s="2"/>
      <c r="C1077" s="2"/>
      <c r="D1077" s="2"/>
      <c r="E1077" s="2"/>
      <c r="F1077" s="4"/>
      <c r="G1077" s="2"/>
      <c r="H1077" s="2"/>
      <c r="I1077" s="2"/>
      <c r="J1077" s="2"/>
      <c r="K1077" s="5"/>
      <c r="L1077" s="2"/>
      <c r="M1077" s="2"/>
      <c r="N1077" s="2"/>
      <c r="O1077" s="2"/>
      <c r="P1077" s="2"/>
      <c r="Q1077" s="2"/>
      <c r="R1077" s="7"/>
      <c r="S1077" s="224"/>
      <c r="T1077" s="224"/>
      <c r="U1077" s="224"/>
      <c r="V1077" s="224"/>
      <c r="W1077" s="9"/>
    </row>
    <row r="1078">
      <c r="A1078" s="33"/>
      <c r="B1078" s="2"/>
      <c r="C1078" s="2"/>
      <c r="D1078" s="2"/>
      <c r="E1078" s="2"/>
      <c r="F1078" s="4"/>
      <c r="G1078" s="2"/>
      <c r="H1078" s="2"/>
      <c r="I1078" s="2"/>
      <c r="J1078" s="2"/>
      <c r="K1078" s="5"/>
      <c r="L1078" s="2"/>
      <c r="M1078" s="2"/>
      <c r="N1078" s="2"/>
      <c r="O1078" s="2"/>
      <c r="P1078" s="2"/>
      <c r="Q1078" s="2"/>
      <c r="R1078" s="7"/>
      <c r="S1078" s="224"/>
      <c r="T1078" s="224"/>
      <c r="U1078" s="224"/>
      <c r="V1078" s="224"/>
      <c r="W1078" s="9"/>
    </row>
    <row r="1079">
      <c r="A1079" s="33"/>
      <c r="B1079" s="2"/>
      <c r="C1079" s="2"/>
      <c r="D1079" s="2"/>
      <c r="E1079" s="2"/>
      <c r="F1079" s="4"/>
      <c r="G1079" s="2"/>
      <c r="H1079" s="2"/>
      <c r="I1079" s="2"/>
      <c r="J1079" s="2"/>
      <c r="K1079" s="5"/>
      <c r="L1079" s="2"/>
      <c r="M1079" s="2"/>
      <c r="N1079" s="2"/>
      <c r="O1079" s="2"/>
      <c r="P1079" s="2"/>
      <c r="Q1079" s="2"/>
      <c r="R1079" s="7"/>
      <c r="S1079" s="224"/>
      <c r="T1079" s="224"/>
      <c r="U1079" s="224"/>
      <c r="V1079" s="224"/>
      <c r="W1079" s="9"/>
    </row>
    <row r="1080">
      <c r="A1080" s="33"/>
      <c r="B1080" s="2"/>
      <c r="C1080" s="2"/>
      <c r="D1080" s="2"/>
      <c r="E1080" s="2"/>
      <c r="F1080" s="4"/>
      <c r="G1080" s="2"/>
      <c r="H1080" s="2"/>
      <c r="I1080" s="2"/>
      <c r="J1080" s="2"/>
      <c r="K1080" s="5"/>
      <c r="L1080" s="2"/>
      <c r="M1080" s="2"/>
      <c r="N1080" s="2"/>
      <c r="O1080" s="2"/>
      <c r="P1080" s="2"/>
      <c r="Q1080" s="2"/>
      <c r="R1080" s="7"/>
      <c r="S1080" s="224"/>
      <c r="T1080" s="224"/>
      <c r="U1080" s="224"/>
      <c r="V1080" s="224"/>
      <c r="W1080" s="9"/>
    </row>
    <row r="1081">
      <c r="A1081" s="33"/>
      <c r="B1081" s="2"/>
      <c r="C1081" s="2"/>
      <c r="D1081" s="2"/>
      <c r="E1081" s="2"/>
      <c r="F1081" s="4"/>
      <c r="G1081" s="2"/>
      <c r="H1081" s="2"/>
      <c r="I1081" s="2"/>
      <c r="J1081" s="2"/>
      <c r="K1081" s="5"/>
      <c r="L1081" s="2"/>
      <c r="M1081" s="2"/>
      <c r="N1081" s="2"/>
      <c r="O1081" s="2"/>
      <c r="P1081" s="2"/>
      <c r="Q1081" s="2"/>
      <c r="R1081" s="7"/>
      <c r="S1081" s="224"/>
      <c r="T1081" s="224"/>
      <c r="U1081" s="224"/>
      <c r="V1081" s="224"/>
      <c r="W1081" s="9"/>
    </row>
    <row r="1082">
      <c r="A1082" s="33"/>
      <c r="B1082" s="2"/>
      <c r="C1082" s="2"/>
      <c r="D1082" s="2"/>
      <c r="E1082" s="2"/>
      <c r="F1082" s="4"/>
      <c r="G1082" s="2"/>
      <c r="H1082" s="2"/>
      <c r="I1082" s="2"/>
      <c r="J1082" s="2"/>
      <c r="K1082" s="5"/>
      <c r="L1082" s="2"/>
      <c r="M1082" s="2"/>
      <c r="N1082" s="2"/>
      <c r="O1082" s="2"/>
      <c r="P1082" s="2"/>
      <c r="Q1082" s="2"/>
      <c r="R1082" s="7"/>
      <c r="S1082" s="224"/>
      <c r="T1082" s="224"/>
      <c r="U1082" s="224"/>
      <c r="V1082" s="224"/>
      <c r="W1082" s="9"/>
    </row>
    <row r="1083">
      <c r="A1083" s="33"/>
      <c r="B1083" s="2"/>
      <c r="C1083" s="2"/>
      <c r="D1083" s="2"/>
      <c r="E1083" s="2"/>
      <c r="F1083" s="4"/>
      <c r="G1083" s="2"/>
      <c r="H1083" s="2"/>
      <c r="I1083" s="2"/>
      <c r="J1083" s="2"/>
      <c r="K1083" s="5"/>
      <c r="L1083" s="2"/>
      <c r="M1083" s="2"/>
      <c r="N1083" s="2"/>
      <c r="O1083" s="2"/>
      <c r="P1083" s="2"/>
      <c r="Q1083" s="2"/>
      <c r="R1083" s="7"/>
      <c r="S1083" s="224"/>
      <c r="T1083" s="224"/>
      <c r="U1083" s="224"/>
      <c r="V1083" s="224"/>
      <c r="W1083" s="9"/>
    </row>
    <row r="1084">
      <c r="A1084" s="33"/>
      <c r="B1084" s="2"/>
      <c r="C1084" s="2"/>
      <c r="D1084" s="2"/>
      <c r="E1084" s="2"/>
      <c r="F1084" s="4"/>
      <c r="G1084" s="2"/>
      <c r="H1084" s="2"/>
      <c r="I1084" s="2"/>
      <c r="J1084" s="2"/>
      <c r="K1084" s="5"/>
      <c r="L1084" s="2"/>
      <c r="M1084" s="2"/>
      <c r="N1084" s="2"/>
      <c r="O1084" s="2"/>
      <c r="P1084" s="2"/>
      <c r="Q1084" s="2"/>
      <c r="R1084" s="7"/>
      <c r="S1084" s="224"/>
      <c r="T1084" s="224"/>
      <c r="U1084" s="224"/>
      <c r="V1084" s="224"/>
      <c r="W1084" s="9"/>
    </row>
    <row r="1085">
      <c r="A1085" s="33"/>
      <c r="B1085" s="2"/>
      <c r="C1085" s="2"/>
      <c r="D1085" s="2"/>
      <c r="E1085" s="2"/>
      <c r="F1085" s="4"/>
      <c r="G1085" s="2"/>
      <c r="H1085" s="2"/>
      <c r="I1085" s="2"/>
      <c r="J1085" s="2"/>
      <c r="K1085" s="5"/>
      <c r="L1085" s="2"/>
      <c r="M1085" s="2"/>
      <c r="N1085" s="2"/>
      <c r="O1085" s="2"/>
      <c r="P1085" s="2"/>
      <c r="Q1085" s="2"/>
      <c r="R1085" s="7"/>
      <c r="S1085" s="224"/>
      <c r="T1085" s="224"/>
      <c r="U1085" s="224"/>
      <c r="V1085" s="224"/>
      <c r="W1085" s="9"/>
    </row>
    <row r="1086">
      <c r="A1086" s="33"/>
      <c r="B1086" s="2"/>
      <c r="C1086" s="2"/>
      <c r="D1086" s="2"/>
      <c r="E1086" s="2"/>
      <c r="F1086" s="4"/>
      <c r="G1086" s="2"/>
      <c r="H1086" s="2"/>
      <c r="I1086" s="2"/>
      <c r="J1086" s="2"/>
      <c r="K1086" s="5"/>
      <c r="L1086" s="2"/>
      <c r="M1086" s="2"/>
      <c r="N1086" s="2"/>
      <c r="O1086" s="2"/>
      <c r="P1086" s="2"/>
      <c r="Q1086" s="2"/>
      <c r="R1086" s="7"/>
      <c r="S1086" s="224"/>
      <c r="T1086" s="224"/>
      <c r="U1086" s="224"/>
      <c r="V1086" s="224"/>
      <c r="W1086" s="9"/>
    </row>
  </sheetData>
  <mergeCells count="492">
    <mergeCell ref="A5:A6"/>
    <mergeCell ref="B5:B6"/>
    <mergeCell ref="E5:E6"/>
    <mergeCell ref="A7:A8"/>
    <mergeCell ref="B7:B8"/>
    <mergeCell ref="A9:A10"/>
    <mergeCell ref="B9:B10"/>
    <mergeCell ref="E7:E8"/>
    <mergeCell ref="E9:E10"/>
    <mergeCell ref="S19:S21"/>
    <mergeCell ref="T19:T21"/>
    <mergeCell ref="U19:U21"/>
    <mergeCell ref="M20:M21"/>
    <mergeCell ref="N20:N21"/>
    <mergeCell ref="A20:B21"/>
    <mergeCell ref="B22:B23"/>
    <mergeCell ref="C22:C23"/>
    <mergeCell ref="D22:D23"/>
    <mergeCell ref="E22:E23"/>
    <mergeCell ref="F22:F23"/>
    <mergeCell ref="G22:G23"/>
    <mergeCell ref="T24:T25"/>
    <mergeCell ref="U24:U25"/>
    <mergeCell ref="Q20:Q21"/>
    <mergeCell ref="R22:R23"/>
    <mergeCell ref="S22:S23"/>
    <mergeCell ref="T22:T23"/>
    <mergeCell ref="U22:U23"/>
    <mergeCell ref="R24:R25"/>
    <mergeCell ref="S24:S25"/>
    <mergeCell ref="A26:A27"/>
    <mergeCell ref="A28:A29"/>
    <mergeCell ref="B28:B29"/>
    <mergeCell ref="C28:C29"/>
    <mergeCell ref="D28:D29"/>
    <mergeCell ref="E28:E29"/>
    <mergeCell ref="F28:F29"/>
    <mergeCell ref="G28:G29"/>
    <mergeCell ref="T32:T33"/>
    <mergeCell ref="U32:U33"/>
    <mergeCell ref="A38:A39"/>
    <mergeCell ref="B38:B39"/>
    <mergeCell ref="C38:C39"/>
    <mergeCell ref="D38:D39"/>
    <mergeCell ref="E38:E39"/>
    <mergeCell ref="F38:F39"/>
    <mergeCell ref="G38:G39"/>
    <mergeCell ref="A40:A41"/>
    <mergeCell ref="B40:B41"/>
    <mergeCell ref="C40:C41"/>
    <mergeCell ref="D40:D41"/>
    <mergeCell ref="E40:E41"/>
    <mergeCell ref="F40:F41"/>
    <mergeCell ref="G40:G41"/>
    <mergeCell ref="A42:A43"/>
    <mergeCell ref="B42:B43"/>
    <mergeCell ref="C42:C43"/>
    <mergeCell ref="D42:D43"/>
    <mergeCell ref="E42:E43"/>
    <mergeCell ref="F42:F43"/>
    <mergeCell ref="G42:G43"/>
    <mergeCell ref="M50:M51"/>
    <mergeCell ref="N50:N51"/>
    <mergeCell ref="Q50:Q51"/>
    <mergeCell ref="A44:A45"/>
    <mergeCell ref="B44:B45"/>
    <mergeCell ref="C44:C45"/>
    <mergeCell ref="D44:D45"/>
    <mergeCell ref="E44:E45"/>
    <mergeCell ref="F44:F45"/>
    <mergeCell ref="G44:G45"/>
    <mergeCell ref="A46:A47"/>
    <mergeCell ref="B46:B47"/>
    <mergeCell ref="C46:C47"/>
    <mergeCell ref="D46:D47"/>
    <mergeCell ref="E46:E47"/>
    <mergeCell ref="F46:F47"/>
    <mergeCell ref="G46:G47"/>
    <mergeCell ref="B48:B49"/>
    <mergeCell ref="C48:C49"/>
    <mergeCell ref="D48:D49"/>
    <mergeCell ref="E48:E49"/>
    <mergeCell ref="F48:F49"/>
    <mergeCell ref="G48:G49"/>
    <mergeCell ref="A50:B51"/>
    <mergeCell ref="R42:R43"/>
    <mergeCell ref="S42:S43"/>
    <mergeCell ref="T42:T43"/>
    <mergeCell ref="U42:U43"/>
    <mergeCell ref="S44:S45"/>
    <mergeCell ref="T44:T45"/>
    <mergeCell ref="U44:U45"/>
    <mergeCell ref="R61:R62"/>
    <mergeCell ref="S61:S62"/>
    <mergeCell ref="T61:T62"/>
    <mergeCell ref="U61:U62"/>
    <mergeCell ref="R63:R64"/>
    <mergeCell ref="S63:S64"/>
    <mergeCell ref="T63:T64"/>
    <mergeCell ref="U63:U64"/>
    <mergeCell ref="R44:R45"/>
    <mergeCell ref="R46:R47"/>
    <mergeCell ref="S46:S47"/>
    <mergeCell ref="T46:T47"/>
    <mergeCell ref="U46:U47"/>
    <mergeCell ref="R48:R49"/>
    <mergeCell ref="S48:S49"/>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 ref="A48:A49"/>
    <mergeCell ref="B53:B54"/>
    <mergeCell ref="C53:C54"/>
    <mergeCell ref="D53:D54"/>
    <mergeCell ref="E53:E54"/>
    <mergeCell ref="F53:F54"/>
    <mergeCell ref="G53:G54"/>
    <mergeCell ref="A53:A54"/>
    <mergeCell ref="B55:B56"/>
    <mergeCell ref="C55:C56"/>
    <mergeCell ref="D55:D56"/>
    <mergeCell ref="E55:E56"/>
    <mergeCell ref="F55:F56"/>
    <mergeCell ref="G55:G56"/>
    <mergeCell ref="A92:A93"/>
    <mergeCell ref="B94:B95"/>
    <mergeCell ref="C94:C95"/>
    <mergeCell ref="D94:D95"/>
    <mergeCell ref="E94:E95"/>
    <mergeCell ref="F94:F95"/>
    <mergeCell ref="G94:G95"/>
    <mergeCell ref="A94:A95"/>
    <mergeCell ref="B96:B97"/>
    <mergeCell ref="C96:C97"/>
    <mergeCell ref="D96:D97"/>
    <mergeCell ref="E96:E97"/>
    <mergeCell ref="F96:F97"/>
    <mergeCell ref="G96:G97"/>
    <mergeCell ref="A96:A97"/>
    <mergeCell ref="B99:B100"/>
    <mergeCell ref="C99:C100"/>
    <mergeCell ref="D99:D100"/>
    <mergeCell ref="E99:E100"/>
    <mergeCell ref="F99:F100"/>
    <mergeCell ref="G99:G100"/>
    <mergeCell ref="A99:A100"/>
    <mergeCell ref="B101:B102"/>
    <mergeCell ref="C101:C102"/>
    <mergeCell ref="D101:D102"/>
    <mergeCell ref="E101:E102"/>
    <mergeCell ref="F101:F102"/>
    <mergeCell ref="G101:G102"/>
    <mergeCell ref="A101:A102"/>
    <mergeCell ref="B103:B104"/>
    <mergeCell ref="C103:C104"/>
    <mergeCell ref="D103:D104"/>
    <mergeCell ref="E103:E104"/>
    <mergeCell ref="F103:F104"/>
    <mergeCell ref="G103:G104"/>
    <mergeCell ref="A103:A104"/>
    <mergeCell ref="B105:B106"/>
    <mergeCell ref="C105:C106"/>
    <mergeCell ref="D105:D106"/>
    <mergeCell ref="E105:E106"/>
    <mergeCell ref="F105:F106"/>
    <mergeCell ref="G105:G106"/>
    <mergeCell ref="A105:A106"/>
    <mergeCell ref="B108:B109"/>
    <mergeCell ref="C108:C109"/>
    <mergeCell ref="D108:D109"/>
    <mergeCell ref="E108:E109"/>
    <mergeCell ref="F108:F109"/>
    <mergeCell ref="G108:G109"/>
    <mergeCell ref="A108:A109"/>
    <mergeCell ref="B110:B111"/>
    <mergeCell ref="C110:C111"/>
    <mergeCell ref="D110:D111"/>
    <mergeCell ref="E110:E111"/>
    <mergeCell ref="F110:F111"/>
    <mergeCell ref="G110:G111"/>
    <mergeCell ref="C127:H127"/>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112:B113"/>
    <mergeCell ref="A114:B115"/>
    <mergeCell ref="A110:A111"/>
    <mergeCell ref="A112:A113"/>
    <mergeCell ref="C112:C113"/>
    <mergeCell ref="D112:D113"/>
    <mergeCell ref="E112:E113"/>
    <mergeCell ref="F112:F113"/>
    <mergeCell ref="G112:G113"/>
    <mergeCell ref="A63:A64"/>
    <mergeCell ref="B65:B66"/>
    <mergeCell ref="C65:C66"/>
    <mergeCell ref="D65:D66"/>
    <mergeCell ref="E65:E66"/>
    <mergeCell ref="F65:F66"/>
    <mergeCell ref="G65:G66"/>
    <mergeCell ref="A65:A66"/>
    <mergeCell ref="B67:B68"/>
    <mergeCell ref="C67:C68"/>
    <mergeCell ref="D67:D68"/>
    <mergeCell ref="E67:E68"/>
    <mergeCell ref="F67:F68"/>
    <mergeCell ref="G67:G68"/>
    <mergeCell ref="A67:A68"/>
    <mergeCell ref="B69:B70"/>
    <mergeCell ref="C69:C70"/>
    <mergeCell ref="D69:D70"/>
    <mergeCell ref="E69:E70"/>
    <mergeCell ref="F69:F70"/>
    <mergeCell ref="G69:G70"/>
    <mergeCell ref="A69:A70"/>
    <mergeCell ref="B71:B72"/>
    <mergeCell ref="C71:C72"/>
    <mergeCell ref="D71:D72"/>
    <mergeCell ref="E71:E72"/>
    <mergeCell ref="F71:F72"/>
    <mergeCell ref="G71:G72"/>
    <mergeCell ref="A71:A72"/>
    <mergeCell ref="B73:B74"/>
    <mergeCell ref="C73:C74"/>
    <mergeCell ref="D73:D74"/>
    <mergeCell ref="E73:E74"/>
    <mergeCell ref="F73:F74"/>
    <mergeCell ref="G73:G74"/>
    <mergeCell ref="A73:A74"/>
    <mergeCell ref="B76:B77"/>
    <mergeCell ref="C76:C77"/>
    <mergeCell ref="D76:D77"/>
    <mergeCell ref="E76:E77"/>
    <mergeCell ref="F76:F77"/>
    <mergeCell ref="G76:G77"/>
    <mergeCell ref="A76:A77"/>
    <mergeCell ref="B78:B79"/>
    <mergeCell ref="C78:C79"/>
    <mergeCell ref="D78:D79"/>
    <mergeCell ref="E78:E79"/>
    <mergeCell ref="F78:F79"/>
    <mergeCell ref="G78:G79"/>
    <mergeCell ref="A78:A79"/>
    <mergeCell ref="B80:B81"/>
    <mergeCell ref="C80:C81"/>
    <mergeCell ref="D80:D81"/>
    <mergeCell ref="E80:E81"/>
    <mergeCell ref="F80:F81"/>
    <mergeCell ref="G80:G81"/>
    <mergeCell ref="A80:A81"/>
    <mergeCell ref="B82:B83"/>
    <mergeCell ref="C82:C83"/>
    <mergeCell ref="D82:D83"/>
    <mergeCell ref="E82:E83"/>
    <mergeCell ref="F82:F83"/>
    <mergeCell ref="G82:G83"/>
    <mergeCell ref="A82:A83"/>
    <mergeCell ref="B84:B85"/>
    <mergeCell ref="C84:C85"/>
    <mergeCell ref="D84:D85"/>
    <mergeCell ref="E84:E85"/>
    <mergeCell ref="F84:F85"/>
    <mergeCell ref="G84:G85"/>
    <mergeCell ref="A84:A85"/>
    <mergeCell ref="B86:B87"/>
    <mergeCell ref="C86:C87"/>
    <mergeCell ref="D86:D87"/>
    <mergeCell ref="E86:E87"/>
    <mergeCell ref="F86:F87"/>
    <mergeCell ref="G86:G87"/>
    <mergeCell ref="A86:A87"/>
    <mergeCell ref="B88:B89"/>
    <mergeCell ref="C88:C89"/>
    <mergeCell ref="D88:D89"/>
    <mergeCell ref="E88:E89"/>
    <mergeCell ref="F88:F89"/>
    <mergeCell ref="G88:G89"/>
    <mergeCell ref="A88:A89"/>
    <mergeCell ref="B90:B91"/>
    <mergeCell ref="C90:C91"/>
    <mergeCell ref="D90:D91"/>
    <mergeCell ref="E90:E91"/>
    <mergeCell ref="F90:F91"/>
    <mergeCell ref="G90:G91"/>
    <mergeCell ref="A90:A91"/>
    <mergeCell ref="B92:B93"/>
    <mergeCell ref="C92:C93"/>
    <mergeCell ref="D92:D93"/>
    <mergeCell ref="E92:E93"/>
    <mergeCell ref="F92:F93"/>
    <mergeCell ref="G92:G93"/>
    <mergeCell ref="S67:S68"/>
    <mergeCell ref="T67:T68"/>
    <mergeCell ref="T59:T60"/>
    <mergeCell ref="U59:U60"/>
    <mergeCell ref="R65:R66"/>
    <mergeCell ref="S65:S66"/>
    <mergeCell ref="T65:T66"/>
    <mergeCell ref="U65:U66"/>
    <mergeCell ref="U67:U68"/>
    <mergeCell ref="R26:R27"/>
    <mergeCell ref="S26:S27"/>
    <mergeCell ref="T26:T27"/>
    <mergeCell ref="U26:U27"/>
    <mergeCell ref="S28:S29"/>
    <mergeCell ref="T28:T29"/>
    <mergeCell ref="U28:U29"/>
    <mergeCell ref="R28:R29"/>
    <mergeCell ref="R30:R31"/>
    <mergeCell ref="S30:S31"/>
    <mergeCell ref="T30:T31"/>
    <mergeCell ref="U30:U31"/>
    <mergeCell ref="R32:R33"/>
    <mergeCell ref="S32:S33"/>
    <mergeCell ref="R34:R35"/>
    <mergeCell ref="S34:S35"/>
    <mergeCell ref="T34:T35"/>
    <mergeCell ref="U34:U35"/>
    <mergeCell ref="S36:S37"/>
    <mergeCell ref="T36:T37"/>
    <mergeCell ref="U36:U37"/>
    <mergeCell ref="T40:T41"/>
    <mergeCell ref="U40:U41"/>
    <mergeCell ref="R36:R37"/>
    <mergeCell ref="R38:R39"/>
    <mergeCell ref="S38:S39"/>
    <mergeCell ref="T38:T39"/>
    <mergeCell ref="U38:U39"/>
    <mergeCell ref="R40:R41"/>
    <mergeCell ref="S40:S41"/>
    <mergeCell ref="T48:T49"/>
    <mergeCell ref="U48:U49"/>
    <mergeCell ref="S99:S100"/>
    <mergeCell ref="T99:T100"/>
    <mergeCell ref="R53:R54"/>
    <mergeCell ref="S53:S54"/>
    <mergeCell ref="T53:T54"/>
    <mergeCell ref="U53:U54"/>
    <mergeCell ref="S55:S56"/>
    <mergeCell ref="T55:T56"/>
    <mergeCell ref="U55:U56"/>
    <mergeCell ref="R55:R56"/>
    <mergeCell ref="R57:R58"/>
    <mergeCell ref="S57:S58"/>
    <mergeCell ref="T57:T58"/>
    <mergeCell ref="U57:U58"/>
    <mergeCell ref="R59:R60"/>
    <mergeCell ref="S59:S60"/>
    <mergeCell ref="T71:T72"/>
    <mergeCell ref="U71:U72"/>
    <mergeCell ref="R67:R68"/>
    <mergeCell ref="R69:R70"/>
    <mergeCell ref="S69:S70"/>
    <mergeCell ref="T69:T70"/>
    <mergeCell ref="U69:U70"/>
    <mergeCell ref="R71:R72"/>
    <mergeCell ref="S71:S72"/>
    <mergeCell ref="T78:T79"/>
    <mergeCell ref="U78:U79"/>
    <mergeCell ref="R73:R74"/>
    <mergeCell ref="S73:S74"/>
    <mergeCell ref="T73:T74"/>
    <mergeCell ref="U73:U74"/>
    <mergeCell ref="R76:R79"/>
    <mergeCell ref="T76:T77"/>
    <mergeCell ref="U76:U77"/>
    <mergeCell ref="S82:S83"/>
    <mergeCell ref="T82:T83"/>
    <mergeCell ref="S76:S77"/>
    <mergeCell ref="S78:S79"/>
    <mergeCell ref="R80:R81"/>
    <mergeCell ref="S80:S81"/>
    <mergeCell ref="T80:T81"/>
    <mergeCell ref="U80:U81"/>
    <mergeCell ref="U82:U83"/>
    <mergeCell ref="T86:T87"/>
    <mergeCell ref="U86:U87"/>
    <mergeCell ref="R82:R83"/>
    <mergeCell ref="R84:R85"/>
    <mergeCell ref="S84:S85"/>
    <mergeCell ref="T84:T85"/>
    <mergeCell ref="U84:U85"/>
    <mergeCell ref="R86:R87"/>
    <mergeCell ref="S86:S87"/>
    <mergeCell ref="R88:R89"/>
    <mergeCell ref="S88:S89"/>
    <mergeCell ref="T88:T89"/>
    <mergeCell ref="U88:U89"/>
    <mergeCell ref="S90:S91"/>
    <mergeCell ref="T90:T91"/>
    <mergeCell ref="U90:U91"/>
    <mergeCell ref="R90:R91"/>
    <mergeCell ref="R92:R93"/>
    <mergeCell ref="S92:S93"/>
    <mergeCell ref="T92:T93"/>
    <mergeCell ref="U92:U93"/>
    <mergeCell ref="R94:R95"/>
    <mergeCell ref="S94:S95"/>
    <mergeCell ref="S96:S97"/>
    <mergeCell ref="S101:S102"/>
    <mergeCell ref="T101:T102"/>
    <mergeCell ref="U101:U102"/>
    <mergeCell ref="R99:R106"/>
    <mergeCell ref="S105:S106"/>
    <mergeCell ref="R108:R113"/>
    <mergeCell ref="S108:S109"/>
    <mergeCell ref="S110:S111"/>
    <mergeCell ref="S112:S113"/>
    <mergeCell ref="T94:T95"/>
    <mergeCell ref="U94:U95"/>
    <mergeCell ref="R96:R97"/>
    <mergeCell ref="T96:T97"/>
    <mergeCell ref="U96:U97"/>
    <mergeCell ref="U99:U100"/>
    <mergeCell ref="U103:U104"/>
    <mergeCell ref="T110:T111"/>
    <mergeCell ref="T112:T113"/>
    <mergeCell ref="U112:U113"/>
    <mergeCell ref="M114:M115"/>
    <mergeCell ref="N114:N115"/>
    <mergeCell ref="Q114:Q115"/>
    <mergeCell ref="S103:S104"/>
    <mergeCell ref="T103:T104"/>
    <mergeCell ref="T105:T106"/>
    <mergeCell ref="U105:U106"/>
    <mergeCell ref="T108:T109"/>
    <mergeCell ref="U108:U109"/>
    <mergeCell ref="U110:U111"/>
  </mergeCells>
  <conditionalFormatting sqref="D22:D39 D50:D104 D107:D113">
    <cfRule type="expression" dxfId="0" priority="1">
      <formula>#REF!=TRUE</formula>
    </cfRule>
  </conditionalFormatting>
  <conditionalFormatting sqref="D22:D39 D50:D104 D107:D113">
    <cfRule type="expression" dxfId="1" priority="2">
      <formula>#REF!=TRUE</formula>
    </cfRule>
  </conditionalFormatting>
  <conditionalFormatting sqref="D22:D23 D38:D39 D59:D64 D75:D77 D80:D81 D88:D95 D98 D103:D104 D107 D117:D118 D122 D126">
    <cfRule type="expression" dxfId="0" priority="3">
      <formula>#REF!=TRUE</formula>
    </cfRule>
  </conditionalFormatting>
  <conditionalFormatting sqref="D22:D23 D38:D39 D59:D64 D75:D77 D80:D81 D88:D95 D98 D103:D104 D107 D117:D118 D122 D126">
    <cfRule type="expression" dxfId="1" priority="4">
      <formula>P22=TRUE</formula>
    </cfRule>
  </conditionalFormatting>
  <dataValidations>
    <dataValidation type="list" allowBlank="1" showErrorMessage="1" sqref="G22 G24 G26 G28 G30 G32 G34 G36 G38 G40 G42 G44 G46 G48 G52:G53 G55 G57 G59 G61 G63 G65 G67 G69 G71 G73 G76 G78 G80 G82 G84 G86 G88 G90 G92 G94 G96 G99 G101 G103 G105 G107:G108 G110 G112 G116:G125">
      <formula1>"Hồ Chí Minh,Đồng Nai,Bình Dương,Hải Dương,Hà Nội ,Hải Phòng,Sóc Trăng,Cần Thơ,Mass,Đồng Tháp"</formula1>
    </dataValidation>
    <dataValidation type="list" allowBlank="1" showErrorMessage="1" sqref="U22 U24 U26 U28 U30 U32 U34 U36 U38 U40 U42 U44 U46 U48 U52:U53 U55 U57 U59 U61 U63 U65 U67 U69 U71 U73 U75:U76 U78 U80 U82 U84 U86 U88 U90 U92 U94 U96 U98:U99 U101 U103 U105 U107:U108 U110 U112 U116:U125">
      <formula1>"Confirm,Không phù hợp,Đề xuất thêm"</formula1>
    </dataValidation>
    <dataValidation type="list" allowBlank="1" showErrorMessage="1" sqref="E22 E24 E26 E28 E30 E32 E34 E36 E38 E40 E42 E44 E46 E48 E52:E53 E55 E57 E59 E61 E63 E65 E67 E69 E71 E73 E76 E78 E80 E82 E84 E86 E88 E90 E92 E94 E96 E99 E101 E103 E105 E107:E108 E110 E112 E116:E125">
      <formula1>"Nano,Macro,Micro"</formula1>
    </dataValidation>
    <dataValidation type="list" allowBlank="1" showErrorMessage="1" sqref="C22 C24 C26 C28 C30 C32 C34 C36 C38 C40 C42 C44 C46 C48 C52:C53 C55 C57 C59 C61 C63 C65 C67 C69 C71 C73 C76 C78 C80 C82 C84 C86 C88 C90 C92 C94 C96 C99 C101 C103 C105 C107:C108 C110 C112 C116:C125">
      <formula1>"Tiktok,Facebook,Instagram,TikTok &amp; Facebook"</formula1>
    </dataValidation>
  </dataValidations>
  <hyperlinks>
    <hyperlink r:id="rId1" ref="F22"/>
    <hyperlink r:id="rId2" ref="H22"/>
    <hyperlink r:id="rId3" ref="F24"/>
    <hyperlink r:id="rId4" ref="H24"/>
    <hyperlink r:id="rId5" ref="F26"/>
    <hyperlink r:id="rId6" ref="H26"/>
    <hyperlink r:id="rId7" ref="F28"/>
    <hyperlink r:id="rId8" ref="H28"/>
    <hyperlink r:id="rId9" ref="F30"/>
    <hyperlink r:id="rId10" ref="H30"/>
    <hyperlink r:id="rId11" ref="F32"/>
    <hyperlink r:id="rId12" ref="H32"/>
    <hyperlink r:id="rId13" ref="S32"/>
    <hyperlink r:id="rId14" ref="F34"/>
    <hyperlink r:id="rId15" ref="H34"/>
    <hyperlink r:id="rId16" ref="F36"/>
    <hyperlink r:id="rId17" ref="H36"/>
    <hyperlink r:id="rId18" ref="F38"/>
    <hyperlink r:id="rId19" ref="H38"/>
    <hyperlink r:id="rId20" ref="F40"/>
    <hyperlink r:id="rId21" ref="H40"/>
    <hyperlink r:id="rId22" ref="F42"/>
    <hyperlink r:id="rId23" ref="H42"/>
    <hyperlink r:id="rId24" ref="F44"/>
    <hyperlink r:id="rId25" ref="H44"/>
    <hyperlink r:id="rId26" ref="F46"/>
    <hyperlink r:id="rId27" ref="H46"/>
    <hyperlink r:id="rId28" ref="F48"/>
    <hyperlink r:id="rId29" ref="H48"/>
    <hyperlink r:id="rId30" ref="F53"/>
    <hyperlink r:id="rId31" ref="H53"/>
    <hyperlink r:id="rId32" ref="F55"/>
    <hyperlink r:id="rId33" ref="H55"/>
    <hyperlink r:id="rId34" ref="F57"/>
    <hyperlink r:id="rId35" ref="H57"/>
    <hyperlink r:id="rId36" ref="F59"/>
    <hyperlink r:id="rId37" ref="H59"/>
    <hyperlink r:id="rId38" ref="F61"/>
    <hyperlink r:id="rId39" ref="H61"/>
    <hyperlink r:id="rId40" ref="F63"/>
    <hyperlink r:id="rId41" ref="H63"/>
    <hyperlink r:id="rId42" ref="F65"/>
    <hyperlink r:id="rId43" ref="H65"/>
    <hyperlink r:id="rId44" ref="F67"/>
    <hyperlink r:id="rId45" ref="H67"/>
    <hyperlink r:id="rId46" ref="F69"/>
    <hyperlink r:id="rId47" ref="H69"/>
    <hyperlink r:id="rId48" ref="F71"/>
    <hyperlink r:id="rId49" ref="H71"/>
    <hyperlink r:id="rId50" ref="F73"/>
    <hyperlink r:id="rId51" ref="H73"/>
    <hyperlink r:id="rId52" ref="F76"/>
    <hyperlink r:id="rId53" ref="H76"/>
    <hyperlink r:id="rId54" ref="F78"/>
    <hyperlink r:id="rId55" ref="H78"/>
    <hyperlink r:id="rId56" ref="F80"/>
    <hyperlink r:id="rId57" ref="H80"/>
    <hyperlink r:id="rId58" ref="F82"/>
    <hyperlink r:id="rId59" ref="H82"/>
    <hyperlink r:id="rId60" ref="F84"/>
    <hyperlink r:id="rId61" ref="H84"/>
    <hyperlink r:id="rId62" ref="F86"/>
    <hyperlink r:id="rId63" ref="H86"/>
    <hyperlink r:id="rId64" ref="F88"/>
    <hyperlink r:id="rId65" ref="H88"/>
    <hyperlink r:id="rId66" ref="F90"/>
    <hyperlink r:id="rId67" ref="H90"/>
    <hyperlink r:id="rId68" ref="F92"/>
    <hyperlink r:id="rId69" ref="H92"/>
    <hyperlink r:id="rId70" ref="F94"/>
    <hyperlink r:id="rId71" ref="H94"/>
    <hyperlink r:id="rId72" ref="F96"/>
    <hyperlink r:id="rId73" ref="H96"/>
    <hyperlink r:id="rId74" ref="F99"/>
    <hyperlink r:id="rId75" ref="H99"/>
    <hyperlink r:id="rId76" ref="F101"/>
    <hyperlink r:id="rId77" ref="H101"/>
    <hyperlink r:id="rId78" ref="F103"/>
    <hyperlink r:id="rId79" ref="H103"/>
    <hyperlink r:id="rId80" ref="F105"/>
    <hyperlink r:id="rId81" ref="H105"/>
    <hyperlink r:id="rId82" ref="F108"/>
    <hyperlink r:id="rId83" ref="H108"/>
    <hyperlink r:id="rId84" ref="F110"/>
    <hyperlink r:id="rId85" ref="H110"/>
    <hyperlink r:id="rId86" ref="F112"/>
    <hyperlink r:id="rId87" ref="H112"/>
    <hyperlink r:id="rId88" ref="F116"/>
    <hyperlink r:id="rId89" ref="F117"/>
    <hyperlink r:id="rId90" ref="F118"/>
    <hyperlink r:id="rId91" ref="F119"/>
    <hyperlink r:id="rId92" ref="F120"/>
    <hyperlink r:id="rId93" ref="F121"/>
    <hyperlink r:id="rId94" ref="F122"/>
    <hyperlink r:id="rId95" ref="F123"/>
    <hyperlink r:id="rId96" ref="F124"/>
    <hyperlink r:id="rId97" ref="F125"/>
  </hyperlinks>
  <drawing r:id="rId9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Col="1" outlineLevelRow="1"/>
  <cols>
    <col customWidth="1" min="1" max="1" width="6.13"/>
    <col collapsed="1" customWidth="1" min="2" max="2" width="14.38"/>
    <col min="3" max="7" width="12.63" outlineLevel="1"/>
    <col customWidth="1" min="8" max="8" width="67.38" outlineLevel="1"/>
    <col customWidth="1" min="9" max="9" width="11.38"/>
    <col collapsed="1" customWidth="1" min="10" max="10" width="37.63"/>
    <col customWidth="1" min="11" max="12" width="28.13" outlineLevel="1"/>
    <col customWidth="1" min="13" max="13" width="28.13"/>
    <col collapsed="1" customWidth="1" min="14" max="14" width="28.13"/>
    <col customWidth="1" min="15" max="15" width="28.13" outlineLevel="1"/>
    <col customWidth="1" min="16" max="16" width="66.75" outlineLevel="1"/>
    <col customWidth="1" min="17" max="17" width="28.13" outlineLevel="1"/>
    <col customWidth="1" min="18" max="18" width="37.88" outlineLevel="1"/>
    <col customWidth="1" min="19" max="20" width="52.25"/>
    <col customWidth="1" min="21" max="21" width="19.0"/>
    <col customWidth="1" min="22" max="22" width="28.13"/>
    <col customWidth="1" min="23" max="23" width="31.13"/>
    <col customWidth="1" min="24" max="24" width="18.0"/>
    <col customWidth="1" hidden="1" min="25" max="25" width="36.0"/>
    <col customWidth="1" min="26" max="26" width="38.38"/>
    <col customWidth="1" min="27" max="27" width="28.25"/>
    <col customWidth="1" min="28" max="29" width="38.38"/>
    <col customWidth="1" min="30" max="30" width="27.63"/>
    <col customWidth="1" min="31" max="31" width="21.38"/>
    <col customWidth="1" min="32" max="32" width="35.75"/>
    <col customWidth="1" min="33" max="33" width="13.88"/>
    <col customWidth="1" min="34" max="34" width="38.13"/>
    <col customWidth="1" min="35" max="35" width="28.13"/>
  </cols>
  <sheetData>
    <row r="1">
      <c r="A1" s="227" t="s">
        <v>361</v>
      </c>
      <c r="B1" s="228"/>
      <c r="C1" s="228"/>
      <c r="D1" s="228"/>
      <c r="E1" s="228"/>
      <c r="F1" s="228"/>
      <c r="G1" s="228"/>
      <c r="H1" s="229" t="s">
        <v>362</v>
      </c>
      <c r="I1" s="230"/>
      <c r="J1" s="231" t="s">
        <v>363</v>
      </c>
      <c r="K1" s="232"/>
      <c r="L1" s="232"/>
      <c r="M1" s="233"/>
      <c r="N1" s="234" t="s">
        <v>364</v>
      </c>
      <c r="O1" s="235"/>
      <c r="P1" s="236"/>
      <c r="Q1" s="235"/>
      <c r="R1" s="235"/>
      <c r="S1" s="236"/>
      <c r="T1" s="236"/>
      <c r="U1" s="237"/>
      <c r="V1" s="237"/>
      <c r="W1" s="238"/>
      <c r="X1" s="237"/>
      <c r="Y1" s="237"/>
      <c r="Z1" s="237"/>
      <c r="AA1" s="239"/>
      <c r="AB1" s="238"/>
      <c r="AC1" s="238"/>
      <c r="AD1" s="240"/>
      <c r="AE1" s="241"/>
      <c r="AF1" s="241"/>
      <c r="AG1" s="238"/>
      <c r="AH1" s="240"/>
      <c r="AI1" s="241"/>
      <c r="AJ1" s="241"/>
      <c r="AK1" s="241"/>
      <c r="AL1" s="237"/>
      <c r="AM1" s="237"/>
      <c r="AN1" s="237"/>
      <c r="AO1" s="237"/>
      <c r="AP1" s="237"/>
      <c r="AQ1" s="237"/>
      <c r="AR1" s="237"/>
    </row>
    <row r="2">
      <c r="A2" s="242"/>
      <c r="B2" s="228"/>
      <c r="C2" s="228"/>
      <c r="D2" s="228"/>
      <c r="E2" s="228"/>
      <c r="F2" s="228"/>
      <c r="G2" s="228"/>
      <c r="H2" s="241"/>
      <c r="I2" s="243"/>
      <c r="J2" s="244" t="str">
        <f t="shared" ref="J2:S2" si="1">counta(J5:J970) &amp;"/37"</f>
        <v>38/37</v>
      </c>
      <c r="K2" s="244" t="str">
        <f t="shared" si="1"/>
        <v>0/37</v>
      </c>
      <c r="L2" s="244" t="str">
        <f t="shared" si="1"/>
        <v>0/37</v>
      </c>
      <c r="M2" s="244" t="str">
        <f t="shared" si="1"/>
        <v>35/37</v>
      </c>
      <c r="N2" s="244" t="str">
        <f t="shared" si="1"/>
        <v>37/37</v>
      </c>
      <c r="O2" s="244" t="str">
        <f t="shared" si="1"/>
        <v>7/37</v>
      </c>
      <c r="P2" s="244" t="str">
        <f t="shared" si="1"/>
        <v>36/37</v>
      </c>
      <c r="Q2" s="244" t="str">
        <f t="shared" si="1"/>
        <v>35/37</v>
      </c>
      <c r="R2" s="244" t="str">
        <f t="shared" si="1"/>
        <v>23/37</v>
      </c>
      <c r="S2" s="244" t="str">
        <f t="shared" si="1"/>
        <v>36/37</v>
      </c>
      <c r="T2" s="244"/>
      <c r="U2" s="245" t="str">
        <f>counta(U4:U970) &amp;"/37"</f>
        <v>37/37</v>
      </c>
      <c r="V2" s="244" t="str">
        <f>counta(V5:V970) &amp;"/37"</f>
        <v>3/37</v>
      </c>
      <c r="W2" s="246" t="str">
        <f t="shared" ref="W2:X2" si="2">counta(W4:W970) &amp;"/37"</f>
        <v>37/37</v>
      </c>
      <c r="X2" s="244" t="str">
        <f t="shared" si="2"/>
        <v>37/37</v>
      </c>
      <c r="Y2" s="244" t="str">
        <f>counta(Y5:Y970) &amp;"/37"</f>
        <v>4/37</v>
      </c>
      <c r="Z2" s="244" t="str">
        <f t="shared" ref="Z2:AA2" si="3">counta(Z4:Z970) &amp;"/37"</f>
        <v>35/37</v>
      </c>
      <c r="AA2" s="244" t="str">
        <f t="shared" si="3"/>
        <v>31/37</v>
      </c>
      <c r="AB2" s="246" t="str">
        <f>counta(AB5:AB970) &amp;"/37"</f>
        <v>30/37</v>
      </c>
      <c r="AC2" s="246"/>
      <c r="AD2" s="247" t="str">
        <f t="shared" ref="AD2:AF2" si="4">counta(AD4:AD970) &amp;"/37"</f>
        <v>37/37</v>
      </c>
      <c r="AE2" s="244" t="str">
        <f t="shared" si="4"/>
        <v>27/37</v>
      </c>
      <c r="AF2" s="244" t="str">
        <f t="shared" si="4"/>
        <v>11/37</v>
      </c>
      <c r="AG2" s="248" t="str">
        <f>counta(AG6:AG970) &amp;"/37"</f>
        <v>36/37</v>
      </c>
      <c r="AH2" s="249" t="str">
        <f>counta(AH4:AH970) &amp;"/37"</f>
        <v>18/37</v>
      </c>
      <c r="AI2" s="241"/>
      <c r="AJ2" s="241"/>
      <c r="AK2" s="241"/>
      <c r="AL2" s="237"/>
      <c r="AM2" s="237"/>
      <c r="AN2" s="237"/>
      <c r="AO2" s="237"/>
      <c r="AP2" s="237"/>
      <c r="AQ2" s="237"/>
      <c r="AR2" s="237"/>
    </row>
    <row r="3" ht="30.0" customHeight="1">
      <c r="A3" s="250" t="s">
        <v>16</v>
      </c>
      <c r="B3" s="251" t="s">
        <v>365</v>
      </c>
      <c r="C3" s="252" t="s">
        <v>18</v>
      </c>
      <c r="D3" s="253" t="s">
        <v>19</v>
      </c>
      <c r="E3" s="254" t="s">
        <v>20</v>
      </c>
      <c r="F3" s="255" t="s">
        <v>21</v>
      </c>
      <c r="G3" s="252" t="s">
        <v>22</v>
      </c>
      <c r="H3" s="256" t="s">
        <v>23</v>
      </c>
      <c r="I3" s="252" t="s">
        <v>366</v>
      </c>
      <c r="J3" s="252" t="s">
        <v>367</v>
      </c>
      <c r="K3" s="252" t="s">
        <v>368</v>
      </c>
      <c r="L3" s="252" t="s">
        <v>368</v>
      </c>
      <c r="M3" s="252" t="s">
        <v>369</v>
      </c>
      <c r="N3" s="252" t="s">
        <v>370</v>
      </c>
      <c r="O3" s="256" t="s">
        <v>371</v>
      </c>
      <c r="P3" s="252" t="s">
        <v>372</v>
      </c>
      <c r="Q3" s="256" t="s">
        <v>373</v>
      </c>
      <c r="R3" s="256" t="s">
        <v>374</v>
      </c>
      <c r="S3" s="252" t="s">
        <v>375</v>
      </c>
      <c r="T3" s="252"/>
      <c r="U3" s="251" t="s">
        <v>376</v>
      </c>
      <c r="V3" s="252" t="s">
        <v>371</v>
      </c>
      <c r="W3" s="252" t="s">
        <v>372</v>
      </c>
      <c r="X3" s="252" t="s">
        <v>377</v>
      </c>
      <c r="Y3" s="252" t="s">
        <v>374</v>
      </c>
      <c r="Z3" s="252" t="s">
        <v>375</v>
      </c>
      <c r="AA3" s="254" t="s">
        <v>378</v>
      </c>
      <c r="AB3" s="252" t="s">
        <v>379</v>
      </c>
      <c r="AC3" s="251" t="s">
        <v>380</v>
      </c>
      <c r="AD3" s="257" t="s">
        <v>381</v>
      </c>
      <c r="AE3" s="257" t="s">
        <v>382</v>
      </c>
      <c r="AF3" s="257" t="s">
        <v>383</v>
      </c>
      <c r="AG3" s="258" t="s">
        <v>384</v>
      </c>
      <c r="AH3" s="259" t="s">
        <v>385</v>
      </c>
      <c r="AI3" s="256" t="s">
        <v>386</v>
      </c>
      <c r="AJ3" s="260"/>
      <c r="AK3" s="260"/>
      <c r="AL3" s="261"/>
      <c r="AM3" s="261"/>
      <c r="AN3" s="261"/>
      <c r="AO3" s="261"/>
      <c r="AP3" s="261"/>
      <c r="AQ3" s="261"/>
      <c r="AR3" s="261"/>
    </row>
    <row r="4" ht="35.25" customHeight="1" outlineLevel="1">
      <c r="A4" s="262" t="s">
        <v>35</v>
      </c>
      <c r="B4" s="263"/>
      <c r="C4" s="263"/>
      <c r="D4" s="263"/>
      <c r="E4" s="263"/>
      <c r="F4" s="263"/>
      <c r="G4" s="263"/>
      <c r="H4" s="264"/>
      <c r="I4" s="263"/>
      <c r="J4" s="265"/>
      <c r="K4" s="263"/>
      <c r="L4" s="263"/>
      <c r="M4" s="266"/>
      <c r="N4" s="263"/>
      <c r="O4" s="267"/>
      <c r="P4" s="265"/>
      <c r="Q4" s="267"/>
      <c r="R4" s="267"/>
      <c r="S4" s="265"/>
      <c r="T4" s="265"/>
      <c r="U4" s="263"/>
      <c r="V4" s="263"/>
      <c r="W4" s="266"/>
      <c r="X4" s="263"/>
      <c r="Y4" s="263"/>
      <c r="Z4" s="263"/>
      <c r="AA4" s="263"/>
      <c r="AB4" s="266"/>
      <c r="AC4" s="266"/>
      <c r="AD4" s="263"/>
      <c r="AE4" s="263"/>
      <c r="AF4" s="263"/>
      <c r="AG4" s="266"/>
      <c r="AH4" s="268"/>
      <c r="AI4" s="263"/>
      <c r="AJ4" s="263"/>
      <c r="AK4" s="263"/>
      <c r="AL4" s="263"/>
      <c r="AM4" s="263"/>
      <c r="AN4" s="263"/>
      <c r="AO4" s="263"/>
      <c r="AP4" s="263"/>
      <c r="AQ4" s="263"/>
      <c r="AR4" s="263"/>
    </row>
    <row r="5" ht="274.5" customHeight="1" collapsed="1">
      <c r="A5" s="269">
        <v>1.0</v>
      </c>
      <c r="B5" s="270" t="s">
        <v>37</v>
      </c>
      <c r="C5" s="271" t="s">
        <v>38</v>
      </c>
      <c r="D5" s="272" t="s">
        <v>39</v>
      </c>
      <c r="E5" s="273" t="s">
        <v>40</v>
      </c>
      <c r="F5" s="274" t="s">
        <v>21</v>
      </c>
      <c r="G5" s="275" t="s">
        <v>41</v>
      </c>
      <c r="H5" s="276" t="s">
        <v>387</v>
      </c>
      <c r="I5" s="277" t="b">
        <v>0</v>
      </c>
      <c r="J5" s="278" t="s">
        <v>388</v>
      </c>
      <c r="K5" s="279"/>
      <c r="L5" s="279"/>
      <c r="M5" s="280" t="s">
        <v>389</v>
      </c>
      <c r="N5" s="281" t="str">
        <f>Draft!M5</f>
        <v>https://docs.google.com/spreadsheets/d/1sek28q8dSpx6DU8QYhlKU5FqtCePEZaUhxd1o63zgyI/edit?gid=1935125103#gid=1935125103</v>
      </c>
      <c r="O5" s="282" t="str">
        <f>Draft!N5</f>
        <v/>
      </c>
      <c r="P5" s="277" t="s">
        <v>390</v>
      </c>
      <c r="Q5" s="283" t="s">
        <v>391</v>
      </c>
      <c r="R5" s="284" t="s">
        <v>392</v>
      </c>
      <c r="S5" s="285" t="s">
        <v>393</v>
      </c>
      <c r="T5" s="285"/>
      <c r="U5" s="286" t="s">
        <v>394</v>
      </c>
      <c r="V5" s="287" t="str">
        <f>Draft!U5</f>
        <v/>
      </c>
      <c r="W5" s="288" t="s">
        <v>395</v>
      </c>
      <c r="X5" s="286" t="s">
        <v>396</v>
      </c>
      <c r="Y5" s="287" t="str">
        <f>Draft!X5</f>
        <v/>
      </c>
      <c r="Z5" s="289" t="s">
        <v>397</v>
      </c>
      <c r="AA5" s="286" t="s">
        <v>398</v>
      </c>
      <c r="AB5" s="290" t="s">
        <v>45</v>
      </c>
      <c r="AC5" s="280"/>
      <c r="AD5" s="291" t="s">
        <v>399</v>
      </c>
      <c r="AE5" s="281"/>
      <c r="AF5" s="281"/>
      <c r="AG5" s="292">
        <v>46087.0</v>
      </c>
      <c r="AH5" s="293" t="s">
        <v>400</v>
      </c>
      <c r="AI5" s="279"/>
      <c r="AJ5" s="279"/>
      <c r="AK5" s="279"/>
      <c r="AL5" s="279"/>
      <c r="AM5" s="279"/>
      <c r="AN5" s="279"/>
      <c r="AO5" s="279"/>
      <c r="AP5" s="279"/>
      <c r="AQ5" s="279"/>
      <c r="AR5" s="279"/>
    </row>
    <row r="6" ht="307.5" customHeight="1" outlineLevel="1">
      <c r="A6" s="294">
        <v>2.0</v>
      </c>
      <c r="B6" s="295" t="s">
        <v>48</v>
      </c>
      <c r="C6" s="296" t="s">
        <v>38</v>
      </c>
      <c r="D6" s="297" t="s">
        <v>49</v>
      </c>
      <c r="E6" s="298" t="s">
        <v>40</v>
      </c>
      <c r="F6" s="299" t="s">
        <v>21</v>
      </c>
      <c r="G6" s="300" t="s">
        <v>50</v>
      </c>
      <c r="H6" s="301" t="s">
        <v>401</v>
      </c>
      <c r="I6" s="277" t="b">
        <v>0</v>
      </c>
      <c r="J6" s="278" t="s">
        <v>402</v>
      </c>
      <c r="K6" s="279"/>
      <c r="L6" s="279"/>
      <c r="M6" s="302" t="s">
        <v>389</v>
      </c>
      <c r="N6" s="281" t="str">
        <f>Draft!M6</f>
        <v>https://docs.google.com/spreadsheets/d/1vaRBTbnZy9dvsd-SpvXhO76Gg-InJKD2u8IGmvjbPTo/edit?gid=0#gid=0</v>
      </c>
      <c r="O6" s="282" t="str">
        <f>Draft!N6</f>
        <v/>
      </c>
      <c r="P6" s="303" t="s">
        <v>403</v>
      </c>
      <c r="Q6" s="282" t="str">
        <f>Draft!P6</f>
        <v>https://docs.google.com/spreadsheets/d/1vaRBTbnZy9dvsd-SpvXhO76Gg-InJKD2u8IGmvjbPTo/edit?gid=1396100120#gid=1396100120</v>
      </c>
      <c r="R6" s="282" t="str">
        <f>Draft!Q6</f>
        <v>Đã input thêm Outfit
Team KOC đã điều chỉnh theo feedback của brand</v>
      </c>
      <c r="S6" s="285" t="s">
        <v>404</v>
      </c>
      <c r="T6" s="285"/>
      <c r="U6" s="286" t="s">
        <v>405</v>
      </c>
      <c r="V6" s="287" t="str">
        <f>Draft!U6</f>
        <v/>
      </c>
      <c r="W6" s="288" t="s">
        <v>406</v>
      </c>
      <c r="X6" s="304" t="s">
        <v>405</v>
      </c>
      <c r="Y6" s="288"/>
      <c r="Z6" s="288" t="s">
        <v>407</v>
      </c>
      <c r="AA6" s="286" t="s">
        <v>408</v>
      </c>
      <c r="AB6" s="290" t="s">
        <v>45</v>
      </c>
      <c r="AC6" s="280"/>
      <c r="AD6" s="305" t="s">
        <v>409</v>
      </c>
      <c r="AE6" s="282"/>
      <c r="AF6" s="282"/>
      <c r="AG6" s="306" t="s">
        <v>410</v>
      </c>
      <c r="AH6" s="307" t="s">
        <v>411</v>
      </c>
      <c r="AI6" s="308"/>
      <c r="AJ6" s="308"/>
      <c r="AK6" s="308"/>
      <c r="AL6" s="279"/>
      <c r="AM6" s="279"/>
      <c r="AN6" s="279"/>
      <c r="AO6" s="279"/>
      <c r="AP6" s="279"/>
      <c r="AQ6" s="279"/>
      <c r="AR6" s="279"/>
    </row>
    <row r="7" ht="288.75" customHeight="1" outlineLevel="1">
      <c r="A7" s="309">
        <v>3.0</v>
      </c>
      <c r="B7" s="310" t="s">
        <v>55</v>
      </c>
      <c r="C7" s="296" t="s">
        <v>38</v>
      </c>
      <c r="D7" s="297" t="s">
        <v>56</v>
      </c>
      <c r="E7" s="298" t="s">
        <v>40</v>
      </c>
      <c r="F7" s="299" t="s">
        <v>21</v>
      </c>
      <c r="G7" s="300" t="s">
        <v>50</v>
      </c>
      <c r="H7" s="301" t="s">
        <v>412</v>
      </c>
      <c r="I7" s="311" t="b">
        <v>1</v>
      </c>
      <c r="J7" s="278" t="s">
        <v>413</v>
      </c>
      <c r="K7" s="279"/>
      <c r="L7" s="279"/>
      <c r="M7" s="280" t="s">
        <v>389</v>
      </c>
      <c r="N7" s="281" t="str">
        <f>Draft!M7</f>
        <v>https://docs.google.com/spreadsheets/d/161njDQndXtRs8o07Zhz1nU0rtGGgw4RpJvwe5s0bWPc/edit?gid=0#gid=0</v>
      </c>
      <c r="O7" s="282" t="str">
        <f>Draft!N7</f>
        <v/>
      </c>
      <c r="P7" s="277" t="s">
        <v>414</v>
      </c>
      <c r="Q7" s="282" t="str">
        <f>Draft!P7</f>
        <v>https://docs.google.com/spreadsheets/d/161njDQndXtRs8o07Zhz1nU0rtGGgw4RpJvwe5s0bWPc/edit?gid=972901149#gid=972901149</v>
      </c>
      <c r="R7" s="282" t="str">
        <f>Draft!Q7</f>
        <v>Team KOC đã review nội dung và thay đổi outfit tươi hơn 
Hiện đang thiêu Địa chỉ cụ thể. team sẽ input sau</v>
      </c>
      <c r="S7" s="285" t="s">
        <v>415</v>
      </c>
      <c r="T7" s="285"/>
      <c r="U7" s="312" t="s">
        <v>416</v>
      </c>
      <c r="V7" s="313" t="str">
        <f>Draft!U7</f>
        <v/>
      </c>
      <c r="W7" s="288" t="s">
        <v>417</v>
      </c>
      <c r="X7" s="314" t="s">
        <v>418</v>
      </c>
      <c r="Y7" s="315"/>
      <c r="Z7" s="315" t="s">
        <v>419</v>
      </c>
      <c r="AA7" s="316" t="s">
        <v>420</v>
      </c>
      <c r="AB7" s="290" t="s">
        <v>45</v>
      </c>
      <c r="AC7" s="280"/>
      <c r="AD7" s="317" t="s">
        <v>421</v>
      </c>
      <c r="AE7" s="317" t="s">
        <v>422</v>
      </c>
      <c r="AF7" s="288" t="s">
        <v>423</v>
      </c>
      <c r="AG7" s="318">
        <v>46059.0</v>
      </c>
      <c r="AH7" s="319" t="s">
        <v>424</v>
      </c>
      <c r="AI7" s="320"/>
      <c r="AJ7" s="320"/>
      <c r="AK7" s="320"/>
      <c r="AL7" s="320"/>
      <c r="AM7" s="320"/>
      <c r="AN7" s="320"/>
      <c r="AO7" s="320"/>
      <c r="AP7" s="320"/>
      <c r="AQ7" s="320"/>
      <c r="AR7" s="320"/>
    </row>
    <row r="8" ht="435.0" customHeight="1" outlineLevel="1">
      <c r="A8" s="294">
        <v>4.0</v>
      </c>
      <c r="B8" s="295" t="s">
        <v>61</v>
      </c>
      <c r="C8" s="296" t="s">
        <v>38</v>
      </c>
      <c r="D8" s="297" t="s">
        <v>62</v>
      </c>
      <c r="E8" s="298" t="s">
        <v>40</v>
      </c>
      <c r="F8" s="299" t="s">
        <v>21</v>
      </c>
      <c r="G8" s="300" t="s">
        <v>50</v>
      </c>
      <c r="H8" s="301" t="s">
        <v>425</v>
      </c>
      <c r="I8" s="277" t="b">
        <v>1</v>
      </c>
      <c r="J8" s="278" t="s">
        <v>426</v>
      </c>
      <c r="K8" s="279"/>
      <c r="L8" s="279"/>
      <c r="M8" s="302" t="s">
        <v>389</v>
      </c>
      <c r="N8" s="281" t="str">
        <f>Draft!M8</f>
        <v>https://docs.google.com/spreadsheets/d/1TlMiQyjUC_8vG--FMqD48heIruNjrv0a_-BycV6vMug/edit?gid=2103508750#gid=2103508750</v>
      </c>
      <c r="O8" s="282" t="str">
        <f>Draft!N8</f>
        <v/>
      </c>
      <c r="P8" s="303" t="s">
        <v>427</v>
      </c>
      <c r="Q8" s="284" t="s">
        <v>428</v>
      </c>
      <c r="R8" s="282" t="s">
        <v>429</v>
      </c>
      <c r="S8" s="321" t="s">
        <v>430</v>
      </c>
      <c r="T8" s="321"/>
      <c r="U8" s="322" t="s">
        <v>431</v>
      </c>
      <c r="V8" s="287" t="str">
        <f>Draft!U8</f>
        <v/>
      </c>
      <c r="W8" s="288" t="s">
        <v>432</v>
      </c>
      <c r="X8" s="286" t="s">
        <v>433</v>
      </c>
      <c r="Y8" s="323" t="str">
        <f>Draft!X8</f>
        <v/>
      </c>
      <c r="Z8" s="317" t="s">
        <v>434</v>
      </c>
      <c r="AA8" s="286" t="s">
        <v>435</v>
      </c>
      <c r="AB8" s="290" t="s">
        <v>45</v>
      </c>
      <c r="AC8" s="280"/>
      <c r="AD8" s="305" t="s">
        <v>436</v>
      </c>
      <c r="AE8" s="282"/>
      <c r="AF8" s="282"/>
      <c r="AG8" s="306" t="s">
        <v>437</v>
      </c>
      <c r="AH8" s="324" t="s">
        <v>438</v>
      </c>
      <c r="AI8" s="308"/>
      <c r="AJ8" s="308"/>
      <c r="AK8" s="308"/>
      <c r="AL8" s="279"/>
      <c r="AM8" s="279"/>
      <c r="AN8" s="279"/>
      <c r="AO8" s="279"/>
      <c r="AP8" s="279"/>
      <c r="AQ8" s="279"/>
      <c r="AR8" s="279"/>
    </row>
    <row r="9" ht="188.25" customHeight="1" outlineLevel="1">
      <c r="A9" s="309">
        <v>5.0</v>
      </c>
      <c r="B9" s="295" t="s">
        <v>67</v>
      </c>
      <c r="C9" s="296" t="s">
        <v>38</v>
      </c>
      <c r="D9" s="297" t="s">
        <v>68</v>
      </c>
      <c r="E9" s="298" t="s">
        <v>40</v>
      </c>
      <c r="F9" s="299" t="s">
        <v>21</v>
      </c>
      <c r="G9" s="300" t="s">
        <v>50</v>
      </c>
      <c r="H9" s="301" t="s">
        <v>439</v>
      </c>
      <c r="I9" s="311" t="b">
        <v>1</v>
      </c>
      <c r="J9" s="278" t="s">
        <v>440</v>
      </c>
      <c r="K9" s="279"/>
      <c r="L9" s="279"/>
      <c r="M9" s="280" t="s">
        <v>389</v>
      </c>
      <c r="N9" s="281" t="str">
        <f>Draft!M9</f>
        <v>https://docs.google.com/spreadsheets/d/11qQ5wa_wLzoqxwxYWqwWOeh0TAKOK7_d4tXx9pgrw0M/edit?gid=0#gid=0</v>
      </c>
      <c r="O9" s="282" t="str">
        <f>Draft!N9</f>
        <v/>
      </c>
      <c r="P9" s="303" t="s">
        <v>441</v>
      </c>
      <c r="Q9" s="282" t="str">
        <f>Draft!P9</f>
        <v>https://docs.google.com/spreadsheets/d/11qQ5wa_wLzoqxwxYWqwWOeh0TAKOK7_d4tXx9pgrw0M/edit?gid=1343518029#gid=1343518029</v>
      </c>
      <c r="R9" s="282" t="str">
        <f>Draft!Q9</f>
        <v>Đã add thêm outfit
KOC NOTE: chi tiết khẩu phần. mức giá thì sau khi trải nghiệm KOC mới có cơ sở để đánh giá nên sẽ tinh chỉnh kịch bản sau
KOC đã thêm địa chỉ và CTA vào script </v>
      </c>
      <c r="S9" s="285" t="s">
        <v>442</v>
      </c>
      <c r="T9" s="285"/>
      <c r="U9" s="312" t="s">
        <v>443</v>
      </c>
      <c r="V9" s="287" t="str">
        <f>Draft!U9</f>
        <v/>
      </c>
      <c r="W9" s="317" t="s">
        <v>444</v>
      </c>
      <c r="X9" s="286" t="s">
        <v>445</v>
      </c>
      <c r="Y9" s="323" t="str">
        <f>Draft!X9</f>
        <v/>
      </c>
      <c r="Z9" s="288" t="s">
        <v>446</v>
      </c>
      <c r="AA9" s="304" t="s">
        <v>447</v>
      </c>
      <c r="AB9" s="290" t="s">
        <v>45</v>
      </c>
      <c r="AC9" s="280"/>
      <c r="AD9" s="305" t="s">
        <v>448</v>
      </c>
      <c r="AE9" s="325" t="s">
        <v>449</v>
      </c>
      <c r="AF9" s="284" t="s">
        <v>450</v>
      </c>
      <c r="AG9" s="326">
        <v>46059.0</v>
      </c>
      <c r="AH9" s="324" t="s">
        <v>451</v>
      </c>
      <c r="AI9" s="308"/>
      <c r="AJ9" s="308"/>
      <c r="AK9" s="308"/>
      <c r="AL9" s="279"/>
      <c r="AM9" s="279"/>
      <c r="AN9" s="279"/>
      <c r="AO9" s="279"/>
      <c r="AP9" s="279"/>
      <c r="AQ9" s="279"/>
      <c r="AR9" s="279"/>
    </row>
    <row r="10" ht="266.25" customHeight="1" outlineLevel="1">
      <c r="A10" s="309">
        <v>6.0</v>
      </c>
      <c r="B10" s="327" t="s">
        <v>74</v>
      </c>
      <c r="C10" s="296" t="s">
        <v>38</v>
      </c>
      <c r="D10" s="297" t="s">
        <v>75</v>
      </c>
      <c r="E10" s="298" t="s">
        <v>40</v>
      </c>
      <c r="F10" s="299" t="s">
        <v>21</v>
      </c>
      <c r="G10" s="300" t="s">
        <v>50</v>
      </c>
      <c r="H10" s="301" t="s">
        <v>452</v>
      </c>
      <c r="I10" s="277" t="b">
        <v>0</v>
      </c>
      <c r="J10" s="278" t="s">
        <v>453</v>
      </c>
      <c r="K10" s="279"/>
      <c r="L10" s="279"/>
      <c r="M10" s="280" t="s">
        <v>389</v>
      </c>
      <c r="N10" s="281" t="str">
        <f>Draft!M10</f>
        <v>https://docs.google.com/spreadsheets/d/1SNimKtZBUz4pm9ejeDfbgV1a815ex8d26sGSutaoT0A/edit?gid=0#gid=0</v>
      </c>
      <c r="O10" s="282" t="str">
        <f>Draft!N10</f>
        <v/>
      </c>
      <c r="P10" s="277" t="s">
        <v>454</v>
      </c>
      <c r="Q10" s="282" t="str">
        <f>Draft!P10</f>
        <v>https://docs.google.com/spreadsheets/d/1SNimKtZBUz4pm9ejeDfbgV1a815ex8d26sGSutaoT0A/edit?gid=1256513125#gid=1256513125</v>
      </c>
      <c r="R10" s="282" t="str">
        <f>Draft!Q10</f>
        <v>Hiện team KOC đã update nội dung nhưng thiếu địa chỉ cụ thể
Đã thay đổi option outfit chờ team check</v>
      </c>
      <c r="S10" s="285" t="s">
        <v>455</v>
      </c>
      <c r="T10" s="285"/>
      <c r="U10" s="314" t="s">
        <v>456</v>
      </c>
      <c r="V10" s="313"/>
      <c r="W10" s="317" t="s">
        <v>457</v>
      </c>
      <c r="X10" s="314" t="s">
        <v>458</v>
      </c>
      <c r="Y10" s="313"/>
      <c r="Z10" s="328" t="s">
        <v>459</v>
      </c>
      <c r="AA10" s="316" t="s">
        <v>460</v>
      </c>
      <c r="AB10" s="290" t="s">
        <v>45</v>
      </c>
      <c r="AC10" s="280"/>
      <c r="AD10" s="315" t="s">
        <v>461</v>
      </c>
      <c r="AE10" s="329"/>
      <c r="AF10" s="315"/>
      <c r="AG10" s="306" t="s">
        <v>462</v>
      </c>
      <c r="AH10" s="330" t="s">
        <v>463</v>
      </c>
      <c r="AI10" s="320"/>
      <c r="AJ10" s="320"/>
      <c r="AK10" s="320"/>
      <c r="AL10" s="320"/>
      <c r="AM10" s="320"/>
      <c r="AN10" s="320"/>
      <c r="AO10" s="320"/>
      <c r="AP10" s="320"/>
      <c r="AQ10" s="320"/>
      <c r="AR10" s="320"/>
    </row>
    <row r="11" outlineLevel="1">
      <c r="A11" s="294">
        <v>7.0</v>
      </c>
      <c r="B11" s="331" t="s">
        <v>89</v>
      </c>
      <c r="C11" s="296" t="s">
        <v>38</v>
      </c>
      <c r="D11" s="297" t="s">
        <v>90</v>
      </c>
      <c r="E11" s="298" t="s">
        <v>40</v>
      </c>
      <c r="F11" s="299" t="s">
        <v>21</v>
      </c>
      <c r="G11" s="300" t="s">
        <v>50</v>
      </c>
      <c r="H11" s="301" t="s">
        <v>464</v>
      </c>
      <c r="I11" s="311" t="b">
        <v>1</v>
      </c>
      <c r="J11" s="278" t="s">
        <v>465</v>
      </c>
      <c r="K11" s="332"/>
      <c r="L11" s="332"/>
      <c r="M11" s="302" t="s">
        <v>389</v>
      </c>
      <c r="N11" s="281" t="str">
        <f>Draft!M11</f>
        <v>https://docs.google.com/spreadsheets/d/1jC0a00h3FsNPkNZqCO8tCfHq8Ux2lS9cjcq9OYS5YDw/edit?gid=0#gid=0</v>
      </c>
      <c r="O11" s="282" t="str">
        <f>Draft!N11</f>
        <v/>
      </c>
      <c r="P11" s="277" t="s">
        <v>466</v>
      </c>
      <c r="Q11" s="333" t="s">
        <v>467</v>
      </c>
      <c r="R11" s="284" t="s">
        <v>392</v>
      </c>
      <c r="S11" s="334" t="s">
        <v>468</v>
      </c>
      <c r="T11" s="334"/>
      <c r="U11" s="286" t="s">
        <v>469</v>
      </c>
      <c r="V11" s="287" t="str">
        <f>Draft!U11</f>
        <v/>
      </c>
      <c r="W11" s="288" t="s">
        <v>470</v>
      </c>
      <c r="X11" s="286" t="s">
        <v>469</v>
      </c>
      <c r="Y11" s="287" t="str">
        <f>Draft!X11</f>
        <v/>
      </c>
      <c r="Z11" s="335" t="s">
        <v>471</v>
      </c>
      <c r="AA11" s="336" t="s">
        <v>469</v>
      </c>
      <c r="AB11" s="337"/>
      <c r="AC11" s="338"/>
      <c r="AD11" s="291" t="s">
        <v>472</v>
      </c>
      <c r="AE11" s="339" t="s">
        <v>473</v>
      </c>
      <c r="AF11" s="281"/>
      <c r="AG11" s="340" t="s">
        <v>474</v>
      </c>
      <c r="AH11" s="299"/>
      <c r="AI11" s="279"/>
      <c r="AJ11" s="279"/>
      <c r="AK11" s="279"/>
      <c r="AL11" s="279"/>
      <c r="AM11" s="279"/>
      <c r="AN11" s="279"/>
      <c r="AO11" s="279"/>
      <c r="AP11" s="279"/>
      <c r="AQ11" s="279"/>
      <c r="AR11" s="279"/>
    </row>
    <row r="12" outlineLevel="1">
      <c r="A12" s="341">
        <v>8.0</v>
      </c>
      <c r="B12" s="342" t="s">
        <v>110</v>
      </c>
      <c r="C12" s="296" t="s">
        <v>38</v>
      </c>
      <c r="D12" s="297" t="s">
        <v>111</v>
      </c>
      <c r="E12" s="298" t="s">
        <v>40</v>
      </c>
      <c r="F12" s="343" t="s">
        <v>112</v>
      </c>
      <c r="G12" s="300" t="s">
        <v>105</v>
      </c>
      <c r="H12" s="344" t="s">
        <v>475</v>
      </c>
      <c r="I12" s="300" t="b">
        <v>1</v>
      </c>
      <c r="J12" s="345" t="s">
        <v>476</v>
      </c>
      <c r="K12" s="337"/>
      <c r="L12" s="337"/>
      <c r="M12" s="338" t="s">
        <v>477</v>
      </c>
      <c r="N12" s="281" t="s">
        <v>478</v>
      </c>
      <c r="O12" s="337" t="str">
        <f>Draft!N12</f>
        <v/>
      </c>
      <c r="P12" s="346" t="s">
        <v>479</v>
      </c>
      <c r="Q12" s="347" t="s">
        <v>480</v>
      </c>
      <c r="R12" s="348" t="s">
        <v>481</v>
      </c>
      <c r="S12" s="300" t="s">
        <v>482</v>
      </c>
      <c r="T12" s="337"/>
      <c r="U12" s="349" t="s">
        <v>483</v>
      </c>
      <c r="V12" s="338" t="str">
        <f>Draft!U12</f>
        <v/>
      </c>
      <c r="W12" s="317" t="s">
        <v>484</v>
      </c>
      <c r="X12" s="287" t="s">
        <v>485</v>
      </c>
      <c r="Y12" s="338" t="str">
        <f>Draft!X12</f>
        <v/>
      </c>
      <c r="Z12" s="296" t="s">
        <v>486</v>
      </c>
      <c r="AA12" s="287" t="s">
        <v>487</v>
      </c>
      <c r="AB12" s="350" t="s">
        <v>45</v>
      </c>
      <c r="AC12" s="351"/>
      <c r="AD12" s="352" t="s">
        <v>488</v>
      </c>
      <c r="AE12" s="353" t="s">
        <v>489</v>
      </c>
      <c r="AF12" s="354" t="s">
        <v>490</v>
      </c>
      <c r="AG12" s="318">
        <v>46362.0</v>
      </c>
      <c r="AH12" s="337"/>
      <c r="AI12" s="337"/>
      <c r="AJ12" s="337"/>
      <c r="AK12" s="337"/>
      <c r="AL12" s="337"/>
      <c r="AM12" s="337"/>
      <c r="AN12" s="337"/>
      <c r="AO12" s="337"/>
      <c r="AP12" s="337"/>
      <c r="AQ12" s="337"/>
      <c r="AR12" s="337"/>
    </row>
    <row r="13" outlineLevel="1">
      <c r="A13" s="341">
        <v>9.0</v>
      </c>
      <c r="B13" s="355" t="s">
        <v>102</v>
      </c>
      <c r="C13" s="242"/>
      <c r="D13" s="356"/>
      <c r="E13" s="357"/>
      <c r="F13" s="356"/>
      <c r="G13" s="356"/>
      <c r="H13" s="358" t="s">
        <v>491</v>
      </c>
      <c r="I13" s="277" t="b">
        <v>0</v>
      </c>
      <c r="J13" s="359" t="s">
        <v>492</v>
      </c>
      <c r="K13" s="279"/>
      <c r="L13" s="279"/>
      <c r="M13" s="360" t="s">
        <v>477</v>
      </c>
      <c r="N13" s="361" t="s">
        <v>493</v>
      </c>
      <c r="O13" s="282" t="str">
        <f>Draft!N12</f>
        <v/>
      </c>
      <c r="P13" s="288" t="s">
        <v>494</v>
      </c>
      <c r="Q13" s="284" t="s">
        <v>495</v>
      </c>
      <c r="R13" s="282" t="str">
        <f>Draft!Q12</f>
        <v/>
      </c>
      <c r="S13" s="288" t="s">
        <v>496</v>
      </c>
      <c r="T13" s="277"/>
      <c r="U13" s="362" t="s">
        <v>497</v>
      </c>
      <c r="V13" s="287" t="str">
        <f>Draft!U12</f>
        <v/>
      </c>
      <c r="W13" s="317" t="s">
        <v>498</v>
      </c>
      <c r="X13" s="304" t="s">
        <v>499</v>
      </c>
      <c r="Y13" s="287" t="str">
        <f>Draft!X12</f>
        <v/>
      </c>
      <c r="Z13" s="363" t="s">
        <v>500</v>
      </c>
      <c r="AA13" s="364"/>
      <c r="AB13" s="338"/>
      <c r="AC13" s="338"/>
      <c r="AD13" s="291" t="s">
        <v>501</v>
      </c>
      <c r="AE13" s="365" t="s">
        <v>502</v>
      </c>
      <c r="AF13" s="281"/>
      <c r="AG13" s="306" t="s">
        <v>503</v>
      </c>
      <c r="AH13" s="299"/>
      <c r="AI13" s="279"/>
      <c r="AJ13" s="279"/>
      <c r="AK13" s="279"/>
      <c r="AL13" s="279"/>
      <c r="AM13" s="279"/>
      <c r="AN13" s="279"/>
      <c r="AO13" s="279"/>
      <c r="AP13" s="279"/>
      <c r="AQ13" s="279"/>
      <c r="AR13" s="279"/>
    </row>
    <row r="14" outlineLevel="1">
      <c r="A14" s="262" t="s">
        <v>134</v>
      </c>
      <c r="B14" s="263"/>
      <c r="C14" s="263"/>
      <c r="D14" s="263"/>
      <c r="E14" s="263"/>
      <c r="F14" s="263"/>
      <c r="G14" s="263"/>
      <c r="H14" s="264"/>
      <c r="I14" s="277" t="b">
        <v>0</v>
      </c>
      <c r="J14" s="264" t="str">
        <f>Draft!J14</f>
        <v/>
      </c>
      <c r="K14" s="264"/>
      <c r="L14" s="264"/>
      <c r="M14" s="266"/>
      <c r="N14" s="264" t="str">
        <f>Draft!M14</f>
        <v/>
      </c>
      <c r="O14" s="264" t="str">
        <f>Draft!N14</f>
        <v/>
      </c>
      <c r="P14" s="265"/>
      <c r="Q14" s="366" t="str">
        <f>Draft!P14</f>
        <v/>
      </c>
      <c r="R14" s="366" t="str">
        <f>Draft!Q14</f>
        <v/>
      </c>
      <c r="S14" s="265"/>
      <c r="T14" s="265"/>
      <c r="U14" s="265"/>
      <c r="V14" s="265"/>
      <c r="W14" s="266"/>
      <c r="X14" s="265"/>
      <c r="Y14" s="265"/>
      <c r="Z14" s="265"/>
      <c r="AA14" s="265"/>
      <c r="AB14" s="266"/>
      <c r="AC14" s="266"/>
      <c r="AD14" s="265"/>
      <c r="AE14" s="265"/>
      <c r="AF14" s="265"/>
      <c r="AG14" s="266"/>
      <c r="AH14" s="268"/>
      <c r="AI14" s="263"/>
      <c r="AJ14" s="263"/>
      <c r="AK14" s="263"/>
      <c r="AL14" s="263"/>
      <c r="AM14" s="263"/>
      <c r="AN14" s="263"/>
      <c r="AO14" s="263"/>
      <c r="AP14" s="263"/>
      <c r="AQ14" s="263"/>
      <c r="AR14" s="263"/>
    </row>
    <row r="15" outlineLevel="1">
      <c r="A15" s="367" t="s">
        <v>135</v>
      </c>
      <c r="B15" s="368" t="s">
        <v>136</v>
      </c>
      <c r="C15" s="369"/>
      <c r="D15" s="370"/>
      <c r="E15" s="369"/>
      <c r="F15" s="369"/>
      <c r="G15" s="369"/>
      <c r="H15" s="371"/>
      <c r="I15" s="372" t="b">
        <v>0</v>
      </c>
      <c r="J15" s="372" t="str">
        <f>Draft!J15</f>
        <v/>
      </c>
      <c r="K15" s="369"/>
      <c r="L15" s="369"/>
      <c r="M15" s="373"/>
      <c r="N15" s="374" t="str">
        <f>Draft!M15</f>
        <v/>
      </c>
      <c r="O15" s="375" t="str">
        <f>Draft!N15</f>
        <v/>
      </c>
      <c r="P15" s="372"/>
      <c r="Q15" s="375" t="str">
        <f>Draft!P15</f>
        <v/>
      </c>
      <c r="R15" s="375" t="str">
        <f>Draft!Q15</f>
        <v/>
      </c>
      <c r="S15" s="372"/>
      <c r="T15" s="372"/>
      <c r="U15" s="374"/>
      <c r="V15" s="374"/>
      <c r="W15" s="373"/>
      <c r="X15" s="374"/>
      <c r="Y15" s="374"/>
      <c r="Z15" s="369"/>
      <c r="AA15" s="374"/>
      <c r="AB15" s="373"/>
      <c r="AC15" s="373"/>
      <c r="AD15" s="374"/>
      <c r="AE15" s="374"/>
      <c r="AF15" s="374"/>
      <c r="AG15" s="373"/>
      <c r="AH15" s="376"/>
      <c r="AI15" s="369"/>
      <c r="AJ15" s="369"/>
      <c r="AK15" s="369"/>
      <c r="AL15" s="369"/>
      <c r="AM15" s="369"/>
      <c r="AN15" s="369"/>
      <c r="AO15" s="369"/>
      <c r="AP15" s="369"/>
      <c r="AQ15" s="369"/>
      <c r="AR15" s="369"/>
    </row>
    <row r="16" outlineLevel="1">
      <c r="A16" s="294">
        <v>10.0</v>
      </c>
      <c r="B16" s="331" t="s">
        <v>137</v>
      </c>
      <c r="C16" s="296" t="s">
        <v>38</v>
      </c>
      <c r="D16" s="297" t="s">
        <v>138</v>
      </c>
      <c r="E16" s="298" t="s">
        <v>40</v>
      </c>
      <c r="F16" s="299" t="s">
        <v>139</v>
      </c>
      <c r="G16" s="300" t="s">
        <v>50</v>
      </c>
      <c r="H16" s="301" t="s">
        <v>504</v>
      </c>
      <c r="I16" s="277" t="b">
        <v>1</v>
      </c>
      <c r="J16" s="377" t="s">
        <v>505</v>
      </c>
      <c r="K16" s="279"/>
      <c r="L16" s="279"/>
      <c r="M16" s="360" t="s">
        <v>389</v>
      </c>
      <c r="N16" s="281" t="str">
        <f>Draft!M16</f>
        <v>https://docs.google.com/spreadsheets/d/1xQ1mD1D5YIQbOnp-TcVfi31RHqUWCR8Z0vOrkp-JFkc/edit?gid=0#gid=0</v>
      </c>
      <c r="O16" s="282" t="str">
        <f>Draft!N16</f>
        <v/>
      </c>
      <c r="P16" s="277" t="s">
        <v>506</v>
      </c>
      <c r="Q16" s="333" t="s">
        <v>507</v>
      </c>
      <c r="R16" s="284" t="s">
        <v>392</v>
      </c>
      <c r="S16" s="311" t="s">
        <v>508</v>
      </c>
      <c r="T16" s="311"/>
      <c r="U16" s="361" t="s">
        <v>509</v>
      </c>
      <c r="V16" s="281" t="str">
        <f>Draft!U16</f>
        <v/>
      </c>
      <c r="W16" s="288" t="s">
        <v>510</v>
      </c>
      <c r="X16" s="304" t="s">
        <v>511</v>
      </c>
      <c r="Y16" s="287" t="str">
        <f>Draft!X16</f>
        <v/>
      </c>
      <c r="Z16" s="288" t="s">
        <v>512</v>
      </c>
      <c r="AA16" s="286" t="s">
        <v>513</v>
      </c>
      <c r="AB16" s="350" t="s">
        <v>514</v>
      </c>
      <c r="AC16" s="378"/>
      <c r="AD16" s="286" t="s">
        <v>515</v>
      </c>
      <c r="AE16" s="339" t="s">
        <v>516</v>
      </c>
      <c r="AF16" s="281"/>
      <c r="AG16" s="292">
        <v>46271.0</v>
      </c>
      <c r="AH16" s="299"/>
      <c r="AI16" s="279"/>
      <c r="AJ16" s="279"/>
      <c r="AK16" s="279"/>
      <c r="AL16" s="279"/>
      <c r="AM16" s="279"/>
      <c r="AN16" s="279"/>
      <c r="AO16" s="279"/>
      <c r="AP16" s="279"/>
      <c r="AQ16" s="279"/>
      <c r="AR16" s="279"/>
    </row>
    <row r="17" ht="112.5" customHeight="1">
      <c r="A17" s="379">
        <v>11.0</v>
      </c>
      <c r="B17" s="380" t="s">
        <v>144</v>
      </c>
      <c r="C17" s="271" t="s">
        <v>38</v>
      </c>
      <c r="D17" s="272" t="s">
        <v>145</v>
      </c>
      <c r="E17" s="273" t="s">
        <v>146</v>
      </c>
      <c r="F17" s="274" t="s">
        <v>139</v>
      </c>
      <c r="G17" s="275" t="s">
        <v>50</v>
      </c>
      <c r="H17" s="276" t="s">
        <v>517</v>
      </c>
      <c r="I17" s="277" t="b">
        <v>0</v>
      </c>
      <c r="J17" s="278" t="s">
        <v>518</v>
      </c>
      <c r="K17" s="381"/>
      <c r="L17" s="381"/>
      <c r="M17" s="338"/>
      <c r="N17" s="281" t="str">
        <f>Draft!M17</f>
        <v>https://docs.google.com/spreadsheets/d/1fpgklNz15kb8DM2y7cMvWmIrrpZJ52PQO1AcoqBHmEA/edit?gid=0#gid=0</v>
      </c>
      <c r="O17" s="282" t="str">
        <f>Draft!N17</f>
        <v/>
      </c>
      <c r="P17" s="311" t="s">
        <v>519</v>
      </c>
      <c r="Q17" s="333" t="s">
        <v>520</v>
      </c>
      <c r="R17" s="284" t="s">
        <v>392</v>
      </c>
      <c r="S17" s="311" t="s">
        <v>521</v>
      </c>
      <c r="T17" s="311"/>
      <c r="U17" s="361" t="s">
        <v>522</v>
      </c>
      <c r="V17" s="281" t="str">
        <f>Draft!U17</f>
        <v/>
      </c>
      <c r="W17" s="325" t="s">
        <v>523</v>
      </c>
      <c r="X17" s="286" t="s">
        <v>524</v>
      </c>
      <c r="Y17" s="287" t="str">
        <f>Draft!X17</f>
        <v/>
      </c>
      <c r="Z17" s="382" t="s">
        <v>525</v>
      </c>
      <c r="AA17" s="364"/>
      <c r="AB17" s="337"/>
      <c r="AC17" s="338"/>
      <c r="AD17" s="383" t="s">
        <v>526</v>
      </c>
      <c r="AE17" s="353" t="s">
        <v>527</v>
      </c>
      <c r="AF17" s="384" t="s">
        <v>528</v>
      </c>
      <c r="AG17" s="318">
        <v>46332.0</v>
      </c>
      <c r="AH17" s="299"/>
      <c r="AI17" s="279"/>
      <c r="AJ17" s="279"/>
      <c r="AK17" s="279"/>
      <c r="AL17" s="279"/>
      <c r="AM17" s="279"/>
      <c r="AN17" s="279"/>
      <c r="AO17" s="279"/>
      <c r="AP17" s="279"/>
      <c r="AQ17" s="279"/>
      <c r="AR17" s="279"/>
    </row>
    <row r="18" outlineLevel="1">
      <c r="A18" s="294">
        <v>12.0</v>
      </c>
      <c r="B18" s="385" t="s">
        <v>151</v>
      </c>
      <c r="C18" s="296" t="s">
        <v>38</v>
      </c>
      <c r="D18" s="297" t="s">
        <v>152</v>
      </c>
      <c r="E18" s="298" t="s">
        <v>146</v>
      </c>
      <c r="F18" s="299" t="s">
        <v>139</v>
      </c>
      <c r="G18" s="300" t="s">
        <v>50</v>
      </c>
      <c r="H18" s="301" t="s">
        <v>529</v>
      </c>
      <c r="I18" s="277" t="b">
        <v>0</v>
      </c>
      <c r="J18" s="278" t="s">
        <v>530</v>
      </c>
      <c r="K18" s="279"/>
      <c r="L18" s="279"/>
      <c r="M18" s="302" t="s">
        <v>389</v>
      </c>
      <c r="N18" s="281" t="str">
        <f>Draft!M18</f>
        <v>https://docs.google.com/spreadsheets/d/1Zs-sbAumg9ydXNKSreenvInyRfXK3lg9oVTB-V7R3bY/edit?gid=0#gid=0</v>
      </c>
      <c r="O18" s="282" t="str">
        <f>Draft!N18</f>
        <v/>
      </c>
      <c r="P18" s="277" t="s">
        <v>531</v>
      </c>
      <c r="Q18" s="333" t="s">
        <v>532</v>
      </c>
      <c r="R18" s="284" t="s">
        <v>392</v>
      </c>
      <c r="S18" s="311" t="s">
        <v>533</v>
      </c>
      <c r="T18" s="311"/>
      <c r="U18" s="361" t="s">
        <v>394</v>
      </c>
      <c r="V18" s="281" t="str">
        <f>Draft!U18</f>
        <v/>
      </c>
      <c r="W18" s="288" t="s">
        <v>534</v>
      </c>
      <c r="X18" s="304" t="s">
        <v>535</v>
      </c>
      <c r="Y18" s="287" t="str">
        <f>Draft!X18</f>
        <v/>
      </c>
      <c r="Z18" s="288" t="s">
        <v>536</v>
      </c>
      <c r="AA18" s="286" t="s">
        <v>537</v>
      </c>
      <c r="AB18" s="386" t="s">
        <v>538</v>
      </c>
      <c r="AC18" s="387"/>
      <c r="AD18" s="388" t="s">
        <v>539</v>
      </c>
      <c r="AE18" s="389" t="s">
        <v>540</v>
      </c>
      <c r="AF18" s="281"/>
      <c r="AG18" s="318">
        <v>46271.0</v>
      </c>
      <c r="AH18" s="299"/>
      <c r="AI18" s="279"/>
      <c r="AJ18" s="279"/>
      <c r="AK18" s="279"/>
      <c r="AL18" s="279"/>
      <c r="AM18" s="279"/>
      <c r="AN18" s="279"/>
      <c r="AO18" s="279"/>
      <c r="AP18" s="279"/>
      <c r="AQ18" s="279"/>
      <c r="AR18" s="279"/>
    </row>
    <row r="19" outlineLevel="1">
      <c r="A19" s="294">
        <v>13.0</v>
      </c>
      <c r="B19" s="331" t="s">
        <v>163</v>
      </c>
      <c r="C19" s="296" t="s">
        <v>38</v>
      </c>
      <c r="D19" s="297" t="s">
        <v>164</v>
      </c>
      <c r="E19" s="298" t="s">
        <v>146</v>
      </c>
      <c r="F19" s="299" t="s">
        <v>21</v>
      </c>
      <c r="G19" s="300" t="s">
        <v>50</v>
      </c>
      <c r="H19" s="301" t="s">
        <v>541</v>
      </c>
      <c r="I19" s="277" t="b">
        <v>0</v>
      </c>
      <c r="J19" s="377" t="s">
        <v>542</v>
      </c>
      <c r="K19" s="279"/>
      <c r="L19" s="279"/>
      <c r="M19" s="360" t="s">
        <v>477</v>
      </c>
      <c r="N19" s="281" t="str">
        <f>Draft!M19</f>
        <v>https://docs.google.com/spreadsheets/d/191E4WQVYqKQGCKUc6VNpr6XcIAnFaPVzZakBmOWs_dE/edit?gid=0#gid=0</v>
      </c>
      <c r="O19" s="282" t="str">
        <f>Draft!N19</f>
        <v/>
      </c>
      <c r="P19" s="277" t="s">
        <v>543</v>
      </c>
      <c r="Q19" s="333" t="s">
        <v>544</v>
      </c>
      <c r="R19" s="282"/>
      <c r="S19" s="311" t="s">
        <v>545</v>
      </c>
      <c r="T19" s="311"/>
      <c r="U19" s="361" t="s">
        <v>546</v>
      </c>
      <c r="V19" s="281" t="str">
        <f>Draft!U19</f>
        <v/>
      </c>
      <c r="W19" s="390" t="s">
        <v>547</v>
      </c>
      <c r="X19" s="286" t="s">
        <v>548</v>
      </c>
      <c r="Y19" s="391"/>
      <c r="Z19" s="317" t="s">
        <v>549</v>
      </c>
      <c r="AA19" s="304" t="s">
        <v>550</v>
      </c>
      <c r="AB19" s="392" t="s">
        <v>551</v>
      </c>
      <c r="AC19" s="317"/>
      <c r="AD19" s="286" t="s">
        <v>552</v>
      </c>
      <c r="AE19" s="353" t="s">
        <v>553</v>
      </c>
      <c r="AF19" s="384" t="s">
        <v>554</v>
      </c>
      <c r="AG19" s="318">
        <v>46179.0</v>
      </c>
      <c r="AH19" s="299"/>
      <c r="AI19" s="279"/>
      <c r="AJ19" s="279"/>
      <c r="AK19" s="279"/>
      <c r="AL19" s="279"/>
      <c r="AM19" s="279"/>
      <c r="AN19" s="279"/>
      <c r="AO19" s="279"/>
      <c r="AP19" s="279"/>
      <c r="AQ19" s="279"/>
      <c r="AR19" s="279"/>
    </row>
    <row r="20" outlineLevel="1">
      <c r="A20" s="294">
        <v>14.0</v>
      </c>
      <c r="B20" s="331" t="s">
        <v>169</v>
      </c>
      <c r="C20" s="296" t="s">
        <v>38</v>
      </c>
      <c r="D20" s="297">
        <v>6489.0</v>
      </c>
      <c r="E20" s="298" t="s">
        <v>146</v>
      </c>
      <c r="F20" s="299" t="s">
        <v>139</v>
      </c>
      <c r="G20" s="300" t="s">
        <v>50</v>
      </c>
      <c r="H20" s="301" t="s">
        <v>555</v>
      </c>
      <c r="I20" s="277" t="b">
        <v>0</v>
      </c>
      <c r="J20" s="393" t="s">
        <v>556</v>
      </c>
      <c r="K20" s="279"/>
      <c r="L20" s="279"/>
      <c r="M20" s="302" t="s">
        <v>389</v>
      </c>
      <c r="N20" s="281" t="str">
        <f>Draft!M20</f>
        <v>https://docs.google.com/spreadsheets/d/14zMYJFq84bLogXppl5iBijvsYFm90xU8MuxJDdbrRZ4/edit?gid=0#gid=0</v>
      </c>
      <c r="O20" s="282" t="str">
        <f>Draft!N20</f>
        <v/>
      </c>
      <c r="P20" s="394" t="s">
        <v>557</v>
      </c>
      <c r="Q20" s="283" t="s">
        <v>558</v>
      </c>
      <c r="R20" s="282"/>
      <c r="S20" s="285" t="s">
        <v>559</v>
      </c>
      <c r="T20" s="285"/>
      <c r="U20" s="361" t="s">
        <v>560</v>
      </c>
      <c r="V20" s="281" t="str">
        <f>Draft!U20</f>
        <v/>
      </c>
      <c r="W20" s="288" t="s">
        <v>561</v>
      </c>
      <c r="X20" s="286" t="s">
        <v>562</v>
      </c>
      <c r="Y20" s="287" t="str">
        <f>Draft!X20</f>
        <v/>
      </c>
      <c r="Z20" s="288" t="s">
        <v>563</v>
      </c>
      <c r="AA20" s="286" t="s">
        <v>564</v>
      </c>
      <c r="AB20" s="280" t="s">
        <v>45</v>
      </c>
      <c r="AC20" s="280"/>
      <c r="AD20" s="286" t="s">
        <v>565</v>
      </c>
      <c r="AE20" s="365" t="s">
        <v>566</v>
      </c>
      <c r="AF20" s="281"/>
      <c r="AG20" s="292">
        <v>46118.0</v>
      </c>
      <c r="AH20" s="293" t="s">
        <v>567</v>
      </c>
      <c r="AI20" s="279"/>
      <c r="AJ20" s="279"/>
      <c r="AK20" s="279"/>
      <c r="AL20" s="279"/>
      <c r="AM20" s="279"/>
      <c r="AN20" s="279"/>
      <c r="AO20" s="279"/>
      <c r="AP20" s="279"/>
      <c r="AQ20" s="279"/>
      <c r="AR20" s="279"/>
    </row>
    <row r="21" outlineLevel="1">
      <c r="A21" s="294">
        <v>15.0</v>
      </c>
      <c r="B21" s="395" t="s">
        <v>174</v>
      </c>
      <c r="C21" s="296" t="s">
        <v>38</v>
      </c>
      <c r="D21" s="297" t="s">
        <v>175</v>
      </c>
      <c r="E21" s="298" t="s">
        <v>146</v>
      </c>
      <c r="F21" s="299" t="s">
        <v>176</v>
      </c>
      <c r="G21" s="300" t="s">
        <v>50</v>
      </c>
      <c r="H21" s="301" t="s">
        <v>568</v>
      </c>
      <c r="I21" s="277" t="b">
        <v>0</v>
      </c>
      <c r="J21" s="278" t="s">
        <v>569</v>
      </c>
      <c r="K21" s="279"/>
      <c r="L21" s="279"/>
      <c r="M21" s="280" t="s">
        <v>389</v>
      </c>
      <c r="N21" s="281" t="s">
        <v>570</v>
      </c>
      <c r="O21" s="282" t="str">
        <f>Draft!N21</f>
        <v/>
      </c>
      <c r="P21" s="394" t="s">
        <v>571</v>
      </c>
      <c r="Q21" s="396" t="s">
        <v>570</v>
      </c>
      <c r="R21" s="284" t="s">
        <v>481</v>
      </c>
      <c r="S21" s="311" t="s">
        <v>572</v>
      </c>
      <c r="T21" s="311"/>
      <c r="U21" s="397" t="s">
        <v>573</v>
      </c>
      <c r="V21" s="281" t="str">
        <f>Draft!U21</f>
        <v/>
      </c>
      <c r="W21" s="288" t="s">
        <v>574</v>
      </c>
      <c r="X21" s="286" t="s">
        <v>575</v>
      </c>
      <c r="Y21" s="287" t="str">
        <f>Draft!X21</f>
        <v/>
      </c>
      <c r="Z21" s="288" t="s">
        <v>576</v>
      </c>
      <c r="AA21" s="286" t="s">
        <v>577</v>
      </c>
      <c r="AB21" s="280" t="s">
        <v>45</v>
      </c>
      <c r="AC21" s="280"/>
      <c r="AD21" s="398" t="s">
        <v>578</v>
      </c>
      <c r="AE21" s="365" t="s">
        <v>566</v>
      </c>
      <c r="AF21" s="281"/>
      <c r="AG21" s="318">
        <v>46059.0</v>
      </c>
      <c r="AH21" s="293" t="s">
        <v>579</v>
      </c>
      <c r="AI21" s="279"/>
      <c r="AJ21" s="279"/>
      <c r="AK21" s="279"/>
      <c r="AL21" s="279"/>
      <c r="AM21" s="279"/>
      <c r="AN21" s="279"/>
      <c r="AO21" s="279"/>
      <c r="AP21" s="279"/>
      <c r="AQ21" s="279"/>
      <c r="AR21" s="279"/>
    </row>
    <row r="22" outlineLevel="1">
      <c r="A22" s="294">
        <v>16.0</v>
      </c>
      <c r="B22" s="342" t="s">
        <v>180</v>
      </c>
      <c r="C22" s="296" t="s">
        <v>38</v>
      </c>
      <c r="D22" s="297" t="s">
        <v>181</v>
      </c>
      <c r="E22" s="298" t="s">
        <v>146</v>
      </c>
      <c r="F22" s="299" t="s">
        <v>182</v>
      </c>
      <c r="G22" s="300" t="s">
        <v>50</v>
      </c>
      <c r="H22" s="301" t="s">
        <v>580</v>
      </c>
      <c r="I22" s="277" t="b">
        <v>0</v>
      </c>
      <c r="J22" s="278" t="s">
        <v>581</v>
      </c>
      <c r="K22" s="279"/>
      <c r="L22" s="279"/>
      <c r="M22" s="302" t="s">
        <v>389</v>
      </c>
      <c r="N22" s="281" t="s">
        <v>582</v>
      </c>
      <c r="O22" s="282" t="str">
        <f>Draft!N22</f>
        <v/>
      </c>
      <c r="P22" s="346" t="s">
        <v>583</v>
      </c>
      <c r="Q22" s="333" t="s">
        <v>584</v>
      </c>
      <c r="R22" s="284" t="s">
        <v>481</v>
      </c>
      <c r="S22" s="311" t="s">
        <v>585</v>
      </c>
      <c r="T22" s="311"/>
      <c r="U22" s="397" t="s">
        <v>586</v>
      </c>
      <c r="V22" s="281" t="str">
        <f>Draft!U22</f>
        <v/>
      </c>
      <c r="W22" s="288" t="s">
        <v>587</v>
      </c>
      <c r="X22" s="286" t="s">
        <v>588</v>
      </c>
      <c r="Y22" s="287" t="str">
        <f>Draft!X22</f>
        <v/>
      </c>
      <c r="Z22" s="391" t="s">
        <v>589</v>
      </c>
      <c r="AA22" s="286" t="s">
        <v>590</v>
      </c>
      <c r="AB22" s="399" t="s">
        <v>45</v>
      </c>
      <c r="AC22" s="298"/>
      <c r="AD22" s="291" t="s">
        <v>591</v>
      </c>
      <c r="AE22" s="365" t="s">
        <v>592</v>
      </c>
      <c r="AF22" s="281"/>
      <c r="AG22" s="292">
        <v>46118.0</v>
      </c>
      <c r="AH22" s="299"/>
      <c r="AI22" s="279"/>
      <c r="AJ22" s="279"/>
      <c r="AK22" s="279"/>
      <c r="AL22" s="279"/>
      <c r="AM22" s="279"/>
      <c r="AN22" s="279"/>
      <c r="AO22" s="279"/>
      <c r="AP22" s="279"/>
      <c r="AQ22" s="279"/>
      <c r="AR22" s="279"/>
    </row>
    <row r="23" outlineLevel="1">
      <c r="A23" s="294">
        <v>17.0</v>
      </c>
      <c r="B23" s="310" t="s">
        <v>187</v>
      </c>
      <c r="C23" s="296" t="s">
        <v>38</v>
      </c>
      <c r="D23" s="297" t="s">
        <v>188</v>
      </c>
      <c r="E23" s="298" t="s">
        <v>146</v>
      </c>
      <c r="F23" s="299" t="s">
        <v>139</v>
      </c>
      <c r="G23" s="300" t="s">
        <v>50</v>
      </c>
      <c r="H23" s="301" t="s">
        <v>593</v>
      </c>
      <c r="I23" s="311" t="b">
        <v>1</v>
      </c>
      <c r="J23" s="278" t="s">
        <v>594</v>
      </c>
      <c r="K23" s="279"/>
      <c r="L23" s="279"/>
      <c r="M23" s="302" t="s">
        <v>389</v>
      </c>
      <c r="N23" s="281" t="str">
        <f>Draft!M23</f>
        <v>https://docs.google.com/spreadsheets/d/1sFqEAfN8N0lcOoXThx0t58Z8JdMal5nNG1sEjaYr_5A/edit?gid=1051730808#gid=1051730808</v>
      </c>
      <c r="O23" s="282" t="str">
        <f>Draft!N23</f>
        <v/>
      </c>
      <c r="P23" s="346" t="s">
        <v>595</v>
      </c>
      <c r="Q23" s="284" t="s">
        <v>596</v>
      </c>
      <c r="R23" s="282" t="str">
        <f>Draft!Q23</f>
        <v/>
      </c>
      <c r="S23" s="311" t="s">
        <v>597</v>
      </c>
      <c r="T23" s="311"/>
      <c r="U23" s="400" t="s">
        <v>598</v>
      </c>
      <c r="V23" s="317"/>
      <c r="W23" s="288" t="s">
        <v>599</v>
      </c>
      <c r="X23" s="314" t="s">
        <v>418</v>
      </c>
      <c r="Y23" s="313"/>
      <c r="Z23" s="288" t="s">
        <v>600</v>
      </c>
      <c r="AA23" s="316" t="s">
        <v>601</v>
      </c>
      <c r="AB23" s="280" t="s">
        <v>45</v>
      </c>
      <c r="AC23" s="280"/>
      <c r="AD23" s="315" t="s">
        <v>602</v>
      </c>
      <c r="AE23" s="365" t="s">
        <v>566</v>
      </c>
      <c r="AF23" s="315"/>
      <c r="AG23" s="306" t="s">
        <v>410</v>
      </c>
      <c r="AH23" s="330" t="s">
        <v>603</v>
      </c>
      <c r="AI23" s="320"/>
      <c r="AJ23" s="320"/>
      <c r="AK23" s="320"/>
      <c r="AL23" s="320"/>
      <c r="AM23" s="320"/>
      <c r="AN23" s="320"/>
      <c r="AO23" s="320"/>
      <c r="AP23" s="320"/>
      <c r="AQ23" s="320"/>
      <c r="AR23" s="320"/>
    </row>
    <row r="24" outlineLevel="1">
      <c r="A24" s="401" t="s">
        <v>202</v>
      </c>
      <c r="B24" s="402" t="s">
        <v>203</v>
      </c>
      <c r="C24" s="369"/>
      <c r="D24" s="370"/>
      <c r="E24" s="369"/>
      <c r="F24" s="369"/>
      <c r="G24" s="369"/>
      <c r="H24" s="371"/>
      <c r="I24" s="372"/>
      <c r="J24" s="372"/>
      <c r="K24" s="369"/>
      <c r="L24" s="369"/>
      <c r="M24" s="373"/>
      <c r="N24" s="374"/>
      <c r="O24" s="375"/>
      <c r="P24" s="372"/>
      <c r="Q24" s="375"/>
      <c r="R24" s="375"/>
      <c r="S24" s="372"/>
      <c r="T24" s="372"/>
      <c r="U24" s="374"/>
      <c r="V24" s="374"/>
      <c r="W24" s="373"/>
      <c r="X24" s="374"/>
      <c r="Y24" s="374"/>
      <c r="Z24" s="369"/>
      <c r="AA24" s="374"/>
      <c r="AB24" s="373"/>
      <c r="AC24" s="373"/>
      <c r="AD24" s="374"/>
      <c r="AE24" s="374"/>
      <c r="AF24" s="374"/>
      <c r="AG24" s="373"/>
      <c r="AH24" s="376"/>
      <c r="AI24" s="369"/>
      <c r="AJ24" s="369"/>
      <c r="AK24" s="369"/>
      <c r="AL24" s="369"/>
      <c r="AM24" s="369"/>
      <c r="AN24" s="369"/>
      <c r="AO24" s="369"/>
      <c r="AP24" s="369"/>
      <c r="AQ24" s="369"/>
      <c r="AR24" s="369"/>
    </row>
    <row r="25" outlineLevel="1">
      <c r="A25" s="294">
        <v>18.0</v>
      </c>
      <c r="B25" s="331" t="s">
        <v>204</v>
      </c>
      <c r="C25" s="296" t="s">
        <v>38</v>
      </c>
      <c r="D25" s="297" t="s">
        <v>205</v>
      </c>
      <c r="E25" s="298" t="s">
        <v>146</v>
      </c>
      <c r="F25" s="299" t="s">
        <v>206</v>
      </c>
      <c r="G25" s="300" t="s">
        <v>105</v>
      </c>
      <c r="H25" s="301" t="s">
        <v>604</v>
      </c>
      <c r="I25" s="277" t="b">
        <v>0</v>
      </c>
      <c r="J25" s="403" t="s">
        <v>605</v>
      </c>
      <c r="K25" s="279"/>
      <c r="L25" s="279"/>
      <c r="M25" s="360" t="s">
        <v>477</v>
      </c>
      <c r="N25" s="281" t="str">
        <f>Draft!M25</f>
        <v>https://docs.google.com/spreadsheets/d/1v_4l8kffwO5HDSDp9f0NMZ20h7cM9EQfqTMr2OwgAO4/edit?gid=0#gid=0</v>
      </c>
      <c r="O25" s="282" t="str">
        <f>Draft!N25</f>
        <v/>
      </c>
      <c r="P25" s="311" t="s">
        <v>606</v>
      </c>
      <c r="Q25" s="333" t="s">
        <v>607</v>
      </c>
      <c r="R25" s="282"/>
      <c r="S25" s="285" t="s">
        <v>608</v>
      </c>
      <c r="T25" s="285"/>
      <c r="U25" s="361" t="s">
        <v>609</v>
      </c>
      <c r="V25" s="281" t="str">
        <f>Draft!U25</f>
        <v/>
      </c>
      <c r="W25" s="404" t="s">
        <v>610</v>
      </c>
      <c r="X25" s="286" t="s">
        <v>611</v>
      </c>
      <c r="Y25" s="281" t="str">
        <f>Draft!X25</f>
        <v/>
      </c>
      <c r="Z25" s="382" t="s">
        <v>612</v>
      </c>
      <c r="AA25" s="364"/>
      <c r="AB25" s="337"/>
      <c r="AC25" s="338"/>
      <c r="AD25" s="286" t="s">
        <v>613</v>
      </c>
      <c r="AE25" s="365" t="s">
        <v>614</v>
      </c>
      <c r="AF25" s="281"/>
      <c r="AG25" s="306" t="s">
        <v>615</v>
      </c>
      <c r="AH25" s="299"/>
      <c r="AI25" s="279"/>
      <c r="AJ25" s="279"/>
      <c r="AK25" s="279"/>
      <c r="AL25" s="279"/>
      <c r="AM25" s="279"/>
      <c r="AN25" s="279"/>
      <c r="AO25" s="279"/>
      <c r="AP25" s="279"/>
      <c r="AQ25" s="279"/>
      <c r="AR25" s="279"/>
    </row>
    <row r="26" outlineLevel="1">
      <c r="A26" s="294">
        <v>19.0</v>
      </c>
      <c r="B26" s="405" t="s">
        <v>211</v>
      </c>
      <c r="C26" s="296" t="s">
        <v>38</v>
      </c>
      <c r="D26" s="297">
        <v>45000.0</v>
      </c>
      <c r="E26" s="298" t="s">
        <v>146</v>
      </c>
      <c r="F26" s="299" t="s">
        <v>212</v>
      </c>
      <c r="G26" s="300" t="s">
        <v>213</v>
      </c>
      <c r="H26" s="301" t="s">
        <v>616</v>
      </c>
      <c r="I26" s="277" t="b">
        <v>0</v>
      </c>
      <c r="J26" s="406" t="s">
        <v>617</v>
      </c>
      <c r="K26" s="279"/>
      <c r="L26" s="279"/>
      <c r="M26" s="280" t="s">
        <v>477</v>
      </c>
      <c r="N26" s="281" t="str">
        <f>Draft!M26</f>
        <v>https://docs.google.com/spreadsheets/d/1cj90244KvR8OqH9KZFgowQ9lYz0p3GYlqiGHupXlQK4/edit?gid=0#gid=0</v>
      </c>
      <c r="O26" s="282" t="str">
        <f>Draft!N26</f>
        <v/>
      </c>
      <c r="P26" s="288" t="s">
        <v>618</v>
      </c>
      <c r="Q26" s="407"/>
      <c r="R26" s="282"/>
      <c r="S26" s="408" t="s">
        <v>619</v>
      </c>
      <c r="T26" s="408"/>
      <c r="U26" s="361" t="s">
        <v>620</v>
      </c>
      <c r="V26" s="281" t="str">
        <f>Draft!U26</f>
        <v/>
      </c>
      <c r="W26" s="317" t="s">
        <v>621</v>
      </c>
      <c r="X26" s="286" t="s">
        <v>620</v>
      </c>
      <c r="Y26" s="281" t="str">
        <f>Draft!X26</f>
        <v/>
      </c>
      <c r="Z26" s="335" t="s">
        <v>502</v>
      </c>
      <c r="AA26" s="409" t="s">
        <v>620</v>
      </c>
      <c r="AB26" s="410" t="s">
        <v>45</v>
      </c>
      <c r="AC26" s="280"/>
      <c r="AD26" s="286" t="s">
        <v>622</v>
      </c>
      <c r="AE26" s="365" t="s">
        <v>566</v>
      </c>
      <c r="AF26" s="281"/>
      <c r="AG26" s="326">
        <v>46148.0</v>
      </c>
      <c r="AH26" s="293" t="s">
        <v>623</v>
      </c>
      <c r="AI26" s="279"/>
      <c r="AJ26" s="279"/>
      <c r="AK26" s="279"/>
      <c r="AL26" s="279"/>
      <c r="AM26" s="279"/>
      <c r="AN26" s="279"/>
      <c r="AO26" s="279"/>
      <c r="AP26" s="279"/>
      <c r="AQ26" s="279"/>
      <c r="AR26" s="279"/>
    </row>
    <row r="27" outlineLevel="1">
      <c r="A27" s="294">
        <v>20.0</v>
      </c>
      <c r="B27" s="395" t="s">
        <v>242</v>
      </c>
      <c r="C27" s="296" t="s">
        <v>38</v>
      </c>
      <c r="D27" s="297" t="s">
        <v>243</v>
      </c>
      <c r="E27" s="298" t="s">
        <v>146</v>
      </c>
      <c r="F27" s="299" t="s">
        <v>244</v>
      </c>
      <c r="G27" s="300" t="s">
        <v>105</v>
      </c>
      <c r="H27" s="301" t="s">
        <v>624</v>
      </c>
      <c r="I27" s="277" t="b">
        <v>0</v>
      </c>
      <c r="J27" s="278" t="s">
        <v>625</v>
      </c>
      <c r="K27" s="279"/>
      <c r="L27" s="279"/>
      <c r="M27" s="302" t="s">
        <v>389</v>
      </c>
      <c r="N27" s="281" t="s">
        <v>626</v>
      </c>
      <c r="O27" s="282" t="str">
        <f>Draft!N27</f>
        <v>PMAX Note: Kênh thường không xây dựng kịch bản chi tiết. mà muốn lồng ghép tuyến nội dung tự nhiên phù hợp với kênh. nên chỉ lên khung kịch bản và sẽ follow sát theo brief từ brand team</v>
      </c>
      <c r="P27" s="346" t="s">
        <v>627</v>
      </c>
      <c r="Q27" s="333" t="s">
        <v>628</v>
      </c>
      <c r="R27" s="284" t="s">
        <v>481</v>
      </c>
      <c r="S27" s="311" t="s">
        <v>629</v>
      </c>
      <c r="T27" s="311"/>
      <c r="U27" s="411" t="s">
        <v>630</v>
      </c>
      <c r="V27" s="281" t="str">
        <f>Draft!U27</f>
        <v/>
      </c>
      <c r="W27" s="317" t="s">
        <v>631</v>
      </c>
      <c r="X27" s="409" t="s">
        <v>630</v>
      </c>
      <c r="Y27" s="281" t="str">
        <f>Draft!X27</f>
        <v/>
      </c>
      <c r="Z27" s="363" t="s">
        <v>632</v>
      </c>
      <c r="AA27" s="304" t="s">
        <v>630</v>
      </c>
      <c r="AB27" s="399" t="s">
        <v>45</v>
      </c>
      <c r="AC27" s="298"/>
      <c r="AD27" s="291" t="s">
        <v>633</v>
      </c>
      <c r="AE27" s="281"/>
      <c r="AF27" s="281"/>
      <c r="AG27" s="318">
        <v>46362.0</v>
      </c>
      <c r="AH27" s="299"/>
      <c r="AI27" s="279"/>
      <c r="AJ27" s="279"/>
      <c r="AK27" s="279"/>
      <c r="AL27" s="279"/>
      <c r="AM27" s="279"/>
      <c r="AN27" s="279"/>
      <c r="AO27" s="279"/>
      <c r="AP27" s="279"/>
      <c r="AQ27" s="279"/>
      <c r="AR27" s="279"/>
    </row>
    <row r="28" outlineLevel="1">
      <c r="A28" s="341">
        <v>21.0</v>
      </c>
      <c r="B28" s="395" t="s">
        <v>254</v>
      </c>
      <c r="C28" s="296" t="s">
        <v>38</v>
      </c>
      <c r="D28" s="297" t="s">
        <v>255</v>
      </c>
      <c r="E28" s="298" t="s">
        <v>146</v>
      </c>
      <c r="F28" s="299" t="s">
        <v>256</v>
      </c>
      <c r="G28" s="300" t="s">
        <v>105</v>
      </c>
      <c r="H28" s="344" t="s">
        <v>634</v>
      </c>
      <c r="I28" s="300" t="b">
        <v>1</v>
      </c>
      <c r="J28" s="412" t="s">
        <v>635</v>
      </c>
      <c r="K28" s="337"/>
      <c r="L28" s="337"/>
      <c r="M28" s="338" t="s">
        <v>477</v>
      </c>
      <c r="N28" s="281" t="s">
        <v>636</v>
      </c>
      <c r="O28" s="348" t="str">
        <f>Draft!N28</f>
        <v/>
      </c>
      <c r="P28" s="277" t="s">
        <v>637</v>
      </c>
      <c r="Q28" s="347" t="s">
        <v>638</v>
      </c>
      <c r="R28" s="348" t="s">
        <v>481</v>
      </c>
      <c r="S28" s="277" t="s">
        <v>639</v>
      </c>
      <c r="T28" s="337"/>
      <c r="U28" s="349" t="s">
        <v>640</v>
      </c>
      <c r="V28" s="337" t="str">
        <f>Draft!U28</f>
        <v/>
      </c>
      <c r="W28" s="317" t="s">
        <v>641</v>
      </c>
      <c r="X28" s="281" t="s">
        <v>642</v>
      </c>
      <c r="Y28" s="337" t="str">
        <f>Draft!X28</f>
        <v/>
      </c>
      <c r="Z28" s="317" t="s">
        <v>643</v>
      </c>
      <c r="AA28" s="287" t="s">
        <v>644</v>
      </c>
      <c r="AB28" s="392" t="s">
        <v>645</v>
      </c>
      <c r="AC28" s="317"/>
      <c r="AD28" s="413" t="s">
        <v>646</v>
      </c>
      <c r="AE28" s="353" t="s">
        <v>647</v>
      </c>
      <c r="AF28" s="337"/>
      <c r="AG28" s="318">
        <v>46209.0</v>
      </c>
      <c r="AH28" s="337"/>
      <c r="AI28" s="337"/>
      <c r="AJ28" s="337"/>
      <c r="AK28" s="337"/>
      <c r="AL28" s="337"/>
      <c r="AM28" s="337"/>
      <c r="AN28" s="337"/>
      <c r="AO28" s="337"/>
      <c r="AP28" s="337"/>
      <c r="AQ28" s="337"/>
      <c r="AR28" s="337"/>
    </row>
    <row r="29" outlineLevel="1">
      <c r="A29" s="341">
        <v>22.0</v>
      </c>
      <c r="B29" s="414" t="s">
        <v>648</v>
      </c>
      <c r="C29" s="296" t="s">
        <v>38</v>
      </c>
      <c r="D29" s="415" t="s">
        <v>649</v>
      </c>
      <c r="E29" s="298" t="s">
        <v>146</v>
      </c>
      <c r="F29" s="293" t="s">
        <v>650</v>
      </c>
      <c r="G29" s="300" t="s">
        <v>105</v>
      </c>
      <c r="H29" s="416" t="s">
        <v>651</v>
      </c>
      <c r="I29" s="277" t="b">
        <v>0</v>
      </c>
      <c r="J29" s="285" t="s">
        <v>652</v>
      </c>
      <c r="K29" s="279"/>
      <c r="L29" s="279"/>
      <c r="M29" s="302"/>
      <c r="N29" s="397" t="s">
        <v>653</v>
      </c>
      <c r="O29" s="282"/>
      <c r="P29" s="346"/>
      <c r="Q29" s="333"/>
      <c r="R29" s="284"/>
      <c r="S29" s="311"/>
      <c r="T29" s="311"/>
      <c r="U29" s="409" t="s">
        <v>654</v>
      </c>
      <c r="V29" s="281" t="str">
        <f>Draft!U28</f>
        <v/>
      </c>
      <c r="W29" s="417" t="s">
        <v>655</v>
      </c>
      <c r="X29" s="286" t="s">
        <v>656</v>
      </c>
      <c r="Y29" s="281" t="str">
        <f>Draft!X28</f>
        <v/>
      </c>
      <c r="Z29" s="418"/>
      <c r="AA29" s="281"/>
      <c r="AB29" s="337"/>
      <c r="AC29" s="338"/>
      <c r="AD29" s="291" t="s">
        <v>657</v>
      </c>
      <c r="AE29" s="365" t="s">
        <v>614</v>
      </c>
      <c r="AF29" s="281"/>
      <c r="AG29" s="306" t="s">
        <v>615</v>
      </c>
      <c r="AH29" s="299"/>
      <c r="AI29" s="279"/>
      <c r="AJ29" s="279"/>
      <c r="AK29" s="279"/>
      <c r="AL29" s="279"/>
      <c r="AM29" s="279"/>
      <c r="AN29" s="279"/>
      <c r="AO29" s="279"/>
      <c r="AP29" s="279"/>
      <c r="AQ29" s="279"/>
      <c r="AR29" s="279"/>
    </row>
    <row r="30" outlineLevel="1">
      <c r="A30" s="401" t="s">
        <v>270</v>
      </c>
      <c r="B30" s="402" t="s">
        <v>271</v>
      </c>
      <c r="C30" s="369"/>
      <c r="D30" s="370"/>
      <c r="E30" s="369"/>
      <c r="F30" s="369"/>
      <c r="G30" s="369"/>
      <c r="H30" s="371"/>
      <c r="I30" s="372"/>
      <c r="J30" s="372"/>
      <c r="K30" s="369"/>
      <c r="L30" s="369"/>
      <c r="M30" s="373"/>
      <c r="N30" s="374"/>
      <c r="O30" s="375"/>
      <c r="P30" s="372"/>
      <c r="Q30" s="375"/>
      <c r="R30" s="375"/>
      <c r="S30" s="372"/>
      <c r="T30" s="372"/>
      <c r="U30" s="374"/>
      <c r="V30" s="374"/>
      <c r="W30" s="373"/>
      <c r="X30" s="374"/>
      <c r="Y30" s="374"/>
      <c r="Z30" s="369"/>
      <c r="AA30" s="374"/>
      <c r="AB30" s="373"/>
      <c r="AC30" s="373"/>
      <c r="AD30" s="374"/>
      <c r="AE30" s="374"/>
      <c r="AF30" s="374"/>
      <c r="AG30" s="373"/>
      <c r="AH30" s="376"/>
      <c r="AI30" s="369"/>
      <c r="AJ30" s="369"/>
      <c r="AK30" s="369"/>
      <c r="AL30" s="369"/>
      <c r="AM30" s="369"/>
      <c r="AN30" s="369"/>
      <c r="AO30" s="369"/>
      <c r="AP30" s="369"/>
      <c r="AQ30" s="369"/>
      <c r="AR30" s="369"/>
    </row>
    <row r="31" outlineLevel="1">
      <c r="A31" s="294">
        <v>23.0</v>
      </c>
      <c r="B31" s="331" t="s">
        <v>272</v>
      </c>
      <c r="C31" s="296" t="s">
        <v>38</v>
      </c>
      <c r="D31" s="297" t="s">
        <v>273</v>
      </c>
      <c r="E31" s="298" t="s">
        <v>146</v>
      </c>
      <c r="F31" s="299" t="s">
        <v>274</v>
      </c>
      <c r="G31" s="300" t="s">
        <v>275</v>
      </c>
      <c r="H31" s="301" t="s">
        <v>658</v>
      </c>
      <c r="I31" s="277" t="b">
        <v>0</v>
      </c>
      <c r="J31" s="278" t="s">
        <v>659</v>
      </c>
      <c r="K31" s="279"/>
      <c r="L31" s="279"/>
      <c r="M31" s="280" t="s">
        <v>389</v>
      </c>
      <c r="N31" s="281" t="str">
        <f>Draft!M31</f>
        <v>https://docs.google.com/spreadsheets/d/1ZhzA7f0EEVZSZERZ6T98bKeCW85zp9ua9X8yo01_CDM/edit?gid=0#gid=0</v>
      </c>
      <c r="O31" s="282" t="str">
        <f>Draft!N31</f>
        <v>Đổi trang phục theo Tone mood brand </v>
      </c>
      <c r="P31" s="346" t="s">
        <v>660</v>
      </c>
      <c r="Q31" s="333" t="s">
        <v>661</v>
      </c>
      <c r="R31" s="282"/>
      <c r="S31" s="311" t="s">
        <v>662</v>
      </c>
      <c r="T31" s="311"/>
      <c r="U31" s="361" t="s">
        <v>663</v>
      </c>
      <c r="V31" s="281" t="str">
        <f>Draft!U31</f>
        <v/>
      </c>
      <c r="W31" s="325" t="s">
        <v>664</v>
      </c>
      <c r="X31" s="304" t="s">
        <v>665</v>
      </c>
      <c r="Y31" s="281" t="str">
        <f>Draft!X31</f>
        <v/>
      </c>
      <c r="Z31" s="382" t="s">
        <v>666</v>
      </c>
      <c r="AA31" s="364"/>
      <c r="AB31" s="337"/>
      <c r="AC31" s="338"/>
      <c r="AD31" s="286" t="s">
        <v>667</v>
      </c>
      <c r="AE31" s="281"/>
      <c r="AF31" s="281"/>
      <c r="AG31" s="306" t="s">
        <v>503</v>
      </c>
      <c r="AH31" s="299"/>
      <c r="AI31" s="279"/>
      <c r="AJ31" s="279"/>
      <c r="AK31" s="279"/>
      <c r="AL31" s="279"/>
      <c r="AM31" s="279"/>
      <c r="AN31" s="279"/>
      <c r="AO31" s="279"/>
      <c r="AP31" s="279"/>
      <c r="AQ31" s="279"/>
      <c r="AR31" s="279"/>
    </row>
    <row r="32" outlineLevel="1">
      <c r="A32" s="341">
        <v>24.0</v>
      </c>
      <c r="B32" s="419" t="s">
        <v>280</v>
      </c>
      <c r="C32" s="296" t="s">
        <v>38</v>
      </c>
      <c r="D32" s="297">
        <v>13600.0</v>
      </c>
      <c r="E32" s="298" t="s">
        <v>146</v>
      </c>
      <c r="F32" s="299" t="s">
        <v>281</v>
      </c>
      <c r="G32" s="300" t="s">
        <v>41</v>
      </c>
      <c r="H32" s="344" t="s">
        <v>668</v>
      </c>
      <c r="I32" s="300" t="b">
        <v>0</v>
      </c>
      <c r="J32" s="412" t="s">
        <v>669</v>
      </c>
      <c r="K32" s="337"/>
      <c r="L32" s="337"/>
      <c r="M32" s="280" t="s">
        <v>389</v>
      </c>
      <c r="N32" s="281" t="str">
        <f>Draft!M32</f>
        <v>https://docs.google.com/spreadsheets/d/1jtk6BCNAw-jnbFSu2pxRRbrxpwCHVeCHGWt7dLAr_9E/edit?gid=0#gid=0</v>
      </c>
      <c r="O32" s="337" t="str">
        <f>Draft!N32</f>
        <v/>
      </c>
      <c r="P32" s="346" t="s">
        <v>670</v>
      </c>
      <c r="Q32" s="347" t="s">
        <v>671</v>
      </c>
      <c r="R32" s="337"/>
      <c r="S32" s="317" t="s">
        <v>672</v>
      </c>
      <c r="T32" s="338"/>
      <c r="U32" s="281" t="s">
        <v>673</v>
      </c>
      <c r="V32" s="337" t="str">
        <f>Draft!U32</f>
        <v/>
      </c>
      <c r="W32" s="317" t="s">
        <v>674</v>
      </c>
      <c r="X32" s="287" t="s">
        <v>675</v>
      </c>
      <c r="Y32" s="338" t="str">
        <f>Draft!X32</f>
        <v/>
      </c>
      <c r="Z32" s="420" t="s">
        <v>676</v>
      </c>
      <c r="AA32" s="287" t="s">
        <v>677</v>
      </c>
      <c r="AB32" s="421" t="s">
        <v>678</v>
      </c>
      <c r="AC32" s="317"/>
      <c r="AD32" s="287" t="s">
        <v>679</v>
      </c>
      <c r="AE32" s="353" t="s">
        <v>647</v>
      </c>
      <c r="AF32" s="337"/>
      <c r="AG32" s="318">
        <v>46271.0</v>
      </c>
      <c r="AH32" s="337"/>
      <c r="AI32" s="337"/>
      <c r="AJ32" s="337"/>
      <c r="AK32" s="337"/>
      <c r="AL32" s="337"/>
      <c r="AM32" s="337"/>
      <c r="AN32" s="337"/>
      <c r="AO32" s="337"/>
      <c r="AP32" s="337"/>
      <c r="AQ32" s="337"/>
      <c r="AR32" s="337"/>
    </row>
    <row r="33" ht="140.25" customHeight="1" outlineLevel="1">
      <c r="A33" s="341">
        <v>25.0</v>
      </c>
      <c r="B33" s="331" t="s">
        <v>285</v>
      </c>
      <c r="C33" s="296" t="s">
        <v>38</v>
      </c>
      <c r="D33" s="297" t="s">
        <v>286</v>
      </c>
      <c r="E33" s="298" t="s">
        <v>146</v>
      </c>
      <c r="F33" s="299" t="s">
        <v>287</v>
      </c>
      <c r="G33" s="300" t="s">
        <v>41</v>
      </c>
      <c r="H33" s="344" t="s">
        <v>680</v>
      </c>
      <c r="I33" s="300" t="b">
        <v>0</v>
      </c>
      <c r="J33" s="422" t="s">
        <v>681</v>
      </c>
      <c r="K33" s="337"/>
      <c r="L33" s="337"/>
      <c r="M33" s="280" t="s">
        <v>389</v>
      </c>
      <c r="N33" s="281" t="str">
        <f>Draft!M33</f>
        <v>https://docs.google.com/spreadsheets/d/1uFmHyUA8c77qUKk6WPFkRM-bCzcgemvAJT4YpHjKU1M/edit?gid=0#gid=0</v>
      </c>
      <c r="O33" s="337" t="str">
        <f>Draft!N33</f>
        <v/>
      </c>
      <c r="P33" s="346" t="s">
        <v>682</v>
      </c>
      <c r="Q33" s="347" t="s">
        <v>683</v>
      </c>
      <c r="R33" s="337"/>
      <c r="S33" s="317" t="s">
        <v>684</v>
      </c>
      <c r="T33" s="338"/>
      <c r="U33" s="281" t="s">
        <v>685</v>
      </c>
      <c r="V33" s="337" t="str">
        <f>Draft!U33</f>
        <v/>
      </c>
      <c r="W33" s="317" t="s">
        <v>686</v>
      </c>
      <c r="X33" s="287" t="s">
        <v>687</v>
      </c>
      <c r="Y33" s="338" t="str">
        <f>Draft!X33</f>
        <v/>
      </c>
      <c r="Z33" s="423" t="s">
        <v>688</v>
      </c>
      <c r="AA33" s="287" t="s">
        <v>689</v>
      </c>
      <c r="AB33" s="392" t="s">
        <v>690</v>
      </c>
      <c r="AC33" s="317"/>
      <c r="AD33" s="287" t="s">
        <v>691</v>
      </c>
      <c r="AE33" s="353" t="s">
        <v>647</v>
      </c>
      <c r="AF33" s="337"/>
      <c r="AG33" s="318">
        <v>46271.0</v>
      </c>
      <c r="AH33" s="337"/>
      <c r="AI33" s="337"/>
      <c r="AJ33" s="337"/>
      <c r="AK33" s="337"/>
      <c r="AL33" s="337"/>
      <c r="AM33" s="337"/>
      <c r="AN33" s="337"/>
      <c r="AO33" s="337"/>
      <c r="AP33" s="337"/>
      <c r="AQ33" s="337"/>
      <c r="AR33" s="337"/>
    </row>
    <row r="34" hidden="1" outlineLevel="1">
      <c r="A34" s="341">
        <v>26.0</v>
      </c>
      <c r="B34" s="424" t="s">
        <v>291</v>
      </c>
      <c r="C34" s="296" t="s">
        <v>38</v>
      </c>
      <c r="D34" s="425" t="s">
        <v>292</v>
      </c>
      <c r="E34" s="298" t="s">
        <v>146</v>
      </c>
      <c r="F34" s="299" t="s">
        <v>293</v>
      </c>
      <c r="G34" s="300" t="s">
        <v>41</v>
      </c>
      <c r="H34" s="301" t="s">
        <v>692</v>
      </c>
      <c r="I34" s="277" t="b">
        <v>0</v>
      </c>
      <c r="J34" s="377" t="s">
        <v>693</v>
      </c>
      <c r="K34" s="279"/>
      <c r="L34" s="279"/>
      <c r="M34" s="360" t="s">
        <v>389</v>
      </c>
      <c r="N34" s="281" t="str">
        <f>Draft!M32</f>
        <v>https://docs.google.com/spreadsheets/d/1jtk6BCNAw-jnbFSu2pxRRbrxpwCHVeCHGWt7dLAr_9E/edit?gid=0#gid=0</v>
      </c>
      <c r="O34" s="282" t="str">
        <f>Draft!N32</f>
        <v/>
      </c>
      <c r="P34" s="346" t="s">
        <v>694</v>
      </c>
      <c r="Q34" s="333" t="s">
        <v>695</v>
      </c>
      <c r="R34" s="282"/>
      <c r="S34" s="311" t="s">
        <v>696</v>
      </c>
      <c r="T34" s="311"/>
      <c r="U34" s="361" t="s">
        <v>697</v>
      </c>
      <c r="V34" s="281" t="str">
        <f>Draft!U32</f>
        <v/>
      </c>
      <c r="W34" s="317" t="s">
        <v>698</v>
      </c>
      <c r="X34" s="286" t="s">
        <v>699</v>
      </c>
      <c r="Y34" s="281" t="str">
        <f>Draft!X32</f>
        <v/>
      </c>
      <c r="Z34" s="335" t="s">
        <v>566</v>
      </c>
      <c r="AA34" s="286" t="s">
        <v>699</v>
      </c>
      <c r="AB34" s="410" t="s">
        <v>45</v>
      </c>
      <c r="AC34" s="410"/>
      <c r="AD34" s="286" t="s">
        <v>700</v>
      </c>
      <c r="AE34" s="339" t="s">
        <v>701</v>
      </c>
      <c r="AF34" s="281"/>
      <c r="AG34" s="326">
        <v>46148.0</v>
      </c>
      <c r="AH34" s="293" t="s">
        <v>702</v>
      </c>
      <c r="AI34" s="279"/>
      <c r="AJ34" s="279"/>
      <c r="AK34" s="279"/>
      <c r="AL34" s="279"/>
      <c r="AM34" s="279"/>
      <c r="AN34" s="279"/>
      <c r="AO34" s="279"/>
      <c r="AP34" s="279"/>
      <c r="AQ34" s="279"/>
      <c r="AR34" s="279"/>
    </row>
    <row r="35" outlineLevel="1">
      <c r="A35" s="401" t="s">
        <v>296</v>
      </c>
      <c r="B35" s="426" t="s">
        <v>297</v>
      </c>
      <c r="C35" s="369"/>
      <c r="D35" s="370"/>
      <c r="E35" s="369"/>
      <c r="F35" s="369"/>
      <c r="G35" s="369"/>
      <c r="H35" s="371"/>
      <c r="I35" s="372"/>
      <c r="J35" s="372"/>
      <c r="K35" s="369"/>
      <c r="L35" s="369"/>
      <c r="M35" s="373"/>
      <c r="N35" s="374"/>
      <c r="O35" s="375"/>
      <c r="P35" s="372"/>
      <c r="Q35" s="375"/>
      <c r="R35" s="375"/>
      <c r="S35" s="372"/>
      <c r="T35" s="372"/>
      <c r="U35" s="374"/>
      <c r="V35" s="374"/>
      <c r="W35" s="373"/>
      <c r="X35" s="374"/>
      <c r="Y35" s="374"/>
      <c r="Z35" s="369"/>
      <c r="AA35" s="374"/>
      <c r="AB35" s="373"/>
      <c r="AC35" s="373"/>
      <c r="AD35" s="287"/>
      <c r="AE35" s="374"/>
      <c r="AF35" s="374"/>
      <c r="AG35" s="373"/>
      <c r="AH35" s="376"/>
      <c r="AI35" s="369"/>
      <c r="AJ35" s="369"/>
      <c r="AK35" s="369"/>
      <c r="AL35" s="369"/>
      <c r="AM35" s="369"/>
      <c r="AN35" s="369"/>
      <c r="AO35" s="369"/>
      <c r="AP35" s="369"/>
      <c r="AQ35" s="369"/>
      <c r="AR35" s="369"/>
    </row>
    <row r="36" outlineLevel="1">
      <c r="A36" s="294">
        <v>27.0</v>
      </c>
      <c r="B36" s="385" t="s">
        <v>298</v>
      </c>
      <c r="C36" s="296" t="s">
        <v>38</v>
      </c>
      <c r="D36" s="297">
        <v>270000.0</v>
      </c>
      <c r="E36" s="298" t="s">
        <v>40</v>
      </c>
      <c r="F36" s="299" t="s">
        <v>299</v>
      </c>
      <c r="G36" s="300" t="s">
        <v>300</v>
      </c>
      <c r="H36" s="301" t="s">
        <v>703</v>
      </c>
      <c r="I36" s="277" t="b">
        <v>0</v>
      </c>
      <c r="J36" s="406" t="s">
        <v>704</v>
      </c>
      <c r="K36" s="279"/>
      <c r="L36" s="279"/>
      <c r="M36" s="302" t="s">
        <v>389</v>
      </c>
      <c r="N36" s="427" t="s">
        <v>705</v>
      </c>
      <c r="O36" s="282" t="str">
        <f>Draft!N36</f>
        <v/>
      </c>
      <c r="P36" s="311" t="s">
        <v>706</v>
      </c>
      <c r="Q36" s="333" t="s">
        <v>707</v>
      </c>
      <c r="R36" s="282"/>
      <c r="S36" s="311" t="s">
        <v>708</v>
      </c>
      <c r="T36" s="311"/>
      <c r="U36" s="361" t="s">
        <v>709</v>
      </c>
      <c r="V36" s="281" t="str">
        <f>Draft!U36</f>
        <v/>
      </c>
      <c r="W36" s="325" t="s">
        <v>710</v>
      </c>
      <c r="X36" s="286" t="s">
        <v>709</v>
      </c>
      <c r="Y36" s="281" t="str">
        <f>Draft!X36</f>
        <v/>
      </c>
      <c r="Z36" s="418"/>
      <c r="AA36" s="281"/>
      <c r="AB36" s="337"/>
      <c r="AC36" s="337"/>
      <c r="AD36" s="286" t="s">
        <v>711</v>
      </c>
      <c r="AE36" s="353" t="s">
        <v>647</v>
      </c>
      <c r="AF36" s="281"/>
      <c r="AG36" s="428" t="s">
        <v>503</v>
      </c>
      <c r="AH36" s="299"/>
      <c r="AI36" s="279"/>
      <c r="AJ36" s="279"/>
      <c r="AK36" s="279"/>
      <c r="AL36" s="279"/>
      <c r="AM36" s="279"/>
      <c r="AN36" s="279"/>
      <c r="AO36" s="279"/>
      <c r="AP36" s="279"/>
      <c r="AQ36" s="279"/>
      <c r="AR36" s="279"/>
    </row>
    <row r="37" ht="60.0" customHeight="1" outlineLevel="1">
      <c r="A37" s="429" t="s">
        <v>318</v>
      </c>
      <c r="B37" s="430"/>
      <c r="C37" s="430"/>
      <c r="D37" s="430"/>
      <c r="E37" s="430"/>
      <c r="F37" s="430"/>
      <c r="G37" s="430"/>
      <c r="H37" s="431"/>
      <c r="I37" s="432"/>
      <c r="J37" s="432"/>
      <c r="K37" s="430"/>
      <c r="L37" s="430"/>
      <c r="M37" s="266"/>
      <c r="N37" s="433"/>
      <c r="O37" s="434"/>
      <c r="P37" s="432"/>
      <c r="Q37" s="434"/>
      <c r="R37" s="434"/>
      <c r="S37" s="432"/>
      <c r="T37" s="432"/>
      <c r="U37" s="433"/>
      <c r="V37" s="433"/>
      <c r="W37" s="266"/>
      <c r="X37" s="433"/>
      <c r="Y37" s="433"/>
      <c r="Z37" s="430"/>
      <c r="AA37" s="433"/>
      <c r="AB37" s="266"/>
      <c r="AC37" s="266"/>
      <c r="AD37" s="433"/>
      <c r="AE37" s="433"/>
      <c r="AF37" s="433"/>
      <c r="AG37" s="266"/>
      <c r="AH37" s="435"/>
      <c r="AI37" s="430"/>
      <c r="AJ37" s="430"/>
      <c r="AK37" s="430"/>
      <c r="AL37" s="430"/>
      <c r="AM37" s="430"/>
      <c r="AN37" s="430"/>
      <c r="AO37" s="430"/>
      <c r="AP37" s="430"/>
      <c r="AQ37" s="430"/>
      <c r="AR37" s="430"/>
    </row>
    <row r="38" ht="231.0" hidden="1" customHeight="1" outlineLevel="1">
      <c r="A38" s="298">
        <v>28.0</v>
      </c>
      <c r="B38" s="327" t="s">
        <v>319</v>
      </c>
      <c r="C38" s="296" t="s">
        <v>320</v>
      </c>
      <c r="D38" s="436" t="s">
        <v>321</v>
      </c>
      <c r="E38" s="437" t="s">
        <v>118</v>
      </c>
      <c r="F38" s="438" t="s">
        <v>21</v>
      </c>
      <c r="G38" s="300" t="s">
        <v>322</v>
      </c>
      <c r="H38" s="439" t="s">
        <v>323</v>
      </c>
      <c r="I38" s="277" t="b">
        <v>0</v>
      </c>
      <c r="J38" s="440" t="s">
        <v>712</v>
      </c>
      <c r="K38" s="242"/>
      <c r="L38" s="242"/>
      <c r="M38" s="280" t="s">
        <v>713</v>
      </c>
      <c r="N38" s="440" t="str">
        <f>Draft!M38</f>
        <v>Photo Post không update hạng mục này</v>
      </c>
      <c r="O38" s="440" t="str">
        <f>Draft!N38</f>
        <v>Photo Post không update hạng mục này</v>
      </c>
      <c r="P38" s="440" t="s">
        <v>712</v>
      </c>
      <c r="Q38" s="441" t="str">
        <f>Draft!P38</f>
        <v>Photo Post không update hạng mục này</v>
      </c>
      <c r="R38" s="441" t="str">
        <f>Draft!Q38</f>
        <v>Photo Post không update hạng mục này</v>
      </c>
      <c r="S38" s="440" t="s">
        <v>712</v>
      </c>
      <c r="T38" s="442"/>
      <c r="U38" s="443" t="s">
        <v>714</v>
      </c>
      <c r="V38" s="313"/>
      <c r="W38" s="317" t="s">
        <v>715</v>
      </c>
      <c r="X38" s="444" t="s">
        <v>716</v>
      </c>
      <c r="Y38" s="314" t="s">
        <v>717</v>
      </c>
      <c r="Z38" s="317" t="s">
        <v>718</v>
      </c>
      <c r="AA38" s="445" t="s">
        <v>719</v>
      </c>
      <c r="AB38" s="280" t="s">
        <v>45</v>
      </c>
      <c r="AC38" s="387"/>
      <c r="AD38" s="446" t="s">
        <v>720</v>
      </c>
      <c r="AE38" s="447" t="s">
        <v>721</v>
      </c>
      <c r="AF38" s="448" t="s">
        <v>722</v>
      </c>
      <c r="AG38" s="318">
        <v>46087.0</v>
      </c>
      <c r="AH38" s="330" t="s">
        <v>723</v>
      </c>
      <c r="AI38" s="449"/>
      <c r="AJ38" s="449"/>
      <c r="AK38" s="449"/>
      <c r="AL38" s="449"/>
      <c r="AM38" s="449"/>
      <c r="AN38" s="449"/>
      <c r="AO38" s="449"/>
      <c r="AP38" s="449"/>
      <c r="AQ38" s="449"/>
      <c r="AR38" s="449"/>
    </row>
    <row r="39" ht="161.25" hidden="1" customHeight="1" outlineLevel="1">
      <c r="A39" s="298">
        <v>29.0</v>
      </c>
      <c r="B39" s="327" t="s">
        <v>325</v>
      </c>
      <c r="C39" s="296" t="s">
        <v>320</v>
      </c>
      <c r="D39" s="436" t="s">
        <v>326</v>
      </c>
      <c r="E39" s="437" t="s">
        <v>118</v>
      </c>
      <c r="F39" s="438" t="s">
        <v>139</v>
      </c>
      <c r="G39" s="300" t="s">
        <v>322</v>
      </c>
      <c r="H39" s="439" t="s">
        <v>323</v>
      </c>
      <c r="I39" s="277" t="b">
        <v>0</v>
      </c>
      <c r="J39" s="440" t="s">
        <v>712</v>
      </c>
      <c r="K39" s="242"/>
      <c r="L39" s="242"/>
      <c r="M39" s="280" t="s">
        <v>713</v>
      </c>
      <c r="N39" s="440" t="str">
        <f>Draft!M39</f>
        <v>Photo Post không update hạng mục này</v>
      </c>
      <c r="O39" s="440" t="str">
        <f>Draft!N39</f>
        <v>Photo Post không update hạng mục này</v>
      </c>
      <c r="P39" s="440" t="s">
        <v>712</v>
      </c>
      <c r="Q39" s="441" t="str">
        <f>Draft!P39</f>
        <v>Photo Post không update hạng mục này</v>
      </c>
      <c r="R39" s="441" t="str">
        <f>Draft!Q39</f>
        <v>Photo Post không update hạng mục này</v>
      </c>
      <c r="S39" s="440" t="s">
        <v>712</v>
      </c>
      <c r="T39" s="442"/>
      <c r="U39" s="443" t="s">
        <v>724</v>
      </c>
      <c r="V39" s="313"/>
      <c r="W39" s="288" t="s">
        <v>725</v>
      </c>
      <c r="X39" s="444" t="s">
        <v>726</v>
      </c>
      <c r="Y39" s="314" t="s">
        <v>727</v>
      </c>
      <c r="Z39" s="317" t="s">
        <v>728</v>
      </c>
      <c r="AA39" s="450" t="s">
        <v>729</v>
      </c>
      <c r="AB39" s="280" t="s">
        <v>45</v>
      </c>
      <c r="AC39" s="387"/>
      <c r="AD39" s="451" t="s">
        <v>730</v>
      </c>
      <c r="AE39" s="317" t="s">
        <v>731</v>
      </c>
      <c r="AF39" s="448" t="s">
        <v>732</v>
      </c>
      <c r="AG39" s="318">
        <v>46087.0</v>
      </c>
      <c r="AH39" s="330" t="s">
        <v>733</v>
      </c>
      <c r="AI39" s="449"/>
      <c r="AJ39" s="449"/>
      <c r="AK39" s="449"/>
      <c r="AL39" s="449"/>
      <c r="AM39" s="449"/>
      <c r="AN39" s="449"/>
      <c r="AO39" s="449"/>
      <c r="AP39" s="449"/>
      <c r="AQ39" s="449"/>
      <c r="AR39" s="449"/>
    </row>
    <row r="40" ht="282.75" customHeight="1" outlineLevel="1">
      <c r="A40" s="298">
        <v>30.0</v>
      </c>
      <c r="B40" s="327" t="s">
        <v>328</v>
      </c>
      <c r="C40" s="296" t="s">
        <v>320</v>
      </c>
      <c r="D40" s="436" t="s">
        <v>329</v>
      </c>
      <c r="E40" s="437" t="s">
        <v>118</v>
      </c>
      <c r="F40" s="438" t="s">
        <v>21</v>
      </c>
      <c r="G40" s="300" t="s">
        <v>322</v>
      </c>
      <c r="H40" s="439" t="s">
        <v>323</v>
      </c>
      <c r="I40" s="277" t="b">
        <v>0</v>
      </c>
      <c r="J40" s="440" t="s">
        <v>712</v>
      </c>
      <c r="K40" s="242"/>
      <c r="L40" s="242"/>
      <c r="M40" s="280" t="s">
        <v>713</v>
      </c>
      <c r="N40" s="440" t="str">
        <f>Draft!M40</f>
        <v>Photo Post không update hạng mục này</v>
      </c>
      <c r="O40" s="440" t="str">
        <f>Draft!N40</f>
        <v>Photo Post không update hạng mục này</v>
      </c>
      <c r="P40" s="440" t="s">
        <v>712</v>
      </c>
      <c r="Q40" s="441" t="str">
        <f>Draft!P40</f>
        <v>Photo Post không update hạng mục này</v>
      </c>
      <c r="R40" s="441" t="str">
        <f>Draft!Q40</f>
        <v>Photo Post không update hạng mục này</v>
      </c>
      <c r="S40" s="440" t="s">
        <v>712</v>
      </c>
      <c r="T40" s="440"/>
      <c r="U40" s="407" t="s">
        <v>734</v>
      </c>
      <c r="V40" s="452"/>
      <c r="W40" s="288" t="s">
        <v>735</v>
      </c>
      <c r="X40" s="444" t="s">
        <v>736</v>
      </c>
      <c r="Y40" s="314" t="s">
        <v>737</v>
      </c>
      <c r="Z40" s="317" t="s">
        <v>738</v>
      </c>
      <c r="AA40" s="453" t="s">
        <v>739</v>
      </c>
      <c r="AB40" s="280" t="s">
        <v>45</v>
      </c>
      <c r="AC40" s="280"/>
      <c r="AD40" s="454" t="s">
        <v>740</v>
      </c>
      <c r="AE40" s="304" t="s">
        <v>741</v>
      </c>
      <c r="AF40" s="455" t="s">
        <v>742</v>
      </c>
      <c r="AG40" s="456">
        <v>46148.0</v>
      </c>
      <c r="AH40" s="457" t="s">
        <v>743</v>
      </c>
      <c r="AI40" s="449"/>
      <c r="AJ40" s="449"/>
      <c r="AK40" s="449"/>
      <c r="AL40" s="449"/>
      <c r="AM40" s="449"/>
      <c r="AN40" s="449"/>
      <c r="AO40" s="449"/>
      <c r="AP40" s="449"/>
      <c r="AQ40" s="449"/>
      <c r="AR40" s="449"/>
    </row>
    <row r="41" ht="245.25" customHeight="1" outlineLevel="1">
      <c r="A41" s="298">
        <v>31.0</v>
      </c>
      <c r="B41" s="327" t="s">
        <v>331</v>
      </c>
      <c r="C41" s="296" t="s">
        <v>320</v>
      </c>
      <c r="D41" s="436" t="s">
        <v>332</v>
      </c>
      <c r="E41" s="437" t="s">
        <v>40</v>
      </c>
      <c r="F41" s="438" t="s">
        <v>21</v>
      </c>
      <c r="G41" s="300" t="s">
        <v>50</v>
      </c>
      <c r="H41" s="439" t="s">
        <v>323</v>
      </c>
      <c r="I41" s="277" t="b">
        <v>0</v>
      </c>
      <c r="J41" s="440" t="s">
        <v>712</v>
      </c>
      <c r="K41" s="242"/>
      <c r="L41" s="242"/>
      <c r="M41" s="280" t="s">
        <v>713</v>
      </c>
      <c r="N41" s="440" t="str">
        <f>Draft!M41</f>
        <v>Photo Post không update hạng mục này</v>
      </c>
      <c r="O41" s="440" t="str">
        <f>Draft!N41</f>
        <v>Photo Post không update hạng mục này</v>
      </c>
      <c r="P41" s="440" t="s">
        <v>712</v>
      </c>
      <c r="Q41" s="441" t="str">
        <f>Draft!P41</f>
        <v>Photo Post không update hạng mục này</v>
      </c>
      <c r="R41" s="441" t="str">
        <f>Draft!Q41</f>
        <v>Photo Post không update hạng mục này</v>
      </c>
      <c r="S41" s="440" t="s">
        <v>712</v>
      </c>
      <c r="T41" s="442"/>
      <c r="U41" s="443" t="s">
        <v>744</v>
      </c>
      <c r="V41" s="452"/>
      <c r="W41" s="317" t="s">
        <v>745</v>
      </c>
      <c r="X41" s="458" t="s">
        <v>746</v>
      </c>
      <c r="Y41" s="313"/>
      <c r="Z41" s="360" t="s">
        <v>747</v>
      </c>
      <c r="AA41" s="336" t="s">
        <v>748</v>
      </c>
      <c r="AB41" s="459" t="s">
        <v>749</v>
      </c>
      <c r="AC41" s="460" t="s">
        <v>750</v>
      </c>
      <c r="AD41" s="454" t="s">
        <v>751</v>
      </c>
      <c r="AE41" s="338"/>
      <c r="AF41" s="461" t="s">
        <v>752</v>
      </c>
      <c r="AG41" s="462">
        <v>46240.0</v>
      </c>
      <c r="AH41" s="463"/>
      <c r="AI41" s="449"/>
      <c r="AJ41" s="449"/>
      <c r="AK41" s="449"/>
      <c r="AL41" s="449"/>
      <c r="AM41" s="449"/>
      <c r="AN41" s="449"/>
      <c r="AO41" s="449"/>
      <c r="AP41" s="449"/>
      <c r="AQ41" s="449"/>
      <c r="AR41" s="449"/>
    </row>
    <row r="42" ht="371.25" customHeight="1" outlineLevel="1">
      <c r="A42" s="298">
        <v>32.0</v>
      </c>
      <c r="B42" s="464" t="s">
        <v>334</v>
      </c>
      <c r="C42" s="296" t="s">
        <v>320</v>
      </c>
      <c r="D42" s="436" t="s">
        <v>335</v>
      </c>
      <c r="E42" s="437" t="s">
        <v>40</v>
      </c>
      <c r="F42" s="438" t="s">
        <v>21</v>
      </c>
      <c r="G42" s="300" t="s">
        <v>322</v>
      </c>
      <c r="H42" s="439" t="s">
        <v>336</v>
      </c>
      <c r="I42" s="277" t="b">
        <v>0</v>
      </c>
      <c r="J42" s="440" t="s">
        <v>712</v>
      </c>
      <c r="K42" s="242"/>
      <c r="L42" s="242"/>
      <c r="M42" s="280" t="s">
        <v>713</v>
      </c>
      <c r="N42" s="440" t="str">
        <f>Draft!M42</f>
        <v>Photo Post không update hạng mục này</v>
      </c>
      <c r="O42" s="440" t="str">
        <f>Draft!N42</f>
        <v>Photo Post không update hạng mục này</v>
      </c>
      <c r="P42" s="440" t="s">
        <v>712</v>
      </c>
      <c r="Q42" s="441" t="str">
        <f>Draft!P42</f>
        <v>Photo Post không update hạng mục này</v>
      </c>
      <c r="R42" s="441" t="str">
        <f>Draft!Q42</f>
        <v>Photo Post không update hạng mục này</v>
      </c>
      <c r="S42" s="440" t="s">
        <v>712</v>
      </c>
      <c r="T42" s="442"/>
      <c r="U42" s="465" t="s">
        <v>753</v>
      </c>
      <c r="V42" s="313"/>
      <c r="W42" s="288" t="s">
        <v>754</v>
      </c>
      <c r="X42" s="444" t="s">
        <v>736</v>
      </c>
      <c r="Y42" s="313"/>
      <c r="Z42" s="317" t="s">
        <v>755</v>
      </c>
      <c r="AA42" s="444" t="s">
        <v>736</v>
      </c>
      <c r="AB42" s="410" t="s">
        <v>45</v>
      </c>
      <c r="AC42" s="387"/>
      <c r="AD42" s="466" t="s">
        <v>756</v>
      </c>
      <c r="AE42" s="317" t="s">
        <v>757</v>
      </c>
      <c r="AF42" s="467" t="s">
        <v>758</v>
      </c>
      <c r="AG42" s="326">
        <v>46028.0</v>
      </c>
      <c r="AH42" s="330" t="s">
        <v>759</v>
      </c>
      <c r="AI42" s="449"/>
      <c r="AJ42" s="449"/>
      <c r="AK42" s="449"/>
      <c r="AL42" s="449"/>
      <c r="AM42" s="449"/>
      <c r="AN42" s="449"/>
      <c r="AO42" s="449"/>
      <c r="AP42" s="449"/>
      <c r="AQ42" s="449"/>
      <c r="AR42" s="449"/>
    </row>
    <row r="43" ht="156.75" customHeight="1" outlineLevel="1">
      <c r="A43" s="298">
        <v>33.0</v>
      </c>
      <c r="B43" s="327" t="s">
        <v>338</v>
      </c>
      <c r="C43" s="296" t="s">
        <v>38</v>
      </c>
      <c r="D43" s="436" t="s">
        <v>339</v>
      </c>
      <c r="E43" s="437" t="s">
        <v>118</v>
      </c>
      <c r="F43" s="438" t="s">
        <v>21</v>
      </c>
      <c r="G43" s="300" t="s">
        <v>105</v>
      </c>
      <c r="H43" s="439" t="s">
        <v>340</v>
      </c>
      <c r="I43" s="311" t="b">
        <v>1</v>
      </c>
      <c r="J43" s="468" t="s">
        <v>760</v>
      </c>
      <c r="K43" s="242"/>
      <c r="L43" s="242"/>
      <c r="M43" s="302" t="s">
        <v>389</v>
      </c>
      <c r="N43" s="281" t="str">
        <f>Draft!M43</f>
        <v>https://docs.google.com/spreadsheets/d/1VVMeHf2sGW8ymO4iXQtvCgyoT4rc0OuQeg-j3A20B_o/edit?gid=719708239#gid=719708239</v>
      </c>
      <c r="O43" s="282" t="str">
        <f>Draft!N43</f>
        <v/>
      </c>
      <c r="P43" s="391" t="s">
        <v>761</v>
      </c>
      <c r="Q43" s="469" t="s">
        <v>762</v>
      </c>
      <c r="R43" s="329"/>
      <c r="S43" s="329" t="s">
        <v>763</v>
      </c>
      <c r="T43" s="329"/>
      <c r="U43" s="470" t="s">
        <v>764</v>
      </c>
      <c r="V43" s="471" t="s">
        <v>765</v>
      </c>
      <c r="W43" s="317" t="s">
        <v>766</v>
      </c>
      <c r="X43" s="472" t="s">
        <v>767</v>
      </c>
      <c r="Y43" s="452"/>
      <c r="Z43" s="473" t="s">
        <v>768</v>
      </c>
      <c r="AA43" s="304" t="s">
        <v>769</v>
      </c>
      <c r="AB43" s="474" t="s">
        <v>770</v>
      </c>
      <c r="AC43" s="475"/>
      <c r="AD43" s="315" t="s">
        <v>771</v>
      </c>
      <c r="AE43" s="335" t="s">
        <v>502</v>
      </c>
      <c r="AF43" s="313"/>
      <c r="AG43" s="462">
        <v>46148.0</v>
      </c>
      <c r="AH43" s="463"/>
      <c r="AI43" s="449"/>
      <c r="AJ43" s="449"/>
      <c r="AK43" s="449"/>
      <c r="AL43" s="449"/>
      <c r="AM43" s="449"/>
      <c r="AN43" s="449"/>
      <c r="AO43" s="449"/>
      <c r="AP43" s="449"/>
      <c r="AQ43" s="449"/>
      <c r="AR43" s="449"/>
    </row>
    <row r="44" ht="252.75" customHeight="1">
      <c r="A44" s="476">
        <v>34.0</v>
      </c>
      <c r="B44" s="477" t="s">
        <v>342</v>
      </c>
      <c r="C44" s="271" t="s">
        <v>38</v>
      </c>
      <c r="D44" s="478" t="s">
        <v>343</v>
      </c>
      <c r="E44" s="479" t="s">
        <v>40</v>
      </c>
      <c r="F44" s="480" t="s">
        <v>21</v>
      </c>
      <c r="G44" s="275" t="s">
        <v>50</v>
      </c>
      <c r="H44" s="481" t="s">
        <v>340</v>
      </c>
      <c r="I44" s="277" t="b">
        <v>1</v>
      </c>
      <c r="J44" s="278" t="s">
        <v>772</v>
      </c>
      <c r="K44" s="242"/>
      <c r="L44" s="242"/>
      <c r="M44" s="280" t="s">
        <v>389</v>
      </c>
      <c r="N44" s="281" t="str">
        <f>Draft!M44</f>
        <v>https://docs.google.com/spreadsheets/d/1ExKareGYH9VR7c6hXA2BPlNn2qL7U879Nzgg7lYOoyk/edit?gid=0#gid=0</v>
      </c>
      <c r="O44" s="282" t="str">
        <f>Draft!N44</f>
        <v/>
      </c>
      <c r="P44" s="303" t="s">
        <v>773</v>
      </c>
      <c r="Q44" s="282" t="str">
        <f>Draft!P44</f>
        <v>https://docs.google.com/spreadsheets/d/1ExKareGYH9VR7c6hXA2BPlNn2qL7U879Nzgg7lYOoyk/edit?gid=1350617545#gid=1350617545</v>
      </c>
      <c r="R44" s="282" t="str">
        <f>Draft!Q44</f>
        <v>Team KOC đã điều chỉnh theo feedback của brand từ round trước</v>
      </c>
      <c r="S44" s="391" t="s">
        <v>774</v>
      </c>
      <c r="T44" s="391"/>
      <c r="U44" s="286" t="s">
        <v>775</v>
      </c>
      <c r="V44" s="287" t="str">
        <f>Draft!U44</f>
        <v/>
      </c>
      <c r="W44" s="288" t="s">
        <v>776</v>
      </c>
      <c r="X44" s="286" t="s">
        <v>777</v>
      </c>
      <c r="Y44" s="286" t="s">
        <v>778</v>
      </c>
      <c r="Z44" s="288" t="s">
        <v>779</v>
      </c>
      <c r="AA44" s="286" t="s">
        <v>780</v>
      </c>
      <c r="AB44" s="280" t="s">
        <v>45</v>
      </c>
      <c r="AC44" s="280"/>
      <c r="AD44" s="305" t="s">
        <v>781</v>
      </c>
      <c r="AE44" s="447"/>
      <c r="AF44" s="447"/>
      <c r="AG44" s="306" t="s">
        <v>782</v>
      </c>
      <c r="AH44" s="324" t="s">
        <v>783</v>
      </c>
      <c r="AI44" s="482"/>
      <c r="AJ44" s="482"/>
      <c r="AK44" s="482"/>
      <c r="AL44" s="242"/>
      <c r="AM44" s="242"/>
      <c r="AN44" s="242"/>
      <c r="AO44" s="242"/>
      <c r="AP44" s="242"/>
      <c r="AQ44" s="242"/>
      <c r="AR44" s="242"/>
    </row>
    <row r="45" ht="137.25" customHeight="1" outlineLevel="1">
      <c r="A45" s="298">
        <v>35.0</v>
      </c>
      <c r="B45" s="464" t="s">
        <v>345</v>
      </c>
      <c r="C45" s="296" t="s">
        <v>38</v>
      </c>
      <c r="D45" s="436" t="s">
        <v>346</v>
      </c>
      <c r="E45" s="437" t="s">
        <v>40</v>
      </c>
      <c r="F45" s="438" t="s">
        <v>21</v>
      </c>
      <c r="G45" s="300" t="s">
        <v>322</v>
      </c>
      <c r="H45" s="439" t="s">
        <v>340</v>
      </c>
      <c r="I45" s="311" t="b">
        <v>1</v>
      </c>
      <c r="J45" s="422" t="s">
        <v>784</v>
      </c>
      <c r="K45" s="242"/>
      <c r="L45" s="242"/>
      <c r="M45" s="280" t="s">
        <v>389</v>
      </c>
      <c r="N45" s="281" t="str">
        <f>Draft!M45</f>
        <v>https://docs.google.com/spreadsheets/d/19KBHFXJZdTSkntAMXMrEZpTkm9ELKraMsDFSVYrKolo/edit?gid=1454906472#gid=1454906472</v>
      </c>
      <c r="O45" s="282" t="str">
        <f>Draft!N45</f>
        <v/>
      </c>
      <c r="P45" s="483" t="s">
        <v>785</v>
      </c>
      <c r="Q45" s="484" t="s">
        <v>786</v>
      </c>
      <c r="R45" s="485" t="s">
        <v>787</v>
      </c>
      <c r="S45" s="285" t="s">
        <v>788</v>
      </c>
      <c r="T45" s="285"/>
      <c r="U45" s="486" t="s">
        <v>789</v>
      </c>
      <c r="V45" s="300" t="s">
        <v>790</v>
      </c>
      <c r="W45" s="288" t="s">
        <v>791</v>
      </c>
      <c r="X45" s="472" t="s">
        <v>792</v>
      </c>
      <c r="Y45" s="452"/>
      <c r="Z45" s="317" t="s">
        <v>793</v>
      </c>
      <c r="AA45" s="487" t="s">
        <v>794</v>
      </c>
      <c r="AB45" s="421" t="s">
        <v>795</v>
      </c>
      <c r="AC45" s="317"/>
      <c r="AD45" s="315" t="s">
        <v>796</v>
      </c>
      <c r="AE45" s="415" t="s">
        <v>797</v>
      </c>
      <c r="AF45" s="288" t="s">
        <v>798</v>
      </c>
      <c r="AG45" s="462">
        <v>46118.0</v>
      </c>
      <c r="AH45" s="457" t="s">
        <v>799</v>
      </c>
      <c r="AI45" s="449"/>
      <c r="AJ45" s="449"/>
      <c r="AK45" s="449"/>
      <c r="AL45" s="449"/>
      <c r="AM45" s="449"/>
      <c r="AN45" s="449"/>
      <c r="AO45" s="449"/>
      <c r="AP45" s="449"/>
      <c r="AQ45" s="449"/>
      <c r="AR45" s="449"/>
    </row>
    <row r="46" ht="170.25" customHeight="1" outlineLevel="1">
      <c r="A46" s="298">
        <v>36.0</v>
      </c>
      <c r="B46" s="488" t="s">
        <v>348</v>
      </c>
      <c r="C46" s="296" t="s">
        <v>38</v>
      </c>
      <c r="D46" s="436" t="s">
        <v>349</v>
      </c>
      <c r="E46" s="437" t="s">
        <v>40</v>
      </c>
      <c r="F46" s="438" t="s">
        <v>21</v>
      </c>
      <c r="G46" s="317" t="s">
        <v>50</v>
      </c>
      <c r="H46" s="439" t="s">
        <v>340</v>
      </c>
      <c r="I46" s="296" t="b">
        <v>0</v>
      </c>
      <c r="J46" s="391" t="s">
        <v>800</v>
      </c>
      <c r="K46" s="242"/>
      <c r="L46" s="242"/>
      <c r="M46" s="302" t="s">
        <v>389</v>
      </c>
      <c r="N46" s="287" t="str">
        <f>Draft!M46</f>
        <v>https://docs.google.com/spreadsheets/d/165wHINGJNG6u-TKltL9IFycAvysmlg8PM9SMb5b7ZEI/edit?gid=0#gid=0</v>
      </c>
      <c r="O46" s="447" t="str">
        <f>Draft!N46</f>
        <v/>
      </c>
      <c r="P46" s="296" t="s">
        <v>801</v>
      </c>
      <c r="Q46" s="447" t="str">
        <f>Draft!P46</f>
        <v>https://docs.google.com/spreadsheets/d/165wHINGJNG6u-TKltL9IFycAvysmlg8PM9SMb5b7ZEI/edit?gid=369007203#gid=369007203</v>
      </c>
      <c r="R46" s="447" t="str">
        <f>Draft!Q46</f>
        <v>Đã bổ sung outfit
Team KOC đã điều chỉnh theo feedback</v>
      </c>
      <c r="S46" s="391" t="s">
        <v>802</v>
      </c>
      <c r="T46" s="489" t="s">
        <v>803</v>
      </c>
      <c r="U46" s="286" t="s">
        <v>804</v>
      </c>
      <c r="V46" s="287" t="str">
        <f>Draft!U46</f>
        <v/>
      </c>
      <c r="W46" s="288" t="s">
        <v>805</v>
      </c>
      <c r="X46" s="286" t="s">
        <v>806</v>
      </c>
      <c r="Y46" s="287" t="str">
        <f>Draft!X46</f>
        <v/>
      </c>
      <c r="Z46" s="317" t="s">
        <v>807</v>
      </c>
      <c r="AA46" s="286" t="s">
        <v>806</v>
      </c>
      <c r="AB46" s="280" t="s">
        <v>45</v>
      </c>
      <c r="AC46" s="280"/>
      <c r="AD46" s="305" t="s">
        <v>808</v>
      </c>
      <c r="AE46" s="447"/>
      <c r="AF46" s="447"/>
      <c r="AG46" s="280" t="s">
        <v>809</v>
      </c>
      <c r="AH46" s="305" t="s">
        <v>810</v>
      </c>
      <c r="AI46" s="482"/>
      <c r="AJ46" s="482"/>
      <c r="AK46" s="482"/>
      <c r="AL46" s="242"/>
      <c r="AM46" s="242"/>
      <c r="AN46" s="242"/>
      <c r="AO46" s="242"/>
      <c r="AP46" s="242"/>
      <c r="AQ46" s="242"/>
      <c r="AR46" s="242"/>
    </row>
    <row r="47" ht="171.0" customHeight="1" outlineLevel="1">
      <c r="A47" s="298">
        <v>37.0</v>
      </c>
      <c r="B47" s="464" t="s">
        <v>811</v>
      </c>
      <c r="C47" s="296" t="s">
        <v>38</v>
      </c>
      <c r="D47" s="436" t="s">
        <v>352</v>
      </c>
      <c r="E47" s="437" t="s">
        <v>40</v>
      </c>
      <c r="F47" s="438" t="s">
        <v>21</v>
      </c>
      <c r="G47" s="300" t="s">
        <v>105</v>
      </c>
      <c r="H47" s="439" t="s">
        <v>340</v>
      </c>
      <c r="I47" s="311" t="b">
        <v>1</v>
      </c>
      <c r="J47" s="490" t="s">
        <v>812</v>
      </c>
      <c r="K47" s="242"/>
      <c r="L47" s="242"/>
      <c r="M47" s="280" t="s">
        <v>477</v>
      </c>
      <c r="N47" s="281" t="str">
        <f>Draft!M47</f>
        <v>https://docs.google.com/spreadsheets/d/1s73hp06B3Mcm2XxooLuX0PBD9R1WJN7cKVv-1JsxMNo/edit?usp=sharing</v>
      </c>
      <c r="O47" s="282" t="str">
        <f>Draft!N47</f>
        <v/>
      </c>
      <c r="P47" s="483" t="s">
        <v>813</v>
      </c>
      <c r="Q47" s="469" t="s">
        <v>814</v>
      </c>
      <c r="R47" s="282" t="str">
        <f>Draft!Q47</f>
        <v/>
      </c>
      <c r="S47" s="391" t="s">
        <v>815</v>
      </c>
      <c r="T47" s="391"/>
      <c r="U47" s="491" t="s">
        <v>816</v>
      </c>
      <c r="V47" s="471" t="s">
        <v>817</v>
      </c>
      <c r="W47" s="317" t="s">
        <v>818</v>
      </c>
      <c r="X47" s="472" t="s">
        <v>819</v>
      </c>
      <c r="Y47" s="452"/>
      <c r="Z47" s="363" t="s">
        <v>820</v>
      </c>
      <c r="AA47" s="304" t="s">
        <v>821</v>
      </c>
      <c r="AB47" s="492" t="s">
        <v>822</v>
      </c>
      <c r="AC47" s="475"/>
      <c r="AD47" s="315" t="s">
        <v>823</v>
      </c>
      <c r="AE47" s="493"/>
      <c r="AF47" s="313"/>
      <c r="AG47" s="462">
        <v>46209.0</v>
      </c>
      <c r="AH47" s="463"/>
      <c r="AI47" s="449"/>
      <c r="AJ47" s="449"/>
      <c r="AK47" s="449"/>
      <c r="AL47" s="449"/>
      <c r="AM47" s="449"/>
      <c r="AN47" s="449"/>
      <c r="AO47" s="449"/>
      <c r="AP47" s="449"/>
      <c r="AQ47" s="449"/>
      <c r="AR47" s="449"/>
    </row>
    <row r="48" ht="54.0" customHeight="1">
      <c r="A48" s="494" t="s">
        <v>354</v>
      </c>
      <c r="B48" s="495"/>
      <c r="C48" s="495"/>
      <c r="D48" s="495"/>
      <c r="E48" s="495"/>
      <c r="F48" s="495"/>
      <c r="G48" s="495"/>
      <c r="H48" s="496"/>
      <c r="I48" s="497"/>
      <c r="J48" s="277" t="str">
        <f>Draft!J48</f>
        <v/>
      </c>
      <c r="K48" s="263"/>
      <c r="L48" s="263"/>
      <c r="M48" s="266"/>
      <c r="N48" s="263"/>
      <c r="O48" s="267"/>
      <c r="P48" s="265"/>
      <c r="Q48" s="267"/>
      <c r="R48" s="267"/>
      <c r="S48" s="265"/>
      <c r="T48" s="265"/>
      <c r="U48" s="263"/>
      <c r="V48" s="263"/>
      <c r="W48" s="266"/>
      <c r="X48" s="263"/>
      <c r="Y48" s="263"/>
      <c r="Z48" s="263"/>
      <c r="AA48" s="263"/>
      <c r="AB48" s="266"/>
      <c r="AC48" s="266"/>
      <c r="AD48" s="433"/>
      <c r="AE48" s="263"/>
      <c r="AF48" s="263"/>
      <c r="AG48" s="266"/>
      <c r="AH48" s="268"/>
      <c r="AI48" s="263"/>
      <c r="AJ48" s="263"/>
      <c r="AK48" s="263"/>
      <c r="AL48" s="263"/>
      <c r="AM48" s="263"/>
      <c r="AN48" s="263"/>
      <c r="AO48" s="263"/>
      <c r="AP48" s="263"/>
      <c r="AQ48" s="263"/>
      <c r="AR48" s="263"/>
    </row>
    <row r="49" ht="59.25" customHeight="1" outlineLevel="1">
      <c r="A49" s="298">
        <v>1.0</v>
      </c>
      <c r="B49" s="498" t="s">
        <v>355</v>
      </c>
      <c r="C49" s="499" t="s">
        <v>356</v>
      </c>
      <c r="D49" s="500"/>
      <c r="E49" s="500"/>
      <c r="F49" s="500"/>
      <c r="G49" s="500"/>
      <c r="H49" s="501"/>
      <c r="I49" s="242"/>
      <c r="J49" s="277" t="str">
        <f>Draft!J49</f>
        <v/>
      </c>
      <c r="K49" s="242"/>
      <c r="L49" s="242"/>
      <c r="M49" s="338"/>
      <c r="N49" s="242"/>
      <c r="O49" s="482"/>
      <c r="P49" s="296"/>
      <c r="Q49" s="482"/>
      <c r="R49" s="482"/>
      <c r="S49" s="296"/>
      <c r="T49" s="296"/>
      <c r="U49" s="242"/>
      <c r="V49" s="242"/>
      <c r="W49" s="338"/>
      <c r="X49" s="242"/>
      <c r="Y49" s="242"/>
      <c r="Z49" s="242"/>
      <c r="AA49" s="242"/>
      <c r="AB49" s="338"/>
      <c r="AC49" s="338"/>
      <c r="AD49" s="502"/>
      <c r="AE49" s="242"/>
      <c r="AF49" s="242"/>
      <c r="AG49" s="338"/>
      <c r="AH49" s="502"/>
      <c r="AI49" s="242"/>
      <c r="AJ49" s="242"/>
      <c r="AK49" s="242"/>
      <c r="AL49" s="242"/>
      <c r="AM49" s="242"/>
      <c r="AN49" s="242"/>
      <c r="AO49" s="242"/>
      <c r="AP49" s="242"/>
      <c r="AQ49" s="242"/>
      <c r="AR49" s="242"/>
    </row>
    <row r="50">
      <c r="A50" s="228"/>
      <c r="B50" s="228"/>
      <c r="C50" s="228"/>
      <c r="D50" s="228"/>
      <c r="E50" s="228"/>
      <c r="F50" s="228"/>
      <c r="G50" s="228"/>
      <c r="H50" s="241"/>
      <c r="I50" s="228"/>
      <c r="J50" s="236"/>
      <c r="K50" s="228"/>
      <c r="L50" s="228"/>
      <c r="M50" s="238"/>
      <c r="N50" s="228"/>
      <c r="O50" s="235"/>
      <c r="P50" s="236"/>
      <c r="Q50" s="235"/>
      <c r="R50" s="235"/>
      <c r="S50" s="236"/>
      <c r="T50" s="236"/>
      <c r="U50" s="237"/>
      <c r="V50" s="237"/>
      <c r="W50" s="238"/>
      <c r="X50" s="237"/>
      <c r="Y50" s="237"/>
      <c r="Z50" s="237"/>
      <c r="AA50" s="239"/>
      <c r="AB50" s="238"/>
      <c r="AC50" s="238"/>
      <c r="AD50" s="240"/>
      <c r="AE50" s="241"/>
      <c r="AF50" s="241"/>
      <c r="AG50" s="238"/>
      <c r="AH50" s="240"/>
      <c r="AI50" s="241"/>
      <c r="AJ50" s="241"/>
      <c r="AK50" s="241"/>
      <c r="AL50" s="237"/>
      <c r="AM50" s="237"/>
      <c r="AN50" s="237"/>
      <c r="AO50" s="237"/>
      <c r="AP50" s="237"/>
      <c r="AQ50" s="237"/>
      <c r="AR50" s="237"/>
    </row>
    <row r="51">
      <c r="A51" s="228"/>
      <c r="B51" s="228"/>
      <c r="C51" s="228"/>
      <c r="D51" s="228"/>
      <c r="E51" s="228"/>
      <c r="F51" s="228"/>
      <c r="G51" s="228"/>
      <c r="H51" s="241"/>
      <c r="I51" s="228"/>
      <c r="J51" s="236"/>
      <c r="K51" s="228"/>
      <c r="L51" s="228"/>
      <c r="M51" s="238"/>
      <c r="N51" s="228"/>
      <c r="O51" s="235"/>
      <c r="P51" s="236"/>
      <c r="Q51" s="235"/>
      <c r="R51" s="235"/>
      <c r="S51" s="236"/>
      <c r="T51" s="236"/>
      <c r="U51" s="237"/>
      <c r="V51" s="237"/>
      <c r="W51" s="238"/>
      <c r="X51" s="237"/>
      <c r="Y51" s="237"/>
      <c r="Z51" s="237"/>
      <c r="AA51" s="239"/>
      <c r="AB51" s="238"/>
      <c r="AC51" s="238"/>
      <c r="AD51" s="240"/>
      <c r="AE51" s="241"/>
      <c r="AF51" s="241"/>
      <c r="AG51" s="238"/>
      <c r="AH51" s="240"/>
      <c r="AI51" s="241"/>
      <c r="AJ51" s="241"/>
      <c r="AK51" s="241"/>
      <c r="AL51" s="237"/>
      <c r="AM51" s="237"/>
      <c r="AN51" s="237"/>
      <c r="AO51" s="237"/>
      <c r="AP51" s="237"/>
      <c r="AQ51" s="237"/>
      <c r="AR51" s="237"/>
    </row>
    <row r="52">
      <c r="A52" s="228"/>
      <c r="B52" s="228"/>
      <c r="C52" s="228"/>
      <c r="D52" s="228"/>
      <c r="E52" s="228"/>
      <c r="F52" s="228"/>
      <c r="G52" s="228"/>
      <c r="H52" s="241"/>
      <c r="I52" s="228"/>
      <c r="J52" s="236"/>
      <c r="K52" s="228"/>
      <c r="L52" s="228"/>
      <c r="M52" s="238"/>
      <c r="N52" s="228"/>
      <c r="O52" s="235"/>
      <c r="P52" s="236"/>
      <c r="Q52" s="235"/>
      <c r="R52" s="235"/>
      <c r="S52" s="236"/>
      <c r="T52" s="236"/>
      <c r="U52" s="237"/>
      <c r="V52" s="237"/>
      <c r="W52" s="238"/>
      <c r="X52" s="237"/>
      <c r="Y52" s="237"/>
      <c r="Z52" s="237"/>
      <c r="AA52" s="239"/>
      <c r="AB52" s="238"/>
      <c r="AC52" s="238"/>
      <c r="AD52" s="240"/>
      <c r="AE52" s="241"/>
      <c r="AF52" s="241"/>
      <c r="AG52" s="238"/>
      <c r="AH52" s="240"/>
      <c r="AI52" s="241"/>
      <c r="AJ52" s="241"/>
      <c r="AK52" s="241"/>
      <c r="AL52" s="237"/>
      <c r="AM52" s="237"/>
      <c r="AN52" s="237"/>
      <c r="AO52" s="237"/>
      <c r="AP52" s="237"/>
      <c r="AQ52" s="237"/>
      <c r="AR52" s="237"/>
    </row>
    <row r="53">
      <c r="A53" s="228"/>
      <c r="B53" s="228"/>
      <c r="C53" s="228"/>
      <c r="D53" s="228"/>
      <c r="E53" s="228"/>
      <c r="F53" s="228"/>
      <c r="G53" s="228"/>
      <c r="H53" s="241"/>
      <c r="I53" s="228"/>
      <c r="J53" s="236"/>
      <c r="K53" s="228"/>
      <c r="L53" s="228"/>
      <c r="M53" s="238"/>
      <c r="N53" s="228"/>
      <c r="O53" s="235"/>
      <c r="P53" s="236"/>
      <c r="Q53" s="235"/>
      <c r="R53" s="235"/>
      <c r="S53" s="236"/>
      <c r="T53" s="236"/>
      <c r="U53" s="237"/>
      <c r="V53" s="237"/>
      <c r="W53" s="238"/>
      <c r="X53" s="237"/>
      <c r="Y53" s="237"/>
      <c r="Z53" s="237"/>
      <c r="AA53" s="239"/>
      <c r="AB53" s="238"/>
      <c r="AC53" s="238"/>
      <c r="AD53" s="240"/>
      <c r="AE53" s="241"/>
      <c r="AF53" s="241"/>
      <c r="AG53" s="238"/>
      <c r="AH53" s="240"/>
      <c r="AI53" s="241"/>
      <c r="AJ53" s="241"/>
      <c r="AK53" s="241"/>
      <c r="AL53" s="237"/>
      <c r="AM53" s="237"/>
      <c r="AN53" s="237"/>
      <c r="AO53" s="237"/>
      <c r="AP53" s="237"/>
      <c r="AQ53" s="237"/>
      <c r="AR53" s="237"/>
    </row>
    <row r="54">
      <c r="A54" s="228"/>
      <c r="B54" s="228"/>
      <c r="C54" s="228"/>
      <c r="D54" s="228"/>
      <c r="E54" s="228"/>
      <c r="F54" s="228"/>
      <c r="G54" s="228"/>
      <c r="H54" s="241"/>
      <c r="I54" s="228"/>
      <c r="J54" s="236"/>
      <c r="K54" s="228"/>
      <c r="L54" s="228"/>
      <c r="M54" s="238"/>
      <c r="N54" s="228"/>
      <c r="O54" s="235"/>
      <c r="P54" s="236"/>
      <c r="Q54" s="235"/>
      <c r="R54" s="235"/>
      <c r="S54" s="236"/>
      <c r="T54" s="236"/>
      <c r="U54" s="237"/>
      <c r="V54" s="237"/>
      <c r="W54" s="238"/>
      <c r="X54" s="237"/>
      <c r="Y54" s="237"/>
      <c r="Z54" s="237"/>
      <c r="AA54" s="239"/>
      <c r="AB54" s="238"/>
      <c r="AC54" s="238"/>
      <c r="AD54" s="240"/>
      <c r="AE54" s="241"/>
      <c r="AF54" s="241"/>
      <c r="AG54" s="238"/>
      <c r="AH54" s="240"/>
      <c r="AI54" s="241"/>
      <c r="AJ54" s="241"/>
      <c r="AK54" s="241"/>
      <c r="AL54" s="237"/>
      <c r="AM54" s="237"/>
      <c r="AN54" s="237"/>
      <c r="AO54" s="237"/>
      <c r="AP54" s="237"/>
      <c r="AQ54" s="237"/>
      <c r="AR54" s="237"/>
    </row>
    <row r="55">
      <c r="A55" s="228"/>
      <c r="B55" s="228"/>
      <c r="C55" s="228"/>
      <c r="D55" s="228"/>
      <c r="E55" s="228"/>
      <c r="F55" s="228"/>
      <c r="G55" s="228"/>
      <c r="H55" s="241"/>
      <c r="I55" s="228"/>
      <c r="J55" s="236"/>
      <c r="K55" s="228"/>
      <c r="L55" s="228"/>
      <c r="M55" s="238"/>
      <c r="N55" s="228"/>
      <c r="O55" s="235"/>
      <c r="P55" s="236"/>
      <c r="Q55" s="235"/>
      <c r="R55" s="235"/>
      <c r="S55" s="236"/>
      <c r="T55" s="236"/>
      <c r="U55" s="237"/>
      <c r="V55" s="237"/>
      <c r="W55" s="238"/>
      <c r="X55" s="237"/>
      <c r="Y55" s="237"/>
      <c r="Z55" s="237"/>
      <c r="AA55" s="239"/>
      <c r="AB55" s="238"/>
      <c r="AC55" s="238"/>
      <c r="AD55" s="240"/>
      <c r="AE55" s="241"/>
      <c r="AF55" s="241"/>
      <c r="AG55" s="238"/>
      <c r="AH55" s="240"/>
      <c r="AI55" s="241"/>
      <c r="AJ55" s="241"/>
      <c r="AK55" s="241"/>
      <c r="AL55" s="237"/>
      <c r="AM55" s="237"/>
      <c r="AN55" s="237"/>
      <c r="AO55" s="237"/>
      <c r="AP55" s="237"/>
      <c r="AQ55" s="237"/>
      <c r="AR55" s="237"/>
    </row>
    <row r="56">
      <c r="A56" s="228"/>
      <c r="B56" s="228"/>
      <c r="C56" s="228"/>
      <c r="D56" s="228"/>
      <c r="E56" s="228"/>
      <c r="F56" s="228"/>
      <c r="G56" s="228"/>
      <c r="H56" s="241"/>
      <c r="I56" s="228"/>
      <c r="J56" s="236"/>
      <c r="K56" s="228"/>
      <c r="L56" s="228"/>
      <c r="M56" s="238"/>
      <c r="N56" s="228"/>
      <c r="O56" s="235"/>
      <c r="P56" s="236"/>
      <c r="Q56" s="235"/>
      <c r="R56" s="235"/>
      <c r="S56" s="236"/>
      <c r="T56" s="236"/>
      <c r="U56" s="237"/>
      <c r="V56" s="237"/>
      <c r="W56" s="238"/>
      <c r="X56" s="237"/>
      <c r="Y56" s="237"/>
      <c r="Z56" s="237"/>
      <c r="AA56" s="239"/>
      <c r="AB56" s="238"/>
      <c r="AC56" s="238"/>
      <c r="AD56" s="240"/>
      <c r="AE56" s="241"/>
      <c r="AF56" s="241"/>
      <c r="AG56" s="238"/>
      <c r="AH56" s="240"/>
      <c r="AI56" s="241"/>
      <c r="AJ56" s="241"/>
      <c r="AK56" s="241"/>
      <c r="AL56" s="237"/>
      <c r="AM56" s="237"/>
      <c r="AN56" s="237"/>
      <c r="AO56" s="237"/>
      <c r="AP56" s="237"/>
      <c r="AQ56" s="237"/>
      <c r="AR56" s="237"/>
    </row>
    <row r="57">
      <c r="A57" s="228"/>
      <c r="B57" s="228"/>
      <c r="C57" s="228"/>
      <c r="D57" s="228"/>
      <c r="E57" s="228"/>
      <c r="F57" s="228"/>
      <c r="G57" s="228"/>
      <c r="H57" s="241"/>
      <c r="I57" s="228"/>
      <c r="J57" s="236"/>
      <c r="K57" s="228"/>
      <c r="L57" s="228"/>
      <c r="M57" s="238"/>
      <c r="N57" s="228"/>
      <c r="O57" s="235"/>
      <c r="P57" s="236"/>
      <c r="Q57" s="235"/>
      <c r="R57" s="235"/>
      <c r="S57" s="236"/>
      <c r="T57" s="236"/>
      <c r="U57" s="237"/>
      <c r="V57" s="237"/>
      <c r="W57" s="238"/>
      <c r="X57" s="237"/>
      <c r="Y57" s="237"/>
      <c r="Z57" s="237"/>
      <c r="AA57" s="239"/>
      <c r="AB57" s="238"/>
      <c r="AC57" s="238"/>
      <c r="AD57" s="240"/>
      <c r="AE57" s="241"/>
      <c r="AF57" s="241"/>
      <c r="AG57" s="238"/>
      <c r="AH57" s="240"/>
      <c r="AI57" s="241"/>
      <c r="AJ57" s="241"/>
      <c r="AK57" s="241"/>
      <c r="AL57" s="237"/>
      <c r="AM57" s="237"/>
      <c r="AN57" s="237"/>
      <c r="AO57" s="237"/>
      <c r="AP57" s="237"/>
      <c r="AQ57" s="237"/>
      <c r="AR57" s="237"/>
    </row>
    <row r="58">
      <c r="A58" s="228"/>
      <c r="B58" s="228"/>
      <c r="C58" s="228"/>
      <c r="D58" s="228"/>
      <c r="E58" s="228"/>
      <c r="F58" s="228"/>
      <c r="G58" s="228"/>
      <c r="H58" s="241"/>
      <c r="I58" s="228"/>
      <c r="J58" s="236"/>
      <c r="K58" s="228"/>
      <c r="L58" s="228"/>
      <c r="M58" s="238"/>
      <c r="N58" s="228"/>
      <c r="O58" s="235"/>
      <c r="P58" s="236"/>
      <c r="Q58" s="235"/>
      <c r="R58" s="235"/>
      <c r="S58" s="236"/>
      <c r="T58" s="236"/>
      <c r="U58" s="237"/>
      <c r="V58" s="237"/>
      <c r="W58" s="238"/>
      <c r="X58" s="237"/>
      <c r="Y58" s="237"/>
      <c r="Z58" s="237"/>
      <c r="AA58" s="239"/>
      <c r="AB58" s="238"/>
      <c r="AC58" s="238"/>
      <c r="AD58" s="240"/>
      <c r="AE58" s="241"/>
      <c r="AF58" s="241"/>
      <c r="AG58" s="238"/>
      <c r="AH58" s="240"/>
      <c r="AI58" s="241"/>
      <c r="AJ58" s="241"/>
      <c r="AK58" s="241"/>
      <c r="AL58" s="237"/>
      <c r="AM58" s="237"/>
      <c r="AN58" s="237"/>
      <c r="AO58" s="237"/>
      <c r="AP58" s="237"/>
      <c r="AQ58" s="237"/>
      <c r="AR58" s="237"/>
    </row>
    <row r="59">
      <c r="A59" s="228"/>
      <c r="B59" s="228"/>
      <c r="C59" s="228"/>
      <c r="D59" s="228"/>
      <c r="E59" s="228"/>
      <c r="F59" s="228"/>
      <c r="G59" s="228"/>
      <c r="H59" s="241"/>
      <c r="I59" s="228"/>
      <c r="J59" s="236"/>
      <c r="K59" s="228"/>
      <c r="L59" s="228"/>
      <c r="M59" s="238"/>
      <c r="N59" s="228"/>
      <c r="O59" s="235"/>
      <c r="P59" s="236"/>
      <c r="Q59" s="235"/>
      <c r="R59" s="235"/>
      <c r="S59" s="236"/>
      <c r="T59" s="236"/>
      <c r="U59" s="237"/>
      <c r="V59" s="237"/>
      <c r="W59" s="238"/>
      <c r="X59" s="237"/>
      <c r="Y59" s="237"/>
      <c r="Z59" s="237"/>
      <c r="AA59" s="239"/>
      <c r="AB59" s="238"/>
      <c r="AC59" s="238"/>
      <c r="AD59" s="240"/>
      <c r="AE59" s="241"/>
      <c r="AF59" s="241"/>
      <c r="AG59" s="238"/>
      <c r="AH59" s="240"/>
      <c r="AI59" s="241"/>
      <c r="AJ59" s="241"/>
      <c r="AK59" s="241"/>
      <c r="AL59" s="237"/>
      <c r="AM59" s="237"/>
      <c r="AN59" s="237"/>
      <c r="AO59" s="237"/>
      <c r="AP59" s="237"/>
      <c r="AQ59" s="237"/>
      <c r="AR59" s="237"/>
    </row>
    <row r="60">
      <c r="A60" s="228"/>
      <c r="B60" s="228"/>
      <c r="C60" s="228"/>
      <c r="D60" s="228"/>
      <c r="E60" s="228"/>
      <c r="F60" s="228"/>
      <c r="G60" s="228"/>
      <c r="H60" s="241"/>
      <c r="I60" s="228"/>
      <c r="J60" s="236"/>
      <c r="K60" s="228"/>
      <c r="L60" s="228"/>
      <c r="M60" s="238"/>
      <c r="N60" s="228"/>
      <c r="O60" s="235"/>
      <c r="P60" s="236"/>
      <c r="Q60" s="235"/>
      <c r="R60" s="235"/>
      <c r="S60" s="236"/>
      <c r="T60" s="236"/>
      <c r="U60" s="237"/>
      <c r="V60" s="237"/>
      <c r="W60" s="238"/>
      <c r="X60" s="237"/>
      <c r="Y60" s="237"/>
      <c r="Z60" s="237"/>
      <c r="AA60" s="239"/>
      <c r="AB60" s="238"/>
      <c r="AC60" s="238"/>
      <c r="AD60" s="240"/>
      <c r="AE60" s="241"/>
      <c r="AF60" s="241"/>
      <c r="AG60" s="238"/>
      <c r="AH60" s="240"/>
      <c r="AI60" s="241"/>
      <c r="AJ60" s="241"/>
      <c r="AK60" s="241"/>
      <c r="AL60" s="237"/>
      <c r="AM60" s="237"/>
      <c r="AN60" s="237"/>
      <c r="AO60" s="237"/>
      <c r="AP60" s="237"/>
      <c r="AQ60" s="237"/>
      <c r="AR60" s="237"/>
    </row>
    <row r="61">
      <c r="A61" s="228"/>
      <c r="B61" s="228"/>
      <c r="C61" s="228"/>
      <c r="D61" s="228"/>
      <c r="E61" s="228"/>
      <c r="F61" s="228"/>
      <c r="G61" s="228"/>
      <c r="H61" s="241"/>
      <c r="I61" s="228"/>
      <c r="J61" s="236"/>
      <c r="K61" s="228"/>
      <c r="L61" s="228"/>
      <c r="M61" s="238"/>
      <c r="N61" s="228"/>
      <c r="O61" s="235"/>
      <c r="P61" s="236"/>
      <c r="Q61" s="235"/>
      <c r="R61" s="235"/>
      <c r="S61" s="236"/>
      <c r="T61" s="236"/>
      <c r="U61" s="237"/>
      <c r="V61" s="237"/>
      <c r="W61" s="238"/>
      <c r="X61" s="237"/>
      <c r="Y61" s="237"/>
      <c r="Z61" s="237"/>
      <c r="AA61" s="239"/>
      <c r="AB61" s="238"/>
      <c r="AC61" s="238"/>
      <c r="AD61" s="240"/>
      <c r="AE61" s="241"/>
      <c r="AF61" s="241"/>
      <c r="AG61" s="238"/>
      <c r="AH61" s="240"/>
      <c r="AI61" s="241"/>
      <c r="AJ61" s="241"/>
      <c r="AK61" s="241"/>
      <c r="AL61" s="237"/>
      <c r="AM61" s="237"/>
      <c r="AN61" s="237"/>
      <c r="AO61" s="237"/>
      <c r="AP61" s="237"/>
      <c r="AQ61" s="237"/>
      <c r="AR61" s="237"/>
    </row>
    <row r="62">
      <c r="A62" s="228"/>
      <c r="B62" s="228"/>
      <c r="C62" s="228"/>
      <c r="D62" s="228"/>
      <c r="E62" s="228"/>
      <c r="F62" s="228"/>
      <c r="G62" s="228"/>
      <c r="H62" s="241"/>
      <c r="I62" s="228"/>
      <c r="J62" s="236"/>
      <c r="K62" s="228"/>
      <c r="L62" s="228"/>
      <c r="M62" s="238"/>
      <c r="N62" s="228"/>
      <c r="O62" s="235"/>
      <c r="P62" s="236"/>
      <c r="Q62" s="235"/>
      <c r="R62" s="235"/>
      <c r="S62" s="236"/>
      <c r="T62" s="236"/>
      <c r="U62" s="237"/>
      <c r="V62" s="237"/>
      <c r="W62" s="238"/>
      <c r="X62" s="237"/>
      <c r="Y62" s="237"/>
      <c r="Z62" s="237"/>
      <c r="AA62" s="239"/>
      <c r="AB62" s="238"/>
      <c r="AC62" s="238"/>
      <c r="AD62" s="240"/>
      <c r="AE62" s="241"/>
      <c r="AF62" s="241"/>
      <c r="AG62" s="238"/>
      <c r="AH62" s="240"/>
      <c r="AI62" s="241"/>
      <c r="AJ62" s="241"/>
      <c r="AK62" s="241"/>
      <c r="AL62" s="237"/>
      <c r="AM62" s="237"/>
      <c r="AN62" s="237"/>
      <c r="AO62" s="237"/>
      <c r="AP62" s="237"/>
      <c r="AQ62" s="237"/>
      <c r="AR62" s="237"/>
    </row>
    <row r="63">
      <c r="A63" s="228"/>
      <c r="B63" s="228"/>
      <c r="C63" s="228"/>
      <c r="D63" s="228"/>
      <c r="E63" s="228"/>
      <c r="F63" s="228"/>
      <c r="G63" s="228"/>
      <c r="H63" s="241"/>
      <c r="I63" s="228"/>
      <c r="J63" s="236"/>
      <c r="K63" s="228"/>
      <c r="L63" s="228"/>
      <c r="M63" s="238"/>
      <c r="N63" s="228"/>
      <c r="O63" s="235"/>
      <c r="P63" s="236"/>
      <c r="Q63" s="235"/>
      <c r="R63" s="235"/>
      <c r="S63" s="236"/>
      <c r="T63" s="236"/>
      <c r="U63" s="237"/>
      <c r="V63" s="237"/>
      <c r="W63" s="238"/>
      <c r="X63" s="237"/>
      <c r="Y63" s="237"/>
      <c r="Z63" s="237"/>
      <c r="AA63" s="239"/>
      <c r="AB63" s="238"/>
      <c r="AC63" s="238"/>
      <c r="AD63" s="240"/>
      <c r="AE63" s="241"/>
      <c r="AF63" s="241"/>
      <c r="AG63" s="238"/>
      <c r="AH63" s="240"/>
      <c r="AI63" s="241"/>
      <c r="AJ63" s="241"/>
      <c r="AK63" s="241"/>
      <c r="AL63" s="237"/>
      <c r="AM63" s="237"/>
      <c r="AN63" s="237"/>
      <c r="AO63" s="237"/>
      <c r="AP63" s="237"/>
      <c r="AQ63" s="237"/>
      <c r="AR63" s="237"/>
    </row>
    <row r="64">
      <c r="A64" s="228"/>
      <c r="B64" s="228"/>
      <c r="C64" s="228"/>
      <c r="D64" s="228"/>
      <c r="E64" s="228"/>
      <c r="F64" s="228"/>
      <c r="G64" s="228"/>
      <c r="H64" s="241"/>
      <c r="I64" s="228"/>
      <c r="J64" s="236"/>
      <c r="K64" s="228"/>
      <c r="L64" s="228"/>
      <c r="M64" s="238"/>
      <c r="N64" s="228"/>
      <c r="O64" s="235"/>
      <c r="P64" s="236"/>
      <c r="Q64" s="235"/>
      <c r="R64" s="235"/>
      <c r="S64" s="236"/>
      <c r="T64" s="236"/>
      <c r="U64" s="237"/>
      <c r="V64" s="237"/>
      <c r="W64" s="238"/>
      <c r="X64" s="237"/>
      <c r="Y64" s="237"/>
      <c r="Z64" s="237"/>
      <c r="AA64" s="239"/>
      <c r="AB64" s="238"/>
      <c r="AC64" s="238"/>
      <c r="AD64" s="240"/>
      <c r="AE64" s="241"/>
      <c r="AF64" s="241"/>
      <c r="AG64" s="238"/>
      <c r="AH64" s="240"/>
      <c r="AI64" s="241"/>
      <c r="AJ64" s="241"/>
      <c r="AK64" s="241"/>
      <c r="AL64" s="237"/>
      <c r="AM64" s="237"/>
      <c r="AN64" s="237"/>
      <c r="AO64" s="237"/>
      <c r="AP64" s="237"/>
      <c r="AQ64" s="237"/>
      <c r="AR64" s="237"/>
    </row>
    <row r="65" ht="22.5" customHeight="1">
      <c r="A65" s="228"/>
      <c r="B65" s="228"/>
      <c r="C65" s="228"/>
      <c r="D65" s="228"/>
      <c r="E65" s="228"/>
      <c r="F65" s="228"/>
      <c r="G65" s="228"/>
      <c r="H65" s="241"/>
      <c r="I65" s="228"/>
      <c r="J65" s="503" t="s">
        <v>824</v>
      </c>
      <c r="K65" s="228"/>
      <c r="L65" s="228"/>
      <c r="M65" s="238"/>
      <c r="N65" s="228"/>
      <c r="O65" s="235"/>
      <c r="P65" s="236"/>
      <c r="Q65" s="235"/>
      <c r="R65" s="235"/>
      <c r="S65" s="236"/>
      <c r="T65" s="236"/>
      <c r="U65" s="237"/>
      <c r="V65" s="237"/>
      <c r="W65" s="238"/>
      <c r="X65" s="237"/>
      <c r="Y65" s="237"/>
      <c r="Z65" s="237"/>
      <c r="AA65" s="239"/>
      <c r="AB65" s="238"/>
      <c r="AC65" s="238"/>
      <c r="AD65" s="240"/>
      <c r="AE65" s="241"/>
      <c r="AF65" s="241"/>
      <c r="AG65" s="238"/>
      <c r="AH65" s="240"/>
      <c r="AI65" s="241"/>
      <c r="AJ65" s="241"/>
      <c r="AK65" s="241"/>
      <c r="AL65" s="237"/>
      <c r="AM65" s="237"/>
      <c r="AN65" s="237"/>
      <c r="AO65" s="237"/>
      <c r="AP65" s="237"/>
      <c r="AQ65" s="237"/>
      <c r="AR65" s="237"/>
    </row>
    <row r="66" ht="22.5" customHeight="1">
      <c r="A66" s="228"/>
      <c r="B66" s="228"/>
      <c r="C66" s="228"/>
      <c r="D66" s="228"/>
      <c r="E66" s="228"/>
      <c r="F66" s="228"/>
      <c r="G66" s="228"/>
      <c r="H66" s="241"/>
      <c r="I66" s="228"/>
      <c r="J66" s="504"/>
      <c r="K66" s="228"/>
      <c r="L66" s="228"/>
      <c r="M66" s="238"/>
      <c r="N66" s="228"/>
      <c r="O66" s="235"/>
      <c r="P66" s="236"/>
      <c r="Q66" s="235"/>
      <c r="R66" s="235"/>
      <c r="S66" s="236"/>
      <c r="T66" s="236"/>
      <c r="U66" s="237"/>
      <c r="V66" s="237"/>
      <c r="W66" s="238"/>
      <c r="X66" s="237"/>
      <c r="Y66" s="237"/>
      <c r="Z66" s="237"/>
      <c r="AA66" s="239"/>
      <c r="AB66" s="238"/>
      <c r="AC66" s="238"/>
      <c r="AD66" s="240"/>
      <c r="AE66" s="241"/>
      <c r="AF66" s="241"/>
      <c r="AG66" s="238"/>
      <c r="AH66" s="240"/>
      <c r="AI66" s="241"/>
      <c r="AJ66" s="241"/>
      <c r="AK66" s="241"/>
      <c r="AL66" s="237"/>
      <c r="AM66" s="237"/>
      <c r="AN66" s="237"/>
      <c r="AO66" s="237"/>
      <c r="AP66" s="237"/>
      <c r="AQ66" s="237"/>
      <c r="AR66" s="237"/>
    </row>
    <row r="67" ht="22.5" customHeight="1">
      <c r="A67" s="228"/>
      <c r="B67" s="228"/>
      <c r="C67" s="228"/>
      <c r="D67" s="228"/>
      <c r="E67" s="228"/>
      <c r="F67" s="228"/>
      <c r="G67" s="228"/>
      <c r="H67" s="241"/>
      <c r="I67" s="228"/>
      <c r="J67" s="505"/>
      <c r="K67" s="228"/>
      <c r="L67" s="228"/>
      <c r="M67" s="238"/>
      <c r="N67" s="228"/>
      <c r="O67" s="235"/>
      <c r="P67" s="236"/>
      <c r="Q67" s="235"/>
      <c r="R67" s="235"/>
      <c r="S67" s="236"/>
      <c r="T67" s="236"/>
      <c r="U67" s="237"/>
      <c r="V67" s="237"/>
      <c r="W67" s="238"/>
      <c r="X67" s="237"/>
      <c r="Y67" s="237"/>
      <c r="Z67" s="237"/>
      <c r="AA67" s="239"/>
      <c r="AB67" s="238"/>
      <c r="AC67" s="238"/>
      <c r="AD67" s="240"/>
      <c r="AE67" s="241"/>
      <c r="AF67" s="241"/>
      <c r="AG67" s="238"/>
      <c r="AH67" s="240"/>
      <c r="AI67" s="241"/>
      <c r="AJ67" s="241"/>
      <c r="AK67" s="241"/>
      <c r="AL67" s="237"/>
      <c r="AM67" s="237"/>
      <c r="AN67" s="237"/>
      <c r="AO67" s="237"/>
      <c r="AP67" s="237"/>
      <c r="AQ67" s="237"/>
      <c r="AR67" s="237"/>
    </row>
    <row r="68" ht="22.5" customHeight="1">
      <c r="A68" s="228"/>
      <c r="B68" s="228"/>
      <c r="C68" s="228"/>
      <c r="D68" s="228"/>
      <c r="E68" s="228"/>
      <c r="F68" s="228"/>
      <c r="G68" s="228"/>
      <c r="H68" s="241"/>
      <c r="I68" s="228"/>
      <c r="J68" s="505"/>
      <c r="K68" s="228"/>
      <c r="L68" s="228"/>
      <c r="M68" s="238"/>
      <c r="N68" s="228"/>
      <c r="O68" s="235"/>
      <c r="P68" s="236"/>
      <c r="Q68" s="235"/>
      <c r="R68" s="235"/>
      <c r="S68" s="236"/>
      <c r="T68" s="236"/>
      <c r="U68" s="237"/>
      <c r="V68" s="237"/>
      <c r="W68" s="238"/>
      <c r="X68" s="237"/>
      <c r="Y68" s="237"/>
      <c r="Z68" s="237"/>
      <c r="AA68" s="239"/>
      <c r="AB68" s="238"/>
      <c r="AC68" s="238"/>
      <c r="AD68" s="240"/>
      <c r="AE68" s="241"/>
      <c r="AF68" s="241"/>
      <c r="AG68" s="238"/>
      <c r="AH68" s="240"/>
      <c r="AI68" s="241"/>
      <c r="AJ68" s="241"/>
      <c r="AK68" s="241"/>
      <c r="AL68" s="237"/>
      <c r="AM68" s="237"/>
      <c r="AN68" s="237"/>
      <c r="AO68" s="237"/>
      <c r="AP68" s="237"/>
      <c r="AQ68" s="237"/>
      <c r="AR68" s="237"/>
    </row>
    <row r="69" ht="22.5" customHeight="1">
      <c r="A69" s="228"/>
      <c r="B69" s="228"/>
      <c r="C69" s="228"/>
      <c r="D69" s="228"/>
      <c r="E69" s="228"/>
      <c r="F69" s="228"/>
      <c r="G69" s="228"/>
      <c r="H69" s="241"/>
      <c r="I69" s="228"/>
      <c r="J69" s="506"/>
      <c r="K69" s="228"/>
      <c r="L69" s="228"/>
      <c r="M69" s="238"/>
      <c r="N69" s="228"/>
      <c r="O69" s="235"/>
      <c r="P69" s="236"/>
      <c r="Q69" s="235"/>
      <c r="R69" s="235"/>
      <c r="S69" s="236"/>
      <c r="T69" s="236"/>
      <c r="U69" s="237"/>
      <c r="V69" s="237"/>
      <c r="W69" s="238"/>
      <c r="X69" s="237"/>
      <c r="Y69" s="237"/>
      <c r="Z69" s="237"/>
      <c r="AA69" s="239"/>
      <c r="AB69" s="238"/>
      <c r="AC69" s="238"/>
      <c r="AD69" s="240"/>
      <c r="AE69" s="241"/>
      <c r="AF69" s="241"/>
      <c r="AG69" s="238"/>
      <c r="AH69" s="240"/>
      <c r="AI69" s="241"/>
      <c r="AJ69" s="241"/>
      <c r="AK69" s="241"/>
      <c r="AL69" s="237"/>
      <c r="AM69" s="237"/>
      <c r="AN69" s="237"/>
      <c r="AO69" s="237"/>
      <c r="AP69" s="237"/>
      <c r="AQ69" s="237"/>
      <c r="AR69" s="237"/>
    </row>
    <row r="70" ht="22.5" customHeight="1">
      <c r="A70" s="228"/>
      <c r="B70" s="228"/>
      <c r="C70" s="228"/>
      <c r="D70" s="228"/>
      <c r="E70" s="228"/>
      <c r="F70" s="228"/>
      <c r="G70" s="228"/>
      <c r="H70" s="241"/>
      <c r="I70" s="228"/>
      <c r="J70" s="507"/>
      <c r="K70" s="228"/>
      <c r="L70" s="228"/>
      <c r="M70" s="238"/>
      <c r="N70" s="228"/>
      <c r="O70" s="235"/>
      <c r="P70" s="236"/>
      <c r="Q70" s="235"/>
      <c r="R70" s="235"/>
      <c r="S70" s="236"/>
      <c r="T70" s="236"/>
      <c r="U70" s="237"/>
      <c r="V70" s="237"/>
      <c r="W70" s="238"/>
      <c r="X70" s="237"/>
      <c r="Y70" s="237"/>
      <c r="Z70" s="237"/>
      <c r="AA70" s="239"/>
      <c r="AB70" s="238"/>
      <c r="AC70" s="238"/>
      <c r="AD70" s="240"/>
      <c r="AE70" s="241"/>
      <c r="AF70" s="241"/>
      <c r="AG70" s="238"/>
      <c r="AH70" s="240"/>
      <c r="AI70" s="241"/>
      <c r="AJ70" s="241"/>
      <c r="AK70" s="241"/>
      <c r="AL70" s="237"/>
      <c r="AM70" s="237"/>
      <c r="AN70" s="237"/>
      <c r="AO70" s="237"/>
      <c r="AP70" s="237"/>
      <c r="AQ70" s="237"/>
      <c r="AR70" s="237"/>
    </row>
    <row r="71" ht="22.5" customHeight="1">
      <c r="A71" s="228"/>
      <c r="B71" s="228"/>
      <c r="C71" s="228"/>
      <c r="D71" s="228"/>
      <c r="E71" s="228"/>
      <c r="F71" s="228"/>
      <c r="G71" s="228"/>
      <c r="H71" s="241"/>
      <c r="I71" s="228"/>
      <c r="J71" s="508"/>
      <c r="K71" s="228"/>
      <c r="L71" s="228"/>
      <c r="M71" s="238"/>
      <c r="N71" s="228"/>
      <c r="O71" s="235"/>
      <c r="P71" s="236"/>
      <c r="Q71" s="235"/>
      <c r="R71" s="235"/>
      <c r="S71" s="236"/>
      <c r="T71" s="236"/>
      <c r="U71" s="237"/>
      <c r="V71" s="237"/>
      <c r="W71" s="238"/>
      <c r="X71" s="237"/>
      <c r="Y71" s="237"/>
      <c r="Z71" s="237"/>
      <c r="AA71" s="239"/>
      <c r="AB71" s="238"/>
      <c r="AC71" s="238"/>
      <c r="AD71" s="240"/>
      <c r="AE71" s="241"/>
      <c r="AF71" s="241"/>
      <c r="AG71" s="238"/>
      <c r="AH71" s="240"/>
      <c r="AI71" s="241"/>
      <c r="AJ71" s="241"/>
      <c r="AK71" s="241"/>
      <c r="AL71" s="237"/>
      <c r="AM71" s="237"/>
      <c r="AN71" s="237"/>
      <c r="AO71" s="237"/>
      <c r="AP71" s="237"/>
      <c r="AQ71" s="237"/>
      <c r="AR71" s="237"/>
    </row>
    <row r="72" ht="22.5" customHeight="1">
      <c r="A72" s="228"/>
      <c r="B72" s="228"/>
      <c r="C72" s="228"/>
      <c r="D72" s="228"/>
      <c r="E72" s="228"/>
      <c r="F72" s="228"/>
      <c r="G72" s="228"/>
      <c r="H72" s="241"/>
      <c r="I72" s="228"/>
      <c r="J72" s="509"/>
      <c r="K72" s="228"/>
      <c r="L72" s="228"/>
      <c r="M72" s="238"/>
      <c r="N72" s="228"/>
      <c r="O72" s="235"/>
      <c r="P72" s="236"/>
      <c r="Q72" s="235"/>
      <c r="R72" s="235"/>
      <c r="S72" s="236"/>
      <c r="T72" s="236"/>
      <c r="U72" s="237"/>
      <c r="V72" s="237"/>
      <c r="W72" s="238"/>
      <c r="X72" s="237"/>
      <c r="Y72" s="237"/>
      <c r="Z72" s="237"/>
      <c r="AA72" s="239"/>
      <c r="AB72" s="238"/>
      <c r="AC72" s="238"/>
      <c r="AD72" s="240"/>
      <c r="AE72" s="241"/>
      <c r="AF72" s="241"/>
      <c r="AG72" s="238"/>
      <c r="AH72" s="240"/>
      <c r="AI72" s="241"/>
      <c r="AJ72" s="241"/>
      <c r="AK72" s="241"/>
      <c r="AL72" s="237"/>
      <c r="AM72" s="237"/>
      <c r="AN72" s="237"/>
      <c r="AO72" s="237"/>
      <c r="AP72" s="237"/>
      <c r="AQ72" s="237"/>
      <c r="AR72" s="237"/>
    </row>
    <row r="73" ht="22.5" customHeight="1">
      <c r="A73" s="228"/>
      <c r="B73" s="228"/>
      <c r="C73" s="228"/>
      <c r="D73" s="228"/>
      <c r="E73" s="228"/>
      <c r="F73" s="228"/>
      <c r="G73" s="228"/>
      <c r="H73" s="241"/>
      <c r="I73" s="228"/>
      <c r="J73" s="510"/>
      <c r="K73" s="228"/>
      <c r="L73" s="228"/>
      <c r="M73" s="238"/>
      <c r="N73" s="228"/>
      <c r="O73" s="235"/>
      <c r="P73" s="236"/>
      <c r="Q73" s="235"/>
      <c r="R73" s="235"/>
      <c r="S73" s="236"/>
      <c r="T73" s="236"/>
      <c r="U73" s="237"/>
      <c r="V73" s="237"/>
      <c r="W73" s="238"/>
      <c r="X73" s="237"/>
      <c r="Y73" s="237"/>
      <c r="Z73" s="237"/>
      <c r="AA73" s="239"/>
      <c r="AB73" s="238"/>
      <c r="AC73" s="238"/>
      <c r="AD73" s="240"/>
      <c r="AE73" s="241"/>
      <c r="AF73" s="241"/>
      <c r="AG73" s="238"/>
      <c r="AH73" s="240"/>
      <c r="AI73" s="241"/>
      <c r="AJ73" s="241"/>
      <c r="AK73" s="241"/>
      <c r="AL73" s="237"/>
      <c r="AM73" s="237"/>
      <c r="AN73" s="237"/>
      <c r="AO73" s="237"/>
      <c r="AP73" s="237"/>
      <c r="AQ73" s="237"/>
      <c r="AR73" s="237"/>
    </row>
    <row r="74" ht="22.5" customHeight="1">
      <c r="A74" s="228"/>
      <c r="B74" s="228"/>
      <c r="C74" s="228"/>
      <c r="D74" s="228"/>
      <c r="E74" s="228"/>
      <c r="F74" s="228"/>
      <c r="G74" s="228"/>
      <c r="H74" s="241"/>
      <c r="I74" s="228"/>
      <c r="J74" s="507"/>
      <c r="K74" s="228"/>
      <c r="L74" s="228"/>
      <c r="M74" s="238"/>
      <c r="N74" s="228"/>
      <c r="O74" s="235"/>
      <c r="P74" s="236"/>
      <c r="Q74" s="235"/>
      <c r="R74" s="235"/>
      <c r="S74" s="236"/>
      <c r="T74" s="236"/>
      <c r="U74" s="237"/>
      <c r="V74" s="237"/>
      <c r="W74" s="238"/>
      <c r="X74" s="237"/>
      <c r="Y74" s="237"/>
      <c r="Z74" s="237"/>
      <c r="AA74" s="239"/>
      <c r="AB74" s="238"/>
      <c r="AC74" s="238"/>
      <c r="AD74" s="240"/>
      <c r="AE74" s="241"/>
      <c r="AF74" s="241"/>
      <c r="AG74" s="238"/>
      <c r="AH74" s="240"/>
      <c r="AI74" s="241"/>
      <c r="AJ74" s="241"/>
      <c r="AK74" s="241"/>
      <c r="AL74" s="237"/>
      <c r="AM74" s="237"/>
      <c r="AN74" s="237"/>
      <c r="AO74" s="237"/>
      <c r="AP74" s="237"/>
      <c r="AQ74" s="237"/>
      <c r="AR74" s="237"/>
    </row>
    <row r="75" ht="22.5" customHeight="1">
      <c r="A75" s="228"/>
      <c r="B75" s="228"/>
      <c r="C75" s="228"/>
      <c r="D75" s="228"/>
      <c r="E75" s="228"/>
      <c r="F75" s="228"/>
      <c r="G75" s="228"/>
      <c r="H75" s="241"/>
      <c r="I75" s="228"/>
      <c r="J75" s="510"/>
      <c r="K75" s="228"/>
      <c r="L75" s="228"/>
      <c r="M75" s="238"/>
      <c r="N75" s="228"/>
      <c r="O75" s="235"/>
      <c r="P75" s="236"/>
      <c r="Q75" s="235"/>
      <c r="R75" s="235"/>
      <c r="S75" s="236"/>
      <c r="T75" s="236"/>
      <c r="U75" s="237"/>
      <c r="V75" s="237"/>
      <c r="W75" s="238"/>
      <c r="X75" s="237"/>
      <c r="Y75" s="237"/>
      <c r="Z75" s="237"/>
      <c r="AA75" s="239"/>
      <c r="AB75" s="238"/>
      <c r="AC75" s="238"/>
      <c r="AD75" s="240"/>
      <c r="AE75" s="241"/>
      <c r="AF75" s="241"/>
      <c r="AG75" s="238"/>
      <c r="AH75" s="240"/>
      <c r="AI75" s="241"/>
      <c r="AJ75" s="241"/>
      <c r="AK75" s="241"/>
      <c r="AL75" s="237"/>
      <c r="AM75" s="237"/>
      <c r="AN75" s="237"/>
      <c r="AO75" s="237"/>
      <c r="AP75" s="237"/>
      <c r="AQ75" s="237"/>
      <c r="AR75" s="237"/>
    </row>
    <row r="76" ht="22.5" customHeight="1">
      <c r="A76" s="228"/>
      <c r="B76" s="228"/>
      <c r="C76" s="228"/>
      <c r="D76" s="228"/>
      <c r="E76" s="228"/>
      <c r="F76" s="228"/>
      <c r="G76" s="228"/>
      <c r="H76" s="241"/>
      <c r="I76" s="228"/>
      <c r="J76" s="510"/>
      <c r="K76" s="228"/>
      <c r="L76" s="228"/>
      <c r="M76" s="238"/>
      <c r="N76" s="228"/>
      <c r="O76" s="235"/>
      <c r="P76" s="236"/>
      <c r="Q76" s="235"/>
      <c r="R76" s="235"/>
      <c r="S76" s="236"/>
      <c r="T76" s="236"/>
      <c r="U76" s="237"/>
      <c r="V76" s="237"/>
      <c r="W76" s="238"/>
      <c r="X76" s="237"/>
      <c r="Y76" s="237"/>
      <c r="Z76" s="237"/>
      <c r="AA76" s="239"/>
      <c r="AB76" s="238"/>
      <c r="AC76" s="238"/>
      <c r="AD76" s="240"/>
      <c r="AE76" s="241"/>
      <c r="AF76" s="241"/>
      <c r="AG76" s="238"/>
      <c r="AH76" s="240"/>
      <c r="AI76" s="241"/>
      <c r="AJ76" s="241"/>
      <c r="AK76" s="241"/>
      <c r="AL76" s="237"/>
      <c r="AM76" s="237"/>
      <c r="AN76" s="237"/>
      <c r="AO76" s="237"/>
      <c r="AP76" s="237"/>
      <c r="AQ76" s="237"/>
      <c r="AR76" s="237"/>
    </row>
    <row r="77" ht="22.5" customHeight="1">
      <c r="A77" s="228"/>
      <c r="B77" s="228"/>
      <c r="C77" s="228"/>
      <c r="D77" s="228"/>
      <c r="E77" s="228"/>
      <c r="F77" s="228"/>
      <c r="G77" s="228"/>
      <c r="H77" s="241"/>
      <c r="I77" s="228"/>
      <c r="J77" s="510"/>
      <c r="K77" s="228"/>
      <c r="L77" s="228"/>
      <c r="M77" s="238"/>
      <c r="N77" s="228"/>
      <c r="O77" s="235"/>
      <c r="P77" s="236"/>
      <c r="Q77" s="235"/>
      <c r="R77" s="235"/>
      <c r="S77" s="236"/>
      <c r="T77" s="236"/>
      <c r="U77" s="237"/>
      <c r="V77" s="237"/>
      <c r="W77" s="238"/>
      <c r="X77" s="237"/>
      <c r="Y77" s="237"/>
      <c r="Z77" s="237"/>
      <c r="AA77" s="239"/>
      <c r="AB77" s="238"/>
      <c r="AC77" s="238"/>
      <c r="AD77" s="240"/>
      <c r="AE77" s="241"/>
      <c r="AF77" s="241"/>
      <c r="AG77" s="238"/>
      <c r="AH77" s="240"/>
      <c r="AI77" s="241"/>
      <c r="AJ77" s="241"/>
      <c r="AK77" s="241"/>
      <c r="AL77" s="237"/>
      <c r="AM77" s="237"/>
      <c r="AN77" s="237"/>
      <c r="AO77" s="237"/>
      <c r="AP77" s="237"/>
      <c r="AQ77" s="237"/>
      <c r="AR77" s="237"/>
    </row>
    <row r="78" ht="22.5" customHeight="1">
      <c r="A78" s="228"/>
      <c r="B78" s="228"/>
      <c r="C78" s="228"/>
      <c r="D78" s="228"/>
      <c r="E78" s="228"/>
      <c r="F78" s="228"/>
      <c r="G78" s="228"/>
      <c r="H78" s="241"/>
      <c r="I78" s="228"/>
      <c r="J78" s="507"/>
      <c r="K78" s="228"/>
      <c r="L78" s="228"/>
      <c r="M78" s="238"/>
      <c r="N78" s="228"/>
      <c r="O78" s="235"/>
      <c r="P78" s="236"/>
      <c r="Q78" s="235"/>
      <c r="R78" s="235"/>
      <c r="S78" s="236"/>
      <c r="T78" s="236"/>
      <c r="U78" s="237"/>
      <c r="V78" s="237"/>
      <c r="W78" s="238"/>
      <c r="X78" s="237"/>
      <c r="Y78" s="237"/>
      <c r="Z78" s="237"/>
      <c r="AA78" s="239"/>
      <c r="AB78" s="238"/>
      <c r="AC78" s="238"/>
      <c r="AD78" s="240"/>
      <c r="AE78" s="241"/>
      <c r="AF78" s="241"/>
      <c r="AG78" s="238"/>
      <c r="AH78" s="240"/>
      <c r="AI78" s="241"/>
      <c r="AJ78" s="241"/>
      <c r="AK78" s="241"/>
      <c r="AL78" s="237"/>
      <c r="AM78" s="237"/>
      <c r="AN78" s="237"/>
      <c r="AO78" s="237"/>
      <c r="AP78" s="237"/>
      <c r="AQ78" s="237"/>
      <c r="AR78" s="237"/>
    </row>
    <row r="79" ht="22.5" customHeight="1">
      <c r="A79" s="228"/>
      <c r="B79" s="228"/>
      <c r="C79" s="228"/>
      <c r="D79" s="228"/>
      <c r="E79" s="228"/>
      <c r="F79" s="228"/>
      <c r="G79" s="228"/>
      <c r="H79" s="241"/>
      <c r="I79" s="228"/>
      <c r="J79" s="505"/>
      <c r="K79" s="228"/>
      <c r="L79" s="228"/>
      <c r="M79" s="238"/>
      <c r="N79" s="228"/>
      <c r="O79" s="235"/>
      <c r="P79" s="236"/>
      <c r="Q79" s="235"/>
      <c r="R79" s="235"/>
      <c r="S79" s="236"/>
      <c r="T79" s="236"/>
      <c r="U79" s="237"/>
      <c r="V79" s="237"/>
      <c r="W79" s="238"/>
      <c r="X79" s="237"/>
      <c r="Y79" s="237"/>
      <c r="Z79" s="237"/>
      <c r="AA79" s="239"/>
      <c r="AB79" s="238"/>
      <c r="AC79" s="238"/>
      <c r="AD79" s="240"/>
      <c r="AE79" s="241"/>
      <c r="AF79" s="241"/>
      <c r="AG79" s="238"/>
      <c r="AH79" s="240"/>
      <c r="AI79" s="241"/>
      <c r="AJ79" s="241"/>
      <c r="AK79" s="241"/>
      <c r="AL79" s="237"/>
      <c r="AM79" s="237"/>
      <c r="AN79" s="237"/>
      <c r="AO79" s="237"/>
      <c r="AP79" s="237"/>
      <c r="AQ79" s="237"/>
      <c r="AR79" s="237"/>
    </row>
    <row r="80" ht="22.5" customHeight="1">
      <c r="A80" s="228"/>
      <c r="B80" s="228"/>
      <c r="C80" s="228"/>
      <c r="D80" s="228"/>
      <c r="E80" s="228"/>
      <c r="F80" s="228"/>
      <c r="G80" s="228"/>
      <c r="H80" s="241"/>
      <c r="I80" s="228"/>
      <c r="J80" s="511"/>
      <c r="K80" s="228"/>
      <c r="L80" s="228"/>
      <c r="M80" s="238"/>
      <c r="N80" s="228"/>
      <c r="O80" s="235"/>
      <c r="P80" s="236"/>
      <c r="Q80" s="235"/>
      <c r="R80" s="235"/>
      <c r="S80" s="236"/>
      <c r="T80" s="236"/>
      <c r="U80" s="237"/>
      <c r="V80" s="237"/>
      <c r="W80" s="238"/>
      <c r="X80" s="237"/>
      <c r="Y80" s="237"/>
      <c r="Z80" s="237"/>
      <c r="AA80" s="239"/>
      <c r="AB80" s="238"/>
      <c r="AC80" s="238"/>
      <c r="AD80" s="240"/>
      <c r="AE80" s="241"/>
      <c r="AF80" s="241"/>
      <c r="AG80" s="238"/>
      <c r="AH80" s="240"/>
      <c r="AI80" s="241"/>
      <c r="AJ80" s="241"/>
      <c r="AK80" s="241"/>
      <c r="AL80" s="237"/>
      <c r="AM80" s="237"/>
      <c r="AN80" s="237"/>
      <c r="AO80" s="237"/>
      <c r="AP80" s="237"/>
      <c r="AQ80" s="237"/>
      <c r="AR80" s="237"/>
    </row>
    <row r="81" ht="22.5" customHeight="1">
      <c r="A81" s="228"/>
      <c r="B81" s="228"/>
      <c r="C81" s="228"/>
      <c r="D81" s="228"/>
      <c r="E81" s="228"/>
      <c r="F81" s="228"/>
      <c r="G81" s="228"/>
      <c r="H81" s="241"/>
      <c r="I81" s="228"/>
      <c r="J81" s="512"/>
      <c r="K81" s="228"/>
      <c r="L81" s="228"/>
      <c r="M81" s="238"/>
      <c r="N81" s="228"/>
      <c r="O81" s="235"/>
      <c r="P81" s="236"/>
      <c r="Q81" s="235"/>
      <c r="R81" s="235"/>
      <c r="S81" s="236"/>
      <c r="T81" s="236"/>
      <c r="U81" s="237"/>
      <c r="V81" s="237"/>
      <c r="W81" s="238"/>
      <c r="X81" s="237"/>
      <c r="Y81" s="237"/>
      <c r="Z81" s="237"/>
      <c r="AA81" s="239"/>
      <c r="AB81" s="238"/>
      <c r="AC81" s="238"/>
      <c r="AD81" s="240"/>
      <c r="AE81" s="241"/>
      <c r="AF81" s="241"/>
      <c r="AG81" s="238"/>
      <c r="AH81" s="240"/>
      <c r="AI81" s="241"/>
      <c r="AJ81" s="241"/>
      <c r="AK81" s="241"/>
      <c r="AL81" s="237"/>
      <c r="AM81" s="237"/>
      <c r="AN81" s="237"/>
      <c r="AO81" s="237"/>
      <c r="AP81" s="237"/>
      <c r="AQ81" s="237"/>
      <c r="AR81" s="237"/>
    </row>
    <row r="82" ht="22.5" customHeight="1">
      <c r="A82" s="228"/>
      <c r="B82" s="228"/>
      <c r="C82" s="228"/>
      <c r="D82" s="228"/>
      <c r="E82" s="228"/>
      <c r="F82" s="228"/>
      <c r="G82" s="228"/>
      <c r="H82" s="241"/>
      <c r="I82" s="228"/>
      <c r="J82" s="513"/>
      <c r="K82" s="228"/>
      <c r="L82" s="228"/>
      <c r="M82" s="238"/>
      <c r="N82" s="228"/>
      <c r="O82" s="235"/>
      <c r="P82" s="236"/>
      <c r="Q82" s="235"/>
      <c r="R82" s="235"/>
      <c r="S82" s="236"/>
      <c r="T82" s="236"/>
      <c r="U82" s="237"/>
      <c r="V82" s="237"/>
      <c r="W82" s="238"/>
      <c r="X82" s="237"/>
      <c r="Y82" s="237"/>
      <c r="Z82" s="237"/>
      <c r="AA82" s="239"/>
      <c r="AB82" s="238"/>
      <c r="AC82" s="238"/>
      <c r="AD82" s="240"/>
      <c r="AE82" s="241"/>
      <c r="AF82" s="241"/>
      <c r="AG82" s="238"/>
      <c r="AH82" s="240"/>
      <c r="AI82" s="241"/>
      <c r="AJ82" s="241"/>
      <c r="AK82" s="241"/>
      <c r="AL82" s="237"/>
      <c r="AM82" s="237"/>
      <c r="AN82" s="237"/>
      <c r="AO82" s="237"/>
      <c r="AP82" s="237"/>
      <c r="AQ82" s="237"/>
      <c r="AR82" s="237"/>
    </row>
    <row r="83" ht="22.5" customHeight="1">
      <c r="A83" s="228"/>
      <c r="B83" s="228"/>
      <c r="C83" s="228"/>
      <c r="D83" s="228"/>
      <c r="E83" s="228"/>
      <c r="F83" s="228"/>
      <c r="G83" s="228"/>
      <c r="H83" s="241"/>
      <c r="I83" s="228"/>
      <c r="J83" s="514"/>
      <c r="K83" s="228"/>
      <c r="L83" s="228"/>
      <c r="M83" s="238"/>
      <c r="N83" s="228"/>
      <c r="O83" s="235"/>
      <c r="P83" s="236"/>
      <c r="Q83" s="235"/>
      <c r="R83" s="235"/>
      <c r="S83" s="236"/>
      <c r="T83" s="236"/>
      <c r="U83" s="237"/>
      <c r="V83" s="237"/>
      <c r="W83" s="238"/>
      <c r="X83" s="237"/>
      <c r="Y83" s="237"/>
      <c r="Z83" s="237"/>
      <c r="AA83" s="239"/>
      <c r="AB83" s="238"/>
      <c r="AC83" s="238"/>
      <c r="AD83" s="240"/>
      <c r="AE83" s="241"/>
      <c r="AF83" s="241"/>
      <c r="AG83" s="238"/>
      <c r="AH83" s="240"/>
      <c r="AI83" s="241"/>
      <c r="AJ83" s="241"/>
      <c r="AK83" s="241"/>
      <c r="AL83" s="237"/>
      <c r="AM83" s="237"/>
      <c r="AN83" s="237"/>
      <c r="AO83" s="237"/>
      <c r="AP83" s="237"/>
      <c r="AQ83" s="237"/>
      <c r="AR83" s="237"/>
    </row>
    <row r="84" ht="22.5" customHeight="1">
      <c r="A84" s="228"/>
      <c r="B84" s="228"/>
      <c r="C84" s="228"/>
      <c r="D84" s="228"/>
      <c r="E84" s="228"/>
      <c r="F84" s="228"/>
      <c r="G84" s="228"/>
      <c r="H84" s="241"/>
      <c r="I84" s="228"/>
      <c r="J84" s="511"/>
      <c r="K84" s="228"/>
      <c r="L84" s="228"/>
      <c r="M84" s="238"/>
      <c r="N84" s="228"/>
      <c r="O84" s="235"/>
      <c r="P84" s="236"/>
      <c r="Q84" s="235"/>
      <c r="R84" s="235"/>
      <c r="S84" s="236"/>
      <c r="T84" s="236"/>
      <c r="U84" s="237"/>
      <c r="V84" s="237"/>
      <c r="W84" s="238"/>
      <c r="X84" s="237"/>
      <c r="Y84" s="237"/>
      <c r="Z84" s="237"/>
      <c r="AA84" s="239"/>
      <c r="AB84" s="238"/>
      <c r="AC84" s="238"/>
      <c r="AD84" s="240"/>
      <c r="AE84" s="241"/>
      <c r="AF84" s="241"/>
      <c r="AG84" s="238"/>
      <c r="AH84" s="240"/>
      <c r="AI84" s="241"/>
      <c r="AJ84" s="241"/>
      <c r="AK84" s="241"/>
      <c r="AL84" s="237"/>
      <c r="AM84" s="237"/>
      <c r="AN84" s="237"/>
      <c r="AO84" s="237"/>
      <c r="AP84" s="237"/>
      <c r="AQ84" s="237"/>
      <c r="AR84" s="237"/>
    </row>
    <row r="85" ht="22.5" customHeight="1">
      <c r="A85" s="228"/>
      <c r="B85" s="228"/>
      <c r="C85" s="228"/>
      <c r="D85" s="228"/>
      <c r="E85" s="228"/>
      <c r="F85" s="228"/>
      <c r="G85" s="228"/>
      <c r="H85" s="241"/>
      <c r="I85" s="228"/>
      <c r="J85" s="511"/>
      <c r="K85" s="228"/>
      <c r="L85" s="228"/>
      <c r="M85" s="238"/>
      <c r="N85" s="228"/>
      <c r="O85" s="235"/>
      <c r="P85" s="236"/>
      <c r="Q85" s="235"/>
      <c r="R85" s="235"/>
      <c r="S85" s="236"/>
      <c r="T85" s="236"/>
      <c r="U85" s="237"/>
      <c r="V85" s="237"/>
      <c r="W85" s="238"/>
      <c r="X85" s="237"/>
      <c r="Y85" s="237"/>
      <c r="Z85" s="237"/>
      <c r="AA85" s="239"/>
      <c r="AB85" s="238"/>
      <c r="AC85" s="238"/>
      <c r="AD85" s="240"/>
      <c r="AE85" s="241"/>
      <c r="AF85" s="241"/>
      <c r="AG85" s="238"/>
      <c r="AH85" s="240"/>
      <c r="AI85" s="241"/>
      <c r="AJ85" s="241"/>
      <c r="AK85" s="241"/>
      <c r="AL85" s="237"/>
      <c r="AM85" s="237"/>
      <c r="AN85" s="237"/>
      <c r="AO85" s="237"/>
      <c r="AP85" s="237"/>
      <c r="AQ85" s="237"/>
      <c r="AR85" s="237"/>
    </row>
    <row r="86" ht="22.5" customHeight="1">
      <c r="A86" s="228"/>
      <c r="B86" s="228"/>
      <c r="C86" s="228"/>
      <c r="D86" s="228"/>
      <c r="E86" s="228"/>
      <c r="F86" s="228"/>
      <c r="G86" s="228"/>
      <c r="H86" s="241"/>
      <c r="I86" s="228"/>
      <c r="J86" s="510"/>
      <c r="K86" s="228"/>
      <c r="L86" s="228"/>
      <c r="M86" s="238"/>
      <c r="N86" s="228"/>
      <c r="O86" s="235"/>
      <c r="P86" s="236"/>
      <c r="Q86" s="235"/>
      <c r="R86" s="235"/>
      <c r="S86" s="236"/>
      <c r="T86" s="236"/>
      <c r="U86" s="237"/>
      <c r="V86" s="237"/>
      <c r="W86" s="238"/>
      <c r="X86" s="237"/>
      <c r="Y86" s="237"/>
      <c r="Z86" s="237"/>
      <c r="AA86" s="239"/>
      <c r="AB86" s="238"/>
      <c r="AC86" s="238"/>
      <c r="AD86" s="240"/>
      <c r="AE86" s="241"/>
      <c r="AF86" s="241"/>
      <c r="AG86" s="238"/>
      <c r="AH86" s="240"/>
      <c r="AI86" s="241"/>
      <c r="AJ86" s="241"/>
      <c r="AK86" s="241"/>
      <c r="AL86" s="237"/>
      <c r="AM86" s="237"/>
      <c r="AN86" s="237"/>
      <c r="AO86" s="237"/>
      <c r="AP86" s="237"/>
      <c r="AQ86" s="237"/>
      <c r="AR86" s="237"/>
    </row>
    <row r="87" ht="22.5" customHeight="1">
      <c r="A87" s="228"/>
      <c r="B87" s="228"/>
      <c r="C87" s="228"/>
      <c r="D87" s="228"/>
      <c r="E87" s="228"/>
      <c r="F87" s="228"/>
      <c r="G87" s="228"/>
      <c r="H87" s="241"/>
      <c r="I87" s="228"/>
      <c r="J87" s="507"/>
      <c r="K87" s="228"/>
      <c r="L87" s="228"/>
      <c r="M87" s="238"/>
      <c r="N87" s="228"/>
      <c r="O87" s="235"/>
      <c r="P87" s="236"/>
      <c r="Q87" s="235"/>
      <c r="R87" s="235"/>
      <c r="S87" s="236"/>
      <c r="T87" s="236"/>
      <c r="U87" s="237"/>
      <c r="V87" s="237"/>
      <c r="W87" s="238"/>
      <c r="X87" s="237"/>
      <c r="Y87" s="237"/>
      <c r="Z87" s="237"/>
      <c r="AA87" s="239"/>
      <c r="AB87" s="238"/>
      <c r="AC87" s="238"/>
      <c r="AD87" s="240"/>
      <c r="AE87" s="241"/>
      <c r="AF87" s="241"/>
      <c r="AG87" s="238"/>
      <c r="AH87" s="240"/>
      <c r="AI87" s="241"/>
      <c r="AJ87" s="241"/>
      <c r="AK87" s="241"/>
      <c r="AL87" s="237"/>
      <c r="AM87" s="237"/>
      <c r="AN87" s="237"/>
      <c r="AO87" s="237"/>
      <c r="AP87" s="237"/>
      <c r="AQ87" s="237"/>
      <c r="AR87" s="237"/>
    </row>
    <row r="88" ht="22.5" customHeight="1">
      <c r="A88" s="228"/>
      <c r="B88" s="228"/>
      <c r="C88" s="228"/>
      <c r="D88" s="228"/>
      <c r="E88" s="228"/>
      <c r="F88" s="228"/>
      <c r="G88" s="228"/>
      <c r="H88" s="241"/>
      <c r="I88" s="228"/>
      <c r="J88" s="513"/>
      <c r="K88" s="228"/>
      <c r="L88" s="228"/>
      <c r="M88" s="238"/>
      <c r="N88" s="228"/>
      <c r="O88" s="235"/>
      <c r="P88" s="236"/>
      <c r="Q88" s="235"/>
      <c r="R88" s="235"/>
      <c r="S88" s="236"/>
      <c r="T88" s="236"/>
      <c r="U88" s="237"/>
      <c r="V88" s="237"/>
      <c r="W88" s="238"/>
      <c r="X88" s="237"/>
      <c r="Y88" s="237"/>
      <c r="Z88" s="237"/>
      <c r="AA88" s="239"/>
      <c r="AB88" s="238"/>
      <c r="AC88" s="238"/>
      <c r="AD88" s="240"/>
      <c r="AE88" s="241"/>
      <c r="AF88" s="241"/>
      <c r="AG88" s="238"/>
      <c r="AH88" s="240"/>
      <c r="AI88" s="241"/>
      <c r="AJ88" s="241"/>
      <c r="AK88" s="241"/>
      <c r="AL88" s="237"/>
      <c r="AM88" s="237"/>
      <c r="AN88" s="237"/>
      <c r="AO88" s="237"/>
      <c r="AP88" s="237"/>
      <c r="AQ88" s="237"/>
      <c r="AR88" s="237"/>
    </row>
    <row r="89" ht="22.5" customHeight="1">
      <c r="A89" s="228"/>
      <c r="B89" s="228"/>
      <c r="C89" s="228"/>
      <c r="D89" s="228"/>
      <c r="E89" s="228"/>
      <c r="F89" s="228"/>
      <c r="G89" s="228"/>
      <c r="H89" s="241"/>
      <c r="I89" s="228"/>
      <c r="J89" s="511"/>
      <c r="K89" s="228"/>
      <c r="L89" s="228"/>
      <c r="M89" s="238"/>
      <c r="N89" s="228"/>
      <c r="O89" s="235"/>
      <c r="P89" s="236"/>
      <c r="Q89" s="235"/>
      <c r="R89" s="235"/>
      <c r="S89" s="236"/>
      <c r="T89" s="236"/>
      <c r="U89" s="237"/>
      <c r="V89" s="237"/>
      <c r="W89" s="238"/>
      <c r="X89" s="237"/>
      <c r="Y89" s="237"/>
      <c r="Z89" s="237"/>
      <c r="AA89" s="239"/>
      <c r="AB89" s="238"/>
      <c r="AC89" s="238"/>
      <c r="AD89" s="240"/>
      <c r="AE89" s="241"/>
      <c r="AF89" s="241"/>
      <c r="AG89" s="238"/>
      <c r="AH89" s="240"/>
      <c r="AI89" s="241"/>
      <c r="AJ89" s="241"/>
      <c r="AK89" s="241"/>
      <c r="AL89" s="237"/>
      <c r="AM89" s="237"/>
      <c r="AN89" s="237"/>
      <c r="AO89" s="237"/>
      <c r="AP89" s="237"/>
      <c r="AQ89" s="237"/>
      <c r="AR89" s="237"/>
    </row>
    <row r="90" ht="22.5" customHeight="1">
      <c r="A90" s="228"/>
      <c r="B90" s="228"/>
      <c r="C90" s="228"/>
      <c r="D90" s="228"/>
      <c r="E90" s="228"/>
      <c r="F90" s="228"/>
      <c r="G90" s="228"/>
      <c r="H90" s="241"/>
      <c r="I90" s="228"/>
      <c r="J90" s="515"/>
      <c r="K90" s="228"/>
      <c r="L90" s="228"/>
      <c r="M90" s="238"/>
      <c r="N90" s="228"/>
      <c r="O90" s="235"/>
      <c r="P90" s="236"/>
      <c r="Q90" s="235"/>
      <c r="R90" s="235"/>
      <c r="S90" s="236"/>
      <c r="T90" s="236"/>
      <c r="U90" s="237"/>
      <c r="V90" s="237"/>
      <c r="W90" s="238"/>
      <c r="X90" s="237"/>
      <c r="Y90" s="237"/>
      <c r="Z90" s="237"/>
      <c r="AA90" s="239"/>
      <c r="AB90" s="238"/>
      <c r="AC90" s="238"/>
      <c r="AD90" s="240"/>
      <c r="AE90" s="241"/>
      <c r="AF90" s="241"/>
      <c r="AG90" s="238"/>
      <c r="AH90" s="240"/>
      <c r="AI90" s="241"/>
      <c r="AJ90" s="241"/>
      <c r="AK90" s="241"/>
      <c r="AL90" s="237"/>
      <c r="AM90" s="237"/>
      <c r="AN90" s="237"/>
      <c r="AO90" s="237"/>
      <c r="AP90" s="237"/>
      <c r="AQ90" s="237"/>
      <c r="AR90" s="237"/>
    </row>
    <row r="91" ht="22.5" customHeight="1">
      <c r="A91" s="228"/>
      <c r="B91" s="228"/>
      <c r="C91" s="228"/>
      <c r="D91" s="228"/>
      <c r="E91" s="228"/>
      <c r="F91" s="228"/>
      <c r="G91" s="228"/>
      <c r="H91" s="241"/>
      <c r="I91" s="228"/>
      <c r="J91" s="507"/>
      <c r="K91" s="228"/>
      <c r="L91" s="228"/>
      <c r="M91" s="238"/>
      <c r="N91" s="228"/>
      <c r="O91" s="235"/>
      <c r="P91" s="236"/>
      <c r="Q91" s="235"/>
      <c r="R91" s="235"/>
      <c r="S91" s="236"/>
      <c r="T91" s="236"/>
      <c r="U91" s="237"/>
      <c r="V91" s="237"/>
      <c r="W91" s="238"/>
      <c r="X91" s="237"/>
      <c r="Y91" s="237"/>
      <c r="Z91" s="237"/>
      <c r="AA91" s="239"/>
      <c r="AB91" s="238"/>
      <c r="AC91" s="238"/>
      <c r="AD91" s="240"/>
      <c r="AE91" s="241"/>
      <c r="AF91" s="241"/>
      <c r="AG91" s="238"/>
      <c r="AH91" s="240"/>
      <c r="AI91" s="241"/>
      <c r="AJ91" s="241"/>
      <c r="AK91" s="241"/>
      <c r="AL91" s="237"/>
      <c r="AM91" s="237"/>
      <c r="AN91" s="237"/>
      <c r="AO91" s="237"/>
      <c r="AP91" s="237"/>
      <c r="AQ91" s="237"/>
      <c r="AR91" s="237"/>
    </row>
    <row r="92" ht="22.5" customHeight="1">
      <c r="A92" s="228"/>
      <c r="B92" s="228"/>
      <c r="C92" s="228"/>
      <c r="D92" s="228"/>
      <c r="E92" s="228"/>
      <c r="F92" s="228"/>
      <c r="G92" s="228"/>
      <c r="H92" s="241"/>
      <c r="I92" s="228"/>
      <c r="J92" s="516"/>
      <c r="K92" s="228"/>
      <c r="L92" s="228"/>
      <c r="M92" s="238"/>
      <c r="N92" s="228"/>
      <c r="O92" s="235"/>
      <c r="P92" s="236"/>
      <c r="Q92" s="235"/>
      <c r="R92" s="235"/>
      <c r="S92" s="236"/>
      <c r="T92" s="236"/>
      <c r="U92" s="237"/>
      <c r="V92" s="237"/>
      <c r="W92" s="238"/>
      <c r="X92" s="237"/>
      <c r="Y92" s="237"/>
      <c r="Z92" s="237"/>
      <c r="AA92" s="239"/>
      <c r="AB92" s="238"/>
      <c r="AC92" s="238"/>
      <c r="AD92" s="240"/>
      <c r="AE92" s="241"/>
      <c r="AF92" s="241"/>
      <c r="AG92" s="238"/>
      <c r="AH92" s="240"/>
      <c r="AI92" s="241"/>
      <c r="AJ92" s="241"/>
      <c r="AK92" s="241"/>
      <c r="AL92" s="237"/>
      <c r="AM92" s="237"/>
      <c r="AN92" s="237"/>
      <c r="AO92" s="237"/>
      <c r="AP92" s="237"/>
      <c r="AQ92" s="237"/>
      <c r="AR92" s="237"/>
    </row>
    <row r="93" ht="22.5" customHeight="1">
      <c r="A93" s="228"/>
      <c r="B93" s="228"/>
      <c r="C93" s="228"/>
      <c r="D93" s="228"/>
      <c r="E93" s="228"/>
      <c r="F93" s="228"/>
      <c r="G93" s="228"/>
      <c r="H93" s="241"/>
      <c r="I93" s="228"/>
      <c r="J93" s="516"/>
      <c r="K93" s="228"/>
      <c r="L93" s="228"/>
      <c r="M93" s="238"/>
      <c r="N93" s="228"/>
      <c r="O93" s="235"/>
      <c r="P93" s="236"/>
      <c r="Q93" s="235"/>
      <c r="R93" s="235"/>
      <c r="S93" s="236"/>
      <c r="T93" s="236"/>
      <c r="U93" s="237"/>
      <c r="V93" s="237"/>
      <c r="W93" s="238"/>
      <c r="X93" s="237"/>
      <c r="Y93" s="237"/>
      <c r="Z93" s="237"/>
      <c r="AA93" s="239"/>
      <c r="AB93" s="238"/>
      <c r="AC93" s="238"/>
      <c r="AD93" s="240"/>
      <c r="AE93" s="241"/>
      <c r="AF93" s="241"/>
      <c r="AG93" s="238"/>
      <c r="AH93" s="240"/>
      <c r="AI93" s="241"/>
      <c r="AJ93" s="241"/>
      <c r="AK93" s="241"/>
      <c r="AL93" s="237"/>
      <c r="AM93" s="237"/>
      <c r="AN93" s="237"/>
      <c r="AO93" s="237"/>
      <c r="AP93" s="237"/>
      <c r="AQ93" s="237"/>
      <c r="AR93" s="237"/>
    </row>
    <row r="94" ht="22.5" customHeight="1">
      <c r="A94" s="228"/>
      <c r="B94" s="228"/>
      <c r="C94" s="228"/>
      <c r="D94" s="228"/>
      <c r="E94" s="228"/>
      <c r="F94" s="228"/>
      <c r="G94" s="228"/>
      <c r="H94" s="241"/>
      <c r="I94" s="228"/>
      <c r="J94" s="516"/>
      <c r="K94" s="228"/>
      <c r="L94" s="228"/>
      <c r="M94" s="238"/>
      <c r="N94" s="228"/>
      <c r="O94" s="235"/>
      <c r="P94" s="236"/>
      <c r="Q94" s="235"/>
      <c r="R94" s="235"/>
      <c r="S94" s="236"/>
      <c r="T94" s="236"/>
      <c r="U94" s="237"/>
      <c r="V94" s="237"/>
      <c r="W94" s="238"/>
      <c r="X94" s="237"/>
      <c r="Y94" s="237"/>
      <c r="Z94" s="237"/>
      <c r="AA94" s="239"/>
      <c r="AB94" s="238"/>
      <c r="AC94" s="238"/>
      <c r="AD94" s="240"/>
      <c r="AE94" s="241"/>
      <c r="AF94" s="241"/>
      <c r="AG94" s="238"/>
      <c r="AH94" s="240"/>
      <c r="AI94" s="241"/>
      <c r="AJ94" s="241"/>
      <c r="AK94" s="241"/>
      <c r="AL94" s="237"/>
      <c r="AM94" s="237"/>
      <c r="AN94" s="237"/>
      <c r="AO94" s="237"/>
      <c r="AP94" s="237"/>
      <c r="AQ94" s="237"/>
      <c r="AR94" s="237"/>
    </row>
    <row r="95">
      <c r="A95" s="228"/>
      <c r="B95" s="228"/>
      <c r="C95" s="228"/>
      <c r="D95" s="228"/>
      <c r="E95" s="228"/>
      <c r="F95" s="228"/>
      <c r="G95" s="228"/>
      <c r="H95" s="241"/>
      <c r="I95" s="228"/>
      <c r="J95" s="236"/>
      <c r="K95" s="228"/>
      <c r="L95" s="228"/>
      <c r="M95" s="238"/>
      <c r="N95" s="228"/>
      <c r="O95" s="235"/>
      <c r="P95" s="236"/>
      <c r="Q95" s="235"/>
      <c r="R95" s="235"/>
      <c r="S95" s="236"/>
      <c r="T95" s="236"/>
      <c r="U95" s="237"/>
      <c r="V95" s="237"/>
      <c r="W95" s="238"/>
      <c r="X95" s="237"/>
      <c r="Y95" s="237"/>
      <c r="Z95" s="237"/>
      <c r="AA95" s="239"/>
      <c r="AB95" s="238"/>
      <c r="AC95" s="238"/>
      <c r="AD95" s="240"/>
      <c r="AE95" s="241"/>
      <c r="AF95" s="241"/>
      <c r="AG95" s="238"/>
      <c r="AH95" s="240"/>
      <c r="AI95" s="241"/>
      <c r="AJ95" s="241"/>
      <c r="AK95" s="241"/>
      <c r="AL95" s="237"/>
      <c r="AM95" s="237"/>
      <c r="AN95" s="237"/>
      <c r="AO95" s="237"/>
      <c r="AP95" s="237"/>
      <c r="AQ95" s="237"/>
      <c r="AR95" s="237"/>
    </row>
    <row r="96">
      <c r="A96" s="228"/>
      <c r="B96" s="228"/>
      <c r="C96" s="228"/>
      <c r="D96" s="228"/>
      <c r="E96" s="228"/>
      <c r="F96" s="228"/>
      <c r="G96" s="228"/>
      <c r="H96" s="241"/>
      <c r="I96" s="228"/>
      <c r="J96" s="236"/>
      <c r="K96" s="228"/>
      <c r="L96" s="228"/>
      <c r="M96" s="238"/>
      <c r="N96" s="228"/>
      <c r="O96" s="235"/>
      <c r="P96" s="236"/>
      <c r="Q96" s="235"/>
      <c r="R96" s="235"/>
      <c r="S96" s="236"/>
      <c r="T96" s="236"/>
      <c r="U96" s="237"/>
      <c r="V96" s="237"/>
      <c r="W96" s="238"/>
      <c r="X96" s="237"/>
      <c r="Y96" s="237"/>
      <c r="Z96" s="237"/>
      <c r="AA96" s="239"/>
      <c r="AB96" s="238"/>
      <c r="AC96" s="238"/>
      <c r="AD96" s="240"/>
      <c r="AE96" s="241"/>
      <c r="AF96" s="241"/>
      <c r="AG96" s="238"/>
      <c r="AH96" s="240"/>
      <c r="AI96" s="241"/>
      <c r="AJ96" s="241"/>
      <c r="AK96" s="241"/>
      <c r="AL96" s="237"/>
      <c r="AM96" s="237"/>
      <c r="AN96" s="237"/>
      <c r="AO96" s="237"/>
      <c r="AP96" s="237"/>
      <c r="AQ96" s="237"/>
      <c r="AR96" s="237"/>
    </row>
    <row r="97">
      <c r="A97" s="228"/>
      <c r="B97" s="228"/>
      <c r="C97" s="228"/>
      <c r="D97" s="228"/>
      <c r="E97" s="228"/>
      <c r="F97" s="228"/>
      <c r="G97" s="228"/>
      <c r="H97" s="241"/>
      <c r="I97" s="228"/>
      <c r="J97" s="236"/>
      <c r="K97" s="228"/>
      <c r="L97" s="228"/>
      <c r="M97" s="238"/>
      <c r="N97" s="228"/>
      <c r="O97" s="235"/>
      <c r="P97" s="236"/>
      <c r="Q97" s="235"/>
      <c r="R97" s="235"/>
      <c r="S97" s="236"/>
      <c r="T97" s="236"/>
      <c r="U97" s="237"/>
      <c r="V97" s="237"/>
      <c r="W97" s="238"/>
      <c r="X97" s="237"/>
      <c r="Y97" s="237"/>
      <c r="Z97" s="237"/>
      <c r="AA97" s="239"/>
      <c r="AB97" s="238"/>
      <c r="AC97" s="238"/>
      <c r="AD97" s="240"/>
      <c r="AE97" s="241"/>
      <c r="AF97" s="241"/>
      <c r="AG97" s="238"/>
      <c r="AH97" s="240"/>
      <c r="AI97" s="241"/>
      <c r="AJ97" s="241"/>
      <c r="AK97" s="241"/>
      <c r="AL97" s="237"/>
      <c r="AM97" s="237"/>
      <c r="AN97" s="237"/>
      <c r="AO97" s="237"/>
      <c r="AP97" s="237"/>
      <c r="AQ97" s="237"/>
      <c r="AR97" s="237"/>
    </row>
    <row r="98">
      <c r="A98" s="228"/>
      <c r="B98" s="228"/>
      <c r="C98" s="228"/>
      <c r="D98" s="228"/>
      <c r="E98" s="228"/>
      <c r="F98" s="228"/>
      <c r="G98" s="228"/>
      <c r="H98" s="241"/>
      <c r="I98" s="228"/>
      <c r="J98" s="236"/>
      <c r="K98" s="228"/>
      <c r="L98" s="228"/>
      <c r="M98" s="238"/>
      <c r="N98" s="228"/>
      <c r="O98" s="235"/>
      <c r="P98" s="236"/>
      <c r="Q98" s="235"/>
      <c r="R98" s="235"/>
      <c r="S98" s="236"/>
      <c r="T98" s="236"/>
      <c r="U98" s="237"/>
      <c r="V98" s="237"/>
      <c r="W98" s="238"/>
      <c r="X98" s="237"/>
      <c r="Y98" s="237"/>
      <c r="Z98" s="237"/>
      <c r="AA98" s="239"/>
      <c r="AB98" s="238"/>
      <c r="AC98" s="238"/>
      <c r="AD98" s="240"/>
      <c r="AE98" s="241"/>
      <c r="AF98" s="241"/>
      <c r="AG98" s="238"/>
      <c r="AH98" s="240"/>
      <c r="AI98" s="241"/>
      <c r="AJ98" s="241"/>
      <c r="AK98" s="241"/>
      <c r="AL98" s="237"/>
      <c r="AM98" s="237"/>
      <c r="AN98" s="237"/>
      <c r="AO98" s="237"/>
      <c r="AP98" s="237"/>
      <c r="AQ98" s="237"/>
      <c r="AR98" s="237"/>
    </row>
    <row r="99">
      <c r="A99" s="228"/>
      <c r="B99" s="228"/>
      <c r="C99" s="228"/>
      <c r="D99" s="228"/>
      <c r="E99" s="228"/>
      <c r="F99" s="228"/>
      <c r="G99" s="228"/>
      <c r="H99" s="241"/>
      <c r="I99" s="228"/>
      <c r="J99" s="236"/>
      <c r="K99" s="228"/>
      <c r="L99" s="228"/>
      <c r="M99" s="238"/>
      <c r="N99" s="228"/>
      <c r="O99" s="235"/>
      <c r="P99" s="236"/>
      <c r="Q99" s="235"/>
      <c r="R99" s="235"/>
      <c r="S99" s="236"/>
      <c r="T99" s="236"/>
      <c r="U99" s="237"/>
      <c r="V99" s="237"/>
      <c r="W99" s="238"/>
      <c r="X99" s="237"/>
      <c r="Y99" s="237"/>
      <c r="Z99" s="237"/>
      <c r="AA99" s="239"/>
      <c r="AB99" s="238"/>
      <c r="AC99" s="238"/>
      <c r="AD99" s="240"/>
      <c r="AE99" s="241"/>
      <c r="AF99" s="241"/>
      <c r="AG99" s="238"/>
      <c r="AH99" s="240"/>
      <c r="AI99" s="241"/>
      <c r="AJ99" s="241"/>
      <c r="AK99" s="241"/>
      <c r="AL99" s="237"/>
      <c r="AM99" s="237"/>
      <c r="AN99" s="237"/>
      <c r="AO99" s="237"/>
      <c r="AP99" s="237"/>
      <c r="AQ99" s="237"/>
      <c r="AR99" s="237"/>
    </row>
    <row r="100">
      <c r="A100" s="228"/>
      <c r="B100" s="228"/>
      <c r="C100" s="228"/>
      <c r="D100" s="228"/>
      <c r="E100" s="228"/>
      <c r="F100" s="228"/>
      <c r="G100" s="228"/>
      <c r="H100" s="241"/>
      <c r="I100" s="228"/>
      <c r="J100" s="236"/>
      <c r="K100" s="228"/>
      <c r="L100" s="228"/>
      <c r="M100" s="238"/>
      <c r="N100" s="228"/>
      <c r="O100" s="235"/>
      <c r="P100" s="236"/>
      <c r="Q100" s="235"/>
      <c r="R100" s="235"/>
      <c r="S100" s="236"/>
      <c r="T100" s="236"/>
      <c r="U100" s="237"/>
      <c r="V100" s="237"/>
      <c r="W100" s="238"/>
      <c r="X100" s="237"/>
      <c r="Y100" s="237"/>
      <c r="Z100" s="237"/>
      <c r="AA100" s="239"/>
      <c r="AB100" s="238"/>
      <c r="AC100" s="238"/>
      <c r="AD100" s="240"/>
      <c r="AE100" s="241"/>
      <c r="AF100" s="241"/>
      <c r="AG100" s="238"/>
      <c r="AH100" s="240"/>
      <c r="AI100" s="241"/>
      <c r="AJ100" s="241"/>
      <c r="AK100" s="241"/>
      <c r="AL100" s="237"/>
      <c r="AM100" s="237"/>
      <c r="AN100" s="237"/>
      <c r="AO100" s="237"/>
      <c r="AP100" s="237"/>
      <c r="AQ100" s="237"/>
      <c r="AR100" s="237"/>
    </row>
    <row r="101">
      <c r="A101" s="228"/>
      <c r="B101" s="228"/>
      <c r="C101" s="228"/>
      <c r="D101" s="228"/>
      <c r="E101" s="228"/>
      <c r="F101" s="228"/>
      <c r="G101" s="228"/>
      <c r="H101" s="241"/>
      <c r="I101" s="228"/>
      <c r="J101" s="236"/>
      <c r="K101" s="228"/>
      <c r="L101" s="228"/>
      <c r="M101" s="238"/>
      <c r="N101" s="228"/>
      <c r="O101" s="235"/>
      <c r="P101" s="236"/>
      <c r="Q101" s="235"/>
      <c r="R101" s="235"/>
      <c r="S101" s="236"/>
      <c r="T101" s="236"/>
      <c r="U101" s="237"/>
      <c r="V101" s="237"/>
      <c r="W101" s="238"/>
      <c r="X101" s="237"/>
      <c r="Y101" s="237"/>
      <c r="Z101" s="237"/>
      <c r="AA101" s="239"/>
      <c r="AB101" s="238"/>
      <c r="AC101" s="238"/>
      <c r="AD101" s="240"/>
      <c r="AE101" s="241"/>
      <c r="AF101" s="241"/>
      <c r="AG101" s="238"/>
      <c r="AH101" s="240"/>
      <c r="AI101" s="241"/>
      <c r="AJ101" s="241"/>
      <c r="AK101" s="241"/>
      <c r="AL101" s="237"/>
      <c r="AM101" s="237"/>
      <c r="AN101" s="237"/>
      <c r="AO101" s="237"/>
      <c r="AP101" s="237"/>
      <c r="AQ101" s="237"/>
      <c r="AR101" s="237"/>
    </row>
    <row r="102">
      <c r="A102" s="228"/>
      <c r="B102" s="228"/>
      <c r="C102" s="228"/>
      <c r="D102" s="228"/>
      <c r="E102" s="228"/>
      <c r="F102" s="228"/>
      <c r="G102" s="228"/>
      <c r="H102" s="241"/>
      <c r="I102" s="228"/>
      <c r="J102" s="236"/>
      <c r="K102" s="228"/>
      <c r="L102" s="228"/>
      <c r="M102" s="238"/>
      <c r="N102" s="228"/>
      <c r="O102" s="235"/>
      <c r="P102" s="236"/>
      <c r="Q102" s="235"/>
      <c r="R102" s="235"/>
      <c r="S102" s="236"/>
      <c r="T102" s="236"/>
      <c r="U102" s="237"/>
      <c r="V102" s="237"/>
      <c r="W102" s="238"/>
      <c r="X102" s="237"/>
      <c r="Y102" s="237"/>
      <c r="Z102" s="237"/>
      <c r="AA102" s="239"/>
      <c r="AB102" s="238"/>
      <c r="AC102" s="238"/>
      <c r="AD102" s="240"/>
      <c r="AE102" s="241"/>
      <c r="AF102" s="241"/>
      <c r="AG102" s="238"/>
      <c r="AH102" s="240"/>
      <c r="AI102" s="241"/>
      <c r="AJ102" s="241"/>
      <c r="AK102" s="241"/>
      <c r="AL102" s="237"/>
      <c r="AM102" s="237"/>
      <c r="AN102" s="237"/>
      <c r="AO102" s="237"/>
      <c r="AP102" s="237"/>
      <c r="AQ102" s="237"/>
      <c r="AR102" s="237"/>
    </row>
    <row r="103">
      <c r="A103" s="228"/>
      <c r="B103" s="228"/>
      <c r="C103" s="228"/>
      <c r="D103" s="228"/>
      <c r="E103" s="228"/>
      <c r="F103" s="228"/>
      <c r="G103" s="228"/>
      <c r="H103" s="241"/>
      <c r="I103" s="228"/>
      <c r="J103" s="236"/>
      <c r="K103" s="228"/>
      <c r="L103" s="228"/>
      <c r="M103" s="238"/>
      <c r="N103" s="228"/>
      <c r="O103" s="235"/>
      <c r="P103" s="236"/>
      <c r="Q103" s="235"/>
      <c r="R103" s="235"/>
      <c r="S103" s="236"/>
      <c r="T103" s="236"/>
      <c r="U103" s="237"/>
      <c r="V103" s="237"/>
      <c r="W103" s="238"/>
      <c r="X103" s="237"/>
      <c r="Y103" s="237"/>
      <c r="Z103" s="237"/>
      <c r="AA103" s="239"/>
      <c r="AB103" s="238"/>
      <c r="AC103" s="238"/>
      <c r="AD103" s="240"/>
      <c r="AE103" s="241"/>
      <c r="AF103" s="241"/>
      <c r="AG103" s="238"/>
      <c r="AH103" s="240"/>
      <c r="AI103" s="241"/>
      <c r="AJ103" s="241"/>
      <c r="AK103" s="241"/>
      <c r="AL103" s="237"/>
      <c r="AM103" s="237"/>
      <c r="AN103" s="237"/>
      <c r="AO103" s="237"/>
      <c r="AP103" s="237"/>
      <c r="AQ103" s="237"/>
      <c r="AR103" s="237"/>
    </row>
    <row r="104">
      <c r="A104" s="228"/>
      <c r="B104" s="228"/>
      <c r="C104" s="228"/>
      <c r="D104" s="228"/>
      <c r="E104" s="228"/>
      <c r="F104" s="228"/>
      <c r="G104" s="228"/>
      <c r="H104" s="241"/>
      <c r="I104" s="228"/>
      <c r="J104" s="236"/>
      <c r="K104" s="228"/>
      <c r="L104" s="228"/>
      <c r="M104" s="238"/>
      <c r="N104" s="228"/>
      <c r="O104" s="235"/>
      <c r="P104" s="236"/>
      <c r="Q104" s="235"/>
      <c r="R104" s="235"/>
      <c r="S104" s="236"/>
      <c r="T104" s="236"/>
      <c r="U104" s="237"/>
      <c r="V104" s="237"/>
      <c r="W104" s="238"/>
      <c r="X104" s="237"/>
      <c r="Y104" s="237"/>
      <c r="Z104" s="237"/>
      <c r="AA104" s="239"/>
      <c r="AB104" s="238"/>
      <c r="AC104" s="238"/>
      <c r="AD104" s="240"/>
      <c r="AE104" s="241"/>
      <c r="AF104" s="241"/>
      <c r="AG104" s="238"/>
      <c r="AH104" s="240"/>
      <c r="AI104" s="241"/>
      <c r="AJ104" s="241"/>
      <c r="AK104" s="241"/>
      <c r="AL104" s="237"/>
      <c r="AM104" s="237"/>
      <c r="AN104" s="237"/>
      <c r="AO104" s="237"/>
      <c r="AP104" s="237"/>
      <c r="AQ104" s="237"/>
      <c r="AR104" s="237"/>
    </row>
    <row r="105">
      <c r="A105" s="228"/>
      <c r="B105" s="228"/>
      <c r="C105" s="228"/>
      <c r="D105" s="228"/>
      <c r="E105" s="228"/>
      <c r="F105" s="228"/>
      <c r="G105" s="228"/>
      <c r="H105" s="241"/>
      <c r="I105" s="228"/>
      <c r="J105" s="236"/>
      <c r="K105" s="228"/>
      <c r="L105" s="228"/>
      <c r="M105" s="238"/>
      <c r="N105" s="228"/>
      <c r="O105" s="235"/>
      <c r="P105" s="236"/>
      <c r="Q105" s="235"/>
      <c r="R105" s="235"/>
      <c r="S105" s="236"/>
      <c r="T105" s="236"/>
      <c r="U105" s="237"/>
      <c r="V105" s="237"/>
      <c r="W105" s="238"/>
      <c r="X105" s="237"/>
      <c r="Y105" s="237"/>
      <c r="Z105" s="237"/>
      <c r="AA105" s="239"/>
      <c r="AB105" s="238"/>
      <c r="AC105" s="238"/>
      <c r="AD105" s="240"/>
      <c r="AE105" s="241"/>
      <c r="AF105" s="241"/>
      <c r="AG105" s="238"/>
      <c r="AH105" s="240"/>
      <c r="AI105" s="241"/>
      <c r="AJ105" s="241"/>
      <c r="AK105" s="241"/>
      <c r="AL105" s="237"/>
      <c r="AM105" s="237"/>
      <c r="AN105" s="237"/>
      <c r="AO105" s="237"/>
      <c r="AP105" s="237"/>
      <c r="AQ105" s="237"/>
      <c r="AR105" s="237"/>
    </row>
    <row r="106">
      <c r="A106" s="228"/>
      <c r="B106" s="228"/>
      <c r="C106" s="228"/>
      <c r="D106" s="228"/>
      <c r="E106" s="228"/>
      <c r="F106" s="228"/>
      <c r="G106" s="228"/>
      <c r="H106" s="241"/>
      <c r="I106" s="228"/>
      <c r="J106" s="236"/>
      <c r="K106" s="228"/>
      <c r="L106" s="228"/>
      <c r="M106" s="238"/>
      <c r="N106" s="228"/>
      <c r="O106" s="235"/>
      <c r="P106" s="236"/>
      <c r="Q106" s="235"/>
      <c r="R106" s="235"/>
      <c r="S106" s="236"/>
      <c r="T106" s="236"/>
      <c r="U106" s="237"/>
      <c r="V106" s="237"/>
      <c r="W106" s="238"/>
      <c r="X106" s="237"/>
      <c r="Y106" s="237"/>
      <c r="Z106" s="237"/>
      <c r="AA106" s="239"/>
      <c r="AB106" s="238"/>
      <c r="AC106" s="238"/>
      <c r="AD106" s="240"/>
      <c r="AE106" s="241"/>
      <c r="AF106" s="241"/>
      <c r="AG106" s="238"/>
      <c r="AH106" s="240"/>
      <c r="AI106" s="241"/>
      <c r="AJ106" s="241"/>
      <c r="AK106" s="241"/>
      <c r="AL106" s="237"/>
      <c r="AM106" s="237"/>
      <c r="AN106" s="237"/>
      <c r="AO106" s="237"/>
      <c r="AP106" s="237"/>
      <c r="AQ106" s="237"/>
      <c r="AR106" s="237"/>
    </row>
    <row r="107">
      <c r="A107" s="228"/>
      <c r="B107" s="228"/>
      <c r="C107" s="228"/>
      <c r="D107" s="228"/>
      <c r="E107" s="228"/>
      <c r="F107" s="228"/>
      <c r="G107" s="228"/>
      <c r="H107" s="241"/>
      <c r="I107" s="228"/>
      <c r="J107" s="236"/>
      <c r="K107" s="228"/>
      <c r="L107" s="228"/>
      <c r="M107" s="238"/>
      <c r="N107" s="228"/>
      <c r="O107" s="235"/>
      <c r="P107" s="236"/>
      <c r="Q107" s="235"/>
      <c r="R107" s="235"/>
      <c r="S107" s="236"/>
      <c r="T107" s="236"/>
      <c r="U107" s="237"/>
      <c r="V107" s="237"/>
      <c r="W107" s="238"/>
      <c r="X107" s="237"/>
      <c r="Y107" s="237"/>
      <c r="Z107" s="237"/>
      <c r="AA107" s="239"/>
      <c r="AB107" s="238"/>
      <c r="AC107" s="238"/>
      <c r="AD107" s="240"/>
      <c r="AE107" s="241"/>
      <c r="AF107" s="241"/>
      <c r="AG107" s="238"/>
      <c r="AH107" s="240"/>
      <c r="AI107" s="241"/>
      <c r="AJ107" s="241"/>
      <c r="AK107" s="241"/>
      <c r="AL107" s="237"/>
      <c r="AM107" s="237"/>
      <c r="AN107" s="237"/>
      <c r="AO107" s="237"/>
      <c r="AP107" s="237"/>
      <c r="AQ107" s="237"/>
      <c r="AR107" s="237"/>
    </row>
    <row r="108">
      <c r="A108" s="228"/>
      <c r="B108" s="228"/>
      <c r="C108" s="228"/>
      <c r="D108" s="228"/>
      <c r="E108" s="228"/>
      <c r="F108" s="228"/>
      <c r="G108" s="228"/>
      <c r="H108" s="241"/>
      <c r="I108" s="228"/>
      <c r="J108" s="236"/>
      <c r="K108" s="228"/>
      <c r="L108" s="228"/>
      <c r="M108" s="238"/>
      <c r="N108" s="228"/>
      <c r="O108" s="235"/>
      <c r="P108" s="236"/>
      <c r="Q108" s="235"/>
      <c r="R108" s="235"/>
      <c r="S108" s="236"/>
      <c r="T108" s="236"/>
      <c r="U108" s="237"/>
      <c r="V108" s="237"/>
      <c r="W108" s="238"/>
      <c r="X108" s="237"/>
      <c r="Y108" s="237"/>
      <c r="Z108" s="237"/>
      <c r="AA108" s="239"/>
      <c r="AB108" s="238"/>
      <c r="AC108" s="238"/>
      <c r="AD108" s="240"/>
      <c r="AE108" s="241"/>
      <c r="AF108" s="241"/>
      <c r="AG108" s="238"/>
      <c r="AH108" s="240"/>
      <c r="AI108" s="241"/>
      <c r="AJ108" s="241"/>
      <c r="AK108" s="241"/>
      <c r="AL108" s="237"/>
      <c r="AM108" s="237"/>
      <c r="AN108" s="237"/>
      <c r="AO108" s="237"/>
      <c r="AP108" s="237"/>
      <c r="AQ108" s="237"/>
      <c r="AR108" s="237"/>
    </row>
    <row r="109">
      <c r="A109" s="228"/>
      <c r="B109" s="228"/>
      <c r="C109" s="228"/>
      <c r="D109" s="228"/>
      <c r="E109" s="228"/>
      <c r="F109" s="228"/>
      <c r="G109" s="228"/>
      <c r="H109" s="241"/>
      <c r="I109" s="228"/>
      <c r="J109" s="236"/>
      <c r="K109" s="228"/>
      <c r="L109" s="228"/>
      <c r="M109" s="238"/>
      <c r="N109" s="228"/>
      <c r="O109" s="235"/>
      <c r="P109" s="236"/>
      <c r="Q109" s="235"/>
      <c r="R109" s="235"/>
      <c r="S109" s="236"/>
      <c r="T109" s="236"/>
      <c r="U109" s="237"/>
      <c r="V109" s="237"/>
      <c r="W109" s="238"/>
      <c r="X109" s="237"/>
      <c r="Y109" s="237"/>
      <c r="Z109" s="237"/>
      <c r="AA109" s="239"/>
      <c r="AB109" s="238"/>
      <c r="AC109" s="238"/>
      <c r="AD109" s="240"/>
      <c r="AE109" s="241"/>
      <c r="AF109" s="241"/>
      <c r="AG109" s="238"/>
      <c r="AH109" s="240"/>
      <c r="AI109" s="241"/>
      <c r="AJ109" s="241"/>
      <c r="AK109" s="241"/>
      <c r="AL109" s="237"/>
      <c r="AM109" s="237"/>
      <c r="AN109" s="237"/>
      <c r="AO109" s="237"/>
      <c r="AP109" s="237"/>
      <c r="AQ109" s="237"/>
      <c r="AR109" s="237"/>
    </row>
    <row r="110">
      <c r="A110" s="228"/>
      <c r="B110" s="228"/>
      <c r="C110" s="228"/>
      <c r="D110" s="228"/>
      <c r="E110" s="228"/>
      <c r="F110" s="228"/>
      <c r="G110" s="228"/>
      <c r="H110" s="241"/>
      <c r="I110" s="228"/>
      <c r="J110" s="236"/>
      <c r="K110" s="228"/>
      <c r="L110" s="228"/>
      <c r="M110" s="238"/>
      <c r="N110" s="228"/>
      <c r="O110" s="235"/>
      <c r="P110" s="236"/>
      <c r="Q110" s="235"/>
      <c r="R110" s="235"/>
      <c r="S110" s="236"/>
      <c r="T110" s="236"/>
      <c r="U110" s="237"/>
      <c r="V110" s="237"/>
      <c r="W110" s="238"/>
      <c r="X110" s="237"/>
      <c r="Y110" s="237"/>
      <c r="Z110" s="237"/>
      <c r="AA110" s="239"/>
      <c r="AB110" s="238"/>
      <c r="AC110" s="238"/>
      <c r="AD110" s="240"/>
      <c r="AE110" s="241"/>
      <c r="AF110" s="241"/>
      <c r="AG110" s="238"/>
      <c r="AH110" s="240"/>
      <c r="AI110" s="241"/>
      <c r="AJ110" s="241"/>
      <c r="AK110" s="241"/>
      <c r="AL110" s="237"/>
      <c r="AM110" s="237"/>
      <c r="AN110" s="237"/>
      <c r="AO110" s="237"/>
      <c r="AP110" s="237"/>
      <c r="AQ110" s="237"/>
      <c r="AR110" s="237"/>
    </row>
    <row r="111">
      <c r="A111" s="228"/>
      <c r="B111" s="228"/>
      <c r="C111" s="228"/>
      <c r="D111" s="228"/>
      <c r="E111" s="228"/>
      <c r="F111" s="228"/>
      <c r="G111" s="228"/>
      <c r="H111" s="241"/>
      <c r="I111" s="228"/>
      <c r="J111" s="236"/>
      <c r="K111" s="228"/>
      <c r="L111" s="228"/>
      <c r="M111" s="238"/>
      <c r="N111" s="228"/>
      <c r="O111" s="235"/>
      <c r="P111" s="236"/>
      <c r="Q111" s="235"/>
      <c r="R111" s="235"/>
      <c r="S111" s="236"/>
      <c r="T111" s="236"/>
      <c r="U111" s="237"/>
      <c r="V111" s="237"/>
      <c r="W111" s="238"/>
      <c r="X111" s="237"/>
      <c r="Y111" s="237"/>
      <c r="Z111" s="237"/>
      <c r="AA111" s="239"/>
      <c r="AB111" s="238"/>
      <c r="AC111" s="238"/>
      <c r="AD111" s="240"/>
      <c r="AE111" s="241"/>
      <c r="AF111" s="241"/>
      <c r="AG111" s="238"/>
      <c r="AH111" s="240"/>
      <c r="AI111" s="241"/>
      <c r="AJ111" s="241"/>
      <c r="AK111" s="241"/>
      <c r="AL111" s="237"/>
      <c r="AM111" s="237"/>
      <c r="AN111" s="237"/>
      <c r="AO111" s="237"/>
      <c r="AP111" s="237"/>
      <c r="AQ111" s="237"/>
      <c r="AR111" s="237"/>
    </row>
    <row r="112">
      <c r="A112" s="228"/>
      <c r="B112" s="228"/>
      <c r="C112" s="228"/>
      <c r="D112" s="228"/>
      <c r="E112" s="228"/>
      <c r="F112" s="228"/>
      <c r="G112" s="228"/>
      <c r="H112" s="241"/>
      <c r="I112" s="228"/>
      <c r="J112" s="236"/>
      <c r="K112" s="228"/>
      <c r="L112" s="228"/>
      <c r="M112" s="238"/>
      <c r="N112" s="228"/>
      <c r="O112" s="235"/>
      <c r="P112" s="236"/>
      <c r="Q112" s="235"/>
      <c r="R112" s="235"/>
      <c r="S112" s="236"/>
      <c r="T112" s="236"/>
      <c r="U112" s="237"/>
      <c r="V112" s="237"/>
      <c r="W112" s="238"/>
      <c r="X112" s="237"/>
      <c r="Y112" s="237"/>
      <c r="Z112" s="237"/>
      <c r="AA112" s="239"/>
      <c r="AB112" s="238"/>
      <c r="AC112" s="238"/>
      <c r="AD112" s="240"/>
      <c r="AE112" s="241"/>
      <c r="AF112" s="241"/>
      <c r="AG112" s="238"/>
      <c r="AH112" s="240"/>
      <c r="AI112" s="241"/>
      <c r="AJ112" s="241"/>
      <c r="AK112" s="241"/>
      <c r="AL112" s="237"/>
      <c r="AM112" s="237"/>
      <c r="AN112" s="237"/>
      <c r="AO112" s="237"/>
      <c r="AP112" s="237"/>
      <c r="AQ112" s="237"/>
      <c r="AR112" s="237"/>
    </row>
    <row r="113">
      <c r="A113" s="228"/>
      <c r="B113" s="228"/>
      <c r="C113" s="228"/>
      <c r="D113" s="228"/>
      <c r="E113" s="228"/>
      <c r="F113" s="228"/>
      <c r="G113" s="228"/>
      <c r="H113" s="241"/>
      <c r="I113" s="228"/>
      <c r="J113" s="236"/>
      <c r="K113" s="228"/>
      <c r="L113" s="228"/>
      <c r="M113" s="238"/>
      <c r="N113" s="228"/>
      <c r="O113" s="235"/>
      <c r="P113" s="236"/>
      <c r="Q113" s="235"/>
      <c r="R113" s="235"/>
      <c r="S113" s="236"/>
      <c r="T113" s="236"/>
      <c r="U113" s="237"/>
      <c r="V113" s="237"/>
      <c r="W113" s="238"/>
      <c r="X113" s="237"/>
      <c r="Y113" s="237"/>
      <c r="Z113" s="237"/>
      <c r="AA113" s="239"/>
      <c r="AB113" s="238"/>
      <c r="AC113" s="238"/>
      <c r="AD113" s="240"/>
      <c r="AE113" s="241"/>
      <c r="AF113" s="241"/>
      <c r="AG113" s="238"/>
      <c r="AH113" s="240"/>
      <c r="AI113" s="241"/>
      <c r="AJ113" s="241"/>
      <c r="AK113" s="241"/>
      <c r="AL113" s="237"/>
      <c r="AM113" s="237"/>
      <c r="AN113" s="237"/>
      <c r="AO113" s="237"/>
      <c r="AP113" s="237"/>
      <c r="AQ113" s="237"/>
      <c r="AR113" s="237"/>
    </row>
    <row r="114">
      <c r="A114" s="228"/>
      <c r="B114" s="228"/>
      <c r="C114" s="228"/>
      <c r="D114" s="228"/>
      <c r="E114" s="228"/>
      <c r="F114" s="228"/>
      <c r="G114" s="228"/>
      <c r="H114" s="241"/>
      <c r="I114" s="228"/>
      <c r="J114" s="236"/>
      <c r="K114" s="228"/>
      <c r="L114" s="228"/>
      <c r="M114" s="238"/>
      <c r="N114" s="228"/>
      <c r="O114" s="235"/>
      <c r="P114" s="236"/>
      <c r="Q114" s="235"/>
      <c r="R114" s="235"/>
      <c r="S114" s="236"/>
      <c r="T114" s="236"/>
      <c r="U114" s="237"/>
      <c r="V114" s="237"/>
      <c r="W114" s="238"/>
      <c r="X114" s="237"/>
      <c r="Y114" s="237"/>
      <c r="Z114" s="237"/>
      <c r="AA114" s="239"/>
      <c r="AB114" s="238"/>
      <c r="AC114" s="238"/>
      <c r="AD114" s="240"/>
      <c r="AE114" s="241"/>
      <c r="AF114" s="241"/>
      <c r="AG114" s="238"/>
      <c r="AH114" s="240"/>
      <c r="AI114" s="241"/>
      <c r="AJ114" s="241"/>
      <c r="AK114" s="241"/>
      <c r="AL114" s="237"/>
      <c r="AM114" s="237"/>
      <c r="AN114" s="237"/>
      <c r="AO114" s="237"/>
      <c r="AP114" s="237"/>
      <c r="AQ114" s="237"/>
      <c r="AR114" s="237"/>
    </row>
    <row r="115">
      <c r="A115" s="228"/>
      <c r="B115" s="228"/>
      <c r="C115" s="228"/>
      <c r="D115" s="228"/>
      <c r="E115" s="228"/>
      <c r="F115" s="228"/>
      <c r="G115" s="228"/>
      <c r="H115" s="241"/>
      <c r="I115" s="228"/>
      <c r="J115" s="236"/>
      <c r="K115" s="228"/>
      <c r="L115" s="228"/>
      <c r="M115" s="238"/>
      <c r="N115" s="228"/>
      <c r="O115" s="235"/>
      <c r="P115" s="236"/>
      <c r="Q115" s="235"/>
      <c r="R115" s="235"/>
      <c r="S115" s="236"/>
      <c r="T115" s="236"/>
      <c r="U115" s="237"/>
      <c r="V115" s="237"/>
      <c r="W115" s="238"/>
      <c r="X115" s="237"/>
      <c r="Y115" s="237"/>
      <c r="Z115" s="237"/>
      <c r="AA115" s="239"/>
      <c r="AB115" s="238"/>
      <c r="AC115" s="238"/>
      <c r="AD115" s="240"/>
      <c r="AE115" s="241"/>
      <c r="AF115" s="241"/>
      <c r="AG115" s="238"/>
      <c r="AH115" s="240"/>
      <c r="AI115" s="241"/>
      <c r="AJ115" s="241"/>
      <c r="AK115" s="241"/>
      <c r="AL115" s="237"/>
      <c r="AM115" s="237"/>
      <c r="AN115" s="237"/>
      <c r="AO115" s="237"/>
      <c r="AP115" s="237"/>
      <c r="AQ115" s="237"/>
      <c r="AR115" s="237"/>
    </row>
    <row r="116">
      <c r="A116" s="228"/>
      <c r="B116" s="228"/>
      <c r="C116" s="228"/>
      <c r="D116" s="228"/>
      <c r="E116" s="228"/>
      <c r="F116" s="228"/>
      <c r="G116" s="228"/>
      <c r="H116" s="241"/>
      <c r="I116" s="228"/>
      <c r="J116" s="236"/>
      <c r="K116" s="228"/>
      <c r="L116" s="228"/>
      <c r="M116" s="238"/>
      <c r="N116" s="228"/>
      <c r="O116" s="235"/>
      <c r="P116" s="236"/>
      <c r="Q116" s="235"/>
      <c r="R116" s="235"/>
      <c r="S116" s="236"/>
      <c r="T116" s="236"/>
      <c r="U116" s="237"/>
      <c r="V116" s="237"/>
      <c r="W116" s="238"/>
      <c r="X116" s="237"/>
      <c r="Y116" s="237"/>
      <c r="Z116" s="237"/>
      <c r="AA116" s="239"/>
      <c r="AB116" s="238"/>
      <c r="AC116" s="238"/>
      <c r="AD116" s="240"/>
      <c r="AE116" s="241"/>
      <c r="AF116" s="241"/>
      <c r="AG116" s="238"/>
      <c r="AH116" s="240"/>
      <c r="AI116" s="241"/>
      <c r="AJ116" s="241"/>
      <c r="AK116" s="241"/>
      <c r="AL116" s="237"/>
      <c r="AM116" s="237"/>
      <c r="AN116" s="237"/>
      <c r="AO116" s="237"/>
      <c r="AP116" s="237"/>
      <c r="AQ116" s="237"/>
      <c r="AR116" s="237"/>
    </row>
    <row r="117">
      <c r="A117" s="228"/>
      <c r="B117" s="228"/>
      <c r="C117" s="228"/>
      <c r="D117" s="228"/>
      <c r="E117" s="228"/>
      <c r="F117" s="228"/>
      <c r="G117" s="228"/>
      <c r="H117" s="241"/>
      <c r="I117" s="228"/>
      <c r="J117" s="236"/>
      <c r="K117" s="228"/>
      <c r="L117" s="228"/>
      <c r="M117" s="238"/>
      <c r="N117" s="228"/>
      <c r="O117" s="235"/>
      <c r="P117" s="236"/>
      <c r="Q117" s="235"/>
      <c r="R117" s="235"/>
      <c r="S117" s="236"/>
      <c r="T117" s="236"/>
      <c r="U117" s="237"/>
      <c r="V117" s="237"/>
      <c r="W117" s="238"/>
      <c r="X117" s="237"/>
      <c r="Y117" s="237"/>
      <c r="Z117" s="237"/>
      <c r="AA117" s="239"/>
      <c r="AB117" s="238"/>
      <c r="AC117" s="238"/>
      <c r="AD117" s="240"/>
      <c r="AE117" s="241"/>
      <c r="AF117" s="241"/>
      <c r="AG117" s="238"/>
      <c r="AH117" s="240"/>
      <c r="AI117" s="241"/>
      <c r="AJ117" s="241"/>
      <c r="AK117" s="241"/>
      <c r="AL117" s="237"/>
      <c r="AM117" s="237"/>
      <c r="AN117" s="237"/>
      <c r="AO117" s="237"/>
      <c r="AP117" s="237"/>
      <c r="AQ117" s="237"/>
      <c r="AR117" s="237"/>
    </row>
    <row r="118">
      <c r="A118" s="228"/>
      <c r="B118" s="228"/>
      <c r="C118" s="228"/>
      <c r="D118" s="228"/>
      <c r="E118" s="228"/>
      <c r="F118" s="228"/>
      <c r="G118" s="228"/>
      <c r="H118" s="241"/>
      <c r="I118" s="228"/>
      <c r="J118" s="236"/>
      <c r="K118" s="228"/>
      <c r="L118" s="228"/>
      <c r="M118" s="238"/>
      <c r="N118" s="228"/>
      <c r="O118" s="235"/>
      <c r="P118" s="236"/>
      <c r="Q118" s="235"/>
      <c r="R118" s="235"/>
      <c r="S118" s="236"/>
      <c r="T118" s="236"/>
      <c r="U118" s="237"/>
      <c r="V118" s="237"/>
      <c r="W118" s="238"/>
      <c r="X118" s="237"/>
      <c r="Y118" s="237"/>
      <c r="Z118" s="237"/>
      <c r="AA118" s="239"/>
      <c r="AB118" s="238"/>
      <c r="AC118" s="238"/>
      <c r="AD118" s="240"/>
      <c r="AE118" s="241"/>
      <c r="AF118" s="241"/>
      <c r="AG118" s="238"/>
      <c r="AH118" s="240"/>
      <c r="AI118" s="241"/>
      <c r="AJ118" s="241"/>
      <c r="AK118" s="241"/>
      <c r="AL118" s="237"/>
      <c r="AM118" s="237"/>
      <c r="AN118" s="237"/>
      <c r="AO118" s="237"/>
      <c r="AP118" s="237"/>
      <c r="AQ118" s="237"/>
      <c r="AR118" s="237"/>
    </row>
    <row r="119">
      <c r="A119" s="228"/>
      <c r="B119" s="228"/>
      <c r="C119" s="228"/>
      <c r="D119" s="228"/>
      <c r="E119" s="228"/>
      <c r="F119" s="228"/>
      <c r="G119" s="228"/>
      <c r="H119" s="241"/>
      <c r="I119" s="228"/>
      <c r="J119" s="236"/>
      <c r="K119" s="228"/>
      <c r="L119" s="228"/>
      <c r="M119" s="238"/>
      <c r="N119" s="228"/>
      <c r="O119" s="235"/>
      <c r="P119" s="236"/>
      <c r="Q119" s="235"/>
      <c r="R119" s="235"/>
      <c r="S119" s="236"/>
      <c r="T119" s="236"/>
      <c r="U119" s="237"/>
      <c r="V119" s="237"/>
      <c r="W119" s="238"/>
      <c r="X119" s="237"/>
      <c r="Y119" s="237"/>
      <c r="Z119" s="237"/>
      <c r="AA119" s="239"/>
      <c r="AB119" s="238"/>
      <c r="AC119" s="238"/>
      <c r="AD119" s="240"/>
      <c r="AE119" s="241"/>
      <c r="AF119" s="241"/>
      <c r="AG119" s="238"/>
      <c r="AH119" s="240"/>
      <c r="AI119" s="241"/>
      <c r="AJ119" s="241"/>
      <c r="AK119" s="241"/>
      <c r="AL119" s="237"/>
      <c r="AM119" s="237"/>
      <c r="AN119" s="237"/>
      <c r="AO119" s="237"/>
      <c r="AP119" s="237"/>
      <c r="AQ119" s="237"/>
      <c r="AR119" s="237"/>
    </row>
    <row r="120">
      <c r="A120" s="228"/>
      <c r="B120" s="228"/>
      <c r="C120" s="228"/>
      <c r="D120" s="228"/>
      <c r="E120" s="228"/>
      <c r="F120" s="228"/>
      <c r="G120" s="228"/>
      <c r="H120" s="241"/>
      <c r="I120" s="228"/>
      <c r="J120" s="236"/>
      <c r="K120" s="228"/>
      <c r="L120" s="228"/>
      <c r="M120" s="238"/>
      <c r="N120" s="228"/>
      <c r="O120" s="235"/>
      <c r="P120" s="236"/>
      <c r="Q120" s="235"/>
      <c r="R120" s="235"/>
      <c r="S120" s="236"/>
      <c r="T120" s="236"/>
      <c r="U120" s="237"/>
      <c r="V120" s="237"/>
      <c r="W120" s="238"/>
      <c r="X120" s="237"/>
      <c r="Y120" s="237"/>
      <c r="Z120" s="237"/>
      <c r="AA120" s="239"/>
      <c r="AB120" s="238"/>
      <c r="AC120" s="238"/>
      <c r="AD120" s="240"/>
      <c r="AE120" s="241"/>
      <c r="AF120" s="241"/>
      <c r="AG120" s="238"/>
      <c r="AH120" s="240"/>
      <c r="AI120" s="241"/>
      <c r="AJ120" s="241"/>
      <c r="AK120" s="241"/>
      <c r="AL120" s="237"/>
      <c r="AM120" s="237"/>
      <c r="AN120" s="237"/>
      <c r="AO120" s="237"/>
      <c r="AP120" s="237"/>
      <c r="AQ120" s="237"/>
      <c r="AR120" s="237"/>
    </row>
    <row r="121">
      <c r="A121" s="228"/>
      <c r="B121" s="228"/>
      <c r="C121" s="228"/>
      <c r="D121" s="228"/>
      <c r="E121" s="228"/>
      <c r="F121" s="228"/>
      <c r="G121" s="228"/>
      <c r="H121" s="241"/>
      <c r="I121" s="228"/>
      <c r="J121" s="236"/>
      <c r="K121" s="228"/>
      <c r="L121" s="228"/>
      <c r="M121" s="238"/>
      <c r="N121" s="228"/>
      <c r="O121" s="235"/>
      <c r="P121" s="236"/>
      <c r="Q121" s="235"/>
      <c r="R121" s="235"/>
      <c r="S121" s="236"/>
      <c r="T121" s="236"/>
      <c r="U121" s="237"/>
      <c r="V121" s="237"/>
      <c r="W121" s="238"/>
      <c r="X121" s="237"/>
      <c r="Y121" s="237"/>
      <c r="Z121" s="237"/>
      <c r="AA121" s="239"/>
      <c r="AB121" s="238"/>
      <c r="AC121" s="238"/>
      <c r="AD121" s="240"/>
      <c r="AE121" s="241"/>
      <c r="AF121" s="241"/>
      <c r="AG121" s="238"/>
      <c r="AH121" s="240"/>
      <c r="AI121" s="241"/>
      <c r="AJ121" s="241"/>
      <c r="AK121" s="241"/>
      <c r="AL121" s="237"/>
      <c r="AM121" s="237"/>
      <c r="AN121" s="237"/>
      <c r="AO121" s="237"/>
      <c r="AP121" s="237"/>
      <c r="AQ121" s="237"/>
      <c r="AR121" s="237"/>
    </row>
    <row r="122">
      <c r="A122" s="228"/>
      <c r="B122" s="228"/>
      <c r="C122" s="228"/>
      <c r="D122" s="228"/>
      <c r="E122" s="228"/>
      <c r="F122" s="228"/>
      <c r="G122" s="228"/>
      <c r="H122" s="241"/>
      <c r="I122" s="228"/>
      <c r="J122" s="236"/>
      <c r="K122" s="228"/>
      <c r="L122" s="228"/>
      <c r="M122" s="238"/>
      <c r="N122" s="228"/>
      <c r="O122" s="235"/>
      <c r="P122" s="236"/>
      <c r="Q122" s="235"/>
      <c r="R122" s="235"/>
      <c r="S122" s="236"/>
      <c r="T122" s="236"/>
      <c r="U122" s="237"/>
      <c r="V122" s="237"/>
      <c r="W122" s="238"/>
      <c r="X122" s="237"/>
      <c r="Y122" s="237"/>
      <c r="Z122" s="237"/>
      <c r="AA122" s="239"/>
      <c r="AB122" s="238"/>
      <c r="AC122" s="238"/>
      <c r="AD122" s="240"/>
      <c r="AE122" s="241"/>
      <c r="AF122" s="241"/>
      <c r="AG122" s="238"/>
      <c r="AH122" s="240"/>
      <c r="AI122" s="241"/>
      <c r="AJ122" s="241"/>
      <c r="AK122" s="241"/>
      <c r="AL122" s="237"/>
      <c r="AM122" s="237"/>
      <c r="AN122" s="237"/>
      <c r="AO122" s="237"/>
      <c r="AP122" s="237"/>
      <c r="AQ122" s="237"/>
      <c r="AR122" s="237"/>
    </row>
    <row r="123">
      <c r="A123" s="228"/>
      <c r="B123" s="228"/>
      <c r="C123" s="228"/>
      <c r="D123" s="228"/>
      <c r="E123" s="228"/>
      <c r="F123" s="228"/>
      <c r="G123" s="228"/>
      <c r="H123" s="241"/>
      <c r="I123" s="228"/>
      <c r="J123" s="236"/>
      <c r="K123" s="228"/>
      <c r="L123" s="228"/>
      <c r="M123" s="238"/>
      <c r="N123" s="228"/>
      <c r="O123" s="235"/>
      <c r="P123" s="236"/>
      <c r="Q123" s="235"/>
      <c r="R123" s="235"/>
      <c r="S123" s="236"/>
      <c r="T123" s="236"/>
      <c r="U123" s="237"/>
      <c r="V123" s="237"/>
      <c r="W123" s="238"/>
      <c r="X123" s="237"/>
      <c r="Y123" s="237"/>
      <c r="Z123" s="237"/>
      <c r="AA123" s="239"/>
      <c r="AB123" s="238"/>
      <c r="AC123" s="238"/>
      <c r="AD123" s="240"/>
      <c r="AE123" s="241"/>
      <c r="AF123" s="241"/>
      <c r="AG123" s="238"/>
      <c r="AH123" s="240"/>
      <c r="AI123" s="241"/>
      <c r="AJ123" s="241"/>
      <c r="AK123" s="241"/>
      <c r="AL123" s="237"/>
      <c r="AM123" s="237"/>
      <c r="AN123" s="237"/>
      <c r="AO123" s="237"/>
      <c r="AP123" s="237"/>
      <c r="AQ123" s="237"/>
      <c r="AR123" s="237"/>
    </row>
    <row r="124">
      <c r="A124" s="228"/>
      <c r="B124" s="228"/>
      <c r="C124" s="228"/>
      <c r="D124" s="228"/>
      <c r="E124" s="228"/>
      <c r="F124" s="228"/>
      <c r="G124" s="228"/>
      <c r="H124" s="241"/>
      <c r="I124" s="228"/>
      <c r="J124" s="236"/>
      <c r="K124" s="228"/>
      <c r="L124" s="228"/>
      <c r="M124" s="238"/>
      <c r="N124" s="228"/>
      <c r="O124" s="235"/>
      <c r="P124" s="236"/>
      <c r="Q124" s="235"/>
      <c r="R124" s="235"/>
      <c r="S124" s="236"/>
      <c r="T124" s="236"/>
      <c r="U124" s="237"/>
      <c r="V124" s="237"/>
      <c r="W124" s="238"/>
      <c r="X124" s="237"/>
      <c r="Y124" s="237"/>
      <c r="Z124" s="237"/>
      <c r="AA124" s="239"/>
      <c r="AB124" s="238"/>
      <c r="AC124" s="238"/>
      <c r="AD124" s="240"/>
      <c r="AE124" s="241"/>
      <c r="AF124" s="241"/>
      <c r="AG124" s="238"/>
      <c r="AH124" s="240"/>
      <c r="AI124" s="241"/>
      <c r="AJ124" s="241"/>
      <c r="AK124" s="241"/>
      <c r="AL124" s="237"/>
      <c r="AM124" s="237"/>
      <c r="AN124" s="237"/>
      <c r="AO124" s="237"/>
      <c r="AP124" s="237"/>
      <c r="AQ124" s="237"/>
      <c r="AR124" s="237"/>
    </row>
    <row r="125">
      <c r="A125" s="228"/>
      <c r="B125" s="228"/>
      <c r="C125" s="228"/>
      <c r="D125" s="228"/>
      <c r="E125" s="228"/>
      <c r="F125" s="228"/>
      <c r="G125" s="228"/>
      <c r="H125" s="241"/>
      <c r="I125" s="228"/>
      <c r="J125" s="236"/>
      <c r="K125" s="228"/>
      <c r="L125" s="228"/>
      <c r="M125" s="238"/>
      <c r="N125" s="228"/>
      <c r="O125" s="235"/>
      <c r="P125" s="236"/>
      <c r="Q125" s="235"/>
      <c r="R125" s="235"/>
      <c r="S125" s="236"/>
      <c r="T125" s="236"/>
      <c r="U125" s="237"/>
      <c r="V125" s="237"/>
      <c r="W125" s="238"/>
      <c r="X125" s="237"/>
      <c r="Y125" s="237"/>
      <c r="Z125" s="237"/>
      <c r="AA125" s="239"/>
      <c r="AB125" s="238"/>
      <c r="AC125" s="238"/>
      <c r="AD125" s="240"/>
      <c r="AE125" s="241"/>
      <c r="AF125" s="241"/>
      <c r="AG125" s="238"/>
      <c r="AH125" s="240"/>
      <c r="AI125" s="241"/>
      <c r="AJ125" s="241"/>
      <c r="AK125" s="241"/>
      <c r="AL125" s="237"/>
      <c r="AM125" s="237"/>
      <c r="AN125" s="237"/>
      <c r="AO125" s="237"/>
      <c r="AP125" s="237"/>
      <c r="AQ125" s="237"/>
      <c r="AR125" s="237"/>
    </row>
    <row r="126">
      <c r="A126" s="228"/>
      <c r="B126" s="228"/>
      <c r="C126" s="228"/>
      <c r="D126" s="228"/>
      <c r="E126" s="228"/>
      <c r="F126" s="228"/>
      <c r="G126" s="228"/>
      <c r="H126" s="241"/>
      <c r="I126" s="228"/>
      <c r="J126" s="236"/>
      <c r="K126" s="228"/>
      <c r="L126" s="228"/>
      <c r="M126" s="238"/>
      <c r="N126" s="228"/>
      <c r="O126" s="235"/>
      <c r="P126" s="236"/>
      <c r="Q126" s="235"/>
      <c r="R126" s="235"/>
      <c r="S126" s="236"/>
      <c r="T126" s="236"/>
      <c r="U126" s="237"/>
      <c r="V126" s="237"/>
      <c r="W126" s="238"/>
      <c r="X126" s="237"/>
      <c r="Y126" s="237"/>
      <c r="Z126" s="237"/>
      <c r="AA126" s="239"/>
      <c r="AB126" s="238"/>
      <c r="AC126" s="238"/>
      <c r="AD126" s="240"/>
      <c r="AE126" s="241"/>
      <c r="AF126" s="241"/>
      <c r="AG126" s="238"/>
      <c r="AH126" s="240"/>
      <c r="AI126" s="241"/>
      <c r="AJ126" s="241"/>
      <c r="AK126" s="241"/>
      <c r="AL126" s="237"/>
      <c r="AM126" s="237"/>
      <c r="AN126" s="237"/>
      <c r="AO126" s="237"/>
      <c r="AP126" s="237"/>
      <c r="AQ126" s="237"/>
      <c r="AR126" s="237"/>
    </row>
    <row r="127">
      <c r="A127" s="228"/>
      <c r="B127" s="228"/>
      <c r="C127" s="228"/>
      <c r="D127" s="228"/>
      <c r="E127" s="228"/>
      <c r="F127" s="228"/>
      <c r="G127" s="228"/>
      <c r="H127" s="241"/>
      <c r="I127" s="228"/>
      <c r="J127" s="236"/>
      <c r="K127" s="228"/>
      <c r="L127" s="228"/>
      <c r="M127" s="238"/>
      <c r="N127" s="228"/>
      <c r="O127" s="235"/>
      <c r="P127" s="236"/>
      <c r="Q127" s="235"/>
      <c r="R127" s="235"/>
      <c r="S127" s="236"/>
      <c r="T127" s="236"/>
      <c r="U127" s="237"/>
      <c r="V127" s="237"/>
      <c r="W127" s="238"/>
      <c r="X127" s="237"/>
      <c r="Y127" s="237"/>
      <c r="Z127" s="237"/>
      <c r="AA127" s="239"/>
      <c r="AB127" s="238"/>
      <c r="AC127" s="238"/>
      <c r="AD127" s="240"/>
      <c r="AE127" s="241"/>
      <c r="AF127" s="241"/>
      <c r="AG127" s="238"/>
      <c r="AH127" s="240"/>
      <c r="AI127" s="241"/>
      <c r="AJ127" s="241"/>
      <c r="AK127" s="241"/>
      <c r="AL127" s="237"/>
      <c r="AM127" s="237"/>
      <c r="AN127" s="237"/>
      <c r="AO127" s="237"/>
      <c r="AP127" s="237"/>
      <c r="AQ127" s="237"/>
      <c r="AR127" s="237"/>
    </row>
    <row r="128">
      <c r="A128" s="228"/>
      <c r="B128" s="228"/>
      <c r="C128" s="228"/>
      <c r="D128" s="228"/>
      <c r="E128" s="228"/>
      <c r="F128" s="228"/>
      <c r="G128" s="228"/>
      <c r="H128" s="241"/>
      <c r="I128" s="228"/>
      <c r="J128" s="236"/>
      <c r="K128" s="228"/>
      <c r="L128" s="228"/>
      <c r="M128" s="238"/>
      <c r="N128" s="228"/>
      <c r="O128" s="235"/>
      <c r="P128" s="236"/>
      <c r="Q128" s="235"/>
      <c r="R128" s="235"/>
      <c r="S128" s="236"/>
      <c r="T128" s="236"/>
      <c r="U128" s="237"/>
      <c r="V128" s="237"/>
      <c r="W128" s="238"/>
      <c r="X128" s="237"/>
      <c r="Y128" s="237"/>
      <c r="Z128" s="237"/>
      <c r="AA128" s="239"/>
      <c r="AB128" s="238"/>
      <c r="AC128" s="238"/>
      <c r="AD128" s="240"/>
      <c r="AE128" s="241"/>
      <c r="AF128" s="241"/>
      <c r="AG128" s="238"/>
      <c r="AH128" s="240"/>
      <c r="AI128" s="241"/>
      <c r="AJ128" s="241"/>
      <c r="AK128" s="241"/>
      <c r="AL128" s="237"/>
      <c r="AM128" s="237"/>
      <c r="AN128" s="237"/>
      <c r="AO128" s="237"/>
      <c r="AP128" s="237"/>
      <c r="AQ128" s="237"/>
      <c r="AR128" s="237"/>
    </row>
    <row r="129">
      <c r="A129" s="228"/>
      <c r="B129" s="228"/>
      <c r="C129" s="228"/>
      <c r="D129" s="228"/>
      <c r="E129" s="228"/>
      <c r="F129" s="228"/>
      <c r="G129" s="228"/>
      <c r="H129" s="241"/>
      <c r="I129" s="228"/>
      <c r="J129" s="236"/>
      <c r="K129" s="228"/>
      <c r="L129" s="228"/>
      <c r="M129" s="238"/>
      <c r="N129" s="228"/>
      <c r="O129" s="235"/>
      <c r="P129" s="236"/>
      <c r="Q129" s="235"/>
      <c r="R129" s="235"/>
      <c r="S129" s="236"/>
      <c r="T129" s="236"/>
      <c r="U129" s="237"/>
      <c r="V129" s="237"/>
      <c r="W129" s="238"/>
      <c r="X129" s="237"/>
      <c r="Y129" s="237"/>
      <c r="Z129" s="237"/>
      <c r="AA129" s="239"/>
      <c r="AB129" s="238"/>
      <c r="AC129" s="238"/>
      <c r="AD129" s="240"/>
      <c r="AE129" s="241"/>
      <c r="AF129" s="241"/>
      <c r="AG129" s="238"/>
      <c r="AH129" s="240"/>
      <c r="AI129" s="241"/>
      <c r="AJ129" s="241"/>
      <c r="AK129" s="241"/>
      <c r="AL129" s="237"/>
      <c r="AM129" s="237"/>
      <c r="AN129" s="237"/>
      <c r="AO129" s="237"/>
      <c r="AP129" s="237"/>
      <c r="AQ129" s="237"/>
      <c r="AR129" s="237"/>
    </row>
    <row r="130">
      <c r="A130" s="228"/>
      <c r="B130" s="228"/>
      <c r="C130" s="228"/>
      <c r="D130" s="228"/>
      <c r="E130" s="228"/>
      <c r="F130" s="228"/>
      <c r="G130" s="228"/>
      <c r="H130" s="241"/>
      <c r="I130" s="228"/>
      <c r="J130" s="236"/>
      <c r="K130" s="228"/>
      <c r="L130" s="228"/>
      <c r="M130" s="238"/>
      <c r="N130" s="228"/>
      <c r="O130" s="235"/>
      <c r="P130" s="236"/>
      <c r="Q130" s="235"/>
      <c r="R130" s="235"/>
      <c r="S130" s="236"/>
      <c r="T130" s="236"/>
      <c r="U130" s="237"/>
      <c r="V130" s="237"/>
      <c r="W130" s="238"/>
      <c r="X130" s="237"/>
      <c r="Y130" s="237"/>
      <c r="Z130" s="237"/>
      <c r="AA130" s="239"/>
      <c r="AB130" s="238"/>
      <c r="AC130" s="238"/>
      <c r="AD130" s="240"/>
      <c r="AE130" s="241"/>
      <c r="AF130" s="241"/>
      <c r="AG130" s="238"/>
      <c r="AH130" s="240"/>
      <c r="AI130" s="241"/>
      <c r="AJ130" s="241"/>
      <c r="AK130" s="241"/>
      <c r="AL130" s="237"/>
      <c r="AM130" s="237"/>
      <c r="AN130" s="237"/>
      <c r="AO130" s="237"/>
      <c r="AP130" s="237"/>
      <c r="AQ130" s="237"/>
      <c r="AR130" s="237"/>
    </row>
    <row r="131">
      <c r="A131" s="228"/>
      <c r="B131" s="228"/>
      <c r="C131" s="228"/>
      <c r="D131" s="228"/>
      <c r="E131" s="228"/>
      <c r="F131" s="228"/>
      <c r="G131" s="228"/>
      <c r="H131" s="241"/>
      <c r="I131" s="228"/>
      <c r="J131" s="236"/>
      <c r="K131" s="228"/>
      <c r="L131" s="228"/>
      <c r="M131" s="238"/>
      <c r="N131" s="228"/>
      <c r="O131" s="235"/>
      <c r="P131" s="236"/>
      <c r="Q131" s="235"/>
      <c r="R131" s="235"/>
      <c r="S131" s="236"/>
      <c r="T131" s="236"/>
      <c r="U131" s="237"/>
      <c r="V131" s="237"/>
      <c r="W131" s="238"/>
      <c r="X131" s="237"/>
      <c r="Y131" s="237"/>
      <c r="Z131" s="237"/>
      <c r="AA131" s="239"/>
      <c r="AB131" s="238"/>
      <c r="AC131" s="238"/>
      <c r="AD131" s="240"/>
      <c r="AE131" s="241"/>
      <c r="AF131" s="241"/>
      <c r="AG131" s="238"/>
      <c r="AH131" s="240"/>
      <c r="AI131" s="241"/>
      <c r="AJ131" s="241"/>
      <c r="AK131" s="241"/>
      <c r="AL131" s="237"/>
      <c r="AM131" s="237"/>
      <c r="AN131" s="237"/>
      <c r="AO131" s="237"/>
      <c r="AP131" s="237"/>
      <c r="AQ131" s="237"/>
      <c r="AR131" s="237"/>
    </row>
    <row r="132">
      <c r="A132" s="228"/>
      <c r="B132" s="228"/>
      <c r="C132" s="228"/>
      <c r="D132" s="228"/>
      <c r="E132" s="228"/>
      <c r="F132" s="228"/>
      <c r="G132" s="228"/>
      <c r="H132" s="241"/>
      <c r="I132" s="228"/>
      <c r="J132" s="236"/>
      <c r="K132" s="228"/>
      <c r="L132" s="228"/>
      <c r="M132" s="238"/>
      <c r="N132" s="228"/>
      <c r="O132" s="235"/>
      <c r="P132" s="236"/>
      <c r="Q132" s="235"/>
      <c r="R132" s="235"/>
      <c r="S132" s="236"/>
      <c r="T132" s="236"/>
      <c r="U132" s="237"/>
      <c r="V132" s="237"/>
      <c r="W132" s="238"/>
      <c r="X132" s="237"/>
      <c r="Y132" s="237"/>
      <c r="Z132" s="237"/>
      <c r="AA132" s="239"/>
      <c r="AB132" s="238"/>
      <c r="AC132" s="238"/>
      <c r="AD132" s="240"/>
      <c r="AE132" s="241"/>
      <c r="AF132" s="241"/>
      <c r="AG132" s="238"/>
      <c r="AH132" s="240"/>
      <c r="AI132" s="241"/>
      <c r="AJ132" s="241"/>
      <c r="AK132" s="241"/>
      <c r="AL132" s="237"/>
      <c r="AM132" s="237"/>
      <c r="AN132" s="237"/>
      <c r="AO132" s="237"/>
      <c r="AP132" s="237"/>
      <c r="AQ132" s="237"/>
      <c r="AR132" s="237"/>
    </row>
    <row r="133">
      <c r="A133" s="228"/>
      <c r="B133" s="228"/>
      <c r="C133" s="228"/>
      <c r="D133" s="228"/>
      <c r="E133" s="228"/>
      <c r="F133" s="228"/>
      <c r="G133" s="228"/>
      <c r="H133" s="241"/>
      <c r="I133" s="228"/>
      <c r="J133" s="236"/>
      <c r="K133" s="228"/>
      <c r="L133" s="228"/>
      <c r="M133" s="238"/>
      <c r="N133" s="228"/>
      <c r="O133" s="235"/>
      <c r="P133" s="236"/>
      <c r="Q133" s="235"/>
      <c r="R133" s="235"/>
      <c r="S133" s="236"/>
      <c r="T133" s="236"/>
      <c r="U133" s="237"/>
      <c r="V133" s="237"/>
      <c r="W133" s="238"/>
      <c r="X133" s="237"/>
      <c r="Y133" s="237"/>
      <c r="Z133" s="237"/>
      <c r="AA133" s="239"/>
      <c r="AB133" s="238"/>
      <c r="AC133" s="238"/>
      <c r="AD133" s="240"/>
      <c r="AE133" s="241"/>
      <c r="AF133" s="241"/>
      <c r="AG133" s="238"/>
      <c r="AH133" s="240"/>
      <c r="AI133" s="241"/>
      <c r="AJ133" s="241"/>
      <c r="AK133" s="241"/>
      <c r="AL133" s="237"/>
      <c r="AM133" s="237"/>
      <c r="AN133" s="237"/>
      <c r="AO133" s="237"/>
      <c r="AP133" s="237"/>
      <c r="AQ133" s="237"/>
      <c r="AR133" s="237"/>
    </row>
    <row r="134">
      <c r="A134" s="228"/>
      <c r="B134" s="228"/>
      <c r="C134" s="228"/>
      <c r="D134" s="228"/>
      <c r="E134" s="228"/>
      <c r="F134" s="228"/>
      <c r="G134" s="228"/>
      <c r="H134" s="241"/>
      <c r="I134" s="228"/>
      <c r="J134" s="236"/>
      <c r="K134" s="228"/>
      <c r="L134" s="228"/>
      <c r="M134" s="238"/>
      <c r="N134" s="228"/>
      <c r="O134" s="235"/>
      <c r="P134" s="236"/>
      <c r="Q134" s="235"/>
      <c r="R134" s="235"/>
      <c r="S134" s="236"/>
      <c r="T134" s="236"/>
      <c r="U134" s="237"/>
      <c r="V134" s="237"/>
      <c r="W134" s="238"/>
      <c r="X134" s="237"/>
      <c r="Y134" s="237"/>
      <c r="Z134" s="237"/>
      <c r="AA134" s="239"/>
      <c r="AB134" s="238"/>
      <c r="AC134" s="238"/>
      <c r="AD134" s="240"/>
      <c r="AE134" s="241"/>
      <c r="AF134" s="241"/>
      <c r="AG134" s="238"/>
      <c r="AH134" s="240"/>
      <c r="AI134" s="241"/>
      <c r="AJ134" s="241"/>
      <c r="AK134" s="241"/>
      <c r="AL134" s="237"/>
      <c r="AM134" s="237"/>
      <c r="AN134" s="237"/>
      <c r="AO134" s="237"/>
      <c r="AP134" s="237"/>
      <c r="AQ134" s="237"/>
      <c r="AR134" s="237"/>
    </row>
    <row r="135">
      <c r="A135" s="228"/>
      <c r="B135" s="228"/>
      <c r="C135" s="228"/>
      <c r="D135" s="228"/>
      <c r="E135" s="228"/>
      <c r="F135" s="228"/>
      <c r="G135" s="228"/>
      <c r="H135" s="241"/>
      <c r="I135" s="228"/>
      <c r="J135" s="236"/>
      <c r="K135" s="228"/>
      <c r="L135" s="228"/>
      <c r="M135" s="238"/>
      <c r="N135" s="228"/>
      <c r="O135" s="235"/>
      <c r="P135" s="236"/>
      <c r="Q135" s="235"/>
      <c r="R135" s="235"/>
      <c r="S135" s="236"/>
      <c r="T135" s="236"/>
      <c r="U135" s="237"/>
      <c r="V135" s="237"/>
      <c r="W135" s="238"/>
      <c r="X135" s="237"/>
      <c r="Y135" s="237"/>
      <c r="Z135" s="237"/>
      <c r="AA135" s="239"/>
      <c r="AB135" s="238"/>
      <c r="AC135" s="238"/>
      <c r="AD135" s="240"/>
      <c r="AE135" s="241"/>
      <c r="AF135" s="241"/>
      <c r="AG135" s="238"/>
      <c r="AH135" s="240"/>
      <c r="AI135" s="241"/>
      <c r="AJ135" s="241"/>
      <c r="AK135" s="241"/>
      <c r="AL135" s="237"/>
      <c r="AM135" s="237"/>
      <c r="AN135" s="237"/>
      <c r="AO135" s="237"/>
      <c r="AP135" s="237"/>
      <c r="AQ135" s="237"/>
      <c r="AR135" s="237"/>
    </row>
    <row r="136">
      <c r="A136" s="228"/>
      <c r="B136" s="228"/>
      <c r="C136" s="228"/>
      <c r="D136" s="228"/>
      <c r="E136" s="228"/>
      <c r="F136" s="228"/>
      <c r="G136" s="228"/>
      <c r="H136" s="241"/>
      <c r="I136" s="228"/>
      <c r="J136" s="236"/>
      <c r="K136" s="228"/>
      <c r="L136" s="228"/>
      <c r="M136" s="238"/>
      <c r="N136" s="228"/>
      <c r="O136" s="235"/>
      <c r="P136" s="236"/>
      <c r="Q136" s="235"/>
      <c r="R136" s="235"/>
      <c r="S136" s="236"/>
      <c r="T136" s="236"/>
      <c r="U136" s="237"/>
      <c r="V136" s="237"/>
      <c r="W136" s="238"/>
      <c r="X136" s="237"/>
      <c r="Y136" s="237"/>
      <c r="Z136" s="237"/>
      <c r="AA136" s="239"/>
      <c r="AB136" s="238"/>
      <c r="AC136" s="238"/>
      <c r="AD136" s="240"/>
      <c r="AE136" s="241"/>
      <c r="AF136" s="241"/>
      <c r="AG136" s="238"/>
      <c r="AH136" s="240"/>
      <c r="AI136" s="241"/>
      <c r="AJ136" s="241"/>
      <c r="AK136" s="241"/>
      <c r="AL136" s="237"/>
      <c r="AM136" s="237"/>
      <c r="AN136" s="237"/>
      <c r="AO136" s="237"/>
      <c r="AP136" s="237"/>
      <c r="AQ136" s="237"/>
      <c r="AR136" s="237"/>
    </row>
    <row r="137">
      <c r="A137" s="228"/>
      <c r="B137" s="228"/>
      <c r="C137" s="228"/>
      <c r="D137" s="228"/>
      <c r="E137" s="228"/>
      <c r="F137" s="228"/>
      <c r="G137" s="228"/>
      <c r="H137" s="241"/>
      <c r="I137" s="228"/>
      <c r="J137" s="236"/>
      <c r="K137" s="228"/>
      <c r="L137" s="228"/>
      <c r="M137" s="238"/>
      <c r="N137" s="228"/>
      <c r="O137" s="235"/>
      <c r="P137" s="236"/>
      <c r="Q137" s="235"/>
      <c r="R137" s="235"/>
      <c r="S137" s="236"/>
      <c r="T137" s="236"/>
      <c r="U137" s="237"/>
      <c r="V137" s="237"/>
      <c r="W137" s="238"/>
      <c r="X137" s="237"/>
      <c r="Y137" s="237"/>
      <c r="Z137" s="237"/>
      <c r="AA137" s="239"/>
      <c r="AB137" s="238"/>
      <c r="AC137" s="238"/>
      <c r="AD137" s="240"/>
      <c r="AE137" s="241"/>
      <c r="AF137" s="241"/>
      <c r="AG137" s="238"/>
      <c r="AH137" s="240"/>
      <c r="AI137" s="241"/>
      <c r="AJ137" s="241"/>
      <c r="AK137" s="241"/>
      <c r="AL137" s="237"/>
      <c r="AM137" s="237"/>
      <c r="AN137" s="237"/>
      <c r="AO137" s="237"/>
      <c r="AP137" s="237"/>
      <c r="AQ137" s="237"/>
      <c r="AR137" s="237"/>
    </row>
    <row r="138">
      <c r="A138" s="228"/>
      <c r="B138" s="228"/>
      <c r="C138" s="228"/>
      <c r="D138" s="228"/>
      <c r="E138" s="228"/>
      <c r="F138" s="228"/>
      <c r="G138" s="228"/>
      <c r="H138" s="241"/>
      <c r="I138" s="228"/>
      <c r="J138" s="236"/>
      <c r="K138" s="228"/>
      <c r="L138" s="228"/>
      <c r="M138" s="238"/>
      <c r="N138" s="228"/>
      <c r="O138" s="235"/>
      <c r="P138" s="236"/>
      <c r="Q138" s="235"/>
      <c r="R138" s="235"/>
      <c r="S138" s="236"/>
      <c r="T138" s="236"/>
      <c r="U138" s="237"/>
      <c r="V138" s="237"/>
      <c r="W138" s="238"/>
      <c r="X138" s="237"/>
      <c r="Y138" s="237"/>
      <c r="Z138" s="237"/>
      <c r="AA138" s="239"/>
      <c r="AB138" s="238"/>
      <c r="AC138" s="238"/>
      <c r="AD138" s="240"/>
      <c r="AE138" s="241"/>
      <c r="AF138" s="241"/>
      <c r="AG138" s="238"/>
      <c r="AH138" s="240"/>
      <c r="AI138" s="241"/>
      <c r="AJ138" s="241"/>
      <c r="AK138" s="241"/>
      <c r="AL138" s="237"/>
      <c r="AM138" s="237"/>
      <c r="AN138" s="237"/>
      <c r="AO138" s="237"/>
      <c r="AP138" s="237"/>
      <c r="AQ138" s="237"/>
      <c r="AR138" s="237"/>
    </row>
    <row r="139">
      <c r="A139" s="228"/>
      <c r="B139" s="228"/>
      <c r="C139" s="228"/>
      <c r="D139" s="228"/>
      <c r="E139" s="228"/>
      <c r="F139" s="228"/>
      <c r="G139" s="228"/>
      <c r="H139" s="241"/>
      <c r="I139" s="228"/>
      <c r="J139" s="236"/>
      <c r="K139" s="228"/>
      <c r="L139" s="228"/>
      <c r="M139" s="238"/>
      <c r="N139" s="228"/>
      <c r="O139" s="235"/>
      <c r="P139" s="236"/>
      <c r="Q139" s="235"/>
      <c r="R139" s="235"/>
      <c r="S139" s="236"/>
      <c r="T139" s="236"/>
      <c r="U139" s="237"/>
      <c r="V139" s="237"/>
      <c r="W139" s="238"/>
      <c r="X139" s="237"/>
      <c r="Y139" s="237"/>
      <c r="Z139" s="237"/>
      <c r="AA139" s="239"/>
      <c r="AB139" s="238"/>
      <c r="AC139" s="238"/>
      <c r="AD139" s="240"/>
      <c r="AE139" s="241"/>
      <c r="AF139" s="241"/>
      <c r="AG139" s="238"/>
      <c r="AH139" s="240"/>
      <c r="AI139" s="241"/>
      <c r="AJ139" s="241"/>
      <c r="AK139" s="241"/>
      <c r="AL139" s="237"/>
      <c r="AM139" s="237"/>
      <c r="AN139" s="237"/>
      <c r="AO139" s="237"/>
      <c r="AP139" s="237"/>
      <c r="AQ139" s="237"/>
      <c r="AR139" s="237"/>
    </row>
    <row r="140">
      <c r="A140" s="228"/>
      <c r="B140" s="228"/>
      <c r="C140" s="228"/>
      <c r="D140" s="228"/>
      <c r="E140" s="228"/>
      <c r="F140" s="228"/>
      <c r="G140" s="228"/>
      <c r="H140" s="241"/>
      <c r="I140" s="228"/>
      <c r="J140" s="236"/>
      <c r="K140" s="228"/>
      <c r="L140" s="228"/>
      <c r="M140" s="238"/>
      <c r="N140" s="228"/>
      <c r="O140" s="235"/>
      <c r="P140" s="236"/>
      <c r="Q140" s="235"/>
      <c r="R140" s="235"/>
      <c r="S140" s="236"/>
      <c r="T140" s="236"/>
      <c r="U140" s="237"/>
      <c r="V140" s="237"/>
      <c r="W140" s="238"/>
      <c r="X140" s="237"/>
      <c r="Y140" s="237"/>
      <c r="Z140" s="237"/>
      <c r="AA140" s="239"/>
      <c r="AB140" s="238"/>
      <c r="AC140" s="238"/>
      <c r="AD140" s="240"/>
      <c r="AE140" s="241"/>
      <c r="AF140" s="241"/>
      <c r="AG140" s="238"/>
      <c r="AH140" s="240"/>
      <c r="AI140" s="241"/>
      <c r="AJ140" s="241"/>
      <c r="AK140" s="241"/>
      <c r="AL140" s="237"/>
      <c r="AM140" s="237"/>
      <c r="AN140" s="237"/>
      <c r="AO140" s="237"/>
      <c r="AP140" s="237"/>
      <c r="AQ140" s="237"/>
      <c r="AR140" s="237"/>
    </row>
    <row r="141">
      <c r="A141" s="228"/>
      <c r="B141" s="228"/>
      <c r="C141" s="228"/>
      <c r="D141" s="228"/>
      <c r="E141" s="228"/>
      <c r="F141" s="228"/>
      <c r="G141" s="228"/>
      <c r="H141" s="241"/>
      <c r="I141" s="228"/>
      <c r="J141" s="236"/>
      <c r="K141" s="228"/>
      <c r="L141" s="228"/>
      <c r="M141" s="238"/>
      <c r="N141" s="228"/>
      <c r="O141" s="235"/>
      <c r="P141" s="236"/>
      <c r="Q141" s="235"/>
      <c r="R141" s="235"/>
      <c r="S141" s="236"/>
      <c r="T141" s="236"/>
      <c r="U141" s="237"/>
      <c r="V141" s="237"/>
      <c r="W141" s="238"/>
      <c r="X141" s="237"/>
      <c r="Y141" s="237"/>
      <c r="Z141" s="237"/>
      <c r="AA141" s="239"/>
      <c r="AB141" s="238"/>
      <c r="AC141" s="238"/>
      <c r="AD141" s="240"/>
      <c r="AE141" s="241"/>
      <c r="AF141" s="241"/>
      <c r="AG141" s="238"/>
      <c r="AH141" s="240"/>
      <c r="AI141" s="241"/>
      <c r="AJ141" s="241"/>
      <c r="AK141" s="241"/>
      <c r="AL141" s="237"/>
      <c r="AM141" s="237"/>
      <c r="AN141" s="237"/>
      <c r="AO141" s="237"/>
      <c r="AP141" s="237"/>
      <c r="AQ141" s="237"/>
      <c r="AR141" s="237"/>
    </row>
    <row r="142">
      <c r="A142" s="228"/>
      <c r="B142" s="228"/>
      <c r="C142" s="228"/>
      <c r="D142" s="228"/>
      <c r="E142" s="228"/>
      <c r="F142" s="228"/>
      <c r="G142" s="228"/>
      <c r="H142" s="241"/>
      <c r="I142" s="228"/>
      <c r="J142" s="236"/>
      <c r="K142" s="228"/>
      <c r="L142" s="228"/>
      <c r="M142" s="238"/>
      <c r="N142" s="228"/>
      <c r="O142" s="235"/>
      <c r="P142" s="236"/>
      <c r="Q142" s="235"/>
      <c r="R142" s="235"/>
      <c r="S142" s="236"/>
      <c r="T142" s="236"/>
      <c r="U142" s="237"/>
      <c r="V142" s="237"/>
      <c r="W142" s="238"/>
      <c r="X142" s="237"/>
      <c r="Y142" s="237"/>
      <c r="Z142" s="237"/>
      <c r="AA142" s="239"/>
      <c r="AB142" s="238"/>
      <c r="AC142" s="238"/>
      <c r="AD142" s="240"/>
      <c r="AE142" s="241"/>
      <c r="AF142" s="241"/>
      <c r="AG142" s="238"/>
      <c r="AH142" s="240"/>
      <c r="AI142" s="241"/>
      <c r="AJ142" s="241"/>
      <c r="AK142" s="241"/>
      <c r="AL142" s="237"/>
      <c r="AM142" s="237"/>
      <c r="AN142" s="237"/>
      <c r="AO142" s="237"/>
      <c r="AP142" s="237"/>
      <c r="AQ142" s="237"/>
      <c r="AR142" s="237"/>
    </row>
    <row r="143">
      <c r="A143" s="228"/>
      <c r="B143" s="228"/>
      <c r="C143" s="228"/>
      <c r="D143" s="228"/>
      <c r="E143" s="228"/>
      <c r="F143" s="228"/>
      <c r="G143" s="228"/>
      <c r="H143" s="241"/>
      <c r="I143" s="228"/>
      <c r="J143" s="236"/>
      <c r="K143" s="228"/>
      <c r="L143" s="228"/>
      <c r="M143" s="238"/>
      <c r="N143" s="228"/>
      <c r="O143" s="235"/>
      <c r="P143" s="236"/>
      <c r="Q143" s="235"/>
      <c r="R143" s="235"/>
      <c r="S143" s="236"/>
      <c r="T143" s="236"/>
      <c r="U143" s="237"/>
      <c r="V143" s="237"/>
      <c r="W143" s="238"/>
      <c r="X143" s="237"/>
      <c r="Y143" s="237"/>
      <c r="Z143" s="237"/>
      <c r="AA143" s="239"/>
      <c r="AB143" s="238"/>
      <c r="AC143" s="238"/>
      <c r="AD143" s="240"/>
      <c r="AE143" s="241"/>
      <c r="AF143" s="241"/>
      <c r="AG143" s="238"/>
      <c r="AH143" s="240"/>
      <c r="AI143" s="241"/>
      <c r="AJ143" s="241"/>
      <c r="AK143" s="241"/>
      <c r="AL143" s="237"/>
      <c r="AM143" s="237"/>
      <c r="AN143" s="237"/>
      <c r="AO143" s="237"/>
      <c r="AP143" s="237"/>
      <c r="AQ143" s="237"/>
      <c r="AR143" s="237"/>
    </row>
    <row r="144">
      <c r="A144" s="228"/>
      <c r="B144" s="228"/>
      <c r="C144" s="228"/>
      <c r="D144" s="228"/>
      <c r="E144" s="228"/>
      <c r="F144" s="228"/>
      <c r="G144" s="228"/>
      <c r="H144" s="241"/>
      <c r="I144" s="228"/>
      <c r="J144" s="236"/>
      <c r="K144" s="228"/>
      <c r="L144" s="228"/>
      <c r="M144" s="238"/>
      <c r="N144" s="228"/>
      <c r="O144" s="235"/>
      <c r="P144" s="236"/>
      <c r="Q144" s="235"/>
      <c r="R144" s="235"/>
      <c r="S144" s="236"/>
      <c r="T144" s="236"/>
      <c r="U144" s="237"/>
      <c r="V144" s="237"/>
      <c r="W144" s="238"/>
      <c r="X144" s="237"/>
      <c r="Y144" s="237"/>
      <c r="Z144" s="237"/>
      <c r="AA144" s="239"/>
      <c r="AB144" s="238"/>
      <c r="AC144" s="238"/>
      <c r="AD144" s="240"/>
      <c r="AE144" s="241"/>
      <c r="AF144" s="241"/>
      <c r="AG144" s="238"/>
      <c r="AH144" s="240"/>
      <c r="AI144" s="241"/>
      <c r="AJ144" s="241"/>
      <c r="AK144" s="241"/>
      <c r="AL144" s="237"/>
      <c r="AM144" s="237"/>
      <c r="AN144" s="237"/>
      <c r="AO144" s="237"/>
      <c r="AP144" s="237"/>
      <c r="AQ144" s="237"/>
      <c r="AR144" s="237"/>
    </row>
    <row r="145">
      <c r="A145" s="228"/>
      <c r="B145" s="228"/>
      <c r="C145" s="228"/>
      <c r="D145" s="228"/>
      <c r="E145" s="228"/>
      <c r="F145" s="228"/>
      <c r="G145" s="228"/>
      <c r="H145" s="241"/>
      <c r="I145" s="228"/>
      <c r="J145" s="236"/>
      <c r="K145" s="228"/>
      <c r="L145" s="228"/>
      <c r="M145" s="238"/>
      <c r="N145" s="228"/>
      <c r="O145" s="235"/>
      <c r="P145" s="236"/>
      <c r="Q145" s="235"/>
      <c r="R145" s="235"/>
      <c r="S145" s="236"/>
      <c r="T145" s="236"/>
      <c r="U145" s="237"/>
      <c r="V145" s="237"/>
      <c r="W145" s="238"/>
      <c r="X145" s="237"/>
      <c r="Y145" s="237"/>
      <c r="Z145" s="237"/>
      <c r="AA145" s="239"/>
      <c r="AB145" s="238"/>
      <c r="AC145" s="238"/>
      <c r="AD145" s="240"/>
      <c r="AE145" s="241"/>
      <c r="AF145" s="241"/>
      <c r="AG145" s="238"/>
      <c r="AH145" s="240"/>
      <c r="AI145" s="241"/>
      <c r="AJ145" s="241"/>
      <c r="AK145" s="241"/>
      <c r="AL145" s="237"/>
      <c r="AM145" s="237"/>
      <c r="AN145" s="237"/>
      <c r="AO145" s="237"/>
      <c r="AP145" s="237"/>
      <c r="AQ145" s="237"/>
      <c r="AR145" s="237"/>
    </row>
    <row r="146">
      <c r="A146" s="228"/>
      <c r="B146" s="228"/>
      <c r="C146" s="228"/>
      <c r="D146" s="228"/>
      <c r="E146" s="228"/>
      <c r="F146" s="228"/>
      <c r="G146" s="228"/>
      <c r="H146" s="241"/>
      <c r="I146" s="228"/>
      <c r="J146" s="236"/>
      <c r="K146" s="228"/>
      <c r="L146" s="228"/>
      <c r="M146" s="238"/>
      <c r="N146" s="228"/>
      <c r="O146" s="235"/>
      <c r="P146" s="236"/>
      <c r="Q146" s="235"/>
      <c r="R146" s="235"/>
      <c r="S146" s="236"/>
      <c r="T146" s="236"/>
      <c r="U146" s="237"/>
      <c r="V146" s="237"/>
      <c r="W146" s="238"/>
      <c r="X146" s="237"/>
      <c r="Y146" s="237"/>
      <c r="Z146" s="237"/>
      <c r="AA146" s="239"/>
      <c r="AB146" s="238"/>
      <c r="AC146" s="238"/>
      <c r="AD146" s="240"/>
      <c r="AE146" s="241"/>
      <c r="AF146" s="241"/>
      <c r="AG146" s="238"/>
      <c r="AH146" s="240"/>
      <c r="AI146" s="241"/>
      <c r="AJ146" s="241"/>
      <c r="AK146" s="241"/>
      <c r="AL146" s="237"/>
      <c r="AM146" s="237"/>
      <c r="AN146" s="237"/>
      <c r="AO146" s="237"/>
      <c r="AP146" s="237"/>
      <c r="AQ146" s="237"/>
      <c r="AR146" s="237"/>
    </row>
    <row r="147">
      <c r="A147" s="228"/>
      <c r="B147" s="228"/>
      <c r="C147" s="228"/>
      <c r="D147" s="228"/>
      <c r="E147" s="228"/>
      <c r="F147" s="228"/>
      <c r="G147" s="228"/>
      <c r="H147" s="241"/>
      <c r="I147" s="228"/>
      <c r="J147" s="236"/>
      <c r="K147" s="228"/>
      <c r="L147" s="228"/>
      <c r="M147" s="238"/>
      <c r="N147" s="228"/>
      <c r="O147" s="235"/>
      <c r="P147" s="236"/>
      <c r="Q147" s="235"/>
      <c r="R147" s="235"/>
      <c r="S147" s="236"/>
      <c r="T147" s="236"/>
      <c r="U147" s="237"/>
      <c r="V147" s="237"/>
      <c r="W147" s="238"/>
      <c r="X147" s="237"/>
      <c r="Y147" s="237"/>
      <c r="Z147" s="237"/>
      <c r="AA147" s="239"/>
      <c r="AB147" s="238"/>
      <c r="AC147" s="238"/>
      <c r="AD147" s="240"/>
      <c r="AE147" s="241"/>
      <c r="AF147" s="241"/>
      <c r="AG147" s="238"/>
      <c r="AH147" s="240"/>
      <c r="AI147" s="241"/>
      <c r="AJ147" s="241"/>
      <c r="AK147" s="241"/>
      <c r="AL147" s="237"/>
      <c r="AM147" s="237"/>
      <c r="AN147" s="237"/>
      <c r="AO147" s="237"/>
      <c r="AP147" s="237"/>
      <c r="AQ147" s="237"/>
      <c r="AR147" s="237"/>
    </row>
    <row r="148">
      <c r="A148" s="228"/>
      <c r="B148" s="228"/>
      <c r="C148" s="228"/>
      <c r="D148" s="228"/>
      <c r="E148" s="228"/>
      <c r="F148" s="228"/>
      <c r="G148" s="228"/>
      <c r="H148" s="241"/>
      <c r="I148" s="228"/>
      <c r="J148" s="236"/>
      <c r="K148" s="228"/>
      <c r="L148" s="228"/>
      <c r="M148" s="238"/>
      <c r="N148" s="228"/>
      <c r="O148" s="235"/>
      <c r="P148" s="236"/>
      <c r="Q148" s="235"/>
      <c r="R148" s="235"/>
      <c r="S148" s="236"/>
      <c r="T148" s="236"/>
      <c r="U148" s="237"/>
      <c r="V148" s="237"/>
      <c r="W148" s="238"/>
      <c r="X148" s="237"/>
      <c r="Y148" s="237"/>
      <c r="Z148" s="237"/>
      <c r="AA148" s="239"/>
      <c r="AB148" s="238"/>
      <c r="AC148" s="238"/>
      <c r="AD148" s="240"/>
      <c r="AE148" s="241"/>
      <c r="AF148" s="241"/>
      <c r="AG148" s="238"/>
      <c r="AH148" s="240"/>
      <c r="AI148" s="241"/>
      <c r="AJ148" s="241"/>
      <c r="AK148" s="241"/>
      <c r="AL148" s="237"/>
      <c r="AM148" s="237"/>
      <c r="AN148" s="237"/>
      <c r="AO148" s="237"/>
      <c r="AP148" s="237"/>
      <c r="AQ148" s="237"/>
      <c r="AR148" s="237"/>
    </row>
    <row r="149">
      <c r="A149" s="228"/>
      <c r="B149" s="228"/>
      <c r="C149" s="228"/>
      <c r="D149" s="228"/>
      <c r="E149" s="228"/>
      <c r="F149" s="228"/>
      <c r="G149" s="228"/>
      <c r="H149" s="241"/>
      <c r="I149" s="228"/>
      <c r="J149" s="236"/>
      <c r="K149" s="228"/>
      <c r="L149" s="228"/>
      <c r="M149" s="238"/>
      <c r="N149" s="228"/>
      <c r="O149" s="235"/>
      <c r="P149" s="236"/>
      <c r="Q149" s="235"/>
      <c r="R149" s="235"/>
      <c r="S149" s="236"/>
      <c r="T149" s="236"/>
      <c r="U149" s="237"/>
      <c r="V149" s="237"/>
      <c r="W149" s="238"/>
      <c r="X149" s="237"/>
      <c r="Y149" s="237"/>
      <c r="Z149" s="237"/>
      <c r="AA149" s="239"/>
      <c r="AB149" s="238"/>
      <c r="AC149" s="238"/>
      <c r="AD149" s="240"/>
      <c r="AE149" s="241"/>
      <c r="AF149" s="241"/>
      <c r="AG149" s="238"/>
      <c r="AH149" s="240"/>
      <c r="AI149" s="241"/>
      <c r="AJ149" s="241"/>
      <c r="AK149" s="241"/>
      <c r="AL149" s="237"/>
      <c r="AM149" s="237"/>
      <c r="AN149" s="237"/>
      <c r="AO149" s="237"/>
      <c r="AP149" s="237"/>
      <c r="AQ149" s="237"/>
      <c r="AR149" s="237"/>
    </row>
    <row r="150">
      <c r="A150" s="228"/>
      <c r="B150" s="228"/>
      <c r="C150" s="228"/>
      <c r="D150" s="228"/>
      <c r="E150" s="228"/>
      <c r="F150" s="228"/>
      <c r="G150" s="228"/>
      <c r="H150" s="241"/>
      <c r="I150" s="228"/>
      <c r="J150" s="236"/>
      <c r="K150" s="228"/>
      <c r="L150" s="228"/>
      <c r="M150" s="238"/>
      <c r="N150" s="228"/>
      <c r="O150" s="235"/>
      <c r="P150" s="236"/>
      <c r="Q150" s="235"/>
      <c r="R150" s="235"/>
      <c r="S150" s="236"/>
      <c r="T150" s="236"/>
      <c r="U150" s="237"/>
      <c r="V150" s="237"/>
      <c r="W150" s="238"/>
      <c r="X150" s="237"/>
      <c r="Y150" s="237"/>
      <c r="Z150" s="237"/>
      <c r="AA150" s="239"/>
      <c r="AB150" s="238"/>
      <c r="AC150" s="238"/>
      <c r="AD150" s="240"/>
      <c r="AE150" s="241"/>
      <c r="AF150" s="241"/>
      <c r="AG150" s="238"/>
      <c r="AH150" s="240"/>
      <c r="AI150" s="241"/>
      <c r="AJ150" s="241"/>
      <c r="AK150" s="241"/>
      <c r="AL150" s="237"/>
      <c r="AM150" s="237"/>
      <c r="AN150" s="237"/>
      <c r="AO150" s="237"/>
      <c r="AP150" s="237"/>
      <c r="AQ150" s="237"/>
      <c r="AR150" s="237"/>
    </row>
    <row r="151">
      <c r="A151" s="228"/>
      <c r="B151" s="228"/>
      <c r="C151" s="228"/>
      <c r="D151" s="228"/>
      <c r="E151" s="228"/>
      <c r="F151" s="228"/>
      <c r="G151" s="228"/>
      <c r="H151" s="241"/>
      <c r="I151" s="228"/>
      <c r="J151" s="236"/>
      <c r="K151" s="228"/>
      <c r="L151" s="228"/>
      <c r="M151" s="238"/>
      <c r="N151" s="228"/>
      <c r="O151" s="235"/>
      <c r="P151" s="236"/>
      <c r="Q151" s="235"/>
      <c r="R151" s="235"/>
      <c r="S151" s="236"/>
      <c r="T151" s="236"/>
      <c r="U151" s="237"/>
      <c r="V151" s="237"/>
      <c r="W151" s="238"/>
      <c r="X151" s="237"/>
      <c r="Y151" s="237"/>
      <c r="Z151" s="237"/>
      <c r="AA151" s="239"/>
      <c r="AB151" s="238"/>
      <c r="AC151" s="238"/>
      <c r="AD151" s="240"/>
      <c r="AE151" s="241"/>
      <c r="AF151" s="241"/>
      <c r="AG151" s="238"/>
      <c r="AH151" s="240"/>
      <c r="AI151" s="241"/>
      <c r="AJ151" s="241"/>
      <c r="AK151" s="241"/>
      <c r="AL151" s="237"/>
      <c r="AM151" s="237"/>
      <c r="AN151" s="237"/>
      <c r="AO151" s="237"/>
      <c r="AP151" s="237"/>
      <c r="AQ151" s="237"/>
      <c r="AR151" s="237"/>
    </row>
    <row r="152">
      <c r="A152" s="228"/>
      <c r="B152" s="228"/>
      <c r="C152" s="228"/>
      <c r="D152" s="228"/>
      <c r="E152" s="228"/>
      <c r="F152" s="228"/>
      <c r="G152" s="228"/>
      <c r="H152" s="241"/>
      <c r="I152" s="228"/>
      <c r="J152" s="236"/>
      <c r="K152" s="228"/>
      <c r="L152" s="228"/>
      <c r="M152" s="238"/>
      <c r="N152" s="228"/>
      <c r="O152" s="235"/>
      <c r="P152" s="236"/>
      <c r="Q152" s="235"/>
      <c r="R152" s="235"/>
      <c r="S152" s="236"/>
      <c r="T152" s="236"/>
      <c r="U152" s="237"/>
      <c r="V152" s="237"/>
      <c r="W152" s="238"/>
      <c r="X152" s="237"/>
      <c r="Y152" s="237"/>
      <c r="Z152" s="237"/>
      <c r="AA152" s="239"/>
      <c r="AB152" s="238"/>
      <c r="AC152" s="238"/>
      <c r="AD152" s="240"/>
      <c r="AE152" s="241"/>
      <c r="AF152" s="241"/>
      <c r="AG152" s="238"/>
      <c r="AH152" s="240"/>
      <c r="AI152" s="241"/>
      <c r="AJ152" s="241"/>
      <c r="AK152" s="241"/>
      <c r="AL152" s="237"/>
      <c r="AM152" s="237"/>
      <c r="AN152" s="237"/>
      <c r="AO152" s="237"/>
      <c r="AP152" s="237"/>
      <c r="AQ152" s="237"/>
      <c r="AR152" s="237"/>
    </row>
    <row r="153">
      <c r="A153" s="228"/>
      <c r="B153" s="228"/>
      <c r="C153" s="228"/>
      <c r="D153" s="228"/>
      <c r="E153" s="228"/>
      <c r="F153" s="228"/>
      <c r="G153" s="228"/>
      <c r="H153" s="241"/>
      <c r="I153" s="228"/>
      <c r="J153" s="236"/>
      <c r="K153" s="228"/>
      <c r="L153" s="228"/>
      <c r="M153" s="238"/>
      <c r="N153" s="228"/>
      <c r="O153" s="235"/>
      <c r="P153" s="236"/>
      <c r="Q153" s="235"/>
      <c r="R153" s="235"/>
      <c r="S153" s="236"/>
      <c r="T153" s="236"/>
      <c r="U153" s="237"/>
      <c r="V153" s="237"/>
      <c r="W153" s="238"/>
      <c r="X153" s="237"/>
      <c r="Y153" s="237"/>
      <c r="Z153" s="237"/>
      <c r="AA153" s="239"/>
      <c r="AB153" s="238"/>
      <c r="AC153" s="238"/>
      <c r="AD153" s="240"/>
      <c r="AE153" s="241"/>
      <c r="AF153" s="241"/>
      <c r="AG153" s="238"/>
      <c r="AH153" s="240"/>
      <c r="AI153" s="241"/>
      <c r="AJ153" s="241"/>
      <c r="AK153" s="241"/>
      <c r="AL153" s="237"/>
      <c r="AM153" s="237"/>
      <c r="AN153" s="237"/>
      <c r="AO153" s="237"/>
      <c r="AP153" s="237"/>
      <c r="AQ153" s="237"/>
      <c r="AR153" s="237"/>
    </row>
    <row r="154">
      <c r="A154" s="228"/>
      <c r="B154" s="228"/>
      <c r="C154" s="228"/>
      <c r="D154" s="228"/>
      <c r="E154" s="228"/>
      <c r="F154" s="228"/>
      <c r="G154" s="228"/>
      <c r="H154" s="241"/>
      <c r="I154" s="228"/>
      <c r="J154" s="236"/>
      <c r="K154" s="228"/>
      <c r="L154" s="228"/>
      <c r="M154" s="238"/>
      <c r="N154" s="228"/>
      <c r="O154" s="235"/>
      <c r="P154" s="236"/>
      <c r="Q154" s="235"/>
      <c r="R154" s="235"/>
      <c r="S154" s="236"/>
      <c r="T154" s="236"/>
      <c r="U154" s="237"/>
      <c r="V154" s="237"/>
      <c r="W154" s="238"/>
      <c r="X154" s="237"/>
      <c r="Y154" s="237"/>
      <c r="Z154" s="237"/>
      <c r="AA154" s="239"/>
      <c r="AB154" s="238"/>
      <c r="AC154" s="238"/>
      <c r="AD154" s="240"/>
      <c r="AE154" s="241"/>
      <c r="AF154" s="241"/>
      <c r="AG154" s="238"/>
      <c r="AH154" s="240"/>
      <c r="AI154" s="241"/>
      <c r="AJ154" s="241"/>
      <c r="AK154" s="241"/>
      <c r="AL154" s="237"/>
      <c r="AM154" s="237"/>
      <c r="AN154" s="237"/>
      <c r="AO154" s="237"/>
      <c r="AP154" s="237"/>
      <c r="AQ154" s="237"/>
      <c r="AR154" s="237"/>
    </row>
    <row r="155">
      <c r="A155" s="228"/>
      <c r="B155" s="228"/>
      <c r="C155" s="228"/>
      <c r="D155" s="228"/>
      <c r="E155" s="228"/>
      <c r="F155" s="228"/>
      <c r="G155" s="228"/>
      <c r="H155" s="241"/>
      <c r="I155" s="228"/>
      <c r="J155" s="236"/>
      <c r="K155" s="228"/>
      <c r="L155" s="228"/>
      <c r="M155" s="238"/>
      <c r="N155" s="228"/>
      <c r="O155" s="235"/>
      <c r="P155" s="236"/>
      <c r="Q155" s="235"/>
      <c r="R155" s="235"/>
      <c r="S155" s="236"/>
      <c r="T155" s="236"/>
      <c r="U155" s="237"/>
      <c r="V155" s="237"/>
      <c r="W155" s="238"/>
      <c r="X155" s="237"/>
      <c r="Y155" s="237"/>
      <c r="Z155" s="237"/>
      <c r="AA155" s="239"/>
      <c r="AB155" s="238"/>
      <c r="AC155" s="238"/>
      <c r="AD155" s="240"/>
      <c r="AE155" s="241"/>
      <c r="AF155" s="241"/>
      <c r="AG155" s="238"/>
      <c r="AH155" s="240"/>
      <c r="AI155" s="241"/>
      <c r="AJ155" s="241"/>
      <c r="AK155" s="241"/>
      <c r="AL155" s="237"/>
      <c r="AM155" s="237"/>
      <c r="AN155" s="237"/>
      <c r="AO155" s="237"/>
      <c r="AP155" s="237"/>
      <c r="AQ155" s="237"/>
      <c r="AR155" s="237"/>
    </row>
    <row r="156">
      <c r="A156" s="228"/>
      <c r="B156" s="228"/>
      <c r="C156" s="228"/>
      <c r="D156" s="228"/>
      <c r="E156" s="228"/>
      <c r="F156" s="228"/>
      <c r="G156" s="228"/>
      <c r="H156" s="241"/>
      <c r="I156" s="228"/>
      <c r="J156" s="236"/>
      <c r="K156" s="228"/>
      <c r="L156" s="228"/>
      <c r="M156" s="238"/>
      <c r="N156" s="228"/>
      <c r="O156" s="235"/>
      <c r="P156" s="236"/>
      <c r="Q156" s="235"/>
      <c r="R156" s="235"/>
      <c r="S156" s="236"/>
      <c r="T156" s="236"/>
      <c r="U156" s="237"/>
      <c r="V156" s="237"/>
      <c r="W156" s="238"/>
      <c r="X156" s="237"/>
      <c r="Y156" s="237"/>
      <c r="Z156" s="237"/>
      <c r="AA156" s="239"/>
      <c r="AB156" s="238"/>
      <c r="AC156" s="238"/>
      <c r="AD156" s="240"/>
      <c r="AE156" s="241"/>
      <c r="AF156" s="241"/>
      <c r="AG156" s="238"/>
      <c r="AH156" s="240"/>
      <c r="AI156" s="241"/>
      <c r="AJ156" s="241"/>
      <c r="AK156" s="241"/>
      <c r="AL156" s="237"/>
      <c r="AM156" s="237"/>
      <c r="AN156" s="237"/>
      <c r="AO156" s="237"/>
      <c r="AP156" s="237"/>
      <c r="AQ156" s="237"/>
      <c r="AR156" s="237"/>
    </row>
    <row r="157">
      <c r="A157" s="228"/>
      <c r="B157" s="228"/>
      <c r="C157" s="228"/>
      <c r="D157" s="228"/>
      <c r="E157" s="228"/>
      <c r="F157" s="228"/>
      <c r="G157" s="228"/>
      <c r="H157" s="241"/>
      <c r="I157" s="228"/>
      <c r="J157" s="236"/>
      <c r="K157" s="228"/>
      <c r="L157" s="228"/>
      <c r="M157" s="238"/>
      <c r="N157" s="228"/>
      <c r="O157" s="235"/>
      <c r="P157" s="236"/>
      <c r="Q157" s="235"/>
      <c r="R157" s="235"/>
      <c r="S157" s="236"/>
      <c r="T157" s="236"/>
      <c r="U157" s="237"/>
      <c r="V157" s="237"/>
      <c r="W157" s="238"/>
      <c r="X157" s="237"/>
      <c r="Y157" s="237"/>
      <c r="Z157" s="237"/>
      <c r="AA157" s="239"/>
      <c r="AB157" s="238"/>
      <c r="AC157" s="238"/>
      <c r="AD157" s="240"/>
      <c r="AE157" s="241"/>
      <c r="AF157" s="241"/>
      <c r="AG157" s="238"/>
      <c r="AH157" s="240"/>
      <c r="AI157" s="241"/>
      <c r="AJ157" s="241"/>
      <c r="AK157" s="241"/>
      <c r="AL157" s="237"/>
      <c r="AM157" s="237"/>
      <c r="AN157" s="237"/>
      <c r="AO157" s="237"/>
      <c r="AP157" s="237"/>
      <c r="AQ157" s="237"/>
      <c r="AR157" s="237"/>
    </row>
    <row r="158">
      <c r="A158" s="228"/>
      <c r="B158" s="228"/>
      <c r="C158" s="228"/>
      <c r="D158" s="228"/>
      <c r="E158" s="228"/>
      <c r="F158" s="228"/>
      <c r="G158" s="228"/>
      <c r="H158" s="241"/>
      <c r="I158" s="228"/>
      <c r="J158" s="236"/>
      <c r="K158" s="228"/>
      <c r="L158" s="228"/>
      <c r="M158" s="238"/>
      <c r="N158" s="228"/>
      <c r="O158" s="235"/>
      <c r="P158" s="236"/>
      <c r="Q158" s="235"/>
      <c r="R158" s="235"/>
      <c r="S158" s="236"/>
      <c r="T158" s="236"/>
      <c r="U158" s="237"/>
      <c r="V158" s="237"/>
      <c r="W158" s="238"/>
      <c r="X158" s="237"/>
      <c r="Y158" s="237"/>
      <c r="Z158" s="237"/>
      <c r="AA158" s="239"/>
      <c r="AB158" s="238"/>
      <c r="AC158" s="238"/>
      <c r="AD158" s="240"/>
      <c r="AE158" s="241"/>
      <c r="AF158" s="241"/>
      <c r="AG158" s="238"/>
      <c r="AH158" s="240"/>
      <c r="AI158" s="241"/>
      <c r="AJ158" s="241"/>
      <c r="AK158" s="241"/>
      <c r="AL158" s="237"/>
      <c r="AM158" s="237"/>
      <c r="AN158" s="237"/>
      <c r="AO158" s="237"/>
      <c r="AP158" s="237"/>
      <c r="AQ158" s="237"/>
      <c r="AR158" s="237"/>
    </row>
    <row r="159">
      <c r="A159" s="228"/>
      <c r="B159" s="228"/>
      <c r="C159" s="228"/>
      <c r="D159" s="228"/>
      <c r="E159" s="228"/>
      <c r="F159" s="228"/>
      <c r="G159" s="228"/>
      <c r="H159" s="241"/>
      <c r="I159" s="228"/>
      <c r="J159" s="236"/>
      <c r="K159" s="228"/>
      <c r="L159" s="228"/>
      <c r="M159" s="238"/>
      <c r="N159" s="228"/>
      <c r="O159" s="235"/>
      <c r="P159" s="236"/>
      <c r="Q159" s="235"/>
      <c r="R159" s="235"/>
      <c r="S159" s="236"/>
      <c r="T159" s="236"/>
      <c r="U159" s="237"/>
      <c r="V159" s="237"/>
      <c r="W159" s="238"/>
      <c r="X159" s="237"/>
      <c r="Y159" s="237"/>
      <c r="Z159" s="237"/>
      <c r="AA159" s="239"/>
      <c r="AB159" s="238"/>
      <c r="AC159" s="238"/>
      <c r="AD159" s="240"/>
      <c r="AE159" s="241"/>
      <c r="AF159" s="241"/>
      <c r="AG159" s="238"/>
      <c r="AH159" s="240"/>
      <c r="AI159" s="241"/>
      <c r="AJ159" s="241"/>
      <c r="AK159" s="241"/>
      <c r="AL159" s="237"/>
      <c r="AM159" s="237"/>
      <c r="AN159" s="237"/>
      <c r="AO159" s="237"/>
      <c r="AP159" s="237"/>
      <c r="AQ159" s="237"/>
      <c r="AR159" s="237"/>
    </row>
    <row r="160">
      <c r="A160" s="228"/>
      <c r="B160" s="228"/>
      <c r="C160" s="228"/>
      <c r="D160" s="228"/>
      <c r="E160" s="228"/>
      <c r="F160" s="228"/>
      <c r="G160" s="228"/>
      <c r="H160" s="241"/>
      <c r="I160" s="228"/>
      <c r="J160" s="236"/>
      <c r="K160" s="228"/>
      <c r="L160" s="228"/>
      <c r="M160" s="238"/>
      <c r="N160" s="228"/>
      <c r="O160" s="235"/>
      <c r="P160" s="236"/>
      <c r="Q160" s="235"/>
      <c r="R160" s="235"/>
      <c r="S160" s="236"/>
      <c r="T160" s="236"/>
      <c r="U160" s="237"/>
      <c r="V160" s="237"/>
      <c r="W160" s="238"/>
      <c r="X160" s="237"/>
      <c r="Y160" s="237"/>
      <c r="Z160" s="237"/>
      <c r="AA160" s="239"/>
      <c r="AB160" s="238"/>
      <c r="AC160" s="238"/>
      <c r="AD160" s="240"/>
      <c r="AE160" s="241"/>
      <c r="AF160" s="241"/>
      <c r="AG160" s="238"/>
      <c r="AH160" s="240"/>
      <c r="AI160" s="241"/>
      <c r="AJ160" s="241"/>
      <c r="AK160" s="241"/>
      <c r="AL160" s="237"/>
      <c r="AM160" s="237"/>
      <c r="AN160" s="237"/>
      <c r="AO160" s="237"/>
      <c r="AP160" s="237"/>
      <c r="AQ160" s="237"/>
      <c r="AR160" s="237"/>
    </row>
    <row r="161">
      <c r="A161" s="228"/>
      <c r="B161" s="228"/>
      <c r="C161" s="228"/>
      <c r="D161" s="228"/>
      <c r="E161" s="228"/>
      <c r="F161" s="228"/>
      <c r="G161" s="228"/>
      <c r="H161" s="241"/>
      <c r="I161" s="228"/>
      <c r="J161" s="236"/>
      <c r="K161" s="228"/>
      <c r="L161" s="228"/>
      <c r="M161" s="238"/>
      <c r="N161" s="228"/>
      <c r="O161" s="235"/>
      <c r="P161" s="236"/>
      <c r="Q161" s="235"/>
      <c r="R161" s="235"/>
      <c r="S161" s="236"/>
      <c r="T161" s="236"/>
      <c r="U161" s="237"/>
      <c r="V161" s="237"/>
      <c r="W161" s="238"/>
      <c r="X161" s="237"/>
      <c r="Y161" s="237"/>
      <c r="Z161" s="237"/>
      <c r="AA161" s="239"/>
      <c r="AB161" s="238"/>
      <c r="AC161" s="238"/>
      <c r="AD161" s="240"/>
      <c r="AE161" s="241"/>
      <c r="AF161" s="241"/>
      <c r="AG161" s="238"/>
      <c r="AH161" s="240"/>
      <c r="AI161" s="241"/>
      <c r="AJ161" s="241"/>
      <c r="AK161" s="241"/>
      <c r="AL161" s="237"/>
      <c r="AM161" s="237"/>
      <c r="AN161" s="237"/>
      <c r="AO161" s="237"/>
      <c r="AP161" s="237"/>
      <c r="AQ161" s="237"/>
      <c r="AR161" s="237"/>
    </row>
    <row r="162">
      <c r="A162" s="228"/>
      <c r="B162" s="228"/>
      <c r="C162" s="228"/>
      <c r="D162" s="228"/>
      <c r="E162" s="228"/>
      <c r="F162" s="228"/>
      <c r="G162" s="228"/>
      <c r="H162" s="241"/>
      <c r="I162" s="228"/>
      <c r="J162" s="236"/>
      <c r="K162" s="228"/>
      <c r="L162" s="228"/>
      <c r="M162" s="238"/>
      <c r="N162" s="228"/>
      <c r="O162" s="235"/>
      <c r="P162" s="236"/>
      <c r="Q162" s="235"/>
      <c r="R162" s="235"/>
      <c r="S162" s="236"/>
      <c r="T162" s="236"/>
      <c r="U162" s="237"/>
      <c r="V162" s="237"/>
      <c r="W162" s="238"/>
      <c r="X162" s="237"/>
      <c r="Y162" s="237"/>
      <c r="Z162" s="237"/>
      <c r="AA162" s="239"/>
      <c r="AB162" s="238"/>
      <c r="AC162" s="238"/>
      <c r="AD162" s="240"/>
      <c r="AE162" s="241"/>
      <c r="AF162" s="241"/>
      <c r="AG162" s="238"/>
      <c r="AH162" s="240"/>
      <c r="AI162" s="241"/>
      <c r="AJ162" s="241"/>
      <c r="AK162" s="241"/>
      <c r="AL162" s="237"/>
      <c r="AM162" s="237"/>
      <c r="AN162" s="237"/>
      <c r="AO162" s="237"/>
      <c r="AP162" s="237"/>
      <c r="AQ162" s="237"/>
      <c r="AR162" s="237"/>
    </row>
    <row r="163">
      <c r="A163" s="228"/>
      <c r="B163" s="228"/>
      <c r="C163" s="228"/>
      <c r="D163" s="228"/>
      <c r="E163" s="228"/>
      <c r="F163" s="228"/>
      <c r="G163" s="228"/>
      <c r="H163" s="241"/>
      <c r="I163" s="228"/>
      <c r="J163" s="236"/>
      <c r="K163" s="228"/>
      <c r="L163" s="228"/>
      <c r="M163" s="238"/>
      <c r="N163" s="228"/>
      <c r="O163" s="235"/>
      <c r="P163" s="236"/>
      <c r="Q163" s="235"/>
      <c r="R163" s="235"/>
      <c r="S163" s="236"/>
      <c r="T163" s="236"/>
      <c r="U163" s="237"/>
      <c r="V163" s="237"/>
      <c r="W163" s="238"/>
      <c r="X163" s="237"/>
      <c r="Y163" s="237"/>
      <c r="Z163" s="237"/>
      <c r="AA163" s="239"/>
      <c r="AB163" s="238"/>
      <c r="AC163" s="238"/>
      <c r="AD163" s="240"/>
      <c r="AE163" s="241"/>
      <c r="AF163" s="241"/>
      <c r="AG163" s="238"/>
      <c r="AH163" s="240"/>
      <c r="AI163" s="241"/>
      <c r="AJ163" s="241"/>
      <c r="AK163" s="241"/>
      <c r="AL163" s="237"/>
      <c r="AM163" s="237"/>
      <c r="AN163" s="237"/>
      <c r="AO163" s="237"/>
      <c r="AP163" s="237"/>
      <c r="AQ163" s="237"/>
      <c r="AR163" s="237"/>
    </row>
    <row r="164">
      <c r="A164" s="228"/>
      <c r="B164" s="228"/>
      <c r="C164" s="228"/>
      <c r="D164" s="228"/>
      <c r="E164" s="228"/>
      <c r="F164" s="228"/>
      <c r="G164" s="228"/>
      <c r="H164" s="241"/>
      <c r="I164" s="228"/>
      <c r="J164" s="236"/>
      <c r="K164" s="228"/>
      <c r="L164" s="228"/>
      <c r="M164" s="238"/>
      <c r="N164" s="228"/>
      <c r="O164" s="235"/>
      <c r="P164" s="236"/>
      <c r="Q164" s="235"/>
      <c r="R164" s="235"/>
      <c r="S164" s="236"/>
      <c r="T164" s="236"/>
      <c r="U164" s="237"/>
      <c r="V164" s="237"/>
      <c r="W164" s="238"/>
      <c r="X164" s="237"/>
      <c r="Y164" s="237"/>
      <c r="Z164" s="237"/>
      <c r="AA164" s="239"/>
      <c r="AB164" s="238"/>
      <c r="AC164" s="238"/>
      <c r="AD164" s="240"/>
      <c r="AE164" s="241"/>
      <c r="AF164" s="241"/>
      <c r="AG164" s="238"/>
      <c r="AH164" s="240"/>
      <c r="AI164" s="241"/>
      <c r="AJ164" s="241"/>
      <c r="AK164" s="241"/>
      <c r="AL164" s="237"/>
      <c r="AM164" s="237"/>
      <c r="AN164" s="237"/>
      <c r="AO164" s="237"/>
      <c r="AP164" s="237"/>
      <c r="AQ164" s="237"/>
      <c r="AR164" s="237"/>
    </row>
    <row r="165">
      <c r="A165" s="228"/>
      <c r="B165" s="228"/>
      <c r="C165" s="228"/>
      <c r="D165" s="228"/>
      <c r="E165" s="228"/>
      <c r="F165" s="228"/>
      <c r="G165" s="228"/>
      <c r="H165" s="241"/>
      <c r="I165" s="228"/>
      <c r="J165" s="236"/>
      <c r="K165" s="228"/>
      <c r="L165" s="228"/>
      <c r="M165" s="238"/>
      <c r="N165" s="228"/>
      <c r="O165" s="235"/>
      <c r="P165" s="236"/>
      <c r="Q165" s="235"/>
      <c r="R165" s="235"/>
      <c r="S165" s="236"/>
      <c r="T165" s="236"/>
      <c r="U165" s="237"/>
      <c r="V165" s="237"/>
      <c r="W165" s="238"/>
      <c r="X165" s="237"/>
      <c r="Y165" s="237"/>
      <c r="Z165" s="237"/>
      <c r="AA165" s="239"/>
      <c r="AB165" s="238"/>
      <c r="AC165" s="238"/>
      <c r="AD165" s="240"/>
      <c r="AE165" s="241"/>
      <c r="AF165" s="241"/>
      <c r="AG165" s="238"/>
      <c r="AH165" s="240"/>
      <c r="AI165" s="241"/>
      <c r="AJ165" s="241"/>
      <c r="AK165" s="241"/>
      <c r="AL165" s="237"/>
      <c r="AM165" s="237"/>
      <c r="AN165" s="237"/>
      <c r="AO165" s="237"/>
      <c r="AP165" s="237"/>
      <c r="AQ165" s="237"/>
      <c r="AR165" s="237"/>
    </row>
    <row r="166">
      <c r="A166" s="228"/>
      <c r="B166" s="228"/>
      <c r="C166" s="228"/>
      <c r="D166" s="228"/>
      <c r="E166" s="228"/>
      <c r="F166" s="228"/>
      <c r="G166" s="228"/>
      <c r="H166" s="241"/>
      <c r="I166" s="228"/>
      <c r="J166" s="236"/>
      <c r="K166" s="228"/>
      <c r="L166" s="228"/>
      <c r="M166" s="238"/>
      <c r="N166" s="228"/>
      <c r="O166" s="235"/>
      <c r="P166" s="236"/>
      <c r="Q166" s="235"/>
      <c r="R166" s="235"/>
      <c r="S166" s="236"/>
      <c r="T166" s="236"/>
      <c r="U166" s="237"/>
      <c r="V166" s="237"/>
      <c r="W166" s="238"/>
      <c r="X166" s="237"/>
      <c r="Y166" s="237"/>
      <c r="Z166" s="237"/>
      <c r="AA166" s="239"/>
      <c r="AB166" s="238"/>
      <c r="AC166" s="238"/>
      <c r="AD166" s="240"/>
      <c r="AE166" s="241"/>
      <c r="AF166" s="241"/>
      <c r="AG166" s="238"/>
      <c r="AH166" s="240"/>
      <c r="AI166" s="241"/>
      <c r="AJ166" s="241"/>
      <c r="AK166" s="241"/>
      <c r="AL166" s="237"/>
      <c r="AM166" s="237"/>
      <c r="AN166" s="237"/>
      <c r="AO166" s="237"/>
      <c r="AP166" s="237"/>
      <c r="AQ166" s="237"/>
      <c r="AR166" s="237"/>
    </row>
    <row r="167">
      <c r="A167" s="228"/>
      <c r="B167" s="228"/>
      <c r="C167" s="228"/>
      <c r="D167" s="228"/>
      <c r="E167" s="228"/>
      <c r="F167" s="228"/>
      <c r="G167" s="228"/>
      <c r="H167" s="241"/>
      <c r="I167" s="228"/>
      <c r="J167" s="236"/>
      <c r="K167" s="228"/>
      <c r="L167" s="228"/>
      <c r="M167" s="238"/>
      <c r="N167" s="228"/>
      <c r="O167" s="235"/>
      <c r="P167" s="236"/>
      <c r="Q167" s="235"/>
      <c r="R167" s="235"/>
      <c r="S167" s="236"/>
      <c r="T167" s="236"/>
      <c r="U167" s="237"/>
      <c r="V167" s="237"/>
      <c r="W167" s="238"/>
      <c r="X167" s="237"/>
      <c r="Y167" s="237"/>
      <c r="Z167" s="237"/>
      <c r="AA167" s="239"/>
      <c r="AB167" s="238"/>
      <c r="AC167" s="238"/>
      <c r="AD167" s="240"/>
      <c r="AE167" s="241"/>
      <c r="AF167" s="241"/>
      <c r="AG167" s="238"/>
      <c r="AH167" s="240"/>
      <c r="AI167" s="241"/>
      <c r="AJ167" s="241"/>
      <c r="AK167" s="241"/>
      <c r="AL167" s="237"/>
      <c r="AM167" s="237"/>
      <c r="AN167" s="237"/>
      <c r="AO167" s="237"/>
      <c r="AP167" s="237"/>
      <c r="AQ167" s="237"/>
      <c r="AR167" s="237"/>
    </row>
    <row r="168">
      <c r="A168" s="228"/>
      <c r="B168" s="228"/>
      <c r="C168" s="228"/>
      <c r="D168" s="228"/>
      <c r="E168" s="228"/>
      <c r="F168" s="228"/>
      <c r="G168" s="228"/>
      <c r="H168" s="241"/>
      <c r="I168" s="228"/>
      <c r="J168" s="236"/>
      <c r="K168" s="228"/>
      <c r="L168" s="228"/>
      <c r="M168" s="238"/>
      <c r="N168" s="228"/>
      <c r="O168" s="235"/>
      <c r="P168" s="236"/>
      <c r="Q168" s="235"/>
      <c r="R168" s="235"/>
      <c r="S168" s="236"/>
      <c r="T168" s="236"/>
      <c r="U168" s="237"/>
      <c r="V168" s="237"/>
      <c r="W168" s="238"/>
      <c r="X168" s="237"/>
      <c r="Y168" s="237"/>
      <c r="Z168" s="237"/>
      <c r="AA168" s="239"/>
      <c r="AB168" s="238"/>
      <c r="AC168" s="238"/>
      <c r="AD168" s="240"/>
      <c r="AE168" s="241"/>
      <c r="AF168" s="241"/>
      <c r="AG168" s="238"/>
      <c r="AH168" s="240"/>
      <c r="AI168" s="241"/>
      <c r="AJ168" s="241"/>
      <c r="AK168" s="241"/>
      <c r="AL168" s="237"/>
      <c r="AM168" s="237"/>
      <c r="AN168" s="237"/>
      <c r="AO168" s="237"/>
      <c r="AP168" s="237"/>
      <c r="AQ168" s="237"/>
      <c r="AR168" s="237"/>
    </row>
    <row r="169">
      <c r="A169" s="228"/>
      <c r="B169" s="228"/>
      <c r="C169" s="228"/>
      <c r="D169" s="228"/>
      <c r="E169" s="228"/>
      <c r="F169" s="228"/>
      <c r="G169" s="228"/>
      <c r="H169" s="241"/>
      <c r="I169" s="228"/>
      <c r="J169" s="236"/>
      <c r="K169" s="228"/>
      <c r="L169" s="228"/>
      <c r="M169" s="238"/>
      <c r="N169" s="228"/>
      <c r="O169" s="235"/>
      <c r="P169" s="236"/>
      <c r="Q169" s="235"/>
      <c r="R169" s="235"/>
      <c r="S169" s="236"/>
      <c r="T169" s="236"/>
      <c r="U169" s="237"/>
      <c r="V169" s="237"/>
      <c r="W169" s="238"/>
      <c r="X169" s="237"/>
      <c r="Y169" s="237"/>
      <c r="Z169" s="237"/>
      <c r="AA169" s="239"/>
      <c r="AB169" s="238"/>
      <c r="AC169" s="238"/>
      <c r="AD169" s="240"/>
      <c r="AE169" s="241"/>
      <c r="AF169" s="241"/>
      <c r="AG169" s="238"/>
      <c r="AH169" s="240"/>
      <c r="AI169" s="241"/>
      <c r="AJ169" s="241"/>
      <c r="AK169" s="241"/>
      <c r="AL169" s="237"/>
      <c r="AM169" s="237"/>
      <c r="AN169" s="237"/>
      <c r="AO169" s="237"/>
      <c r="AP169" s="237"/>
      <c r="AQ169" s="237"/>
      <c r="AR169" s="237"/>
    </row>
    <row r="170">
      <c r="A170" s="228"/>
      <c r="B170" s="228"/>
      <c r="C170" s="228"/>
      <c r="D170" s="228"/>
      <c r="E170" s="228"/>
      <c r="F170" s="228"/>
      <c r="G170" s="228"/>
      <c r="H170" s="241"/>
      <c r="I170" s="228"/>
      <c r="J170" s="236"/>
      <c r="K170" s="228"/>
      <c r="L170" s="228"/>
      <c r="M170" s="238"/>
      <c r="N170" s="228"/>
      <c r="O170" s="235"/>
      <c r="P170" s="236"/>
      <c r="Q170" s="235"/>
      <c r="R170" s="235"/>
      <c r="S170" s="236"/>
      <c r="T170" s="236"/>
      <c r="U170" s="237"/>
      <c r="V170" s="237"/>
      <c r="W170" s="238"/>
      <c r="X170" s="237"/>
      <c r="Y170" s="237"/>
      <c r="Z170" s="237"/>
      <c r="AA170" s="239"/>
      <c r="AB170" s="238"/>
      <c r="AC170" s="238"/>
      <c r="AD170" s="240"/>
      <c r="AE170" s="241"/>
      <c r="AF170" s="241"/>
      <c r="AG170" s="238"/>
      <c r="AH170" s="240"/>
      <c r="AI170" s="241"/>
      <c r="AJ170" s="241"/>
      <c r="AK170" s="241"/>
      <c r="AL170" s="237"/>
      <c r="AM170" s="237"/>
      <c r="AN170" s="237"/>
      <c r="AO170" s="237"/>
      <c r="AP170" s="237"/>
      <c r="AQ170" s="237"/>
      <c r="AR170" s="237"/>
    </row>
    <row r="171">
      <c r="A171" s="228"/>
      <c r="B171" s="228"/>
      <c r="C171" s="228"/>
      <c r="D171" s="228"/>
      <c r="E171" s="228"/>
      <c r="F171" s="228"/>
      <c r="G171" s="228"/>
      <c r="H171" s="241"/>
      <c r="I171" s="228"/>
      <c r="J171" s="236"/>
      <c r="K171" s="228"/>
      <c r="L171" s="228"/>
      <c r="M171" s="238"/>
      <c r="N171" s="228"/>
      <c r="O171" s="235"/>
      <c r="P171" s="236"/>
      <c r="Q171" s="235"/>
      <c r="R171" s="235"/>
      <c r="S171" s="236"/>
      <c r="T171" s="236"/>
      <c r="U171" s="237"/>
      <c r="V171" s="237"/>
      <c r="W171" s="238"/>
      <c r="X171" s="237"/>
      <c r="Y171" s="237"/>
      <c r="Z171" s="237"/>
      <c r="AA171" s="239"/>
      <c r="AB171" s="238"/>
      <c r="AC171" s="238"/>
      <c r="AD171" s="240"/>
      <c r="AE171" s="241"/>
      <c r="AF171" s="241"/>
      <c r="AG171" s="238"/>
      <c r="AH171" s="240"/>
      <c r="AI171" s="241"/>
      <c r="AJ171" s="241"/>
      <c r="AK171" s="241"/>
      <c r="AL171" s="237"/>
      <c r="AM171" s="237"/>
      <c r="AN171" s="237"/>
      <c r="AO171" s="237"/>
      <c r="AP171" s="237"/>
      <c r="AQ171" s="237"/>
      <c r="AR171" s="237"/>
    </row>
    <row r="172">
      <c r="A172" s="228"/>
      <c r="B172" s="228"/>
      <c r="C172" s="228"/>
      <c r="D172" s="228"/>
      <c r="E172" s="228"/>
      <c r="F172" s="228"/>
      <c r="G172" s="228"/>
      <c r="H172" s="241"/>
      <c r="I172" s="228"/>
      <c r="J172" s="236"/>
      <c r="K172" s="228"/>
      <c r="L172" s="228"/>
      <c r="M172" s="238"/>
      <c r="N172" s="228"/>
      <c r="O172" s="235"/>
      <c r="P172" s="236"/>
      <c r="Q172" s="235"/>
      <c r="R172" s="235"/>
      <c r="S172" s="236"/>
      <c r="T172" s="236"/>
      <c r="U172" s="237"/>
      <c r="V172" s="237"/>
      <c r="W172" s="238"/>
      <c r="X172" s="237"/>
      <c r="Y172" s="237"/>
      <c r="Z172" s="237"/>
      <c r="AA172" s="239"/>
      <c r="AB172" s="238"/>
      <c r="AC172" s="238"/>
      <c r="AD172" s="240"/>
      <c r="AE172" s="241"/>
      <c r="AF172" s="241"/>
      <c r="AG172" s="238"/>
      <c r="AH172" s="240"/>
      <c r="AI172" s="241"/>
      <c r="AJ172" s="241"/>
      <c r="AK172" s="241"/>
      <c r="AL172" s="237"/>
      <c r="AM172" s="237"/>
      <c r="AN172" s="237"/>
      <c r="AO172" s="237"/>
      <c r="AP172" s="237"/>
      <c r="AQ172" s="237"/>
      <c r="AR172" s="237"/>
    </row>
    <row r="173">
      <c r="A173" s="228"/>
      <c r="B173" s="228"/>
      <c r="C173" s="228"/>
      <c r="D173" s="228"/>
      <c r="E173" s="228"/>
      <c r="F173" s="228"/>
      <c r="G173" s="228"/>
      <c r="H173" s="241"/>
      <c r="I173" s="228"/>
      <c r="J173" s="236"/>
      <c r="K173" s="228"/>
      <c r="L173" s="228"/>
      <c r="M173" s="238"/>
      <c r="N173" s="228"/>
      <c r="O173" s="235"/>
      <c r="P173" s="236"/>
      <c r="Q173" s="235"/>
      <c r="R173" s="235"/>
      <c r="S173" s="236"/>
      <c r="T173" s="236"/>
      <c r="U173" s="237"/>
      <c r="V173" s="237"/>
      <c r="W173" s="238"/>
      <c r="X173" s="237"/>
      <c r="Y173" s="237"/>
      <c r="Z173" s="237"/>
      <c r="AA173" s="239"/>
      <c r="AB173" s="238"/>
      <c r="AC173" s="238"/>
      <c r="AD173" s="240"/>
      <c r="AE173" s="241"/>
      <c r="AF173" s="241"/>
      <c r="AG173" s="238"/>
      <c r="AH173" s="240"/>
      <c r="AI173" s="241"/>
      <c r="AJ173" s="241"/>
      <c r="AK173" s="241"/>
      <c r="AL173" s="237"/>
      <c r="AM173" s="237"/>
      <c r="AN173" s="237"/>
      <c r="AO173" s="237"/>
      <c r="AP173" s="237"/>
      <c r="AQ173" s="237"/>
      <c r="AR173" s="237"/>
    </row>
    <row r="174">
      <c r="A174" s="228"/>
      <c r="B174" s="228"/>
      <c r="C174" s="228"/>
      <c r="D174" s="228"/>
      <c r="E174" s="228"/>
      <c r="F174" s="228"/>
      <c r="G174" s="228"/>
      <c r="H174" s="241"/>
      <c r="I174" s="228"/>
      <c r="J174" s="236"/>
      <c r="K174" s="228"/>
      <c r="L174" s="228"/>
      <c r="M174" s="238"/>
      <c r="N174" s="228"/>
      <c r="O174" s="235"/>
      <c r="P174" s="236"/>
      <c r="Q174" s="235"/>
      <c r="R174" s="235"/>
      <c r="S174" s="236"/>
      <c r="T174" s="236"/>
      <c r="U174" s="237"/>
      <c r="V174" s="237"/>
      <c r="W174" s="238"/>
      <c r="X174" s="237"/>
      <c r="Y174" s="237"/>
      <c r="Z174" s="237"/>
      <c r="AA174" s="239"/>
      <c r="AB174" s="238"/>
      <c r="AC174" s="238"/>
      <c r="AD174" s="240"/>
      <c r="AE174" s="241"/>
      <c r="AF174" s="241"/>
      <c r="AG174" s="238"/>
      <c r="AH174" s="240"/>
      <c r="AI174" s="241"/>
      <c r="AJ174" s="241"/>
      <c r="AK174" s="241"/>
      <c r="AL174" s="237"/>
      <c r="AM174" s="237"/>
      <c r="AN174" s="237"/>
      <c r="AO174" s="237"/>
      <c r="AP174" s="237"/>
      <c r="AQ174" s="237"/>
      <c r="AR174" s="237"/>
    </row>
    <row r="175">
      <c r="A175" s="228"/>
      <c r="B175" s="228"/>
      <c r="C175" s="228"/>
      <c r="D175" s="228"/>
      <c r="E175" s="228"/>
      <c r="F175" s="228"/>
      <c r="G175" s="228"/>
      <c r="H175" s="241"/>
      <c r="I175" s="228"/>
      <c r="J175" s="236"/>
      <c r="K175" s="228"/>
      <c r="L175" s="228"/>
      <c r="M175" s="238"/>
      <c r="N175" s="228"/>
      <c r="O175" s="235"/>
      <c r="P175" s="236"/>
      <c r="Q175" s="235"/>
      <c r="R175" s="235"/>
      <c r="S175" s="236"/>
      <c r="T175" s="236"/>
      <c r="U175" s="237"/>
      <c r="V175" s="237"/>
      <c r="W175" s="238"/>
      <c r="X175" s="237"/>
      <c r="Y175" s="237"/>
      <c r="Z175" s="237"/>
      <c r="AA175" s="239"/>
      <c r="AB175" s="238"/>
      <c r="AC175" s="238"/>
      <c r="AD175" s="240"/>
      <c r="AE175" s="241"/>
      <c r="AF175" s="241"/>
      <c r="AG175" s="238"/>
      <c r="AH175" s="240"/>
      <c r="AI175" s="241"/>
      <c r="AJ175" s="241"/>
      <c r="AK175" s="241"/>
      <c r="AL175" s="237"/>
      <c r="AM175" s="237"/>
      <c r="AN175" s="237"/>
      <c r="AO175" s="237"/>
      <c r="AP175" s="237"/>
      <c r="AQ175" s="237"/>
      <c r="AR175" s="237"/>
    </row>
    <row r="176">
      <c r="A176" s="228"/>
      <c r="B176" s="228"/>
      <c r="C176" s="228"/>
      <c r="D176" s="228"/>
      <c r="E176" s="228"/>
      <c r="F176" s="228"/>
      <c r="G176" s="228"/>
      <c r="H176" s="241"/>
      <c r="I176" s="228"/>
      <c r="J176" s="236"/>
      <c r="K176" s="228"/>
      <c r="L176" s="228"/>
      <c r="M176" s="238"/>
      <c r="N176" s="228"/>
      <c r="O176" s="235"/>
      <c r="P176" s="236"/>
      <c r="Q176" s="235"/>
      <c r="R176" s="235"/>
      <c r="S176" s="236"/>
      <c r="T176" s="236"/>
      <c r="U176" s="237"/>
      <c r="V176" s="237"/>
      <c r="W176" s="238"/>
      <c r="X176" s="237"/>
      <c r="Y176" s="237"/>
      <c r="Z176" s="237"/>
      <c r="AA176" s="239"/>
      <c r="AB176" s="238"/>
      <c r="AC176" s="238"/>
      <c r="AD176" s="240"/>
      <c r="AE176" s="241"/>
      <c r="AF176" s="241"/>
      <c r="AG176" s="238"/>
      <c r="AH176" s="240"/>
      <c r="AI176" s="241"/>
      <c r="AJ176" s="241"/>
      <c r="AK176" s="241"/>
      <c r="AL176" s="237"/>
      <c r="AM176" s="237"/>
      <c r="AN176" s="237"/>
      <c r="AO176" s="237"/>
      <c r="AP176" s="237"/>
      <c r="AQ176" s="237"/>
      <c r="AR176" s="237"/>
    </row>
    <row r="177">
      <c r="A177" s="228"/>
      <c r="B177" s="228"/>
      <c r="C177" s="228"/>
      <c r="D177" s="228"/>
      <c r="E177" s="228"/>
      <c r="F177" s="228"/>
      <c r="G177" s="228"/>
      <c r="H177" s="241"/>
      <c r="I177" s="228"/>
      <c r="J177" s="236"/>
      <c r="K177" s="228"/>
      <c r="L177" s="228"/>
      <c r="M177" s="238"/>
      <c r="N177" s="228"/>
      <c r="O177" s="235"/>
      <c r="P177" s="236"/>
      <c r="Q177" s="235"/>
      <c r="R177" s="235"/>
      <c r="S177" s="236"/>
      <c r="T177" s="236"/>
      <c r="U177" s="237"/>
      <c r="V177" s="237"/>
      <c r="W177" s="238"/>
      <c r="X177" s="237"/>
      <c r="Y177" s="237"/>
      <c r="Z177" s="237"/>
      <c r="AA177" s="239"/>
      <c r="AB177" s="238"/>
      <c r="AC177" s="238"/>
      <c r="AD177" s="240"/>
      <c r="AE177" s="241"/>
      <c r="AF177" s="241"/>
      <c r="AG177" s="238"/>
      <c r="AH177" s="240"/>
      <c r="AI177" s="241"/>
      <c r="AJ177" s="241"/>
      <c r="AK177" s="241"/>
      <c r="AL177" s="237"/>
      <c r="AM177" s="237"/>
      <c r="AN177" s="237"/>
      <c r="AO177" s="237"/>
      <c r="AP177" s="237"/>
      <c r="AQ177" s="237"/>
      <c r="AR177" s="237"/>
    </row>
    <row r="178">
      <c r="A178" s="228"/>
      <c r="B178" s="228"/>
      <c r="C178" s="228"/>
      <c r="D178" s="228"/>
      <c r="E178" s="228"/>
      <c r="F178" s="228"/>
      <c r="G178" s="228"/>
      <c r="H178" s="241"/>
      <c r="I178" s="228"/>
      <c r="J178" s="236"/>
      <c r="K178" s="228"/>
      <c r="L178" s="228"/>
      <c r="M178" s="238"/>
      <c r="N178" s="228"/>
      <c r="O178" s="235"/>
      <c r="P178" s="236"/>
      <c r="Q178" s="235"/>
      <c r="R178" s="235"/>
      <c r="S178" s="236"/>
      <c r="T178" s="236"/>
      <c r="U178" s="237"/>
      <c r="V178" s="237"/>
      <c r="W178" s="238"/>
      <c r="X178" s="237"/>
      <c r="Y178" s="237"/>
      <c r="Z178" s="237"/>
      <c r="AA178" s="239"/>
      <c r="AB178" s="238"/>
      <c r="AC178" s="238"/>
      <c r="AD178" s="240"/>
      <c r="AE178" s="241"/>
      <c r="AF178" s="241"/>
      <c r="AG178" s="238"/>
      <c r="AH178" s="240"/>
      <c r="AI178" s="241"/>
      <c r="AJ178" s="241"/>
      <c r="AK178" s="241"/>
      <c r="AL178" s="237"/>
      <c r="AM178" s="237"/>
      <c r="AN178" s="237"/>
      <c r="AO178" s="237"/>
      <c r="AP178" s="237"/>
      <c r="AQ178" s="237"/>
      <c r="AR178" s="237"/>
    </row>
    <row r="179">
      <c r="A179" s="228"/>
      <c r="B179" s="228"/>
      <c r="C179" s="228"/>
      <c r="D179" s="228"/>
      <c r="E179" s="228"/>
      <c r="F179" s="228"/>
      <c r="G179" s="228"/>
      <c r="H179" s="241"/>
      <c r="I179" s="228"/>
      <c r="J179" s="236"/>
      <c r="K179" s="228"/>
      <c r="L179" s="228"/>
      <c r="M179" s="238"/>
      <c r="N179" s="228"/>
      <c r="O179" s="235"/>
      <c r="P179" s="236"/>
      <c r="Q179" s="235"/>
      <c r="R179" s="235"/>
      <c r="S179" s="236"/>
      <c r="T179" s="236"/>
      <c r="U179" s="237"/>
      <c r="V179" s="237"/>
      <c r="W179" s="238"/>
      <c r="X179" s="237"/>
      <c r="Y179" s="237"/>
      <c r="Z179" s="237"/>
      <c r="AA179" s="239"/>
      <c r="AB179" s="238"/>
      <c r="AC179" s="238"/>
      <c r="AD179" s="240"/>
      <c r="AE179" s="241"/>
      <c r="AF179" s="241"/>
      <c r="AG179" s="238"/>
      <c r="AH179" s="240"/>
      <c r="AI179" s="241"/>
      <c r="AJ179" s="241"/>
      <c r="AK179" s="241"/>
      <c r="AL179" s="237"/>
      <c r="AM179" s="237"/>
      <c r="AN179" s="237"/>
      <c r="AO179" s="237"/>
      <c r="AP179" s="237"/>
      <c r="AQ179" s="237"/>
      <c r="AR179" s="237"/>
    </row>
    <row r="180">
      <c r="A180" s="228"/>
      <c r="B180" s="228"/>
      <c r="C180" s="228"/>
      <c r="D180" s="228"/>
      <c r="E180" s="228"/>
      <c r="F180" s="228"/>
      <c r="G180" s="228"/>
      <c r="H180" s="241"/>
      <c r="I180" s="228"/>
      <c r="J180" s="236"/>
      <c r="K180" s="228"/>
      <c r="L180" s="228"/>
      <c r="M180" s="238"/>
      <c r="N180" s="228"/>
      <c r="O180" s="235"/>
      <c r="P180" s="236"/>
      <c r="Q180" s="235"/>
      <c r="R180" s="235"/>
      <c r="S180" s="236"/>
      <c r="T180" s="236"/>
      <c r="U180" s="237"/>
      <c r="V180" s="237"/>
      <c r="W180" s="238"/>
      <c r="X180" s="237"/>
      <c r="Y180" s="237"/>
      <c r="Z180" s="237"/>
      <c r="AA180" s="239"/>
      <c r="AB180" s="238"/>
      <c r="AC180" s="238"/>
      <c r="AD180" s="240"/>
      <c r="AE180" s="241"/>
      <c r="AF180" s="241"/>
      <c r="AG180" s="238"/>
      <c r="AH180" s="240"/>
      <c r="AI180" s="241"/>
      <c r="AJ180" s="241"/>
      <c r="AK180" s="241"/>
      <c r="AL180" s="237"/>
      <c r="AM180" s="237"/>
      <c r="AN180" s="237"/>
      <c r="AO180" s="237"/>
      <c r="AP180" s="237"/>
      <c r="AQ180" s="237"/>
      <c r="AR180" s="237"/>
    </row>
    <row r="181">
      <c r="A181" s="228"/>
      <c r="B181" s="228"/>
      <c r="C181" s="228"/>
      <c r="D181" s="228"/>
      <c r="E181" s="228"/>
      <c r="F181" s="228"/>
      <c r="G181" s="228"/>
      <c r="H181" s="241"/>
      <c r="I181" s="228"/>
      <c r="J181" s="236"/>
      <c r="K181" s="228"/>
      <c r="L181" s="228"/>
      <c r="M181" s="238"/>
      <c r="N181" s="228"/>
      <c r="O181" s="235"/>
      <c r="P181" s="236"/>
      <c r="Q181" s="235"/>
      <c r="R181" s="235"/>
      <c r="S181" s="236"/>
      <c r="T181" s="236"/>
      <c r="U181" s="237"/>
      <c r="V181" s="237"/>
      <c r="W181" s="238"/>
      <c r="X181" s="237"/>
      <c r="Y181" s="237"/>
      <c r="Z181" s="237"/>
      <c r="AA181" s="239"/>
      <c r="AB181" s="238"/>
      <c r="AC181" s="238"/>
      <c r="AD181" s="240"/>
      <c r="AE181" s="241"/>
      <c r="AF181" s="241"/>
      <c r="AG181" s="238"/>
      <c r="AH181" s="240"/>
      <c r="AI181" s="241"/>
      <c r="AJ181" s="241"/>
      <c r="AK181" s="241"/>
      <c r="AL181" s="237"/>
      <c r="AM181" s="237"/>
      <c r="AN181" s="237"/>
      <c r="AO181" s="237"/>
      <c r="AP181" s="237"/>
      <c r="AQ181" s="237"/>
      <c r="AR181" s="237"/>
    </row>
    <row r="182">
      <c r="A182" s="228"/>
      <c r="B182" s="228"/>
      <c r="C182" s="228"/>
      <c r="D182" s="228"/>
      <c r="E182" s="228"/>
      <c r="F182" s="228"/>
      <c r="G182" s="228"/>
      <c r="H182" s="241"/>
      <c r="I182" s="228"/>
      <c r="J182" s="236"/>
      <c r="K182" s="228"/>
      <c r="L182" s="228"/>
      <c r="M182" s="238"/>
      <c r="N182" s="228"/>
      <c r="O182" s="235"/>
      <c r="P182" s="236"/>
      <c r="Q182" s="235"/>
      <c r="R182" s="235"/>
      <c r="S182" s="236"/>
      <c r="T182" s="236"/>
      <c r="U182" s="237"/>
      <c r="V182" s="237"/>
      <c r="W182" s="238"/>
      <c r="X182" s="237"/>
      <c r="Y182" s="237"/>
      <c r="Z182" s="237"/>
      <c r="AA182" s="239"/>
      <c r="AB182" s="238"/>
      <c r="AC182" s="238"/>
      <c r="AD182" s="240"/>
      <c r="AE182" s="241"/>
      <c r="AF182" s="241"/>
      <c r="AG182" s="238"/>
      <c r="AH182" s="240"/>
      <c r="AI182" s="241"/>
      <c r="AJ182" s="241"/>
      <c r="AK182" s="241"/>
      <c r="AL182" s="237"/>
      <c r="AM182" s="237"/>
      <c r="AN182" s="237"/>
      <c r="AO182" s="237"/>
      <c r="AP182" s="237"/>
      <c r="AQ182" s="237"/>
      <c r="AR182" s="237"/>
    </row>
    <row r="183">
      <c r="A183" s="228"/>
      <c r="B183" s="228"/>
      <c r="C183" s="228"/>
      <c r="D183" s="228"/>
      <c r="E183" s="228"/>
      <c r="F183" s="228"/>
      <c r="G183" s="228"/>
      <c r="H183" s="241"/>
      <c r="I183" s="228"/>
      <c r="J183" s="236"/>
      <c r="K183" s="228"/>
      <c r="L183" s="228"/>
      <c r="M183" s="238"/>
      <c r="N183" s="228"/>
      <c r="O183" s="235"/>
      <c r="P183" s="236"/>
      <c r="Q183" s="235"/>
      <c r="R183" s="235"/>
      <c r="S183" s="236"/>
      <c r="T183" s="236"/>
      <c r="U183" s="237"/>
      <c r="V183" s="237"/>
      <c r="W183" s="238"/>
      <c r="X183" s="237"/>
      <c r="Y183" s="237"/>
      <c r="Z183" s="237"/>
      <c r="AA183" s="239"/>
      <c r="AB183" s="238"/>
      <c r="AC183" s="238"/>
      <c r="AD183" s="240"/>
      <c r="AE183" s="241"/>
      <c r="AF183" s="241"/>
      <c r="AG183" s="238"/>
      <c r="AH183" s="240"/>
      <c r="AI183" s="241"/>
      <c r="AJ183" s="241"/>
      <c r="AK183" s="241"/>
      <c r="AL183" s="237"/>
      <c r="AM183" s="237"/>
      <c r="AN183" s="237"/>
      <c r="AO183" s="237"/>
      <c r="AP183" s="237"/>
      <c r="AQ183" s="237"/>
      <c r="AR183" s="237"/>
    </row>
    <row r="184">
      <c r="A184" s="228"/>
      <c r="B184" s="228"/>
      <c r="C184" s="228"/>
      <c r="D184" s="228"/>
      <c r="E184" s="228"/>
      <c r="F184" s="228"/>
      <c r="G184" s="228"/>
      <c r="H184" s="241"/>
      <c r="I184" s="228"/>
      <c r="J184" s="236"/>
      <c r="K184" s="228"/>
      <c r="L184" s="228"/>
      <c r="M184" s="238"/>
      <c r="N184" s="228"/>
      <c r="O184" s="235"/>
      <c r="P184" s="236"/>
      <c r="Q184" s="235"/>
      <c r="R184" s="235"/>
      <c r="S184" s="236"/>
      <c r="T184" s="236"/>
      <c r="U184" s="237"/>
      <c r="V184" s="237"/>
      <c r="W184" s="238"/>
      <c r="X184" s="237"/>
      <c r="Y184" s="237"/>
      <c r="Z184" s="237"/>
      <c r="AA184" s="239"/>
      <c r="AB184" s="238"/>
      <c r="AC184" s="238"/>
      <c r="AD184" s="240"/>
      <c r="AE184" s="241"/>
      <c r="AF184" s="241"/>
      <c r="AG184" s="238"/>
      <c r="AH184" s="240"/>
      <c r="AI184" s="241"/>
      <c r="AJ184" s="241"/>
      <c r="AK184" s="241"/>
      <c r="AL184" s="237"/>
      <c r="AM184" s="237"/>
      <c r="AN184" s="237"/>
      <c r="AO184" s="237"/>
      <c r="AP184" s="237"/>
      <c r="AQ184" s="237"/>
      <c r="AR184" s="237"/>
    </row>
    <row r="185">
      <c r="A185" s="228"/>
      <c r="B185" s="228"/>
      <c r="C185" s="228"/>
      <c r="D185" s="228"/>
      <c r="E185" s="228"/>
      <c r="F185" s="228"/>
      <c r="G185" s="228"/>
      <c r="H185" s="241"/>
      <c r="I185" s="228"/>
      <c r="J185" s="236"/>
      <c r="K185" s="228"/>
      <c r="L185" s="228"/>
      <c r="M185" s="238"/>
      <c r="N185" s="228"/>
      <c r="O185" s="235"/>
      <c r="P185" s="236"/>
      <c r="Q185" s="235"/>
      <c r="R185" s="235"/>
      <c r="S185" s="236"/>
      <c r="T185" s="236"/>
      <c r="U185" s="237"/>
      <c r="V185" s="237"/>
      <c r="W185" s="238"/>
      <c r="X185" s="237"/>
      <c r="Y185" s="237"/>
      <c r="Z185" s="237"/>
      <c r="AA185" s="239"/>
      <c r="AB185" s="238"/>
      <c r="AC185" s="238"/>
      <c r="AD185" s="240"/>
      <c r="AE185" s="241"/>
      <c r="AF185" s="241"/>
      <c r="AG185" s="238"/>
      <c r="AH185" s="240"/>
      <c r="AI185" s="241"/>
      <c r="AJ185" s="241"/>
      <c r="AK185" s="241"/>
      <c r="AL185" s="237"/>
      <c r="AM185" s="237"/>
      <c r="AN185" s="237"/>
      <c r="AO185" s="237"/>
      <c r="AP185" s="237"/>
      <c r="AQ185" s="237"/>
      <c r="AR185" s="237"/>
    </row>
    <row r="186">
      <c r="A186" s="228"/>
      <c r="B186" s="228"/>
      <c r="C186" s="228"/>
      <c r="D186" s="228"/>
      <c r="E186" s="228"/>
      <c r="F186" s="228"/>
      <c r="G186" s="228"/>
      <c r="H186" s="241"/>
      <c r="I186" s="228"/>
      <c r="J186" s="236"/>
      <c r="K186" s="228"/>
      <c r="L186" s="228"/>
      <c r="M186" s="238"/>
      <c r="N186" s="228"/>
      <c r="O186" s="235"/>
      <c r="P186" s="236"/>
      <c r="Q186" s="235"/>
      <c r="R186" s="235"/>
      <c r="S186" s="236"/>
      <c r="T186" s="236"/>
      <c r="U186" s="237"/>
      <c r="V186" s="237"/>
      <c r="W186" s="238"/>
      <c r="X186" s="237"/>
      <c r="Y186" s="237"/>
      <c r="Z186" s="237"/>
      <c r="AA186" s="239"/>
      <c r="AB186" s="238"/>
      <c r="AC186" s="238"/>
      <c r="AD186" s="240"/>
      <c r="AE186" s="241"/>
      <c r="AF186" s="241"/>
      <c r="AG186" s="238"/>
      <c r="AH186" s="240"/>
      <c r="AI186" s="241"/>
      <c r="AJ186" s="241"/>
      <c r="AK186" s="241"/>
      <c r="AL186" s="237"/>
      <c r="AM186" s="237"/>
      <c r="AN186" s="237"/>
      <c r="AO186" s="237"/>
      <c r="AP186" s="237"/>
      <c r="AQ186" s="237"/>
      <c r="AR186" s="237"/>
    </row>
    <row r="187">
      <c r="A187" s="228"/>
      <c r="B187" s="228"/>
      <c r="C187" s="228"/>
      <c r="D187" s="228"/>
      <c r="E187" s="228"/>
      <c r="F187" s="228"/>
      <c r="G187" s="228"/>
      <c r="H187" s="241"/>
      <c r="I187" s="228"/>
      <c r="J187" s="236"/>
      <c r="K187" s="228"/>
      <c r="L187" s="228"/>
      <c r="M187" s="238"/>
      <c r="N187" s="228"/>
      <c r="O187" s="235"/>
      <c r="P187" s="236"/>
      <c r="Q187" s="235"/>
      <c r="R187" s="235"/>
      <c r="S187" s="236"/>
      <c r="T187" s="236"/>
      <c r="U187" s="237"/>
      <c r="V187" s="237"/>
      <c r="W187" s="238"/>
      <c r="X187" s="237"/>
      <c r="Y187" s="237"/>
      <c r="Z187" s="237"/>
      <c r="AA187" s="239"/>
      <c r="AB187" s="238"/>
      <c r="AC187" s="238"/>
      <c r="AD187" s="240"/>
      <c r="AE187" s="241"/>
      <c r="AF187" s="241"/>
      <c r="AG187" s="238"/>
      <c r="AH187" s="240"/>
      <c r="AI187" s="241"/>
      <c r="AJ187" s="241"/>
      <c r="AK187" s="241"/>
      <c r="AL187" s="237"/>
      <c r="AM187" s="237"/>
      <c r="AN187" s="237"/>
      <c r="AO187" s="237"/>
      <c r="AP187" s="237"/>
      <c r="AQ187" s="237"/>
      <c r="AR187" s="237"/>
    </row>
    <row r="188">
      <c r="A188" s="228"/>
      <c r="B188" s="228"/>
      <c r="C188" s="228"/>
      <c r="D188" s="228"/>
      <c r="E188" s="228"/>
      <c r="F188" s="228"/>
      <c r="G188" s="228"/>
      <c r="H188" s="241"/>
      <c r="I188" s="228"/>
      <c r="J188" s="236"/>
      <c r="K188" s="228"/>
      <c r="L188" s="228"/>
      <c r="M188" s="238"/>
      <c r="N188" s="228"/>
      <c r="O188" s="235"/>
      <c r="P188" s="236"/>
      <c r="Q188" s="235"/>
      <c r="R188" s="235"/>
      <c r="S188" s="236"/>
      <c r="T188" s="236"/>
      <c r="U188" s="237"/>
      <c r="V188" s="237"/>
      <c r="W188" s="238"/>
      <c r="X188" s="237"/>
      <c r="Y188" s="237"/>
      <c r="Z188" s="237"/>
      <c r="AA188" s="239"/>
      <c r="AB188" s="238"/>
      <c r="AC188" s="238"/>
      <c r="AD188" s="240"/>
      <c r="AE188" s="241"/>
      <c r="AF188" s="241"/>
      <c r="AG188" s="238"/>
      <c r="AH188" s="240"/>
      <c r="AI188" s="241"/>
      <c r="AJ188" s="241"/>
      <c r="AK188" s="241"/>
      <c r="AL188" s="237"/>
      <c r="AM188" s="237"/>
      <c r="AN188" s="237"/>
      <c r="AO188" s="237"/>
      <c r="AP188" s="237"/>
      <c r="AQ188" s="237"/>
      <c r="AR188" s="237"/>
    </row>
    <row r="189">
      <c r="A189" s="228"/>
      <c r="B189" s="228"/>
      <c r="C189" s="228"/>
      <c r="D189" s="228"/>
      <c r="E189" s="228"/>
      <c r="F189" s="228"/>
      <c r="G189" s="228"/>
      <c r="H189" s="241"/>
      <c r="I189" s="228"/>
      <c r="J189" s="236"/>
      <c r="K189" s="228"/>
      <c r="L189" s="228"/>
      <c r="M189" s="238"/>
      <c r="N189" s="228"/>
      <c r="O189" s="235"/>
      <c r="P189" s="236"/>
      <c r="Q189" s="235"/>
      <c r="R189" s="235"/>
      <c r="S189" s="236"/>
      <c r="T189" s="236"/>
      <c r="U189" s="237"/>
      <c r="V189" s="237"/>
      <c r="W189" s="238"/>
      <c r="X189" s="237"/>
      <c r="Y189" s="237"/>
      <c r="Z189" s="237"/>
      <c r="AA189" s="239"/>
      <c r="AB189" s="238"/>
      <c r="AC189" s="238"/>
      <c r="AD189" s="240"/>
      <c r="AE189" s="241"/>
      <c r="AF189" s="241"/>
      <c r="AG189" s="238"/>
      <c r="AH189" s="240"/>
      <c r="AI189" s="241"/>
      <c r="AJ189" s="241"/>
      <c r="AK189" s="241"/>
      <c r="AL189" s="237"/>
      <c r="AM189" s="237"/>
      <c r="AN189" s="237"/>
      <c r="AO189" s="237"/>
      <c r="AP189" s="237"/>
      <c r="AQ189" s="237"/>
      <c r="AR189" s="237"/>
    </row>
    <row r="190">
      <c r="A190" s="228"/>
      <c r="B190" s="228"/>
      <c r="C190" s="228"/>
      <c r="D190" s="228"/>
      <c r="E190" s="228"/>
      <c r="F190" s="228"/>
      <c r="G190" s="228"/>
      <c r="H190" s="241"/>
      <c r="I190" s="228"/>
      <c r="J190" s="236"/>
      <c r="K190" s="228"/>
      <c r="L190" s="228"/>
      <c r="M190" s="238"/>
      <c r="N190" s="228"/>
      <c r="O190" s="235"/>
      <c r="P190" s="236"/>
      <c r="Q190" s="235"/>
      <c r="R190" s="235"/>
      <c r="S190" s="236"/>
      <c r="T190" s="236"/>
      <c r="U190" s="237"/>
      <c r="V190" s="237"/>
      <c r="W190" s="238"/>
      <c r="X190" s="237"/>
      <c r="Y190" s="237"/>
      <c r="Z190" s="237"/>
      <c r="AA190" s="239"/>
      <c r="AB190" s="238"/>
      <c r="AC190" s="238"/>
      <c r="AD190" s="240"/>
      <c r="AE190" s="241"/>
      <c r="AF190" s="241"/>
      <c r="AG190" s="238"/>
      <c r="AH190" s="240"/>
      <c r="AI190" s="241"/>
      <c r="AJ190" s="241"/>
      <c r="AK190" s="241"/>
      <c r="AL190" s="237"/>
      <c r="AM190" s="237"/>
      <c r="AN190" s="237"/>
      <c r="AO190" s="237"/>
      <c r="AP190" s="237"/>
      <c r="AQ190" s="237"/>
      <c r="AR190" s="237"/>
    </row>
    <row r="191">
      <c r="A191" s="228"/>
      <c r="B191" s="228"/>
      <c r="C191" s="228"/>
      <c r="D191" s="228"/>
      <c r="E191" s="228"/>
      <c r="F191" s="228"/>
      <c r="G191" s="228"/>
      <c r="H191" s="241"/>
      <c r="I191" s="228"/>
      <c r="J191" s="236"/>
      <c r="K191" s="228"/>
      <c r="L191" s="228"/>
      <c r="M191" s="238"/>
      <c r="N191" s="228"/>
      <c r="O191" s="235"/>
      <c r="P191" s="236"/>
      <c r="Q191" s="235"/>
      <c r="R191" s="235"/>
      <c r="S191" s="236"/>
      <c r="T191" s="236"/>
      <c r="U191" s="237"/>
      <c r="V191" s="237"/>
      <c r="W191" s="238"/>
      <c r="X191" s="237"/>
      <c r="Y191" s="237"/>
      <c r="Z191" s="237"/>
      <c r="AA191" s="239"/>
      <c r="AB191" s="238"/>
      <c r="AC191" s="238"/>
      <c r="AD191" s="240"/>
      <c r="AE191" s="241"/>
      <c r="AF191" s="241"/>
      <c r="AG191" s="238"/>
      <c r="AH191" s="240"/>
      <c r="AI191" s="241"/>
      <c r="AJ191" s="241"/>
      <c r="AK191" s="241"/>
      <c r="AL191" s="237"/>
      <c r="AM191" s="237"/>
      <c r="AN191" s="237"/>
      <c r="AO191" s="237"/>
      <c r="AP191" s="237"/>
      <c r="AQ191" s="237"/>
      <c r="AR191" s="237"/>
    </row>
    <row r="192">
      <c r="A192" s="228"/>
      <c r="B192" s="228"/>
      <c r="C192" s="228"/>
      <c r="D192" s="228"/>
      <c r="E192" s="228"/>
      <c r="F192" s="228"/>
      <c r="G192" s="228"/>
      <c r="H192" s="241"/>
      <c r="I192" s="228"/>
      <c r="J192" s="236"/>
      <c r="K192" s="228"/>
      <c r="L192" s="228"/>
      <c r="M192" s="238"/>
      <c r="N192" s="228"/>
      <c r="O192" s="235"/>
      <c r="P192" s="236"/>
      <c r="Q192" s="235"/>
      <c r="R192" s="235"/>
      <c r="S192" s="236"/>
      <c r="T192" s="236"/>
      <c r="U192" s="237"/>
      <c r="V192" s="237"/>
      <c r="W192" s="238"/>
      <c r="X192" s="237"/>
      <c r="Y192" s="237"/>
      <c r="Z192" s="237"/>
      <c r="AA192" s="239"/>
      <c r="AB192" s="238"/>
      <c r="AC192" s="238"/>
      <c r="AD192" s="240"/>
      <c r="AE192" s="241"/>
      <c r="AF192" s="241"/>
      <c r="AG192" s="238"/>
      <c r="AH192" s="240"/>
      <c r="AI192" s="241"/>
      <c r="AJ192" s="241"/>
      <c r="AK192" s="241"/>
      <c r="AL192" s="237"/>
      <c r="AM192" s="237"/>
      <c r="AN192" s="237"/>
      <c r="AO192" s="237"/>
      <c r="AP192" s="237"/>
      <c r="AQ192" s="237"/>
      <c r="AR192" s="237"/>
    </row>
    <row r="193">
      <c r="A193" s="228"/>
      <c r="B193" s="228"/>
      <c r="C193" s="228"/>
      <c r="D193" s="228"/>
      <c r="E193" s="228"/>
      <c r="F193" s="228"/>
      <c r="G193" s="228"/>
      <c r="H193" s="241"/>
      <c r="I193" s="228"/>
      <c r="J193" s="236"/>
      <c r="K193" s="228"/>
      <c r="L193" s="228"/>
      <c r="M193" s="238"/>
      <c r="N193" s="228"/>
      <c r="O193" s="235"/>
      <c r="P193" s="236"/>
      <c r="Q193" s="235"/>
      <c r="R193" s="235"/>
      <c r="S193" s="236"/>
      <c r="T193" s="236"/>
      <c r="U193" s="237"/>
      <c r="V193" s="237"/>
      <c r="W193" s="238"/>
      <c r="X193" s="237"/>
      <c r="Y193" s="237"/>
      <c r="Z193" s="237"/>
      <c r="AA193" s="239"/>
      <c r="AB193" s="238"/>
      <c r="AC193" s="238"/>
      <c r="AD193" s="240"/>
      <c r="AE193" s="241"/>
      <c r="AF193" s="241"/>
      <c r="AG193" s="238"/>
      <c r="AH193" s="240"/>
      <c r="AI193" s="241"/>
      <c r="AJ193" s="241"/>
      <c r="AK193" s="241"/>
      <c r="AL193" s="237"/>
      <c r="AM193" s="237"/>
      <c r="AN193" s="237"/>
      <c r="AO193" s="237"/>
      <c r="AP193" s="237"/>
      <c r="AQ193" s="237"/>
      <c r="AR193" s="237"/>
    </row>
    <row r="194">
      <c r="A194" s="228"/>
      <c r="B194" s="228"/>
      <c r="C194" s="228"/>
      <c r="D194" s="228"/>
      <c r="E194" s="228"/>
      <c r="F194" s="228"/>
      <c r="G194" s="228"/>
      <c r="H194" s="241"/>
      <c r="I194" s="228"/>
      <c r="J194" s="236"/>
      <c r="K194" s="228"/>
      <c r="L194" s="228"/>
      <c r="M194" s="238"/>
      <c r="N194" s="228"/>
      <c r="O194" s="235"/>
      <c r="P194" s="236"/>
      <c r="Q194" s="235"/>
      <c r="R194" s="235"/>
      <c r="S194" s="236"/>
      <c r="T194" s="236"/>
      <c r="U194" s="237"/>
      <c r="V194" s="237"/>
      <c r="W194" s="238"/>
      <c r="X194" s="237"/>
      <c r="Y194" s="237"/>
      <c r="Z194" s="237"/>
      <c r="AA194" s="239"/>
      <c r="AB194" s="238"/>
      <c r="AC194" s="238"/>
      <c r="AD194" s="240"/>
      <c r="AE194" s="241"/>
      <c r="AF194" s="241"/>
      <c r="AG194" s="238"/>
      <c r="AH194" s="240"/>
      <c r="AI194" s="241"/>
      <c r="AJ194" s="241"/>
      <c r="AK194" s="241"/>
      <c r="AL194" s="237"/>
      <c r="AM194" s="237"/>
      <c r="AN194" s="237"/>
      <c r="AO194" s="237"/>
      <c r="AP194" s="237"/>
      <c r="AQ194" s="237"/>
      <c r="AR194" s="237"/>
    </row>
    <row r="195">
      <c r="A195" s="228"/>
      <c r="B195" s="228"/>
      <c r="C195" s="228"/>
      <c r="D195" s="228"/>
      <c r="E195" s="228"/>
      <c r="F195" s="228"/>
      <c r="G195" s="228"/>
      <c r="H195" s="241"/>
      <c r="I195" s="228"/>
      <c r="J195" s="236"/>
      <c r="K195" s="228"/>
      <c r="L195" s="228"/>
      <c r="M195" s="238"/>
      <c r="N195" s="228"/>
      <c r="O195" s="235"/>
      <c r="P195" s="236"/>
      <c r="Q195" s="235"/>
      <c r="R195" s="235"/>
      <c r="S195" s="236"/>
      <c r="T195" s="236"/>
      <c r="U195" s="237"/>
      <c r="V195" s="237"/>
      <c r="W195" s="238"/>
      <c r="X195" s="237"/>
      <c r="Y195" s="237"/>
      <c r="Z195" s="237"/>
      <c r="AA195" s="239"/>
      <c r="AB195" s="238"/>
      <c r="AC195" s="238"/>
      <c r="AD195" s="240"/>
      <c r="AE195" s="241"/>
      <c r="AF195" s="241"/>
      <c r="AG195" s="238"/>
      <c r="AH195" s="240"/>
      <c r="AI195" s="241"/>
      <c r="AJ195" s="241"/>
      <c r="AK195" s="241"/>
      <c r="AL195" s="237"/>
      <c r="AM195" s="237"/>
      <c r="AN195" s="237"/>
      <c r="AO195" s="237"/>
      <c r="AP195" s="237"/>
      <c r="AQ195" s="237"/>
      <c r="AR195" s="237"/>
    </row>
    <row r="196">
      <c r="A196" s="228"/>
      <c r="B196" s="228"/>
      <c r="C196" s="228"/>
      <c r="D196" s="228"/>
      <c r="E196" s="228"/>
      <c r="F196" s="228"/>
      <c r="G196" s="228"/>
      <c r="H196" s="241"/>
      <c r="I196" s="228"/>
      <c r="J196" s="236"/>
      <c r="K196" s="228"/>
      <c r="L196" s="228"/>
      <c r="M196" s="238"/>
      <c r="N196" s="228"/>
      <c r="O196" s="235"/>
      <c r="P196" s="236"/>
      <c r="Q196" s="235"/>
      <c r="R196" s="235"/>
      <c r="S196" s="236"/>
      <c r="T196" s="236"/>
      <c r="U196" s="237"/>
      <c r="V196" s="237"/>
      <c r="W196" s="238"/>
      <c r="X196" s="237"/>
      <c r="Y196" s="237"/>
      <c r="Z196" s="237"/>
      <c r="AA196" s="239"/>
      <c r="AB196" s="238"/>
      <c r="AC196" s="238"/>
      <c r="AD196" s="240"/>
      <c r="AE196" s="241"/>
      <c r="AF196" s="241"/>
      <c r="AG196" s="238"/>
      <c r="AH196" s="240"/>
      <c r="AI196" s="241"/>
      <c r="AJ196" s="241"/>
      <c r="AK196" s="241"/>
      <c r="AL196" s="237"/>
      <c r="AM196" s="237"/>
      <c r="AN196" s="237"/>
      <c r="AO196" s="237"/>
      <c r="AP196" s="237"/>
      <c r="AQ196" s="237"/>
      <c r="AR196" s="237"/>
    </row>
    <row r="197">
      <c r="A197" s="228"/>
      <c r="B197" s="228"/>
      <c r="C197" s="228"/>
      <c r="D197" s="228"/>
      <c r="E197" s="228"/>
      <c r="F197" s="228"/>
      <c r="G197" s="228"/>
      <c r="H197" s="241"/>
      <c r="I197" s="228"/>
      <c r="J197" s="236"/>
      <c r="K197" s="228"/>
      <c r="L197" s="228"/>
      <c r="M197" s="238"/>
      <c r="N197" s="228"/>
      <c r="O197" s="235"/>
      <c r="P197" s="236"/>
      <c r="Q197" s="235"/>
      <c r="R197" s="235"/>
      <c r="S197" s="236"/>
      <c r="T197" s="236"/>
      <c r="U197" s="237"/>
      <c r="V197" s="237"/>
      <c r="W197" s="238"/>
      <c r="X197" s="237"/>
      <c r="Y197" s="237"/>
      <c r="Z197" s="237"/>
      <c r="AA197" s="239"/>
      <c r="AB197" s="238"/>
      <c r="AC197" s="238"/>
      <c r="AD197" s="240"/>
      <c r="AE197" s="241"/>
      <c r="AF197" s="241"/>
      <c r="AG197" s="238"/>
      <c r="AH197" s="240"/>
      <c r="AI197" s="241"/>
      <c r="AJ197" s="241"/>
      <c r="AK197" s="241"/>
      <c r="AL197" s="237"/>
      <c r="AM197" s="237"/>
      <c r="AN197" s="237"/>
      <c r="AO197" s="237"/>
      <c r="AP197" s="237"/>
      <c r="AQ197" s="237"/>
      <c r="AR197" s="237"/>
    </row>
    <row r="198">
      <c r="A198" s="228"/>
      <c r="B198" s="228"/>
      <c r="C198" s="228"/>
      <c r="D198" s="228"/>
      <c r="E198" s="228"/>
      <c r="F198" s="228"/>
      <c r="G198" s="228"/>
      <c r="H198" s="241"/>
      <c r="I198" s="228"/>
      <c r="J198" s="236"/>
      <c r="K198" s="228"/>
      <c r="L198" s="228"/>
      <c r="M198" s="238"/>
      <c r="N198" s="228"/>
      <c r="O198" s="235"/>
      <c r="P198" s="236"/>
      <c r="Q198" s="235"/>
      <c r="R198" s="235"/>
      <c r="S198" s="236"/>
      <c r="T198" s="236"/>
      <c r="U198" s="237"/>
      <c r="V198" s="237"/>
      <c r="W198" s="238"/>
      <c r="X198" s="237"/>
      <c r="Y198" s="237"/>
      <c r="Z198" s="237"/>
      <c r="AA198" s="239"/>
      <c r="AB198" s="238"/>
      <c r="AC198" s="238"/>
      <c r="AD198" s="240"/>
      <c r="AE198" s="241"/>
      <c r="AF198" s="241"/>
      <c r="AG198" s="238"/>
      <c r="AH198" s="240"/>
      <c r="AI198" s="241"/>
      <c r="AJ198" s="241"/>
      <c r="AK198" s="241"/>
      <c r="AL198" s="237"/>
      <c r="AM198" s="237"/>
      <c r="AN198" s="237"/>
      <c r="AO198" s="237"/>
      <c r="AP198" s="237"/>
      <c r="AQ198" s="237"/>
      <c r="AR198" s="237"/>
    </row>
    <row r="199">
      <c r="A199" s="228"/>
      <c r="B199" s="228"/>
      <c r="C199" s="228"/>
      <c r="D199" s="228"/>
      <c r="E199" s="228"/>
      <c r="F199" s="228"/>
      <c r="G199" s="228"/>
      <c r="H199" s="241"/>
      <c r="I199" s="228"/>
      <c r="J199" s="236"/>
      <c r="K199" s="228"/>
      <c r="L199" s="228"/>
      <c r="M199" s="238"/>
      <c r="N199" s="228"/>
      <c r="O199" s="235"/>
      <c r="P199" s="236"/>
      <c r="Q199" s="235"/>
      <c r="R199" s="235"/>
      <c r="S199" s="236"/>
      <c r="T199" s="236"/>
      <c r="U199" s="237"/>
      <c r="V199" s="237"/>
      <c r="W199" s="238"/>
      <c r="X199" s="237"/>
      <c r="Y199" s="237"/>
      <c r="Z199" s="237"/>
      <c r="AA199" s="239"/>
      <c r="AB199" s="238"/>
      <c r="AC199" s="238"/>
      <c r="AD199" s="240"/>
      <c r="AE199" s="241"/>
      <c r="AF199" s="241"/>
      <c r="AG199" s="238"/>
      <c r="AH199" s="240"/>
      <c r="AI199" s="241"/>
      <c r="AJ199" s="241"/>
      <c r="AK199" s="241"/>
      <c r="AL199" s="237"/>
      <c r="AM199" s="237"/>
      <c r="AN199" s="237"/>
      <c r="AO199" s="237"/>
      <c r="AP199" s="237"/>
      <c r="AQ199" s="237"/>
      <c r="AR199" s="237"/>
    </row>
    <row r="200">
      <c r="A200" s="228"/>
      <c r="B200" s="228"/>
      <c r="C200" s="228"/>
      <c r="D200" s="228"/>
      <c r="E200" s="228"/>
      <c r="F200" s="228"/>
      <c r="G200" s="228"/>
      <c r="H200" s="241"/>
      <c r="I200" s="228"/>
      <c r="J200" s="236"/>
      <c r="K200" s="228"/>
      <c r="L200" s="228"/>
      <c r="M200" s="238"/>
      <c r="N200" s="228"/>
      <c r="O200" s="235"/>
      <c r="P200" s="236"/>
      <c r="Q200" s="235"/>
      <c r="R200" s="235"/>
      <c r="S200" s="236"/>
      <c r="T200" s="236"/>
      <c r="U200" s="237"/>
      <c r="V200" s="237"/>
      <c r="W200" s="238"/>
      <c r="X200" s="237"/>
      <c r="Y200" s="237"/>
      <c r="Z200" s="237"/>
      <c r="AA200" s="239"/>
      <c r="AB200" s="238"/>
      <c r="AC200" s="238"/>
      <c r="AD200" s="240"/>
      <c r="AE200" s="241"/>
      <c r="AF200" s="241"/>
      <c r="AG200" s="238"/>
      <c r="AH200" s="240"/>
      <c r="AI200" s="241"/>
      <c r="AJ200" s="241"/>
      <c r="AK200" s="241"/>
      <c r="AL200" s="237"/>
      <c r="AM200" s="237"/>
      <c r="AN200" s="237"/>
      <c r="AO200" s="237"/>
      <c r="AP200" s="237"/>
      <c r="AQ200" s="237"/>
      <c r="AR200" s="237"/>
    </row>
    <row r="201">
      <c r="A201" s="228"/>
      <c r="B201" s="228"/>
      <c r="C201" s="228"/>
      <c r="D201" s="228"/>
      <c r="E201" s="228"/>
      <c r="F201" s="228"/>
      <c r="G201" s="228"/>
      <c r="H201" s="241"/>
      <c r="I201" s="228"/>
      <c r="J201" s="236"/>
      <c r="K201" s="228"/>
      <c r="L201" s="228"/>
      <c r="M201" s="238"/>
      <c r="N201" s="228"/>
      <c r="O201" s="235"/>
      <c r="P201" s="236"/>
      <c r="Q201" s="235"/>
      <c r="R201" s="235"/>
      <c r="S201" s="236"/>
      <c r="T201" s="236"/>
      <c r="U201" s="237"/>
      <c r="V201" s="237"/>
      <c r="W201" s="238"/>
      <c r="X201" s="237"/>
      <c r="Y201" s="237"/>
      <c r="Z201" s="237"/>
      <c r="AA201" s="239"/>
      <c r="AB201" s="238"/>
      <c r="AC201" s="238"/>
      <c r="AD201" s="240"/>
      <c r="AE201" s="241"/>
      <c r="AF201" s="241"/>
      <c r="AG201" s="238"/>
      <c r="AH201" s="240"/>
      <c r="AI201" s="241"/>
      <c r="AJ201" s="241"/>
      <c r="AK201" s="241"/>
      <c r="AL201" s="237"/>
      <c r="AM201" s="237"/>
      <c r="AN201" s="237"/>
      <c r="AO201" s="237"/>
      <c r="AP201" s="237"/>
      <c r="AQ201" s="237"/>
      <c r="AR201" s="237"/>
    </row>
    <row r="202">
      <c r="A202" s="228"/>
      <c r="B202" s="228"/>
      <c r="C202" s="228"/>
      <c r="D202" s="228"/>
      <c r="E202" s="228"/>
      <c r="F202" s="228"/>
      <c r="G202" s="228"/>
      <c r="H202" s="241"/>
      <c r="I202" s="228"/>
      <c r="J202" s="236"/>
      <c r="K202" s="228"/>
      <c r="L202" s="228"/>
      <c r="M202" s="238"/>
      <c r="N202" s="228"/>
      <c r="O202" s="235"/>
      <c r="P202" s="236"/>
      <c r="Q202" s="235"/>
      <c r="R202" s="235"/>
      <c r="S202" s="236"/>
      <c r="T202" s="236"/>
      <c r="U202" s="237"/>
      <c r="V202" s="237"/>
      <c r="W202" s="238"/>
      <c r="X202" s="237"/>
      <c r="Y202" s="237"/>
      <c r="Z202" s="237"/>
      <c r="AA202" s="239"/>
      <c r="AB202" s="238"/>
      <c r="AC202" s="238"/>
      <c r="AD202" s="240"/>
      <c r="AE202" s="241"/>
      <c r="AF202" s="241"/>
      <c r="AG202" s="238"/>
      <c r="AH202" s="240"/>
      <c r="AI202" s="241"/>
      <c r="AJ202" s="241"/>
      <c r="AK202" s="241"/>
      <c r="AL202" s="237"/>
      <c r="AM202" s="237"/>
      <c r="AN202" s="237"/>
      <c r="AO202" s="237"/>
      <c r="AP202" s="237"/>
      <c r="AQ202" s="237"/>
      <c r="AR202" s="237"/>
    </row>
    <row r="203">
      <c r="A203" s="228"/>
      <c r="B203" s="228"/>
      <c r="C203" s="228"/>
      <c r="D203" s="228"/>
      <c r="E203" s="228"/>
      <c r="F203" s="228"/>
      <c r="G203" s="228"/>
      <c r="H203" s="241"/>
      <c r="I203" s="228"/>
      <c r="J203" s="236"/>
      <c r="K203" s="228"/>
      <c r="L203" s="228"/>
      <c r="M203" s="238"/>
      <c r="N203" s="228"/>
      <c r="O203" s="235"/>
      <c r="P203" s="236"/>
      <c r="Q203" s="235"/>
      <c r="R203" s="235"/>
      <c r="S203" s="236"/>
      <c r="T203" s="236"/>
      <c r="U203" s="237"/>
      <c r="V203" s="237"/>
      <c r="W203" s="238"/>
      <c r="X203" s="237"/>
      <c r="Y203" s="237"/>
      <c r="Z203" s="237"/>
      <c r="AA203" s="239"/>
      <c r="AB203" s="238"/>
      <c r="AC203" s="238"/>
      <c r="AD203" s="240"/>
      <c r="AE203" s="241"/>
      <c r="AF203" s="241"/>
      <c r="AG203" s="238"/>
      <c r="AH203" s="240"/>
      <c r="AI203" s="241"/>
      <c r="AJ203" s="241"/>
      <c r="AK203" s="241"/>
      <c r="AL203" s="237"/>
      <c r="AM203" s="237"/>
      <c r="AN203" s="237"/>
      <c r="AO203" s="237"/>
      <c r="AP203" s="237"/>
      <c r="AQ203" s="237"/>
      <c r="AR203" s="237"/>
    </row>
    <row r="204">
      <c r="A204" s="228"/>
      <c r="B204" s="228"/>
      <c r="C204" s="228"/>
      <c r="D204" s="228"/>
      <c r="E204" s="228"/>
      <c r="F204" s="228"/>
      <c r="G204" s="228"/>
      <c r="H204" s="241"/>
      <c r="I204" s="228"/>
      <c r="J204" s="236"/>
      <c r="K204" s="228"/>
      <c r="L204" s="228"/>
      <c r="M204" s="238"/>
      <c r="N204" s="228"/>
      <c r="O204" s="235"/>
      <c r="P204" s="236"/>
      <c r="Q204" s="235"/>
      <c r="R204" s="235"/>
      <c r="S204" s="236"/>
      <c r="T204" s="236"/>
      <c r="U204" s="237"/>
      <c r="V204" s="237"/>
      <c r="W204" s="238"/>
      <c r="X204" s="237"/>
      <c r="Y204" s="237"/>
      <c r="Z204" s="237"/>
      <c r="AA204" s="239"/>
      <c r="AB204" s="238"/>
      <c r="AC204" s="238"/>
      <c r="AD204" s="240"/>
      <c r="AE204" s="241"/>
      <c r="AF204" s="241"/>
      <c r="AG204" s="238"/>
      <c r="AH204" s="240"/>
      <c r="AI204" s="241"/>
      <c r="AJ204" s="241"/>
      <c r="AK204" s="241"/>
      <c r="AL204" s="237"/>
      <c r="AM204" s="237"/>
      <c r="AN204" s="237"/>
      <c r="AO204" s="237"/>
      <c r="AP204" s="237"/>
      <c r="AQ204" s="237"/>
      <c r="AR204" s="237"/>
    </row>
    <row r="205">
      <c r="A205" s="228"/>
      <c r="B205" s="228"/>
      <c r="C205" s="228"/>
      <c r="D205" s="228"/>
      <c r="E205" s="228"/>
      <c r="F205" s="228"/>
      <c r="G205" s="228"/>
      <c r="H205" s="241"/>
      <c r="I205" s="228"/>
      <c r="J205" s="236"/>
      <c r="K205" s="228"/>
      <c r="L205" s="228"/>
      <c r="M205" s="238"/>
      <c r="N205" s="228"/>
      <c r="O205" s="235"/>
      <c r="P205" s="236"/>
      <c r="Q205" s="235"/>
      <c r="R205" s="235"/>
      <c r="S205" s="236"/>
      <c r="T205" s="236"/>
      <c r="U205" s="237"/>
      <c r="V205" s="237"/>
      <c r="W205" s="238"/>
      <c r="X205" s="237"/>
      <c r="Y205" s="237"/>
      <c r="Z205" s="237"/>
      <c r="AA205" s="239"/>
      <c r="AB205" s="238"/>
      <c r="AC205" s="238"/>
      <c r="AD205" s="240"/>
      <c r="AE205" s="241"/>
      <c r="AF205" s="241"/>
      <c r="AG205" s="238"/>
      <c r="AH205" s="240"/>
      <c r="AI205" s="241"/>
      <c r="AJ205" s="241"/>
      <c r="AK205" s="241"/>
      <c r="AL205" s="237"/>
      <c r="AM205" s="237"/>
      <c r="AN205" s="237"/>
      <c r="AO205" s="237"/>
      <c r="AP205" s="237"/>
      <c r="AQ205" s="237"/>
      <c r="AR205" s="237"/>
    </row>
    <row r="206">
      <c r="A206" s="228"/>
      <c r="B206" s="228"/>
      <c r="C206" s="228"/>
      <c r="D206" s="228"/>
      <c r="E206" s="228"/>
      <c r="F206" s="228"/>
      <c r="G206" s="228"/>
      <c r="H206" s="241"/>
      <c r="I206" s="228"/>
      <c r="J206" s="236"/>
      <c r="K206" s="228"/>
      <c r="L206" s="228"/>
      <c r="M206" s="238"/>
      <c r="N206" s="228"/>
      <c r="O206" s="235"/>
      <c r="P206" s="236"/>
      <c r="Q206" s="235"/>
      <c r="R206" s="235"/>
      <c r="S206" s="236"/>
      <c r="T206" s="236"/>
      <c r="U206" s="237"/>
      <c r="V206" s="237"/>
      <c r="W206" s="238"/>
      <c r="X206" s="237"/>
      <c r="Y206" s="237"/>
      <c r="Z206" s="237"/>
      <c r="AA206" s="239"/>
      <c r="AB206" s="238"/>
      <c r="AC206" s="238"/>
      <c r="AD206" s="240"/>
      <c r="AE206" s="241"/>
      <c r="AF206" s="241"/>
      <c r="AG206" s="238"/>
      <c r="AH206" s="240"/>
      <c r="AI206" s="241"/>
      <c r="AJ206" s="241"/>
      <c r="AK206" s="241"/>
      <c r="AL206" s="237"/>
      <c r="AM206" s="237"/>
      <c r="AN206" s="237"/>
      <c r="AO206" s="237"/>
      <c r="AP206" s="237"/>
      <c r="AQ206" s="237"/>
      <c r="AR206" s="237"/>
    </row>
    <row r="207">
      <c r="A207" s="228"/>
      <c r="B207" s="228"/>
      <c r="C207" s="228"/>
      <c r="D207" s="228"/>
      <c r="E207" s="228"/>
      <c r="F207" s="228"/>
      <c r="G207" s="228"/>
      <c r="H207" s="241"/>
      <c r="I207" s="228"/>
      <c r="J207" s="236"/>
      <c r="K207" s="228"/>
      <c r="L207" s="228"/>
      <c r="M207" s="238"/>
      <c r="N207" s="228"/>
      <c r="O207" s="235"/>
      <c r="P207" s="236"/>
      <c r="Q207" s="235"/>
      <c r="R207" s="235"/>
      <c r="S207" s="236"/>
      <c r="T207" s="236"/>
      <c r="U207" s="237"/>
      <c r="V207" s="237"/>
      <c r="W207" s="238"/>
      <c r="X207" s="237"/>
      <c r="Y207" s="237"/>
      <c r="Z207" s="237"/>
      <c r="AA207" s="239"/>
      <c r="AB207" s="238"/>
      <c r="AC207" s="238"/>
      <c r="AD207" s="240"/>
      <c r="AE207" s="241"/>
      <c r="AF207" s="241"/>
      <c r="AG207" s="238"/>
      <c r="AH207" s="240"/>
      <c r="AI207" s="241"/>
      <c r="AJ207" s="241"/>
      <c r="AK207" s="241"/>
      <c r="AL207" s="237"/>
      <c r="AM207" s="237"/>
      <c r="AN207" s="237"/>
      <c r="AO207" s="237"/>
      <c r="AP207" s="237"/>
      <c r="AQ207" s="237"/>
      <c r="AR207" s="237"/>
    </row>
    <row r="208">
      <c r="A208" s="228"/>
      <c r="B208" s="228"/>
      <c r="C208" s="228"/>
      <c r="D208" s="228"/>
      <c r="E208" s="228"/>
      <c r="F208" s="228"/>
      <c r="G208" s="228"/>
      <c r="H208" s="241"/>
      <c r="I208" s="228"/>
      <c r="J208" s="236"/>
      <c r="K208" s="228"/>
      <c r="L208" s="228"/>
      <c r="M208" s="238"/>
      <c r="N208" s="228"/>
      <c r="O208" s="235"/>
      <c r="P208" s="236"/>
      <c r="Q208" s="235"/>
      <c r="R208" s="235"/>
      <c r="S208" s="236"/>
      <c r="T208" s="236"/>
      <c r="U208" s="237"/>
      <c r="V208" s="237"/>
      <c r="W208" s="238"/>
      <c r="X208" s="237"/>
      <c r="Y208" s="237"/>
      <c r="Z208" s="237"/>
      <c r="AA208" s="239"/>
      <c r="AB208" s="238"/>
      <c r="AC208" s="238"/>
      <c r="AD208" s="240"/>
      <c r="AE208" s="241"/>
      <c r="AF208" s="241"/>
      <c r="AG208" s="238"/>
      <c r="AH208" s="240"/>
      <c r="AI208" s="241"/>
      <c r="AJ208" s="241"/>
      <c r="AK208" s="241"/>
      <c r="AL208" s="237"/>
      <c r="AM208" s="237"/>
      <c r="AN208" s="237"/>
      <c r="AO208" s="237"/>
      <c r="AP208" s="237"/>
      <c r="AQ208" s="237"/>
      <c r="AR208" s="237"/>
    </row>
    <row r="209">
      <c r="A209" s="228"/>
      <c r="B209" s="228"/>
      <c r="C209" s="228"/>
      <c r="D209" s="228"/>
      <c r="E209" s="228"/>
      <c r="F209" s="228"/>
      <c r="G209" s="228"/>
      <c r="H209" s="241"/>
      <c r="I209" s="228"/>
      <c r="J209" s="236"/>
      <c r="K209" s="228"/>
      <c r="L209" s="228"/>
      <c r="M209" s="238"/>
      <c r="N209" s="228"/>
      <c r="O209" s="235"/>
      <c r="P209" s="236"/>
      <c r="Q209" s="235"/>
      <c r="R209" s="235"/>
      <c r="S209" s="236"/>
      <c r="T209" s="236"/>
      <c r="U209" s="237"/>
      <c r="V209" s="237"/>
      <c r="W209" s="238"/>
      <c r="X209" s="237"/>
      <c r="Y209" s="237"/>
      <c r="Z209" s="237"/>
      <c r="AA209" s="239"/>
      <c r="AB209" s="238"/>
      <c r="AC209" s="238"/>
      <c r="AD209" s="240"/>
      <c r="AE209" s="241"/>
      <c r="AF209" s="241"/>
      <c r="AG209" s="238"/>
      <c r="AH209" s="240"/>
      <c r="AI209" s="241"/>
      <c r="AJ209" s="241"/>
      <c r="AK209" s="241"/>
      <c r="AL209" s="237"/>
      <c r="AM209" s="237"/>
      <c r="AN209" s="237"/>
      <c r="AO209" s="237"/>
      <c r="AP209" s="237"/>
      <c r="AQ209" s="237"/>
      <c r="AR209" s="237"/>
    </row>
    <row r="210">
      <c r="A210" s="228"/>
      <c r="B210" s="228"/>
      <c r="C210" s="228"/>
      <c r="D210" s="228"/>
      <c r="E210" s="228"/>
      <c r="F210" s="228"/>
      <c r="G210" s="228"/>
      <c r="H210" s="241"/>
      <c r="I210" s="228"/>
      <c r="J210" s="236"/>
      <c r="K210" s="228"/>
      <c r="L210" s="228"/>
      <c r="M210" s="238"/>
      <c r="N210" s="228"/>
      <c r="O210" s="235"/>
      <c r="P210" s="236"/>
      <c r="Q210" s="235"/>
      <c r="R210" s="235"/>
      <c r="S210" s="236"/>
      <c r="T210" s="236"/>
      <c r="U210" s="237"/>
      <c r="V210" s="237"/>
      <c r="W210" s="238"/>
      <c r="X210" s="237"/>
      <c r="Y210" s="237"/>
      <c r="Z210" s="237"/>
      <c r="AA210" s="239"/>
      <c r="AB210" s="238"/>
      <c r="AC210" s="238"/>
      <c r="AD210" s="240"/>
      <c r="AE210" s="241"/>
      <c r="AF210" s="241"/>
      <c r="AG210" s="238"/>
      <c r="AH210" s="240"/>
      <c r="AI210" s="241"/>
      <c r="AJ210" s="241"/>
      <c r="AK210" s="241"/>
      <c r="AL210" s="237"/>
      <c r="AM210" s="237"/>
      <c r="AN210" s="237"/>
      <c r="AO210" s="237"/>
      <c r="AP210" s="237"/>
      <c r="AQ210" s="237"/>
      <c r="AR210" s="237"/>
    </row>
    <row r="211">
      <c r="A211" s="228"/>
      <c r="B211" s="228"/>
      <c r="C211" s="228"/>
      <c r="D211" s="228"/>
      <c r="E211" s="228"/>
      <c r="F211" s="228"/>
      <c r="G211" s="228"/>
      <c r="H211" s="241"/>
      <c r="I211" s="228"/>
      <c r="J211" s="236"/>
      <c r="K211" s="228"/>
      <c r="L211" s="228"/>
      <c r="M211" s="238"/>
      <c r="N211" s="228"/>
      <c r="O211" s="235"/>
      <c r="P211" s="236"/>
      <c r="Q211" s="235"/>
      <c r="R211" s="235"/>
      <c r="S211" s="236"/>
      <c r="T211" s="236"/>
      <c r="U211" s="237"/>
      <c r="V211" s="237"/>
      <c r="W211" s="238"/>
      <c r="X211" s="237"/>
      <c r="Y211" s="237"/>
      <c r="Z211" s="237"/>
      <c r="AA211" s="239"/>
      <c r="AB211" s="238"/>
      <c r="AC211" s="238"/>
      <c r="AD211" s="240"/>
      <c r="AE211" s="241"/>
      <c r="AF211" s="241"/>
      <c r="AG211" s="238"/>
      <c r="AH211" s="240"/>
      <c r="AI211" s="241"/>
      <c r="AJ211" s="241"/>
      <c r="AK211" s="241"/>
      <c r="AL211" s="237"/>
      <c r="AM211" s="237"/>
      <c r="AN211" s="237"/>
      <c r="AO211" s="237"/>
      <c r="AP211" s="237"/>
      <c r="AQ211" s="237"/>
      <c r="AR211" s="237"/>
    </row>
    <row r="212">
      <c r="A212" s="228"/>
      <c r="B212" s="228"/>
      <c r="C212" s="228"/>
      <c r="D212" s="228"/>
      <c r="E212" s="228"/>
      <c r="F212" s="228"/>
      <c r="G212" s="228"/>
      <c r="H212" s="241"/>
      <c r="I212" s="228"/>
      <c r="J212" s="236"/>
      <c r="K212" s="228"/>
      <c r="L212" s="228"/>
      <c r="M212" s="238"/>
      <c r="N212" s="228"/>
      <c r="O212" s="235"/>
      <c r="P212" s="236"/>
      <c r="Q212" s="235"/>
      <c r="R212" s="235"/>
      <c r="S212" s="236"/>
      <c r="T212" s="236"/>
      <c r="U212" s="237"/>
      <c r="V212" s="237"/>
      <c r="W212" s="238"/>
      <c r="X212" s="237"/>
      <c r="Y212" s="237"/>
      <c r="Z212" s="237"/>
      <c r="AA212" s="239"/>
      <c r="AB212" s="238"/>
      <c r="AC212" s="238"/>
      <c r="AD212" s="240"/>
      <c r="AE212" s="241"/>
      <c r="AF212" s="241"/>
      <c r="AG212" s="238"/>
      <c r="AH212" s="240"/>
      <c r="AI212" s="241"/>
      <c r="AJ212" s="241"/>
      <c r="AK212" s="241"/>
      <c r="AL212" s="237"/>
      <c r="AM212" s="237"/>
      <c r="AN212" s="237"/>
      <c r="AO212" s="237"/>
      <c r="AP212" s="237"/>
      <c r="AQ212" s="237"/>
      <c r="AR212" s="237"/>
    </row>
    <row r="213">
      <c r="A213" s="228"/>
      <c r="B213" s="228"/>
      <c r="C213" s="228"/>
      <c r="D213" s="228"/>
      <c r="E213" s="228"/>
      <c r="F213" s="228"/>
      <c r="G213" s="228"/>
      <c r="H213" s="241"/>
      <c r="I213" s="228"/>
      <c r="J213" s="236"/>
      <c r="K213" s="228"/>
      <c r="L213" s="228"/>
      <c r="M213" s="238"/>
      <c r="N213" s="228"/>
      <c r="O213" s="235"/>
      <c r="P213" s="236"/>
      <c r="Q213" s="235"/>
      <c r="R213" s="235"/>
      <c r="S213" s="236"/>
      <c r="T213" s="236"/>
      <c r="U213" s="237"/>
      <c r="V213" s="237"/>
      <c r="W213" s="238"/>
      <c r="X213" s="237"/>
      <c r="Y213" s="237"/>
      <c r="Z213" s="237"/>
      <c r="AA213" s="239"/>
      <c r="AB213" s="238"/>
      <c r="AC213" s="238"/>
      <c r="AD213" s="240"/>
      <c r="AE213" s="241"/>
      <c r="AF213" s="241"/>
      <c r="AG213" s="238"/>
      <c r="AH213" s="240"/>
      <c r="AI213" s="241"/>
      <c r="AJ213" s="241"/>
      <c r="AK213" s="241"/>
      <c r="AL213" s="237"/>
      <c r="AM213" s="237"/>
      <c r="AN213" s="237"/>
      <c r="AO213" s="237"/>
      <c r="AP213" s="237"/>
      <c r="AQ213" s="237"/>
      <c r="AR213" s="237"/>
    </row>
    <row r="214">
      <c r="A214" s="228"/>
      <c r="B214" s="228"/>
      <c r="C214" s="228"/>
      <c r="D214" s="228"/>
      <c r="E214" s="228"/>
      <c r="F214" s="228"/>
      <c r="G214" s="228"/>
      <c r="H214" s="241"/>
      <c r="I214" s="228"/>
      <c r="J214" s="236"/>
      <c r="K214" s="228"/>
      <c r="L214" s="228"/>
      <c r="M214" s="238"/>
      <c r="N214" s="228"/>
      <c r="O214" s="235"/>
      <c r="P214" s="236"/>
      <c r="Q214" s="235"/>
      <c r="R214" s="235"/>
      <c r="S214" s="236"/>
      <c r="T214" s="236"/>
      <c r="U214" s="237"/>
      <c r="V214" s="237"/>
      <c r="W214" s="238"/>
      <c r="X214" s="237"/>
      <c r="Y214" s="237"/>
      <c r="Z214" s="237"/>
      <c r="AA214" s="239"/>
      <c r="AB214" s="238"/>
      <c r="AC214" s="238"/>
      <c r="AD214" s="240"/>
      <c r="AE214" s="241"/>
      <c r="AF214" s="241"/>
      <c r="AG214" s="238"/>
      <c r="AH214" s="240"/>
      <c r="AI214" s="241"/>
      <c r="AJ214" s="241"/>
      <c r="AK214" s="241"/>
      <c r="AL214" s="237"/>
      <c r="AM214" s="237"/>
      <c r="AN214" s="237"/>
      <c r="AO214" s="237"/>
      <c r="AP214" s="237"/>
      <c r="AQ214" s="237"/>
      <c r="AR214" s="237"/>
    </row>
    <row r="215">
      <c r="A215" s="228"/>
      <c r="B215" s="228"/>
      <c r="C215" s="228"/>
      <c r="D215" s="228"/>
      <c r="E215" s="228"/>
      <c r="F215" s="228"/>
      <c r="G215" s="228"/>
      <c r="H215" s="241"/>
      <c r="I215" s="228"/>
      <c r="J215" s="236"/>
      <c r="K215" s="228"/>
      <c r="L215" s="228"/>
      <c r="M215" s="238"/>
      <c r="N215" s="228"/>
      <c r="O215" s="235"/>
      <c r="P215" s="236"/>
      <c r="Q215" s="235"/>
      <c r="R215" s="235"/>
      <c r="S215" s="236"/>
      <c r="T215" s="236"/>
      <c r="U215" s="237"/>
      <c r="V215" s="237"/>
      <c r="W215" s="238"/>
      <c r="X215" s="237"/>
      <c r="Y215" s="237"/>
      <c r="Z215" s="237"/>
      <c r="AA215" s="239"/>
      <c r="AB215" s="238"/>
      <c r="AC215" s="238"/>
      <c r="AD215" s="240"/>
      <c r="AE215" s="241"/>
      <c r="AF215" s="241"/>
      <c r="AG215" s="238"/>
      <c r="AH215" s="240"/>
      <c r="AI215" s="241"/>
      <c r="AJ215" s="241"/>
      <c r="AK215" s="241"/>
      <c r="AL215" s="237"/>
      <c r="AM215" s="237"/>
      <c r="AN215" s="237"/>
      <c r="AO215" s="237"/>
      <c r="AP215" s="237"/>
      <c r="AQ215" s="237"/>
      <c r="AR215" s="237"/>
    </row>
    <row r="216">
      <c r="A216" s="228"/>
      <c r="B216" s="228"/>
      <c r="C216" s="228"/>
      <c r="D216" s="228"/>
      <c r="E216" s="228"/>
      <c r="F216" s="228"/>
      <c r="G216" s="228"/>
      <c r="H216" s="241"/>
      <c r="I216" s="228"/>
      <c r="J216" s="236"/>
      <c r="K216" s="228"/>
      <c r="L216" s="228"/>
      <c r="M216" s="238"/>
      <c r="N216" s="228"/>
      <c r="O216" s="235"/>
      <c r="P216" s="236"/>
      <c r="Q216" s="235"/>
      <c r="R216" s="235"/>
      <c r="S216" s="236"/>
      <c r="T216" s="236"/>
      <c r="U216" s="237"/>
      <c r="V216" s="237"/>
      <c r="W216" s="238"/>
      <c r="X216" s="237"/>
      <c r="Y216" s="237"/>
      <c r="Z216" s="237"/>
      <c r="AA216" s="239"/>
      <c r="AB216" s="238"/>
      <c r="AC216" s="238"/>
      <c r="AD216" s="240"/>
      <c r="AE216" s="241"/>
      <c r="AF216" s="241"/>
      <c r="AG216" s="238"/>
      <c r="AH216" s="240"/>
      <c r="AI216" s="241"/>
      <c r="AJ216" s="241"/>
      <c r="AK216" s="241"/>
      <c r="AL216" s="237"/>
      <c r="AM216" s="237"/>
      <c r="AN216" s="237"/>
      <c r="AO216" s="237"/>
      <c r="AP216" s="237"/>
      <c r="AQ216" s="237"/>
      <c r="AR216" s="237"/>
    </row>
    <row r="217">
      <c r="A217" s="228"/>
      <c r="B217" s="228"/>
      <c r="C217" s="228"/>
      <c r="D217" s="228"/>
      <c r="E217" s="228"/>
      <c r="F217" s="228"/>
      <c r="G217" s="228"/>
      <c r="H217" s="241"/>
      <c r="I217" s="228"/>
      <c r="J217" s="236"/>
      <c r="K217" s="228"/>
      <c r="L217" s="228"/>
      <c r="M217" s="238"/>
      <c r="N217" s="228"/>
      <c r="O217" s="235"/>
      <c r="P217" s="236"/>
      <c r="Q217" s="235"/>
      <c r="R217" s="235"/>
      <c r="S217" s="236"/>
      <c r="T217" s="236"/>
      <c r="U217" s="237"/>
      <c r="V217" s="237"/>
      <c r="W217" s="238"/>
      <c r="X217" s="237"/>
      <c r="Y217" s="237"/>
      <c r="Z217" s="237"/>
      <c r="AA217" s="239"/>
      <c r="AB217" s="238"/>
      <c r="AC217" s="238"/>
      <c r="AD217" s="240"/>
      <c r="AE217" s="241"/>
      <c r="AF217" s="241"/>
      <c r="AG217" s="238"/>
      <c r="AH217" s="240"/>
      <c r="AI217" s="241"/>
      <c r="AJ217" s="241"/>
      <c r="AK217" s="241"/>
      <c r="AL217" s="237"/>
      <c r="AM217" s="237"/>
      <c r="AN217" s="237"/>
      <c r="AO217" s="237"/>
      <c r="AP217" s="237"/>
      <c r="AQ217" s="237"/>
      <c r="AR217" s="237"/>
    </row>
    <row r="218">
      <c r="A218" s="228"/>
      <c r="B218" s="228"/>
      <c r="C218" s="228"/>
      <c r="D218" s="228"/>
      <c r="E218" s="228"/>
      <c r="F218" s="228"/>
      <c r="G218" s="228"/>
      <c r="H218" s="241"/>
      <c r="I218" s="228"/>
      <c r="J218" s="236"/>
      <c r="K218" s="228"/>
      <c r="L218" s="228"/>
      <c r="M218" s="238"/>
      <c r="N218" s="228"/>
      <c r="O218" s="235"/>
      <c r="P218" s="236"/>
      <c r="Q218" s="235"/>
      <c r="R218" s="235"/>
      <c r="S218" s="236"/>
      <c r="T218" s="236"/>
      <c r="U218" s="237"/>
      <c r="V218" s="237"/>
      <c r="W218" s="238"/>
      <c r="X218" s="237"/>
      <c r="Y218" s="237"/>
      <c r="Z218" s="237"/>
      <c r="AA218" s="239"/>
      <c r="AB218" s="238"/>
      <c r="AC218" s="238"/>
      <c r="AD218" s="240"/>
      <c r="AE218" s="241"/>
      <c r="AF218" s="241"/>
      <c r="AG218" s="238"/>
      <c r="AH218" s="240"/>
      <c r="AI218" s="241"/>
      <c r="AJ218" s="241"/>
      <c r="AK218" s="241"/>
      <c r="AL218" s="237"/>
      <c r="AM218" s="237"/>
      <c r="AN218" s="237"/>
      <c r="AO218" s="237"/>
      <c r="AP218" s="237"/>
      <c r="AQ218" s="237"/>
      <c r="AR218" s="237"/>
    </row>
    <row r="219">
      <c r="A219" s="228"/>
      <c r="B219" s="228"/>
      <c r="C219" s="228"/>
      <c r="D219" s="228"/>
      <c r="E219" s="228"/>
      <c r="F219" s="228"/>
      <c r="G219" s="228"/>
      <c r="H219" s="241"/>
      <c r="I219" s="228"/>
      <c r="J219" s="236"/>
      <c r="K219" s="228"/>
      <c r="L219" s="228"/>
      <c r="M219" s="238"/>
      <c r="N219" s="228"/>
      <c r="O219" s="235"/>
      <c r="P219" s="236"/>
      <c r="Q219" s="235"/>
      <c r="R219" s="235"/>
      <c r="S219" s="236"/>
      <c r="T219" s="236"/>
      <c r="U219" s="237"/>
      <c r="V219" s="237"/>
      <c r="W219" s="238"/>
      <c r="X219" s="237"/>
      <c r="Y219" s="237"/>
      <c r="Z219" s="237"/>
      <c r="AA219" s="239"/>
      <c r="AB219" s="238"/>
      <c r="AC219" s="238"/>
      <c r="AD219" s="240"/>
      <c r="AE219" s="241"/>
      <c r="AF219" s="241"/>
      <c r="AG219" s="238"/>
      <c r="AH219" s="240"/>
      <c r="AI219" s="241"/>
      <c r="AJ219" s="241"/>
      <c r="AK219" s="241"/>
      <c r="AL219" s="237"/>
      <c r="AM219" s="237"/>
      <c r="AN219" s="237"/>
      <c r="AO219" s="237"/>
      <c r="AP219" s="237"/>
      <c r="AQ219" s="237"/>
      <c r="AR219" s="237"/>
    </row>
    <row r="220">
      <c r="A220" s="228"/>
      <c r="B220" s="228"/>
      <c r="C220" s="228"/>
      <c r="D220" s="228"/>
      <c r="E220" s="228"/>
      <c r="F220" s="228"/>
      <c r="G220" s="228"/>
      <c r="H220" s="241"/>
      <c r="I220" s="228"/>
      <c r="J220" s="236"/>
      <c r="K220" s="228"/>
      <c r="L220" s="228"/>
      <c r="M220" s="238"/>
      <c r="N220" s="228"/>
      <c r="O220" s="235"/>
      <c r="P220" s="236"/>
      <c r="Q220" s="235"/>
      <c r="R220" s="235"/>
      <c r="S220" s="236"/>
      <c r="T220" s="236"/>
      <c r="U220" s="237"/>
      <c r="V220" s="237"/>
      <c r="W220" s="238"/>
      <c r="X220" s="237"/>
      <c r="Y220" s="237"/>
      <c r="Z220" s="237"/>
      <c r="AA220" s="239"/>
      <c r="AB220" s="238"/>
      <c r="AC220" s="238"/>
      <c r="AD220" s="240"/>
      <c r="AE220" s="241"/>
      <c r="AF220" s="241"/>
      <c r="AG220" s="238"/>
      <c r="AH220" s="240"/>
      <c r="AI220" s="241"/>
      <c r="AJ220" s="241"/>
      <c r="AK220" s="241"/>
      <c r="AL220" s="237"/>
      <c r="AM220" s="237"/>
      <c r="AN220" s="237"/>
      <c r="AO220" s="237"/>
      <c r="AP220" s="237"/>
      <c r="AQ220" s="237"/>
      <c r="AR220" s="237"/>
    </row>
    <row r="221">
      <c r="A221" s="228"/>
      <c r="B221" s="228"/>
      <c r="C221" s="228"/>
      <c r="D221" s="228"/>
      <c r="E221" s="228"/>
      <c r="F221" s="228"/>
      <c r="G221" s="228"/>
      <c r="H221" s="241"/>
      <c r="I221" s="228"/>
      <c r="J221" s="236"/>
      <c r="K221" s="228"/>
      <c r="L221" s="228"/>
      <c r="M221" s="238"/>
      <c r="N221" s="228"/>
      <c r="O221" s="235"/>
      <c r="P221" s="236"/>
      <c r="Q221" s="235"/>
      <c r="R221" s="235"/>
      <c r="S221" s="236"/>
      <c r="T221" s="236"/>
      <c r="U221" s="237"/>
      <c r="V221" s="237"/>
      <c r="W221" s="238"/>
      <c r="X221" s="237"/>
      <c r="Y221" s="237"/>
      <c r="Z221" s="237"/>
      <c r="AA221" s="239"/>
      <c r="AB221" s="238"/>
      <c r="AC221" s="238"/>
      <c r="AD221" s="240"/>
      <c r="AE221" s="241"/>
      <c r="AF221" s="241"/>
      <c r="AG221" s="238"/>
      <c r="AH221" s="240"/>
      <c r="AI221" s="241"/>
      <c r="AJ221" s="241"/>
      <c r="AK221" s="241"/>
      <c r="AL221" s="237"/>
      <c r="AM221" s="237"/>
      <c r="AN221" s="237"/>
      <c r="AO221" s="237"/>
      <c r="AP221" s="237"/>
      <c r="AQ221" s="237"/>
      <c r="AR221" s="237"/>
    </row>
    <row r="222">
      <c r="A222" s="228"/>
      <c r="B222" s="228"/>
      <c r="C222" s="228"/>
      <c r="D222" s="228"/>
      <c r="E222" s="228"/>
      <c r="F222" s="228"/>
      <c r="G222" s="228"/>
      <c r="H222" s="241"/>
      <c r="I222" s="228"/>
      <c r="J222" s="236"/>
      <c r="K222" s="228"/>
      <c r="L222" s="228"/>
      <c r="M222" s="238"/>
      <c r="N222" s="228"/>
      <c r="O222" s="235"/>
      <c r="P222" s="236"/>
      <c r="Q222" s="235"/>
      <c r="R222" s="235"/>
      <c r="S222" s="236"/>
      <c r="T222" s="236"/>
      <c r="U222" s="237"/>
      <c r="V222" s="237"/>
      <c r="W222" s="238"/>
      <c r="X222" s="237"/>
      <c r="Y222" s="237"/>
      <c r="Z222" s="237"/>
      <c r="AA222" s="239"/>
      <c r="AB222" s="238"/>
      <c r="AC222" s="238"/>
      <c r="AD222" s="240"/>
      <c r="AE222" s="241"/>
      <c r="AF222" s="241"/>
      <c r="AG222" s="238"/>
      <c r="AH222" s="240"/>
      <c r="AI222" s="241"/>
      <c r="AJ222" s="241"/>
      <c r="AK222" s="241"/>
      <c r="AL222" s="237"/>
      <c r="AM222" s="237"/>
      <c r="AN222" s="237"/>
      <c r="AO222" s="237"/>
      <c r="AP222" s="237"/>
      <c r="AQ222" s="237"/>
      <c r="AR222" s="237"/>
    </row>
    <row r="223">
      <c r="A223" s="228"/>
      <c r="B223" s="228"/>
      <c r="C223" s="228"/>
      <c r="D223" s="228"/>
      <c r="E223" s="228"/>
      <c r="F223" s="228"/>
      <c r="G223" s="228"/>
      <c r="H223" s="241"/>
      <c r="I223" s="228"/>
      <c r="J223" s="236"/>
      <c r="K223" s="228"/>
      <c r="L223" s="228"/>
      <c r="M223" s="238"/>
      <c r="N223" s="228"/>
      <c r="O223" s="235"/>
      <c r="P223" s="236"/>
      <c r="Q223" s="235"/>
      <c r="R223" s="235"/>
      <c r="S223" s="236"/>
      <c r="T223" s="236"/>
      <c r="U223" s="237"/>
      <c r="V223" s="237"/>
      <c r="W223" s="238"/>
      <c r="X223" s="237"/>
      <c r="Y223" s="237"/>
      <c r="Z223" s="237"/>
      <c r="AA223" s="239"/>
      <c r="AB223" s="238"/>
      <c r="AC223" s="238"/>
      <c r="AD223" s="240"/>
      <c r="AE223" s="241"/>
      <c r="AF223" s="241"/>
      <c r="AG223" s="238"/>
      <c r="AH223" s="240"/>
      <c r="AI223" s="241"/>
      <c r="AJ223" s="241"/>
      <c r="AK223" s="241"/>
      <c r="AL223" s="237"/>
      <c r="AM223" s="237"/>
      <c r="AN223" s="237"/>
      <c r="AO223" s="237"/>
      <c r="AP223" s="237"/>
      <c r="AQ223" s="237"/>
      <c r="AR223" s="237"/>
    </row>
    <row r="224">
      <c r="A224" s="228"/>
      <c r="B224" s="228"/>
      <c r="C224" s="228"/>
      <c r="D224" s="228"/>
      <c r="E224" s="228"/>
      <c r="F224" s="228"/>
      <c r="G224" s="228"/>
      <c r="H224" s="241"/>
      <c r="I224" s="228"/>
      <c r="J224" s="236"/>
      <c r="K224" s="228"/>
      <c r="L224" s="228"/>
      <c r="M224" s="238"/>
      <c r="N224" s="228"/>
      <c r="O224" s="235"/>
      <c r="P224" s="236"/>
      <c r="Q224" s="235"/>
      <c r="R224" s="235"/>
      <c r="S224" s="236"/>
      <c r="T224" s="236"/>
      <c r="U224" s="237"/>
      <c r="V224" s="237"/>
      <c r="W224" s="238"/>
      <c r="X224" s="237"/>
      <c r="Y224" s="237"/>
      <c r="Z224" s="237"/>
      <c r="AA224" s="239"/>
      <c r="AB224" s="238"/>
      <c r="AC224" s="238"/>
      <c r="AD224" s="240"/>
      <c r="AE224" s="241"/>
      <c r="AF224" s="241"/>
      <c r="AG224" s="238"/>
      <c r="AH224" s="240"/>
      <c r="AI224" s="241"/>
      <c r="AJ224" s="241"/>
      <c r="AK224" s="241"/>
      <c r="AL224" s="237"/>
      <c r="AM224" s="237"/>
      <c r="AN224" s="237"/>
      <c r="AO224" s="237"/>
      <c r="AP224" s="237"/>
      <c r="AQ224" s="237"/>
      <c r="AR224" s="237"/>
    </row>
    <row r="225">
      <c r="A225" s="228"/>
      <c r="B225" s="228"/>
      <c r="C225" s="228"/>
      <c r="D225" s="228"/>
      <c r="E225" s="228"/>
      <c r="F225" s="228"/>
      <c r="G225" s="228"/>
      <c r="H225" s="241"/>
      <c r="I225" s="228"/>
      <c r="J225" s="236"/>
      <c r="K225" s="228"/>
      <c r="L225" s="228"/>
      <c r="M225" s="238"/>
      <c r="N225" s="228"/>
      <c r="O225" s="235"/>
      <c r="P225" s="236"/>
      <c r="Q225" s="235"/>
      <c r="R225" s="235"/>
      <c r="S225" s="236"/>
      <c r="T225" s="236"/>
      <c r="U225" s="237"/>
      <c r="V225" s="237"/>
      <c r="W225" s="238"/>
      <c r="X225" s="237"/>
      <c r="Y225" s="237"/>
      <c r="Z225" s="237"/>
      <c r="AA225" s="239"/>
      <c r="AB225" s="238"/>
      <c r="AC225" s="238"/>
      <c r="AD225" s="240"/>
      <c r="AE225" s="241"/>
      <c r="AF225" s="241"/>
      <c r="AG225" s="238"/>
      <c r="AH225" s="240"/>
      <c r="AI225" s="241"/>
      <c r="AJ225" s="241"/>
      <c r="AK225" s="241"/>
      <c r="AL225" s="237"/>
      <c r="AM225" s="237"/>
      <c r="AN225" s="237"/>
      <c r="AO225" s="237"/>
      <c r="AP225" s="237"/>
      <c r="AQ225" s="237"/>
      <c r="AR225" s="237"/>
    </row>
    <row r="226">
      <c r="A226" s="228"/>
      <c r="B226" s="228"/>
      <c r="C226" s="228"/>
      <c r="D226" s="228"/>
      <c r="E226" s="228"/>
      <c r="F226" s="228"/>
      <c r="G226" s="228"/>
      <c r="H226" s="241"/>
      <c r="I226" s="228"/>
      <c r="J226" s="236"/>
      <c r="K226" s="228"/>
      <c r="L226" s="228"/>
      <c r="M226" s="238"/>
      <c r="N226" s="228"/>
      <c r="O226" s="235"/>
      <c r="P226" s="236"/>
      <c r="Q226" s="235"/>
      <c r="R226" s="235"/>
      <c r="S226" s="236"/>
      <c r="T226" s="236"/>
      <c r="U226" s="237"/>
      <c r="V226" s="237"/>
      <c r="W226" s="238"/>
      <c r="X226" s="237"/>
      <c r="Y226" s="237"/>
      <c r="Z226" s="237"/>
      <c r="AA226" s="239"/>
      <c r="AB226" s="238"/>
      <c r="AC226" s="238"/>
      <c r="AD226" s="240"/>
      <c r="AE226" s="241"/>
      <c r="AF226" s="241"/>
      <c r="AG226" s="238"/>
      <c r="AH226" s="240"/>
      <c r="AI226" s="241"/>
      <c r="AJ226" s="241"/>
      <c r="AK226" s="241"/>
      <c r="AL226" s="237"/>
      <c r="AM226" s="237"/>
      <c r="AN226" s="237"/>
      <c r="AO226" s="237"/>
      <c r="AP226" s="237"/>
      <c r="AQ226" s="237"/>
      <c r="AR226" s="237"/>
    </row>
    <row r="227">
      <c r="A227" s="228"/>
      <c r="B227" s="228"/>
      <c r="C227" s="228"/>
      <c r="D227" s="228"/>
      <c r="E227" s="228"/>
      <c r="F227" s="228"/>
      <c r="G227" s="228"/>
      <c r="H227" s="241"/>
      <c r="I227" s="228"/>
      <c r="J227" s="236"/>
      <c r="K227" s="228"/>
      <c r="L227" s="228"/>
      <c r="M227" s="238"/>
      <c r="N227" s="228"/>
      <c r="O227" s="235"/>
      <c r="P227" s="236"/>
      <c r="Q227" s="235"/>
      <c r="R227" s="235"/>
      <c r="S227" s="236"/>
      <c r="T227" s="236"/>
      <c r="U227" s="237"/>
      <c r="V227" s="237"/>
      <c r="W227" s="238"/>
      <c r="X227" s="237"/>
      <c r="Y227" s="237"/>
      <c r="Z227" s="237"/>
      <c r="AA227" s="239"/>
      <c r="AB227" s="238"/>
      <c r="AC227" s="238"/>
      <c r="AD227" s="240"/>
      <c r="AE227" s="241"/>
      <c r="AF227" s="241"/>
      <c r="AG227" s="238"/>
      <c r="AH227" s="240"/>
      <c r="AI227" s="241"/>
      <c r="AJ227" s="241"/>
      <c r="AK227" s="241"/>
      <c r="AL227" s="237"/>
      <c r="AM227" s="237"/>
      <c r="AN227" s="237"/>
      <c r="AO227" s="237"/>
      <c r="AP227" s="237"/>
      <c r="AQ227" s="237"/>
      <c r="AR227" s="237"/>
    </row>
    <row r="228">
      <c r="A228" s="228"/>
      <c r="B228" s="228"/>
      <c r="C228" s="228"/>
      <c r="D228" s="228"/>
      <c r="E228" s="228"/>
      <c r="F228" s="228"/>
      <c r="G228" s="228"/>
      <c r="H228" s="241"/>
      <c r="I228" s="228"/>
      <c r="J228" s="236"/>
      <c r="K228" s="228"/>
      <c r="L228" s="228"/>
      <c r="M228" s="238"/>
      <c r="N228" s="228"/>
      <c r="O228" s="235"/>
      <c r="P228" s="236"/>
      <c r="Q228" s="235"/>
      <c r="R228" s="235"/>
      <c r="S228" s="236"/>
      <c r="T228" s="236"/>
      <c r="U228" s="237"/>
      <c r="V228" s="237"/>
      <c r="W228" s="238"/>
      <c r="X228" s="237"/>
      <c r="Y228" s="237"/>
      <c r="Z228" s="237"/>
      <c r="AA228" s="239"/>
      <c r="AB228" s="238"/>
      <c r="AC228" s="238"/>
      <c r="AD228" s="240"/>
      <c r="AE228" s="241"/>
      <c r="AF228" s="241"/>
      <c r="AG228" s="238"/>
      <c r="AH228" s="240"/>
      <c r="AI228" s="241"/>
      <c r="AJ228" s="241"/>
      <c r="AK228" s="241"/>
      <c r="AL228" s="237"/>
      <c r="AM228" s="237"/>
      <c r="AN228" s="237"/>
      <c r="AO228" s="237"/>
      <c r="AP228" s="237"/>
      <c r="AQ228" s="237"/>
      <c r="AR228" s="237"/>
    </row>
    <row r="229">
      <c r="A229" s="228"/>
      <c r="B229" s="228"/>
      <c r="C229" s="228"/>
      <c r="D229" s="228"/>
      <c r="E229" s="228"/>
      <c r="F229" s="228"/>
      <c r="G229" s="228"/>
      <c r="H229" s="241"/>
      <c r="I229" s="228"/>
      <c r="J229" s="236"/>
      <c r="K229" s="228"/>
      <c r="L229" s="228"/>
      <c r="M229" s="238"/>
      <c r="N229" s="228"/>
      <c r="O229" s="235"/>
      <c r="P229" s="236"/>
      <c r="Q229" s="235"/>
      <c r="R229" s="235"/>
      <c r="S229" s="236"/>
      <c r="T229" s="236"/>
      <c r="U229" s="237"/>
      <c r="V229" s="237"/>
      <c r="W229" s="238"/>
      <c r="X229" s="237"/>
      <c r="Y229" s="237"/>
      <c r="Z229" s="237"/>
      <c r="AA229" s="239"/>
      <c r="AB229" s="238"/>
      <c r="AC229" s="238"/>
      <c r="AD229" s="240"/>
      <c r="AE229" s="241"/>
      <c r="AF229" s="241"/>
      <c r="AG229" s="238"/>
      <c r="AH229" s="240"/>
      <c r="AI229" s="241"/>
      <c r="AJ229" s="241"/>
      <c r="AK229" s="241"/>
      <c r="AL229" s="237"/>
      <c r="AM229" s="237"/>
      <c r="AN229" s="237"/>
      <c r="AO229" s="237"/>
      <c r="AP229" s="237"/>
      <c r="AQ229" s="237"/>
      <c r="AR229" s="237"/>
    </row>
    <row r="230">
      <c r="A230" s="228"/>
      <c r="B230" s="228"/>
      <c r="C230" s="228"/>
      <c r="D230" s="228"/>
      <c r="E230" s="228"/>
      <c r="F230" s="228"/>
      <c r="G230" s="228"/>
      <c r="H230" s="241"/>
      <c r="I230" s="228"/>
      <c r="J230" s="236"/>
      <c r="K230" s="228"/>
      <c r="L230" s="228"/>
      <c r="M230" s="238"/>
      <c r="N230" s="228"/>
      <c r="O230" s="235"/>
      <c r="P230" s="236"/>
      <c r="Q230" s="235"/>
      <c r="R230" s="235"/>
      <c r="S230" s="236"/>
      <c r="T230" s="236"/>
      <c r="U230" s="237"/>
      <c r="V230" s="237"/>
      <c r="W230" s="238"/>
      <c r="X230" s="237"/>
      <c r="Y230" s="237"/>
      <c r="Z230" s="237"/>
      <c r="AA230" s="239"/>
      <c r="AB230" s="238"/>
      <c r="AC230" s="238"/>
      <c r="AD230" s="240"/>
      <c r="AE230" s="241"/>
      <c r="AF230" s="241"/>
      <c r="AG230" s="238"/>
      <c r="AH230" s="240"/>
      <c r="AI230" s="241"/>
      <c r="AJ230" s="241"/>
      <c r="AK230" s="241"/>
      <c r="AL230" s="237"/>
      <c r="AM230" s="237"/>
      <c r="AN230" s="237"/>
      <c r="AO230" s="237"/>
      <c r="AP230" s="237"/>
      <c r="AQ230" s="237"/>
      <c r="AR230" s="237"/>
    </row>
    <row r="231">
      <c r="A231" s="228"/>
      <c r="B231" s="228"/>
      <c r="C231" s="228"/>
      <c r="D231" s="228"/>
      <c r="E231" s="228"/>
      <c r="F231" s="228"/>
      <c r="G231" s="228"/>
      <c r="H231" s="241"/>
      <c r="I231" s="228"/>
      <c r="J231" s="236"/>
      <c r="K231" s="228"/>
      <c r="L231" s="228"/>
      <c r="M231" s="238"/>
      <c r="N231" s="228"/>
      <c r="O231" s="235"/>
      <c r="P231" s="236"/>
      <c r="Q231" s="235"/>
      <c r="R231" s="235"/>
      <c r="S231" s="236"/>
      <c r="T231" s="236"/>
      <c r="U231" s="237"/>
      <c r="V231" s="237"/>
      <c r="W231" s="238"/>
      <c r="X231" s="237"/>
      <c r="Y231" s="237"/>
      <c r="Z231" s="237"/>
      <c r="AA231" s="239"/>
      <c r="AB231" s="238"/>
      <c r="AC231" s="238"/>
      <c r="AD231" s="240"/>
      <c r="AE231" s="241"/>
      <c r="AF231" s="241"/>
      <c r="AG231" s="238"/>
      <c r="AH231" s="240"/>
      <c r="AI231" s="241"/>
      <c r="AJ231" s="241"/>
      <c r="AK231" s="241"/>
      <c r="AL231" s="237"/>
      <c r="AM231" s="237"/>
      <c r="AN231" s="237"/>
      <c r="AO231" s="237"/>
      <c r="AP231" s="237"/>
      <c r="AQ231" s="237"/>
      <c r="AR231" s="237"/>
    </row>
    <row r="232">
      <c r="A232" s="228"/>
      <c r="B232" s="228"/>
      <c r="C232" s="228"/>
      <c r="D232" s="228"/>
      <c r="E232" s="228"/>
      <c r="F232" s="228"/>
      <c r="G232" s="228"/>
      <c r="H232" s="241"/>
      <c r="I232" s="228"/>
      <c r="J232" s="236"/>
      <c r="K232" s="228"/>
      <c r="L232" s="228"/>
      <c r="M232" s="238"/>
      <c r="N232" s="228"/>
      <c r="O232" s="235"/>
      <c r="P232" s="236"/>
      <c r="Q232" s="235"/>
      <c r="R232" s="235"/>
      <c r="S232" s="236"/>
      <c r="T232" s="236"/>
      <c r="U232" s="237"/>
      <c r="V232" s="237"/>
      <c r="W232" s="238"/>
      <c r="X232" s="237"/>
      <c r="Y232" s="237"/>
      <c r="Z232" s="237"/>
      <c r="AA232" s="239"/>
      <c r="AB232" s="238"/>
      <c r="AC232" s="238"/>
      <c r="AD232" s="240"/>
      <c r="AE232" s="241"/>
      <c r="AF232" s="241"/>
      <c r="AG232" s="238"/>
      <c r="AH232" s="240"/>
      <c r="AI232" s="241"/>
      <c r="AJ232" s="241"/>
      <c r="AK232" s="241"/>
      <c r="AL232" s="237"/>
      <c r="AM232" s="237"/>
      <c r="AN232" s="237"/>
      <c r="AO232" s="237"/>
      <c r="AP232" s="237"/>
      <c r="AQ232" s="237"/>
      <c r="AR232" s="237"/>
    </row>
    <row r="233">
      <c r="A233" s="228"/>
      <c r="B233" s="228"/>
      <c r="C233" s="228"/>
      <c r="D233" s="228"/>
      <c r="E233" s="228"/>
      <c r="F233" s="228"/>
      <c r="G233" s="228"/>
      <c r="H233" s="241"/>
      <c r="I233" s="228"/>
      <c r="J233" s="236"/>
      <c r="K233" s="228"/>
      <c r="L233" s="228"/>
      <c r="M233" s="238"/>
      <c r="N233" s="228"/>
      <c r="O233" s="235"/>
      <c r="P233" s="236"/>
      <c r="Q233" s="235"/>
      <c r="R233" s="235"/>
      <c r="S233" s="236"/>
      <c r="T233" s="236"/>
      <c r="U233" s="237"/>
      <c r="V233" s="237"/>
      <c r="W233" s="238"/>
      <c r="X233" s="237"/>
      <c r="Y233" s="237"/>
      <c r="Z233" s="237"/>
      <c r="AA233" s="239"/>
      <c r="AB233" s="238"/>
      <c r="AC233" s="238"/>
      <c r="AD233" s="240"/>
      <c r="AE233" s="241"/>
      <c r="AF233" s="241"/>
      <c r="AG233" s="238"/>
      <c r="AH233" s="240"/>
      <c r="AI233" s="241"/>
      <c r="AJ233" s="241"/>
      <c r="AK233" s="241"/>
      <c r="AL233" s="237"/>
      <c r="AM233" s="237"/>
      <c r="AN233" s="237"/>
      <c r="AO233" s="237"/>
      <c r="AP233" s="237"/>
      <c r="AQ233" s="237"/>
      <c r="AR233" s="237"/>
    </row>
    <row r="234">
      <c r="A234" s="228"/>
      <c r="B234" s="228"/>
      <c r="C234" s="228"/>
      <c r="D234" s="228"/>
      <c r="E234" s="228"/>
      <c r="F234" s="228"/>
      <c r="G234" s="228"/>
      <c r="H234" s="241"/>
      <c r="I234" s="228"/>
      <c r="J234" s="236"/>
      <c r="K234" s="228"/>
      <c r="L234" s="228"/>
      <c r="M234" s="238"/>
      <c r="N234" s="228"/>
      <c r="O234" s="235"/>
      <c r="P234" s="236"/>
      <c r="Q234" s="235"/>
      <c r="R234" s="235"/>
      <c r="S234" s="236"/>
      <c r="T234" s="236"/>
      <c r="U234" s="237"/>
      <c r="V234" s="237"/>
      <c r="W234" s="238"/>
      <c r="X234" s="237"/>
      <c r="Y234" s="237"/>
      <c r="Z234" s="237"/>
      <c r="AA234" s="239"/>
      <c r="AB234" s="238"/>
      <c r="AC234" s="238"/>
      <c r="AD234" s="240"/>
      <c r="AE234" s="241"/>
      <c r="AF234" s="241"/>
      <c r="AG234" s="238"/>
      <c r="AH234" s="240"/>
      <c r="AI234" s="241"/>
      <c r="AJ234" s="241"/>
      <c r="AK234" s="241"/>
      <c r="AL234" s="237"/>
      <c r="AM234" s="237"/>
      <c r="AN234" s="237"/>
      <c r="AO234" s="237"/>
      <c r="AP234" s="237"/>
      <c r="AQ234" s="237"/>
      <c r="AR234" s="237"/>
    </row>
    <row r="235">
      <c r="A235" s="228"/>
      <c r="B235" s="228"/>
      <c r="C235" s="228"/>
      <c r="D235" s="228"/>
      <c r="E235" s="228"/>
      <c r="F235" s="228"/>
      <c r="G235" s="228"/>
      <c r="H235" s="241"/>
      <c r="I235" s="228"/>
      <c r="J235" s="236"/>
      <c r="K235" s="228"/>
      <c r="L235" s="228"/>
      <c r="M235" s="238"/>
      <c r="N235" s="228"/>
      <c r="O235" s="235"/>
      <c r="P235" s="236"/>
      <c r="Q235" s="235"/>
      <c r="R235" s="235"/>
      <c r="S235" s="236"/>
      <c r="T235" s="236"/>
      <c r="U235" s="237"/>
      <c r="V235" s="237"/>
      <c r="W235" s="238"/>
      <c r="X235" s="237"/>
      <c r="Y235" s="237"/>
      <c r="Z235" s="237"/>
      <c r="AA235" s="239"/>
      <c r="AB235" s="238"/>
      <c r="AC235" s="238"/>
      <c r="AD235" s="240"/>
      <c r="AE235" s="241"/>
      <c r="AF235" s="241"/>
      <c r="AG235" s="238"/>
      <c r="AH235" s="240"/>
      <c r="AI235" s="241"/>
      <c r="AJ235" s="241"/>
      <c r="AK235" s="241"/>
      <c r="AL235" s="237"/>
      <c r="AM235" s="237"/>
      <c r="AN235" s="237"/>
      <c r="AO235" s="237"/>
      <c r="AP235" s="237"/>
      <c r="AQ235" s="237"/>
      <c r="AR235" s="237"/>
    </row>
    <row r="236">
      <c r="A236" s="228"/>
      <c r="B236" s="228"/>
      <c r="C236" s="228"/>
      <c r="D236" s="228"/>
      <c r="E236" s="228"/>
      <c r="F236" s="228"/>
      <c r="G236" s="228"/>
      <c r="H236" s="241"/>
      <c r="I236" s="228"/>
      <c r="J236" s="236"/>
      <c r="K236" s="228"/>
      <c r="L236" s="228"/>
      <c r="M236" s="238"/>
      <c r="N236" s="228"/>
      <c r="O236" s="235"/>
      <c r="P236" s="236"/>
      <c r="Q236" s="235"/>
      <c r="R236" s="235"/>
      <c r="S236" s="236"/>
      <c r="T236" s="236"/>
      <c r="U236" s="237"/>
      <c r="V236" s="237"/>
      <c r="W236" s="238"/>
      <c r="X236" s="237"/>
      <c r="Y236" s="237"/>
      <c r="Z236" s="237"/>
      <c r="AA236" s="239"/>
      <c r="AB236" s="238"/>
      <c r="AC236" s="238"/>
      <c r="AD236" s="240"/>
      <c r="AE236" s="241"/>
      <c r="AF236" s="241"/>
      <c r="AG236" s="238"/>
      <c r="AH236" s="240"/>
      <c r="AI236" s="241"/>
      <c r="AJ236" s="241"/>
      <c r="AK236" s="241"/>
      <c r="AL236" s="237"/>
      <c r="AM236" s="237"/>
      <c r="AN236" s="237"/>
      <c r="AO236" s="237"/>
      <c r="AP236" s="237"/>
      <c r="AQ236" s="237"/>
      <c r="AR236" s="237"/>
    </row>
    <row r="237">
      <c r="A237" s="228"/>
      <c r="B237" s="228"/>
      <c r="C237" s="228"/>
      <c r="D237" s="228"/>
      <c r="E237" s="228"/>
      <c r="F237" s="228"/>
      <c r="G237" s="228"/>
      <c r="H237" s="241"/>
      <c r="I237" s="228"/>
      <c r="J237" s="236"/>
      <c r="K237" s="228"/>
      <c r="L237" s="228"/>
      <c r="M237" s="238"/>
      <c r="N237" s="228"/>
      <c r="O237" s="235"/>
      <c r="P237" s="236"/>
      <c r="Q237" s="235"/>
      <c r="R237" s="235"/>
      <c r="S237" s="236"/>
      <c r="T237" s="236"/>
      <c r="U237" s="237"/>
      <c r="V237" s="237"/>
      <c r="W237" s="238"/>
      <c r="X237" s="237"/>
      <c r="Y237" s="237"/>
      <c r="Z237" s="237"/>
      <c r="AA237" s="239"/>
      <c r="AB237" s="238"/>
      <c r="AC237" s="238"/>
      <c r="AD237" s="240"/>
      <c r="AE237" s="241"/>
      <c r="AF237" s="241"/>
      <c r="AG237" s="238"/>
      <c r="AH237" s="240"/>
      <c r="AI237" s="241"/>
      <c r="AJ237" s="241"/>
      <c r="AK237" s="241"/>
      <c r="AL237" s="237"/>
      <c r="AM237" s="237"/>
      <c r="AN237" s="237"/>
      <c r="AO237" s="237"/>
      <c r="AP237" s="237"/>
      <c r="AQ237" s="237"/>
      <c r="AR237" s="237"/>
    </row>
    <row r="238">
      <c r="A238" s="228"/>
      <c r="B238" s="228"/>
      <c r="C238" s="228"/>
      <c r="D238" s="228"/>
      <c r="E238" s="228"/>
      <c r="F238" s="228"/>
      <c r="G238" s="228"/>
      <c r="H238" s="241"/>
      <c r="I238" s="228"/>
      <c r="J238" s="236"/>
      <c r="K238" s="228"/>
      <c r="L238" s="228"/>
      <c r="M238" s="238"/>
      <c r="N238" s="228"/>
      <c r="O238" s="235"/>
      <c r="P238" s="236"/>
      <c r="Q238" s="235"/>
      <c r="R238" s="235"/>
      <c r="S238" s="236"/>
      <c r="T238" s="236"/>
      <c r="U238" s="237"/>
      <c r="V238" s="237"/>
      <c r="W238" s="238"/>
      <c r="X238" s="237"/>
      <c r="Y238" s="237"/>
      <c r="Z238" s="237"/>
      <c r="AA238" s="239"/>
      <c r="AB238" s="238"/>
      <c r="AC238" s="238"/>
      <c r="AD238" s="240"/>
      <c r="AE238" s="241"/>
      <c r="AF238" s="241"/>
      <c r="AG238" s="238"/>
      <c r="AH238" s="240"/>
      <c r="AI238" s="241"/>
      <c r="AJ238" s="241"/>
      <c r="AK238" s="241"/>
      <c r="AL238" s="237"/>
      <c r="AM238" s="237"/>
      <c r="AN238" s="237"/>
      <c r="AO238" s="237"/>
      <c r="AP238" s="237"/>
      <c r="AQ238" s="237"/>
      <c r="AR238" s="237"/>
    </row>
    <row r="239">
      <c r="A239" s="228"/>
      <c r="B239" s="228"/>
      <c r="C239" s="228"/>
      <c r="D239" s="228"/>
      <c r="E239" s="228"/>
      <c r="F239" s="228"/>
      <c r="G239" s="228"/>
      <c r="H239" s="241"/>
      <c r="I239" s="228"/>
      <c r="J239" s="236"/>
      <c r="K239" s="228"/>
      <c r="L239" s="228"/>
      <c r="M239" s="238"/>
      <c r="N239" s="228"/>
      <c r="O239" s="235"/>
      <c r="P239" s="236"/>
      <c r="Q239" s="235"/>
      <c r="R239" s="235"/>
      <c r="S239" s="236"/>
      <c r="T239" s="236"/>
      <c r="U239" s="237"/>
      <c r="V239" s="237"/>
      <c r="W239" s="238"/>
      <c r="X239" s="237"/>
      <c r="Y239" s="237"/>
      <c r="Z239" s="237"/>
      <c r="AA239" s="239"/>
      <c r="AB239" s="238"/>
      <c r="AC239" s="238"/>
      <c r="AD239" s="240"/>
      <c r="AE239" s="241"/>
      <c r="AF239" s="241"/>
      <c r="AG239" s="238"/>
      <c r="AH239" s="240"/>
      <c r="AI239" s="241"/>
      <c r="AJ239" s="241"/>
      <c r="AK239" s="241"/>
      <c r="AL239" s="237"/>
      <c r="AM239" s="237"/>
      <c r="AN239" s="237"/>
      <c r="AO239" s="237"/>
      <c r="AP239" s="237"/>
      <c r="AQ239" s="237"/>
      <c r="AR239" s="237"/>
    </row>
    <row r="240">
      <c r="A240" s="228"/>
      <c r="B240" s="228"/>
      <c r="C240" s="228"/>
      <c r="D240" s="228"/>
      <c r="E240" s="228"/>
      <c r="F240" s="228"/>
      <c r="G240" s="228"/>
      <c r="H240" s="241"/>
      <c r="I240" s="228"/>
      <c r="J240" s="236"/>
      <c r="K240" s="228"/>
      <c r="L240" s="228"/>
      <c r="M240" s="238"/>
      <c r="N240" s="228"/>
      <c r="O240" s="235"/>
      <c r="P240" s="236"/>
      <c r="Q240" s="235"/>
      <c r="R240" s="235"/>
      <c r="S240" s="236"/>
      <c r="T240" s="236"/>
      <c r="U240" s="237"/>
      <c r="V240" s="237"/>
      <c r="W240" s="238"/>
      <c r="X240" s="237"/>
      <c r="Y240" s="237"/>
      <c r="Z240" s="237"/>
      <c r="AA240" s="239"/>
      <c r="AB240" s="238"/>
      <c r="AC240" s="238"/>
      <c r="AD240" s="240"/>
      <c r="AE240" s="241"/>
      <c r="AF240" s="241"/>
      <c r="AG240" s="238"/>
      <c r="AH240" s="240"/>
      <c r="AI240" s="241"/>
      <c r="AJ240" s="241"/>
      <c r="AK240" s="241"/>
      <c r="AL240" s="237"/>
      <c r="AM240" s="237"/>
      <c r="AN240" s="237"/>
      <c r="AO240" s="237"/>
      <c r="AP240" s="237"/>
      <c r="AQ240" s="237"/>
      <c r="AR240" s="237"/>
    </row>
    <row r="241">
      <c r="A241" s="228"/>
      <c r="B241" s="228"/>
      <c r="C241" s="228"/>
      <c r="D241" s="228"/>
      <c r="E241" s="228"/>
      <c r="F241" s="228"/>
      <c r="G241" s="228"/>
      <c r="H241" s="241"/>
      <c r="I241" s="228"/>
      <c r="J241" s="236"/>
      <c r="K241" s="228"/>
      <c r="L241" s="228"/>
      <c r="M241" s="238"/>
      <c r="N241" s="228"/>
      <c r="O241" s="235"/>
      <c r="P241" s="236"/>
      <c r="Q241" s="235"/>
      <c r="R241" s="235"/>
      <c r="S241" s="236"/>
      <c r="T241" s="236"/>
      <c r="U241" s="237"/>
      <c r="V241" s="237"/>
      <c r="W241" s="238"/>
      <c r="X241" s="237"/>
      <c r="Y241" s="237"/>
      <c r="Z241" s="237"/>
      <c r="AA241" s="239"/>
      <c r="AB241" s="238"/>
      <c r="AC241" s="238"/>
      <c r="AD241" s="240"/>
      <c r="AE241" s="241"/>
      <c r="AF241" s="241"/>
      <c r="AG241" s="238"/>
      <c r="AH241" s="240"/>
      <c r="AI241" s="241"/>
      <c r="AJ241" s="241"/>
      <c r="AK241" s="241"/>
      <c r="AL241" s="237"/>
      <c r="AM241" s="237"/>
      <c r="AN241" s="237"/>
      <c r="AO241" s="237"/>
      <c r="AP241" s="237"/>
      <c r="AQ241" s="237"/>
      <c r="AR241" s="237"/>
    </row>
    <row r="242">
      <c r="A242" s="228"/>
      <c r="B242" s="228"/>
      <c r="C242" s="228"/>
      <c r="D242" s="228"/>
      <c r="E242" s="228"/>
      <c r="F242" s="228"/>
      <c r="G242" s="228"/>
      <c r="H242" s="241"/>
      <c r="I242" s="228"/>
      <c r="J242" s="236"/>
      <c r="K242" s="228"/>
      <c r="L242" s="228"/>
      <c r="M242" s="238"/>
      <c r="N242" s="228"/>
      <c r="O242" s="235"/>
      <c r="P242" s="236"/>
      <c r="Q242" s="235"/>
      <c r="R242" s="235"/>
      <c r="S242" s="236"/>
      <c r="T242" s="236"/>
      <c r="U242" s="237"/>
      <c r="V242" s="237"/>
      <c r="W242" s="238"/>
      <c r="X242" s="237"/>
      <c r="Y242" s="237"/>
      <c r="Z242" s="237"/>
      <c r="AA242" s="239"/>
      <c r="AB242" s="238"/>
      <c r="AC242" s="238"/>
      <c r="AD242" s="240"/>
      <c r="AE242" s="241"/>
      <c r="AF242" s="241"/>
      <c r="AG242" s="238"/>
      <c r="AH242" s="240"/>
      <c r="AI242" s="241"/>
      <c r="AJ242" s="241"/>
      <c r="AK242" s="241"/>
      <c r="AL242" s="237"/>
      <c r="AM242" s="237"/>
      <c r="AN242" s="237"/>
      <c r="AO242" s="237"/>
      <c r="AP242" s="237"/>
      <c r="AQ242" s="237"/>
      <c r="AR242" s="237"/>
    </row>
    <row r="243">
      <c r="A243" s="228"/>
      <c r="B243" s="228"/>
      <c r="C243" s="228"/>
      <c r="D243" s="228"/>
      <c r="E243" s="228"/>
      <c r="F243" s="228"/>
      <c r="G243" s="228"/>
      <c r="H243" s="241"/>
      <c r="I243" s="228"/>
      <c r="J243" s="236"/>
      <c r="K243" s="228"/>
      <c r="L243" s="228"/>
      <c r="M243" s="238"/>
      <c r="N243" s="228"/>
      <c r="O243" s="235"/>
      <c r="P243" s="236"/>
      <c r="Q243" s="235"/>
      <c r="R243" s="235"/>
      <c r="S243" s="236"/>
      <c r="T243" s="236"/>
      <c r="U243" s="237"/>
      <c r="V243" s="237"/>
      <c r="W243" s="238"/>
      <c r="X243" s="237"/>
      <c r="Y243" s="237"/>
      <c r="Z243" s="237"/>
      <c r="AA243" s="239"/>
      <c r="AB243" s="238"/>
      <c r="AC243" s="238"/>
      <c r="AD243" s="240"/>
      <c r="AE243" s="241"/>
      <c r="AF243" s="241"/>
      <c r="AG243" s="238"/>
      <c r="AH243" s="240"/>
      <c r="AI243" s="241"/>
      <c r="AJ243" s="241"/>
      <c r="AK243" s="241"/>
      <c r="AL243" s="237"/>
      <c r="AM243" s="237"/>
      <c r="AN243" s="237"/>
      <c r="AO243" s="237"/>
      <c r="AP243" s="237"/>
      <c r="AQ243" s="237"/>
      <c r="AR243" s="237"/>
    </row>
    <row r="244">
      <c r="A244" s="228"/>
      <c r="B244" s="228"/>
      <c r="C244" s="228"/>
      <c r="D244" s="228"/>
      <c r="E244" s="228"/>
      <c r="F244" s="228"/>
      <c r="G244" s="228"/>
      <c r="H244" s="241"/>
      <c r="I244" s="228"/>
      <c r="J244" s="236"/>
      <c r="K244" s="228"/>
      <c r="L244" s="228"/>
      <c r="M244" s="238"/>
      <c r="N244" s="228"/>
      <c r="O244" s="235"/>
      <c r="P244" s="236"/>
      <c r="Q244" s="235"/>
      <c r="R244" s="235"/>
      <c r="S244" s="236"/>
      <c r="T244" s="236"/>
      <c r="U244" s="237"/>
      <c r="V244" s="237"/>
      <c r="W244" s="238"/>
      <c r="X244" s="237"/>
      <c r="Y244" s="237"/>
      <c r="Z244" s="237"/>
      <c r="AA244" s="239"/>
      <c r="AB244" s="238"/>
      <c r="AC244" s="238"/>
      <c r="AD244" s="240"/>
      <c r="AE244" s="241"/>
      <c r="AF244" s="241"/>
      <c r="AG244" s="238"/>
      <c r="AH244" s="240"/>
      <c r="AI244" s="241"/>
      <c r="AJ244" s="241"/>
      <c r="AK244" s="241"/>
      <c r="AL244" s="237"/>
      <c r="AM244" s="237"/>
      <c r="AN244" s="237"/>
      <c r="AO244" s="237"/>
      <c r="AP244" s="237"/>
      <c r="AQ244" s="237"/>
      <c r="AR244" s="237"/>
    </row>
    <row r="245">
      <c r="A245" s="228"/>
      <c r="B245" s="228"/>
      <c r="C245" s="228"/>
      <c r="D245" s="228"/>
      <c r="E245" s="228"/>
      <c r="F245" s="228"/>
      <c r="G245" s="228"/>
      <c r="H245" s="241"/>
      <c r="I245" s="228"/>
      <c r="J245" s="236"/>
      <c r="K245" s="228"/>
      <c r="L245" s="228"/>
      <c r="M245" s="238"/>
      <c r="N245" s="228"/>
      <c r="O245" s="235"/>
      <c r="P245" s="236"/>
      <c r="Q245" s="235"/>
      <c r="R245" s="235"/>
      <c r="S245" s="236"/>
      <c r="T245" s="236"/>
      <c r="U245" s="237"/>
      <c r="V245" s="237"/>
      <c r="W245" s="238"/>
      <c r="X245" s="237"/>
      <c r="Y245" s="237"/>
      <c r="Z245" s="237"/>
      <c r="AA245" s="239"/>
      <c r="AB245" s="238"/>
      <c r="AC245" s="238"/>
      <c r="AD245" s="240"/>
      <c r="AE245" s="241"/>
      <c r="AF245" s="241"/>
      <c r="AG245" s="238"/>
      <c r="AH245" s="240"/>
      <c r="AI245" s="241"/>
      <c r="AJ245" s="241"/>
      <c r="AK245" s="241"/>
      <c r="AL245" s="237"/>
      <c r="AM245" s="237"/>
      <c r="AN245" s="237"/>
      <c r="AO245" s="237"/>
      <c r="AP245" s="237"/>
      <c r="AQ245" s="237"/>
      <c r="AR245" s="237"/>
    </row>
    <row r="246">
      <c r="A246" s="228"/>
      <c r="B246" s="228"/>
      <c r="C246" s="228"/>
      <c r="D246" s="228"/>
      <c r="E246" s="228"/>
      <c r="F246" s="228"/>
      <c r="G246" s="228"/>
      <c r="H246" s="241"/>
      <c r="I246" s="228"/>
      <c r="J246" s="236"/>
      <c r="K246" s="228"/>
      <c r="L246" s="228"/>
      <c r="M246" s="238"/>
      <c r="N246" s="228"/>
      <c r="O246" s="235"/>
      <c r="P246" s="236"/>
      <c r="Q246" s="235"/>
      <c r="R246" s="235"/>
      <c r="S246" s="236"/>
      <c r="T246" s="236"/>
      <c r="U246" s="237"/>
      <c r="V246" s="237"/>
      <c r="W246" s="238"/>
      <c r="X246" s="237"/>
      <c r="Y246" s="237"/>
      <c r="Z246" s="237"/>
      <c r="AA246" s="239"/>
      <c r="AB246" s="238"/>
      <c r="AC246" s="238"/>
      <c r="AD246" s="240"/>
      <c r="AE246" s="241"/>
      <c r="AF246" s="241"/>
      <c r="AG246" s="238"/>
      <c r="AH246" s="240"/>
      <c r="AI246" s="241"/>
      <c r="AJ246" s="241"/>
      <c r="AK246" s="241"/>
      <c r="AL246" s="237"/>
      <c r="AM246" s="237"/>
      <c r="AN246" s="237"/>
      <c r="AO246" s="237"/>
      <c r="AP246" s="237"/>
      <c r="AQ246" s="237"/>
      <c r="AR246" s="237"/>
    </row>
    <row r="247">
      <c r="A247" s="228"/>
      <c r="B247" s="228"/>
      <c r="C247" s="228"/>
      <c r="D247" s="228"/>
      <c r="E247" s="228"/>
      <c r="F247" s="228"/>
      <c r="G247" s="228"/>
      <c r="H247" s="241"/>
      <c r="I247" s="228"/>
      <c r="J247" s="236"/>
      <c r="K247" s="228"/>
      <c r="L247" s="228"/>
      <c r="M247" s="238"/>
      <c r="N247" s="228"/>
      <c r="O247" s="235"/>
      <c r="P247" s="236"/>
      <c r="Q247" s="235"/>
      <c r="R247" s="235"/>
      <c r="S247" s="236"/>
      <c r="T247" s="236"/>
      <c r="U247" s="237"/>
      <c r="V247" s="237"/>
      <c r="W247" s="238"/>
      <c r="X247" s="237"/>
      <c r="Y247" s="237"/>
      <c r="Z247" s="237"/>
      <c r="AA247" s="239"/>
      <c r="AB247" s="238"/>
      <c r="AC247" s="238"/>
      <c r="AD247" s="240"/>
      <c r="AE247" s="241"/>
      <c r="AF247" s="241"/>
      <c r="AG247" s="238"/>
      <c r="AH247" s="240"/>
      <c r="AI247" s="241"/>
      <c r="AJ247" s="241"/>
      <c r="AK247" s="241"/>
      <c r="AL247" s="237"/>
      <c r="AM247" s="237"/>
      <c r="AN247" s="237"/>
      <c r="AO247" s="237"/>
      <c r="AP247" s="237"/>
      <c r="AQ247" s="237"/>
      <c r="AR247" s="237"/>
    </row>
    <row r="248">
      <c r="A248" s="228"/>
      <c r="B248" s="228"/>
      <c r="C248" s="228"/>
      <c r="D248" s="228"/>
      <c r="E248" s="228"/>
      <c r="F248" s="228"/>
      <c r="G248" s="228"/>
      <c r="H248" s="241"/>
      <c r="I248" s="228"/>
      <c r="J248" s="236"/>
      <c r="K248" s="228"/>
      <c r="L248" s="228"/>
      <c r="M248" s="238"/>
      <c r="N248" s="228"/>
      <c r="O248" s="235"/>
      <c r="P248" s="236"/>
      <c r="Q248" s="235"/>
      <c r="R248" s="235"/>
      <c r="S248" s="236"/>
      <c r="T248" s="236"/>
      <c r="U248" s="237"/>
      <c r="V248" s="237"/>
      <c r="W248" s="238"/>
      <c r="X248" s="237"/>
      <c r="Y248" s="237"/>
      <c r="Z248" s="237"/>
      <c r="AA248" s="239"/>
      <c r="AB248" s="238"/>
      <c r="AC248" s="238"/>
      <c r="AD248" s="240"/>
      <c r="AE248" s="241"/>
      <c r="AF248" s="241"/>
      <c r="AG248" s="238"/>
      <c r="AH248" s="240"/>
      <c r="AI248" s="241"/>
      <c r="AJ248" s="241"/>
      <c r="AK248" s="241"/>
      <c r="AL248" s="237"/>
      <c r="AM248" s="237"/>
      <c r="AN248" s="237"/>
      <c r="AO248" s="237"/>
      <c r="AP248" s="237"/>
      <c r="AQ248" s="237"/>
      <c r="AR248" s="237"/>
    </row>
    <row r="249">
      <c r="A249" s="228"/>
      <c r="B249" s="228"/>
      <c r="C249" s="228"/>
      <c r="D249" s="228"/>
      <c r="E249" s="228"/>
      <c r="F249" s="228"/>
      <c r="G249" s="228"/>
      <c r="H249" s="241"/>
      <c r="I249" s="228"/>
      <c r="J249" s="236"/>
      <c r="K249" s="228"/>
      <c r="L249" s="228"/>
      <c r="M249" s="238"/>
      <c r="N249" s="228"/>
      <c r="O249" s="235"/>
      <c r="P249" s="236"/>
      <c r="Q249" s="235"/>
      <c r="R249" s="235"/>
      <c r="S249" s="236"/>
      <c r="T249" s="236"/>
      <c r="U249" s="237"/>
      <c r="V249" s="237"/>
      <c r="W249" s="238"/>
      <c r="X249" s="237"/>
      <c r="Y249" s="237"/>
      <c r="Z249" s="237"/>
      <c r="AA249" s="239"/>
      <c r="AB249" s="238"/>
      <c r="AC249" s="238"/>
      <c r="AD249" s="240"/>
      <c r="AE249" s="241"/>
      <c r="AF249" s="241"/>
      <c r="AG249" s="238"/>
      <c r="AH249" s="240"/>
      <c r="AI249" s="241"/>
      <c r="AJ249" s="241"/>
      <c r="AK249" s="241"/>
      <c r="AL249" s="237"/>
      <c r="AM249" s="237"/>
      <c r="AN249" s="237"/>
      <c r="AO249" s="237"/>
      <c r="AP249" s="237"/>
      <c r="AQ249" s="237"/>
      <c r="AR249" s="237"/>
    </row>
    <row r="250">
      <c r="A250" s="228"/>
      <c r="B250" s="228"/>
      <c r="C250" s="228"/>
      <c r="D250" s="228"/>
      <c r="E250" s="228"/>
      <c r="F250" s="228"/>
      <c r="G250" s="228"/>
      <c r="H250" s="241"/>
      <c r="I250" s="228"/>
      <c r="J250" s="236"/>
      <c r="K250" s="228"/>
      <c r="L250" s="228"/>
      <c r="M250" s="238"/>
      <c r="N250" s="228"/>
      <c r="O250" s="235"/>
      <c r="P250" s="236"/>
      <c r="Q250" s="235"/>
      <c r="R250" s="235"/>
      <c r="S250" s="236"/>
      <c r="T250" s="236"/>
      <c r="U250" s="237"/>
      <c r="V250" s="237"/>
      <c r="W250" s="238"/>
      <c r="X250" s="237"/>
      <c r="Y250" s="237"/>
      <c r="Z250" s="237"/>
      <c r="AA250" s="239"/>
      <c r="AB250" s="238"/>
      <c r="AC250" s="238"/>
      <c r="AD250" s="240"/>
      <c r="AE250" s="241"/>
      <c r="AF250" s="241"/>
      <c r="AG250" s="238"/>
      <c r="AH250" s="240"/>
      <c r="AI250" s="241"/>
      <c r="AJ250" s="241"/>
      <c r="AK250" s="241"/>
      <c r="AL250" s="237"/>
      <c r="AM250" s="237"/>
      <c r="AN250" s="237"/>
      <c r="AO250" s="237"/>
      <c r="AP250" s="237"/>
      <c r="AQ250" s="237"/>
      <c r="AR250" s="237"/>
    </row>
    <row r="251">
      <c r="A251" s="228"/>
      <c r="B251" s="228"/>
      <c r="C251" s="228"/>
      <c r="D251" s="228"/>
      <c r="E251" s="228"/>
      <c r="F251" s="228"/>
      <c r="G251" s="228"/>
      <c r="H251" s="241"/>
      <c r="I251" s="228"/>
      <c r="J251" s="236"/>
      <c r="K251" s="228"/>
      <c r="L251" s="228"/>
      <c r="M251" s="238"/>
      <c r="N251" s="228"/>
      <c r="O251" s="235"/>
      <c r="P251" s="236"/>
      <c r="Q251" s="235"/>
      <c r="R251" s="235"/>
      <c r="S251" s="236"/>
      <c r="T251" s="236"/>
      <c r="U251" s="237"/>
      <c r="V251" s="237"/>
      <c r="W251" s="238"/>
      <c r="X251" s="237"/>
      <c r="Y251" s="237"/>
      <c r="Z251" s="237"/>
      <c r="AA251" s="239"/>
      <c r="AB251" s="238"/>
      <c r="AC251" s="238"/>
      <c r="AD251" s="240"/>
      <c r="AE251" s="241"/>
      <c r="AF251" s="241"/>
      <c r="AG251" s="238"/>
      <c r="AH251" s="240"/>
      <c r="AI251" s="241"/>
      <c r="AJ251" s="241"/>
      <c r="AK251" s="241"/>
      <c r="AL251" s="237"/>
      <c r="AM251" s="237"/>
      <c r="AN251" s="237"/>
      <c r="AO251" s="237"/>
      <c r="AP251" s="237"/>
      <c r="AQ251" s="237"/>
      <c r="AR251" s="237"/>
    </row>
    <row r="252">
      <c r="A252" s="228"/>
      <c r="B252" s="228"/>
      <c r="C252" s="228"/>
      <c r="D252" s="228"/>
      <c r="E252" s="228"/>
      <c r="F252" s="228"/>
      <c r="G252" s="228"/>
      <c r="H252" s="241"/>
      <c r="I252" s="228"/>
      <c r="J252" s="236"/>
      <c r="K252" s="228"/>
      <c r="L252" s="228"/>
      <c r="M252" s="238"/>
      <c r="N252" s="228"/>
      <c r="O252" s="235"/>
      <c r="P252" s="236"/>
      <c r="Q252" s="235"/>
      <c r="R252" s="235"/>
      <c r="S252" s="236"/>
      <c r="T252" s="236"/>
      <c r="U252" s="237"/>
      <c r="V252" s="237"/>
      <c r="W252" s="238"/>
      <c r="X252" s="237"/>
      <c r="Y252" s="237"/>
      <c r="Z252" s="237"/>
      <c r="AA252" s="239"/>
      <c r="AB252" s="238"/>
      <c r="AC252" s="238"/>
      <c r="AD252" s="240"/>
      <c r="AE252" s="241"/>
      <c r="AF252" s="241"/>
      <c r="AG252" s="238"/>
      <c r="AH252" s="240"/>
      <c r="AI252" s="241"/>
      <c r="AJ252" s="241"/>
      <c r="AK252" s="241"/>
      <c r="AL252" s="237"/>
      <c r="AM252" s="237"/>
      <c r="AN252" s="237"/>
      <c r="AO252" s="237"/>
      <c r="AP252" s="237"/>
      <c r="AQ252" s="237"/>
      <c r="AR252" s="237"/>
    </row>
    <row r="253">
      <c r="A253" s="228"/>
      <c r="B253" s="228"/>
      <c r="C253" s="228"/>
      <c r="D253" s="228"/>
      <c r="E253" s="228"/>
      <c r="F253" s="228"/>
      <c r="G253" s="228"/>
      <c r="H253" s="241"/>
      <c r="I253" s="228"/>
      <c r="J253" s="236"/>
      <c r="K253" s="228"/>
      <c r="L253" s="228"/>
      <c r="M253" s="238"/>
      <c r="N253" s="228"/>
      <c r="O253" s="235"/>
      <c r="P253" s="236"/>
      <c r="Q253" s="235"/>
      <c r="R253" s="235"/>
      <c r="S253" s="236"/>
      <c r="T253" s="236"/>
      <c r="U253" s="237"/>
      <c r="V253" s="237"/>
      <c r="W253" s="238"/>
      <c r="X253" s="237"/>
      <c r="Y253" s="237"/>
      <c r="Z253" s="237"/>
      <c r="AA253" s="239"/>
      <c r="AB253" s="238"/>
      <c r="AC253" s="238"/>
      <c r="AD253" s="240"/>
      <c r="AE253" s="241"/>
      <c r="AF253" s="241"/>
      <c r="AG253" s="238"/>
      <c r="AH253" s="240"/>
      <c r="AI253" s="241"/>
      <c r="AJ253" s="241"/>
      <c r="AK253" s="241"/>
      <c r="AL253" s="237"/>
      <c r="AM253" s="237"/>
      <c r="AN253" s="237"/>
      <c r="AO253" s="237"/>
      <c r="AP253" s="237"/>
      <c r="AQ253" s="237"/>
      <c r="AR253" s="237"/>
    </row>
    <row r="254">
      <c r="A254" s="228"/>
      <c r="B254" s="228"/>
      <c r="C254" s="228"/>
      <c r="D254" s="228"/>
      <c r="E254" s="228"/>
      <c r="F254" s="228"/>
      <c r="G254" s="228"/>
      <c r="H254" s="241"/>
      <c r="I254" s="228"/>
      <c r="J254" s="236"/>
      <c r="K254" s="228"/>
      <c r="L254" s="228"/>
      <c r="M254" s="238"/>
      <c r="N254" s="228"/>
      <c r="O254" s="235"/>
      <c r="P254" s="236"/>
      <c r="Q254" s="235"/>
      <c r="R254" s="235"/>
      <c r="S254" s="236"/>
      <c r="T254" s="236"/>
      <c r="U254" s="237"/>
      <c r="V254" s="237"/>
      <c r="W254" s="238"/>
      <c r="X254" s="237"/>
      <c r="Y254" s="237"/>
      <c r="Z254" s="237"/>
      <c r="AA254" s="239"/>
      <c r="AB254" s="238"/>
      <c r="AC254" s="238"/>
      <c r="AD254" s="240"/>
      <c r="AE254" s="241"/>
      <c r="AF254" s="241"/>
      <c r="AG254" s="238"/>
      <c r="AH254" s="240"/>
      <c r="AI254" s="241"/>
      <c r="AJ254" s="241"/>
      <c r="AK254" s="241"/>
      <c r="AL254" s="237"/>
      <c r="AM254" s="237"/>
      <c r="AN254" s="237"/>
      <c r="AO254" s="237"/>
      <c r="AP254" s="237"/>
      <c r="AQ254" s="237"/>
      <c r="AR254" s="237"/>
    </row>
    <row r="255">
      <c r="A255" s="228"/>
      <c r="B255" s="228"/>
      <c r="C255" s="228"/>
      <c r="D255" s="228"/>
      <c r="E255" s="228"/>
      <c r="F255" s="228"/>
      <c r="G255" s="228"/>
      <c r="H255" s="241"/>
      <c r="I255" s="228"/>
      <c r="J255" s="236"/>
      <c r="K255" s="228"/>
      <c r="L255" s="228"/>
      <c r="M255" s="238"/>
      <c r="N255" s="228"/>
      <c r="O255" s="235"/>
      <c r="P255" s="236"/>
      <c r="Q255" s="235"/>
      <c r="R255" s="235"/>
      <c r="S255" s="236"/>
      <c r="T255" s="236"/>
      <c r="U255" s="237"/>
      <c r="V255" s="237"/>
      <c r="W255" s="238"/>
      <c r="X255" s="237"/>
      <c r="Y255" s="237"/>
      <c r="Z255" s="237"/>
      <c r="AA255" s="239"/>
      <c r="AB255" s="238"/>
      <c r="AC255" s="238"/>
      <c r="AD255" s="240"/>
      <c r="AE255" s="241"/>
      <c r="AF255" s="241"/>
      <c r="AG255" s="238"/>
      <c r="AH255" s="240"/>
      <c r="AI255" s="241"/>
      <c r="AJ255" s="241"/>
      <c r="AK255" s="241"/>
      <c r="AL255" s="237"/>
      <c r="AM255" s="237"/>
      <c r="AN255" s="237"/>
      <c r="AO255" s="237"/>
      <c r="AP255" s="237"/>
      <c r="AQ255" s="237"/>
      <c r="AR255" s="237"/>
    </row>
    <row r="256">
      <c r="A256" s="228"/>
      <c r="B256" s="228"/>
      <c r="C256" s="228"/>
      <c r="D256" s="228"/>
      <c r="E256" s="228"/>
      <c r="F256" s="228"/>
      <c r="G256" s="228"/>
      <c r="H256" s="241"/>
      <c r="I256" s="228"/>
      <c r="J256" s="236"/>
      <c r="K256" s="228"/>
      <c r="L256" s="228"/>
      <c r="M256" s="238"/>
      <c r="N256" s="228"/>
      <c r="O256" s="235"/>
      <c r="P256" s="236"/>
      <c r="Q256" s="235"/>
      <c r="R256" s="235"/>
      <c r="S256" s="236"/>
      <c r="T256" s="236"/>
      <c r="U256" s="237"/>
      <c r="V256" s="237"/>
      <c r="W256" s="238"/>
      <c r="X256" s="237"/>
      <c r="Y256" s="237"/>
      <c r="Z256" s="237"/>
      <c r="AA256" s="239"/>
      <c r="AB256" s="238"/>
      <c r="AC256" s="238"/>
      <c r="AD256" s="240"/>
      <c r="AE256" s="241"/>
      <c r="AF256" s="241"/>
      <c r="AG256" s="238"/>
      <c r="AH256" s="240"/>
      <c r="AI256" s="241"/>
      <c r="AJ256" s="241"/>
      <c r="AK256" s="241"/>
      <c r="AL256" s="237"/>
      <c r="AM256" s="237"/>
      <c r="AN256" s="237"/>
      <c r="AO256" s="237"/>
      <c r="AP256" s="237"/>
      <c r="AQ256" s="237"/>
      <c r="AR256" s="237"/>
    </row>
    <row r="257">
      <c r="A257" s="228"/>
      <c r="B257" s="228"/>
      <c r="C257" s="228"/>
      <c r="D257" s="228"/>
      <c r="E257" s="228"/>
      <c r="F257" s="228"/>
      <c r="G257" s="228"/>
      <c r="H257" s="241"/>
      <c r="I257" s="228"/>
      <c r="J257" s="236"/>
      <c r="K257" s="228"/>
      <c r="L257" s="228"/>
      <c r="M257" s="238"/>
      <c r="N257" s="228"/>
      <c r="O257" s="235"/>
      <c r="P257" s="236"/>
      <c r="Q257" s="235"/>
      <c r="R257" s="235"/>
      <c r="S257" s="236"/>
      <c r="T257" s="236"/>
      <c r="U257" s="237"/>
      <c r="V257" s="237"/>
      <c r="W257" s="238"/>
      <c r="X257" s="237"/>
      <c r="Y257" s="237"/>
      <c r="Z257" s="237"/>
      <c r="AA257" s="239"/>
      <c r="AB257" s="238"/>
      <c r="AC257" s="238"/>
      <c r="AD257" s="240"/>
      <c r="AE257" s="241"/>
      <c r="AF257" s="241"/>
      <c r="AG257" s="238"/>
      <c r="AH257" s="240"/>
      <c r="AI257" s="241"/>
      <c r="AJ257" s="241"/>
      <c r="AK257" s="241"/>
      <c r="AL257" s="237"/>
      <c r="AM257" s="237"/>
      <c r="AN257" s="237"/>
      <c r="AO257" s="237"/>
      <c r="AP257" s="237"/>
      <c r="AQ257" s="237"/>
      <c r="AR257" s="237"/>
    </row>
    <row r="258">
      <c r="A258" s="228"/>
      <c r="B258" s="228"/>
      <c r="C258" s="228"/>
      <c r="D258" s="228"/>
      <c r="E258" s="228"/>
      <c r="F258" s="228"/>
      <c r="G258" s="228"/>
      <c r="H258" s="241"/>
      <c r="I258" s="228"/>
      <c r="J258" s="236"/>
      <c r="K258" s="228"/>
      <c r="L258" s="228"/>
      <c r="M258" s="238"/>
      <c r="N258" s="228"/>
      <c r="O258" s="235"/>
      <c r="P258" s="236"/>
      <c r="Q258" s="235"/>
      <c r="R258" s="235"/>
      <c r="S258" s="236"/>
      <c r="T258" s="236"/>
      <c r="U258" s="237"/>
      <c r="V258" s="237"/>
      <c r="W258" s="238"/>
      <c r="X258" s="237"/>
      <c r="Y258" s="237"/>
      <c r="Z258" s="237"/>
      <c r="AA258" s="239"/>
      <c r="AB258" s="238"/>
      <c r="AC258" s="238"/>
      <c r="AD258" s="240"/>
      <c r="AE258" s="241"/>
      <c r="AF258" s="241"/>
      <c r="AG258" s="238"/>
      <c r="AH258" s="240"/>
      <c r="AI258" s="241"/>
      <c r="AJ258" s="241"/>
      <c r="AK258" s="241"/>
      <c r="AL258" s="237"/>
      <c r="AM258" s="237"/>
      <c r="AN258" s="237"/>
      <c r="AO258" s="237"/>
      <c r="AP258" s="237"/>
      <c r="AQ258" s="237"/>
      <c r="AR258" s="237"/>
    </row>
    <row r="259">
      <c r="A259" s="228"/>
      <c r="B259" s="228"/>
      <c r="C259" s="228"/>
      <c r="D259" s="228"/>
      <c r="E259" s="228"/>
      <c r="F259" s="228"/>
      <c r="G259" s="228"/>
      <c r="H259" s="241"/>
      <c r="I259" s="228"/>
      <c r="J259" s="236"/>
      <c r="K259" s="228"/>
      <c r="L259" s="228"/>
      <c r="M259" s="238"/>
      <c r="N259" s="228"/>
      <c r="O259" s="235"/>
      <c r="P259" s="236"/>
      <c r="Q259" s="235"/>
      <c r="R259" s="235"/>
      <c r="S259" s="236"/>
      <c r="T259" s="236"/>
      <c r="U259" s="237"/>
      <c r="V259" s="237"/>
      <c r="W259" s="238"/>
      <c r="X259" s="237"/>
      <c r="Y259" s="237"/>
      <c r="Z259" s="237"/>
      <c r="AA259" s="239"/>
      <c r="AB259" s="238"/>
      <c r="AC259" s="238"/>
      <c r="AD259" s="240"/>
      <c r="AE259" s="241"/>
      <c r="AF259" s="241"/>
      <c r="AG259" s="238"/>
      <c r="AH259" s="240"/>
      <c r="AI259" s="241"/>
      <c r="AJ259" s="241"/>
      <c r="AK259" s="241"/>
      <c r="AL259" s="237"/>
      <c r="AM259" s="237"/>
      <c r="AN259" s="237"/>
      <c r="AO259" s="237"/>
      <c r="AP259" s="237"/>
      <c r="AQ259" s="237"/>
      <c r="AR259" s="237"/>
    </row>
    <row r="260">
      <c r="A260" s="228"/>
      <c r="B260" s="228"/>
      <c r="C260" s="228"/>
      <c r="D260" s="228"/>
      <c r="E260" s="228"/>
      <c r="F260" s="228"/>
      <c r="G260" s="228"/>
      <c r="H260" s="241"/>
      <c r="I260" s="228"/>
      <c r="J260" s="236"/>
      <c r="K260" s="228"/>
      <c r="L260" s="228"/>
      <c r="M260" s="238"/>
      <c r="N260" s="228"/>
      <c r="O260" s="235"/>
      <c r="P260" s="236"/>
      <c r="Q260" s="235"/>
      <c r="R260" s="235"/>
      <c r="S260" s="236"/>
      <c r="T260" s="236"/>
      <c r="U260" s="237"/>
      <c r="V260" s="237"/>
      <c r="W260" s="238"/>
      <c r="X260" s="237"/>
      <c r="Y260" s="237"/>
      <c r="Z260" s="237"/>
      <c r="AA260" s="239"/>
      <c r="AB260" s="238"/>
      <c r="AC260" s="238"/>
      <c r="AD260" s="240"/>
      <c r="AE260" s="241"/>
      <c r="AF260" s="241"/>
      <c r="AG260" s="238"/>
      <c r="AH260" s="240"/>
      <c r="AI260" s="241"/>
      <c r="AJ260" s="241"/>
      <c r="AK260" s="241"/>
      <c r="AL260" s="237"/>
      <c r="AM260" s="237"/>
      <c r="AN260" s="237"/>
      <c r="AO260" s="237"/>
      <c r="AP260" s="237"/>
      <c r="AQ260" s="237"/>
      <c r="AR260" s="237"/>
    </row>
    <row r="261">
      <c r="A261" s="228"/>
      <c r="B261" s="228"/>
      <c r="C261" s="228"/>
      <c r="D261" s="228"/>
      <c r="E261" s="228"/>
      <c r="F261" s="228"/>
      <c r="G261" s="228"/>
      <c r="H261" s="241"/>
      <c r="I261" s="228"/>
      <c r="J261" s="236"/>
      <c r="K261" s="228"/>
      <c r="L261" s="228"/>
      <c r="M261" s="238"/>
      <c r="N261" s="228"/>
      <c r="O261" s="235"/>
      <c r="P261" s="236"/>
      <c r="Q261" s="235"/>
      <c r="R261" s="235"/>
      <c r="S261" s="236"/>
      <c r="T261" s="236"/>
      <c r="U261" s="237"/>
      <c r="V261" s="237"/>
      <c r="W261" s="238"/>
      <c r="X261" s="237"/>
      <c r="Y261" s="237"/>
      <c r="Z261" s="237"/>
      <c r="AA261" s="239"/>
      <c r="AB261" s="238"/>
      <c r="AC261" s="238"/>
      <c r="AD261" s="240"/>
      <c r="AE261" s="241"/>
      <c r="AF261" s="241"/>
      <c r="AG261" s="238"/>
      <c r="AH261" s="240"/>
      <c r="AI261" s="241"/>
      <c r="AJ261" s="241"/>
      <c r="AK261" s="241"/>
      <c r="AL261" s="237"/>
      <c r="AM261" s="237"/>
      <c r="AN261" s="237"/>
      <c r="AO261" s="237"/>
      <c r="AP261" s="237"/>
      <c r="AQ261" s="237"/>
      <c r="AR261" s="237"/>
    </row>
    <row r="262">
      <c r="A262" s="228"/>
      <c r="B262" s="228"/>
      <c r="C262" s="228"/>
      <c r="D262" s="228"/>
      <c r="E262" s="228"/>
      <c r="F262" s="228"/>
      <c r="G262" s="228"/>
      <c r="H262" s="241"/>
      <c r="I262" s="228"/>
      <c r="J262" s="236"/>
      <c r="K262" s="228"/>
      <c r="L262" s="228"/>
      <c r="M262" s="238"/>
      <c r="N262" s="228"/>
      <c r="O262" s="235"/>
      <c r="P262" s="236"/>
      <c r="Q262" s="235"/>
      <c r="R262" s="235"/>
      <c r="S262" s="236"/>
      <c r="T262" s="236"/>
      <c r="U262" s="237"/>
      <c r="V262" s="237"/>
      <c r="W262" s="238"/>
      <c r="X262" s="237"/>
      <c r="Y262" s="237"/>
      <c r="Z262" s="237"/>
      <c r="AA262" s="239"/>
      <c r="AB262" s="238"/>
      <c r="AC262" s="238"/>
      <c r="AD262" s="240"/>
      <c r="AE262" s="241"/>
      <c r="AF262" s="241"/>
      <c r="AG262" s="238"/>
      <c r="AH262" s="240"/>
      <c r="AI262" s="241"/>
      <c r="AJ262" s="241"/>
      <c r="AK262" s="241"/>
      <c r="AL262" s="237"/>
      <c r="AM262" s="237"/>
      <c r="AN262" s="237"/>
      <c r="AO262" s="237"/>
      <c r="AP262" s="237"/>
      <c r="AQ262" s="237"/>
      <c r="AR262" s="237"/>
    </row>
    <row r="263">
      <c r="A263" s="228"/>
      <c r="B263" s="228"/>
      <c r="C263" s="228"/>
      <c r="D263" s="228"/>
      <c r="E263" s="228"/>
      <c r="F263" s="228"/>
      <c r="G263" s="228"/>
      <c r="H263" s="241"/>
      <c r="I263" s="228"/>
      <c r="J263" s="236"/>
      <c r="K263" s="228"/>
      <c r="L263" s="228"/>
      <c r="M263" s="238"/>
      <c r="N263" s="228"/>
      <c r="O263" s="235"/>
      <c r="P263" s="236"/>
      <c r="Q263" s="235"/>
      <c r="R263" s="235"/>
      <c r="S263" s="236"/>
      <c r="T263" s="236"/>
      <c r="U263" s="237"/>
      <c r="V263" s="237"/>
      <c r="W263" s="238"/>
      <c r="X263" s="237"/>
      <c r="Y263" s="237"/>
      <c r="Z263" s="237"/>
      <c r="AA263" s="239"/>
      <c r="AB263" s="238"/>
      <c r="AC263" s="238"/>
      <c r="AD263" s="240"/>
      <c r="AE263" s="241"/>
      <c r="AF263" s="241"/>
      <c r="AG263" s="238"/>
      <c r="AH263" s="240"/>
      <c r="AI263" s="241"/>
      <c r="AJ263" s="241"/>
      <c r="AK263" s="241"/>
      <c r="AL263" s="237"/>
      <c r="AM263" s="237"/>
      <c r="AN263" s="237"/>
      <c r="AO263" s="237"/>
      <c r="AP263" s="237"/>
      <c r="AQ263" s="237"/>
      <c r="AR263" s="237"/>
    </row>
    <row r="264">
      <c r="A264" s="228"/>
      <c r="B264" s="228"/>
      <c r="C264" s="228"/>
      <c r="D264" s="228"/>
      <c r="E264" s="228"/>
      <c r="F264" s="228"/>
      <c r="G264" s="228"/>
      <c r="H264" s="241"/>
      <c r="I264" s="228"/>
      <c r="J264" s="236"/>
      <c r="K264" s="228"/>
      <c r="L264" s="228"/>
      <c r="M264" s="238"/>
      <c r="N264" s="228"/>
      <c r="O264" s="235"/>
      <c r="P264" s="236"/>
      <c r="Q264" s="235"/>
      <c r="R264" s="235"/>
      <c r="S264" s="236"/>
      <c r="T264" s="236"/>
      <c r="U264" s="237"/>
      <c r="V264" s="237"/>
      <c r="W264" s="238"/>
      <c r="X264" s="237"/>
      <c r="Y264" s="237"/>
      <c r="Z264" s="237"/>
      <c r="AA264" s="239"/>
      <c r="AB264" s="238"/>
      <c r="AC264" s="238"/>
      <c r="AD264" s="240"/>
      <c r="AE264" s="241"/>
      <c r="AF264" s="241"/>
      <c r="AG264" s="238"/>
      <c r="AH264" s="240"/>
      <c r="AI264" s="241"/>
      <c r="AJ264" s="241"/>
      <c r="AK264" s="241"/>
      <c r="AL264" s="237"/>
      <c r="AM264" s="237"/>
      <c r="AN264" s="237"/>
      <c r="AO264" s="237"/>
      <c r="AP264" s="237"/>
      <c r="AQ264" s="237"/>
      <c r="AR264" s="237"/>
    </row>
    <row r="265">
      <c r="A265" s="228"/>
      <c r="B265" s="228"/>
      <c r="C265" s="228"/>
      <c r="D265" s="228"/>
      <c r="E265" s="228"/>
      <c r="F265" s="228"/>
      <c r="G265" s="228"/>
      <c r="H265" s="241"/>
      <c r="I265" s="228"/>
      <c r="J265" s="236"/>
      <c r="K265" s="228"/>
      <c r="L265" s="228"/>
      <c r="M265" s="238"/>
      <c r="N265" s="228"/>
      <c r="O265" s="235"/>
      <c r="P265" s="236"/>
      <c r="Q265" s="235"/>
      <c r="R265" s="235"/>
      <c r="S265" s="236"/>
      <c r="T265" s="236"/>
      <c r="U265" s="237"/>
      <c r="V265" s="237"/>
      <c r="W265" s="238"/>
      <c r="X265" s="237"/>
      <c r="Y265" s="237"/>
      <c r="Z265" s="237"/>
      <c r="AA265" s="239"/>
      <c r="AB265" s="238"/>
      <c r="AC265" s="238"/>
      <c r="AD265" s="240"/>
      <c r="AE265" s="241"/>
      <c r="AF265" s="241"/>
      <c r="AG265" s="238"/>
      <c r="AH265" s="240"/>
      <c r="AI265" s="241"/>
      <c r="AJ265" s="241"/>
      <c r="AK265" s="241"/>
      <c r="AL265" s="237"/>
      <c r="AM265" s="237"/>
      <c r="AN265" s="237"/>
      <c r="AO265" s="237"/>
      <c r="AP265" s="237"/>
      <c r="AQ265" s="237"/>
      <c r="AR265" s="237"/>
    </row>
    <row r="266">
      <c r="A266" s="228"/>
      <c r="B266" s="228"/>
      <c r="C266" s="228"/>
      <c r="D266" s="228"/>
      <c r="E266" s="228"/>
      <c r="F266" s="228"/>
      <c r="G266" s="228"/>
      <c r="H266" s="241"/>
      <c r="I266" s="228"/>
      <c r="J266" s="236"/>
      <c r="K266" s="228"/>
      <c r="L266" s="228"/>
      <c r="M266" s="238"/>
      <c r="N266" s="228"/>
      <c r="O266" s="235"/>
      <c r="P266" s="236"/>
      <c r="Q266" s="235"/>
      <c r="R266" s="235"/>
      <c r="S266" s="236"/>
      <c r="T266" s="236"/>
      <c r="U266" s="237"/>
      <c r="V266" s="237"/>
      <c r="W266" s="238"/>
      <c r="X266" s="237"/>
      <c r="Y266" s="237"/>
      <c r="Z266" s="237"/>
      <c r="AA266" s="239"/>
      <c r="AB266" s="238"/>
      <c r="AC266" s="238"/>
      <c r="AD266" s="240"/>
      <c r="AE266" s="241"/>
      <c r="AF266" s="241"/>
      <c r="AG266" s="238"/>
      <c r="AH266" s="240"/>
      <c r="AI266" s="241"/>
      <c r="AJ266" s="241"/>
      <c r="AK266" s="241"/>
      <c r="AL266" s="237"/>
      <c r="AM266" s="237"/>
      <c r="AN266" s="237"/>
      <c r="AO266" s="237"/>
      <c r="AP266" s="237"/>
      <c r="AQ266" s="237"/>
      <c r="AR266" s="237"/>
    </row>
    <row r="267">
      <c r="A267" s="228"/>
      <c r="B267" s="228"/>
      <c r="C267" s="228"/>
      <c r="D267" s="228"/>
      <c r="E267" s="228"/>
      <c r="F267" s="228"/>
      <c r="G267" s="228"/>
      <c r="H267" s="241"/>
      <c r="I267" s="228"/>
      <c r="J267" s="236"/>
      <c r="K267" s="228"/>
      <c r="L267" s="228"/>
      <c r="M267" s="238"/>
      <c r="N267" s="228"/>
      <c r="O267" s="235"/>
      <c r="P267" s="236"/>
      <c r="Q267" s="235"/>
      <c r="R267" s="235"/>
      <c r="S267" s="236"/>
      <c r="T267" s="236"/>
      <c r="U267" s="237"/>
      <c r="V267" s="237"/>
      <c r="W267" s="238"/>
      <c r="X267" s="237"/>
      <c r="Y267" s="237"/>
      <c r="Z267" s="237"/>
      <c r="AA267" s="239"/>
      <c r="AB267" s="238"/>
      <c r="AC267" s="238"/>
      <c r="AD267" s="240"/>
      <c r="AE267" s="241"/>
      <c r="AF267" s="241"/>
      <c r="AG267" s="238"/>
      <c r="AH267" s="240"/>
      <c r="AI267" s="241"/>
      <c r="AJ267" s="241"/>
      <c r="AK267" s="241"/>
      <c r="AL267" s="237"/>
      <c r="AM267" s="237"/>
      <c r="AN267" s="237"/>
      <c r="AO267" s="237"/>
      <c r="AP267" s="237"/>
      <c r="AQ267" s="237"/>
      <c r="AR267" s="237"/>
    </row>
    <row r="268">
      <c r="A268" s="228"/>
      <c r="B268" s="228"/>
      <c r="C268" s="228"/>
      <c r="D268" s="228"/>
      <c r="E268" s="228"/>
      <c r="F268" s="228"/>
      <c r="G268" s="228"/>
      <c r="H268" s="241"/>
      <c r="I268" s="228"/>
      <c r="J268" s="236"/>
      <c r="K268" s="228"/>
      <c r="L268" s="228"/>
      <c r="M268" s="238"/>
      <c r="N268" s="228"/>
      <c r="O268" s="235"/>
      <c r="P268" s="236"/>
      <c r="Q268" s="235"/>
      <c r="R268" s="235"/>
      <c r="S268" s="236"/>
      <c r="T268" s="236"/>
      <c r="U268" s="237"/>
      <c r="V268" s="237"/>
      <c r="W268" s="238"/>
      <c r="X268" s="237"/>
      <c r="Y268" s="237"/>
      <c r="Z268" s="237"/>
      <c r="AA268" s="239"/>
      <c r="AB268" s="238"/>
      <c r="AC268" s="238"/>
      <c r="AD268" s="240"/>
      <c r="AE268" s="241"/>
      <c r="AF268" s="241"/>
      <c r="AG268" s="238"/>
      <c r="AH268" s="240"/>
      <c r="AI268" s="241"/>
      <c r="AJ268" s="241"/>
      <c r="AK268" s="241"/>
      <c r="AL268" s="237"/>
      <c r="AM268" s="237"/>
      <c r="AN268" s="237"/>
      <c r="AO268" s="237"/>
      <c r="AP268" s="237"/>
      <c r="AQ268" s="237"/>
      <c r="AR268" s="237"/>
    </row>
    <row r="269">
      <c r="A269" s="228"/>
      <c r="B269" s="228"/>
      <c r="C269" s="228"/>
      <c r="D269" s="228"/>
      <c r="E269" s="228"/>
      <c r="F269" s="228"/>
      <c r="G269" s="228"/>
      <c r="H269" s="241"/>
      <c r="I269" s="228"/>
      <c r="J269" s="236"/>
      <c r="K269" s="228"/>
      <c r="L269" s="228"/>
      <c r="M269" s="238"/>
      <c r="N269" s="228"/>
      <c r="O269" s="235"/>
      <c r="P269" s="236"/>
      <c r="Q269" s="235"/>
      <c r="R269" s="235"/>
      <c r="S269" s="236"/>
      <c r="T269" s="236"/>
      <c r="U269" s="237"/>
      <c r="V269" s="237"/>
      <c r="W269" s="238"/>
      <c r="X269" s="237"/>
      <c r="Y269" s="237"/>
      <c r="Z269" s="237"/>
      <c r="AA269" s="239"/>
      <c r="AB269" s="238"/>
      <c r="AC269" s="238"/>
      <c r="AD269" s="240"/>
      <c r="AE269" s="241"/>
      <c r="AF269" s="241"/>
      <c r="AG269" s="238"/>
      <c r="AH269" s="240"/>
      <c r="AI269" s="241"/>
      <c r="AJ269" s="241"/>
      <c r="AK269" s="241"/>
      <c r="AL269" s="237"/>
      <c r="AM269" s="237"/>
      <c r="AN269" s="237"/>
      <c r="AO269" s="237"/>
      <c r="AP269" s="237"/>
      <c r="AQ269" s="237"/>
      <c r="AR269" s="237"/>
    </row>
    <row r="270">
      <c r="A270" s="228"/>
      <c r="B270" s="228"/>
      <c r="C270" s="228"/>
      <c r="D270" s="228"/>
      <c r="E270" s="228"/>
      <c r="F270" s="228"/>
      <c r="G270" s="228"/>
      <c r="H270" s="241"/>
      <c r="I270" s="228"/>
      <c r="J270" s="236"/>
      <c r="K270" s="228"/>
      <c r="L270" s="228"/>
      <c r="M270" s="238"/>
      <c r="N270" s="228"/>
      <c r="O270" s="235"/>
      <c r="P270" s="236"/>
      <c r="Q270" s="235"/>
      <c r="R270" s="235"/>
      <c r="S270" s="236"/>
      <c r="T270" s="236"/>
      <c r="U270" s="237"/>
      <c r="V270" s="237"/>
      <c r="W270" s="238"/>
      <c r="X270" s="237"/>
      <c r="Y270" s="237"/>
      <c r="Z270" s="237"/>
      <c r="AA270" s="239"/>
      <c r="AB270" s="238"/>
      <c r="AC270" s="238"/>
      <c r="AD270" s="240"/>
      <c r="AE270" s="241"/>
      <c r="AF270" s="241"/>
      <c r="AG270" s="238"/>
      <c r="AH270" s="240"/>
      <c r="AI270" s="241"/>
      <c r="AJ270" s="241"/>
      <c r="AK270" s="241"/>
      <c r="AL270" s="237"/>
      <c r="AM270" s="237"/>
      <c r="AN270" s="237"/>
      <c r="AO270" s="237"/>
      <c r="AP270" s="237"/>
      <c r="AQ270" s="237"/>
      <c r="AR270" s="237"/>
    </row>
    <row r="271">
      <c r="A271" s="228"/>
      <c r="B271" s="228"/>
      <c r="C271" s="228"/>
      <c r="D271" s="228"/>
      <c r="E271" s="228"/>
      <c r="F271" s="228"/>
      <c r="G271" s="228"/>
      <c r="H271" s="241"/>
      <c r="I271" s="228"/>
      <c r="J271" s="236"/>
      <c r="K271" s="228"/>
      <c r="L271" s="228"/>
      <c r="M271" s="238"/>
      <c r="N271" s="228"/>
      <c r="O271" s="235"/>
      <c r="P271" s="236"/>
      <c r="Q271" s="235"/>
      <c r="R271" s="235"/>
      <c r="S271" s="236"/>
      <c r="T271" s="236"/>
      <c r="U271" s="237"/>
      <c r="V271" s="237"/>
      <c r="W271" s="238"/>
      <c r="X271" s="237"/>
      <c r="Y271" s="237"/>
      <c r="Z271" s="237"/>
      <c r="AA271" s="239"/>
      <c r="AB271" s="238"/>
      <c r="AC271" s="238"/>
      <c r="AD271" s="240"/>
      <c r="AE271" s="241"/>
      <c r="AF271" s="241"/>
      <c r="AG271" s="238"/>
      <c r="AH271" s="240"/>
      <c r="AI271" s="241"/>
      <c r="AJ271" s="241"/>
      <c r="AK271" s="241"/>
      <c r="AL271" s="237"/>
      <c r="AM271" s="237"/>
      <c r="AN271" s="237"/>
      <c r="AO271" s="237"/>
      <c r="AP271" s="237"/>
      <c r="AQ271" s="237"/>
      <c r="AR271" s="237"/>
    </row>
    <row r="272">
      <c r="A272" s="228"/>
      <c r="B272" s="228"/>
      <c r="C272" s="228"/>
      <c r="D272" s="228"/>
      <c r="E272" s="228"/>
      <c r="F272" s="228"/>
      <c r="G272" s="228"/>
      <c r="H272" s="241"/>
      <c r="I272" s="228"/>
      <c r="J272" s="236"/>
      <c r="K272" s="228"/>
      <c r="L272" s="228"/>
      <c r="M272" s="238"/>
      <c r="N272" s="228"/>
      <c r="O272" s="235"/>
      <c r="P272" s="236"/>
      <c r="Q272" s="235"/>
      <c r="R272" s="235"/>
      <c r="S272" s="236"/>
      <c r="T272" s="236"/>
      <c r="U272" s="237"/>
      <c r="V272" s="237"/>
      <c r="W272" s="238"/>
      <c r="X272" s="237"/>
      <c r="Y272" s="237"/>
      <c r="Z272" s="237"/>
      <c r="AA272" s="239"/>
      <c r="AB272" s="238"/>
      <c r="AC272" s="238"/>
      <c r="AD272" s="240"/>
      <c r="AE272" s="241"/>
      <c r="AF272" s="241"/>
      <c r="AG272" s="238"/>
      <c r="AH272" s="240"/>
      <c r="AI272" s="241"/>
      <c r="AJ272" s="241"/>
      <c r="AK272" s="241"/>
      <c r="AL272" s="237"/>
      <c r="AM272" s="237"/>
      <c r="AN272" s="237"/>
      <c r="AO272" s="237"/>
      <c r="AP272" s="237"/>
      <c r="AQ272" s="237"/>
      <c r="AR272" s="237"/>
    </row>
    <row r="273">
      <c r="A273" s="228"/>
      <c r="B273" s="228"/>
      <c r="C273" s="228"/>
      <c r="D273" s="228"/>
      <c r="E273" s="228"/>
      <c r="F273" s="228"/>
      <c r="G273" s="228"/>
      <c r="H273" s="241"/>
      <c r="I273" s="228"/>
      <c r="J273" s="236"/>
      <c r="K273" s="228"/>
      <c r="L273" s="228"/>
      <c r="M273" s="238"/>
      <c r="N273" s="228"/>
      <c r="O273" s="235"/>
      <c r="P273" s="236"/>
      <c r="Q273" s="235"/>
      <c r="R273" s="235"/>
      <c r="S273" s="236"/>
      <c r="T273" s="236"/>
      <c r="U273" s="237"/>
      <c r="V273" s="237"/>
      <c r="W273" s="238"/>
      <c r="X273" s="237"/>
      <c r="Y273" s="237"/>
      <c r="Z273" s="237"/>
      <c r="AA273" s="239"/>
      <c r="AB273" s="238"/>
      <c r="AC273" s="238"/>
      <c r="AD273" s="240"/>
      <c r="AE273" s="241"/>
      <c r="AF273" s="241"/>
      <c r="AG273" s="238"/>
      <c r="AH273" s="240"/>
      <c r="AI273" s="241"/>
      <c r="AJ273" s="241"/>
      <c r="AK273" s="241"/>
      <c r="AL273" s="237"/>
      <c r="AM273" s="237"/>
      <c r="AN273" s="237"/>
      <c r="AO273" s="237"/>
      <c r="AP273" s="237"/>
      <c r="AQ273" s="237"/>
      <c r="AR273" s="237"/>
    </row>
    <row r="274">
      <c r="A274" s="228"/>
      <c r="B274" s="228"/>
      <c r="C274" s="228"/>
      <c r="D274" s="228"/>
      <c r="E274" s="228"/>
      <c r="F274" s="228"/>
      <c r="G274" s="228"/>
      <c r="H274" s="241"/>
      <c r="I274" s="228"/>
      <c r="J274" s="236"/>
      <c r="K274" s="228"/>
      <c r="L274" s="228"/>
      <c r="M274" s="238"/>
      <c r="N274" s="228"/>
      <c r="O274" s="235"/>
      <c r="P274" s="236"/>
      <c r="Q274" s="235"/>
      <c r="R274" s="235"/>
      <c r="S274" s="236"/>
      <c r="T274" s="236"/>
      <c r="U274" s="237"/>
      <c r="V274" s="237"/>
      <c r="W274" s="238"/>
      <c r="X274" s="237"/>
      <c r="Y274" s="237"/>
      <c r="Z274" s="237"/>
      <c r="AA274" s="239"/>
      <c r="AB274" s="238"/>
      <c r="AC274" s="238"/>
      <c r="AD274" s="240"/>
      <c r="AE274" s="241"/>
      <c r="AF274" s="241"/>
      <c r="AG274" s="238"/>
      <c r="AH274" s="240"/>
      <c r="AI274" s="241"/>
      <c r="AJ274" s="241"/>
      <c r="AK274" s="241"/>
      <c r="AL274" s="237"/>
      <c r="AM274" s="237"/>
      <c r="AN274" s="237"/>
      <c r="AO274" s="237"/>
      <c r="AP274" s="237"/>
      <c r="AQ274" s="237"/>
      <c r="AR274" s="237"/>
    </row>
    <row r="275">
      <c r="A275" s="228"/>
      <c r="B275" s="228"/>
      <c r="C275" s="228"/>
      <c r="D275" s="228"/>
      <c r="E275" s="228"/>
      <c r="F275" s="228"/>
      <c r="G275" s="228"/>
      <c r="H275" s="241"/>
      <c r="I275" s="228"/>
      <c r="J275" s="236"/>
      <c r="K275" s="228"/>
      <c r="L275" s="228"/>
      <c r="M275" s="238"/>
      <c r="N275" s="228"/>
      <c r="O275" s="235"/>
      <c r="P275" s="236"/>
      <c r="Q275" s="235"/>
      <c r="R275" s="235"/>
      <c r="S275" s="236"/>
      <c r="T275" s="236"/>
      <c r="U275" s="237"/>
      <c r="V275" s="237"/>
      <c r="W275" s="238"/>
      <c r="X275" s="237"/>
      <c r="Y275" s="237"/>
      <c r="Z275" s="237"/>
      <c r="AA275" s="239"/>
      <c r="AB275" s="238"/>
      <c r="AC275" s="238"/>
      <c r="AD275" s="240"/>
      <c r="AE275" s="241"/>
      <c r="AF275" s="241"/>
      <c r="AG275" s="238"/>
      <c r="AH275" s="240"/>
      <c r="AI275" s="241"/>
      <c r="AJ275" s="241"/>
      <c r="AK275" s="241"/>
      <c r="AL275" s="237"/>
      <c r="AM275" s="237"/>
      <c r="AN275" s="237"/>
      <c r="AO275" s="237"/>
      <c r="AP275" s="237"/>
      <c r="AQ275" s="237"/>
      <c r="AR275" s="237"/>
    </row>
    <row r="276">
      <c r="A276" s="228"/>
      <c r="B276" s="228"/>
      <c r="C276" s="228"/>
      <c r="D276" s="228"/>
      <c r="E276" s="228"/>
      <c r="F276" s="228"/>
      <c r="G276" s="228"/>
      <c r="H276" s="241"/>
      <c r="I276" s="228"/>
      <c r="J276" s="236"/>
      <c r="K276" s="228"/>
      <c r="L276" s="228"/>
      <c r="M276" s="238"/>
      <c r="N276" s="228"/>
      <c r="O276" s="235"/>
      <c r="P276" s="236"/>
      <c r="Q276" s="235"/>
      <c r="R276" s="235"/>
      <c r="S276" s="236"/>
      <c r="T276" s="236"/>
      <c r="U276" s="237"/>
      <c r="V276" s="237"/>
      <c r="W276" s="238"/>
      <c r="X276" s="237"/>
      <c r="Y276" s="237"/>
      <c r="Z276" s="237"/>
      <c r="AA276" s="239"/>
      <c r="AB276" s="238"/>
      <c r="AC276" s="238"/>
      <c r="AD276" s="240"/>
      <c r="AE276" s="241"/>
      <c r="AF276" s="241"/>
      <c r="AG276" s="238"/>
      <c r="AH276" s="240"/>
      <c r="AI276" s="241"/>
      <c r="AJ276" s="241"/>
      <c r="AK276" s="241"/>
      <c r="AL276" s="237"/>
      <c r="AM276" s="237"/>
      <c r="AN276" s="237"/>
      <c r="AO276" s="237"/>
      <c r="AP276" s="237"/>
      <c r="AQ276" s="237"/>
      <c r="AR276" s="237"/>
    </row>
    <row r="277">
      <c r="A277" s="228"/>
      <c r="B277" s="228"/>
      <c r="C277" s="228"/>
      <c r="D277" s="228"/>
      <c r="E277" s="228"/>
      <c r="F277" s="228"/>
      <c r="G277" s="228"/>
      <c r="H277" s="241"/>
      <c r="I277" s="228"/>
      <c r="J277" s="236"/>
      <c r="K277" s="228"/>
      <c r="L277" s="228"/>
      <c r="M277" s="238"/>
      <c r="N277" s="228"/>
      <c r="O277" s="235"/>
      <c r="P277" s="236"/>
      <c r="Q277" s="235"/>
      <c r="R277" s="235"/>
      <c r="S277" s="236"/>
      <c r="T277" s="236"/>
      <c r="U277" s="237"/>
      <c r="V277" s="237"/>
      <c r="W277" s="238"/>
      <c r="X277" s="237"/>
      <c r="Y277" s="237"/>
      <c r="Z277" s="237"/>
      <c r="AA277" s="239"/>
      <c r="AB277" s="238"/>
      <c r="AC277" s="238"/>
      <c r="AD277" s="240"/>
      <c r="AE277" s="241"/>
      <c r="AF277" s="241"/>
      <c r="AG277" s="238"/>
      <c r="AH277" s="240"/>
      <c r="AI277" s="241"/>
      <c r="AJ277" s="241"/>
      <c r="AK277" s="241"/>
      <c r="AL277" s="237"/>
      <c r="AM277" s="237"/>
      <c r="AN277" s="237"/>
      <c r="AO277" s="237"/>
      <c r="AP277" s="237"/>
      <c r="AQ277" s="237"/>
      <c r="AR277" s="237"/>
    </row>
    <row r="278">
      <c r="A278" s="228"/>
      <c r="B278" s="228"/>
      <c r="C278" s="228"/>
      <c r="D278" s="228"/>
      <c r="E278" s="228"/>
      <c r="F278" s="228"/>
      <c r="G278" s="228"/>
      <c r="H278" s="241"/>
      <c r="I278" s="228"/>
      <c r="J278" s="236"/>
      <c r="K278" s="228"/>
      <c r="L278" s="228"/>
      <c r="M278" s="238"/>
      <c r="N278" s="228"/>
      <c r="O278" s="235"/>
      <c r="P278" s="236"/>
      <c r="Q278" s="235"/>
      <c r="R278" s="235"/>
      <c r="S278" s="236"/>
      <c r="T278" s="236"/>
      <c r="U278" s="237"/>
      <c r="V278" s="237"/>
      <c r="W278" s="238"/>
      <c r="X278" s="237"/>
      <c r="Y278" s="237"/>
      <c r="Z278" s="237"/>
      <c r="AA278" s="239"/>
      <c r="AB278" s="238"/>
      <c r="AC278" s="238"/>
      <c r="AD278" s="240"/>
      <c r="AE278" s="241"/>
      <c r="AF278" s="241"/>
      <c r="AG278" s="238"/>
      <c r="AH278" s="240"/>
      <c r="AI278" s="241"/>
      <c r="AJ278" s="241"/>
      <c r="AK278" s="241"/>
      <c r="AL278" s="237"/>
      <c r="AM278" s="237"/>
      <c r="AN278" s="237"/>
      <c r="AO278" s="237"/>
      <c r="AP278" s="237"/>
      <c r="AQ278" s="237"/>
      <c r="AR278" s="237"/>
    </row>
    <row r="279">
      <c r="A279" s="228"/>
      <c r="B279" s="228"/>
      <c r="C279" s="228"/>
      <c r="D279" s="228"/>
      <c r="E279" s="228"/>
      <c r="F279" s="228"/>
      <c r="G279" s="228"/>
      <c r="H279" s="241"/>
      <c r="I279" s="228"/>
      <c r="J279" s="236"/>
      <c r="K279" s="228"/>
      <c r="L279" s="228"/>
      <c r="M279" s="238"/>
      <c r="N279" s="228"/>
      <c r="O279" s="235"/>
      <c r="P279" s="236"/>
      <c r="Q279" s="235"/>
      <c r="R279" s="235"/>
      <c r="S279" s="236"/>
      <c r="T279" s="236"/>
      <c r="U279" s="237"/>
      <c r="V279" s="237"/>
      <c r="W279" s="238"/>
      <c r="X279" s="237"/>
      <c r="Y279" s="237"/>
      <c r="Z279" s="237"/>
      <c r="AA279" s="239"/>
      <c r="AB279" s="238"/>
      <c r="AC279" s="238"/>
      <c r="AD279" s="240"/>
      <c r="AE279" s="241"/>
      <c r="AF279" s="241"/>
      <c r="AG279" s="238"/>
      <c r="AH279" s="240"/>
      <c r="AI279" s="241"/>
      <c r="AJ279" s="241"/>
      <c r="AK279" s="241"/>
      <c r="AL279" s="237"/>
      <c r="AM279" s="237"/>
      <c r="AN279" s="237"/>
      <c r="AO279" s="237"/>
      <c r="AP279" s="237"/>
      <c r="AQ279" s="237"/>
      <c r="AR279" s="237"/>
    </row>
    <row r="280">
      <c r="A280" s="228"/>
      <c r="B280" s="228"/>
      <c r="C280" s="228"/>
      <c r="D280" s="228"/>
      <c r="E280" s="228"/>
      <c r="F280" s="228"/>
      <c r="G280" s="228"/>
      <c r="H280" s="241"/>
      <c r="I280" s="228"/>
      <c r="J280" s="236"/>
      <c r="K280" s="228"/>
      <c r="L280" s="228"/>
      <c r="M280" s="238"/>
      <c r="N280" s="228"/>
      <c r="O280" s="235"/>
      <c r="P280" s="236"/>
      <c r="Q280" s="235"/>
      <c r="R280" s="235"/>
      <c r="S280" s="236"/>
      <c r="T280" s="236"/>
      <c r="U280" s="237"/>
      <c r="V280" s="237"/>
      <c r="W280" s="238"/>
      <c r="X280" s="237"/>
      <c r="Y280" s="237"/>
      <c r="Z280" s="237"/>
      <c r="AA280" s="239"/>
      <c r="AB280" s="238"/>
      <c r="AC280" s="238"/>
      <c r="AD280" s="240"/>
      <c r="AE280" s="241"/>
      <c r="AF280" s="241"/>
      <c r="AG280" s="238"/>
      <c r="AH280" s="240"/>
      <c r="AI280" s="241"/>
      <c r="AJ280" s="241"/>
      <c r="AK280" s="241"/>
      <c r="AL280" s="237"/>
      <c r="AM280" s="237"/>
      <c r="AN280" s="237"/>
      <c r="AO280" s="237"/>
      <c r="AP280" s="237"/>
      <c r="AQ280" s="237"/>
      <c r="AR280" s="237"/>
    </row>
    <row r="281">
      <c r="A281" s="228"/>
      <c r="B281" s="228"/>
      <c r="C281" s="228"/>
      <c r="D281" s="228"/>
      <c r="E281" s="228"/>
      <c r="F281" s="228"/>
      <c r="G281" s="228"/>
      <c r="H281" s="241"/>
      <c r="I281" s="228"/>
      <c r="J281" s="236"/>
      <c r="K281" s="228"/>
      <c r="L281" s="228"/>
      <c r="M281" s="238"/>
      <c r="N281" s="228"/>
      <c r="O281" s="235"/>
      <c r="P281" s="236"/>
      <c r="Q281" s="235"/>
      <c r="R281" s="235"/>
      <c r="S281" s="236"/>
      <c r="T281" s="236"/>
      <c r="U281" s="237"/>
      <c r="V281" s="237"/>
      <c r="W281" s="238"/>
      <c r="X281" s="237"/>
      <c r="Y281" s="237"/>
      <c r="Z281" s="237"/>
      <c r="AA281" s="239"/>
      <c r="AB281" s="238"/>
      <c r="AC281" s="238"/>
      <c r="AD281" s="240"/>
      <c r="AE281" s="241"/>
      <c r="AF281" s="241"/>
      <c r="AG281" s="238"/>
      <c r="AH281" s="240"/>
      <c r="AI281" s="241"/>
      <c r="AJ281" s="241"/>
      <c r="AK281" s="241"/>
      <c r="AL281" s="237"/>
      <c r="AM281" s="237"/>
      <c r="AN281" s="237"/>
      <c r="AO281" s="237"/>
      <c r="AP281" s="237"/>
      <c r="AQ281" s="237"/>
      <c r="AR281" s="237"/>
    </row>
    <row r="282">
      <c r="A282" s="228"/>
      <c r="B282" s="228"/>
      <c r="C282" s="228"/>
      <c r="D282" s="228"/>
      <c r="E282" s="228"/>
      <c r="F282" s="228"/>
      <c r="G282" s="228"/>
      <c r="H282" s="241"/>
      <c r="I282" s="228"/>
      <c r="J282" s="236"/>
      <c r="K282" s="228"/>
      <c r="L282" s="228"/>
      <c r="M282" s="238"/>
      <c r="N282" s="228"/>
      <c r="O282" s="235"/>
      <c r="P282" s="236"/>
      <c r="Q282" s="235"/>
      <c r="R282" s="235"/>
      <c r="S282" s="236"/>
      <c r="T282" s="236"/>
      <c r="U282" s="237"/>
      <c r="V282" s="237"/>
      <c r="W282" s="238"/>
      <c r="X282" s="237"/>
      <c r="Y282" s="237"/>
      <c r="Z282" s="237"/>
      <c r="AA282" s="239"/>
      <c r="AB282" s="238"/>
      <c r="AC282" s="238"/>
      <c r="AD282" s="240"/>
      <c r="AE282" s="241"/>
      <c r="AF282" s="241"/>
      <c r="AG282" s="238"/>
      <c r="AH282" s="240"/>
      <c r="AI282" s="241"/>
      <c r="AJ282" s="241"/>
      <c r="AK282" s="241"/>
      <c r="AL282" s="237"/>
      <c r="AM282" s="237"/>
      <c r="AN282" s="237"/>
      <c r="AO282" s="237"/>
      <c r="AP282" s="237"/>
      <c r="AQ282" s="237"/>
      <c r="AR282" s="237"/>
    </row>
    <row r="283">
      <c r="A283" s="228"/>
      <c r="B283" s="228"/>
      <c r="C283" s="228"/>
      <c r="D283" s="228"/>
      <c r="E283" s="228"/>
      <c r="F283" s="228"/>
      <c r="G283" s="228"/>
      <c r="H283" s="241"/>
      <c r="I283" s="228"/>
      <c r="J283" s="236"/>
      <c r="K283" s="228"/>
      <c r="L283" s="228"/>
      <c r="M283" s="238"/>
      <c r="N283" s="228"/>
      <c r="O283" s="235"/>
      <c r="P283" s="236"/>
      <c r="Q283" s="235"/>
      <c r="R283" s="235"/>
      <c r="S283" s="236"/>
      <c r="T283" s="236"/>
      <c r="U283" s="237"/>
      <c r="V283" s="237"/>
      <c r="W283" s="238"/>
      <c r="X283" s="237"/>
      <c r="Y283" s="237"/>
      <c r="Z283" s="237"/>
      <c r="AA283" s="239"/>
      <c r="AB283" s="238"/>
      <c r="AC283" s="238"/>
      <c r="AD283" s="240"/>
      <c r="AE283" s="241"/>
      <c r="AF283" s="241"/>
      <c r="AG283" s="238"/>
      <c r="AH283" s="240"/>
      <c r="AI283" s="241"/>
      <c r="AJ283" s="241"/>
      <c r="AK283" s="241"/>
      <c r="AL283" s="237"/>
      <c r="AM283" s="237"/>
      <c r="AN283" s="237"/>
      <c r="AO283" s="237"/>
      <c r="AP283" s="237"/>
      <c r="AQ283" s="237"/>
      <c r="AR283" s="237"/>
    </row>
    <row r="284">
      <c r="A284" s="228"/>
      <c r="B284" s="228"/>
      <c r="C284" s="228"/>
      <c r="D284" s="228"/>
      <c r="E284" s="228"/>
      <c r="F284" s="228"/>
      <c r="G284" s="228"/>
      <c r="H284" s="241"/>
      <c r="I284" s="228"/>
      <c r="J284" s="236"/>
      <c r="K284" s="228"/>
      <c r="L284" s="228"/>
      <c r="M284" s="238"/>
      <c r="N284" s="228"/>
      <c r="O284" s="235"/>
      <c r="P284" s="236"/>
      <c r="Q284" s="235"/>
      <c r="R284" s="235"/>
      <c r="S284" s="236"/>
      <c r="T284" s="236"/>
      <c r="U284" s="237"/>
      <c r="V284" s="237"/>
      <c r="W284" s="238"/>
      <c r="X284" s="237"/>
      <c r="Y284" s="237"/>
      <c r="Z284" s="237"/>
      <c r="AA284" s="239"/>
      <c r="AB284" s="238"/>
      <c r="AC284" s="238"/>
      <c r="AD284" s="240"/>
      <c r="AE284" s="241"/>
      <c r="AF284" s="241"/>
      <c r="AG284" s="238"/>
      <c r="AH284" s="240"/>
      <c r="AI284" s="241"/>
      <c r="AJ284" s="241"/>
      <c r="AK284" s="241"/>
      <c r="AL284" s="237"/>
      <c r="AM284" s="237"/>
      <c r="AN284" s="237"/>
      <c r="AO284" s="237"/>
      <c r="AP284" s="237"/>
      <c r="AQ284" s="237"/>
      <c r="AR284" s="237"/>
    </row>
    <row r="285">
      <c r="A285" s="228"/>
      <c r="B285" s="228"/>
      <c r="C285" s="228"/>
      <c r="D285" s="228"/>
      <c r="E285" s="228"/>
      <c r="F285" s="228"/>
      <c r="G285" s="228"/>
      <c r="H285" s="241"/>
      <c r="I285" s="228"/>
      <c r="J285" s="236"/>
      <c r="K285" s="228"/>
      <c r="L285" s="228"/>
      <c r="M285" s="238"/>
      <c r="N285" s="228"/>
      <c r="O285" s="235"/>
      <c r="P285" s="236"/>
      <c r="Q285" s="235"/>
      <c r="R285" s="235"/>
      <c r="S285" s="236"/>
      <c r="T285" s="236"/>
      <c r="U285" s="237"/>
      <c r="V285" s="237"/>
      <c r="W285" s="238"/>
      <c r="X285" s="237"/>
      <c r="Y285" s="237"/>
      <c r="Z285" s="237"/>
      <c r="AA285" s="239"/>
      <c r="AB285" s="238"/>
      <c r="AC285" s="238"/>
      <c r="AD285" s="240"/>
      <c r="AE285" s="241"/>
      <c r="AF285" s="241"/>
      <c r="AG285" s="238"/>
      <c r="AH285" s="240"/>
      <c r="AI285" s="241"/>
      <c r="AJ285" s="241"/>
      <c r="AK285" s="241"/>
      <c r="AL285" s="237"/>
      <c r="AM285" s="237"/>
      <c r="AN285" s="237"/>
      <c r="AO285" s="237"/>
      <c r="AP285" s="237"/>
      <c r="AQ285" s="237"/>
      <c r="AR285" s="237"/>
    </row>
    <row r="286">
      <c r="A286" s="228"/>
      <c r="B286" s="228"/>
      <c r="C286" s="228"/>
      <c r="D286" s="228"/>
      <c r="E286" s="228"/>
      <c r="F286" s="228"/>
      <c r="G286" s="228"/>
      <c r="H286" s="241"/>
      <c r="I286" s="228"/>
      <c r="J286" s="236"/>
      <c r="K286" s="228"/>
      <c r="L286" s="228"/>
      <c r="M286" s="238"/>
      <c r="N286" s="228"/>
      <c r="O286" s="235"/>
      <c r="P286" s="236"/>
      <c r="Q286" s="235"/>
      <c r="R286" s="235"/>
      <c r="S286" s="236"/>
      <c r="T286" s="236"/>
      <c r="U286" s="237"/>
      <c r="V286" s="237"/>
      <c r="W286" s="238"/>
      <c r="X286" s="237"/>
      <c r="Y286" s="237"/>
      <c r="Z286" s="237"/>
      <c r="AA286" s="239"/>
      <c r="AB286" s="238"/>
      <c r="AC286" s="238"/>
      <c r="AD286" s="240"/>
      <c r="AE286" s="241"/>
      <c r="AF286" s="241"/>
      <c r="AG286" s="238"/>
      <c r="AH286" s="240"/>
      <c r="AI286" s="241"/>
      <c r="AJ286" s="241"/>
      <c r="AK286" s="241"/>
      <c r="AL286" s="237"/>
      <c r="AM286" s="237"/>
      <c r="AN286" s="237"/>
      <c r="AO286" s="237"/>
      <c r="AP286" s="237"/>
      <c r="AQ286" s="237"/>
      <c r="AR286" s="237"/>
    </row>
    <row r="287">
      <c r="A287" s="228"/>
      <c r="B287" s="228"/>
      <c r="C287" s="228"/>
      <c r="D287" s="228"/>
      <c r="E287" s="228"/>
      <c r="F287" s="228"/>
      <c r="G287" s="228"/>
      <c r="H287" s="241"/>
      <c r="I287" s="228"/>
      <c r="J287" s="236"/>
      <c r="K287" s="228"/>
      <c r="L287" s="228"/>
      <c r="M287" s="238"/>
      <c r="N287" s="228"/>
      <c r="O287" s="235"/>
      <c r="P287" s="236"/>
      <c r="Q287" s="235"/>
      <c r="R287" s="235"/>
      <c r="S287" s="236"/>
      <c r="T287" s="236"/>
      <c r="U287" s="237"/>
      <c r="V287" s="237"/>
      <c r="W287" s="238"/>
      <c r="X287" s="237"/>
      <c r="Y287" s="237"/>
      <c r="Z287" s="237"/>
      <c r="AA287" s="239"/>
      <c r="AB287" s="238"/>
      <c r="AC287" s="238"/>
      <c r="AD287" s="240"/>
      <c r="AE287" s="241"/>
      <c r="AF287" s="241"/>
      <c r="AG287" s="238"/>
      <c r="AH287" s="240"/>
      <c r="AI287" s="241"/>
      <c r="AJ287" s="241"/>
      <c r="AK287" s="241"/>
      <c r="AL287" s="237"/>
      <c r="AM287" s="237"/>
      <c r="AN287" s="237"/>
      <c r="AO287" s="237"/>
      <c r="AP287" s="237"/>
      <c r="AQ287" s="237"/>
      <c r="AR287" s="237"/>
    </row>
    <row r="288">
      <c r="A288" s="228"/>
      <c r="B288" s="228"/>
      <c r="C288" s="228"/>
      <c r="D288" s="228"/>
      <c r="E288" s="228"/>
      <c r="F288" s="228"/>
      <c r="G288" s="228"/>
      <c r="H288" s="241"/>
      <c r="I288" s="228"/>
      <c r="J288" s="236"/>
      <c r="K288" s="228"/>
      <c r="L288" s="228"/>
      <c r="M288" s="238"/>
      <c r="N288" s="228"/>
      <c r="O288" s="235"/>
      <c r="P288" s="236"/>
      <c r="Q288" s="235"/>
      <c r="R288" s="235"/>
      <c r="S288" s="236"/>
      <c r="T288" s="236"/>
      <c r="U288" s="237"/>
      <c r="V288" s="237"/>
      <c r="W288" s="238"/>
      <c r="X288" s="237"/>
      <c r="Y288" s="237"/>
      <c r="Z288" s="237"/>
      <c r="AA288" s="239"/>
      <c r="AB288" s="238"/>
      <c r="AC288" s="238"/>
      <c r="AD288" s="240"/>
      <c r="AE288" s="241"/>
      <c r="AF288" s="241"/>
      <c r="AG288" s="238"/>
      <c r="AH288" s="240"/>
      <c r="AI288" s="241"/>
      <c r="AJ288" s="241"/>
      <c r="AK288" s="241"/>
      <c r="AL288" s="237"/>
      <c r="AM288" s="237"/>
      <c r="AN288" s="237"/>
      <c r="AO288" s="237"/>
      <c r="AP288" s="237"/>
      <c r="AQ288" s="237"/>
      <c r="AR288" s="237"/>
    </row>
    <row r="289">
      <c r="A289" s="228"/>
      <c r="B289" s="228"/>
      <c r="C289" s="228"/>
      <c r="D289" s="228"/>
      <c r="E289" s="228"/>
      <c r="F289" s="228"/>
      <c r="G289" s="228"/>
      <c r="H289" s="241"/>
      <c r="I289" s="228"/>
      <c r="J289" s="236"/>
      <c r="K289" s="228"/>
      <c r="L289" s="228"/>
      <c r="M289" s="238"/>
      <c r="N289" s="228"/>
      <c r="O289" s="235"/>
      <c r="P289" s="236"/>
      <c r="Q289" s="235"/>
      <c r="R289" s="235"/>
      <c r="S289" s="236"/>
      <c r="T289" s="236"/>
      <c r="U289" s="237"/>
      <c r="V289" s="237"/>
      <c r="W289" s="238"/>
      <c r="X289" s="237"/>
      <c r="Y289" s="237"/>
      <c r="Z289" s="237"/>
      <c r="AA289" s="239"/>
      <c r="AB289" s="238"/>
      <c r="AC289" s="238"/>
      <c r="AD289" s="240"/>
      <c r="AE289" s="241"/>
      <c r="AF289" s="241"/>
      <c r="AG289" s="238"/>
      <c r="AH289" s="240"/>
      <c r="AI289" s="241"/>
      <c r="AJ289" s="241"/>
      <c r="AK289" s="241"/>
      <c r="AL289" s="237"/>
      <c r="AM289" s="237"/>
      <c r="AN289" s="237"/>
      <c r="AO289" s="237"/>
      <c r="AP289" s="237"/>
      <c r="AQ289" s="237"/>
      <c r="AR289" s="237"/>
    </row>
    <row r="290">
      <c r="A290" s="228"/>
      <c r="B290" s="228"/>
      <c r="C290" s="228"/>
      <c r="D290" s="228"/>
      <c r="E290" s="228"/>
      <c r="F290" s="228"/>
      <c r="G290" s="228"/>
      <c r="H290" s="241"/>
      <c r="I290" s="228"/>
      <c r="J290" s="236"/>
      <c r="K290" s="228"/>
      <c r="L290" s="228"/>
      <c r="M290" s="238"/>
      <c r="N290" s="228"/>
      <c r="O290" s="235"/>
      <c r="P290" s="236"/>
      <c r="Q290" s="235"/>
      <c r="R290" s="235"/>
      <c r="S290" s="236"/>
      <c r="T290" s="236"/>
      <c r="U290" s="237"/>
      <c r="V290" s="237"/>
      <c r="W290" s="238"/>
      <c r="X290" s="237"/>
      <c r="Y290" s="237"/>
      <c r="Z290" s="237"/>
      <c r="AA290" s="239"/>
      <c r="AB290" s="238"/>
      <c r="AC290" s="238"/>
      <c r="AD290" s="240"/>
      <c r="AE290" s="241"/>
      <c r="AF290" s="241"/>
      <c r="AG290" s="238"/>
      <c r="AH290" s="240"/>
      <c r="AI290" s="241"/>
      <c r="AJ290" s="241"/>
      <c r="AK290" s="241"/>
      <c r="AL290" s="237"/>
      <c r="AM290" s="237"/>
      <c r="AN290" s="237"/>
      <c r="AO290" s="237"/>
      <c r="AP290" s="237"/>
      <c r="AQ290" s="237"/>
      <c r="AR290" s="237"/>
    </row>
    <row r="291">
      <c r="A291" s="228"/>
      <c r="B291" s="228"/>
      <c r="C291" s="228"/>
      <c r="D291" s="228"/>
      <c r="E291" s="228"/>
      <c r="F291" s="228"/>
      <c r="G291" s="228"/>
      <c r="H291" s="241"/>
      <c r="I291" s="228"/>
      <c r="J291" s="236"/>
      <c r="K291" s="228"/>
      <c r="L291" s="228"/>
      <c r="M291" s="238"/>
      <c r="N291" s="228"/>
      <c r="O291" s="235"/>
      <c r="P291" s="236"/>
      <c r="Q291" s="235"/>
      <c r="R291" s="235"/>
      <c r="S291" s="236"/>
      <c r="T291" s="236"/>
      <c r="U291" s="237"/>
      <c r="V291" s="237"/>
      <c r="W291" s="238"/>
      <c r="X291" s="237"/>
      <c r="Y291" s="237"/>
      <c r="Z291" s="237"/>
      <c r="AA291" s="239"/>
      <c r="AB291" s="238"/>
      <c r="AC291" s="238"/>
      <c r="AD291" s="240"/>
      <c r="AE291" s="241"/>
      <c r="AF291" s="241"/>
      <c r="AG291" s="238"/>
      <c r="AH291" s="240"/>
      <c r="AI291" s="241"/>
      <c r="AJ291" s="241"/>
      <c r="AK291" s="241"/>
      <c r="AL291" s="237"/>
      <c r="AM291" s="237"/>
      <c r="AN291" s="237"/>
      <c r="AO291" s="237"/>
      <c r="AP291" s="237"/>
      <c r="AQ291" s="237"/>
      <c r="AR291" s="237"/>
    </row>
    <row r="292">
      <c r="A292" s="228"/>
      <c r="B292" s="228"/>
      <c r="C292" s="228"/>
      <c r="D292" s="228"/>
      <c r="E292" s="228"/>
      <c r="F292" s="228"/>
      <c r="G292" s="228"/>
      <c r="H292" s="241"/>
      <c r="I292" s="228"/>
      <c r="J292" s="236"/>
      <c r="K292" s="228"/>
      <c r="L292" s="228"/>
      <c r="M292" s="238"/>
      <c r="N292" s="228"/>
      <c r="O292" s="235"/>
      <c r="P292" s="236"/>
      <c r="Q292" s="235"/>
      <c r="R292" s="235"/>
      <c r="S292" s="236"/>
      <c r="T292" s="236"/>
      <c r="U292" s="237"/>
      <c r="V292" s="237"/>
      <c r="W292" s="238"/>
      <c r="X292" s="237"/>
      <c r="Y292" s="237"/>
      <c r="Z292" s="237"/>
      <c r="AA292" s="239"/>
      <c r="AB292" s="238"/>
      <c r="AC292" s="238"/>
      <c r="AD292" s="240"/>
      <c r="AE292" s="241"/>
      <c r="AF292" s="241"/>
      <c r="AG292" s="238"/>
      <c r="AH292" s="240"/>
      <c r="AI292" s="241"/>
      <c r="AJ292" s="241"/>
      <c r="AK292" s="241"/>
      <c r="AL292" s="237"/>
      <c r="AM292" s="237"/>
      <c r="AN292" s="237"/>
      <c r="AO292" s="237"/>
      <c r="AP292" s="237"/>
      <c r="AQ292" s="237"/>
      <c r="AR292" s="237"/>
    </row>
    <row r="293">
      <c r="A293" s="228"/>
      <c r="B293" s="228"/>
      <c r="C293" s="228"/>
      <c r="D293" s="228"/>
      <c r="E293" s="228"/>
      <c r="F293" s="228"/>
      <c r="G293" s="228"/>
      <c r="H293" s="241"/>
      <c r="I293" s="228"/>
      <c r="J293" s="236"/>
      <c r="K293" s="228"/>
      <c r="L293" s="228"/>
      <c r="M293" s="238"/>
      <c r="N293" s="228"/>
      <c r="O293" s="235"/>
      <c r="P293" s="236"/>
      <c r="Q293" s="235"/>
      <c r="R293" s="235"/>
      <c r="S293" s="236"/>
      <c r="T293" s="236"/>
      <c r="U293" s="237"/>
      <c r="V293" s="237"/>
      <c r="W293" s="238"/>
      <c r="X293" s="237"/>
      <c r="Y293" s="237"/>
      <c r="Z293" s="237"/>
      <c r="AA293" s="239"/>
      <c r="AB293" s="238"/>
      <c r="AC293" s="238"/>
      <c r="AD293" s="240"/>
      <c r="AE293" s="241"/>
      <c r="AF293" s="241"/>
      <c r="AG293" s="238"/>
      <c r="AH293" s="240"/>
      <c r="AI293" s="241"/>
      <c r="AJ293" s="241"/>
      <c r="AK293" s="241"/>
      <c r="AL293" s="237"/>
      <c r="AM293" s="237"/>
      <c r="AN293" s="237"/>
      <c r="AO293" s="237"/>
      <c r="AP293" s="237"/>
      <c r="AQ293" s="237"/>
      <c r="AR293" s="237"/>
    </row>
    <row r="294">
      <c r="A294" s="228"/>
      <c r="B294" s="228"/>
      <c r="C294" s="228"/>
      <c r="D294" s="228"/>
      <c r="E294" s="228"/>
      <c r="F294" s="228"/>
      <c r="G294" s="228"/>
      <c r="H294" s="241"/>
      <c r="I294" s="228"/>
      <c r="J294" s="236"/>
      <c r="K294" s="228"/>
      <c r="L294" s="228"/>
      <c r="M294" s="238"/>
      <c r="N294" s="228"/>
      <c r="O294" s="235"/>
      <c r="P294" s="236"/>
      <c r="Q294" s="235"/>
      <c r="R294" s="235"/>
      <c r="S294" s="236"/>
      <c r="T294" s="236"/>
      <c r="U294" s="237"/>
      <c r="V294" s="237"/>
      <c r="W294" s="238"/>
      <c r="X294" s="237"/>
      <c r="Y294" s="237"/>
      <c r="Z294" s="237"/>
      <c r="AA294" s="239"/>
      <c r="AB294" s="238"/>
      <c r="AC294" s="238"/>
      <c r="AD294" s="240"/>
      <c r="AE294" s="241"/>
      <c r="AF294" s="241"/>
      <c r="AG294" s="238"/>
      <c r="AH294" s="240"/>
      <c r="AI294" s="241"/>
      <c r="AJ294" s="241"/>
      <c r="AK294" s="241"/>
      <c r="AL294" s="237"/>
      <c r="AM294" s="237"/>
      <c r="AN294" s="237"/>
      <c r="AO294" s="237"/>
      <c r="AP294" s="237"/>
      <c r="AQ294" s="237"/>
      <c r="AR294" s="237"/>
    </row>
    <row r="295">
      <c r="A295" s="228"/>
      <c r="B295" s="228"/>
      <c r="C295" s="228"/>
      <c r="D295" s="228"/>
      <c r="E295" s="228"/>
      <c r="F295" s="228"/>
      <c r="G295" s="228"/>
      <c r="H295" s="241"/>
      <c r="I295" s="228"/>
      <c r="J295" s="236"/>
      <c r="K295" s="228"/>
      <c r="L295" s="228"/>
      <c r="M295" s="238"/>
      <c r="N295" s="228"/>
      <c r="O295" s="235"/>
      <c r="P295" s="236"/>
      <c r="Q295" s="235"/>
      <c r="R295" s="235"/>
      <c r="S295" s="236"/>
      <c r="T295" s="236"/>
      <c r="U295" s="237"/>
      <c r="V295" s="237"/>
      <c r="W295" s="238"/>
      <c r="X295" s="237"/>
      <c r="Y295" s="237"/>
      <c r="Z295" s="237"/>
      <c r="AA295" s="239"/>
      <c r="AB295" s="238"/>
      <c r="AC295" s="238"/>
      <c r="AD295" s="240"/>
      <c r="AE295" s="241"/>
      <c r="AF295" s="241"/>
      <c r="AG295" s="238"/>
      <c r="AH295" s="240"/>
      <c r="AI295" s="241"/>
      <c r="AJ295" s="241"/>
      <c r="AK295" s="241"/>
      <c r="AL295" s="237"/>
      <c r="AM295" s="237"/>
      <c r="AN295" s="237"/>
      <c r="AO295" s="237"/>
      <c r="AP295" s="237"/>
      <c r="AQ295" s="237"/>
      <c r="AR295" s="237"/>
    </row>
    <row r="296">
      <c r="A296" s="228"/>
      <c r="B296" s="228"/>
      <c r="C296" s="228"/>
      <c r="D296" s="228"/>
      <c r="E296" s="228"/>
      <c r="F296" s="228"/>
      <c r="G296" s="228"/>
      <c r="H296" s="241"/>
      <c r="I296" s="228"/>
      <c r="J296" s="236"/>
      <c r="K296" s="228"/>
      <c r="L296" s="228"/>
      <c r="M296" s="238"/>
      <c r="N296" s="228"/>
      <c r="O296" s="235"/>
      <c r="P296" s="236"/>
      <c r="Q296" s="235"/>
      <c r="R296" s="235"/>
      <c r="S296" s="236"/>
      <c r="T296" s="236"/>
      <c r="U296" s="237"/>
      <c r="V296" s="237"/>
      <c r="W296" s="238"/>
      <c r="X296" s="237"/>
      <c r="Y296" s="237"/>
      <c r="Z296" s="237"/>
      <c r="AA296" s="239"/>
      <c r="AB296" s="238"/>
      <c r="AC296" s="238"/>
      <c r="AD296" s="240"/>
      <c r="AE296" s="241"/>
      <c r="AF296" s="241"/>
      <c r="AG296" s="238"/>
      <c r="AH296" s="240"/>
      <c r="AI296" s="241"/>
      <c r="AJ296" s="241"/>
      <c r="AK296" s="241"/>
      <c r="AL296" s="237"/>
      <c r="AM296" s="237"/>
      <c r="AN296" s="237"/>
      <c r="AO296" s="237"/>
      <c r="AP296" s="237"/>
      <c r="AQ296" s="237"/>
      <c r="AR296" s="237"/>
    </row>
    <row r="297">
      <c r="A297" s="228"/>
      <c r="B297" s="228"/>
      <c r="C297" s="228"/>
      <c r="D297" s="228"/>
      <c r="E297" s="228"/>
      <c r="F297" s="228"/>
      <c r="G297" s="228"/>
      <c r="H297" s="241"/>
      <c r="I297" s="228"/>
      <c r="J297" s="236"/>
      <c r="K297" s="228"/>
      <c r="L297" s="228"/>
      <c r="M297" s="238"/>
      <c r="N297" s="228"/>
      <c r="O297" s="235"/>
      <c r="P297" s="236"/>
      <c r="Q297" s="235"/>
      <c r="R297" s="235"/>
      <c r="S297" s="236"/>
      <c r="T297" s="236"/>
      <c r="U297" s="237"/>
      <c r="V297" s="237"/>
      <c r="W297" s="238"/>
      <c r="X297" s="237"/>
      <c r="Y297" s="237"/>
      <c r="Z297" s="237"/>
      <c r="AA297" s="239"/>
      <c r="AB297" s="238"/>
      <c r="AC297" s="238"/>
      <c r="AD297" s="240"/>
      <c r="AE297" s="241"/>
      <c r="AF297" s="241"/>
      <c r="AG297" s="238"/>
      <c r="AH297" s="240"/>
      <c r="AI297" s="241"/>
      <c r="AJ297" s="241"/>
      <c r="AK297" s="241"/>
      <c r="AL297" s="237"/>
      <c r="AM297" s="237"/>
      <c r="AN297" s="237"/>
      <c r="AO297" s="237"/>
      <c r="AP297" s="237"/>
      <c r="AQ297" s="237"/>
      <c r="AR297" s="237"/>
    </row>
    <row r="298">
      <c r="A298" s="228"/>
      <c r="B298" s="228"/>
      <c r="C298" s="228"/>
      <c r="D298" s="228"/>
      <c r="E298" s="228"/>
      <c r="F298" s="228"/>
      <c r="G298" s="228"/>
      <c r="H298" s="241"/>
      <c r="I298" s="228"/>
      <c r="J298" s="236"/>
      <c r="K298" s="228"/>
      <c r="L298" s="228"/>
      <c r="M298" s="238"/>
      <c r="N298" s="228"/>
      <c r="O298" s="235"/>
      <c r="P298" s="236"/>
      <c r="Q298" s="235"/>
      <c r="R298" s="235"/>
      <c r="S298" s="236"/>
      <c r="T298" s="236"/>
      <c r="U298" s="237"/>
      <c r="V298" s="237"/>
      <c r="W298" s="238"/>
      <c r="X298" s="237"/>
      <c r="Y298" s="237"/>
      <c r="Z298" s="237"/>
      <c r="AA298" s="239"/>
      <c r="AB298" s="238"/>
      <c r="AC298" s="238"/>
      <c r="AD298" s="240"/>
      <c r="AE298" s="241"/>
      <c r="AF298" s="241"/>
      <c r="AG298" s="238"/>
      <c r="AH298" s="240"/>
      <c r="AI298" s="241"/>
      <c r="AJ298" s="241"/>
      <c r="AK298" s="241"/>
      <c r="AL298" s="237"/>
      <c r="AM298" s="237"/>
      <c r="AN298" s="237"/>
      <c r="AO298" s="237"/>
      <c r="AP298" s="237"/>
      <c r="AQ298" s="237"/>
      <c r="AR298" s="237"/>
    </row>
    <row r="299">
      <c r="A299" s="228"/>
      <c r="B299" s="228"/>
      <c r="C299" s="228"/>
      <c r="D299" s="228"/>
      <c r="E299" s="228"/>
      <c r="F299" s="228"/>
      <c r="G299" s="228"/>
      <c r="H299" s="241"/>
      <c r="I299" s="228"/>
      <c r="J299" s="236"/>
      <c r="K299" s="228"/>
      <c r="L299" s="228"/>
      <c r="M299" s="238"/>
      <c r="N299" s="228"/>
      <c r="O299" s="235"/>
      <c r="P299" s="236"/>
      <c r="Q299" s="235"/>
      <c r="R299" s="235"/>
      <c r="S299" s="236"/>
      <c r="T299" s="236"/>
      <c r="U299" s="237"/>
      <c r="V299" s="237"/>
      <c r="W299" s="238"/>
      <c r="X299" s="237"/>
      <c r="Y299" s="237"/>
      <c r="Z299" s="237"/>
      <c r="AA299" s="239"/>
      <c r="AB299" s="238"/>
      <c r="AC299" s="238"/>
      <c r="AD299" s="240"/>
      <c r="AE299" s="241"/>
      <c r="AF299" s="241"/>
      <c r="AG299" s="238"/>
      <c r="AH299" s="240"/>
      <c r="AI299" s="241"/>
      <c r="AJ299" s="241"/>
      <c r="AK299" s="241"/>
      <c r="AL299" s="237"/>
      <c r="AM299" s="237"/>
      <c r="AN299" s="237"/>
      <c r="AO299" s="237"/>
      <c r="AP299" s="237"/>
      <c r="AQ299" s="237"/>
      <c r="AR299" s="237"/>
    </row>
    <row r="300">
      <c r="A300" s="228"/>
      <c r="B300" s="228"/>
      <c r="C300" s="228"/>
      <c r="D300" s="228"/>
      <c r="E300" s="228"/>
      <c r="F300" s="228"/>
      <c r="G300" s="228"/>
      <c r="H300" s="241"/>
      <c r="I300" s="228"/>
      <c r="J300" s="236"/>
      <c r="K300" s="228"/>
      <c r="L300" s="228"/>
      <c r="M300" s="238"/>
      <c r="N300" s="228"/>
      <c r="O300" s="235"/>
      <c r="P300" s="236"/>
      <c r="Q300" s="235"/>
      <c r="R300" s="235"/>
      <c r="S300" s="236"/>
      <c r="T300" s="236"/>
      <c r="U300" s="237"/>
      <c r="V300" s="237"/>
      <c r="W300" s="238"/>
      <c r="X300" s="237"/>
      <c r="Y300" s="237"/>
      <c r="Z300" s="237"/>
      <c r="AA300" s="239"/>
      <c r="AB300" s="238"/>
      <c r="AC300" s="238"/>
      <c r="AD300" s="240"/>
      <c r="AE300" s="241"/>
      <c r="AF300" s="241"/>
      <c r="AG300" s="238"/>
      <c r="AH300" s="240"/>
      <c r="AI300" s="241"/>
      <c r="AJ300" s="241"/>
      <c r="AK300" s="241"/>
      <c r="AL300" s="237"/>
      <c r="AM300" s="237"/>
      <c r="AN300" s="237"/>
      <c r="AO300" s="237"/>
      <c r="AP300" s="237"/>
      <c r="AQ300" s="237"/>
      <c r="AR300" s="237"/>
    </row>
    <row r="301">
      <c r="A301" s="228"/>
      <c r="B301" s="228"/>
      <c r="C301" s="228"/>
      <c r="D301" s="228"/>
      <c r="E301" s="228"/>
      <c r="F301" s="228"/>
      <c r="G301" s="228"/>
      <c r="H301" s="241"/>
      <c r="I301" s="228"/>
      <c r="J301" s="236"/>
      <c r="K301" s="228"/>
      <c r="L301" s="228"/>
      <c r="M301" s="238"/>
      <c r="N301" s="228"/>
      <c r="O301" s="235"/>
      <c r="P301" s="236"/>
      <c r="Q301" s="235"/>
      <c r="R301" s="235"/>
      <c r="S301" s="236"/>
      <c r="T301" s="236"/>
      <c r="U301" s="237"/>
      <c r="V301" s="237"/>
      <c r="W301" s="238"/>
      <c r="X301" s="237"/>
      <c r="Y301" s="237"/>
      <c r="Z301" s="237"/>
      <c r="AA301" s="239"/>
      <c r="AB301" s="238"/>
      <c r="AC301" s="238"/>
      <c r="AD301" s="240"/>
      <c r="AE301" s="241"/>
      <c r="AF301" s="241"/>
      <c r="AG301" s="238"/>
      <c r="AH301" s="240"/>
      <c r="AI301" s="241"/>
      <c r="AJ301" s="241"/>
      <c r="AK301" s="241"/>
      <c r="AL301" s="237"/>
      <c r="AM301" s="237"/>
      <c r="AN301" s="237"/>
      <c r="AO301" s="237"/>
      <c r="AP301" s="237"/>
      <c r="AQ301" s="237"/>
      <c r="AR301" s="237"/>
    </row>
    <row r="302">
      <c r="A302" s="228"/>
      <c r="B302" s="228"/>
      <c r="C302" s="228"/>
      <c r="D302" s="228"/>
      <c r="E302" s="228"/>
      <c r="F302" s="228"/>
      <c r="G302" s="228"/>
      <c r="H302" s="241"/>
      <c r="I302" s="228"/>
      <c r="J302" s="236"/>
      <c r="K302" s="228"/>
      <c r="L302" s="228"/>
      <c r="M302" s="238"/>
      <c r="N302" s="228"/>
      <c r="O302" s="235"/>
      <c r="P302" s="236"/>
      <c r="Q302" s="235"/>
      <c r="R302" s="235"/>
      <c r="S302" s="236"/>
      <c r="T302" s="236"/>
      <c r="U302" s="237"/>
      <c r="V302" s="237"/>
      <c r="W302" s="238"/>
      <c r="X302" s="237"/>
      <c r="Y302" s="237"/>
      <c r="Z302" s="237"/>
      <c r="AA302" s="239"/>
      <c r="AB302" s="238"/>
      <c r="AC302" s="238"/>
      <c r="AD302" s="240"/>
      <c r="AE302" s="241"/>
      <c r="AF302" s="241"/>
      <c r="AG302" s="238"/>
      <c r="AH302" s="240"/>
      <c r="AI302" s="241"/>
      <c r="AJ302" s="241"/>
      <c r="AK302" s="241"/>
      <c r="AL302" s="237"/>
      <c r="AM302" s="237"/>
      <c r="AN302" s="237"/>
      <c r="AO302" s="237"/>
      <c r="AP302" s="237"/>
      <c r="AQ302" s="237"/>
      <c r="AR302" s="237"/>
    </row>
    <row r="303">
      <c r="A303" s="228"/>
      <c r="B303" s="228"/>
      <c r="C303" s="228"/>
      <c r="D303" s="228"/>
      <c r="E303" s="228"/>
      <c r="F303" s="228"/>
      <c r="G303" s="228"/>
      <c r="H303" s="241"/>
      <c r="I303" s="228"/>
      <c r="J303" s="236"/>
      <c r="K303" s="228"/>
      <c r="L303" s="228"/>
      <c r="M303" s="238"/>
      <c r="N303" s="228"/>
      <c r="O303" s="235"/>
      <c r="P303" s="236"/>
      <c r="Q303" s="235"/>
      <c r="R303" s="235"/>
      <c r="S303" s="236"/>
      <c r="T303" s="236"/>
      <c r="U303" s="237"/>
      <c r="V303" s="237"/>
      <c r="W303" s="238"/>
      <c r="X303" s="237"/>
      <c r="Y303" s="237"/>
      <c r="Z303" s="237"/>
      <c r="AA303" s="239"/>
      <c r="AB303" s="238"/>
      <c r="AC303" s="238"/>
      <c r="AD303" s="240"/>
      <c r="AE303" s="241"/>
      <c r="AF303" s="241"/>
      <c r="AG303" s="238"/>
      <c r="AH303" s="240"/>
      <c r="AI303" s="241"/>
      <c r="AJ303" s="241"/>
      <c r="AK303" s="241"/>
      <c r="AL303" s="237"/>
      <c r="AM303" s="237"/>
      <c r="AN303" s="237"/>
      <c r="AO303" s="237"/>
      <c r="AP303" s="237"/>
      <c r="AQ303" s="237"/>
      <c r="AR303" s="237"/>
    </row>
    <row r="304">
      <c r="A304" s="228"/>
      <c r="B304" s="228"/>
      <c r="C304" s="228"/>
      <c r="D304" s="228"/>
      <c r="E304" s="228"/>
      <c r="F304" s="228"/>
      <c r="G304" s="228"/>
      <c r="H304" s="241"/>
      <c r="I304" s="228"/>
      <c r="J304" s="236"/>
      <c r="K304" s="228"/>
      <c r="L304" s="228"/>
      <c r="M304" s="238"/>
      <c r="N304" s="228"/>
      <c r="O304" s="235"/>
      <c r="P304" s="236"/>
      <c r="Q304" s="235"/>
      <c r="R304" s="235"/>
      <c r="S304" s="236"/>
      <c r="T304" s="236"/>
      <c r="U304" s="237"/>
      <c r="V304" s="237"/>
      <c r="W304" s="238"/>
      <c r="X304" s="237"/>
      <c r="Y304" s="237"/>
      <c r="Z304" s="237"/>
      <c r="AA304" s="239"/>
      <c r="AB304" s="238"/>
      <c r="AC304" s="238"/>
      <c r="AD304" s="240"/>
      <c r="AE304" s="241"/>
      <c r="AF304" s="241"/>
      <c r="AG304" s="238"/>
      <c r="AH304" s="240"/>
      <c r="AI304" s="241"/>
      <c r="AJ304" s="241"/>
      <c r="AK304" s="241"/>
      <c r="AL304" s="237"/>
      <c r="AM304" s="237"/>
      <c r="AN304" s="237"/>
      <c r="AO304" s="237"/>
      <c r="AP304" s="237"/>
      <c r="AQ304" s="237"/>
      <c r="AR304" s="237"/>
    </row>
    <row r="305">
      <c r="A305" s="228"/>
      <c r="B305" s="228"/>
      <c r="C305" s="228"/>
      <c r="D305" s="228"/>
      <c r="E305" s="228"/>
      <c r="F305" s="228"/>
      <c r="G305" s="228"/>
      <c r="H305" s="241"/>
      <c r="I305" s="228"/>
      <c r="J305" s="236"/>
      <c r="K305" s="228"/>
      <c r="L305" s="228"/>
      <c r="M305" s="238"/>
      <c r="N305" s="228"/>
      <c r="O305" s="235"/>
      <c r="P305" s="236"/>
      <c r="Q305" s="235"/>
      <c r="R305" s="235"/>
      <c r="S305" s="236"/>
      <c r="T305" s="236"/>
      <c r="U305" s="237"/>
      <c r="V305" s="237"/>
      <c r="W305" s="238"/>
      <c r="X305" s="237"/>
      <c r="Y305" s="237"/>
      <c r="Z305" s="237"/>
      <c r="AA305" s="239"/>
      <c r="AB305" s="238"/>
      <c r="AC305" s="238"/>
      <c r="AD305" s="240"/>
      <c r="AE305" s="241"/>
      <c r="AF305" s="241"/>
      <c r="AG305" s="238"/>
      <c r="AH305" s="240"/>
      <c r="AI305" s="241"/>
      <c r="AJ305" s="241"/>
      <c r="AK305" s="241"/>
      <c r="AL305" s="237"/>
      <c r="AM305" s="237"/>
      <c r="AN305" s="237"/>
      <c r="AO305" s="237"/>
      <c r="AP305" s="237"/>
      <c r="AQ305" s="237"/>
      <c r="AR305" s="237"/>
    </row>
    <row r="306">
      <c r="A306" s="228"/>
      <c r="B306" s="228"/>
      <c r="C306" s="228"/>
      <c r="D306" s="228"/>
      <c r="E306" s="228"/>
      <c r="F306" s="228"/>
      <c r="G306" s="228"/>
      <c r="H306" s="241"/>
      <c r="I306" s="228"/>
      <c r="J306" s="236"/>
      <c r="K306" s="228"/>
      <c r="L306" s="228"/>
      <c r="M306" s="238"/>
      <c r="N306" s="228"/>
      <c r="O306" s="235"/>
      <c r="P306" s="236"/>
      <c r="Q306" s="235"/>
      <c r="R306" s="235"/>
      <c r="S306" s="236"/>
      <c r="T306" s="236"/>
      <c r="U306" s="237"/>
      <c r="V306" s="237"/>
      <c r="W306" s="238"/>
      <c r="X306" s="237"/>
      <c r="Y306" s="237"/>
      <c r="Z306" s="237"/>
      <c r="AA306" s="239"/>
      <c r="AB306" s="238"/>
      <c r="AC306" s="238"/>
      <c r="AD306" s="240"/>
      <c r="AE306" s="241"/>
      <c r="AF306" s="241"/>
      <c r="AG306" s="238"/>
      <c r="AH306" s="240"/>
      <c r="AI306" s="241"/>
      <c r="AJ306" s="241"/>
      <c r="AK306" s="241"/>
      <c r="AL306" s="237"/>
      <c r="AM306" s="237"/>
      <c r="AN306" s="237"/>
      <c r="AO306" s="237"/>
      <c r="AP306" s="237"/>
      <c r="AQ306" s="237"/>
      <c r="AR306" s="237"/>
    </row>
    <row r="307">
      <c r="A307" s="228"/>
      <c r="B307" s="228"/>
      <c r="C307" s="228"/>
      <c r="D307" s="228"/>
      <c r="E307" s="228"/>
      <c r="F307" s="228"/>
      <c r="G307" s="228"/>
      <c r="H307" s="241"/>
      <c r="I307" s="228"/>
      <c r="J307" s="236"/>
      <c r="K307" s="228"/>
      <c r="L307" s="228"/>
      <c r="M307" s="238"/>
      <c r="N307" s="228"/>
      <c r="O307" s="235"/>
      <c r="P307" s="236"/>
      <c r="Q307" s="235"/>
      <c r="R307" s="235"/>
      <c r="S307" s="236"/>
      <c r="T307" s="236"/>
      <c r="U307" s="237"/>
      <c r="V307" s="237"/>
      <c r="W307" s="238"/>
      <c r="X307" s="237"/>
      <c r="Y307" s="237"/>
      <c r="Z307" s="237"/>
      <c r="AA307" s="239"/>
      <c r="AB307" s="238"/>
      <c r="AC307" s="238"/>
      <c r="AD307" s="240"/>
      <c r="AE307" s="241"/>
      <c r="AF307" s="241"/>
      <c r="AG307" s="238"/>
      <c r="AH307" s="240"/>
      <c r="AI307" s="241"/>
      <c r="AJ307" s="241"/>
      <c r="AK307" s="241"/>
      <c r="AL307" s="237"/>
      <c r="AM307" s="237"/>
      <c r="AN307" s="237"/>
      <c r="AO307" s="237"/>
      <c r="AP307" s="237"/>
      <c r="AQ307" s="237"/>
      <c r="AR307" s="237"/>
    </row>
    <row r="308">
      <c r="A308" s="228"/>
      <c r="B308" s="228"/>
      <c r="C308" s="228"/>
      <c r="D308" s="228"/>
      <c r="E308" s="228"/>
      <c r="F308" s="228"/>
      <c r="G308" s="228"/>
      <c r="H308" s="241"/>
      <c r="I308" s="228"/>
      <c r="J308" s="236"/>
      <c r="K308" s="228"/>
      <c r="L308" s="228"/>
      <c r="M308" s="238"/>
      <c r="N308" s="228"/>
      <c r="O308" s="235"/>
      <c r="P308" s="236"/>
      <c r="Q308" s="235"/>
      <c r="R308" s="235"/>
      <c r="S308" s="236"/>
      <c r="T308" s="236"/>
      <c r="U308" s="237"/>
      <c r="V308" s="237"/>
      <c r="W308" s="238"/>
      <c r="X308" s="237"/>
      <c r="Y308" s="237"/>
      <c r="Z308" s="237"/>
      <c r="AA308" s="239"/>
      <c r="AB308" s="238"/>
      <c r="AC308" s="238"/>
      <c r="AD308" s="240"/>
      <c r="AE308" s="241"/>
      <c r="AF308" s="241"/>
      <c r="AG308" s="238"/>
      <c r="AH308" s="240"/>
      <c r="AI308" s="241"/>
      <c r="AJ308" s="241"/>
      <c r="AK308" s="241"/>
      <c r="AL308" s="237"/>
      <c r="AM308" s="237"/>
      <c r="AN308" s="237"/>
      <c r="AO308" s="237"/>
      <c r="AP308" s="237"/>
      <c r="AQ308" s="237"/>
      <c r="AR308" s="237"/>
    </row>
    <row r="309">
      <c r="A309" s="228"/>
      <c r="B309" s="228"/>
      <c r="C309" s="228"/>
      <c r="D309" s="228"/>
      <c r="E309" s="228"/>
      <c r="F309" s="228"/>
      <c r="G309" s="228"/>
      <c r="H309" s="241"/>
      <c r="I309" s="228"/>
      <c r="J309" s="236"/>
      <c r="K309" s="228"/>
      <c r="L309" s="228"/>
      <c r="M309" s="238"/>
      <c r="N309" s="228"/>
      <c r="O309" s="235"/>
      <c r="P309" s="236"/>
      <c r="Q309" s="235"/>
      <c r="R309" s="235"/>
      <c r="S309" s="236"/>
      <c r="T309" s="236"/>
      <c r="U309" s="237"/>
      <c r="V309" s="237"/>
      <c r="W309" s="238"/>
      <c r="X309" s="237"/>
      <c r="Y309" s="237"/>
      <c r="Z309" s="237"/>
      <c r="AA309" s="239"/>
      <c r="AB309" s="238"/>
      <c r="AC309" s="238"/>
      <c r="AD309" s="240"/>
      <c r="AE309" s="241"/>
      <c r="AF309" s="241"/>
      <c r="AG309" s="238"/>
      <c r="AH309" s="240"/>
      <c r="AI309" s="241"/>
      <c r="AJ309" s="241"/>
      <c r="AK309" s="241"/>
      <c r="AL309" s="237"/>
      <c r="AM309" s="237"/>
      <c r="AN309" s="237"/>
      <c r="AO309" s="237"/>
      <c r="AP309" s="237"/>
      <c r="AQ309" s="237"/>
      <c r="AR309" s="237"/>
    </row>
    <row r="310">
      <c r="A310" s="228"/>
      <c r="B310" s="228"/>
      <c r="C310" s="228"/>
      <c r="D310" s="228"/>
      <c r="E310" s="228"/>
      <c r="F310" s="228"/>
      <c r="G310" s="228"/>
      <c r="H310" s="241"/>
      <c r="I310" s="228"/>
      <c r="J310" s="236"/>
      <c r="K310" s="228"/>
      <c r="L310" s="228"/>
      <c r="M310" s="238"/>
      <c r="N310" s="228"/>
      <c r="O310" s="235"/>
      <c r="P310" s="236"/>
      <c r="Q310" s="235"/>
      <c r="R310" s="235"/>
      <c r="S310" s="236"/>
      <c r="T310" s="236"/>
      <c r="U310" s="237"/>
      <c r="V310" s="237"/>
      <c r="W310" s="238"/>
      <c r="X310" s="237"/>
      <c r="Y310" s="237"/>
      <c r="Z310" s="237"/>
      <c r="AA310" s="239"/>
      <c r="AB310" s="238"/>
      <c r="AC310" s="238"/>
      <c r="AD310" s="240"/>
      <c r="AE310" s="241"/>
      <c r="AF310" s="241"/>
      <c r="AG310" s="238"/>
      <c r="AH310" s="240"/>
      <c r="AI310" s="241"/>
      <c r="AJ310" s="241"/>
      <c r="AK310" s="241"/>
      <c r="AL310" s="237"/>
      <c r="AM310" s="237"/>
      <c r="AN310" s="237"/>
      <c r="AO310" s="237"/>
      <c r="AP310" s="237"/>
      <c r="AQ310" s="237"/>
      <c r="AR310" s="237"/>
    </row>
    <row r="311">
      <c r="A311" s="228"/>
      <c r="B311" s="228"/>
      <c r="C311" s="228"/>
      <c r="D311" s="228"/>
      <c r="E311" s="228"/>
      <c r="F311" s="228"/>
      <c r="G311" s="228"/>
      <c r="H311" s="241"/>
      <c r="I311" s="228"/>
      <c r="J311" s="236"/>
      <c r="K311" s="228"/>
      <c r="L311" s="228"/>
      <c r="M311" s="238"/>
      <c r="N311" s="228"/>
      <c r="O311" s="235"/>
      <c r="P311" s="236"/>
      <c r="Q311" s="235"/>
      <c r="R311" s="235"/>
      <c r="S311" s="236"/>
      <c r="T311" s="236"/>
      <c r="U311" s="237"/>
      <c r="V311" s="237"/>
      <c r="W311" s="238"/>
      <c r="X311" s="237"/>
      <c r="Y311" s="237"/>
      <c r="Z311" s="237"/>
      <c r="AA311" s="239"/>
      <c r="AB311" s="238"/>
      <c r="AC311" s="238"/>
      <c r="AD311" s="240"/>
      <c r="AE311" s="241"/>
      <c r="AF311" s="241"/>
      <c r="AG311" s="238"/>
      <c r="AH311" s="240"/>
      <c r="AI311" s="241"/>
      <c r="AJ311" s="241"/>
      <c r="AK311" s="241"/>
      <c r="AL311" s="237"/>
      <c r="AM311" s="237"/>
      <c r="AN311" s="237"/>
      <c r="AO311" s="237"/>
      <c r="AP311" s="237"/>
      <c r="AQ311" s="237"/>
      <c r="AR311" s="237"/>
    </row>
    <row r="312">
      <c r="A312" s="228"/>
      <c r="B312" s="228"/>
      <c r="C312" s="228"/>
      <c r="D312" s="228"/>
      <c r="E312" s="228"/>
      <c r="F312" s="228"/>
      <c r="G312" s="228"/>
      <c r="H312" s="241"/>
      <c r="I312" s="228"/>
      <c r="J312" s="236"/>
      <c r="K312" s="228"/>
      <c r="L312" s="228"/>
      <c r="M312" s="238"/>
      <c r="N312" s="228"/>
      <c r="O312" s="235"/>
      <c r="P312" s="236"/>
      <c r="Q312" s="235"/>
      <c r="R312" s="235"/>
      <c r="S312" s="236"/>
      <c r="T312" s="236"/>
      <c r="U312" s="237"/>
      <c r="V312" s="237"/>
      <c r="W312" s="238"/>
      <c r="X312" s="237"/>
      <c r="Y312" s="237"/>
      <c r="Z312" s="237"/>
      <c r="AA312" s="239"/>
      <c r="AB312" s="238"/>
      <c r="AC312" s="238"/>
      <c r="AD312" s="240"/>
      <c r="AE312" s="241"/>
      <c r="AF312" s="241"/>
      <c r="AG312" s="238"/>
      <c r="AH312" s="240"/>
      <c r="AI312" s="241"/>
      <c r="AJ312" s="241"/>
      <c r="AK312" s="241"/>
      <c r="AL312" s="237"/>
      <c r="AM312" s="237"/>
      <c r="AN312" s="237"/>
      <c r="AO312" s="237"/>
      <c r="AP312" s="237"/>
      <c r="AQ312" s="237"/>
      <c r="AR312" s="237"/>
    </row>
    <row r="313">
      <c r="A313" s="228"/>
      <c r="B313" s="228"/>
      <c r="C313" s="228"/>
      <c r="D313" s="228"/>
      <c r="E313" s="228"/>
      <c r="F313" s="228"/>
      <c r="G313" s="228"/>
      <c r="H313" s="241"/>
      <c r="I313" s="228"/>
      <c r="J313" s="236"/>
      <c r="K313" s="228"/>
      <c r="L313" s="228"/>
      <c r="M313" s="238"/>
      <c r="N313" s="228"/>
      <c r="O313" s="235"/>
      <c r="P313" s="236"/>
      <c r="Q313" s="235"/>
      <c r="R313" s="235"/>
      <c r="S313" s="236"/>
      <c r="T313" s="236"/>
      <c r="U313" s="237"/>
      <c r="V313" s="237"/>
      <c r="W313" s="238"/>
      <c r="X313" s="237"/>
      <c r="Y313" s="237"/>
      <c r="Z313" s="237"/>
      <c r="AA313" s="239"/>
      <c r="AB313" s="238"/>
      <c r="AC313" s="238"/>
      <c r="AD313" s="240"/>
      <c r="AE313" s="241"/>
      <c r="AF313" s="241"/>
      <c r="AG313" s="238"/>
      <c r="AH313" s="240"/>
      <c r="AI313" s="241"/>
      <c r="AJ313" s="241"/>
      <c r="AK313" s="241"/>
      <c r="AL313" s="237"/>
      <c r="AM313" s="237"/>
      <c r="AN313" s="237"/>
      <c r="AO313" s="237"/>
      <c r="AP313" s="237"/>
      <c r="AQ313" s="237"/>
      <c r="AR313" s="237"/>
    </row>
    <row r="314">
      <c r="A314" s="228"/>
      <c r="B314" s="228"/>
      <c r="C314" s="228"/>
      <c r="D314" s="228"/>
      <c r="E314" s="228"/>
      <c r="F314" s="228"/>
      <c r="G314" s="228"/>
      <c r="H314" s="241"/>
      <c r="I314" s="228"/>
      <c r="J314" s="236"/>
      <c r="K314" s="228"/>
      <c r="L314" s="228"/>
      <c r="M314" s="238"/>
      <c r="N314" s="228"/>
      <c r="O314" s="235"/>
      <c r="P314" s="236"/>
      <c r="Q314" s="235"/>
      <c r="R314" s="235"/>
      <c r="S314" s="236"/>
      <c r="T314" s="236"/>
      <c r="U314" s="237"/>
      <c r="V314" s="237"/>
      <c r="W314" s="238"/>
      <c r="X314" s="237"/>
      <c r="Y314" s="237"/>
      <c r="Z314" s="237"/>
      <c r="AA314" s="239"/>
      <c r="AB314" s="238"/>
      <c r="AC314" s="238"/>
      <c r="AD314" s="240"/>
      <c r="AE314" s="241"/>
      <c r="AF314" s="241"/>
      <c r="AG314" s="238"/>
      <c r="AH314" s="240"/>
      <c r="AI314" s="241"/>
      <c r="AJ314" s="241"/>
      <c r="AK314" s="241"/>
      <c r="AL314" s="237"/>
      <c r="AM314" s="237"/>
      <c r="AN314" s="237"/>
      <c r="AO314" s="237"/>
      <c r="AP314" s="237"/>
      <c r="AQ314" s="237"/>
      <c r="AR314" s="237"/>
    </row>
    <row r="315">
      <c r="A315" s="228"/>
      <c r="B315" s="228"/>
      <c r="C315" s="228"/>
      <c r="D315" s="228"/>
      <c r="E315" s="228"/>
      <c r="F315" s="228"/>
      <c r="G315" s="228"/>
      <c r="H315" s="241"/>
      <c r="I315" s="228"/>
      <c r="J315" s="236"/>
      <c r="K315" s="228"/>
      <c r="L315" s="228"/>
      <c r="M315" s="238"/>
      <c r="N315" s="228"/>
      <c r="O315" s="235"/>
      <c r="P315" s="236"/>
      <c r="Q315" s="235"/>
      <c r="R315" s="235"/>
      <c r="S315" s="236"/>
      <c r="T315" s="236"/>
      <c r="U315" s="237"/>
      <c r="V315" s="237"/>
      <c r="W315" s="238"/>
      <c r="X315" s="237"/>
      <c r="Y315" s="237"/>
      <c r="Z315" s="237"/>
      <c r="AA315" s="239"/>
      <c r="AB315" s="238"/>
      <c r="AC315" s="238"/>
      <c r="AD315" s="240"/>
      <c r="AE315" s="241"/>
      <c r="AF315" s="241"/>
      <c r="AG315" s="238"/>
      <c r="AH315" s="240"/>
      <c r="AI315" s="241"/>
      <c r="AJ315" s="241"/>
      <c r="AK315" s="241"/>
      <c r="AL315" s="237"/>
      <c r="AM315" s="237"/>
      <c r="AN315" s="237"/>
      <c r="AO315" s="237"/>
      <c r="AP315" s="237"/>
      <c r="AQ315" s="237"/>
      <c r="AR315" s="237"/>
    </row>
    <row r="316">
      <c r="A316" s="228"/>
      <c r="B316" s="228"/>
      <c r="C316" s="228"/>
      <c r="D316" s="228"/>
      <c r="E316" s="228"/>
      <c r="F316" s="228"/>
      <c r="G316" s="228"/>
      <c r="H316" s="241"/>
      <c r="I316" s="228"/>
      <c r="J316" s="236"/>
      <c r="K316" s="228"/>
      <c r="L316" s="228"/>
      <c r="M316" s="238"/>
      <c r="N316" s="228"/>
      <c r="O316" s="235"/>
      <c r="P316" s="236"/>
      <c r="Q316" s="235"/>
      <c r="R316" s="235"/>
      <c r="S316" s="236"/>
      <c r="T316" s="236"/>
      <c r="U316" s="237"/>
      <c r="V316" s="237"/>
      <c r="W316" s="238"/>
      <c r="X316" s="237"/>
      <c r="Y316" s="237"/>
      <c r="Z316" s="237"/>
      <c r="AA316" s="239"/>
      <c r="AB316" s="238"/>
      <c r="AC316" s="238"/>
      <c r="AD316" s="240"/>
      <c r="AE316" s="241"/>
      <c r="AF316" s="241"/>
      <c r="AG316" s="238"/>
      <c r="AH316" s="240"/>
      <c r="AI316" s="241"/>
      <c r="AJ316" s="241"/>
      <c r="AK316" s="241"/>
      <c r="AL316" s="237"/>
      <c r="AM316" s="237"/>
      <c r="AN316" s="237"/>
      <c r="AO316" s="237"/>
      <c r="AP316" s="237"/>
      <c r="AQ316" s="237"/>
      <c r="AR316" s="237"/>
    </row>
    <row r="317">
      <c r="A317" s="228"/>
      <c r="B317" s="228"/>
      <c r="C317" s="228"/>
      <c r="D317" s="228"/>
      <c r="E317" s="228"/>
      <c r="F317" s="228"/>
      <c r="G317" s="228"/>
      <c r="H317" s="241"/>
      <c r="I317" s="228"/>
      <c r="J317" s="236"/>
      <c r="K317" s="228"/>
      <c r="L317" s="228"/>
      <c r="M317" s="238"/>
      <c r="N317" s="228"/>
      <c r="O317" s="235"/>
      <c r="P317" s="236"/>
      <c r="Q317" s="235"/>
      <c r="R317" s="235"/>
      <c r="S317" s="236"/>
      <c r="T317" s="236"/>
      <c r="U317" s="237"/>
      <c r="V317" s="237"/>
      <c r="W317" s="238"/>
      <c r="X317" s="237"/>
      <c r="Y317" s="237"/>
      <c r="Z317" s="237"/>
      <c r="AA317" s="239"/>
      <c r="AB317" s="238"/>
      <c r="AC317" s="238"/>
      <c r="AD317" s="240"/>
      <c r="AE317" s="241"/>
      <c r="AF317" s="241"/>
      <c r="AG317" s="238"/>
      <c r="AH317" s="240"/>
      <c r="AI317" s="241"/>
      <c r="AJ317" s="241"/>
      <c r="AK317" s="241"/>
      <c r="AL317" s="237"/>
      <c r="AM317" s="237"/>
      <c r="AN317" s="237"/>
      <c r="AO317" s="237"/>
      <c r="AP317" s="237"/>
      <c r="AQ317" s="237"/>
      <c r="AR317" s="237"/>
    </row>
    <row r="318">
      <c r="A318" s="228"/>
      <c r="B318" s="228"/>
      <c r="C318" s="228"/>
      <c r="D318" s="228"/>
      <c r="E318" s="228"/>
      <c r="F318" s="228"/>
      <c r="G318" s="228"/>
      <c r="H318" s="241"/>
      <c r="I318" s="228"/>
      <c r="J318" s="236"/>
      <c r="K318" s="228"/>
      <c r="L318" s="228"/>
      <c r="M318" s="238"/>
      <c r="N318" s="228"/>
      <c r="O318" s="235"/>
      <c r="P318" s="236"/>
      <c r="Q318" s="235"/>
      <c r="R318" s="235"/>
      <c r="S318" s="236"/>
      <c r="T318" s="236"/>
      <c r="U318" s="237"/>
      <c r="V318" s="237"/>
      <c r="W318" s="238"/>
      <c r="X318" s="237"/>
      <c r="Y318" s="237"/>
      <c r="Z318" s="237"/>
      <c r="AA318" s="239"/>
      <c r="AB318" s="238"/>
      <c r="AC318" s="238"/>
      <c r="AD318" s="240"/>
      <c r="AE318" s="241"/>
      <c r="AF318" s="241"/>
      <c r="AG318" s="238"/>
      <c r="AH318" s="240"/>
      <c r="AI318" s="241"/>
      <c r="AJ318" s="241"/>
      <c r="AK318" s="241"/>
      <c r="AL318" s="237"/>
      <c r="AM318" s="237"/>
      <c r="AN318" s="237"/>
      <c r="AO318" s="237"/>
      <c r="AP318" s="237"/>
      <c r="AQ318" s="237"/>
      <c r="AR318" s="237"/>
    </row>
    <row r="319">
      <c r="A319" s="228"/>
      <c r="B319" s="228"/>
      <c r="C319" s="228"/>
      <c r="D319" s="228"/>
      <c r="E319" s="228"/>
      <c r="F319" s="228"/>
      <c r="G319" s="228"/>
      <c r="H319" s="241"/>
      <c r="I319" s="228"/>
      <c r="J319" s="236"/>
      <c r="K319" s="228"/>
      <c r="L319" s="228"/>
      <c r="M319" s="238"/>
      <c r="N319" s="228"/>
      <c r="O319" s="235"/>
      <c r="P319" s="236"/>
      <c r="Q319" s="235"/>
      <c r="R319" s="235"/>
      <c r="S319" s="236"/>
      <c r="T319" s="236"/>
      <c r="U319" s="237"/>
      <c r="V319" s="237"/>
      <c r="W319" s="238"/>
      <c r="X319" s="237"/>
      <c r="Y319" s="237"/>
      <c r="Z319" s="237"/>
      <c r="AA319" s="239"/>
      <c r="AB319" s="238"/>
      <c r="AC319" s="238"/>
      <c r="AD319" s="240"/>
      <c r="AE319" s="241"/>
      <c r="AF319" s="241"/>
      <c r="AG319" s="238"/>
      <c r="AH319" s="240"/>
      <c r="AI319" s="241"/>
      <c r="AJ319" s="241"/>
      <c r="AK319" s="241"/>
      <c r="AL319" s="237"/>
      <c r="AM319" s="237"/>
      <c r="AN319" s="237"/>
      <c r="AO319" s="237"/>
      <c r="AP319" s="237"/>
      <c r="AQ319" s="237"/>
      <c r="AR319" s="237"/>
    </row>
    <row r="320">
      <c r="A320" s="228"/>
      <c r="B320" s="228"/>
      <c r="C320" s="228"/>
      <c r="D320" s="228"/>
      <c r="E320" s="228"/>
      <c r="F320" s="228"/>
      <c r="G320" s="228"/>
      <c r="H320" s="241"/>
      <c r="I320" s="228"/>
      <c r="J320" s="236"/>
      <c r="K320" s="228"/>
      <c r="L320" s="228"/>
      <c r="M320" s="238"/>
      <c r="N320" s="228"/>
      <c r="O320" s="235"/>
      <c r="P320" s="236"/>
      <c r="Q320" s="235"/>
      <c r="R320" s="235"/>
      <c r="S320" s="236"/>
      <c r="T320" s="236"/>
      <c r="U320" s="237"/>
      <c r="V320" s="237"/>
      <c r="W320" s="238"/>
      <c r="X320" s="237"/>
      <c r="Y320" s="237"/>
      <c r="Z320" s="237"/>
      <c r="AA320" s="239"/>
      <c r="AB320" s="238"/>
      <c r="AC320" s="238"/>
      <c r="AD320" s="240"/>
      <c r="AE320" s="241"/>
      <c r="AF320" s="241"/>
      <c r="AG320" s="238"/>
      <c r="AH320" s="240"/>
      <c r="AI320" s="241"/>
      <c r="AJ320" s="241"/>
      <c r="AK320" s="241"/>
      <c r="AL320" s="237"/>
      <c r="AM320" s="237"/>
      <c r="AN320" s="237"/>
      <c r="AO320" s="237"/>
      <c r="AP320" s="237"/>
      <c r="AQ320" s="237"/>
      <c r="AR320" s="237"/>
    </row>
    <row r="321">
      <c r="A321" s="228"/>
      <c r="B321" s="228"/>
      <c r="C321" s="228"/>
      <c r="D321" s="228"/>
      <c r="E321" s="228"/>
      <c r="F321" s="228"/>
      <c r="G321" s="228"/>
      <c r="H321" s="241"/>
      <c r="I321" s="228"/>
      <c r="J321" s="236"/>
      <c r="K321" s="228"/>
      <c r="L321" s="228"/>
      <c r="M321" s="238"/>
      <c r="N321" s="228"/>
      <c r="O321" s="235"/>
      <c r="P321" s="236"/>
      <c r="Q321" s="235"/>
      <c r="R321" s="235"/>
      <c r="S321" s="236"/>
      <c r="T321" s="236"/>
      <c r="U321" s="237"/>
      <c r="V321" s="237"/>
      <c r="W321" s="238"/>
      <c r="X321" s="237"/>
      <c r="Y321" s="237"/>
      <c r="Z321" s="237"/>
      <c r="AA321" s="239"/>
      <c r="AB321" s="238"/>
      <c r="AC321" s="238"/>
      <c r="AD321" s="240"/>
      <c r="AE321" s="241"/>
      <c r="AF321" s="241"/>
      <c r="AG321" s="238"/>
      <c r="AH321" s="240"/>
      <c r="AI321" s="241"/>
      <c r="AJ321" s="241"/>
      <c r="AK321" s="241"/>
      <c r="AL321" s="237"/>
      <c r="AM321" s="237"/>
      <c r="AN321" s="237"/>
      <c r="AO321" s="237"/>
      <c r="AP321" s="237"/>
      <c r="AQ321" s="237"/>
      <c r="AR321" s="237"/>
    </row>
    <row r="322">
      <c r="A322" s="228"/>
      <c r="B322" s="228"/>
      <c r="C322" s="228"/>
      <c r="D322" s="228"/>
      <c r="E322" s="228"/>
      <c r="F322" s="228"/>
      <c r="G322" s="228"/>
      <c r="H322" s="241"/>
      <c r="I322" s="228"/>
      <c r="J322" s="236"/>
      <c r="K322" s="228"/>
      <c r="L322" s="228"/>
      <c r="M322" s="238"/>
      <c r="N322" s="228"/>
      <c r="O322" s="235"/>
      <c r="P322" s="236"/>
      <c r="Q322" s="235"/>
      <c r="R322" s="235"/>
      <c r="S322" s="236"/>
      <c r="T322" s="236"/>
      <c r="U322" s="237"/>
      <c r="V322" s="237"/>
      <c r="W322" s="238"/>
      <c r="X322" s="237"/>
      <c r="Y322" s="237"/>
      <c r="Z322" s="237"/>
      <c r="AA322" s="239"/>
      <c r="AB322" s="238"/>
      <c r="AC322" s="238"/>
      <c r="AD322" s="240"/>
      <c r="AE322" s="241"/>
      <c r="AF322" s="241"/>
      <c r="AG322" s="238"/>
      <c r="AH322" s="240"/>
      <c r="AI322" s="241"/>
      <c r="AJ322" s="241"/>
      <c r="AK322" s="241"/>
      <c r="AL322" s="237"/>
      <c r="AM322" s="237"/>
      <c r="AN322" s="237"/>
      <c r="AO322" s="237"/>
      <c r="AP322" s="237"/>
      <c r="AQ322" s="237"/>
      <c r="AR322" s="237"/>
    </row>
    <row r="323">
      <c r="A323" s="228"/>
      <c r="B323" s="228"/>
      <c r="C323" s="228"/>
      <c r="D323" s="228"/>
      <c r="E323" s="228"/>
      <c r="F323" s="228"/>
      <c r="G323" s="228"/>
      <c r="H323" s="241"/>
      <c r="I323" s="228"/>
      <c r="J323" s="236"/>
      <c r="K323" s="228"/>
      <c r="L323" s="228"/>
      <c r="M323" s="238"/>
      <c r="N323" s="228"/>
      <c r="O323" s="235"/>
      <c r="P323" s="236"/>
      <c r="Q323" s="235"/>
      <c r="R323" s="235"/>
      <c r="S323" s="236"/>
      <c r="T323" s="236"/>
      <c r="U323" s="237"/>
      <c r="V323" s="237"/>
      <c r="W323" s="238"/>
      <c r="X323" s="237"/>
      <c r="Y323" s="237"/>
      <c r="Z323" s="237"/>
      <c r="AA323" s="239"/>
      <c r="AB323" s="238"/>
      <c r="AC323" s="238"/>
      <c r="AD323" s="240"/>
      <c r="AE323" s="241"/>
      <c r="AF323" s="241"/>
      <c r="AG323" s="238"/>
      <c r="AH323" s="240"/>
      <c r="AI323" s="241"/>
      <c r="AJ323" s="241"/>
      <c r="AK323" s="241"/>
      <c r="AL323" s="237"/>
      <c r="AM323" s="237"/>
      <c r="AN323" s="237"/>
      <c r="AO323" s="237"/>
      <c r="AP323" s="237"/>
      <c r="AQ323" s="237"/>
      <c r="AR323" s="237"/>
    </row>
    <row r="324">
      <c r="A324" s="228"/>
      <c r="B324" s="228"/>
      <c r="C324" s="228"/>
      <c r="D324" s="228"/>
      <c r="E324" s="228"/>
      <c r="F324" s="228"/>
      <c r="G324" s="228"/>
      <c r="H324" s="241"/>
      <c r="I324" s="228"/>
      <c r="J324" s="236"/>
      <c r="K324" s="228"/>
      <c r="L324" s="228"/>
      <c r="M324" s="238"/>
      <c r="N324" s="228"/>
      <c r="O324" s="235"/>
      <c r="P324" s="236"/>
      <c r="Q324" s="235"/>
      <c r="R324" s="235"/>
      <c r="S324" s="236"/>
      <c r="T324" s="236"/>
      <c r="U324" s="237"/>
      <c r="V324" s="237"/>
      <c r="W324" s="238"/>
      <c r="X324" s="237"/>
      <c r="Y324" s="237"/>
      <c r="Z324" s="237"/>
      <c r="AA324" s="239"/>
      <c r="AB324" s="238"/>
      <c r="AC324" s="238"/>
      <c r="AD324" s="240"/>
      <c r="AE324" s="241"/>
      <c r="AF324" s="241"/>
      <c r="AG324" s="238"/>
      <c r="AH324" s="240"/>
      <c r="AI324" s="241"/>
      <c r="AJ324" s="241"/>
      <c r="AK324" s="241"/>
      <c r="AL324" s="237"/>
      <c r="AM324" s="237"/>
      <c r="AN324" s="237"/>
      <c r="AO324" s="237"/>
      <c r="AP324" s="237"/>
      <c r="AQ324" s="237"/>
      <c r="AR324" s="237"/>
    </row>
    <row r="325">
      <c r="A325" s="228"/>
      <c r="B325" s="228"/>
      <c r="C325" s="228"/>
      <c r="D325" s="228"/>
      <c r="E325" s="228"/>
      <c r="F325" s="228"/>
      <c r="G325" s="228"/>
      <c r="H325" s="241"/>
      <c r="I325" s="228"/>
      <c r="J325" s="236"/>
      <c r="K325" s="228"/>
      <c r="L325" s="228"/>
      <c r="M325" s="238"/>
      <c r="N325" s="228"/>
      <c r="O325" s="235"/>
      <c r="P325" s="236"/>
      <c r="Q325" s="235"/>
      <c r="R325" s="235"/>
      <c r="S325" s="236"/>
      <c r="T325" s="236"/>
      <c r="U325" s="237"/>
      <c r="V325" s="237"/>
      <c r="W325" s="238"/>
      <c r="X325" s="237"/>
      <c r="Y325" s="237"/>
      <c r="Z325" s="237"/>
      <c r="AA325" s="239"/>
      <c r="AB325" s="238"/>
      <c r="AC325" s="238"/>
      <c r="AD325" s="240"/>
      <c r="AE325" s="241"/>
      <c r="AF325" s="241"/>
      <c r="AG325" s="238"/>
      <c r="AH325" s="240"/>
      <c r="AI325" s="241"/>
      <c r="AJ325" s="241"/>
      <c r="AK325" s="241"/>
      <c r="AL325" s="237"/>
      <c r="AM325" s="237"/>
      <c r="AN325" s="237"/>
      <c r="AO325" s="237"/>
      <c r="AP325" s="237"/>
      <c r="AQ325" s="237"/>
      <c r="AR325" s="237"/>
    </row>
    <row r="326">
      <c r="A326" s="228"/>
      <c r="B326" s="228"/>
      <c r="C326" s="228"/>
      <c r="D326" s="228"/>
      <c r="E326" s="228"/>
      <c r="F326" s="228"/>
      <c r="G326" s="228"/>
      <c r="H326" s="241"/>
      <c r="I326" s="228"/>
      <c r="J326" s="236"/>
      <c r="K326" s="228"/>
      <c r="L326" s="228"/>
      <c r="M326" s="238"/>
      <c r="N326" s="228"/>
      <c r="O326" s="235"/>
      <c r="P326" s="236"/>
      <c r="Q326" s="235"/>
      <c r="R326" s="235"/>
      <c r="S326" s="236"/>
      <c r="T326" s="236"/>
      <c r="U326" s="237"/>
      <c r="V326" s="237"/>
      <c r="W326" s="238"/>
      <c r="X326" s="237"/>
      <c r="Y326" s="237"/>
      <c r="Z326" s="237"/>
      <c r="AA326" s="239"/>
      <c r="AB326" s="238"/>
      <c r="AC326" s="238"/>
      <c r="AD326" s="240"/>
      <c r="AE326" s="241"/>
      <c r="AF326" s="241"/>
      <c r="AG326" s="238"/>
      <c r="AH326" s="240"/>
      <c r="AI326" s="241"/>
      <c r="AJ326" s="241"/>
      <c r="AK326" s="241"/>
      <c r="AL326" s="237"/>
      <c r="AM326" s="237"/>
      <c r="AN326" s="237"/>
      <c r="AO326" s="237"/>
      <c r="AP326" s="237"/>
      <c r="AQ326" s="237"/>
      <c r="AR326" s="237"/>
    </row>
    <row r="327">
      <c r="A327" s="228"/>
      <c r="B327" s="228"/>
      <c r="C327" s="228"/>
      <c r="D327" s="228"/>
      <c r="E327" s="228"/>
      <c r="F327" s="228"/>
      <c r="G327" s="228"/>
      <c r="H327" s="241"/>
      <c r="I327" s="228"/>
      <c r="J327" s="236"/>
      <c r="K327" s="228"/>
      <c r="L327" s="228"/>
      <c r="M327" s="238"/>
      <c r="N327" s="228"/>
      <c r="O327" s="235"/>
      <c r="P327" s="236"/>
      <c r="Q327" s="235"/>
      <c r="R327" s="235"/>
      <c r="S327" s="236"/>
      <c r="T327" s="236"/>
      <c r="U327" s="237"/>
      <c r="V327" s="237"/>
      <c r="W327" s="238"/>
      <c r="X327" s="237"/>
      <c r="Y327" s="237"/>
      <c r="Z327" s="237"/>
      <c r="AA327" s="239"/>
      <c r="AB327" s="238"/>
      <c r="AC327" s="238"/>
      <c r="AD327" s="240"/>
      <c r="AE327" s="241"/>
      <c r="AF327" s="241"/>
      <c r="AG327" s="238"/>
      <c r="AH327" s="240"/>
      <c r="AI327" s="241"/>
      <c r="AJ327" s="241"/>
      <c r="AK327" s="241"/>
      <c r="AL327" s="237"/>
      <c r="AM327" s="237"/>
      <c r="AN327" s="237"/>
      <c r="AO327" s="237"/>
      <c r="AP327" s="237"/>
      <c r="AQ327" s="237"/>
      <c r="AR327" s="237"/>
    </row>
    <row r="328">
      <c r="A328" s="228"/>
      <c r="B328" s="228"/>
      <c r="C328" s="228"/>
      <c r="D328" s="228"/>
      <c r="E328" s="228"/>
      <c r="F328" s="228"/>
      <c r="G328" s="228"/>
      <c r="H328" s="241"/>
      <c r="I328" s="228"/>
      <c r="J328" s="236"/>
      <c r="K328" s="228"/>
      <c r="L328" s="228"/>
      <c r="M328" s="238"/>
      <c r="N328" s="228"/>
      <c r="O328" s="235"/>
      <c r="P328" s="236"/>
      <c r="Q328" s="235"/>
      <c r="R328" s="235"/>
      <c r="S328" s="236"/>
      <c r="T328" s="236"/>
      <c r="U328" s="237"/>
      <c r="V328" s="237"/>
      <c r="W328" s="238"/>
      <c r="X328" s="237"/>
      <c r="Y328" s="237"/>
      <c r="Z328" s="237"/>
      <c r="AA328" s="239"/>
      <c r="AB328" s="238"/>
      <c r="AC328" s="238"/>
      <c r="AD328" s="240"/>
      <c r="AE328" s="241"/>
      <c r="AF328" s="241"/>
      <c r="AG328" s="238"/>
      <c r="AH328" s="240"/>
      <c r="AI328" s="241"/>
      <c r="AJ328" s="241"/>
      <c r="AK328" s="241"/>
      <c r="AL328" s="237"/>
      <c r="AM328" s="237"/>
      <c r="AN328" s="237"/>
      <c r="AO328" s="237"/>
      <c r="AP328" s="237"/>
      <c r="AQ328" s="237"/>
      <c r="AR328" s="237"/>
    </row>
    <row r="329">
      <c r="A329" s="228"/>
      <c r="B329" s="228"/>
      <c r="C329" s="228"/>
      <c r="D329" s="228"/>
      <c r="E329" s="228"/>
      <c r="F329" s="228"/>
      <c r="G329" s="228"/>
      <c r="H329" s="241"/>
      <c r="I329" s="228"/>
      <c r="J329" s="236"/>
      <c r="K329" s="228"/>
      <c r="L329" s="228"/>
      <c r="M329" s="238"/>
      <c r="N329" s="228"/>
      <c r="O329" s="235"/>
      <c r="P329" s="236"/>
      <c r="Q329" s="235"/>
      <c r="R329" s="235"/>
      <c r="S329" s="236"/>
      <c r="T329" s="236"/>
      <c r="U329" s="237"/>
      <c r="V329" s="237"/>
      <c r="W329" s="238"/>
      <c r="X329" s="237"/>
      <c r="Y329" s="237"/>
      <c r="Z329" s="237"/>
      <c r="AA329" s="239"/>
      <c r="AB329" s="238"/>
      <c r="AC329" s="238"/>
      <c r="AD329" s="240"/>
      <c r="AE329" s="241"/>
      <c r="AF329" s="241"/>
      <c r="AG329" s="238"/>
      <c r="AH329" s="240"/>
      <c r="AI329" s="241"/>
      <c r="AJ329" s="241"/>
      <c r="AK329" s="241"/>
      <c r="AL329" s="237"/>
      <c r="AM329" s="237"/>
      <c r="AN329" s="237"/>
      <c r="AO329" s="237"/>
      <c r="AP329" s="237"/>
      <c r="AQ329" s="237"/>
      <c r="AR329" s="237"/>
    </row>
    <row r="330">
      <c r="A330" s="228"/>
      <c r="B330" s="228"/>
      <c r="C330" s="228"/>
      <c r="D330" s="228"/>
      <c r="E330" s="228"/>
      <c r="F330" s="228"/>
      <c r="G330" s="228"/>
      <c r="H330" s="241"/>
      <c r="I330" s="228"/>
      <c r="J330" s="236"/>
      <c r="K330" s="228"/>
      <c r="L330" s="228"/>
      <c r="M330" s="238"/>
      <c r="N330" s="228"/>
      <c r="O330" s="235"/>
      <c r="P330" s="236"/>
      <c r="Q330" s="235"/>
      <c r="R330" s="235"/>
      <c r="S330" s="236"/>
      <c r="T330" s="236"/>
      <c r="U330" s="237"/>
      <c r="V330" s="237"/>
      <c r="W330" s="238"/>
      <c r="X330" s="237"/>
      <c r="Y330" s="237"/>
      <c r="Z330" s="237"/>
      <c r="AA330" s="239"/>
      <c r="AB330" s="238"/>
      <c r="AC330" s="238"/>
      <c r="AD330" s="240"/>
      <c r="AE330" s="241"/>
      <c r="AF330" s="241"/>
      <c r="AG330" s="238"/>
      <c r="AH330" s="240"/>
      <c r="AI330" s="241"/>
      <c r="AJ330" s="241"/>
      <c r="AK330" s="241"/>
      <c r="AL330" s="237"/>
      <c r="AM330" s="237"/>
      <c r="AN330" s="237"/>
      <c r="AO330" s="237"/>
      <c r="AP330" s="237"/>
      <c r="AQ330" s="237"/>
      <c r="AR330" s="237"/>
    </row>
    <row r="331">
      <c r="A331" s="228"/>
      <c r="B331" s="228"/>
      <c r="C331" s="228"/>
      <c r="D331" s="228"/>
      <c r="E331" s="228"/>
      <c r="F331" s="228"/>
      <c r="G331" s="228"/>
      <c r="H331" s="241"/>
      <c r="I331" s="228"/>
      <c r="J331" s="236"/>
      <c r="K331" s="228"/>
      <c r="L331" s="228"/>
      <c r="M331" s="238"/>
      <c r="N331" s="228"/>
      <c r="O331" s="235"/>
      <c r="P331" s="236"/>
      <c r="Q331" s="235"/>
      <c r="R331" s="235"/>
      <c r="S331" s="236"/>
      <c r="T331" s="236"/>
      <c r="U331" s="237"/>
      <c r="V331" s="237"/>
      <c r="W331" s="238"/>
      <c r="X331" s="237"/>
      <c r="Y331" s="237"/>
      <c r="Z331" s="237"/>
      <c r="AA331" s="239"/>
      <c r="AB331" s="238"/>
      <c r="AC331" s="238"/>
      <c r="AD331" s="240"/>
      <c r="AE331" s="241"/>
      <c r="AF331" s="241"/>
      <c r="AG331" s="238"/>
      <c r="AH331" s="240"/>
      <c r="AI331" s="241"/>
      <c r="AJ331" s="241"/>
      <c r="AK331" s="241"/>
      <c r="AL331" s="237"/>
      <c r="AM331" s="237"/>
      <c r="AN331" s="237"/>
      <c r="AO331" s="237"/>
      <c r="AP331" s="237"/>
      <c r="AQ331" s="237"/>
      <c r="AR331" s="237"/>
    </row>
    <row r="332">
      <c r="A332" s="228"/>
      <c r="B332" s="228"/>
      <c r="C332" s="228"/>
      <c r="D332" s="228"/>
      <c r="E332" s="228"/>
      <c r="F332" s="228"/>
      <c r="G332" s="228"/>
      <c r="H332" s="241"/>
      <c r="I332" s="228"/>
      <c r="J332" s="236"/>
      <c r="K332" s="228"/>
      <c r="L332" s="228"/>
      <c r="M332" s="238"/>
      <c r="N332" s="228"/>
      <c r="O332" s="235"/>
      <c r="P332" s="236"/>
      <c r="Q332" s="235"/>
      <c r="R332" s="235"/>
      <c r="S332" s="236"/>
      <c r="T332" s="236"/>
      <c r="U332" s="237"/>
      <c r="V332" s="237"/>
      <c r="W332" s="238"/>
      <c r="X332" s="237"/>
      <c r="Y332" s="237"/>
      <c r="Z332" s="237"/>
      <c r="AA332" s="239"/>
      <c r="AB332" s="238"/>
      <c r="AC332" s="238"/>
      <c r="AD332" s="240"/>
      <c r="AE332" s="241"/>
      <c r="AF332" s="241"/>
      <c r="AG332" s="238"/>
      <c r="AH332" s="240"/>
      <c r="AI332" s="241"/>
      <c r="AJ332" s="241"/>
      <c r="AK332" s="241"/>
      <c r="AL332" s="237"/>
      <c r="AM332" s="237"/>
      <c r="AN332" s="237"/>
      <c r="AO332" s="237"/>
      <c r="AP332" s="237"/>
      <c r="AQ332" s="237"/>
      <c r="AR332" s="237"/>
    </row>
    <row r="333">
      <c r="A333" s="228"/>
      <c r="B333" s="228"/>
      <c r="C333" s="228"/>
      <c r="D333" s="228"/>
      <c r="E333" s="228"/>
      <c r="F333" s="228"/>
      <c r="G333" s="228"/>
      <c r="H333" s="241"/>
      <c r="I333" s="228"/>
      <c r="J333" s="236"/>
      <c r="K333" s="228"/>
      <c r="L333" s="228"/>
      <c r="M333" s="238"/>
      <c r="N333" s="228"/>
      <c r="O333" s="235"/>
      <c r="P333" s="236"/>
      <c r="Q333" s="235"/>
      <c r="R333" s="235"/>
      <c r="S333" s="236"/>
      <c r="T333" s="236"/>
      <c r="U333" s="237"/>
      <c r="V333" s="237"/>
      <c r="W333" s="238"/>
      <c r="X333" s="237"/>
      <c r="Y333" s="237"/>
      <c r="Z333" s="237"/>
      <c r="AA333" s="239"/>
      <c r="AB333" s="238"/>
      <c r="AC333" s="238"/>
      <c r="AD333" s="240"/>
      <c r="AE333" s="241"/>
      <c r="AF333" s="241"/>
      <c r="AG333" s="238"/>
      <c r="AH333" s="240"/>
      <c r="AI333" s="241"/>
      <c r="AJ333" s="241"/>
      <c r="AK333" s="241"/>
      <c r="AL333" s="237"/>
      <c r="AM333" s="237"/>
      <c r="AN333" s="237"/>
      <c r="AO333" s="237"/>
      <c r="AP333" s="237"/>
      <c r="AQ333" s="237"/>
      <c r="AR333" s="237"/>
    </row>
    <row r="334">
      <c r="A334" s="228"/>
      <c r="B334" s="228"/>
      <c r="C334" s="228"/>
      <c r="D334" s="228"/>
      <c r="E334" s="228"/>
      <c r="F334" s="228"/>
      <c r="G334" s="228"/>
      <c r="H334" s="241"/>
      <c r="I334" s="228"/>
      <c r="J334" s="236"/>
      <c r="K334" s="228"/>
      <c r="L334" s="228"/>
      <c r="M334" s="238"/>
      <c r="N334" s="228"/>
      <c r="O334" s="235"/>
      <c r="P334" s="236"/>
      <c r="Q334" s="235"/>
      <c r="R334" s="235"/>
      <c r="S334" s="236"/>
      <c r="T334" s="236"/>
      <c r="U334" s="237"/>
      <c r="V334" s="237"/>
      <c r="W334" s="238"/>
      <c r="X334" s="237"/>
      <c r="Y334" s="237"/>
      <c r="Z334" s="237"/>
      <c r="AA334" s="239"/>
      <c r="AB334" s="238"/>
      <c r="AC334" s="238"/>
      <c r="AD334" s="240"/>
      <c r="AE334" s="241"/>
      <c r="AF334" s="241"/>
      <c r="AG334" s="238"/>
      <c r="AH334" s="240"/>
      <c r="AI334" s="241"/>
      <c r="AJ334" s="241"/>
      <c r="AK334" s="241"/>
      <c r="AL334" s="237"/>
      <c r="AM334" s="237"/>
      <c r="AN334" s="237"/>
      <c r="AO334" s="237"/>
      <c r="AP334" s="237"/>
      <c r="AQ334" s="237"/>
      <c r="AR334" s="237"/>
    </row>
    <row r="335">
      <c r="A335" s="228"/>
      <c r="B335" s="228"/>
      <c r="C335" s="228"/>
      <c r="D335" s="228"/>
      <c r="E335" s="228"/>
      <c r="F335" s="228"/>
      <c r="G335" s="228"/>
      <c r="H335" s="241"/>
      <c r="I335" s="228"/>
      <c r="J335" s="236"/>
      <c r="K335" s="228"/>
      <c r="L335" s="228"/>
      <c r="M335" s="238"/>
      <c r="N335" s="228"/>
      <c r="O335" s="235"/>
      <c r="P335" s="236"/>
      <c r="Q335" s="235"/>
      <c r="R335" s="235"/>
      <c r="S335" s="236"/>
      <c r="T335" s="236"/>
      <c r="U335" s="237"/>
      <c r="V335" s="237"/>
      <c r="W335" s="238"/>
      <c r="X335" s="237"/>
      <c r="Y335" s="237"/>
      <c r="Z335" s="237"/>
      <c r="AA335" s="239"/>
      <c r="AB335" s="238"/>
      <c r="AC335" s="238"/>
      <c r="AD335" s="240"/>
      <c r="AE335" s="241"/>
      <c r="AF335" s="241"/>
      <c r="AG335" s="238"/>
      <c r="AH335" s="240"/>
      <c r="AI335" s="241"/>
      <c r="AJ335" s="241"/>
      <c r="AK335" s="241"/>
      <c r="AL335" s="237"/>
      <c r="AM335" s="237"/>
      <c r="AN335" s="237"/>
      <c r="AO335" s="237"/>
      <c r="AP335" s="237"/>
      <c r="AQ335" s="237"/>
      <c r="AR335" s="237"/>
    </row>
    <row r="336">
      <c r="A336" s="228"/>
      <c r="B336" s="228"/>
      <c r="C336" s="228"/>
      <c r="D336" s="228"/>
      <c r="E336" s="228"/>
      <c r="F336" s="228"/>
      <c r="G336" s="228"/>
      <c r="H336" s="241"/>
      <c r="I336" s="228"/>
      <c r="J336" s="236"/>
      <c r="K336" s="228"/>
      <c r="L336" s="228"/>
      <c r="M336" s="238"/>
      <c r="N336" s="228"/>
      <c r="O336" s="235"/>
      <c r="P336" s="236"/>
      <c r="Q336" s="235"/>
      <c r="R336" s="235"/>
      <c r="S336" s="236"/>
      <c r="T336" s="236"/>
      <c r="U336" s="237"/>
      <c r="V336" s="237"/>
      <c r="W336" s="238"/>
      <c r="X336" s="237"/>
      <c r="Y336" s="237"/>
      <c r="Z336" s="237"/>
      <c r="AA336" s="239"/>
      <c r="AB336" s="238"/>
      <c r="AC336" s="238"/>
      <c r="AD336" s="240"/>
      <c r="AE336" s="241"/>
      <c r="AF336" s="241"/>
      <c r="AG336" s="238"/>
      <c r="AH336" s="240"/>
      <c r="AI336" s="241"/>
      <c r="AJ336" s="241"/>
      <c r="AK336" s="241"/>
      <c r="AL336" s="237"/>
      <c r="AM336" s="237"/>
      <c r="AN336" s="237"/>
      <c r="AO336" s="237"/>
      <c r="AP336" s="237"/>
      <c r="AQ336" s="237"/>
      <c r="AR336" s="237"/>
    </row>
    <row r="337">
      <c r="A337" s="228"/>
      <c r="B337" s="228"/>
      <c r="C337" s="228"/>
      <c r="D337" s="228"/>
      <c r="E337" s="228"/>
      <c r="F337" s="228"/>
      <c r="G337" s="228"/>
      <c r="H337" s="241"/>
      <c r="I337" s="228"/>
      <c r="J337" s="236"/>
      <c r="K337" s="228"/>
      <c r="L337" s="228"/>
      <c r="M337" s="238"/>
      <c r="N337" s="228"/>
      <c r="O337" s="235"/>
      <c r="P337" s="236"/>
      <c r="Q337" s="235"/>
      <c r="R337" s="235"/>
      <c r="S337" s="236"/>
      <c r="T337" s="236"/>
      <c r="U337" s="237"/>
      <c r="V337" s="237"/>
      <c r="W337" s="238"/>
      <c r="X337" s="237"/>
      <c r="Y337" s="237"/>
      <c r="Z337" s="237"/>
      <c r="AA337" s="239"/>
      <c r="AB337" s="238"/>
      <c r="AC337" s="238"/>
      <c r="AD337" s="240"/>
      <c r="AE337" s="241"/>
      <c r="AF337" s="241"/>
      <c r="AG337" s="238"/>
      <c r="AH337" s="240"/>
      <c r="AI337" s="241"/>
      <c r="AJ337" s="241"/>
      <c r="AK337" s="241"/>
      <c r="AL337" s="237"/>
      <c r="AM337" s="237"/>
      <c r="AN337" s="237"/>
      <c r="AO337" s="237"/>
      <c r="AP337" s="237"/>
      <c r="AQ337" s="237"/>
      <c r="AR337" s="237"/>
    </row>
    <row r="338">
      <c r="A338" s="228"/>
      <c r="B338" s="228"/>
      <c r="C338" s="228"/>
      <c r="D338" s="228"/>
      <c r="E338" s="228"/>
      <c r="F338" s="228"/>
      <c r="G338" s="228"/>
      <c r="H338" s="241"/>
      <c r="I338" s="228"/>
      <c r="J338" s="236"/>
      <c r="K338" s="228"/>
      <c r="L338" s="228"/>
      <c r="M338" s="238"/>
      <c r="N338" s="228"/>
      <c r="O338" s="235"/>
      <c r="P338" s="236"/>
      <c r="Q338" s="235"/>
      <c r="R338" s="235"/>
      <c r="S338" s="236"/>
      <c r="T338" s="236"/>
      <c r="U338" s="237"/>
      <c r="V338" s="237"/>
      <c r="W338" s="238"/>
      <c r="X338" s="237"/>
      <c r="Y338" s="237"/>
      <c r="Z338" s="237"/>
      <c r="AA338" s="239"/>
      <c r="AB338" s="238"/>
      <c r="AC338" s="238"/>
      <c r="AD338" s="240"/>
      <c r="AE338" s="241"/>
      <c r="AF338" s="241"/>
      <c r="AG338" s="238"/>
      <c r="AH338" s="240"/>
      <c r="AI338" s="241"/>
      <c r="AJ338" s="241"/>
      <c r="AK338" s="241"/>
      <c r="AL338" s="237"/>
      <c r="AM338" s="237"/>
      <c r="AN338" s="237"/>
      <c r="AO338" s="237"/>
      <c r="AP338" s="237"/>
      <c r="AQ338" s="237"/>
      <c r="AR338" s="237"/>
    </row>
    <row r="339">
      <c r="A339" s="228"/>
      <c r="B339" s="228"/>
      <c r="C339" s="228"/>
      <c r="D339" s="228"/>
      <c r="E339" s="228"/>
      <c r="F339" s="228"/>
      <c r="G339" s="228"/>
      <c r="H339" s="241"/>
      <c r="I339" s="228"/>
      <c r="J339" s="236"/>
      <c r="K339" s="228"/>
      <c r="L339" s="228"/>
      <c r="M339" s="238"/>
      <c r="N339" s="228"/>
      <c r="O339" s="235"/>
      <c r="P339" s="236"/>
      <c r="Q339" s="235"/>
      <c r="R339" s="235"/>
      <c r="S339" s="236"/>
      <c r="T339" s="236"/>
      <c r="U339" s="237"/>
      <c r="V339" s="237"/>
      <c r="W339" s="238"/>
      <c r="X339" s="237"/>
      <c r="Y339" s="237"/>
      <c r="Z339" s="237"/>
      <c r="AA339" s="239"/>
      <c r="AB339" s="238"/>
      <c r="AC339" s="238"/>
      <c r="AD339" s="240"/>
      <c r="AE339" s="241"/>
      <c r="AF339" s="241"/>
      <c r="AG339" s="238"/>
      <c r="AH339" s="240"/>
      <c r="AI339" s="241"/>
      <c r="AJ339" s="241"/>
      <c r="AK339" s="241"/>
      <c r="AL339" s="237"/>
      <c r="AM339" s="237"/>
      <c r="AN339" s="237"/>
      <c r="AO339" s="237"/>
      <c r="AP339" s="237"/>
      <c r="AQ339" s="237"/>
      <c r="AR339" s="237"/>
    </row>
    <row r="340">
      <c r="A340" s="228"/>
      <c r="B340" s="228"/>
      <c r="C340" s="228"/>
      <c r="D340" s="228"/>
      <c r="E340" s="228"/>
      <c r="F340" s="228"/>
      <c r="G340" s="228"/>
      <c r="H340" s="241"/>
      <c r="I340" s="228"/>
      <c r="J340" s="236"/>
      <c r="K340" s="228"/>
      <c r="L340" s="228"/>
      <c r="M340" s="238"/>
      <c r="N340" s="228"/>
      <c r="O340" s="235"/>
      <c r="P340" s="236"/>
      <c r="Q340" s="235"/>
      <c r="R340" s="235"/>
      <c r="S340" s="236"/>
      <c r="T340" s="236"/>
      <c r="U340" s="237"/>
      <c r="V340" s="237"/>
      <c r="W340" s="238"/>
      <c r="X340" s="237"/>
      <c r="Y340" s="237"/>
      <c r="Z340" s="237"/>
      <c r="AA340" s="239"/>
      <c r="AB340" s="238"/>
      <c r="AC340" s="238"/>
      <c r="AD340" s="240"/>
      <c r="AE340" s="241"/>
      <c r="AF340" s="241"/>
      <c r="AG340" s="238"/>
      <c r="AH340" s="240"/>
      <c r="AI340" s="241"/>
      <c r="AJ340" s="241"/>
      <c r="AK340" s="241"/>
      <c r="AL340" s="237"/>
      <c r="AM340" s="237"/>
      <c r="AN340" s="237"/>
      <c r="AO340" s="237"/>
      <c r="AP340" s="237"/>
      <c r="AQ340" s="237"/>
      <c r="AR340" s="237"/>
    </row>
    <row r="341">
      <c r="A341" s="228"/>
      <c r="B341" s="228"/>
      <c r="C341" s="228"/>
      <c r="D341" s="228"/>
      <c r="E341" s="228"/>
      <c r="F341" s="228"/>
      <c r="G341" s="228"/>
      <c r="H341" s="241"/>
      <c r="I341" s="228"/>
      <c r="J341" s="236"/>
      <c r="K341" s="228"/>
      <c r="L341" s="228"/>
      <c r="M341" s="238"/>
      <c r="N341" s="228"/>
      <c r="O341" s="235"/>
      <c r="P341" s="236"/>
      <c r="Q341" s="235"/>
      <c r="R341" s="235"/>
      <c r="S341" s="236"/>
      <c r="T341" s="236"/>
      <c r="U341" s="237"/>
      <c r="V341" s="237"/>
      <c r="W341" s="238"/>
      <c r="X341" s="237"/>
      <c r="Y341" s="237"/>
      <c r="Z341" s="237"/>
      <c r="AA341" s="239"/>
      <c r="AB341" s="238"/>
      <c r="AC341" s="238"/>
      <c r="AD341" s="240"/>
      <c r="AE341" s="241"/>
      <c r="AF341" s="241"/>
      <c r="AG341" s="238"/>
      <c r="AH341" s="240"/>
      <c r="AI341" s="241"/>
      <c r="AJ341" s="241"/>
      <c r="AK341" s="241"/>
      <c r="AL341" s="237"/>
      <c r="AM341" s="237"/>
      <c r="AN341" s="237"/>
      <c r="AO341" s="237"/>
      <c r="AP341" s="237"/>
      <c r="AQ341" s="237"/>
      <c r="AR341" s="237"/>
    </row>
    <row r="342">
      <c r="A342" s="228"/>
      <c r="B342" s="228"/>
      <c r="C342" s="228"/>
      <c r="D342" s="228"/>
      <c r="E342" s="228"/>
      <c r="F342" s="228"/>
      <c r="G342" s="228"/>
      <c r="H342" s="241"/>
      <c r="I342" s="228"/>
      <c r="J342" s="236"/>
      <c r="K342" s="228"/>
      <c r="L342" s="228"/>
      <c r="M342" s="238"/>
      <c r="N342" s="228"/>
      <c r="O342" s="235"/>
      <c r="P342" s="236"/>
      <c r="Q342" s="235"/>
      <c r="R342" s="235"/>
      <c r="S342" s="236"/>
      <c r="T342" s="236"/>
      <c r="U342" s="237"/>
      <c r="V342" s="237"/>
      <c r="W342" s="238"/>
      <c r="X342" s="237"/>
      <c r="Y342" s="237"/>
      <c r="Z342" s="237"/>
      <c r="AA342" s="239"/>
      <c r="AB342" s="238"/>
      <c r="AC342" s="238"/>
      <c r="AD342" s="240"/>
      <c r="AE342" s="241"/>
      <c r="AF342" s="241"/>
      <c r="AG342" s="238"/>
      <c r="AH342" s="240"/>
      <c r="AI342" s="241"/>
      <c r="AJ342" s="241"/>
      <c r="AK342" s="241"/>
      <c r="AL342" s="237"/>
      <c r="AM342" s="237"/>
      <c r="AN342" s="237"/>
      <c r="AO342" s="237"/>
      <c r="AP342" s="237"/>
      <c r="AQ342" s="237"/>
      <c r="AR342" s="237"/>
    </row>
    <row r="343">
      <c r="A343" s="228"/>
      <c r="B343" s="228"/>
      <c r="C343" s="228"/>
      <c r="D343" s="228"/>
      <c r="E343" s="228"/>
      <c r="F343" s="228"/>
      <c r="G343" s="228"/>
      <c r="H343" s="241"/>
      <c r="I343" s="228"/>
      <c r="J343" s="236"/>
      <c r="K343" s="228"/>
      <c r="L343" s="228"/>
      <c r="M343" s="238"/>
      <c r="N343" s="228"/>
      <c r="O343" s="235"/>
      <c r="P343" s="236"/>
      <c r="Q343" s="235"/>
      <c r="R343" s="235"/>
      <c r="S343" s="236"/>
      <c r="T343" s="236"/>
      <c r="U343" s="237"/>
      <c r="V343" s="237"/>
      <c r="W343" s="238"/>
      <c r="X343" s="237"/>
      <c r="Y343" s="237"/>
      <c r="Z343" s="237"/>
      <c r="AA343" s="239"/>
      <c r="AB343" s="238"/>
      <c r="AC343" s="238"/>
      <c r="AD343" s="240"/>
      <c r="AE343" s="241"/>
      <c r="AF343" s="241"/>
      <c r="AG343" s="238"/>
      <c r="AH343" s="240"/>
      <c r="AI343" s="241"/>
      <c r="AJ343" s="241"/>
      <c r="AK343" s="241"/>
      <c r="AL343" s="237"/>
      <c r="AM343" s="237"/>
      <c r="AN343" s="237"/>
      <c r="AO343" s="237"/>
      <c r="AP343" s="237"/>
      <c r="AQ343" s="237"/>
      <c r="AR343" s="237"/>
    </row>
    <row r="344">
      <c r="A344" s="228"/>
      <c r="B344" s="228"/>
      <c r="C344" s="228"/>
      <c r="D344" s="228"/>
      <c r="E344" s="228"/>
      <c r="F344" s="228"/>
      <c r="G344" s="228"/>
      <c r="H344" s="241"/>
      <c r="I344" s="228"/>
      <c r="J344" s="236"/>
      <c r="K344" s="228"/>
      <c r="L344" s="228"/>
      <c r="M344" s="238"/>
      <c r="N344" s="228"/>
      <c r="O344" s="235"/>
      <c r="P344" s="236"/>
      <c r="Q344" s="235"/>
      <c r="R344" s="235"/>
      <c r="S344" s="236"/>
      <c r="T344" s="236"/>
      <c r="U344" s="237"/>
      <c r="V344" s="237"/>
      <c r="W344" s="238"/>
      <c r="X344" s="237"/>
      <c r="Y344" s="237"/>
      <c r="Z344" s="237"/>
      <c r="AA344" s="239"/>
      <c r="AB344" s="238"/>
      <c r="AC344" s="238"/>
      <c r="AD344" s="240"/>
      <c r="AE344" s="241"/>
      <c r="AF344" s="241"/>
      <c r="AG344" s="238"/>
      <c r="AH344" s="240"/>
      <c r="AI344" s="241"/>
      <c r="AJ344" s="241"/>
      <c r="AK344" s="241"/>
      <c r="AL344" s="237"/>
      <c r="AM344" s="237"/>
      <c r="AN344" s="237"/>
      <c r="AO344" s="237"/>
      <c r="AP344" s="237"/>
      <c r="AQ344" s="237"/>
      <c r="AR344" s="237"/>
    </row>
    <row r="345">
      <c r="A345" s="228"/>
      <c r="B345" s="228"/>
      <c r="C345" s="228"/>
      <c r="D345" s="228"/>
      <c r="E345" s="228"/>
      <c r="F345" s="228"/>
      <c r="G345" s="228"/>
      <c r="H345" s="241"/>
      <c r="I345" s="228"/>
      <c r="J345" s="236"/>
      <c r="K345" s="228"/>
      <c r="L345" s="228"/>
      <c r="M345" s="238"/>
      <c r="N345" s="228"/>
      <c r="O345" s="235"/>
      <c r="P345" s="236"/>
      <c r="Q345" s="235"/>
      <c r="R345" s="235"/>
      <c r="S345" s="236"/>
      <c r="T345" s="236"/>
      <c r="U345" s="237"/>
      <c r="V345" s="237"/>
      <c r="W345" s="238"/>
      <c r="X345" s="237"/>
      <c r="Y345" s="237"/>
      <c r="Z345" s="237"/>
      <c r="AA345" s="239"/>
      <c r="AB345" s="238"/>
      <c r="AC345" s="238"/>
      <c r="AD345" s="240"/>
      <c r="AE345" s="241"/>
      <c r="AF345" s="241"/>
      <c r="AG345" s="238"/>
      <c r="AH345" s="240"/>
      <c r="AI345" s="241"/>
      <c r="AJ345" s="241"/>
      <c r="AK345" s="241"/>
      <c r="AL345" s="237"/>
      <c r="AM345" s="237"/>
      <c r="AN345" s="237"/>
      <c r="AO345" s="237"/>
      <c r="AP345" s="237"/>
      <c r="AQ345" s="237"/>
      <c r="AR345" s="237"/>
    </row>
    <row r="346">
      <c r="A346" s="228"/>
      <c r="B346" s="228"/>
      <c r="C346" s="228"/>
      <c r="D346" s="228"/>
      <c r="E346" s="228"/>
      <c r="F346" s="228"/>
      <c r="G346" s="228"/>
      <c r="H346" s="241"/>
      <c r="I346" s="228"/>
      <c r="J346" s="236"/>
      <c r="K346" s="228"/>
      <c r="L346" s="228"/>
      <c r="M346" s="238"/>
      <c r="N346" s="228"/>
      <c r="O346" s="235"/>
      <c r="P346" s="236"/>
      <c r="Q346" s="235"/>
      <c r="R346" s="235"/>
      <c r="S346" s="236"/>
      <c r="T346" s="236"/>
      <c r="U346" s="237"/>
      <c r="V346" s="237"/>
      <c r="W346" s="238"/>
      <c r="X346" s="237"/>
      <c r="Y346" s="237"/>
      <c r="Z346" s="237"/>
      <c r="AA346" s="239"/>
      <c r="AB346" s="238"/>
      <c r="AC346" s="238"/>
      <c r="AD346" s="240"/>
      <c r="AE346" s="241"/>
      <c r="AF346" s="241"/>
      <c r="AG346" s="238"/>
      <c r="AH346" s="240"/>
      <c r="AI346" s="241"/>
      <c r="AJ346" s="241"/>
      <c r="AK346" s="241"/>
      <c r="AL346" s="237"/>
      <c r="AM346" s="237"/>
      <c r="AN346" s="237"/>
      <c r="AO346" s="237"/>
      <c r="AP346" s="237"/>
      <c r="AQ346" s="237"/>
      <c r="AR346" s="237"/>
    </row>
    <row r="347">
      <c r="A347" s="228"/>
      <c r="B347" s="228"/>
      <c r="C347" s="228"/>
      <c r="D347" s="228"/>
      <c r="E347" s="228"/>
      <c r="F347" s="228"/>
      <c r="G347" s="228"/>
      <c r="H347" s="241"/>
      <c r="I347" s="228"/>
      <c r="J347" s="236"/>
      <c r="K347" s="228"/>
      <c r="L347" s="228"/>
      <c r="M347" s="238"/>
      <c r="N347" s="228"/>
      <c r="O347" s="235"/>
      <c r="P347" s="236"/>
      <c r="Q347" s="235"/>
      <c r="R347" s="235"/>
      <c r="S347" s="236"/>
      <c r="T347" s="236"/>
      <c r="U347" s="237"/>
      <c r="V347" s="237"/>
      <c r="W347" s="238"/>
      <c r="X347" s="237"/>
      <c r="Y347" s="237"/>
      <c r="Z347" s="237"/>
      <c r="AA347" s="239"/>
      <c r="AB347" s="238"/>
      <c r="AC347" s="238"/>
      <c r="AD347" s="240"/>
      <c r="AE347" s="241"/>
      <c r="AF347" s="241"/>
      <c r="AG347" s="238"/>
      <c r="AH347" s="240"/>
      <c r="AI347" s="241"/>
      <c r="AJ347" s="241"/>
      <c r="AK347" s="241"/>
      <c r="AL347" s="237"/>
      <c r="AM347" s="237"/>
      <c r="AN347" s="237"/>
      <c r="AO347" s="237"/>
      <c r="AP347" s="237"/>
      <c r="AQ347" s="237"/>
      <c r="AR347" s="237"/>
    </row>
    <row r="348">
      <c r="A348" s="228"/>
      <c r="B348" s="228"/>
      <c r="C348" s="228"/>
      <c r="D348" s="228"/>
      <c r="E348" s="228"/>
      <c r="F348" s="228"/>
      <c r="G348" s="228"/>
      <c r="H348" s="241"/>
      <c r="I348" s="228"/>
      <c r="J348" s="236"/>
      <c r="K348" s="228"/>
      <c r="L348" s="228"/>
      <c r="M348" s="238"/>
      <c r="N348" s="228"/>
      <c r="O348" s="235"/>
      <c r="P348" s="236"/>
      <c r="Q348" s="235"/>
      <c r="R348" s="235"/>
      <c r="S348" s="236"/>
      <c r="T348" s="236"/>
      <c r="U348" s="237"/>
      <c r="V348" s="237"/>
      <c r="W348" s="238"/>
      <c r="X348" s="237"/>
      <c r="Y348" s="237"/>
      <c r="Z348" s="237"/>
      <c r="AA348" s="239"/>
      <c r="AB348" s="238"/>
      <c r="AC348" s="238"/>
      <c r="AD348" s="240"/>
      <c r="AE348" s="241"/>
      <c r="AF348" s="241"/>
      <c r="AG348" s="238"/>
      <c r="AH348" s="240"/>
      <c r="AI348" s="241"/>
      <c r="AJ348" s="241"/>
      <c r="AK348" s="241"/>
      <c r="AL348" s="237"/>
      <c r="AM348" s="237"/>
      <c r="AN348" s="237"/>
      <c r="AO348" s="237"/>
      <c r="AP348" s="237"/>
      <c r="AQ348" s="237"/>
      <c r="AR348" s="237"/>
    </row>
    <row r="349">
      <c r="A349" s="228"/>
      <c r="B349" s="228"/>
      <c r="C349" s="228"/>
      <c r="D349" s="228"/>
      <c r="E349" s="228"/>
      <c r="F349" s="228"/>
      <c r="G349" s="228"/>
      <c r="H349" s="241"/>
      <c r="I349" s="228"/>
      <c r="J349" s="236"/>
      <c r="K349" s="228"/>
      <c r="L349" s="228"/>
      <c r="M349" s="238"/>
      <c r="N349" s="228"/>
      <c r="O349" s="235"/>
      <c r="P349" s="236"/>
      <c r="Q349" s="235"/>
      <c r="R349" s="235"/>
      <c r="S349" s="236"/>
      <c r="T349" s="236"/>
      <c r="U349" s="237"/>
      <c r="V349" s="237"/>
      <c r="W349" s="238"/>
      <c r="X349" s="237"/>
      <c r="Y349" s="237"/>
      <c r="Z349" s="237"/>
      <c r="AA349" s="239"/>
      <c r="AB349" s="238"/>
      <c r="AC349" s="238"/>
      <c r="AD349" s="240"/>
      <c r="AE349" s="241"/>
      <c r="AF349" s="241"/>
      <c r="AG349" s="238"/>
      <c r="AH349" s="240"/>
      <c r="AI349" s="241"/>
      <c r="AJ349" s="241"/>
      <c r="AK349" s="241"/>
      <c r="AL349" s="237"/>
      <c r="AM349" s="237"/>
      <c r="AN349" s="237"/>
      <c r="AO349" s="237"/>
      <c r="AP349" s="237"/>
      <c r="AQ349" s="237"/>
      <c r="AR349" s="237"/>
    </row>
    <row r="350">
      <c r="A350" s="228"/>
      <c r="B350" s="228"/>
      <c r="C350" s="228"/>
      <c r="D350" s="228"/>
      <c r="E350" s="228"/>
      <c r="F350" s="228"/>
      <c r="G350" s="228"/>
      <c r="H350" s="241"/>
      <c r="I350" s="228"/>
      <c r="J350" s="236"/>
      <c r="K350" s="228"/>
      <c r="L350" s="228"/>
      <c r="M350" s="238"/>
      <c r="N350" s="228"/>
      <c r="O350" s="235"/>
      <c r="P350" s="236"/>
      <c r="Q350" s="235"/>
      <c r="R350" s="235"/>
      <c r="S350" s="236"/>
      <c r="T350" s="236"/>
      <c r="U350" s="237"/>
      <c r="V350" s="237"/>
      <c r="W350" s="238"/>
      <c r="X350" s="237"/>
      <c r="Y350" s="237"/>
      <c r="Z350" s="237"/>
      <c r="AA350" s="239"/>
      <c r="AB350" s="238"/>
      <c r="AC350" s="238"/>
      <c r="AD350" s="240"/>
      <c r="AE350" s="241"/>
      <c r="AF350" s="241"/>
      <c r="AG350" s="238"/>
      <c r="AH350" s="240"/>
      <c r="AI350" s="241"/>
      <c r="AJ350" s="241"/>
      <c r="AK350" s="241"/>
      <c r="AL350" s="237"/>
      <c r="AM350" s="237"/>
      <c r="AN350" s="237"/>
      <c r="AO350" s="237"/>
      <c r="AP350" s="237"/>
      <c r="AQ350" s="237"/>
      <c r="AR350" s="237"/>
    </row>
    <row r="351">
      <c r="A351" s="228"/>
      <c r="B351" s="228"/>
      <c r="C351" s="228"/>
      <c r="D351" s="228"/>
      <c r="E351" s="228"/>
      <c r="F351" s="228"/>
      <c r="G351" s="228"/>
      <c r="H351" s="241"/>
      <c r="I351" s="228"/>
      <c r="J351" s="236"/>
      <c r="K351" s="228"/>
      <c r="L351" s="228"/>
      <c r="M351" s="238"/>
      <c r="N351" s="228"/>
      <c r="O351" s="235"/>
      <c r="P351" s="236"/>
      <c r="Q351" s="235"/>
      <c r="R351" s="235"/>
      <c r="S351" s="236"/>
      <c r="T351" s="236"/>
      <c r="U351" s="237"/>
      <c r="V351" s="237"/>
      <c r="W351" s="238"/>
      <c r="X351" s="237"/>
      <c r="Y351" s="237"/>
      <c r="Z351" s="237"/>
      <c r="AA351" s="239"/>
      <c r="AB351" s="238"/>
      <c r="AC351" s="238"/>
      <c r="AD351" s="240"/>
      <c r="AE351" s="241"/>
      <c r="AF351" s="241"/>
      <c r="AG351" s="238"/>
      <c r="AH351" s="240"/>
      <c r="AI351" s="241"/>
      <c r="AJ351" s="241"/>
      <c r="AK351" s="241"/>
      <c r="AL351" s="237"/>
      <c r="AM351" s="237"/>
      <c r="AN351" s="237"/>
      <c r="AO351" s="237"/>
      <c r="AP351" s="237"/>
      <c r="AQ351" s="237"/>
      <c r="AR351" s="237"/>
    </row>
    <row r="352">
      <c r="A352" s="228"/>
      <c r="B352" s="228"/>
      <c r="C352" s="228"/>
      <c r="D352" s="228"/>
      <c r="E352" s="228"/>
      <c r="F352" s="228"/>
      <c r="G352" s="228"/>
      <c r="H352" s="241"/>
      <c r="I352" s="228"/>
      <c r="J352" s="236"/>
      <c r="K352" s="228"/>
      <c r="L352" s="228"/>
      <c r="M352" s="238"/>
      <c r="N352" s="228"/>
      <c r="O352" s="235"/>
      <c r="P352" s="236"/>
      <c r="Q352" s="235"/>
      <c r="R352" s="235"/>
      <c r="S352" s="236"/>
      <c r="T352" s="236"/>
      <c r="U352" s="237"/>
      <c r="V352" s="237"/>
      <c r="W352" s="238"/>
      <c r="X352" s="237"/>
      <c r="Y352" s="237"/>
      <c r="Z352" s="237"/>
      <c r="AA352" s="239"/>
      <c r="AB352" s="238"/>
      <c r="AC352" s="238"/>
      <c r="AD352" s="240"/>
      <c r="AE352" s="241"/>
      <c r="AF352" s="241"/>
      <c r="AG352" s="238"/>
      <c r="AH352" s="240"/>
      <c r="AI352" s="241"/>
      <c r="AJ352" s="241"/>
      <c r="AK352" s="241"/>
      <c r="AL352" s="237"/>
      <c r="AM352" s="237"/>
      <c r="AN352" s="237"/>
      <c r="AO352" s="237"/>
      <c r="AP352" s="237"/>
      <c r="AQ352" s="237"/>
      <c r="AR352" s="237"/>
    </row>
    <row r="353">
      <c r="A353" s="228"/>
      <c r="B353" s="228"/>
      <c r="C353" s="228"/>
      <c r="D353" s="228"/>
      <c r="E353" s="228"/>
      <c r="F353" s="228"/>
      <c r="G353" s="228"/>
      <c r="H353" s="241"/>
      <c r="I353" s="228"/>
      <c r="J353" s="236"/>
      <c r="K353" s="228"/>
      <c r="L353" s="228"/>
      <c r="M353" s="238"/>
      <c r="N353" s="228"/>
      <c r="O353" s="235"/>
      <c r="P353" s="236"/>
      <c r="Q353" s="235"/>
      <c r="R353" s="235"/>
      <c r="S353" s="236"/>
      <c r="T353" s="236"/>
      <c r="U353" s="237"/>
      <c r="V353" s="237"/>
      <c r="W353" s="238"/>
      <c r="X353" s="237"/>
      <c r="Y353" s="237"/>
      <c r="Z353" s="237"/>
      <c r="AA353" s="239"/>
      <c r="AB353" s="238"/>
      <c r="AC353" s="238"/>
      <c r="AD353" s="240"/>
      <c r="AE353" s="241"/>
      <c r="AF353" s="241"/>
      <c r="AG353" s="238"/>
      <c r="AH353" s="240"/>
      <c r="AI353" s="241"/>
      <c r="AJ353" s="241"/>
      <c r="AK353" s="241"/>
      <c r="AL353" s="237"/>
      <c r="AM353" s="237"/>
      <c r="AN353" s="237"/>
      <c r="AO353" s="237"/>
      <c r="AP353" s="237"/>
      <c r="AQ353" s="237"/>
      <c r="AR353" s="237"/>
    </row>
    <row r="354">
      <c r="A354" s="228"/>
      <c r="B354" s="228"/>
      <c r="C354" s="228"/>
      <c r="D354" s="228"/>
      <c r="E354" s="228"/>
      <c r="F354" s="228"/>
      <c r="G354" s="228"/>
      <c r="H354" s="241"/>
      <c r="I354" s="228"/>
      <c r="J354" s="236"/>
      <c r="K354" s="228"/>
      <c r="L354" s="228"/>
      <c r="M354" s="238"/>
      <c r="N354" s="228"/>
      <c r="O354" s="235"/>
      <c r="P354" s="236"/>
      <c r="Q354" s="235"/>
      <c r="R354" s="235"/>
      <c r="S354" s="236"/>
      <c r="T354" s="236"/>
      <c r="U354" s="237"/>
      <c r="V354" s="237"/>
      <c r="W354" s="238"/>
      <c r="X354" s="237"/>
      <c r="Y354" s="237"/>
      <c r="Z354" s="237"/>
      <c r="AA354" s="239"/>
      <c r="AB354" s="238"/>
      <c r="AC354" s="238"/>
      <c r="AD354" s="240"/>
      <c r="AE354" s="241"/>
      <c r="AF354" s="241"/>
      <c r="AG354" s="238"/>
      <c r="AH354" s="240"/>
      <c r="AI354" s="241"/>
      <c r="AJ354" s="241"/>
      <c r="AK354" s="241"/>
      <c r="AL354" s="237"/>
      <c r="AM354" s="237"/>
      <c r="AN354" s="237"/>
      <c r="AO354" s="237"/>
      <c r="AP354" s="237"/>
      <c r="AQ354" s="237"/>
      <c r="AR354" s="237"/>
    </row>
    <row r="355">
      <c r="A355" s="228"/>
      <c r="B355" s="228"/>
      <c r="C355" s="228"/>
      <c r="D355" s="228"/>
      <c r="E355" s="228"/>
      <c r="F355" s="228"/>
      <c r="G355" s="228"/>
      <c r="H355" s="241"/>
      <c r="I355" s="228"/>
      <c r="J355" s="236"/>
      <c r="K355" s="228"/>
      <c r="L355" s="228"/>
      <c r="M355" s="238"/>
      <c r="N355" s="228"/>
      <c r="O355" s="235"/>
      <c r="P355" s="236"/>
      <c r="Q355" s="235"/>
      <c r="R355" s="235"/>
      <c r="S355" s="236"/>
      <c r="T355" s="236"/>
      <c r="U355" s="237"/>
      <c r="V355" s="237"/>
      <c r="W355" s="238"/>
      <c r="X355" s="237"/>
      <c r="Y355" s="237"/>
      <c r="Z355" s="237"/>
      <c r="AA355" s="239"/>
      <c r="AB355" s="238"/>
      <c r="AC355" s="238"/>
      <c r="AD355" s="240"/>
      <c r="AE355" s="241"/>
      <c r="AF355" s="241"/>
      <c r="AG355" s="238"/>
      <c r="AH355" s="240"/>
      <c r="AI355" s="241"/>
      <c r="AJ355" s="241"/>
      <c r="AK355" s="241"/>
      <c r="AL355" s="237"/>
      <c r="AM355" s="237"/>
      <c r="AN355" s="237"/>
      <c r="AO355" s="237"/>
      <c r="AP355" s="237"/>
      <c r="AQ355" s="237"/>
      <c r="AR355" s="237"/>
    </row>
    <row r="356">
      <c r="A356" s="228"/>
      <c r="B356" s="228"/>
      <c r="C356" s="228"/>
      <c r="D356" s="228"/>
      <c r="E356" s="228"/>
      <c r="F356" s="228"/>
      <c r="G356" s="228"/>
      <c r="H356" s="241"/>
      <c r="I356" s="228"/>
      <c r="J356" s="236"/>
      <c r="K356" s="228"/>
      <c r="L356" s="228"/>
      <c r="M356" s="238"/>
      <c r="N356" s="228"/>
      <c r="O356" s="235"/>
      <c r="P356" s="236"/>
      <c r="Q356" s="235"/>
      <c r="R356" s="235"/>
      <c r="S356" s="236"/>
      <c r="T356" s="236"/>
      <c r="U356" s="237"/>
      <c r="V356" s="237"/>
      <c r="W356" s="238"/>
      <c r="X356" s="237"/>
      <c r="Y356" s="237"/>
      <c r="Z356" s="237"/>
      <c r="AA356" s="239"/>
      <c r="AB356" s="238"/>
      <c r="AC356" s="238"/>
      <c r="AD356" s="240"/>
      <c r="AE356" s="241"/>
      <c r="AF356" s="241"/>
      <c r="AG356" s="238"/>
      <c r="AH356" s="240"/>
      <c r="AI356" s="241"/>
      <c r="AJ356" s="241"/>
      <c r="AK356" s="241"/>
      <c r="AL356" s="237"/>
      <c r="AM356" s="237"/>
      <c r="AN356" s="237"/>
      <c r="AO356" s="237"/>
      <c r="AP356" s="237"/>
      <c r="AQ356" s="237"/>
      <c r="AR356" s="237"/>
    </row>
    <row r="357">
      <c r="A357" s="228"/>
      <c r="B357" s="228"/>
      <c r="C357" s="228"/>
      <c r="D357" s="228"/>
      <c r="E357" s="228"/>
      <c r="F357" s="228"/>
      <c r="G357" s="228"/>
      <c r="H357" s="241"/>
      <c r="I357" s="228"/>
      <c r="J357" s="236"/>
      <c r="K357" s="228"/>
      <c r="L357" s="228"/>
      <c r="M357" s="238"/>
      <c r="N357" s="228"/>
      <c r="O357" s="235"/>
      <c r="P357" s="236"/>
      <c r="Q357" s="235"/>
      <c r="R357" s="235"/>
      <c r="S357" s="236"/>
      <c r="T357" s="236"/>
      <c r="U357" s="237"/>
      <c r="V357" s="237"/>
      <c r="W357" s="238"/>
      <c r="X357" s="237"/>
      <c r="Y357" s="237"/>
      <c r="Z357" s="237"/>
      <c r="AA357" s="239"/>
      <c r="AB357" s="238"/>
      <c r="AC357" s="238"/>
      <c r="AD357" s="240"/>
      <c r="AE357" s="241"/>
      <c r="AF357" s="241"/>
      <c r="AG357" s="238"/>
      <c r="AH357" s="240"/>
      <c r="AI357" s="241"/>
      <c r="AJ357" s="241"/>
      <c r="AK357" s="241"/>
      <c r="AL357" s="237"/>
      <c r="AM357" s="237"/>
      <c r="AN357" s="237"/>
      <c r="AO357" s="237"/>
      <c r="AP357" s="237"/>
      <c r="AQ357" s="237"/>
      <c r="AR357" s="237"/>
    </row>
    <row r="358">
      <c r="A358" s="228"/>
      <c r="B358" s="228"/>
      <c r="C358" s="228"/>
      <c r="D358" s="228"/>
      <c r="E358" s="228"/>
      <c r="F358" s="228"/>
      <c r="G358" s="228"/>
      <c r="H358" s="241"/>
      <c r="I358" s="228"/>
      <c r="J358" s="236"/>
      <c r="K358" s="228"/>
      <c r="L358" s="228"/>
      <c r="M358" s="238"/>
      <c r="N358" s="228"/>
      <c r="O358" s="235"/>
      <c r="P358" s="236"/>
      <c r="Q358" s="235"/>
      <c r="R358" s="235"/>
      <c r="S358" s="236"/>
      <c r="T358" s="236"/>
      <c r="U358" s="237"/>
      <c r="V358" s="237"/>
      <c r="W358" s="238"/>
      <c r="X358" s="237"/>
      <c r="Y358" s="237"/>
      <c r="Z358" s="237"/>
      <c r="AA358" s="239"/>
      <c r="AB358" s="238"/>
      <c r="AC358" s="238"/>
      <c r="AD358" s="240"/>
      <c r="AE358" s="241"/>
      <c r="AF358" s="241"/>
      <c r="AG358" s="238"/>
      <c r="AH358" s="240"/>
      <c r="AI358" s="241"/>
      <c r="AJ358" s="241"/>
      <c r="AK358" s="241"/>
      <c r="AL358" s="237"/>
      <c r="AM358" s="237"/>
      <c r="AN358" s="237"/>
      <c r="AO358" s="237"/>
      <c r="AP358" s="237"/>
      <c r="AQ358" s="237"/>
      <c r="AR358" s="237"/>
    </row>
    <row r="359">
      <c r="A359" s="228"/>
      <c r="B359" s="228"/>
      <c r="C359" s="228"/>
      <c r="D359" s="228"/>
      <c r="E359" s="228"/>
      <c r="F359" s="228"/>
      <c r="G359" s="228"/>
      <c r="H359" s="241"/>
      <c r="I359" s="228"/>
      <c r="J359" s="236"/>
      <c r="K359" s="228"/>
      <c r="L359" s="228"/>
      <c r="M359" s="238"/>
      <c r="N359" s="228"/>
      <c r="O359" s="235"/>
      <c r="P359" s="236"/>
      <c r="Q359" s="235"/>
      <c r="R359" s="235"/>
      <c r="S359" s="236"/>
      <c r="T359" s="236"/>
      <c r="U359" s="237"/>
      <c r="V359" s="237"/>
      <c r="W359" s="238"/>
      <c r="X359" s="237"/>
      <c r="Y359" s="237"/>
      <c r="Z359" s="237"/>
      <c r="AA359" s="239"/>
      <c r="AB359" s="238"/>
      <c r="AC359" s="238"/>
      <c r="AD359" s="240"/>
      <c r="AE359" s="241"/>
      <c r="AF359" s="241"/>
      <c r="AG359" s="238"/>
      <c r="AH359" s="240"/>
      <c r="AI359" s="241"/>
      <c r="AJ359" s="241"/>
      <c r="AK359" s="241"/>
      <c r="AL359" s="237"/>
      <c r="AM359" s="237"/>
      <c r="AN359" s="237"/>
      <c r="AO359" s="237"/>
      <c r="AP359" s="237"/>
      <c r="AQ359" s="237"/>
      <c r="AR359" s="237"/>
    </row>
    <row r="360">
      <c r="A360" s="228"/>
      <c r="B360" s="228"/>
      <c r="C360" s="228"/>
      <c r="D360" s="228"/>
      <c r="E360" s="228"/>
      <c r="F360" s="228"/>
      <c r="G360" s="228"/>
      <c r="H360" s="241"/>
      <c r="I360" s="228"/>
      <c r="J360" s="236"/>
      <c r="K360" s="228"/>
      <c r="L360" s="228"/>
      <c r="M360" s="238"/>
      <c r="N360" s="228"/>
      <c r="O360" s="235"/>
      <c r="P360" s="236"/>
      <c r="Q360" s="235"/>
      <c r="R360" s="235"/>
      <c r="S360" s="236"/>
      <c r="T360" s="236"/>
      <c r="U360" s="237"/>
      <c r="V360" s="237"/>
      <c r="W360" s="238"/>
      <c r="X360" s="237"/>
      <c r="Y360" s="237"/>
      <c r="Z360" s="237"/>
      <c r="AA360" s="239"/>
      <c r="AB360" s="238"/>
      <c r="AC360" s="238"/>
      <c r="AD360" s="240"/>
      <c r="AE360" s="241"/>
      <c r="AF360" s="241"/>
      <c r="AG360" s="238"/>
      <c r="AH360" s="240"/>
      <c r="AI360" s="241"/>
      <c r="AJ360" s="241"/>
      <c r="AK360" s="241"/>
      <c r="AL360" s="237"/>
      <c r="AM360" s="237"/>
      <c r="AN360" s="237"/>
      <c r="AO360" s="237"/>
      <c r="AP360" s="237"/>
      <c r="AQ360" s="237"/>
      <c r="AR360" s="237"/>
    </row>
    <row r="361">
      <c r="A361" s="228"/>
      <c r="B361" s="228"/>
      <c r="C361" s="228"/>
      <c r="D361" s="228"/>
      <c r="E361" s="228"/>
      <c r="F361" s="228"/>
      <c r="G361" s="228"/>
      <c r="H361" s="241"/>
      <c r="I361" s="228"/>
      <c r="J361" s="236"/>
      <c r="K361" s="228"/>
      <c r="L361" s="228"/>
      <c r="M361" s="238"/>
      <c r="N361" s="228"/>
      <c r="O361" s="235"/>
      <c r="P361" s="236"/>
      <c r="Q361" s="235"/>
      <c r="R361" s="235"/>
      <c r="S361" s="236"/>
      <c r="T361" s="236"/>
      <c r="U361" s="237"/>
      <c r="V361" s="237"/>
      <c r="W361" s="238"/>
      <c r="X361" s="237"/>
      <c r="Y361" s="237"/>
      <c r="Z361" s="237"/>
      <c r="AA361" s="239"/>
      <c r="AB361" s="238"/>
      <c r="AC361" s="238"/>
      <c r="AD361" s="240"/>
      <c r="AE361" s="241"/>
      <c r="AF361" s="241"/>
      <c r="AG361" s="238"/>
      <c r="AH361" s="240"/>
      <c r="AI361" s="241"/>
      <c r="AJ361" s="241"/>
      <c r="AK361" s="241"/>
      <c r="AL361" s="237"/>
      <c r="AM361" s="237"/>
      <c r="AN361" s="237"/>
      <c r="AO361" s="237"/>
      <c r="AP361" s="237"/>
      <c r="AQ361" s="237"/>
      <c r="AR361" s="237"/>
    </row>
    <row r="362">
      <c r="A362" s="228"/>
      <c r="B362" s="228"/>
      <c r="C362" s="228"/>
      <c r="D362" s="228"/>
      <c r="E362" s="228"/>
      <c r="F362" s="228"/>
      <c r="G362" s="228"/>
      <c r="H362" s="241"/>
      <c r="I362" s="228"/>
      <c r="J362" s="236"/>
      <c r="K362" s="228"/>
      <c r="L362" s="228"/>
      <c r="M362" s="238"/>
      <c r="N362" s="228"/>
      <c r="O362" s="235"/>
      <c r="P362" s="236"/>
      <c r="Q362" s="235"/>
      <c r="R362" s="235"/>
      <c r="S362" s="236"/>
      <c r="T362" s="236"/>
      <c r="U362" s="237"/>
      <c r="V362" s="237"/>
      <c r="W362" s="238"/>
      <c r="X362" s="237"/>
      <c r="Y362" s="237"/>
      <c r="Z362" s="237"/>
      <c r="AA362" s="239"/>
      <c r="AB362" s="238"/>
      <c r="AC362" s="238"/>
      <c r="AD362" s="240"/>
      <c r="AE362" s="241"/>
      <c r="AF362" s="241"/>
      <c r="AG362" s="238"/>
      <c r="AH362" s="240"/>
      <c r="AI362" s="241"/>
      <c r="AJ362" s="241"/>
      <c r="AK362" s="241"/>
      <c r="AL362" s="237"/>
      <c r="AM362" s="237"/>
      <c r="AN362" s="237"/>
      <c r="AO362" s="237"/>
      <c r="AP362" s="237"/>
      <c r="AQ362" s="237"/>
      <c r="AR362" s="237"/>
    </row>
    <row r="363">
      <c r="A363" s="228"/>
      <c r="B363" s="228"/>
      <c r="C363" s="228"/>
      <c r="D363" s="228"/>
      <c r="E363" s="228"/>
      <c r="F363" s="228"/>
      <c r="G363" s="228"/>
      <c r="H363" s="241"/>
      <c r="I363" s="228"/>
      <c r="J363" s="236"/>
      <c r="K363" s="228"/>
      <c r="L363" s="228"/>
      <c r="M363" s="238"/>
      <c r="N363" s="228"/>
      <c r="O363" s="235"/>
      <c r="P363" s="236"/>
      <c r="Q363" s="235"/>
      <c r="R363" s="235"/>
      <c r="S363" s="236"/>
      <c r="T363" s="236"/>
      <c r="U363" s="237"/>
      <c r="V363" s="237"/>
      <c r="W363" s="238"/>
      <c r="X363" s="237"/>
      <c r="Y363" s="237"/>
      <c r="Z363" s="237"/>
      <c r="AA363" s="239"/>
      <c r="AB363" s="238"/>
      <c r="AC363" s="238"/>
      <c r="AD363" s="240"/>
      <c r="AE363" s="241"/>
      <c r="AF363" s="241"/>
      <c r="AG363" s="238"/>
      <c r="AH363" s="240"/>
      <c r="AI363" s="241"/>
      <c r="AJ363" s="241"/>
      <c r="AK363" s="241"/>
      <c r="AL363" s="237"/>
      <c r="AM363" s="237"/>
      <c r="AN363" s="237"/>
      <c r="AO363" s="237"/>
      <c r="AP363" s="237"/>
      <c r="AQ363" s="237"/>
      <c r="AR363" s="237"/>
    </row>
    <row r="364">
      <c r="A364" s="228"/>
      <c r="B364" s="228"/>
      <c r="C364" s="228"/>
      <c r="D364" s="228"/>
      <c r="E364" s="228"/>
      <c r="F364" s="228"/>
      <c r="G364" s="228"/>
      <c r="H364" s="241"/>
      <c r="I364" s="228"/>
      <c r="J364" s="236"/>
      <c r="K364" s="228"/>
      <c r="L364" s="228"/>
      <c r="M364" s="238"/>
      <c r="N364" s="228"/>
      <c r="O364" s="235"/>
      <c r="P364" s="236"/>
      <c r="Q364" s="235"/>
      <c r="R364" s="235"/>
      <c r="S364" s="236"/>
      <c r="T364" s="236"/>
      <c r="U364" s="237"/>
      <c r="V364" s="237"/>
      <c r="W364" s="238"/>
      <c r="X364" s="237"/>
      <c r="Y364" s="237"/>
      <c r="Z364" s="237"/>
      <c r="AA364" s="239"/>
      <c r="AB364" s="238"/>
      <c r="AC364" s="238"/>
      <c r="AD364" s="240"/>
      <c r="AE364" s="241"/>
      <c r="AF364" s="241"/>
      <c r="AG364" s="238"/>
      <c r="AH364" s="240"/>
      <c r="AI364" s="241"/>
      <c r="AJ364" s="241"/>
      <c r="AK364" s="241"/>
      <c r="AL364" s="237"/>
      <c r="AM364" s="237"/>
      <c r="AN364" s="237"/>
      <c r="AO364" s="237"/>
      <c r="AP364" s="237"/>
      <c r="AQ364" s="237"/>
      <c r="AR364" s="237"/>
    </row>
    <row r="365">
      <c r="A365" s="228"/>
      <c r="B365" s="228"/>
      <c r="C365" s="228"/>
      <c r="D365" s="228"/>
      <c r="E365" s="228"/>
      <c r="F365" s="228"/>
      <c r="G365" s="228"/>
      <c r="H365" s="241"/>
      <c r="I365" s="228"/>
      <c r="J365" s="236"/>
      <c r="K365" s="228"/>
      <c r="L365" s="228"/>
      <c r="M365" s="238"/>
      <c r="N365" s="228"/>
      <c r="O365" s="235"/>
      <c r="P365" s="236"/>
      <c r="Q365" s="235"/>
      <c r="R365" s="235"/>
      <c r="S365" s="236"/>
      <c r="T365" s="236"/>
      <c r="U365" s="237"/>
      <c r="V365" s="237"/>
      <c r="W365" s="238"/>
      <c r="X365" s="237"/>
      <c r="Y365" s="237"/>
      <c r="Z365" s="237"/>
      <c r="AA365" s="239"/>
      <c r="AB365" s="238"/>
      <c r="AC365" s="238"/>
      <c r="AD365" s="240"/>
      <c r="AE365" s="241"/>
      <c r="AF365" s="241"/>
      <c r="AG365" s="238"/>
      <c r="AH365" s="240"/>
      <c r="AI365" s="241"/>
      <c r="AJ365" s="241"/>
      <c r="AK365" s="241"/>
      <c r="AL365" s="237"/>
      <c r="AM365" s="237"/>
      <c r="AN365" s="237"/>
      <c r="AO365" s="237"/>
      <c r="AP365" s="237"/>
      <c r="AQ365" s="237"/>
      <c r="AR365" s="237"/>
    </row>
    <row r="366">
      <c r="A366" s="228"/>
      <c r="B366" s="228"/>
      <c r="C366" s="228"/>
      <c r="D366" s="228"/>
      <c r="E366" s="228"/>
      <c r="F366" s="228"/>
      <c r="G366" s="228"/>
      <c r="H366" s="241"/>
      <c r="I366" s="228"/>
      <c r="J366" s="236"/>
      <c r="K366" s="228"/>
      <c r="L366" s="228"/>
      <c r="M366" s="238"/>
      <c r="N366" s="228"/>
      <c r="O366" s="235"/>
      <c r="P366" s="236"/>
      <c r="Q366" s="235"/>
      <c r="R366" s="235"/>
      <c r="S366" s="236"/>
      <c r="T366" s="236"/>
      <c r="U366" s="237"/>
      <c r="V366" s="237"/>
      <c r="W366" s="238"/>
      <c r="X366" s="237"/>
      <c r="Y366" s="237"/>
      <c r="Z366" s="237"/>
      <c r="AA366" s="239"/>
      <c r="AB366" s="238"/>
      <c r="AC366" s="238"/>
      <c r="AD366" s="240"/>
      <c r="AE366" s="241"/>
      <c r="AF366" s="241"/>
      <c r="AG366" s="238"/>
      <c r="AH366" s="240"/>
      <c r="AI366" s="241"/>
      <c r="AJ366" s="241"/>
      <c r="AK366" s="241"/>
      <c r="AL366" s="237"/>
      <c r="AM366" s="237"/>
      <c r="AN366" s="237"/>
      <c r="AO366" s="237"/>
      <c r="AP366" s="237"/>
      <c r="AQ366" s="237"/>
      <c r="AR366" s="237"/>
    </row>
    <row r="367">
      <c r="A367" s="228"/>
      <c r="B367" s="228"/>
      <c r="C367" s="228"/>
      <c r="D367" s="228"/>
      <c r="E367" s="228"/>
      <c r="F367" s="228"/>
      <c r="G367" s="228"/>
      <c r="H367" s="241"/>
      <c r="I367" s="228"/>
      <c r="J367" s="236"/>
      <c r="K367" s="228"/>
      <c r="L367" s="228"/>
      <c r="M367" s="238"/>
      <c r="N367" s="228"/>
      <c r="O367" s="235"/>
      <c r="P367" s="236"/>
      <c r="Q367" s="235"/>
      <c r="R367" s="235"/>
      <c r="S367" s="236"/>
      <c r="T367" s="236"/>
      <c r="U367" s="237"/>
      <c r="V367" s="237"/>
      <c r="W367" s="238"/>
      <c r="X367" s="237"/>
      <c r="Y367" s="237"/>
      <c r="Z367" s="237"/>
      <c r="AA367" s="239"/>
      <c r="AB367" s="238"/>
      <c r="AC367" s="238"/>
      <c r="AD367" s="240"/>
      <c r="AE367" s="241"/>
      <c r="AF367" s="241"/>
      <c r="AG367" s="238"/>
      <c r="AH367" s="240"/>
      <c r="AI367" s="241"/>
      <c r="AJ367" s="241"/>
      <c r="AK367" s="241"/>
      <c r="AL367" s="237"/>
      <c r="AM367" s="237"/>
      <c r="AN367" s="237"/>
      <c r="AO367" s="237"/>
      <c r="AP367" s="237"/>
      <c r="AQ367" s="237"/>
      <c r="AR367" s="237"/>
    </row>
    <row r="368">
      <c r="A368" s="228"/>
      <c r="B368" s="228"/>
      <c r="C368" s="228"/>
      <c r="D368" s="228"/>
      <c r="E368" s="228"/>
      <c r="F368" s="228"/>
      <c r="G368" s="228"/>
      <c r="H368" s="241"/>
      <c r="I368" s="228"/>
      <c r="J368" s="236"/>
      <c r="K368" s="228"/>
      <c r="L368" s="228"/>
      <c r="M368" s="238"/>
      <c r="N368" s="228"/>
      <c r="O368" s="235"/>
      <c r="P368" s="236"/>
      <c r="Q368" s="235"/>
      <c r="R368" s="235"/>
      <c r="S368" s="236"/>
      <c r="T368" s="236"/>
      <c r="U368" s="237"/>
      <c r="V368" s="237"/>
      <c r="W368" s="238"/>
      <c r="X368" s="237"/>
      <c r="Y368" s="237"/>
      <c r="Z368" s="237"/>
      <c r="AA368" s="239"/>
      <c r="AB368" s="238"/>
      <c r="AC368" s="238"/>
      <c r="AD368" s="240"/>
      <c r="AE368" s="241"/>
      <c r="AF368" s="241"/>
      <c r="AG368" s="238"/>
      <c r="AH368" s="240"/>
      <c r="AI368" s="241"/>
      <c r="AJ368" s="241"/>
      <c r="AK368" s="241"/>
      <c r="AL368" s="237"/>
      <c r="AM368" s="237"/>
      <c r="AN368" s="237"/>
      <c r="AO368" s="237"/>
      <c r="AP368" s="237"/>
      <c r="AQ368" s="237"/>
      <c r="AR368" s="237"/>
    </row>
    <row r="369">
      <c r="A369" s="228"/>
      <c r="B369" s="228"/>
      <c r="C369" s="228"/>
      <c r="D369" s="228"/>
      <c r="E369" s="228"/>
      <c r="F369" s="228"/>
      <c r="G369" s="228"/>
      <c r="H369" s="241"/>
      <c r="I369" s="228"/>
      <c r="J369" s="236"/>
      <c r="K369" s="228"/>
      <c r="L369" s="228"/>
      <c r="M369" s="238"/>
      <c r="N369" s="228"/>
      <c r="O369" s="235"/>
      <c r="P369" s="236"/>
      <c r="Q369" s="235"/>
      <c r="R369" s="235"/>
      <c r="S369" s="236"/>
      <c r="T369" s="236"/>
      <c r="U369" s="237"/>
      <c r="V369" s="237"/>
      <c r="W369" s="238"/>
      <c r="X369" s="237"/>
      <c r="Y369" s="237"/>
      <c r="Z369" s="237"/>
      <c r="AA369" s="239"/>
      <c r="AB369" s="238"/>
      <c r="AC369" s="238"/>
      <c r="AD369" s="240"/>
      <c r="AE369" s="241"/>
      <c r="AF369" s="241"/>
      <c r="AG369" s="238"/>
      <c r="AH369" s="240"/>
      <c r="AI369" s="241"/>
      <c r="AJ369" s="241"/>
      <c r="AK369" s="241"/>
      <c r="AL369" s="237"/>
      <c r="AM369" s="237"/>
      <c r="AN369" s="237"/>
      <c r="AO369" s="237"/>
      <c r="AP369" s="237"/>
      <c r="AQ369" s="237"/>
      <c r="AR369" s="237"/>
    </row>
    <row r="370">
      <c r="A370" s="228"/>
      <c r="B370" s="228"/>
      <c r="C370" s="228"/>
      <c r="D370" s="228"/>
      <c r="E370" s="228"/>
      <c r="F370" s="228"/>
      <c r="G370" s="228"/>
      <c r="H370" s="241"/>
      <c r="I370" s="228"/>
      <c r="J370" s="236"/>
      <c r="K370" s="228"/>
      <c r="L370" s="228"/>
      <c r="M370" s="238"/>
      <c r="N370" s="228"/>
      <c r="O370" s="235"/>
      <c r="P370" s="236"/>
      <c r="Q370" s="235"/>
      <c r="R370" s="235"/>
      <c r="S370" s="236"/>
      <c r="T370" s="236"/>
      <c r="U370" s="237"/>
      <c r="V370" s="237"/>
      <c r="W370" s="238"/>
      <c r="X370" s="237"/>
      <c r="Y370" s="237"/>
      <c r="Z370" s="237"/>
      <c r="AA370" s="239"/>
      <c r="AB370" s="238"/>
      <c r="AC370" s="238"/>
      <c r="AD370" s="240"/>
      <c r="AE370" s="241"/>
      <c r="AF370" s="241"/>
      <c r="AG370" s="238"/>
      <c r="AH370" s="240"/>
      <c r="AI370" s="241"/>
      <c r="AJ370" s="241"/>
      <c r="AK370" s="241"/>
      <c r="AL370" s="237"/>
      <c r="AM370" s="237"/>
      <c r="AN370" s="237"/>
      <c r="AO370" s="237"/>
      <c r="AP370" s="237"/>
      <c r="AQ370" s="237"/>
      <c r="AR370" s="237"/>
    </row>
    <row r="371">
      <c r="A371" s="228"/>
      <c r="B371" s="228"/>
      <c r="C371" s="228"/>
      <c r="D371" s="228"/>
      <c r="E371" s="228"/>
      <c r="F371" s="228"/>
      <c r="G371" s="228"/>
      <c r="H371" s="241"/>
      <c r="I371" s="228"/>
      <c r="J371" s="236"/>
      <c r="K371" s="228"/>
      <c r="L371" s="228"/>
      <c r="M371" s="238"/>
      <c r="N371" s="228"/>
      <c r="O371" s="235"/>
      <c r="P371" s="236"/>
      <c r="Q371" s="235"/>
      <c r="R371" s="235"/>
      <c r="S371" s="236"/>
      <c r="T371" s="236"/>
      <c r="U371" s="237"/>
      <c r="V371" s="237"/>
      <c r="W371" s="238"/>
      <c r="X371" s="237"/>
      <c r="Y371" s="237"/>
      <c r="Z371" s="237"/>
      <c r="AA371" s="239"/>
      <c r="AB371" s="238"/>
      <c r="AC371" s="238"/>
      <c r="AD371" s="240"/>
      <c r="AE371" s="241"/>
      <c r="AF371" s="241"/>
      <c r="AG371" s="238"/>
      <c r="AH371" s="240"/>
      <c r="AI371" s="241"/>
      <c r="AJ371" s="241"/>
      <c r="AK371" s="241"/>
      <c r="AL371" s="237"/>
      <c r="AM371" s="237"/>
      <c r="AN371" s="237"/>
      <c r="AO371" s="237"/>
      <c r="AP371" s="237"/>
      <c r="AQ371" s="237"/>
      <c r="AR371" s="237"/>
    </row>
    <row r="372">
      <c r="A372" s="228"/>
      <c r="B372" s="228"/>
      <c r="C372" s="228"/>
      <c r="D372" s="228"/>
      <c r="E372" s="228"/>
      <c r="F372" s="228"/>
      <c r="G372" s="228"/>
      <c r="H372" s="241"/>
      <c r="I372" s="228"/>
      <c r="J372" s="236"/>
      <c r="K372" s="228"/>
      <c r="L372" s="228"/>
      <c r="M372" s="238"/>
      <c r="N372" s="228"/>
      <c r="O372" s="235"/>
      <c r="P372" s="236"/>
      <c r="Q372" s="235"/>
      <c r="R372" s="235"/>
      <c r="S372" s="236"/>
      <c r="T372" s="236"/>
      <c r="U372" s="237"/>
      <c r="V372" s="237"/>
      <c r="W372" s="238"/>
      <c r="X372" s="237"/>
      <c r="Y372" s="237"/>
      <c r="Z372" s="237"/>
      <c r="AA372" s="239"/>
      <c r="AB372" s="238"/>
      <c r="AC372" s="238"/>
      <c r="AD372" s="240"/>
      <c r="AE372" s="241"/>
      <c r="AF372" s="241"/>
      <c r="AG372" s="238"/>
      <c r="AH372" s="240"/>
      <c r="AI372" s="241"/>
      <c r="AJ372" s="241"/>
      <c r="AK372" s="241"/>
      <c r="AL372" s="237"/>
      <c r="AM372" s="237"/>
      <c r="AN372" s="237"/>
      <c r="AO372" s="237"/>
      <c r="AP372" s="237"/>
      <c r="AQ372" s="237"/>
      <c r="AR372" s="237"/>
    </row>
    <row r="373">
      <c r="A373" s="228"/>
      <c r="B373" s="228"/>
      <c r="C373" s="228"/>
      <c r="D373" s="228"/>
      <c r="E373" s="228"/>
      <c r="F373" s="228"/>
      <c r="G373" s="228"/>
      <c r="H373" s="241"/>
      <c r="I373" s="228"/>
      <c r="J373" s="236"/>
      <c r="K373" s="228"/>
      <c r="L373" s="228"/>
      <c r="M373" s="238"/>
      <c r="N373" s="228"/>
      <c r="O373" s="235"/>
      <c r="P373" s="236"/>
      <c r="Q373" s="235"/>
      <c r="R373" s="235"/>
      <c r="S373" s="236"/>
      <c r="T373" s="236"/>
      <c r="U373" s="237"/>
      <c r="V373" s="237"/>
      <c r="W373" s="238"/>
      <c r="X373" s="237"/>
      <c r="Y373" s="237"/>
      <c r="Z373" s="237"/>
      <c r="AA373" s="239"/>
      <c r="AB373" s="238"/>
      <c r="AC373" s="238"/>
      <c r="AD373" s="240"/>
      <c r="AE373" s="241"/>
      <c r="AF373" s="241"/>
      <c r="AG373" s="238"/>
      <c r="AH373" s="240"/>
      <c r="AI373" s="241"/>
      <c r="AJ373" s="241"/>
      <c r="AK373" s="241"/>
      <c r="AL373" s="237"/>
      <c r="AM373" s="237"/>
      <c r="AN373" s="237"/>
      <c r="AO373" s="237"/>
      <c r="AP373" s="237"/>
      <c r="AQ373" s="237"/>
      <c r="AR373" s="237"/>
    </row>
    <row r="374">
      <c r="A374" s="228"/>
      <c r="B374" s="228"/>
      <c r="C374" s="228"/>
      <c r="D374" s="228"/>
      <c r="E374" s="228"/>
      <c r="F374" s="228"/>
      <c r="G374" s="228"/>
      <c r="H374" s="241"/>
      <c r="I374" s="228"/>
      <c r="J374" s="236"/>
      <c r="K374" s="228"/>
      <c r="L374" s="228"/>
      <c r="M374" s="238"/>
      <c r="N374" s="228"/>
      <c r="O374" s="235"/>
      <c r="P374" s="236"/>
      <c r="Q374" s="235"/>
      <c r="R374" s="235"/>
      <c r="S374" s="236"/>
      <c r="T374" s="236"/>
      <c r="U374" s="237"/>
      <c r="V374" s="237"/>
      <c r="W374" s="238"/>
      <c r="X374" s="237"/>
      <c r="Y374" s="237"/>
      <c r="Z374" s="237"/>
      <c r="AA374" s="239"/>
      <c r="AB374" s="238"/>
      <c r="AC374" s="238"/>
      <c r="AD374" s="240"/>
      <c r="AE374" s="241"/>
      <c r="AF374" s="241"/>
      <c r="AG374" s="238"/>
      <c r="AH374" s="240"/>
      <c r="AI374" s="241"/>
      <c r="AJ374" s="241"/>
      <c r="AK374" s="241"/>
      <c r="AL374" s="237"/>
      <c r="AM374" s="237"/>
      <c r="AN374" s="237"/>
      <c r="AO374" s="237"/>
      <c r="AP374" s="237"/>
      <c r="AQ374" s="237"/>
      <c r="AR374" s="237"/>
    </row>
    <row r="375">
      <c r="A375" s="228"/>
      <c r="B375" s="228"/>
      <c r="C375" s="228"/>
      <c r="D375" s="228"/>
      <c r="E375" s="228"/>
      <c r="F375" s="228"/>
      <c r="G375" s="228"/>
      <c r="H375" s="241"/>
      <c r="I375" s="228"/>
      <c r="J375" s="236"/>
      <c r="K375" s="228"/>
      <c r="L375" s="228"/>
      <c r="M375" s="238"/>
      <c r="N375" s="228"/>
      <c r="O375" s="235"/>
      <c r="P375" s="236"/>
      <c r="Q375" s="235"/>
      <c r="R375" s="235"/>
      <c r="S375" s="236"/>
      <c r="T375" s="236"/>
      <c r="U375" s="237"/>
      <c r="V375" s="237"/>
      <c r="W375" s="238"/>
      <c r="X375" s="237"/>
      <c r="Y375" s="237"/>
      <c r="Z375" s="237"/>
      <c r="AA375" s="239"/>
      <c r="AB375" s="238"/>
      <c r="AC375" s="238"/>
      <c r="AD375" s="240"/>
      <c r="AE375" s="241"/>
      <c r="AF375" s="241"/>
      <c r="AG375" s="238"/>
      <c r="AH375" s="240"/>
      <c r="AI375" s="241"/>
      <c r="AJ375" s="241"/>
      <c r="AK375" s="241"/>
      <c r="AL375" s="237"/>
      <c r="AM375" s="237"/>
      <c r="AN375" s="237"/>
      <c r="AO375" s="237"/>
      <c r="AP375" s="237"/>
      <c r="AQ375" s="237"/>
      <c r="AR375" s="237"/>
    </row>
    <row r="376">
      <c r="A376" s="228"/>
      <c r="B376" s="228"/>
      <c r="C376" s="228"/>
      <c r="D376" s="228"/>
      <c r="E376" s="228"/>
      <c r="F376" s="228"/>
      <c r="G376" s="228"/>
      <c r="H376" s="241"/>
      <c r="I376" s="228"/>
      <c r="J376" s="236"/>
      <c r="K376" s="228"/>
      <c r="L376" s="228"/>
      <c r="M376" s="238"/>
      <c r="N376" s="228"/>
      <c r="O376" s="235"/>
      <c r="P376" s="236"/>
      <c r="Q376" s="235"/>
      <c r="R376" s="235"/>
      <c r="S376" s="236"/>
      <c r="T376" s="236"/>
      <c r="U376" s="237"/>
      <c r="V376" s="237"/>
      <c r="W376" s="238"/>
      <c r="X376" s="237"/>
      <c r="Y376" s="237"/>
      <c r="Z376" s="237"/>
      <c r="AA376" s="239"/>
      <c r="AB376" s="238"/>
      <c r="AC376" s="238"/>
      <c r="AD376" s="240"/>
      <c r="AE376" s="241"/>
      <c r="AF376" s="241"/>
      <c r="AG376" s="238"/>
      <c r="AH376" s="240"/>
      <c r="AI376" s="241"/>
      <c r="AJ376" s="241"/>
      <c r="AK376" s="241"/>
      <c r="AL376" s="237"/>
      <c r="AM376" s="237"/>
      <c r="AN376" s="237"/>
      <c r="AO376" s="237"/>
      <c r="AP376" s="237"/>
      <c r="AQ376" s="237"/>
      <c r="AR376" s="237"/>
    </row>
    <row r="377">
      <c r="A377" s="228"/>
      <c r="B377" s="228"/>
      <c r="C377" s="228"/>
      <c r="D377" s="228"/>
      <c r="E377" s="228"/>
      <c r="F377" s="228"/>
      <c r="G377" s="228"/>
      <c r="H377" s="241"/>
      <c r="I377" s="228"/>
      <c r="J377" s="236"/>
      <c r="K377" s="228"/>
      <c r="L377" s="228"/>
      <c r="M377" s="238"/>
      <c r="N377" s="228"/>
      <c r="O377" s="235"/>
      <c r="P377" s="236"/>
      <c r="Q377" s="235"/>
      <c r="R377" s="235"/>
      <c r="S377" s="236"/>
      <c r="T377" s="236"/>
      <c r="U377" s="237"/>
      <c r="V377" s="237"/>
      <c r="W377" s="238"/>
      <c r="X377" s="237"/>
      <c r="Y377" s="237"/>
      <c r="Z377" s="237"/>
      <c r="AA377" s="239"/>
      <c r="AB377" s="238"/>
      <c r="AC377" s="238"/>
      <c r="AD377" s="240"/>
      <c r="AE377" s="241"/>
      <c r="AF377" s="241"/>
      <c r="AG377" s="238"/>
      <c r="AH377" s="240"/>
      <c r="AI377" s="241"/>
      <c r="AJ377" s="241"/>
      <c r="AK377" s="241"/>
      <c r="AL377" s="237"/>
      <c r="AM377" s="237"/>
      <c r="AN377" s="237"/>
      <c r="AO377" s="237"/>
      <c r="AP377" s="237"/>
      <c r="AQ377" s="237"/>
      <c r="AR377" s="237"/>
    </row>
    <row r="378">
      <c r="A378" s="228"/>
      <c r="B378" s="228"/>
      <c r="C378" s="228"/>
      <c r="D378" s="228"/>
      <c r="E378" s="228"/>
      <c r="F378" s="228"/>
      <c r="G378" s="228"/>
      <c r="H378" s="241"/>
      <c r="I378" s="228"/>
      <c r="J378" s="236"/>
      <c r="K378" s="228"/>
      <c r="L378" s="228"/>
      <c r="M378" s="238"/>
      <c r="N378" s="228"/>
      <c r="O378" s="235"/>
      <c r="P378" s="236"/>
      <c r="Q378" s="235"/>
      <c r="R378" s="235"/>
      <c r="S378" s="236"/>
      <c r="T378" s="236"/>
      <c r="U378" s="237"/>
      <c r="V378" s="237"/>
      <c r="W378" s="238"/>
      <c r="X378" s="237"/>
      <c r="Y378" s="237"/>
      <c r="Z378" s="237"/>
      <c r="AA378" s="239"/>
      <c r="AB378" s="238"/>
      <c r="AC378" s="238"/>
      <c r="AD378" s="240"/>
      <c r="AE378" s="241"/>
      <c r="AF378" s="241"/>
      <c r="AG378" s="238"/>
      <c r="AH378" s="240"/>
      <c r="AI378" s="241"/>
      <c r="AJ378" s="241"/>
      <c r="AK378" s="241"/>
      <c r="AL378" s="237"/>
      <c r="AM378" s="237"/>
      <c r="AN378" s="237"/>
      <c r="AO378" s="237"/>
      <c r="AP378" s="237"/>
      <c r="AQ378" s="237"/>
      <c r="AR378" s="237"/>
    </row>
    <row r="379">
      <c r="A379" s="228"/>
      <c r="B379" s="228"/>
      <c r="C379" s="228"/>
      <c r="D379" s="228"/>
      <c r="E379" s="228"/>
      <c r="F379" s="228"/>
      <c r="G379" s="228"/>
      <c r="H379" s="241"/>
      <c r="I379" s="228"/>
      <c r="J379" s="236"/>
      <c r="K379" s="228"/>
      <c r="L379" s="228"/>
      <c r="M379" s="238"/>
      <c r="N379" s="228"/>
      <c r="O379" s="235"/>
      <c r="P379" s="236"/>
      <c r="Q379" s="235"/>
      <c r="R379" s="235"/>
      <c r="S379" s="236"/>
      <c r="T379" s="236"/>
      <c r="U379" s="237"/>
      <c r="V379" s="237"/>
      <c r="W379" s="238"/>
      <c r="X379" s="237"/>
      <c r="Y379" s="237"/>
      <c r="Z379" s="237"/>
      <c r="AA379" s="239"/>
      <c r="AB379" s="238"/>
      <c r="AC379" s="238"/>
      <c r="AD379" s="240"/>
      <c r="AE379" s="241"/>
      <c r="AF379" s="241"/>
      <c r="AG379" s="238"/>
      <c r="AH379" s="240"/>
      <c r="AI379" s="241"/>
      <c r="AJ379" s="241"/>
      <c r="AK379" s="241"/>
      <c r="AL379" s="237"/>
      <c r="AM379" s="237"/>
      <c r="AN379" s="237"/>
      <c r="AO379" s="237"/>
      <c r="AP379" s="237"/>
      <c r="AQ379" s="237"/>
      <c r="AR379" s="237"/>
    </row>
    <row r="380">
      <c r="A380" s="228"/>
      <c r="B380" s="228"/>
      <c r="C380" s="228"/>
      <c r="D380" s="228"/>
      <c r="E380" s="228"/>
      <c r="F380" s="228"/>
      <c r="G380" s="228"/>
      <c r="H380" s="241"/>
      <c r="I380" s="228"/>
      <c r="J380" s="236"/>
      <c r="K380" s="228"/>
      <c r="L380" s="228"/>
      <c r="M380" s="238"/>
      <c r="N380" s="228"/>
      <c r="O380" s="235"/>
      <c r="P380" s="236"/>
      <c r="Q380" s="235"/>
      <c r="R380" s="235"/>
      <c r="S380" s="236"/>
      <c r="T380" s="236"/>
      <c r="U380" s="237"/>
      <c r="V380" s="237"/>
      <c r="W380" s="238"/>
      <c r="X380" s="237"/>
      <c r="Y380" s="237"/>
      <c r="Z380" s="237"/>
      <c r="AA380" s="239"/>
      <c r="AB380" s="238"/>
      <c r="AC380" s="238"/>
      <c r="AD380" s="240"/>
      <c r="AE380" s="241"/>
      <c r="AF380" s="241"/>
      <c r="AG380" s="238"/>
      <c r="AH380" s="240"/>
      <c r="AI380" s="241"/>
      <c r="AJ380" s="241"/>
      <c r="AK380" s="241"/>
      <c r="AL380" s="237"/>
      <c r="AM380" s="237"/>
      <c r="AN380" s="237"/>
      <c r="AO380" s="237"/>
      <c r="AP380" s="237"/>
      <c r="AQ380" s="237"/>
      <c r="AR380" s="237"/>
    </row>
    <row r="381">
      <c r="A381" s="228"/>
      <c r="B381" s="228"/>
      <c r="C381" s="228"/>
      <c r="D381" s="228"/>
      <c r="E381" s="228"/>
      <c r="F381" s="228"/>
      <c r="G381" s="228"/>
      <c r="H381" s="241"/>
      <c r="I381" s="228"/>
      <c r="J381" s="236"/>
      <c r="K381" s="228"/>
      <c r="L381" s="228"/>
      <c r="M381" s="238"/>
      <c r="N381" s="228"/>
      <c r="O381" s="235"/>
      <c r="P381" s="236"/>
      <c r="Q381" s="235"/>
      <c r="R381" s="235"/>
      <c r="S381" s="236"/>
      <c r="T381" s="236"/>
      <c r="U381" s="237"/>
      <c r="V381" s="237"/>
      <c r="W381" s="238"/>
      <c r="X381" s="237"/>
      <c r="Y381" s="237"/>
      <c r="Z381" s="237"/>
      <c r="AA381" s="239"/>
      <c r="AB381" s="238"/>
      <c r="AC381" s="238"/>
      <c r="AD381" s="240"/>
      <c r="AE381" s="241"/>
      <c r="AF381" s="241"/>
      <c r="AG381" s="238"/>
      <c r="AH381" s="240"/>
      <c r="AI381" s="241"/>
      <c r="AJ381" s="241"/>
      <c r="AK381" s="241"/>
      <c r="AL381" s="237"/>
      <c r="AM381" s="237"/>
      <c r="AN381" s="237"/>
      <c r="AO381" s="237"/>
      <c r="AP381" s="237"/>
      <c r="AQ381" s="237"/>
      <c r="AR381" s="237"/>
    </row>
    <row r="382">
      <c r="A382" s="228"/>
      <c r="B382" s="228"/>
      <c r="C382" s="228"/>
      <c r="D382" s="228"/>
      <c r="E382" s="228"/>
      <c r="F382" s="228"/>
      <c r="G382" s="228"/>
      <c r="H382" s="241"/>
      <c r="I382" s="228"/>
      <c r="J382" s="236"/>
      <c r="K382" s="228"/>
      <c r="L382" s="228"/>
      <c r="M382" s="238"/>
      <c r="N382" s="228"/>
      <c r="O382" s="235"/>
      <c r="P382" s="236"/>
      <c r="Q382" s="235"/>
      <c r="R382" s="235"/>
      <c r="S382" s="236"/>
      <c r="T382" s="236"/>
      <c r="U382" s="237"/>
      <c r="V382" s="237"/>
      <c r="W382" s="238"/>
      <c r="X382" s="237"/>
      <c r="Y382" s="237"/>
      <c r="Z382" s="237"/>
      <c r="AA382" s="239"/>
      <c r="AB382" s="238"/>
      <c r="AC382" s="238"/>
      <c r="AD382" s="240"/>
      <c r="AE382" s="241"/>
      <c r="AF382" s="241"/>
      <c r="AG382" s="238"/>
      <c r="AH382" s="240"/>
      <c r="AI382" s="241"/>
      <c r="AJ382" s="241"/>
      <c r="AK382" s="241"/>
      <c r="AL382" s="237"/>
      <c r="AM382" s="237"/>
      <c r="AN382" s="237"/>
      <c r="AO382" s="237"/>
      <c r="AP382" s="237"/>
      <c r="AQ382" s="237"/>
      <c r="AR382" s="237"/>
    </row>
    <row r="383">
      <c r="A383" s="228"/>
      <c r="B383" s="228"/>
      <c r="C383" s="228"/>
      <c r="D383" s="228"/>
      <c r="E383" s="228"/>
      <c r="F383" s="228"/>
      <c r="G383" s="228"/>
      <c r="H383" s="241"/>
      <c r="I383" s="228"/>
      <c r="J383" s="236"/>
      <c r="K383" s="228"/>
      <c r="L383" s="228"/>
      <c r="M383" s="238"/>
      <c r="N383" s="228"/>
      <c r="O383" s="235"/>
      <c r="P383" s="236"/>
      <c r="Q383" s="235"/>
      <c r="R383" s="235"/>
      <c r="S383" s="236"/>
      <c r="T383" s="236"/>
      <c r="U383" s="237"/>
      <c r="V383" s="237"/>
      <c r="W383" s="238"/>
      <c r="X383" s="237"/>
      <c r="Y383" s="237"/>
      <c r="Z383" s="237"/>
      <c r="AA383" s="239"/>
      <c r="AB383" s="238"/>
      <c r="AC383" s="238"/>
      <c r="AD383" s="240"/>
      <c r="AE383" s="241"/>
      <c r="AF383" s="241"/>
      <c r="AG383" s="238"/>
      <c r="AH383" s="240"/>
      <c r="AI383" s="241"/>
      <c r="AJ383" s="241"/>
      <c r="AK383" s="241"/>
      <c r="AL383" s="237"/>
      <c r="AM383" s="237"/>
      <c r="AN383" s="237"/>
      <c r="AO383" s="237"/>
      <c r="AP383" s="237"/>
      <c r="AQ383" s="237"/>
      <c r="AR383" s="237"/>
    </row>
    <row r="384">
      <c r="A384" s="228"/>
      <c r="B384" s="228"/>
      <c r="C384" s="228"/>
      <c r="D384" s="228"/>
      <c r="E384" s="228"/>
      <c r="F384" s="228"/>
      <c r="G384" s="228"/>
      <c r="H384" s="241"/>
      <c r="I384" s="228"/>
      <c r="J384" s="236"/>
      <c r="K384" s="228"/>
      <c r="L384" s="228"/>
      <c r="M384" s="238"/>
      <c r="N384" s="228"/>
      <c r="O384" s="235"/>
      <c r="P384" s="236"/>
      <c r="Q384" s="235"/>
      <c r="R384" s="235"/>
      <c r="S384" s="236"/>
      <c r="T384" s="236"/>
      <c r="U384" s="237"/>
      <c r="V384" s="237"/>
      <c r="W384" s="238"/>
      <c r="X384" s="237"/>
      <c r="Y384" s="237"/>
      <c r="Z384" s="237"/>
      <c r="AA384" s="239"/>
      <c r="AB384" s="238"/>
      <c r="AC384" s="238"/>
      <c r="AD384" s="240"/>
      <c r="AE384" s="241"/>
      <c r="AF384" s="241"/>
      <c r="AG384" s="238"/>
      <c r="AH384" s="240"/>
      <c r="AI384" s="241"/>
      <c r="AJ384" s="241"/>
      <c r="AK384" s="241"/>
      <c r="AL384" s="237"/>
      <c r="AM384" s="237"/>
      <c r="AN384" s="237"/>
      <c r="AO384" s="237"/>
      <c r="AP384" s="237"/>
      <c r="AQ384" s="237"/>
      <c r="AR384" s="237"/>
    </row>
    <row r="385">
      <c r="A385" s="228"/>
      <c r="B385" s="228"/>
      <c r="C385" s="228"/>
      <c r="D385" s="228"/>
      <c r="E385" s="228"/>
      <c r="F385" s="228"/>
      <c r="G385" s="228"/>
      <c r="H385" s="241"/>
      <c r="I385" s="228"/>
      <c r="J385" s="236"/>
      <c r="K385" s="228"/>
      <c r="L385" s="228"/>
      <c r="M385" s="238"/>
      <c r="N385" s="228"/>
      <c r="O385" s="235"/>
      <c r="P385" s="236"/>
      <c r="Q385" s="235"/>
      <c r="R385" s="235"/>
      <c r="S385" s="236"/>
      <c r="T385" s="236"/>
      <c r="U385" s="237"/>
      <c r="V385" s="237"/>
      <c r="W385" s="238"/>
      <c r="X385" s="237"/>
      <c r="Y385" s="237"/>
      <c r="Z385" s="237"/>
      <c r="AA385" s="239"/>
      <c r="AB385" s="238"/>
      <c r="AC385" s="238"/>
      <c r="AD385" s="240"/>
      <c r="AE385" s="241"/>
      <c r="AF385" s="241"/>
      <c r="AG385" s="238"/>
      <c r="AH385" s="240"/>
      <c r="AI385" s="241"/>
      <c r="AJ385" s="241"/>
      <c r="AK385" s="241"/>
      <c r="AL385" s="237"/>
      <c r="AM385" s="237"/>
      <c r="AN385" s="237"/>
      <c r="AO385" s="237"/>
      <c r="AP385" s="237"/>
      <c r="AQ385" s="237"/>
      <c r="AR385" s="237"/>
    </row>
    <row r="386">
      <c r="A386" s="228"/>
      <c r="B386" s="228"/>
      <c r="C386" s="228"/>
      <c r="D386" s="228"/>
      <c r="E386" s="228"/>
      <c r="F386" s="228"/>
      <c r="G386" s="228"/>
      <c r="H386" s="241"/>
      <c r="I386" s="228"/>
      <c r="J386" s="236"/>
      <c r="K386" s="228"/>
      <c r="L386" s="228"/>
      <c r="M386" s="238"/>
      <c r="N386" s="228"/>
      <c r="O386" s="235"/>
      <c r="P386" s="236"/>
      <c r="Q386" s="235"/>
      <c r="R386" s="235"/>
      <c r="S386" s="236"/>
      <c r="T386" s="236"/>
      <c r="U386" s="237"/>
      <c r="V386" s="237"/>
      <c r="W386" s="238"/>
      <c r="X386" s="237"/>
      <c r="Y386" s="237"/>
      <c r="Z386" s="237"/>
      <c r="AA386" s="239"/>
      <c r="AB386" s="238"/>
      <c r="AC386" s="238"/>
      <c r="AD386" s="240"/>
      <c r="AE386" s="241"/>
      <c r="AF386" s="241"/>
      <c r="AG386" s="238"/>
      <c r="AH386" s="240"/>
      <c r="AI386" s="241"/>
      <c r="AJ386" s="241"/>
      <c r="AK386" s="241"/>
      <c r="AL386" s="237"/>
      <c r="AM386" s="237"/>
      <c r="AN386" s="237"/>
      <c r="AO386" s="237"/>
      <c r="AP386" s="237"/>
      <c r="AQ386" s="237"/>
      <c r="AR386" s="237"/>
    </row>
    <row r="387">
      <c r="A387" s="228"/>
      <c r="B387" s="228"/>
      <c r="C387" s="228"/>
      <c r="D387" s="228"/>
      <c r="E387" s="228"/>
      <c r="F387" s="228"/>
      <c r="G387" s="228"/>
      <c r="H387" s="241"/>
      <c r="I387" s="228"/>
      <c r="J387" s="236"/>
      <c r="K387" s="228"/>
      <c r="L387" s="228"/>
      <c r="M387" s="238"/>
      <c r="N387" s="228"/>
      <c r="O387" s="235"/>
      <c r="P387" s="236"/>
      <c r="Q387" s="235"/>
      <c r="R387" s="235"/>
      <c r="S387" s="236"/>
      <c r="T387" s="236"/>
      <c r="U387" s="237"/>
      <c r="V387" s="237"/>
      <c r="W387" s="238"/>
      <c r="X387" s="237"/>
      <c r="Y387" s="237"/>
      <c r="Z387" s="237"/>
      <c r="AA387" s="239"/>
      <c r="AB387" s="238"/>
      <c r="AC387" s="238"/>
      <c r="AD387" s="240"/>
      <c r="AE387" s="241"/>
      <c r="AF387" s="241"/>
      <c r="AG387" s="238"/>
      <c r="AH387" s="240"/>
      <c r="AI387" s="241"/>
      <c r="AJ387" s="241"/>
      <c r="AK387" s="241"/>
      <c r="AL387" s="237"/>
      <c r="AM387" s="237"/>
      <c r="AN387" s="237"/>
      <c r="AO387" s="237"/>
      <c r="AP387" s="237"/>
      <c r="AQ387" s="237"/>
      <c r="AR387" s="237"/>
    </row>
    <row r="388">
      <c r="A388" s="228"/>
      <c r="B388" s="228"/>
      <c r="C388" s="228"/>
      <c r="D388" s="228"/>
      <c r="E388" s="228"/>
      <c r="F388" s="228"/>
      <c r="G388" s="228"/>
      <c r="H388" s="241"/>
      <c r="I388" s="228"/>
      <c r="J388" s="236"/>
      <c r="K388" s="228"/>
      <c r="L388" s="228"/>
      <c r="M388" s="238"/>
      <c r="N388" s="228"/>
      <c r="O388" s="235"/>
      <c r="P388" s="236"/>
      <c r="Q388" s="235"/>
      <c r="R388" s="235"/>
      <c r="S388" s="236"/>
      <c r="T388" s="236"/>
      <c r="U388" s="237"/>
      <c r="V388" s="237"/>
      <c r="W388" s="238"/>
      <c r="X388" s="237"/>
      <c r="Y388" s="237"/>
      <c r="Z388" s="237"/>
      <c r="AA388" s="239"/>
      <c r="AB388" s="238"/>
      <c r="AC388" s="238"/>
      <c r="AD388" s="240"/>
      <c r="AE388" s="241"/>
      <c r="AF388" s="241"/>
      <c r="AG388" s="238"/>
      <c r="AH388" s="240"/>
      <c r="AI388" s="241"/>
      <c r="AJ388" s="241"/>
      <c r="AK388" s="241"/>
      <c r="AL388" s="237"/>
      <c r="AM388" s="237"/>
      <c r="AN388" s="237"/>
      <c r="AO388" s="237"/>
      <c r="AP388" s="237"/>
      <c r="AQ388" s="237"/>
      <c r="AR388" s="237"/>
    </row>
    <row r="389">
      <c r="A389" s="228"/>
      <c r="B389" s="228"/>
      <c r="C389" s="228"/>
      <c r="D389" s="228"/>
      <c r="E389" s="228"/>
      <c r="F389" s="228"/>
      <c r="G389" s="228"/>
      <c r="H389" s="241"/>
      <c r="I389" s="228"/>
      <c r="J389" s="236"/>
      <c r="K389" s="228"/>
      <c r="L389" s="228"/>
      <c r="M389" s="238"/>
      <c r="N389" s="228"/>
      <c r="O389" s="235"/>
      <c r="P389" s="236"/>
      <c r="Q389" s="235"/>
      <c r="R389" s="235"/>
      <c r="S389" s="236"/>
      <c r="T389" s="236"/>
      <c r="U389" s="237"/>
      <c r="V389" s="237"/>
      <c r="W389" s="238"/>
      <c r="X389" s="237"/>
      <c r="Y389" s="237"/>
      <c r="Z389" s="237"/>
      <c r="AA389" s="239"/>
      <c r="AB389" s="238"/>
      <c r="AC389" s="238"/>
      <c r="AD389" s="240"/>
      <c r="AE389" s="241"/>
      <c r="AF389" s="241"/>
      <c r="AG389" s="238"/>
      <c r="AH389" s="240"/>
      <c r="AI389" s="241"/>
      <c r="AJ389" s="241"/>
      <c r="AK389" s="241"/>
      <c r="AL389" s="237"/>
      <c r="AM389" s="237"/>
      <c r="AN389" s="237"/>
      <c r="AO389" s="237"/>
      <c r="AP389" s="237"/>
      <c r="AQ389" s="237"/>
      <c r="AR389" s="237"/>
    </row>
    <row r="390">
      <c r="A390" s="228"/>
      <c r="B390" s="228"/>
      <c r="C390" s="228"/>
      <c r="D390" s="228"/>
      <c r="E390" s="228"/>
      <c r="F390" s="228"/>
      <c r="G390" s="228"/>
      <c r="H390" s="241"/>
      <c r="I390" s="228"/>
      <c r="J390" s="236"/>
      <c r="K390" s="228"/>
      <c r="L390" s="228"/>
      <c r="M390" s="238"/>
      <c r="N390" s="228"/>
      <c r="O390" s="235"/>
      <c r="P390" s="236"/>
      <c r="Q390" s="235"/>
      <c r="R390" s="235"/>
      <c r="S390" s="236"/>
      <c r="T390" s="236"/>
      <c r="U390" s="237"/>
      <c r="V390" s="237"/>
      <c r="W390" s="238"/>
      <c r="X390" s="237"/>
      <c r="Y390" s="237"/>
      <c r="Z390" s="237"/>
      <c r="AA390" s="239"/>
      <c r="AB390" s="238"/>
      <c r="AC390" s="238"/>
      <c r="AD390" s="240"/>
      <c r="AE390" s="241"/>
      <c r="AF390" s="241"/>
      <c r="AG390" s="238"/>
      <c r="AH390" s="240"/>
      <c r="AI390" s="241"/>
      <c r="AJ390" s="241"/>
      <c r="AK390" s="241"/>
      <c r="AL390" s="237"/>
      <c r="AM390" s="237"/>
      <c r="AN390" s="237"/>
      <c r="AO390" s="237"/>
      <c r="AP390" s="237"/>
      <c r="AQ390" s="237"/>
      <c r="AR390" s="237"/>
    </row>
    <row r="391">
      <c r="A391" s="228"/>
      <c r="B391" s="228"/>
      <c r="C391" s="228"/>
      <c r="D391" s="228"/>
      <c r="E391" s="228"/>
      <c r="F391" s="228"/>
      <c r="G391" s="228"/>
      <c r="H391" s="241"/>
      <c r="I391" s="228"/>
      <c r="J391" s="236"/>
      <c r="K391" s="228"/>
      <c r="L391" s="228"/>
      <c r="M391" s="238"/>
      <c r="N391" s="228"/>
      <c r="O391" s="235"/>
      <c r="P391" s="236"/>
      <c r="Q391" s="235"/>
      <c r="R391" s="235"/>
      <c r="S391" s="236"/>
      <c r="T391" s="236"/>
      <c r="U391" s="237"/>
      <c r="V391" s="237"/>
      <c r="W391" s="238"/>
      <c r="X391" s="237"/>
      <c r="Y391" s="237"/>
      <c r="Z391" s="237"/>
      <c r="AA391" s="239"/>
      <c r="AB391" s="238"/>
      <c r="AC391" s="238"/>
      <c r="AD391" s="240"/>
      <c r="AE391" s="241"/>
      <c r="AF391" s="241"/>
      <c r="AG391" s="238"/>
      <c r="AH391" s="240"/>
      <c r="AI391" s="241"/>
      <c r="AJ391" s="241"/>
      <c r="AK391" s="241"/>
      <c r="AL391" s="237"/>
      <c r="AM391" s="237"/>
      <c r="AN391" s="237"/>
      <c r="AO391" s="237"/>
      <c r="AP391" s="237"/>
      <c r="AQ391" s="237"/>
      <c r="AR391" s="237"/>
    </row>
    <row r="392">
      <c r="A392" s="228"/>
      <c r="B392" s="228"/>
      <c r="C392" s="228"/>
      <c r="D392" s="228"/>
      <c r="E392" s="228"/>
      <c r="F392" s="228"/>
      <c r="G392" s="228"/>
      <c r="H392" s="241"/>
      <c r="I392" s="228"/>
      <c r="J392" s="236"/>
      <c r="K392" s="228"/>
      <c r="L392" s="228"/>
      <c r="M392" s="238"/>
      <c r="N392" s="228"/>
      <c r="O392" s="235"/>
      <c r="P392" s="236"/>
      <c r="Q392" s="235"/>
      <c r="R392" s="235"/>
      <c r="S392" s="236"/>
      <c r="T392" s="236"/>
      <c r="U392" s="237"/>
      <c r="V392" s="237"/>
      <c r="W392" s="238"/>
      <c r="X392" s="237"/>
      <c r="Y392" s="237"/>
      <c r="Z392" s="237"/>
      <c r="AA392" s="239"/>
      <c r="AB392" s="238"/>
      <c r="AC392" s="238"/>
      <c r="AD392" s="240"/>
      <c r="AE392" s="241"/>
      <c r="AF392" s="241"/>
      <c r="AG392" s="238"/>
      <c r="AH392" s="240"/>
      <c r="AI392" s="241"/>
      <c r="AJ392" s="241"/>
      <c r="AK392" s="241"/>
      <c r="AL392" s="237"/>
      <c r="AM392" s="237"/>
      <c r="AN392" s="237"/>
      <c r="AO392" s="237"/>
      <c r="AP392" s="237"/>
      <c r="AQ392" s="237"/>
      <c r="AR392" s="237"/>
    </row>
    <row r="393">
      <c r="A393" s="228"/>
      <c r="B393" s="228"/>
      <c r="C393" s="228"/>
      <c r="D393" s="228"/>
      <c r="E393" s="228"/>
      <c r="F393" s="228"/>
      <c r="G393" s="228"/>
      <c r="H393" s="241"/>
      <c r="I393" s="228"/>
      <c r="J393" s="236"/>
      <c r="K393" s="228"/>
      <c r="L393" s="228"/>
      <c r="M393" s="238"/>
      <c r="N393" s="228"/>
      <c r="O393" s="235"/>
      <c r="P393" s="236"/>
      <c r="Q393" s="235"/>
      <c r="R393" s="235"/>
      <c r="S393" s="236"/>
      <c r="T393" s="236"/>
      <c r="U393" s="237"/>
      <c r="V393" s="237"/>
      <c r="W393" s="238"/>
      <c r="X393" s="237"/>
      <c r="Y393" s="237"/>
      <c r="Z393" s="237"/>
      <c r="AA393" s="239"/>
      <c r="AB393" s="238"/>
      <c r="AC393" s="238"/>
      <c r="AD393" s="240"/>
      <c r="AE393" s="241"/>
      <c r="AF393" s="241"/>
      <c r="AG393" s="238"/>
      <c r="AH393" s="240"/>
      <c r="AI393" s="241"/>
      <c r="AJ393" s="241"/>
      <c r="AK393" s="241"/>
      <c r="AL393" s="237"/>
      <c r="AM393" s="237"/>
      <c r="AN393" s="237"/>
      <c r="AO393" s="237"/>
      <c r="AP393" s="237"/>
      <c r="AQ393" s="237"/>
      <c r="AR393" s="237"/>
    </row>
    <row r="394">
      <c r="A394" s="228"/>
      <c r="B394" s="228"/>
      <c r="C394" s="228"/>
      <c r="D394" s="228"/>
      <c r="E394" s="228"/>
      <c r="F394" s="228"/>
      <c r="G394" s="228"/>
      <c r="H394" s="241"/>
      <c r="I394" s="228"/>
      <c r="J394" s="236"/>
      <c r="K394" s="228"/>
      <c r="L394" s="228"/>
      <c r="M394" s="238"/>
      <c r="N394" s="228"/>
      <c r="O394" s="235"/>
      <c r="P394" s="236"/>
      <c r="Q394" s="235"/>
      <c r="R394" s="235"/>
      <c r="S394" s="236"/>
      <c r="T394" s="236"/>
      <c r="U394" s="237"/>
      <c r="V394" s="237"/>
      <c r="W394" s="238"/>
      <c r="X394" s="237"/>
      <c r="Y394" s="237"/>
      <c r="Z394" s="237"/>
      <c r="AA394" s="239"/>
      <c r="AB394" s="238"/>
      <c r="AC394" s="238"/>
      <c r="AD394" s="240"/>
      <c r="AE394" s="241"/>
      <c r="AF394" s="241"/>
      <c r="AG394" s="238"/>
      <c r="AH394" s="240"/>
      <c r="AI394" s="241"/>
      <c r="AJ394" s="241"/>
      <c r="AK394" s="241"/>
      <c r="AL394" s="237"/>
      <c r="AM394" s="237"/>
      <c r="AN394" s="237"/>
      <c r="AO394" s="237"/>
      <c r="AP394" s="237"/>
      <c r="AQ394" s="237"/>
      <c r="AR394" s="237"/>
    </row>
    <row r="395">
      <c r="A395" s="228"/>
      <c r="B395" s="228"/>
      <c r="C395" s="228"/>
      <c r="D395" s="228"/>
      <c r="E395" s="228"/>
      <c r="F395" s="228"/>
      <c r="G395" s="228"/>
      <c r="H395" s="241"/>
      <c r="I395" s="228"/>
      <c r="J395" s="236"/>
      <c r="K395" s="228"/>
      <c r="L395" s="228"/>
      <c r="M395" s="238"/>
      <c r="N395" s="228"/>
      <c r="O395" s="235"/>
      <c r="P395" s="236"/>
      <c r="Q395" s="235"/>
      <c r="R395" s="235"/>
      <c r="S395" s="236"/>
      <c r="T395" s="236"/>
      <c r="U395" s="237"/>
      <c r="V395" s="237"/>
      <c r="W395" s="238"/>
      <c r="X395" s="237"/>
      <c r="Y395" s="237"/>
      <c r="Z395" s="237"/>
      <c r="AA395" s="239"/>
      <c r="AB395" s="238"/>
      <c r="AC395" s="238"/>
      <c r="AD395" s="240"/>
      <c r="AE395" s="241"/>
      <c r="AF395" s="241"/>
      <c r="AG395" s="238"/>
      <c r="AH395" s="240"/>
      <c r="AI395" s="241"/>
      <c r="AJ395" s="241"/>
      <c r="AK395" s="241"/>
      <c r="AL395" s="237"/>
      <c r="AM395" s="237"/>
      <c r="AN395" s="237"/>
      <c r="AO395" s="237"/>
      <c r="AP395" s="237"/>
      <c r="AQ395" s="237"/>
      <c r="AR395" s="237"/>
    </row>
    <row r="396">
      <c r="A396" s="228"/>
      <c r="B396" s="228"/>
      <c r="C396" s="228"/>
      <c r="D396" s="228"/>
      <c r="E396" s="228"/>
      <c r="F396" s="228"/>
      <c r="G396" s="228"/>
      <c r="H396" s="241"/>
      <c r="I396" s="228"/>
      <c r="J396" s="236"/>
      <c r="K396" s="228"/>
      <c r="L396" s="228"/>
      <c r="M396" s="238"/>
      <c r="N396" s="228"/>
      <c r="O396" s="235"/>
      <c r="P396" s="236"/>
      <c r="Q396" s="235"/>
      <c r="R396" s="235"/>
      <c r="S396" s="236"/>
      <c r="T396" s="236"/>
      <c r="U396" s="237"/>
      <c r="V396" s="237"/>
      <c r="W396" s="238"/>
      <c r="X396" s="237"/>
      <c r="Y396" s="237"/>
      <c r="Z396" s="237"/>
      <c r="AA396" s="239"/>
      <c r="AB396" s="238"/>
      <c r="AC396" s="238"/>
      <c r="AD396" s="240"/>
      <c r="AE396" s="241"/>
      <c r="AF396" s="241"/>
      <c r="AG396" s="238"/>
      <c r="AH396" s="240"/>
      <c r="AI396" s="241"/>
      <c r="AJ396" s="241"/>
      <c r="AK396" s="241"/>
      <c r="AL396" s="237"/>
      <c r="AM396" s="237"/>
      <c r="AN396" s="237"/>
      <c r="AO396" s="237"/>
      <c r="AP396" s="237"/>
      <c r="AQ396" s="237"/>
      <c r="AR396" s="237"/>
    </row>
    <row r="397">
      <c r="A397" s="228"/>
      <c r="B397" s="228"/>
      <c r="C397" s="228"/>
      <c r="D397" s="228"/>
      <c r="E397" s="228"/>
      <c r="F397" s="228"/>
      <c r="G397" s="228"/>
      <c r="H397" s="241"/>
      <c r="I397" s="228"/>
      <c r="J397" s="236"/>
      <c r="K397" s="228"/>
      <c r="L397" s="228"/>
      <c r="M397" s="238"/>
      <c r="N397" s="228"/>
      <c r="O397" s="235"/>
      <c r="P397" s="236"/>
      <c r="Q397" s="235"/>
      <c r="R397" s="235"/>
      <c r="S397" s="236"/>
      <c r="T397" s="236"/>
      <c r="U397" s="237"/>
      <c r="V397" s="237"/>
      <c r="W397" s="238"/>
      <c r="X397" s="237"/>
      <c r="Y397" s="237"/>
      <c r="Z397" s="237"/>
      <c r="AA397" s="239"/>
      <c r="AB397" s="238"/>
      <c r="AC397" s="238"/>
      <c r="AD397" s="240"/>
      <c r="AE397" s="241"/>
      <c r="AF397" s="241"/>
      <c r="AG397" s="238"/>
      <c r="AH397" s="240"/>
      <c r="AI397" s="241"/>
      <c r="AJ397" s="241"/>
      <c r="AK397" s="241"/>
      <c r="AL397" s="237"/>
      <c r="AM397" s="237"/>
      <c r="AN397" s="237"/>
      <c r="AO397" s="237"/>
      <c r="AP397" s="237"/>
      <c r="AQ397" s="237"/>
      <c r="AR397" s="237"/>
    </row>
    <row r="398">
      <c r="A398" s="228"/>
      <c r="B398" s="228"/>
      <c r="C398" s="228"/>
      <c r="D398" s="228"/>
      <c r="E398" s="228"/>
      <c r="F398" s="228"/>
      <c r="G398" s="228"/>
      <c r="H398" s="241"/>
      <c r="I398" s="228"/>
      <c r="J398" s="236"/>
      <c r="K398" s="228"/>
      <c r="L398" s="228"/>
      <c r="M398" s="238"/>
      <c r="N398" s="228"/>
      <c r="O398" s="235"/>
      <c r="P398" s="236"/>
      <c r="Q398" s="235"/>
      <c r="R398" s="235"/>
      <c r="S398" s="236"/>
      <c r="T398" s="236"/>
      <c r="U398" s="237"/>
      <c r="V398" s="237"/>
      <c r="W398" s="238"/>
      <c r="X398" s="237"/>
      <c r="Y398" s="237"/>
      <c r="Z398" s="237"/>
      <c r="AA398" s="239"/>
      <c r="AB398" s="238"/>
      <c r="AC398" s="238"/>
      <c r="AD398" s="240"/>
      <c r="AE398" s="241"/>
      <c r="AF398" s="241"/>
      <c r="AG398" s="238"/>
      <c r="AH398" s="240"/>
      <c r="AI398" s="241"/>
      <c r="AJ398" s="241"/>
      <c r="AK398" s="241"/>
      <c r="AL398" s="237"/>
      <c r="AM398" s="237"/>
      <c r="AN398" s="237"/>
      <c r="AO398" s="237"/>
      <c r="AP398" s="237"/>
      <c r="AQ398" s="237"/>
      <c r="AR398" s="237"/>
    </row>
    <row r="399">
      <c r="A399" s="228"/>
      <c r="B399" s="228"/>
      <c r="C399" s="228"/>
      <c r="D399" s="228"/>
      <c r="E399" s="228"/>
      <c r="F399" s="228"/>
      <c r="G399" s="228"/>
      <c r="H399" s="241"/>
      <c r="I399" s="228"/>
      <c r="J399" s="236"/>
      <c r="K399" s="228"/>
      <c r="L399" s="228"/>
      <c r="M399" s="238"/>
      <c r="N399" s="228"/>
      <c r="O399" s="235"/>
      <c r="P399" s="236"/>
      <c r="Q399" s="235"/>
      <c r="R399" s="235"/>
      <c r="S399" s="236"/>
      <c r="T399" s="236"/>
      <c r="U399" s="237"/>
      <c r="V399" s="237"/>
      <c r="W399" s="238"/>
      <c r="X399" s="237"/>
      <c r="Y399" s="237"/>
      <c r="Z399" s="237"/>
      <c r="AA399" s="239"/>
      <c r="AB399" s="238"/>
      <c r="AC399" s="238"/>
      <c r="AD399" s="240"/>
      <c r="AE399" s="241"/>
      <c r="AF399" s="241"/>
      <c r="AG399" s="238"/>
      <c r="AH399" s="240"/>
      <c r="AI399" s="241"/>
      <c r="AJ399" s="241"/>
      <c r="AK399" s="241"/>
      <c r="AL399" s="237"/>
      <c r="AM399" s="237"/>
      <c r="AN399" s="237"/>
      <c r="AO399" s="237"/>
      <c r="AP399" s="237"/>
      <c r="AQ399" s="237"/>
      <c r="AR399" s="237"/>
    </row>
    <row r="400">
      <c r="A400" s="228"/>
      <c r="B400" s="228"/>
      <c r="C400" s="228"/>
      <c r="D400" s="228"/>
      <c r="E400" s="228"/>
      <c r="F400" s="228"/>
      <c r="G400" s="228"/>
      <c r="H400" s="241"/>
      <c r="I400" s="228"/>
      <c r="J400" s="236"/>
      <c r="K400" s="228"/>
      <c r="L400" s="228"/>
      <c r="M400" s="238"/>
      <c r="N400" s="228"/>
      <c r="O400" s="235"/>
      <c r="P400" s="236"/>
      <c r="Q400" s="235"/>
      <c r="R400" s="235"/>
      <c r="S400" s="236"/>
      <c r="T400" s="236"/>
      <c r="U400" s="237"/>
      <c r="V400" s="237"/>
      <c r="W400" s="238"/>
      <c r="X400" s="237"/>
      <c r="Y400" s="237"/>
      <c r="Z400" s="237"/>
      <c r="AA400" s="239"/>
      <c r="AB400" s="238"/>
      <c r="AC400" s="238"/>
      <c r="AD400" s="240"/>
      <c r="AE400" s="241"/>
      <c r="AF400" s="241"/>
      <c r="AG400" s="238"/>
      <c r="AH400" s="240"/>
      <c r="AI400" s="241"/>
      <c r="AJ400" s="241"/>
      <c r="AK400" s="241"/>
      <c r="AL400" s="237"/>
      <c r="AM400" s="237"/>
      <c r="AN400" s="237"/>
      <c r="AO400" s="237"/>
      <c r="AP400" s="237"/>
      <c r="AQ400" s="237"/>
      <c r="AR400" s="237"/>
    </row>
    <row r="401">
      <c r="A401" s="228"/>
      <c r="B401" s="228"/>
      <c r="C401" s="228"/>
      <c r="D401" s="228"/>
      <c r="E401" s="228"/>
      <c r="F401" s="228"/>
      <c r="G401" s="228"/>
      <c r="H401" s="241"/>
      <c r="I401" s="228"/>
      <c r="J401" s="236"/>
      <c r="K401" s="228"/>
      <c r="L401" s="228"/>
      <c r="M401" s="238"/>
      <c r="N401" s="228"/>
      <c r="O401" s="235"/>
      <c r="P401" s="236"/>
      <c r="Q401" s="235"/>
      <c r="R401" s="235"/>
      <c r="S401" s="236"/>
      <c r="T401" s="236"/>
      <c r="U401" s="237"/>
      <c r="V401" s="237"/>
      <c r="W401" s="238"/>
      <c r="X401" s="237"/>
      <c r="Y401" s="237"/>
      <c r="Z401" s="237"/>
      <c r="AA401" s="239"/>
      <c r="AB401" s="238"/>
      <c r="AC401" s="238"/>
      <c r="AD401" s="240"/>
      <c r="AE401" s="241"/>
      <c r="AF401" s="241"/>
      <c r="AG401" s="238"/>
      <c r="AH401" s="240"/>
      <c r="AI401" s="241"/>
      <c r="AJ401" s="241"/>
      <c r="AK401" s="241"/>
      <c r="AL401" s="237"/>
      <c r="AM401" s="237"/>
      <c r="AN401" s="237"/>
      <c r="AO401" s="237"/>
      <c r="AP401" s="237"/>
      <c r="AQ401" s="237"/>
      <c r="AR401" s="237"/>
    </row>
    <row r="402">
      <c r="A402" s="228"/>
      <c r="B402" s="228"/>
      <c r="C402" s="228"/>
      <c r="D402" s="228"/>
      <c r="E402" s="228"/>
      <c r="F402" s="228"/>
      <c r="G402" s="228"/>
      <c r="H402" s="241"/>
      <c r="I402" s="228"/>
      <c r="J402" s="236"/>
      <c r="K402" s="228"/>
      <c r="L402" s="228"/>
      <c r="M402" s="238"/>
      <c r="N402" s="228"/>
      <c r="O402" s="235"/>
      <c r="P402" s="236"/>
      <c r="Q402" s="235"/>
      <c r="R402" s="235"/>
      <c r="S402" s="236"/>
      <c r="T402" s="236"/>
      <c r="U402" s="237"/>
      <c r="V402" s="237"/>
      <c r="W402" s="238"/>
      <c r="X402" s="237"/>
      <c r="Y402" s="237"/>
      <c r="Z402" s="237"/>
      <c r="AA402" s="239"/>
      <c r="AB402" s="238"/>
      <c r="AC402" s="238"/>
      <c r="AD402" s="240"/>
      <c r="AE402" s="241"/>
      <c r="AF402" s="241"/>
      <c r="AG402" s="238"/>
      <c r="AH402" s="240"/>
      <c r="AI402" s="241"/>
      <c r="AJ402" s="241"/>
      <c r="AK402" s="241"/>
      <c r="AL402" s="237"/>
      <c r="AM402" s="237"/>
      <c r="AN402" s="237"/>
      <c r="AO402" s="237"/>
      <c r="AP402" s="237"/>
      <c r="AQ402" s="237"/>
      <c r="AR402" s="237"/>
    </row>
    <row r="403">
      <c r="A403" s="228"/>
      <c r="B403" s="228"/>
      <c r="C403" s="228"/>
      <c r="D403" s="228"/>
      <c r="E403" s="228"/>
      <c r="F403" s="228"/>
      <c r="G403" s="228"/>
      <c r="H403" s="241"/>
      <c r="I403" s="228"/>
      <c r="J403" s="236"/>
      <c r="K403" s="228"/>
      <c r="L403" s="228"/>
      <c r="M403" s="238"/>
      <c r="N403" s="228"/>
      <c r="O403" s="235"/>
      <c r="P403" s="236"/>
      <c r="Q403" s="235"/>
      <c r="R403" s="235"/>
      <c r="S403" s="236"/>
      <c r="T403" s="236"/>
      <c r="U403" s="237"/>
      <c r="V403" s="237"/>
      <c r="W403" s="238"/>
      <c r="X403" s="237"/>
      <c r="Y403" s="237"/>
      <c r="Z403" s="237"/>
      <c r="AA403" s="239"/>
      <c r="AB403" s="238"/>
      <c r="AC403" s="238"/>
      <c r="AD403" s="240"/>
      <c r="AE403" s="241"/>
      <c r="AF403" s="241"/>
      <c r="AG403" s="238"/>
      <c r="AH403" s="240"/>
      <c r="AI403" s="241"/>
      <c r="AJ403" s="241"/>
      <c r="AK403" s="241"/>
      <c r="AL403" s="237"/>
      <c r="AM403" s="237"/>
      <c r="AN403" s="237"/>
      <c r="AO403" s="237"/>
      <c r="AP403" s="237"/>
      <c r="AQ403" s="237"/>
      <c r="AR403" s="237"/>
    </row>
    <row r="404">
      <c r="A404" s="228"/>
      <c r="B404" s="228"/>
      <c r="C404" s="228"/>
      <c r="D404" s="228"/>
      <c r="E404" s="228"/>
      <c r="F404" s="228"/>
      <c r="G404" s="228"/>
      <c r="H404" s="241"/>
      <c r="I404" s="228"/>
      <c r="J404" s="236"/>
      <c r="K404" s="228"/>
      <c r="L404" s="228"/>
      <c r="M404" s="238"/>
      <c r="N404" s="228"/>
      <c r="O404" s="235"/>
      <c r="P404" s="236"/>
      <c r="Q404" s="235"/>
      <c r="R404" s="235"/>
      <c r="S404" s="236"/>
      <c r="T404" s="236"/>
      <c r="U404" s="237"/>
      <c r="V404" s="237"/>
      <c r="W404" s="238"/>
      <c r="X404" s="237"/>
      <c r="Y404" s="237"/>
      <c r="Z404" s="237"/>
      <c r="AA404" s="239"/>
      <c r="AB404" s="238"/>
      <c r="AC404" s="238"/>
      <c r="AD404" s="240"/>
      <c r="AE404" s="241"/>
      <c r="AF404" s="241"/>
      <c r="AG404" s="238"/>
      <c r="AH404" s="240"/>
      <c r="AI404" s="241"/>
      <c r="AJ404" s="241"/>
      <c r="AK404" s="241"/>
      <c r="AL404" s="237"/>
      <c r="AM404" s="237"/>
      <c r="AN404" s="237"/>
      <c r="AO404" s="237"/>
      <c r="AP404" s="237"/>
      <c r="AQ404" s="237"/>
      <c r="AR404" s="237"/>
    </row>
    <row r="405">
      <c r="A405" s="228"/>
      <c r="B405" s="228"/>
      <c r="C405" s="228"/>
      <c r="D405" s="228"/>
      <c r="E405" s="228"/>
      <c r="F405" s="228"/>
      <c r="G405" s="228"/>
      <c r="H405" s="241"/>
      <c r="I405" s="228"/>
      <c r="J405" s="236"/>
      <c r="K405" s="228"/>
      <c r="L405" s="228"/>
      <c r="M405" s="238"/>
      <c r="N405" s="228"/>
      <c r="O405" s="235"/>
      <c r="P405" s="236"/>
      <c r="Q405" s="235"/>
      <c r="R405" s="235"/>
      <c r="S405" s="236"/>
      <c r="T405" s="236"/>
      <c r="U405" s="237"/>
      <c r="V405" s="237"/>
      <c r="W405" s="238"/>
      <c r="X405" s="237"/>
      <c r="Y405" s="237"/>
      <c r="Z405" s="237"/>
      <c r="AA405" s="239"/>
      <c r="AB405" s="238"/>
      <c r="AC405" s="238"/>
      <c r="AD405" s="240"/>
      <c r="AE405" s="241"/>
      <c r="AF405" s="241"/>
      <c r="AG405" s="238"/>
      <c r="AH405" s="240"/>
      <c r="AI405" s="241"/>
      <c r="AJ405" s="241"/>
      <c r="AK405" s="241"/>
      <c r="AL405" s="237"/>
      <c r="AM405" s="237"/>
      <c r="AN405" s="237"/>
      <c r="AO405" s="237"/>
      <c r="AP405" s="237"/>
      <c r="AQ405" s="237"/>
      <c r="AR405" s="237"/>
    </row>
    <row r="406">
      <c r="A406" s="228"/>
      <c r="B406" s="228"/>
      <c r="C406" s="228"/>
      <c r="D406" s="228"/>
      <c r="E406" s="228"/>
      <c r="F406" s="228"/>
      <c r="G406" s="228"/>
      <c r="H406" s="241"/>
      <c r="I406" s="228"/>
      <c r="J406" s="236"/>
      <c r="K406" s="228"/>
      <c r="L406" s="228"/>
      <c r="M406" s="238"/>
      <c r="N406" s="228"/>
      <c r="O406" s="235"/>
      <c r="P406" s="236"/>
      <c r="Q406" s="235"/>
      <c r="R406" s="235"/>
      <c r="S406" s="236"/>
      <c r="T406" s="236"/>
      <c r="U406" s="237"/>
      <c r="V406" s="237"/>
      <c r="W406" s="238"/>
      <c r="X406" s="237"/>
      <c r="Y406" s="237"/>
      <c r="Z406" s="237"/>
      <c r="AA406" s="239"/>
      <c r="AB406" s="238"/>
      <c r="AC406" s="238"/>
      <c r="AD406" s="240"/>
      <c r="AE406" s="241"/>
      <c r="AF406" s="241"/>
      <c r="AG406" s="238"/>
      <c r="AH406" s="240"/>
      <c r="AI406" s="241"/>
      <c r="AJ406" s="241"/>
      <c r="AK406" s="241"/>
      <c r="AL406" s="237"/>
      <c r="AM406" s="237"/>
      <c r="AN406" s="237"/>
      <c r="AO406" s="237"/>
      <c r="AP406" s="237"/>
      <c r="AQ406" s="237"/>
      <c r="AR406" s="237"/>
    </row>
    <row r="407">
      <c r="A407" s="228"/>
      <c r="B407" s="228"/>
      <c r="C407" s="228"/>
      <c r="D407" s="228"/>
      <c r="E407" s="228"/>
      <c r="F407" s="228"/>
      <c r="G407" s="228"/>
      <c r="H407" s="241"/>
      <c r="I407" s="228"/>
      <c r="J407" s="236"/>
      <c r="K407" s="228"/>
      <c r="L407" s="228"/>
      <c r="M407" s="238"/>
      <c r="N407" s="228"/>
      <c r="O407" s="235"/>
      <c r="P407" s="236"/>
      <c r="Q407" s="235"/>
      <c r="R407" s="235"/>
      <c r="S407" s="236"/>
      <c r="T407" s="236"/>
      <c r="U407" s="237"/>
      <c r="V407" s="237"/>
      <c r="W407" s="238"/>
      <c r="X407" s="237"/>
      <c r="Y407" s="237"/>
      <c r="Z407" s="237"/>
      <c r="AA407" s="239"/>
      <c r="AB407" s="238"/>
      <c r="AC407" s="238"/>
      <c r="AD407" s="240"/>
      <c r="AE407" s="241"/>
      <c r="AF407" s="241"/>
      <c r="AG407" s="238"/>
      <c r="AH407" s="240"/>
      <c r="AI407" s="241"/>
      <c r="AJ407" s="241"/>
      <c r="AK407" s="241"/>
      <c r="AL407" s="237"/>
      <c r="AM407" s="237"/>
      <c r="AN407" s="237"/>
      <c r="AO407" s="237"/>
      <c r="AP407" s="237"/>
      <c r="AQ407" s="237"/>
      <c r="AR407" s="237"/>
    </row>
    <row r="408">
      <c r="A408" s="228"/>
      <c r="B408" s="228"/>
      <c r="C408" s="228"/>
      <c r="D408" s="228"/>
      <c r="E408" s="228"/>
      <c r="F408" s="228"/>
      <c r="G408" s="228"/>
      <c r="H408" s="241"/>
      <c r="I408" s="228"/>
      <c r="J408" s="236"/>
      <c r="K408" s="228"/>
      <c r="L408" s="228"/>
      <c r="M408" s="238"/>
      <c r="N408" s="228"/>
      <c r="O408" s="235"/>
      <c r="P408" s="236"/>
      <c r="Q408" s="235"/>
      <c r="R408" s="235"/>
      <c r="S408" s="236"/>
      <c r="T408" s="236"/>
      <c r="U408" s="237"/>
      <c r="V408" s="237"/>
      <c r="W408" s="238"/>
      <c r="X408" s="237"/>
      <c r="Y408" s="237"/>
      <c r="Z408" s="237"/>
      <c r="AA408" s="239"/>
      <c r="AB408" s="238"/>
      <c r="AC408" s="238"/>
      <c r="AD408" s="240"/>
      <c r="AE408" s="241"/>
      <c r="AF408" s="241"/>
      <c r="AG408" s="238"/>
      <c r="AH408" s="240"/>
      <c r="AI408" s="241"/>
      <c r="AJ408" s="241"/>
      <c r="AK408" s="241"/>
      <c r="AL408" s="237"/>
      <c r="AM408" s="237"/>
      <c r="AN408" s="237"/>
      <c r="AO408" s="237"/>
      <c r="AP408" s="237"/>
      <c r="AQ408" s="237"/>
      <c r="AR408" s="237"/>
    </row>
    <row r="409">
      <c r="A409" s="228"/>
      <c r="B409" s="228"/>
      <c r="C409" s="228"/>
      <c r="D409" s="228"/>
      <c r="E409" s="228"/>
      <c r="F409" s="228"/>
      <c r="G409" s="228"/>
      <c r="H409" s="241"/>
      <c r="I409" s="228"/>
      <c r="J409" s="236"/>
      <c r="K409" s="228"/>
      <c r="L409" s="228"/>
      <c r="M409" s="238"/>
      <c r="N409" s="228"/>
      <c r="O409" s="235"/>
      <c r="P409" s="236"/>
      <c r="Q409" s="235"/>
      <c r="R409" s="235"/>
      <c r="S409" s="236"/>
      <c r="T409" s="236"/>
      <c r="U409" s="237"/>
      <c r="V409" s="237"/>
      <c r="W409" s="238"/>
      <c r="X409" s="237"/>
      <c r="Y409" s="237"/>
      <c r="Z409" s="237"/>
      <c r="AA409" s="239"/>
      <c r="AB409" s="238"/>
      <c r="AC409" s="238"/>
      <c r="AD409" s="240"/>
      <c r="AE409" s="241"/>
      <c r="AF409" s="241"/>
      <c r="AG409" s="238"/>
      <c r="AH409" s="240"/>
      <c r="AI409" s="241"/>
      <c r="AJ409" s="241"/>
      <c r="AK409" s="241"/>
      <c r="AL409" s="237"/>
      <c r="AM409" s="237"/>
      <c r="AN409" s="237"/>
      <c r="AO409" s="237"/>
      <c r="AP409" s="237"/>
      <c r="AQ409" s="237"/>
      <c r="AR409" s="237"/>
    </row>
    <row r="410">
      <c r="A410" s="228"/>
      <c r="B410" s="228"/>
      <c r="C410" s="228"/>
      <c r="D410" s="228"/>
      <c r="E410" s="228"/>
      <c r="F410" s="228"/>
      <c r="G410" s="228"/>
      <c r="H410" s="241"/>
      <c r="I410" s="228"/>
      <c r="J410" s="236"/>
      <c r="K410" s="228"/>
      <c r="L410" s="228"/>
      <c r="M410" s="238"/>
      <c r="N410" s="228"/>
      <c r="O410" s="235"/>
      <c r="P410" s="236"/>
      <c r="Q410" s="235"/>
      <c r="R410" s="235"/>
      <c r="S410" s="236"/>
      <c r="T410" s="236"/>
      <c r="U410" s="237"/>
      <c r="V410" s="237"/>
      <c r="W410" s="238"/>
      <c r="X410" s="237"/>
      <c r="Y410" s="237"/>
      <c r="Z410" s="237"/>
      <c r="AA410" s="239"/>
      <c r="AB410" s="238"/>
      <c r="AC410" s="238"/>
      <c r="AD410" s="240"/>
      <c r="AE410" s="241"/>
      <c r="AF410" s="241"/>
      <c r="AG410" s="238"/>
      <c r="AH410" s="240"/>
      <c r="AI410" s="241"/>
      <c r="AJ410" s="241"/>
      <c r="AK410" s="241"/>
      <c r="AL410" s="237"/>
      <c r="AM410" s="237"/>
      <c r="AN410" s="237"/>
      <c r="AO410" s="237"/>
      <c r="AP410" s="237"/>
      <c r="AQ410" s="237"/>
      <c r="AR410" s="237"/>
    </row>
    <row r="411">
      <c r="A411" s="228"/>
      <c r="B411" s="228"/>
      <c r="C411" s="228"/>
      <c r="D411" s="228"/>
      <c r="E411" s="228"/>
      <c r="F411" s="228"/>
      <c r="G411" s="228"/>
      <c r="H411" s="241"/>
      <c r="I411" s="228"/>
      <c r="J411" s="236"/>
      <c r="K411" s="228"/>
      <c r="L411" s="228"/>
      <c r="M411" s="238"/>
      <c r="N411" s="228"/>
      <c r="O411" s="235"/>
      <c r="P411" s="236"/>
      <c r="Q411" s="235"/>
      <c r="R411" s="235"/>
      <c r="S411" s="236"/>
      <c r="T411" s="236"/>
      <c r="U411" s="237"/>
      <c r="V411" s="237"/>
      <c r="W411" s="238"/>
      <c r="X411" s="237"/>
      <c r="Y411" s="237"/>
      <c r="Z411" s="237"/>
      <c r="AA411" s="239"/>
      <c r="AB411" s="238"/>
      <c r="AC411" s="238"/>
      <c r="AD411" s="240"/>
      <c r="AE411" s="241"/>
      <c r="AF411" s="241"/>
      <c r="AG411" s="238"/>
      <c r="AH411" s="240"/>
      <c r="AI411" s="241"/>
      <c r="AJ411" s="241"/>
      <c r="AK411" s="241"/>
      <c r="AL411" s="237"/>
      <c r="AM411" s="237"/>
      <c r="AN411" s="237"/>
      <c r="AO411" s="237"/>
      <c r="AP411" s="237"/>
      <c r="AQ411" s="237"/>
      <c r="AR411" s="237"/>
    </row>
    <row r="412">
      <c r="A412" s="228"/>
      <c r="B412" s="228"/>
      <c r="C412" s="228"/>
      <c r="D412" s="228"/>
      <c r="E412" s="228"/>
      <c r="F412" s="228"/>
      <c r="G412" s="228"/>
      <c r="H412" s="241"/>
      <c r="I412" s="228"/>
      <c r="J412" s="236"/>
      <c r="K412" s="228"/>
      <c r="L412" s="228"/>
      <c r="M412" s="238"/>
      <c r="N412" s="228"/>
      <c r="O412" s="235"/>
      <c r="P412" s="236"/>
      <c r="Q412" s="235"/>
      <c r="R412" s="235"/>
      <c r="S412" s="236"/>
      <c r="T412" s="236"/>
      <c r="U412" s="237"/>
      <c r="V412" s="237"/>
      <c r="W412" s="238"/>
      <c r="X412" s="237"/>
      <c r="Y412" s="237"/>
      <c r="Z412" s="237"/>
      <c r="AA412" s="239"/>
      <c r="AB412" s="238"/>
      <c r="AC412" s="238"/>
      <c r="AD412" s="240"/>
      <c r="AE412" s="241"/>
      <c r="AF412" s="241"/>
      <c r="AG412" s="238"/>
      <c r="AH412" s="240"/>
      <c r="AI412" s="241"/>
      <c r="AJ412" s="241"/>
      <c r="AK412" s="241"/>
      <c r="AL412" s="237"/>
      <c r="AM412" s="237"/>
      <c r="AN412" s="237"/>
      <c r="AO412" s="237"/>
      <c r="AP412" s="237"/>
      <c r="AQ412" s="237"/>
      <c r="AR412" s="237"/>
    </row>
    <row r="413">
      <c r="A413" s="228"/>
      <c r="B413" s="228"/>
      <c r="C413" s="228"/>
      <c r="D413" s="228"/>
      <c r="E413" s="228"/>
      <c r="F413" s="228"/>
      <c r="G413" s="228"/>
      <c r="H413" s="241"/>
      <c r="I413" s="228"/>
      <c r="J413" s="236"/>
      <c r="K413" s="228"/>
      <c r="L413" s="228"/>
      <c r="M413" s="238"/>
      <c r="N413" s="228"/>
      <c r="O413" s="235"/>
      <c r="P413" s="236"/>
      <c r="Q413" s="235"/>
      <c r="R413" s="235"/>
      <c r="S413" s="236"/>
      <c r="T413" s="236"/>
      <c r="U413" s="237"/>
      <c r="V413" s="237"/>
      <c r="W413" s="238"/>
      <c r="X413" s="237"/>
      <c r="Y413" s="237"/>
      <c r="Z413" s="237"/>
      <c r="AA413" s="239"/>
      <c r="AB413" s="238"/>
      <c r="AC413" s="238"/>
      <c r="AD413" s="240"/>
      <c r="AE413" s="241"/>
      <c r="AF413" s="241"/>
      <c r="AG413" s="238"/>
      <c r="AH413" s="240"/>
      <c r="AI413" s="241"/>
      <c r="AJ413" s="241"/>
      <c r="AK413" s="241"/>
      <c r="AL413" s="237"/>
      <c r="AM413" s="237"/>
      <c r="AN413" s="237"/>
      <c r="AO413" s="237"/>
      <c r="AP413" s="237"/>
      <c r="AQ413" s="237"/>
      <c r="AR413" s="237"/>
    </row>
    <row r="414">
      <c r="A414" s="228"/>
      <c r="B414" s="228"/>
      <c r="C414" s="228"/>
      <c r="D414" s="228"/>
      <c r="E414" s="228"/>
      <c r="F414" s="228"/>
      <c r="G414" s="228"/>
      <c r="H414" s="241"/>
      <c r="I414" s="228"/>
      <c r="J414" s="236"/>
      <c r="K414" s="228"/>
      <c r="L414" s="228"/>
      <c r="M414" s="238"/>
      <c r="N414" s="228"/>
      <c r="O414" s="235"/>
      <c r="P414" s="236"/>
      <c r="Q414" s="235"/>
      <c r="R414" s="235"/>
      <c r="S414" s="236"/>
      <c r="T414" s="236"/>
      <c r="U414" s="237"/>
      <c r="V414" s="237"/>
      <c r="W414" s="238"/>
      <c r="X414" s="237"/>
      <c r="Y414" s="237"/>
      <c r="Z414" s="237"/>
      <c r="AA414" s="239"/>
      <c r="AB414" s="238"/>
      <c r="AC414" s="238"/>
      <c r="AD414" s="240"/>
      <c r="AE414" s="241"/>
      <c r="AF414" s="241"/>
      <c r="AG414" s="238"/>
      <c r="AH414" s="240"/>
      <c r="AI414" s="241"/>
      <c r="AJ414" s="241"/>
      <c r="AK414" s="241"/>
      <c r="AL414" s="237"/>
      <c r="AM414" s="237"/>
      <c r="AN414" s="237"/>
      <c r="AO414" s="237"/>
      <c r="AP414" s="237"/>
      <c r="AQ414" s="237"/>
      <c r="AR414" s="237"/>
    </row>
    <row r="415">
      <c r="A415" s="228"/>
      <c r="B415" s="228"/>
      <c r="C415" s="228"/>
      <c r="D415" s="228"/>
      <c r="E415" s="228"/>
      <c r="F415" s="228"/>
      <c r="G415" s="228"/>
      <c r="H415" s="241"/>
      <c r="I415" s="228"/>
      <c r="J415" s="236"/>
      <c r="K415" s="228"/>
      <c r="L415" s="228"/>
      <c r="M415" s="238"/>
      <c r="N415" s="228"/>
      <c r="O415" s="235"/>
      <c r="P415" s="236"/>
      <c r="Q415" s="235"/>
      <c r="R415" s="235"/>
      <c r="S415" s="236"/>
      <c r="T415" s="236"/>
      <c r="U415" s="237"/>
      <c r="V415" s="237"/>
      <c r="W415" s="238"/>
      <c r="X415" s="237"/>
      <c r="Y415" s="237"/>
      <c r="Z415" s="237"/>
      <c r="AA415" s="239"/>
      <c r="AB415" s="238"/>
      <c r="AC415" s="238"/>
      <c r="AD415" s="240"/>
      <c r="AE415" s="241"/>
      <c r="AF415" s="241"/>
      <c r="AG415" s="238"/>
      <c r="AH415" s="240"/>
      <c r="AI415" s="241"/>
      <c r="AJ415" s="241"/>
      <c r="AK415" s="241"/>
      <c r="AL415" s="237"/>
      <c r="AM415" s="237"/>
      <c r="AN415" s="237"/>
      <c r="AO415" s="237"/>
      <c r="AP415" s="237"/>
      <c r="AQ415" s="237"/>
      <c r="AR415" s="237"/>
    </row>
    <row r="416">
      <c r="A416" s="228"/>
      <c r="B416" s="228"/>
      <c r="C416" s="228"/>
      <c r="D416" s="228"/>
      <c r="E416" s="228"/>
      <c r="F416" s="228"/>
      <c r="G416" s="228"/>
      <c r="H416" s="241"/>
      <c r="I416" s="228"/>
      <c r="J416" s="236"/>
      <c r="K416" s="228"/>
      <c r="L416" s="228"/>
      <c r="M416" s="238"/>
      <c r="N416" s="228"/>
      <c r="O416" s="235"/>
      <c r="P416" s="236"/>
      <c r="Q416" s="235"/>
      <c r="R416" s="235"/>
      <c r="S416" s="236"/>
      <c r="T416" s="236"/>
      <c r="U416" s="237"/>
      <c r="V416" s="237"/>
      <c r="W416" s="238"/>
      <c r="X416" s="237"/>
      <c r="Y416" s="237"/>
      <c r="Z416" s="237"/>
      <c r="AA416" s="239"/>
      <c r="AB416" s="238"/>
      <c r="AC416" s="238"/>
      <c r="AD416" s="240"/>
      <c r="AE416" s="241"/>
      <c r="AF416" s="241"/>
      <c r="AG416" s="238"/>
      <c r="AH416" s="240"/>
      <c r="AI416" s="241"/>
      <c r="AJ416" s="241"/>
      <c r="AK416" s="241"/>
      <c r="AL416" s="237"/>
      <c r="AM416" s="237"/>
      <c r="AN416" s="237"/>
      <c r="AO416" s="237"/>
      <c r="AP416" s="237"/>
      <c r="AQ416" s="237"/>
      <c r="AR416" s="237"/>
    </row>
    <row r="417">
      <c r="A417" s="228"/>
      <c r="B417" s="228"/>
      <c r="C417" s="228"/>
      <c r="D417" s="228"/>
      <c r="E417" s="228"/>
      <c r="F417" s="228"/>
      <c r="G417" s="228"/>
      <c r="H417" s="241"/>
      <c r="I417" s="228"/>
      <c r="J417" s="236"/>
      <c r="K417" s="228"/>
      <c r="L417" s="228"/>
      <c r="M417" s="238"/>
      <c r="N417" s="228"/>
      <c r="O417" s="235"/>
      <c r="P417" s="236"/>
      <c r="Q417" s="235"/>
      <c r="R417" s="235"/>
      <c r="S417" s="236"/>
      <c r="T417" s="236"/>
      <c r="U417" s="237"/>
      <c r="V417" s="237"/>
      <c r="W417" s="238"/>
      <c r="X417" s="237"/>
      <c r="Y417" s="237"/>
      <c r="Z417" s="237"/>
      <c r="AA417" s="239"/>
      <c r="AB417" s="238"/>
      <c r="AC417" s="238"/>
      <c r="AD417" s="240"/>
      <c r="AE417" s="241"/>
      <c r="AF417" s="241"/>
      <c r="AG417" s="238"/>
      <c r="AH417" s="240"/>
      <c r="AI417" s="241"/>
      <c r="AJ417" s="241"/>
      <c r="AK417" s="241"/>
      <c r="AL417" s="237"/>
      <c r="AM417" s="237"/>
      <c r="AN417" s="237"/>
      <c r="AO417" s="237"/>
      <c r="AP417" s="237"/>
      <c r="AQ417" s="237"/>
      <c r="AR417" s="237"/>
    </row>
    <row r="418">
      <c r="A418" s="228"/>
      <c r="B418" s="228"/>
      <c r="C418" s="228"/>
      <c r="D418" s="228"/>
      <c r="E418" s="228"/>
      <c r="F418" s="228"/>
      <c r="G418" s="228"/>
      <c r="H418" s="241"/>
      <c r="I418" s="228"/>
      <c r="J418" s="236"/>
      <c r="K418" s="228"/>
      <c r="L418" s="228"/>
      <c r="M418" s="238"/>
      <c r="N418" s="228"/>
      <c r="O418" s="235"/>
      <c r="P418" s="236"/>
      <c r="Q418" s="235"/>
      <c r="R418" s="235"/>
      <c r="S418" s="236"/>
      <c r="T418" s="236"/>
      <c r="U418" s="237"/>
      <c r="V418" s="237"/>
      <c r="W418" s="238"/>
      <c r="X418" s="237"/>
      <c r="Y418" s="237"/>
      <c r="Z418" s="237"/>
      <c r="AA418" s="239"/>
      <c r="AB418" s="238"/>
      <c r="AC418" s="238"/>
      <c r="AD418" s="240"/>
      <c r="AE418" s="241"/>
      <c r="AF418" s="241"/>
      <c r="AG418" s="238"/>
      <c r="AH418" s="240"/>
      <c r="AI418" s="241"/>
      <c r="AJ418" s="241"/>
      <c r="AK418" s="241"/>
      <c r="AL418" s="237"/>
      <c r="AM418" s="237"/>
      <c r="AN418" s="237"/>
      <c r="AO418" s="237"/>
      <c r="AP418" s="237"/>
      <c r="AQ418" s="237"/>
      <c r="AR418" s="237"/>
    </row>
    <row r="419">
      <c r="A419" s="228"/>
      <c r="B419" s="228"/>
      <c r="C419" s="228"/>
      <c r="D419" s="228"/>
      <c r="E419" s="228"/>
      <c r="F419" s="228"/>
      <c r="G419" s="228"/>
      <c r="H419" s="241"/>
      <c r="I419" s="228"/>
      <c r="J419" s="236"/>
      <c r="K419" s="228"/>
      <c r="L419" s="228"/>
      <c r="M419" s="238"/>
      <c r="N419" s="228"/>
      <c r="O419" s="235"/>
      <c r="P419" s="236"/>
      <c r="Q419" s="235"/>
      <c r="R419" s="235"/>
      <c r="S419" s="236"/>
      <c r="T419" s="236"/>
      <c r="U419" s="237"/>
      <c r="V419" s="237"/>
      <c r="W419" s="238"/>
      <c r="X419" s="237"/>
      <c r="Y419" s="237"/>
      <c r="Z419" s="237"/>
      <c r="AA419" s="239"/>
      <c r="AB419" s="238"/>
      <c r="AC419" s="238"/>
      <c r="AD419" s="240"/>
      <c r="AE419" s="241"/>
      <c r="AF419" s="241"/>
      <c r="AG419" s="238"/>
      <c r="AH419" s="240"/>
      <c r="AI419" s="241"/>
      <c r="AJ419" s="241"/>
      <c r="AK419" s="241"/>
      <c r="AL419" s="237"/>
      <c r="AM419" s="237"/>
      <c r="AN419" s="237"/>
      <c r="AO419" s="237"/>
      <c r="AP419" s="237"/>
      <c r="AQ419" s="237"/>
      <c r="AR419" s="237"/>
    </row>
    <row r="420">
      <c r="A420" s="228"/>
      <c r="B420" s="228"/>
      <c r="C420" s="228"/>
      <c r="D420" s="228"/>
      <c r="E420" s="228"/>
      <c r="F420" s="228"/>
      <c r="G420" s="228"/>
      <c r="H420" s="241"/>
      <c r="I420" s="228"/>
      <c r="J420" s="236"/>
      <c r="K420" s="228"/>
      <c r="L420" s="228"/>
      <c r="M420" s="238"/>
      <c r="N420" s="228"/>
      <c r="O420" s="235"/>
      <c r="P420" s="236"/>
      <c r="Q420" s="235"/>
      <c r="R420" s="235"/>
      <c r="S420" s="236"/>
      <c r="T420" s="236"/>
      <c r="U420" s="237"/>
      <c r="V420" s="237"/>
      <c r="W420" s="238"/>
      <c r="X420" s="237"/>
      <c r="Y420" s="237"/>
      <c r="Z420" s="237"/>
      <c r="AA420" s="239"/>
      <c r="AB420" s="238"/>
      <c r="AC420" s="238"/>
      <c r="AD420" s="240"/>
      <c r="AE420" s="241"/>
      <c r="AF420" s="241"/>
      <c r="AG420" s="238"/>
      <c r="AH420" s="240"/>
      <c r="AI420" s="241"/>
      <c r="AJ420" s="241"/>
      <c r="AK420" s="241"/>
      <c r="AL420" s="237"/>
      <c r="AM420" s="237"/>
      <c r="AN420" s="237"/>
      <c r="AO420" s="237"/>
      <c r="AP420" s="237"/>
      <c r="AQ420" s="237"/>
      <c r="AR420" s="237"/>
    </row>
    <row r="421">
      <c r="A421" s="228"/>
      <c r="B421" s="228"/>
      <c r="C421" s="228"/>
      <c r="D421" s="228"/>
      <c r="E421" s="228"/>
      <c r="F421" s="228"/>
      <c r="G421" s="228"/>
      <c r="H421" s="241"/>
      <c r="I421" s="228"/>
      <c r="J421" s="236"/>
      <c r="K421" s="228"/>
      <c r="L421" s="228"/>
      <c r="M421" s="238"/>
      <c r="N421" s="228"/>
      <c r="O421" s="235"/>
      <c r="P421" s="236"/>
      <c r="Q421" s="235"/>
      <c r="R421" s="235"/>
      <c r="S421" s="236"/>
      <c r="T421" s="236"/>
      <c r="U421" s="237"/>
      <c r="V421" s="237"/>
      <c r="W421" s="238"/>
      <c r="X421" s="237"/>
      <c r="Y421" s="237"/>
      <c r="Z421" s="237"/>
      <c r="AA421" s="239"/>
      <c r="AB421" s="238"/>
      <c r="AC421" s="238"/>
      <c r="AD421" s="240"/>
      <c r="AE421" s="241"/>
      <c r="AF421" s="241"/>
      <c r="AG421" s="238"/>
      <c r="AH421" s="240"/>
      <c r="AI421" s="241"/>
      <c r="AJ421" s="241"/>
      <c r="AK421" s="241"/>
      <c r="AL421" s="237"/>
      <c r="AM421" s="237"/>
      <c r="AN421" s="237"/>
      <c r="AO421" s="237"/>
      <c r="AP421" s="237"/>
      <c r="AQ421" s="237"/>
      <c r="AR421" s="237"/>
    </row>
    <row r="422">
      <c r="A422" s="228"/>
      <c r="B422" s="228"/>
      <c r="C422" s="228"/>
      <c r="D422" s="228"/>
      <c r="E422" s="228"/>
      <c r="F422" s="228"/>
      <c r="G422" s="228"/>
      <c r="H422" s="241"/>
      <c r="I422" s="228"/>
      <c r="J422" s="236"/>
      <c r="K422" s="228"/>
      <c r="L422" s="228"/>
      <c r="M422" s="238"/>
      <c r="N422" s="228"/>
      <c r="O422" s="235"/>
      <c r="P422" s="236"/>
      <c r="Q422" s="235"/>
      <c r="R422" s="235"/>
      <c r="S422" s="236"/>
      <c r="T422" s="236"/>
      <c r="U422" s="237"/>
      <c r="V422" s="237"/>
      <c r="W422" s="238"/>
      <c r="X422" s="237"/>
      <c r="Y422" s="237"/>
      <c r="Z422" s="237"/>
      <c r="AA422" s="239"/>
      <c r="AB422" s="238"/>
      <c r="AC422" s="238"/>
      <c r="AD422" s="240"/>
      <c r="AE422" s="241"/>
      <c r="AF422" s="241"/>
      <c r="AG422" s="238"/>
      <c r="AH422" s="240"/>
      <c r="AI422" s="241"/>
      <c r="AJ422" s="241"/>
      <c r="AK422" s="241"/>
      <c r="AL422" s="237"/>
      <c r="AM422" s="237"/>
      <c r="AN422" s="237"/>
      <c r="AO422" s="237"/>
      <c r="AP422" s="237"/>
      <c r="AQ422" s="237"/>
      <c r="AR422" s="237"/>
    </row>
    <row r="423">
      <c r="A423" s="228"/>
      <c r="B423" s="228"/>
      <c r="C423" s="228"/>
      <c r="D423" s="228"/>
      <c r="E423" s="228"/>
      <c r="F423" s="228"/>
      <c r="G423" s="228"/>
      <c r="H423" s="241"/>
      <c r="I423" s="228"/>
      <c r="J423" s="236"/>
      <c r="K423" s="228"/>
      <c r="L423" s="228"/>
      <c r="M423" s="238"/>
      <c r="N423" s="228"/>
      <c r="O423" s="235"/>
      <c r="P423" s="236"/>
      <c r="Q423" s="235"/>
      <c r="R423" s="235"/>
      <c r="S423" s="236"/>
      <c r="T423" s="236"/>
      <c r="U423" s="237"/>
      <c r="V423" s="237"/>
      <c r="W423" s="238"/>
      <c r="X423" s="237"/>
      <c r="Y423" s="237"/>
      <c r="Z423" s="237"/>
      <c r="AA423" s="239"/>
      <c r="AB423" s="238"/>
      <c r="AC423" s="238"/>
      <c r="AD423" s="240"/>
      <c r="AE423" s="241"/>
      <c r="AF423" s="241"/>
      <c r="AG423" s="238"/>
      <c r="AH423" s="240"/>
      <c r="AI423" s="241"/>
      <c r="AJ423" s="241"/>
      <c r="AK423" s="241"/>
      <c r="AL423" s="237"/>
      <c r="AM423" s="237"/>
      <c r="AN423" s="237"/>
      <c r="AO423" s="237"/>
      <c r="AP423" s="237"/>
      <c r="AQ423" s="237"/>
      <c r="AR423" s="237"/>
    </row>
    <row r="424">
      <c r="A424" s="228"/>
      <c r="B424" s="228"/>
      <c r="C424" s="228"/>
      <c r="D424" s="228"/>
      <c r="E424" s="228"/>
      <c r="F424" s="228"/>
      <c r="G424" s="228"/>
      <c r="H424" s="241"/>
      <c r="I424" s="228"/>
      <c r="J424" s="236"/>
      <c r="K424" s="228"/>
      <c r="L424" s="228"/>
      <c r="M424" s="238"/>
      <c r="N424" s="228"/>
      <c r="O424" s="235"/>
      <c r="P424" s="236"/>
      <c r="Q424" s="235"/>
      <c r="R424" s="235"/>
      <c r="S424" s="236"/>
      <c r="T424" s="236"/>
      <c r="U424" s="237"/>
      <c r="V424" s="237"/>
      <c r="W424" s="238"/>
      <c r="X424" s="237"/>
      <c r="Y424" s="237"/>
      <c r="Z424" s="237"/>
      <c r="AA424" s="239"/>
      <c r="AB424" s="238"/>
      <c r="AC424" s="238"/>
      <c r="AD424" s="240"/>
      <c r="AE424" s="241"/>
      <c r="AF424" s="241"/>
      <c r="AG424" s="238"/>
      <c r="AH424" s="240"/>
      <c r="AI424" s="241"/>
      <c r="AJ424" s="241"/>
      <c r="AK424" s="241"/>
      <c r="AL424" s="237"/>
      <c r="AM424" s="237"/>
      <c r="AN424" s="237"/>
      <c r="AO424" s="237"/>
      <c r="AP424" s="237"/>
      <c r="AQ424" s="237"/>
      <c r="AR424" s="237"/>
    </row>
    <row r="425">
      <c r="A425" s="228"/>
      <c r="B425" s="228"/>
      <c r="C425" s="228"/>
      <c r="D425" s="228"/>
      <c r="E425" s="228"/>
      <c r="F425" s="228"/>
      <c r="G425" s="228"/>
      <c r="H425" s="241"/>
      <c r="I425" s="228"/>
      <c r="J425" s="236"/>
      <c r="K425" s="228"/>
      <c r="L425" s="228"/>
      <c r="M425" s="238"/>
      <c r="N425" s="228"/>
      <c r="O425" s="235"/>
      <c r="P425" s="236"/>
      <c r="Q425" s="235"/>
      <c r="R425" s="235"/>
      <c r="S425" s="236"/>
      <c r="T425" s="236"/>
      <c r="U425" s="237"/>
      <c r="V425" s="237"/>
      <c r="W425" s="238"/>
      <c r="X425" s="237"/>
      <c r="Y425" s="237"/>
      <c r="Z425" s="237"/>
      <c r="AA425" s="239"/>
      <c r="AB425" s="238"/>
      <c r="AC425" s="238"/>
      <c r="AD425" s="240"/>
      <c r="AE425" s="241"/>
      <c r="AF425" s="241"/>
      <c r="AG425" s="238"/>
      <c r="AH425" s="240"/>
      <c r="AI425" s="241"/>
      <c r="AJ425" s="241"/>
      <c r="AK425" s="241"/>
      <c r="AL425" s="237"/>
      <c r="AM425" s="237"/>
      <c r="AN425" s="237"/>
      <c r="AO425" s="237"/>
      <c r="AP425" s="237"/>
      <c r="AQ425" s="237"/>
      <c r="AR425" s="237"/>
    </row>
    <row r="426">
      <c r="A426" s="228"/>
      <c r="B426" s="228"/>
      <c r="C426" s="228"/>
      <c r="D426" s="228"/>
      <c r="E426" s="228"/>
      <c r="F426" s="228"/>
      <c r="G426" s="228"/>
      <c r="H426" s="241"/>
      <c r="I426" s="228"/>
      <c r="J426" s="236"/>
      <c r="K426" s="228"/>
      <c r="L426" s="228"/>
      <c r="M426" s="238"/>
      <c r="N426" s="228"/>
      <c r="O426" s="235"/>
      <c r="P426" s="236"/>
      <c r="Q426" s="235"/>
      <c r="R426" s="235"/>
      <c r="S426" s="236"/>
      <c r="T426" s="236"/>
      <c r="U426" s="237"/>
      <c r="V426" s="237"/>
      <c r="W426" s="238"/>
      <c r="X426" s="237"/>
      <c r="Y426" s="237"/>
      <c r="Z426" s="237"/>
      <c r="AA426" s="239"/>
      <c r="AB426" s="238"/>
      <c r="AC426" s="238"/>
      <c r="AD426" s="240"/>
      <c r="AE426" s="241"/>
      <c r="AF426" s="241"/>
      <c r="AG426" s="238"/>
      <c r="AH426" s="240"/>
      <c r="AI426" s="241"/>
      <c r="AJ426" s="241"/>
      <c r="AK426" s="241"/>
      <c r="AL426" s="237"/>
      <c r="AM426" s="237"/>
      <c r="AN426" s="237"/>
      <c r="AO426" s="237"/>
      <c r="AP426" s="237"/>
      <c r="AQ426" s="237"/>
      <c r="AR426" s="237"/>
    </row>
    <row r="427">
      <c r="A427" s="228"/>
      <c r="B427" s="228"/>
      <c r="C427" s="228"/>
      <c r="D427" s="228"/>
      <c r="E427" s="228"/>
      <c r="F427" s="228"/>
      <c r="G427" s="228"/>
      <c r="H427" s="241"/>
      <c r="I427" s="228"/>
      <c r="J427" s="236"/>
      <c r="K427" s="228"/>
      <c r="L427" s="228"/>
      <c r="M427" s="238"/>
      <c r="N427" s="228"/>
      <c r="O427" s="235"/>
      <c r="P427" s="236"/>
      <c r="Q427" s="235"/>
      <c r="R427" s="235"/>
      <c r="S427" s="236"/>
      <c r="T427" s="236"/>
      <c r="U427" s="237"/>
      <c r="V427" s="237"/>
      <c r="W427" s="238"/>
      <c r="X427" s="237"/>
      <c r="Y427" s="237"/>
      <c r="Z427" s="237"/>
      <c r="AA427" s="239"/>
      <c r="AB427" s="238"/>
      <c r="AC427" s="238"/>
      <c r="AD427" s="240"/>
      <c r="AE427" s="241"/>
      <c r="AF427" s="241"/>
      <c r="AG427" s="238"/>
      <c r="AH427" s="240"/>
      <c r="AI427" s="241"/>
      <c r="AJ427" s="241"/>
      <c r="AK427" s="241"/>
      <c r="AL427" s="237"/>
      <c r="AM427" s="237"/>
      <c r="AN427" s="237"/>
      <c r="AO427" s="237"/>
      <c r="AP427" s="237"/>
      <c r="AQ427" s="237"/>
      <c r="AR427" s="237"/>
    </row>
    <row r="428">
      <c r="A428" s="228"/>
      <c r="B428" s="228"/>
      <c r="C428" s="228"/>
      <c r="D428" s="228"/>
      <c r="E428" s="228"/>
      <c r="F428" s="228"/>
      <c r="G428" s="228"/>
      <c r="H428" s="241"/>
      <c r="I428" s="228"/>
      <c r="J428" s="236"/>
      <c r="K428" s="228"/>
      <c r="L428" s="228"/>
      <c r="M428" s="238"/>
      <c r="N428" s="228"/>
      <c r="O428" s="235"/>
      <c r="P428" s="236"/>
      <c r="Q428" s="235"/>
      <c r="R428" s="235"/>
      <c r="S428" s="236"/>
      <c r="T428" s="236"/>
      <c r="U428" s="237"/>
      <c r="V428" s="237"/>
      <c r="W428" s="238"/>
      <c r="X428" s="237"/>
      <c r="Y428" s="237"/>
      <c r="Z428" s="237"/>
      <c r="AA428" s="239"/>
      <c r="AB428" s="238"/>
      <c r="AC428" s="238"/>
      <c r="AD428" s="240"/>
      <c r="AE428" s="241"/>
      <c r="AF428" s="241"/>
      <c r="AG428" s="238"/>
      <c r="AH428" s="240"/>
      <c r="AI428" s="241"/>
      <c r="AJ428" s="241"/>
      <c r="AK428" s="241"/>
      <c r="AL428" s="237"/>
      <c r="AM428" s="237"/>
      <c r="AN428" s="237"/>
      <c r="AO428" s="237"/>
      <c r="AP428" s="237"/>
      <c r="AQ428" s="237"/>
      <c r="AR428" s="237"/>
    </row>
    <row r="429">
      <c r="A429" s="228"/>
      <c r="B429" s="228"/>
      <c r="C429" s="228"/>
      <c r="D429" s="228"/>
      <c r="E429" s="228"/>
      <c r="F429" s="228"/>
      <c r="G429" s="228"/>
      <c r="H429" s="241"/>
      <c r="I429" s="228"/>
      <c r="J429" s="236"/>
      <c r="K429" s="228"/>
      <c r="L429" s="228"/>
      <c r="M429" s="238"/>
      <c r="N429" s="228"/>
      <c r="O429" s="235"/>
      <c r="P429" s="236"/>
      <c r="Q429" s="235"/>
      <c r="R429" s="235"/>
      <c r="S429" s="236"/>
      <c r="T429" s="236"/>
      <c r="U429" s="237"/>
      <c r="V429" s="237"/>
      <c r="W429" s="238"/>
      <c r="X429" s="237"/>
      <c r="Y429" s="237"/>
      <c r="Z429" s="237"/>
      <c r="AA429" s="239"/>
      <c r="AB429" s="238"/>
      <c r="AC429" s="238"/>
      <c r="AD429" s="240"/>
      <c r="AE429" s="241"/>
      <c r="AF429" s="241"/>
      <c r="AG429" s="238"/>
      <c r="AH429" s="240"/>
      <c r="AI429" s="241"/>
      <c r="AJ429" s="241"/>
      <c r="AK429" s="241"/>
      <c r="AL429" s="237"/>
      <c r="AM429" s="237"/>
      <c r="AN429" s="237"/>
      <c r="AO429" s="237"/>
      <c r="AP429" s="237"/>
      <c r="AQ429" s="237"/>
      <c r="AR429" s="237"/>
    </row>
    <row r="430">
      <c r="A430" s="228"/>
      <c r="B430" s="228"/>
      <c r="C430" s="228"/>
      <c r="D430" s="228"/>
      <c r="E430" s="228"/>
      <c r="F430" s="228"/>
      <c r="G430" s="228"/>
      <c r="H430" s="241"/>
      <c r="I430" s="228"/>
      <c r="J430" s="236"/>
      <c r="K430" s="228"/>
      <c r="L430" s="228"/>
      <c r="M430" s="238"/>
      <c r="N430" s="228"/>
      <c r="O430" s="235"/>
      <c r="P430" s="236"/>
      <c r="Q430" s="235"/>
      <c r="R430" s="235"/>
      <c r="S430" s="236"/>
      <c r="T430" s="236"/>
      <c r="U430" s="237"/>
      <c r="V430" s="237"/>
      <c r="W430" s="238"/>
      <c r="X430" s="237"/>
      <c r="Y430" s="237"/>
      <c r="Z430" s="237"/>
      <c r="AA430" s="239"/>
      <c r="AB430" s="238"/>
      <c r="AC430" s="238"/>
      <c r="AD430" s="240"/>
      <c r="AE430" s="241"/>
      <c r="AF430" s="241"/>
      <c r="AG430" s="238"/>
      <c r="AH430" s="240"/>
      <c r="AI430" s="241"/>
      <c r="AJ430" s="241"/>
      <c r="AK430" s="241"/>
      <c r="AL430" s="237"/>
      <c r="AM430" s="237"/>
      <c r="AN430" s="237"/>
      <c r="AO430" s="237"/>
      <c r="AP430" s="237"/>
      <c r="AQ430" s="237"/>
      <c r="AR430" s="237"/>
    </row>
    <row r="431">
      <c r="A431" s="228"/>
      <c r="B431" s="228"/>
      <c r="C431" s="228"/>
      <c r="D431" s="228"/>
      <c r="E431" s="228"/>
      <c r="F431" s="228"/>
      <c r="G431" s="228"/>
      <c r="H431" s="241"/>
      <c r="I431" s="228"/>
      <c r="J431" s="236"/>
      <c r="K431" s="228"/>
      <c r="L431" s="228"/>
      <c r="M431" s="238"/>
      <c r="N431" s="228"/>
      <c r="O431" s="235"/>
      <c r="P431" s="236"/>
      <c r="Q431" s="235"/>
      <c r="R431" s="235"/>
      <c r="S431" s="236"/>
      <c r="T431" s="236"/>
      <c r="U431" s="237"/>
      <c r="V431" s="237"/>
      <c r="W431" s="238"/>
      <c r="X431" s="237"/>
      <c r="Y431" s="237"/>
      <c r="Z431" s="237"/>
      <c r="AA431" s="239"/>
      <c r="AB431" s="238"/>
      <c r="AC431" s="238"/>
      <c r="AD431" s="240"/>
      <c r="AE431" s="241"/>
      <c r="AF431" s="241"/>
      <c r="AG431" s="238"/>
      <c r="AH431" s="240"/>
      <c r="AI431" s="241"/>
      <c r="AJ431" s="241"/>
      <c r="AK431" s="241"/>
      <c r="AL431" s="237"/>
      <c r="AM431" s="237"/>
      <c r="AN431" s="237"/>
      <c r="AO431" s="237"/>
      <c r="AP431" s="237"/>
      <c r="AQ431" s="237"/>
      <c r="AR431" s="237"/>
    </row>
    <row r="432">
      <c r="A432" s="228"/>
      <c r="B432" s="228"/>
      <c r="C432" s="228"/>
      <c r="D432" s="228"/>
      <c r="E432" s="228"/>
      <c r="F432" s="228"/>
      <c r="G432" s="228"/>
      <c r="H432" s="241"/>
      <c r="I432" s="228"/>
      <c r="J432" s="236"/>
      <c r="K432" s="228"/>
      <c r="L432" s="228"/>
      <c r="M432" s="238"/>
      <c r="N432" s="228"/>
      <c r="O432" s="235"/>
      <c r="P432" s="236"/>
      <c r="Q432" s="235"/>
      <c r="R432" s="235"/>
      <c r="S432" s="236"/>
      <c r="T432" s="236"/>
      <c r="U432" s="237"/>
      <c r="V432" s="237"/>
      <c r="W432" s="238"/>
      <c r="X432" s="237"/>
      <c r="Y432" s="237"/>
      <c r="Z432" s="237"/>
      <c r="AA432" s="239"/>
      <c r="AB432" s="238"/>
      <c r="AC432" s="238"/>
      <c r="AD432" s="240"/>
      <c r="AE432" s="241"/>
      <c r="AF432" s="241"/>
      <c r="AG432" s="238"/>
      <c r="AH432" s="240"/>
      <c r="AI432" s="241"/>
      <c r="AJ432" s="241"/>
      <c r="AK432" s="241"/>
      <c r="AL432" s="237"/>
      <c r="AM432" s="237"/>
      <c r="AN432" s="237"/>
      <c r="AO432" s="237"/>
      <c r="AP432" s="237"/>
      <c r="AQ432" s="237"/>
      <c r="AR432" s="237"/>
    </row>
    <row r="433">
      <c r="A433" s="228"/>
      <c r="B433" s="228"/>
      <c r="C433" s="228"/>
      <c r="D433" s="228"/>
      <c r="E433" s="228"/>
      <c r="F433" s="228"/>
      <c r="G433" s="228"/>
      <c r="H433" s="241"/>
      <c r="I433" s="228"/>
      <c r="J433" s="236"/>
      <c r="K433" s="228"/>
      <c r="L433" s="228"/>
      <c r="M433" s="238"/>
      <c r="N433" s="228"/>
      <c r="O433" s="235"/>
      <c r="P433" s="236"/>
      <c r="Q433" s="235"/>
      <c r="R433" s="235"/>
      <c r="S433" s="236"/>
      <c r="T433" s="236"/>
      <c r="U433" s="237"/>
      <c r="V433" s="237"/>
      <c r="W433" s="238"/>
      <c r="X433" s="237"/>
      <c r="Y433" s="237"/>
      <c r="Z433" s="237"/>
      <c r="AA433" s="239"/>
      <c r="AB433" s="238"/>
      <c r="AC433" s="238"/>
      <c r="AD433" s="240"/>
      <c r="AE433" s="241"/>
      <c r="AF433" s="241"/>
      <c r="AG433" s="238"/>
      <c r="AH433" s="240"/>
      <c r="AI433" s="241"/>
      <c r="AJ433" s="241"/>
      <c r="AK433" s="241"/>
      <c r="AL433" s="237"/>
      <c r="AM433" s="237"/>
      <c r="AN433" s="237"/>
      <c r="AO433" s="237"/>
      <c r="AP433" s="237"/>
      <c r="AQ433" s="237"/>
      <c r="AR433" s="237"/>
    </row>
    <row r="434">
      <c r="A434" s="228"/>
      <c r="B434" s="228"/>
      <c r="C434" s="228"/>
      <c r="D434" s="228"/>
      <c r="E434" s="228"/>
      <c r="F434" s="228"/>
      <c r="G434" s="228"/>
      <c r="H434" s="241"/>
      <c r="I434" s="228"/>
      <c r="J434" s="236"/>
      <c r="K434" s="228"/>
      <c r="L434" s="228"/>
      <c r="M434" s="238"/>
      <c r="N434" s="228"/>
      <c r="O434" s="235"/>
      <c r="P434" s="236"/>
      <c r="Q434" s="235"/>
      <c r="R434" s="235"/>
      <c r="S434" s="236"/>
      <c r="T434" s="236"/>
      <c r="U434" s="237"/>
      <c r="V434" s="237"/>
      <c r="W434" s="238"/>
      <c r="X434" s="237"/>
      <c r="Y434" s="237"/>
      <c r="Z434" s="237"/>
      <c r="AA434" s="239"/>
      <c r="AB434" s="238"/>
      <c r="AC434" s="238"/>
      <c r="AD434" s="240"/>
      <c r="AE434" s="241"/>
      <c r="AF434" s="241"/>
      <c r="AG434" s="238"/>
      <c r="AH434" s="240"/>
      <c r="AI434" s="241"/>
      <c r="AJ434" s="241"/>
      <c r="AK434" s="241"/>
      <c r="AL434" s="237"/>
      <c r="AM434" s="237"/>
      <c r="AN434" s="237"/>
      <c r="AO434" s="237"/>
      <c r="AP434" s="237"/>
      <c r="AQ434" s="237"/>
      <c r="AR434" s="237"/>
    </row>
    <row r="435">
      <c r="A435" s="228"/>
      <c r="B435" s="228"/>
      <c r="C435" s="228"/>
      <c r="D435" s="228"/>
      <c r="E435" s="228"/>
      <c r="F435" s="228"/>
      <c r="G435" s="228"/>
      <c r="H435" s="241"/>
      <c r="I435" s="228"/>
      <c r="J435" s="236"/>
      <c r="K435" s="228"/>
      <c r="L435" s="228"/>
      <c r="M435" s="238"/>
      <c r="N435" s="228"/>
      <c r="O435" s="235"/>
      <c r="P435" s="236"/>
      <c r="Q435" s="235"/>
      <c r="R435" s="235"/>
      <c r="S435" s="236"/>
      <c r="T435" s="236"/>
      <c r="U435" s="237"/>
      <c r="V435" s="237"/>
      <c r="W435" s="238"/>
      <c r="X435" s="237"/>
      <c r="Y435" s="237"/>
      <c r="Z435" s="237"/>
      <c r="AA435" s="239"/>
      <c r="AB435" s="238"/>
      <c r="AC435" s="238"/>
      <c r="AD435" s="240"/>
      <c r="AE435" s="241"/>
      <c r="AF435" s="241"/>
      <c r="AG435" s="238"/>
      <c r="AH435" s="240"/>
      <c r="AI435" s="241"/>
      <c r="AJ435" s="241"/>
      <c r="AK435" s="241"/>
      <c r="AL435" s="237"/>
      <c r="AM435" s="237"/>
      <c r="AN435" s="237"/>
      <c r="AO435" s="237"/>
      <c r="AP435" s="237"/>
      <c r="AQ435" s="237"/>
      <c r="AR435" s="237"/>
    </row>
    <row r="436">
      <c r="A436" s="228"/>
      <c r="B436" s="228"/>
      <c r="C436" s="228"/>
      <c r="D436" s="228"/>
      <c r="E436" s="228"/>
      <c r="F436" s="228"/>
      <c r="G436" s="228"/>
      <c r="H436" s="241"/>
      <c r="I436" s="228"/>
      <c r="J436" s="236"/>
      <c r="K436" s="228"/>
      <c r="L436" s="228"/>
      <c r="M436" s="238"/>
      <c r="N436" s="228"/>
      <c r="O436" s="235"/>
      <c r="P436" s="236"/>
      <c r="Q436" s="235"/>
      <c r="R436" s="235"/>
      <c r="S436" s="236"/>
      <c r="T436" s="236"/>
      <c r="U436" s="237"/>
      <c r="V436" s="237"/>
      <c r="W436" s="238"/>
      <c r="X436" s="237"/>
      <c r="Y436" s="237"/>
      <c r="Z436" s="237"/>
      <c r="AA436" s="239"/>
      <c r="AB436" s="238"/>
      <c r="AC436" s="238"/>
      <c r="AD436" s="240"/>
      <c r="AE436" s="241"/>
      <c r="AF436" s="241"/>
      <c r="AG436" s="238"/>
      <c r="AH436" s="240"/>
      <c r="AI436" s="241"/>
      <c r="AJ436" s="241"/>
      <c r="AK436" s="241"/>
      <c r="AL436" s="237"/>
      <c r="AM436" s="237"/>
      <c r="AN436" s="237"/>
      <c r="AO436" s="237"/>
      <c r="AP436" s="237"/>
      <c r="AQ436" s="237"/>
      <c r="AR436" s="237"/>
    </row>
    <row r="437">
      <c r="A437" s="228"/>
      <c r="B437" s="228"/>
      <c r="C437" s="228"/>
      <c r="D437" s="228"/>
      <c r="E437" s="228"/>
      <c r="F437" s="228"/>
      <c r="G437" s="228"/>
      <c r="H437" s="241"/>
      <c r="I437" s="228"/>
      <c r="J437" s="236"/>
      <c r="K437" s="228"/>
      <c r="L437" s="228"/>
      <c r="M437" s="238"/>
      <c r="N437" s="228"/>
      <c r="O437" s="235"/>
      <c r="P437" s="236"/>
      <c r="Q437" s="235"/>
      <c r="R437" s="235"/>
      <c r="S437" s="236"/>
      <c r="T437" s="236"/>
      <c r="U437" s="237"/>
      <c r="V437" s="237"/>
      <c r="W437" s="238"/>
      <c r="X437" s="237"/>
      <c r="Y437" s="237"/>
      <c r="Z437" s="237"/>
      <c r="AA437" s="239"/>
      <c r="AB437" s="238"/>
      <c r="AC437" s="238"/>
      <c r="AD437" s="240"/>
      <c r="AE437" s="241"/>
      <c r="AF437" s="241"/>
      <c r="AG437" s="238"/>
      <c r="AH437" s="240"/>
      <c r="AI437" s="241"/>
      <c r="AJ437" s="241"/>
      <c r="AK437" s="241"/>
      <c r="AL437" s="237"/>
      <c r="AM437" s="237"/>
      <c r="AN437" s="237"/>
      <c r="AO437" s="237"/>
      <c r="AP437" s="237"/>
      <c r="AQ437" s="237"/>
      <c r="AR437" s="237"/>
    </row>
    <row r="438">
      <c r="A438" s="228"/>
      <c r="B438" s="228"/>
      <c r="C438" s="228"/>
      <c r="D438" s="228"/>
      <c r="E438" s="228"/>
      <c r="F438" s="228"/>
      <c r="G438" s="228"/>
      <c r="H438" s="241"/>
      <c r="I438" s="228"/>
      <c r="J438" s="236"/>
      <c r="K438" s="228"/>
      <c r="L438" s="228"/>
      <c r="M438" s="238"/>
      <c r="N438" s="228"/>
      <c r="O438" s="235"/>
      <c r="P438" s="236"/>
      <c r="Q438" s="235"/>
      <c r="R438" s="235"/>
      <c r="S438" s="236"/>
      <c r="T438" s="236"/>
      <c r="U438" s="237"/>
      <c r="V438" s="237"/>
      <c r="W438" s="238"/>
      <c r="X438" s="237"/>
      <c r="Y438" s="237"/>
      <c r="Z438" s="237"/>
      <c r="AA438" s="239"/>
      <c r="AB438" s="238"/>
      <c r="AC438" s="238"/>
      <c r="AD438" s="240"/>
      <c r="AE438" s="241"/>
      <c r="AF438" s="241"/>
      <c r="AG438" s="238"/>
      <c r="AH438" s="240"/>
      <c r="AI438" s="241"/>
      <c r="AJ438" s="241"/>
      <c r="AK438" s="241"/>
      <c r="AL438" s="237"/>
      <c r="AM438" s="237"/>
      <c r="AN438" s="237"/>
      <c r="AO438" s="237"/>
      <c r="AP438" s="237"/>
      <c r="AQ438" s="237"/>
      <c r="AR438" s="237"/>
    </row>
    <row r="439">
      <c r="A439" s="228"/>
      <c r="B439" s="228"/>
      <c r="C439" s="228"/>
      <c r="D439" s="228"/>
      <c r="E439" s="228"/>
      <c r="F439" s="228"/>
      <c r="G439" s="228"/>
      <c r="H439" s="241"/>
      <c r="I439" s="228"/>
      <c r="J439" s="236"/>
      <c r="K439" s="228"/>
      <c r="L439" s="228"/>
      <c r="M439" s="238"/>
      <c r="N439" s="228"/>
      <c r="O439" s="235"/>
      <c r="P439" s="236"/>
      <c r="Q439" s="235"/>
      <c r="R439" s="235"/>
      <c r="S439" s="236"/>
      <c r="T439" s="236"/>
      <c r="U439" s="237"/>
      <c r="V439" s="237"/>
      <c r="W439" s="238"/>
      <c r="X439" s="237"/>
      <c r="Y439" s="237"/>
      <c r="Z439" s="237"/>
      <c r="AA439" s="239"/>
      <c r="AB439" s="238"/>
      <c r="AC439" s="238"/>
      <c r="AD439" s="240"/>
      <c r="AE439" s="241"/>
      <c r="AF439" s="241"/>
      <c r="AG439" s="238"/>
      <c r="AH439" s="240"/>
      <c r="AI439" s="241"/>
      <c r="AJ439" s="241"/>
      <c r="AK439" s="241"/>
      <c r="AL439" s="237"/>
      <c r="AM439" s="237"/>
      <c r="AN439" s="237"/>
      <c r="AO439" s="237"/>
      <c r="AP439" s="237"/>
      <c r="AQ439" s="237"/>
      <c r="AR439" s="237"/>
    </row>
    <row r="440">
      <c r="A440" s="228"/>
      <c r="B440" s="228"/>
      <c r="C440" s="228"/>
      <c r="D440" s="228"/>
      <c r="E440" s="228"/>
      <c r="F440" s="228"/>
      <c r="G440" s="228"/>
      <c r="H440" s="241"/>
      <c r="I440" s="228"/>
      <c r="J440" s="236"/>
      <c r="K440" s="228"/>
      <c r="L440" s="228"/>
      <c r="M440" s="238"/>
      <c r="N440" s="228"/>
      <c r="O440" s="235"/>
      <c r="P440" s="236"/>
      <c r="Q440" s="235"/>
      <c r="R440" s="235"/>
      <c r="S440" s="236"/>
      <c r="T440" s="236"/>
      <c r="U440" s="237"/>
      <c r="V440" s="237"/>
      <c r="W440" s="238"/>
      <c r="X440" s="237"/>
      <c r="Y440" s="237"/>
      <c r="Z440" s="237"/>
      <c r="AA440" s="239"/>
      <c r="AB440" s="238"/>
      <c r="AC440" s="238"/>
      <c r="AD440" s="240"/>
      <c r="AE440" s="241"/>
      <c r="AF440" s="241"/>
      <c r="AG440" s="238"/>
      <c r="AH440" s="240"/>
      <c r="AI440" s="241"/>
      <c r="AJ440" s="241"/>
      <c r="AK440" s="241"/>
      <c r="AL440" s="237"/>
      <c r="AM440" s="237"/>
      <c r="AN440" s="237"/>
      <c r="AO440" s="237"/>
      <c r="AP440" s="237"/>
      <c r="AQ440" s="237"/>
      <c r="AR440" s="237"/>
    </row>
    <row r="441">
      <c r="A441" s="228"/>
      <c r="B441" s="228"/>
      <c r="C441" s="228"/>
      <c r="D441" s="228"/>
      <c r="E441" s="228"/>
      <c r="F441" s="228"/>
      <c r="G441" s="228"/>
      <c r="H441" s="241"/>
      <c r="I441" s="228"/>
      <c r="J441" s="236"/>
      <c r="K441" s="228"/>
      <c r="L441" s="228"/>
      <c r="M441" s="238"/>
      <c r="N441" s="228"/>
      <c r="O441" s="235"/>
      <c r="P441" s="236"/>
      <c r="Q441" s="235"/>
      <c r="R441" s="235"/>
      <c r="S441" s="236"/>
      <c r="T441" s="236"/>
      <c r="U441" s="237"/>
      <c r="V441" s="237"/>
      <c r="W441" s="238"/>
      <c r="X441" s="237"/>
      <c r="Y441" s="237"/>
      <c r="Z441" s="237"/>
      <c r="AA441" s="239"/>
      <c r="AB441" s="238"/>
      <c r="AC441" s="238"/>
      <c r="AD441" s="240"/>
      <c r="AE441" s="241"/>
      <c r="AF441" s="241"/>
      <c r="AG441" s="238"/>
      <c r="AH441" s="240"/>
      <c r="AI441" s="241"/>
      <c r="AJ441" s="241"/>
      <c r="AK441" s="241"/>
      <c r="AL441" s="237"/>
      <c r="AM441" s="237"/>
      <c r="AN441" s="237"/>
      <c r="AO441" s="237"/>
      <c r="AP441" s="237"/>
      <c r="AQ441" s="237"/>
      <c r="AR441" s="237"/>
    </row>
    <row r="442">
      <c r="A442" s="228"/>
      <c r="B442" s="228"/>
      <c r="C442" s="228"/>
      <c r="D442" s="228"/>
      <c r="E442" s="228"/>
      <c r="F442" s="228"/>
      <c r="G442" s="228"/>
      <c r="H442" s="241"/>
      <c r="I442" s="228"/>
      <c r="J442" s="236"/>
      <c r="K442" s="228"/>
      <c r="L442" s="228"/>
      <c r="M442" s="238"/>
      <c r="N442" s="228"/>
      <c r="O442" s="235"/>
      <c r="P442" s="236"/>
      <c r="Q442" s="235"/>
      <c r="R442" s="235"/>
      <c r="S442" s="236"/>
      <c r="T442" s="236"/>
      <c r="U442" s="237"/>
      <c r="V442" s="237"/>
      <c r="W442" s="238"/>
      <c r="X442" s="237"/>
      <c r="Y442" s="237"/>
      <c r="Z442" s="237"/>
      <c r="AA442" s="239"/>
      <c r="AB442" s="238"/>
      <c r="AC442" s="238"/>
      <c r="AD442" s="240"/>
      <c r="AE442" s="241"/>
      <c r="AF442" s="241"/>
      <c r="AG442" s="238"/>
      <c r="AH442" s="240"/>
      <c r="AI442" s="241"/>
      <c r="AJ442" s="241"/>
      <c r="AK442" s="241"/>
      <c r="AL442" s="237"/>
      <c r="AM442" s="237"/>
      <c r="AN442" s="237"/>
      <c r="AO442" s="237"/>
      <c r="AP442" s="237"/>
      <c r="AQ442" s="237"/>
      <c r="AR442" s="237"/>
    </row>
    <row r="443">
      <c r="A443" s="228"/>
      <c r="B443" s="228"/>
      <c r="C443" s="228"/>
      <c r="D443" s="228"/>
      <c r="E443" s="228"/>
      <c r="F443" s="228"/>
      <c r="G443" s="228"/>
      <c r="H443" s="241"/>
      <c r="I443" s="228"/>
      <c r="J443" s="236"/>
      <c r="K443" s="228"/>
      <c r="L443" s="228"/>
      <c r="M443" s="238"/>
      <c r="N443" s="228"/>
      <c r="O443" s="235"/>
      <c r="P443" s="236"/>
      <c r="Q443" s="235"/>
      <c r="R443" s="235"/>
      <c r="S443" s="236"/>
      <c r="T443" s="236"/>
      <c r="U443" s="237"/>
      <c r="V443" s="237"/>
      <c r="W443" s="238"/>
      <c r="X443" s="237"/>
      <c r="Y443" s="237"/>
      <c r="Z443" s="237"/>
      <c r="AA443" s="239"/>
      <c r="AB443" s="238"/>
      <c r="AC443" s="238"/>
      <c r="AD443" s="240"/>
      <c r="AE443" s="241"/>
      <c r="AF443" s="241"/>
      <c r="AG443" s="238"/>
      <c r="AH443" s="240"/>
      <c r="AI443" s="241"/>
      <c r="AJ443" s="241"/>
      <c r="AK443" s="241"/>
      <c r="AL443" s="237"/>
      <c r="AM443" s="237"/>
      <c r="AN443" s="237"/>
      <c r="AO443" s="237"/>
      <c r="AP443" s="237"/>
      <c r="AQ443" s="237"/>
      <c r="AR443" s="237"/>
    </row>
    <row r="444">
      <c r="A444" s="228"/>
      <c r="B444" s="228"/>
      <c r="C444" s="228"/>
      <c r="D444" s="228"/>
      <c r="E444" s="228"/>
      <c r="F444" s="228"/>
      <c r="G444" s="228"/>
      <c r="H444" s="241"/>
      <c r="I444" s="228"/>
      <c r="J444" s="236"/>
      <c r="K444" s="228"/>
      <c r="L444" s="228"/>
      <c r="M444" s="238"/>
      <c r="N444" s="228"/>
      <c r="O444" s="235"/>
      <c r="P444" s="236"/>
      <c r="Q444" s="235"/>
      <c r="R444" s="235"/>
      <c r="S444" s="236"/>
      <c r="T444" s="236"/>
      <c r="U444" s="237"/>
      <c r="V444" s="237"/>
      <c r="W444" s="238"/>
      <c r="X444" s="237"/>
      <c r="Y444" s="237"/>
      <c r="Z444" s="237"/>
      <c r="AA444" s="239"/>
      <c r="AB444" s="238"/>
      <c r="AC444" s="238"/>
      <c r="AD444" s="240"/>
      <c r="AE444" s="241"/>
      <c r="AF444" s="241"/>
      <c r="AG444" s="238"/>
      <c r="AH444" s="240"/>
      <c r="AI444" s="241"/>
      <c r="AJ444" s="241"/>
      <c r="AK444" s="241"/>
      <c r="AL444" s="237"/>
      <c r="AM444" s="237"/>
      <c r="AN444" s="237"/>
      <c r="AO444" s="237"/>
      <c r="AP444" s="237"/>
      <c r="AQ444" s="237"/>
      <c r="AR444" s="237"/>
    </row>
    <row r="445">
      <c r="A445" s="228"/>
      <c r="B445" s="228"/>
      <c r="C445" s="228"/>
      <c r="D445" s="228"/>
      <c r="E445" s="228"/>
      <c r="F445" s="228"/>
      <c r="G445" s="228"/>
      <c r="H445" s="241"/>
      <c r="I445" s="228"/>
      <c r="J445" s="236"/>
      <c r="K445" s="228"/>
      <c r="L445" s="228"/>
      <c r="M445" s="238"/>
      <c r="N445" s="228"/>
      <c r="O445" s="235"/>
      <c r="P445" s="236"/>
      <c r="Q445" s="235"/>
      <c r="R445" s="235"/>
      <c r="S445" s="236"/>
      <c r="T445" s="236"/>
      <c r="U445" s="237"/>
      <c r="V445" s="237"/>
      <c r="W445" s="238"/>
      <c r="X445" s="237"/>
      <c r="Y445" s="237"/>
      <c r="Z445" s="237"/>
      <c r="AA445" s="239"/>
      <c r="AB445" s="238"/>
      <c r="AC445" s="238"/>
      <c r="AD445" s="240"/>
      <c r="AE445" s="241"/>
      <c r="AF445" s="241"/>
      <c r="AG445" s="238"/>
      <c r="AH445" s="240"/>
      <c r="AI445" s="241"/>
      <c r="AJ445" s="241"/>
      <c r="AK445" s="241"/>
      <c r="AL445" s="237"/>
      <c r="AM445" s="237"/>
      <c r="AN445" s="237"/>
      <c r="AO445" s="237"/>
      <c r="AP445" s="237"/>
      <c r="AQ445" s="237"/>
      <c r="AR445" s="237"/>
    </row>
    <row r="446">
      <c r="A446" s="228"/>
      <c r="B446" s="228"/>
      <c r="C446" s="228"/>
      <c r="D446" s="228"/>
      <c r="E446" s="228"/>
      <c r="F446" s="228"/>
      <c r="G446" s="228"/>
      <c r="H446" s="241"/>
      <c r="I446" s="228"/>
      <c r="J446" s="236"/>
      <c r="K446" s="228"/>
      <c r="L446" s="228"/>
      <c r="M446" s="238"/>
      <c r="N446" s="228"/>
      <c r="O446" s="235"/>
      <c r="P446" s="236"/>
      <c r="Q446" s="235"/>
      <c r="R446" s="235"/>
      <c r="S446" s="236"/>
      <c r="T446" s="236"/>
      <c r="U446" s="237"/>
      <c r="V446" s="237"/>
      <c r="W446" s="238"/>
      <c r="X446" s="237"/>
      <c r="Y446" s="237"/>
      <c r="Z446" s="237"/>
      <c r="AA446" s="239"/>
      <c r="AB446" s="238"/>
      <c r="AC446" s="238"/>
      <c r="AD446" s="240"/>
      <c r="AE446" s="241"/>
      <c r="AF446" s="241"/>
      <c r="AG446" s="238"/>
      <c r="AH446" s="240"/>
      <c r="AI446" s="241"/>
      <c r="AJ446" s="241"/>
      <c r="AK446" s="241"/>
      <c r="AL446" s="237"/>
      <c r="AM446" s="237"/>
      <c r="AN446" s="237"/>
      <c r="AO446" s="237"/>
      <c r="AP446" s="237"/>
      <c r="AQ446" s="237"/>
      <c r="AR446" s="237"/>
    </row>
    <row r="447">
      <c r="A447" s="228"/>
      <c r="B447" s="228"/>
      <c r="C447" s="228"/>
      <c r="D447" s="228"/>
      <c r="E447" s="228"/>
      <c r="F447" s="228"/>
      <c r="G447" s="228"/>
      <c r="H447" s="241"/>
      <c r="I447" s="228"/>
      <c r="J447" s="236"/>
      <c r="K447" s="228"/>
      <c r="L447" s="228"/>
      <c r="M447" s="238"/>
      <c r="N447" s="228"/>
      <c r="O447" s="235"/>
      <c r="P447" s="236"/>
      <c r="Q447" s="235"/>
      <c r="R447" s="235"/>
      <c r="S447" s="236"/>
      <c r="T447" s="236"/>
      <c r="U447" s="237"/>
      <c r="V447" s="237"/>
      <c r="W447" s="238"/>
      <c r="X447" s="237"/>
      <c r="Y447" s="237"/>
      <c r="Z447" s="237"/>
      <c r="AA447" s="239"/>
      <c r="AB447" s="238"/>
      <c r="AC447" s="238"/>
      <c r="AD447" s="240"/>
      <c r="AE447" s="241"/>
      <c r="AF447" s="241"/>
      <c r="AG447" s="238"/>
      <c r="AH447" s="240"/>
      <c r="AI447" s="241"/>
      <c r="AJ447" s="241"/>
      <c r="AK447" s="241"/>
      <c r="AL447" s="237"/>
      <c r="AM447" s="237"/>
      <c r="AN447" s="237"/>
      <c r="AO447" s="237"/>
      <c r="AP447" s="237"/>
      <c r="AQ447" s="237"/>
      <c r="AR447" s="237"/>
    </row>
    <row r="448">
      <c r="A448" s="228"/>
      <c r="B448" s="228"/>
      <c r="C448" s="228"/>
      <c r="D448" s="228"/>
      <c r="E448" s="228"/>
      <c r="F448" s="228"/>
      <c r="G448" s="228"/>
      <c r="H448" s="241"/>
      <c r="I448" s="228"/>
      <c r="J448" s="236"/>
      <c r="K448" s="228"/>
      <c r="L448" s="228"/>
      <c r="M448" s="238"/>
      <c r="N448" s="228"/>
      <c r="O448" s="235"/>
      <c r="P448" s="236"/>
      <c r="Q448" s="235"/>
      <c r="R448" s="235"/>
      <c r="S448" s="236"/>
      <c r="T448" s="236"/>
      <c r="U448" s="237"/>
      <c r="V448" s="237"/>
      <c r="W448" s="238"/>
      <c r="X448" s="237"/>
      <c r="Y448" s="237"/>
      <c r="Z448" s="237"/>
      <c r="AA448" s="239"/>
      <c r="AB448" s="238"/>
      <c r="AC448" s="238"/>
      <c r="AD448" s="240"/>
      <c r="AE448" s="241"/>
      <c r="AF448" s="241"/>
      <c r="AG448" s="238"/>
      <c r="AH448" s="240"/>
      <c r="AI448" s="241"/>
      <c r="AJ448" s="241"/>
      <c r="AK448" s="241"/>
      <c r="AL448" s="237"/>
      <c r="AM448" s="237"/>
      <c r="AN448" s="237"/>
      <c r="AO448" s="237"/>
      <c r="AP448" s="237"/>
      <c r="AQ448" s="237"/>
      <c r="AR448" s="237"/>
    </row>
    <row r="449">
      <c r="A449" s="228"/>
      <c r="B449" s="228"/>
      <c r="C449" s="228"/>
      <c r="D449" s="228"/>
      <c r="E449" s="228"/>
      <c r="F449" s="228"/>
      <c r="G449" s="228"/>
      <c r="H449" s="241"/>
      <c r="I449" s="228"/>
      <c r="J449" s="236"/>
      <c r="K449" s="228"/>
      <c r="L449" s="228"/>
      <c r="M449" s="238"/>
      <c r="N449" s="228"/>
      <c r="O449" s="235"/>
      <c r="P449" s="236"/>
      <c r="Q449" s="235"/>
      <c r="R449" s="235"/>
      <c r="S449" s="236"/>
      <c r="T449" s="236"/>
      <c r="U449" s="237"/>
      <c r="V449" s="237"/>
      <c r="W449" s="238"/>
      <c r="X449" s="237"/>
      <c r="Y449" s="237"/>
      <c r="Z449" s="237"/>
      <c r="AA449" s="239"/>
      <c r="AB449" s="238"/>
      <c r="AC449" s="238"/>
      <c r="AD449" s="240"/>
      <c r="AE449" s="241"/>
      <c r="AF449" s="241"/>
      <c r="AG449" s="238"/>
      <c r="AH449" s="240"/>
      <c r="AI449" s="241"/>
      <c r="AJ449" s="241"/>
      <c r="AK449" s="241"/>
      <c r="AL449" s="237"/>
      <c r="AM449" s="237"/>
      <c r="AN449" s="237"/>
      <c r="AO449" s="237"/>
      <c r="AP449" s="237"/>
      <c r="AQ449" s="237"/>
      <c r="AR449" s="237"/>
    </row>
    <row r="450">
      <c r="A450" s="228"/>
      <c r="B450" s="228"/>
      <c r="C450" s="228"/>
      <c r="D450" s="228"/>
      <c r="E450" s="228"/>
      <c r="F450" s="228"/>
      <c r="G450" s="228"/>
      <c r="H450" s="241"/>
      <c r="I450" s="228"/>
      <c r="J450" s="236"/>
      <c r="K450" s="228"/>
      <c r="L450" s="228"/>
      <c r="M450" s="238"/>
      <c r="N450" s="228"/>
      <c r="O450" s="235"/>
      <c r="P450" s="236"/>
      <c r="Q450" s="235"/>
      <c r="R450" s="235"/>
      <c r="S450" s="236"/>
      <c r="T450" s="236"/>
      <c r="U450" s="237"/>
      <c r="V450" s="237"/>
      <c r="W450" s="238"/>
      <c r="X450" s="237"/>
      <c r="Y450" s="237"/>
      <c r="Z450" s="237"/>
      <c r="AA450" s="239"/>
      <c r="AB450" s="238"/>
      <c r="AC450" s="238"/>
      <c r="AD450" s="240"/>
      <c r="AE450" s="241"/>
      <c r="AF450" s="241"/>
      <c r="AG450" s="238"/>
      <c r="AH450" s="240"/>
      <c r="AI450" s="241"/>
      <c r="AJ450" s="241"/>
      <c r="AK450" s="241"/>
      <c r="AL450" s="237"/>
      <c r="AM450" s="237"/>
      <c r="AN450" s="237"/>
      <c r="AO450" s="237"/>
      <c r="AP450" s="237"/>
      <c r="AQ450" s="237"/>
      <c r="AR450" s="237"/>
    </row>
    <row r="451">
      <c r="A451" s="228"/>
      <c r="B451" s="228"/>
      <c r="C451" s="228"/>
      <c r="D451" s="228"/>
      <c r="E451" s="228"/>
      <c r="F451" s="228"/>
      <c r="G451" s="228"/>
      <c r="H451" s="241"/>
      <c r="I451" s="228"/>
      <c r="J451" s="236"/>
      <c r="K451" s="228"/>
      <c r="L451" s="228"/>
      <c r="M451" s="238"/>
      <c r="N451" s="228"/>
      <c r="O451" s="235"/>
      <c r="P451" s="236"/>
      <c r="Q451" s="235"/>
      <c r="R451" s="235"/>
      <c r="S451" s="236"/>
      <c r="T451" s="236"/>
      <c r="U451" s="237"/>
      <c r="V451" s="237"/>
      <c r="W451" s="238"/>
      <c r="X451" s="237"/>
      <c r="Y451" s="237"/>
      <c r="Z451" s="237"/>
      <c r="AA451" s="239"/>
      <c r="AB451" s="238"/>
      <c r="AC451" s="238"/>
      <c r="AD451" s="240"/>
      <c r="AE451" s="241"/>
      <c r="AF451" s="241"/>
      <c r="AG451" s="238"/>
      <c r="AH451" s="240"/>
      <c r="AI451" s="241"/>
      <c r="AJ451" s="241"/>
      <c r="AK451" s="241"/>
      <c r="AL451" s="237"/>
      <c r="AM451" s="237"/>
      <c r="AN451" s="237"/>
      <c r="AO451" s="237"/>
      <c r="AP451" s="237"/>
      <c r="AQ451" s="237"/>
      <c r="AR451" s="237"/>
    </row>
    <row r="452">
      <c r="A452" s="228"/>
      <c r="B452" s="228"/>
      <c r="C452" s="228"/>
      <c r="D452" s="228"/>
      <c r="E452" s="228"/>
      <c r="F452" s="228"/>
      <c r="G452" s="228"/>
      <c r="H452" s="241"/>
      <c r="I452" s="228"/>
      <c r="J452" s="236"/>
      <c r="K452" s="228"/>
      <c r="L452" s="228"/>
      <c r="M452" s="238"/>
      <c r="N452" s="228"/>
      <c r="O452" s="235"/>
      <c r="P452" s="236"/>
      <c r="Q452" s="235"/>
      <c r="R452" s="235"/>
      <c r="S452" s="236"/>
      <c r="T452" s="236"/>
      <c r="U452" s="237"/>
      <c r="V452" s="237"/>
      <c r="W452" s="238"/>
      <c r="X452" s="237"/>
      <c r="Y452" s="237"/>
      <c r="Z452" s="237"/>
      <c r="AA452" s="239"/>
      <c r="AB452" s="238"/>
      <c r="AC452" s="238"/>
      <c r="AD452" s="240"/>
      <c r="AE452" s="241"/>
      <c r="AF452" s="241"/>
      <c r="AG452" s="238"/>
      <c r="AH452" s="240"/>
      <c r="AI452" s="241"/>
      <c r="AJ452" s="241"/>
      <c r="AK452" s="241"/>
      <c r="AL452" s="237"/>
      <c r="AM452" s="237"/>
      <c r="AN452" s="237"/>
      <c r="AO452" s="237"/>
      <c r="AP452" s="237"/>
      <c r="AQ452" s="237"/>
      <c r="AR452" s="237"/>
    </row>
    <row r="453">
      <c r="A453" s="228"/>
      <c r="B453" s="228"/>
      <c r="C453" s="228"/>
      <c r="D453" s="228"/>
      <c r="E453" s="228"/>
      <c r="F453" s="228"/>
      <c r="G453" s="228"/>
      <c r="H453" s="241"/>
      <c r="I453" s="228"/>
      <c r="J453" s="236"/>
      <c r="K453" s="228"/>
      <c r="L453" s="228"/>
      <c r="M453" s="238"/>
      <c r="N453" s="228"/>
      <c r="O453" s="235"/>
      <c r="P453" s="236"/>
      <c r="Q453" s="235"/>
      <c r="R453" s="235"/>
      <c r="S453" s="236"/>
      <c r="T453" s="236"/>
      <c r="U453" s="237"/>
      <c r="V453" s="237"/>
      <c r="W453" s="238"/>
      <c r="X453" s="237"/>
      <c r="Y453" s="237"/>
      <c r="Z453" s="237"/>
      <c r="AA453" s="239"/>
      <c r="AB453" s="238"/>
      <c r="AC453" s="238"/>
      <c r="AD453" s="240"/>
      <c r="AE453" s="241"/>
      <c r="AF453" s="241"/>
      <c r="AG453" s="238"/>
      <c r="AH453" s="240"/>
      <c r="AI453" s="241"/>
      <c r="AJ453" s="241"/>
      <c r="AK453" s="241"/>
      <c r="AL453" s="237"/>
      <c r="AM453" s="237"/>
      <c r="AN453" s="237"/>
      <c r="AO453" s="237"/>
      <c r="AP453" s="237"/>
      <c r="AQ453" s="237"/>
      <c r="AR453" s="237"/>
    </row>
    <row r="454">
      <c r="A454" s="228"/>
      <c r="B454" s="228"/>
      <c r="C454" s="228"/>
      <c r="D454" s="228"/>
      <c r="E454" s="228"/>
      <c r="F454" s="228"/>
      <c r="G454" s="228"/>
      <c r="H454" s="241"/>
      <c r="I454" s="228"/>
      <c r="J454" s="236"/>
      <c r="K454" s="228"/>
      <c r="L454" s="228"/>
      <c r="M454" s="238"/>
      <c r="N454" s="228"/>
      <c r="O454" s="235"/>
      <c r="P454" s="236"/>
      <c r="Q454" s="235"/>
      <c r="R454" s="235"/>
      <c r="S454" s="236"/>
      <c r="T454" s="236"/>
      <c r="U454" s="237"/>
      <c r="V454" s="237"/>
      <c r="W454" s="238"/>
      <c r="X454" s="237"/>
      <c r="Y454" s="237"/>
      <c r="Z454" s="237"/>
      <c r="AA454" s="239"/>
      <c r="AB454" s="238"/>
      <c r="AC454" s="238"/>
      <c r="AD454" s="240"/>
      <c r="AE454" s="241"/>
      <c r="AF454" s="241"/>
      <c r="AG454" s="238"/>
      <c r="AH454" s="240"/>
      <c r="AI454" s="241"/>
      <c r="AJ454" s="241"/>
      <c r="AK454" s="241"/>
      <c r="AL454" s="237"/>
      <c r="AM454" s="237"/>
      <c r="AN454" s="237"/>
      <c r="AO454" s="237"/>
      <c r="AP454" s="237"/>
      <c r="AQ454" s="237"/>
      <c r="AR454" s="237"/>
    </row>
    <row r="455">
      <c r="A455" s="228"/>
      <c r="B455" s="228"/>
      <c r="C455" s="228"/>
      <c r="D455" s="228"/>
      <c r="E455" s="228"/>
      <c r="F455" s="228"/>
      <c r="G455" s="228"/>
      <c r="H455" s="241"/>
      <c r="I455" s="228"/>
      <c r="J455" s="236"/>
      <c r="K455" s="228"/>
      <c r="L455" s="228"/>
      <c r="M455" s="238"/>
      <c r="N455" s="228"/>
      <c r="O455" s="235"/>
      <c r="P455" s="236"/>
      <c r="Q455" s="235"/>
      <c r="R455" s="235"/>
      <c r="S455" s="236"/>
      <c r="T455" s="236"/>
      <c r="U455" s="237"/>
      <c r="V455" s="237"/>
      <c r="W455" s="238"/>
      <c r="X455" s="237"/>
      <c r="Y455" s="237"/>
      <c r="Z455" s="237"/>
      <c r="AA455" s="239"/>
      <c r="AB455" s="238"/>
      <c r="AC455" s="238"/>
      <c r="AD455" s="240"/>
      <c r="AE455" s="241"/>
      <c r="AF455" s="241"/>
      <c r="AG455" s="238"/>
      <c r="AH455" s="240"/>
      <c r="AI455" s="241"/>
      <c r="AJ455" s="241"/>
      <c r="AK455" s="241"/>
      <c r="AL455" s="237"/>
      <c r="AM455" s="237"/>
      <c r="AN455" s="237"/>
      <c r="AO455" s="237"/>
      <c r="AP455" s="237"/>
      <c r="AQ455" s="237"/>
      <c r="AR455" s="237"/>
    </row>
    <row r="456">
      <c r="A456" s="228"/>
      <c r="B456" s="228"/>
      <c r="C456" s="228"/>
      <c r="D456" s="228"/>
      <c r="E456" s="228"/>
      <c r="F456" s="228"/>
      <c r="G456" s="228"/>
      <c r="H456" s="241"/>
      <c r="I456" s="228"/>
      <c r="J456" s="236"/>
      <c r="K456" s="228"/>
      <c r="L456" s="228"/>
      <c r="M456" s="238"/>
      <c r="N456" s="228"/>
      <c r="O456" s="235"/>
      <c r="P456" s="236"/>
      <c r="Q456" s="235"/>
      <c r="R456" s="235"/>
      <c r="S456" s="236"/>
      <c r="T456" s="236"/>
      <c r="U456" s="237"/>
      <c r="V456" s="237"/>
      <c r="W456" s="238"/>
      <c r="X456" s="237"/>
      <c r="Y456" s="237"/>
      <c r="Z456" s="237"/>
      <c r="AA456" s="239"/>
      <c r="AB456" s="238"/>
      <c r="AC456" s="238"/>
      <c r="AD456" s="240"/>
      <c r="AE456" s="241"/>
      <c r="AF456" s="241"/>
      <c r="AG456" s="238"/>
      <c r="AH456" s="240"/>
      <c r="AI456" s="241"/>
      <c r="AJ456" s="241"/>
      <c r="AK456" s="241"/>
      <c r="AL456" s="237"/>
      <c r="AM456" s="237"/>
      <c r="AN456" s="237"/>
      <c r="AO456" s="237"/>
      <c r="AP456" s="237"/>
      <c r="AQ456" s="237"/>
      <c r="AR456" s="237"/>
    </row>
    <row r="457">
      <c r="A457" s="228"/>
      <c r="B457" s="228"/>
      <c r="C457" s="228"/>
      <c r="D457" s="228"/>
      <c r="E457" s="228"/>
      <c r="F457" s="228"/>
      <c r="G457" s="228"/>
      <c r="H457" s="241"/>
      <c r="I457" s="228"/>
      <c r="J457" s="236"/>
      <c r="K457" s="228"/>
      <c r="L457" s="228"/>
      <c r="M457" s="238"/>
      <c r="N457" s="228"/>
      <c r="O457" s="235"/>
      <c r="P457" s="236"/>
      <c r="Q457" s="235"/>
      <c r="R457" s="235"/>
      <c r="S457" s="236"/>
      <c r="T457" s="236"/>
      <c r="U457" s="237"/>
      <c r="V457" s="237"/>
      <c r="W457" s="238"/>
      <c r="X457" s="237"/>
      <c r="Y457" s="237"/>
      <c r="Z457" s="237"/>
      <c r="AA457" s="239"/>
      <c r="AB457" s="238"/>
      <c r="AC457" s="238"/>
      <c r="AD457" s="240"/>
      <c r="AE457" s="241"/>
      <c r="AF457" s="241"/>
      <c r="AG457" s="238"/>
      <c r="AH457" s="240"/>
      <c r="AI457" s="241"/>
      <c r="AJ457" s="241"/>
      <c r="AK457" s="241"/>
      <c r="AL457" s="237"/>
      <c r="AM457" s="237"/>
      <c r="AN457" s="237"/>
      <c r="AO457" s="237"/>
      <c r="AP457" s="237"/>
      <c r="AQ457" s="237"/>
      <c r="AR457" s="237"/>
    </row>
    <row r="458">
      <c r="A458" s="228"/>
      <c r="B458" s="228"/>
      <c r="C458" s="228"/>
      <c r="D458" s="228"/>
      <c r="E458" s="228"/>
      <c r="F458" s="228"/>
      <c r="G458" s="228"/>
      <c r="H458" s="241"/>
      <c r="I458" s="228"/>
      <c r="J458" s="236"/>
      <c r="K458" s="228"/>
      <c r="L458" s="228"/>
      <c r="M458" s="238"/>
      <c r="N458" s="228"/>
      <c r="O458" s="235"/>
      <c r="P458" s="236"/>
      <c r="Q458" s="235"/>
      <c r="R458" s="235"/>
      <c r="S458" s="236"/>
      <c r="T458" s="236"/>
      <c r="U458" s="237"/>
      <c r="V458" s="237"/>
      <c r="W458" s="238"/>
      <c r="X458" s="237"/>
      <c r="Y458" s="237"/>
      <c r="Z458" s="237"/>
      <c r="AA458" s="239"/>
      <c r="AB458" s="238"/>
      <c r="AC458" s="238"/>
      <c r="AD458" s="240"/>
      <c r="AE458" s="241"/>
      <c r="AF458" s="241"/>
      <c r="AG458" s="238"/>
      <c r="AH458" s="240"/>
      <c r="AI458" s="241"/>
      <c r="AJ458" s="241"/>
      <c r="AK458" s="241"/>
      <c r="AL458" s="237"/>
      <c r="AM458" s="237"/>
      <c r="AN458" s="237"/>
      <c r="AO458" s="237"/>
      <c r="AP458" s="237"/>
      <c r="AQ458" s="237"/>
      <c r="AR458" s="237"/>
    </row>
    <row r="459">
      <c r="A459" s="228"/>
      <c r="B459" s="228"/>
      <c r="C459" s="228"/>
      <c r="D459" s="228"/>
      <c r="E459" s="228"/>
      <c r="F459" s="228"/>
      <c r="G459" s="228"/>
      <c r="H459" s="241"/>
      <c r="I459" s="228"/>
      <c r="J459" s="236"/>
      <c r="K459" s="228"/>
      <c r="L459" s="228"/>
      <c r="M459" s="238"/>
      <c r="N459" s="228"/>
      <c r="O459" s="235"/>
      <c r="P459" s="236"/>
      <c r="Q459" s="235"/>
      <c r="R459" s="235"/>
      <c r="S459" s="236"/>
      <c r="T459" s="236"/>
      <c r="U459" s="237"/>
      <c r="V459" s="237"/>
      <c r="W459" s="238"/>
      <c r="X459" s="237"/>
      <c r="Y459" s="237"/>
      <c r="Z459" s="237"/>
      <c r="AA459" s="239"/>
      <c r="AB459" s="238"/>
      <c r="AC459" s="238"/>
      <c r="AD459" s="240"/>
      <c r="AE459" s="241"/>
      <c r="AF459" s="241"/>
      <c r="AG459" s="238"/>
      <c r="AH459" s="240"/>
      <c r="AI459" s="241"/>
      <c r="AJ459" s="241"/>
      <c r="AK459" s="241"/>
      <c r="AL459" s="237"/>
      <c r="AM459" s="237"/>
      <c r="AN459" s="237"/>
      <c r="AO459" s="237"/>
      <c r="AP459" s="237"/>
      <c r="AQ459" s="237"/>
      <c r="AR459" s="237"/>
    </row>
    <row r="460">
      <c r="A460" s="228"/>
      <c r="B460" s="228"/>
      <c r="C460" s="228"/>
      <c r="D460" s="228"/>
      <c r="E460" s="228"/>
      <c r="F460" s="228"/>
      <c r="G460" s="228"/>
      <c r="H460" s="241"/>
      <c r="I460" s="228"/>
      <c r="J460" s="236"/>
      <c r="K460" s="228"/>
      <c r="L460" s="228"/>
      <c r="M460" s="238"/>
      <c r="N460" s="228"/>
      <c r="O460" s="235"/>
      <c r="P460" s="236"/>
      <c r="Q460" s="235"/>
      <c r="R460" s="235"/>
      <c r="S460" s="236"/>
      <c r="T460" s="236"/>
      <c r="U460" s="237"/>
      <c r="V460" s="237"/>
      <c r="W460" s="238"/>
      <c r="X460" s="237"/>
      <c r="Y460" s="237"/>
      <c r="Z460" s="237"/>
      <c r="AA460" s="239"/>
      <c r="AB460" s="238"/>
      <c r="AC460" s="238"/>
      <c r="AD460" s="240"/>
      <c r="AE460" s="241"/>
      <c r="AF460" s="241"/>
      <c r="AG460" s="238"/>
      <c r="AH460" s="240"/>
      <c r="AI460" s="241"/>
      <c r="AJ460" s="241"/>
      <c r="AK460" s="241"/>
      <c r="AL460" s="237"/>
      <c r="AM460" s="237"/>
      <c r="AN460" s="237"/>
      <c r="AO460" s="237"/>
      <c r="AP460" s="237"/>
      <c r="AQ460" s="237"/>
      <c r="AR460" s="237"/>
    </row>
    <row r="461">
      <c r="A461" s="228"/>
      <c r="B461" s="228"/>
      <c r="C461" s="228"/>
      <c r="D461" s="228"/>
      <c r="E461" s="228"/>
      <c r="F461" s="228"/>
      <c r="G461" s="228"/>
      <c r="H461" s="241"/>
      <c r="I461" s="228"/>
      <c r="J461" s="236"/>
      <c r="K461" s="228"/>
      <c r="L461" s="228"/>
      <c r="M461" s="238"/>
      <c r="N461" s="228"/>
      <c r="O461" s="235"/>
      <c r="P461" s="236"/>
      <c r="Q461" s="235"/>
      <c r="R461" s="235"/>
      <c r="S461" s="236"/>
      <c r="T461" s="236"/>
      <c r="U461" s="237"/>
      <c r="V461" s="237"/>
      <c r="W461" s="238"/>
      <c r="X461" s="237"/>
      <c r="Y461" s="237"/>
      <c r="Z461" s="237"/>
      <c r="AA461" s="239"/>
      <c r="AB461" s="238"/>
      <c r="AC461" s="238"/>
      <c r="AD461" s="240"/>
      <c r="AE461" s="241"/>
      <c r="AF461" s="241"/>
      <c r="AG461" s="238"/>
      <c r="AH461" s="240"/>
      <c r="AI461" s="241"/>
      <c r="AJ461" s="241"/>
      <c r="AK461" s="241"/>
      <c r="AL461" s="237"/>
      <c r="AM461" s="237"/>
      <c r="AN461" s="237"/>
      <c r="AO461" s="237"/>
      <c r="AP461" s="237"/>
      <c r="AQ461" s="237"/>
      <c r="AR461" s="237"/>
    </row>
    <row r="462">
      <c r="A462" s="228"/>
      <c r="B462" s="228"/>
      <c r="C462" s="228"/>
      <c r="D462" s="228"/>
      <c r="E462" s="228"/>
      <c r="F462" s="228"/>
      <c r="G462" s="228"/>
      <c r="H462" s="241"/>
      <c r="I462" s="228"/>
      <c r="J462" s="236"/>
      <c r="K462" s="228"/>
      <c r="L462" s="228"/>
      <c r="M462" s="238"/>
      <c r="N462" s="228"/>
      <c r="O462" s="235"/>
      <c r="P462" s="236"/>
      <c r="Q462" s="235"/>
      <c r="R462" s="235"/>
      <c r="S462" s="236"/>
      <c r="T462" s="236"/>
      <c r="U462" s="237"/>
      <c r="V462" s="237"/>
      <c r="W462" s="238"/>
      <c r="X462" s="237"/>
      <c r="Y462" s="237"/>
      <c r="Z462" s="237"/>
      <c r="AA462" s="239"/>
      <c r="AB462" s="238"/>
      <c r="AC462" s="238"/>
      <c r="AD462" s="240"/>
      <c r="AE462" s="241"/>
      <c r="AF462" s="241"/>
      <c r="AG462" s="238"/>
      <c r="AH462" s="240"/>
      <c r="AI462" s="241"/>
      <c r="AJ462" s="241"/>
      <c r="AK462" s="241"/>
      <c r="AL462" s="237"/>
      <c r="AM462" s="237"/>
      <c r="AN462" s="237"/>
      <c r="AO462" s="237"/>
      <c r="AP462" s="237"/>
      <c r="AQ462" s="237"/>
      <c r="AR462" s="237"/>
    </row>
    <row r="463">
      <c r="A463" s="228"/>
      <c r="B463" s="228"/>
      <c r="C463" s="228"/>
      <c r="D463" s="228"/>
      <c r="E463" s="228"/>
      <c r="F463" s="228"/>
      <c r="G463" s="228"/>
      <c r="H463" s="241"/>
      <c r="I463" s="228"/>
      <c r="J463" s="236"/>
      <c r="K463" s="228"/>
      <c r="L463" s="228"/>
      <c r="M463" s="238"/>
      <c r="N463" s="228"/>
      <c r="O463" s="235"/>
      <c r="P463" s="236"/>
      <c r="Q463" s="235"/>
      <c r="R463" s="235"/>
      <c r="S463" s="236"/>
      <c r="T463" s="236"/>
      <c r="U463" s="237"/>
      <c r="V463" s="237"/>
      <c r="W463" s="238"/>
      <c r="X463" s="237"/>
      <c r="Y463" s="237"/>
      <c r="Z463" s="237"/>
      <c r="AA463" s="239"/>
      <c r="AB463" s="238"/>
      <c r="AC463" s="238"/>
      <c r="AD463" s="240"/>
      <c r="AE463" s="241"/>
      <c r="AF463" s="241"/>
      <c r="AG463" s="238"/>
      <c r="AH463" s="240"/>
      <c r="AI463" s="241"/>
      <c r="AJ463" s="241"/>
      <c r="AK463" s="241"/>
      <c r="AL463" s="237"/>
      <c r="AM463" s="237"/>
      <c r="AN463" s="237"/>
      <c r="AO463" s="237"/>
      <c r="AP463" s="237"/>
      <c r="AQ463" s="237"/>
      <c r="AR463" s="237"/>
    </row>
    <row r="464">
      <c r="A464" s="228"/>
      <c r="B464" s="228"/>
      <c r="C464" s="228"/>
      <c r="D464" s="228"/>
      <c r="E464" s="228"/>
      <c r="F464" s="228"/>
      <c r="G464" s="228"/>
      <c r="H464" s="241"/>
      <c r="I464" s="228"/>
      <c r="J464" s="236"/>
      <c r="K464" s="228"/>
      <c r="L464" s="228"/>
      <c r="M464" s="238"/>
      <c r="N464" s="228"/>
      <c r="O464" s="235"/>
      <c r="P464" s="236"/>
      <c r="Q464" s="235"/>
      <c r="R464" s="235"/>
      <c r="S464" s="236"/>
      <c r="T464" s="236"/>
      <c r="U464" s="237"/>
      <c r="V464" s="237"/>
      <c r="W464" s="238"/>
      <c r="X464" s="237"/>
      <c r="Y464" s="237"/>
      <c r="Z464" s="237"/>
      <c r="AA464" s="239"/>
      <c r="AB464" s="238"/>
      <c r="AC464" s="238"/>
      <c r="AD464" s="240"/>
      <c r="AE464" s="241"/>
      <c r="AF464" s="241"/>
      <c r="AG464" s="238"/>
      <c r="AH464" s="240"/>
      <c r="AI464" s="241"/>
      <c r="AJ464" s="241"/>
      <c r="AK464" s="241"/>
      <c r="AL464" s="237"/>
      <c r="AM464" s="237"/>
      <c r="AN464" s="237"/>
      <c r="AO464" s="237"/>
      <c r="AP464" s="237"/>
      <c r="AQ464" s="237"/>
      <c r="AR464" s="237"/>
    </row>
    <row r="465">
      <c r="A465" s="228"/>
      <c r="B465" s="228"/>
      <c r="C465" s="228"/>
      <c r="D465" s="228"/>
      <c r="E465" s="228"/>
      <c r="F465" s="228"/>
      <c r="G465" s="228"/>
      <c r="H465" s="241"/>
      <c r="I465" s="228"/>
      <c r="J465" s="236"/>
      <c r="K465" s="228"/>
      <c r="L465" s="228"/>
      <c r="M465" s="238"/>
      <c r="N465" s="228"/>
      <c r="O465" s="235"/>
      <c r="P465" s="236"/>
      <c r="Q465" s="235"/>
      <c r="R465" s="235"/>
      <c r="S465" s="236"/>
      <c r="T465" s="236"/>
      <c r="U465" s="237"/>
      <c r="V465" s="237"/>
      <c r="W465" s="238"/>
      <c r="X465" s="237"/>
      <c r="Y465" s="237"/>
      <c r="Z465" s="237"/>
      <c r="AA465" s="239"/>
      <c r="AB465" s="238"/>
      <c r="AC465" s="238"/>
      <c r="AD465" s="240"/>
      <c r="AE465" s="241"/>
      <c r="AF465" s="241"/>
      <c r="AG465" s="238"/>
      <c r="AH465" s="240"/>
      <c r="AI465" s="241"/>
      <c r="AJ465" s="241"/>
      <c r="AK465" s="241"/>
      <c r="AL465" s="237"/>
      <c r="AM465" s="237"/>
      <c r="AN465" s="237"/>
      <c r="AO465" s="237"/>
      <c r="AP465" s="237"/>
      <c r="AQ465" s="237"/>
      <c r="AR465" s="237"/>
    </row>
    <row r="466">
      <c r="A466" s="228"/>
      <c r="B466" s="228"/>
      <c r="C466" s="228"/>
      <c r="D466" s="228"/>
      <c r="E466" s="228"/>
      <c r="F466" s="228"/>
      <c r="G466" s="228"/>
      <c r="H466" s="241"/>
      <c r="I466" s="228"/>
      <c r="J466" s="236"/>
      <c r="K466" s="228"/>
      <c r="L466" s="228"/>
      <c r="M466" s="238"/>
      <c r="N466" s="228"/>
      <c r="O466" s="235"/>
      <c r="P466" s="236"/>
      <c r="Q466" s="235"/>
      <c r="R466" s="235"/>
      <c r="S466" s="236"/>
      <c r="T466" s="236"/>
      <c r="U466" s="237"/>
      <c r="V466" s="237"/>
      <c r="W466" s="238"/>
      <c r="X466" s="237"/>
      <c r="Y466" s="237"/>
      <c r="Z466" s="237"/>
      <c r="AA466" s="239"/>
      <c r="AB466" s="238"/>
      <c r="AC466" s="238"/>
      <c r="AD466" s="240"/>
      <c r="AE466" s="241"/>
      <c r="AF466" s="241"/>
      <c r="AG466" s="238"/>
      <c r="AH466" s="240"/>
      <c r="AI466" s="241"/>
      <c r="AJ466" s="241"/>
      <c r="AK466" s="241"/>
      <c r="AL466" s="237"/>
      <c r="AM466" s="237"/>
      <c r="AN466" s="237"/>
      <c r="AO466" s="237"/>
      <c r="AP466" s="237"/>
      <c r="AQ466" s="237"/>
      <c r="AR466" s="237"/>
    </row>
    <row r="467">
      <c r="A467" s="228"/>
      <c r="B467" s="228"/>
      <c r="C467" s="228"/>
      <c r="D467" s="228"/>
      <c r="E467" s="228"/>
      <c r="F467" s="228"/>
      <c r="G467" s="228"/>
      <c r="H467" s="241"/>
      <c r="I467" s="228"/>
      <c r="J467" s="236"/>
      <c r="K467" s="228"/>
      <c r="L467" s="228"/>
      <c r="M467" s="238"/>
      <c r="N467" s="228"/>
      <c r="O467" s="235"/>
      <c r="P467" s="236"/>
      <c r="Q467" s="235"/>
      <c r="R467" s="235"/>
      <c r="S467" s="236"/>
      <c r="T467" s="236"/>
      <c r="U467" s="237"/>
      <c r="V467" s="237"/>
      <c r="W467" s="238"/>
      <c r="X467" s="237"/>
      <c r="Y467" s="237"/>
      <c r="Z467" s="237"/>
      <c r="AA467" s="239"/>
      <c r="AB467" s="238"/>
      <c r="AC467" s="238"/>
      <c r="AD467" s="240"/>
      <c r="AE467" s="241"/>
      <c r="AF467" s="241"/>
      <c r="AG467" s="238"/>
      <c r="AH467" s="240"/>
      <c r="AI467" s="241"/>
      <c r="AJ467" s="241"/>
      <c r="AK467" s="241"/>
      <c r="AL467" s="237"/>
      <c r="AM467" s="237"/>
      <c r="AN467" s="237"/>
      <c r="AO467" s="237"/>
      <c r="AP467" s="237"/>
      <c r="AQ467" s="237"/>
      <c r="AR467" s="237"/>
    </row>
    <row r="468">
      <c r="A468" s="228"/>
      <c r="B468" s="228"/>
      <c r="C468" s="228"/>
      <c r="D468" s="228"/>
      <c r="E468" s="228"/>
      <c r="F468" s="228"/>
      <c r="G468" s="228"/>
      <c r="H468" s="241"/>
      <c r="I468" s="228"/>
      <c r="J468" s="236"/>
      <c r="K468" s="228"/>
      <c r="L468" s="228"/>
      <c r="M468" s="238"/>
      <c r="N468" s="228"/>
      <c r="O468" s="235"/>
      <c r="P468" s="236"/>
      <c r="Q468" s="235"/>
      <c r="R468" s="235"/>
      <c r="S468" s="236"/>
      <c r="T468" s="236"/>
      <c r="U468" s="237"/>
      <c r="V468" s="237"/>
      <c r="W468" s="238"/>
      <c r="X468" s="237"/>
      <c r="Y468" s="237"/>
      <c r="Z468" s="237"/>
      <c r="AA468" s="239"/>
      <c r="AB468" s="238"/>
      <c r="AC468" s="238"/>
      <c r="AD468" s="240"/>
      <c r="AE468" s="241"/>
      <c r="AF468" s="241"/>
      <c r="AG468" s="238"/>
      <c r="AH468" s="240"/>
      <c r="AI468" s="241"/>
      <c r="AJ468" s="241"/>
      <c r="AK468" s="241"/>
      <c r="AL468" s="237"/>
      <c r="AM468" s="237"/>
      <c r="AN468" s="237"/>
      <c r="AO468" s="237"/>
      <c r="AP468" s="237"/>
      <c r="AQ468" s="237"/>
      <c r="AR468" s="237"/>
    </row>
    <row r="469">
      <c r="A469" s="228"/>
      <c r="B469" s="228"/>
      <c r="C469" s="228"/>
      <c r="D469" s="228"/>
      <c r="E469" s="228"/>
      <c r="F469" s="228"/>
      <c r="G469" s="228"/>
      <c r="H469" s="241"/>
      <c r="I469" s="228"/>
      <c r="J469" s="236"/>
      <c r="K469" s="228"/>
      <c r="L469" s="228"/>
      <c r="M469" s="238"/>
      <c r="N469" s="228"/>
      <c r="O469" s="235"/>
      <c r="P469" s="236"/>
      <c r="Q469" s="235"/>
      <c r="R469" s="235"/>
      <c r="S469" s="236"/>
      <c r="T469" s="236"/>
      <c r="U469" s="237"/>
      <c r="V469" s="237"/>
      <c r="W469" s="238"/>
      <c r="X469" s="237"/>
      <c r="Y469" s="237"/>
      <c r="Z469" s="237"/>
      <c r="AA469" s="239"/>
      <c r="AB469" s="238"/>
      <c r="AC469" s="238"/>
      <c r="AD469" s="240"/>
      <c r="AE469" s="241"/>
      <c r="AF469" s="241"/>
      <c r="AG469" s="238"/>
      <c r="AH469" s="240"/>
      <c r="AI469" s="241"/>
      <c r="AJ469" s="241"/>
      <c r="AK469" s="241"/>
      <c r="AL469" s="237"/>
      <c r="AM469" s="237"/>
      <c r="AN469" s="237"/>
      <c r="AO469" s="237"/>
      <c r="AP469" s="237"/>
      <c r="AQ469" s="237"/>
      <c r="AR469" s="237"/>
    </row>
    <row r="470">
      <c r="A470" s="228"/>
      <c r="B470" s="228"/>
      <c r="C470" s="228"/>
      <c r="D470" s="228"/>
      <c r="E470" s="228"/>
      <c r="F470" s="228"/>
      <c r="G470" s="228"/>
      <c r="H470" s="241"/>
      <c r="I470" s="228"/>
      <c r="J470" s="236"/>
      <c r="K470" s="228"/>
      <c r="L470" s="228"/>
      <c r="M470" s="238"/>
      <c r="N470" s="228"/>
      <c r="O470" s="235"/>
      <c r="P470" s="236"/>
      <c r="Q470" s="235"/>
      <c r="R470" s="235"/>
      <c r="S470" s="236"/>
      <c r="T470" s="236"/>
      <c r="U470" s="237"/>
      <c r="V470" s="237"/>
      <c r="W470" s="238"/>
      <c r="X470" s="237"/>
      <c r="Y470" s="237"/>
      <c r="Z470" s="237"/>
      <c r="AA470" s="239"/>
      <c r="AB470" s="238"/>
      <c r="AC470" s="238"/>
      <c r="AD470" s="240"/>
      <c r="AE470" s="241"/>
      <c r="AF470" s="241"/>
      <c r="AG470" s="238"/>
      <c r="AH470" s="240"/>
      <c r="AI470" s="241"/>
      <c r="AJ470" s="241"/>
      <c r="AK470" s="241"/>
      <c r="AL470" s="237"/>
      <c r="AM470" s="237"/>
      <c r="AN470" s="237"/>
      <c r="AO470" s="237"/>
      <c r="AP470" s="237"/>
      <c r="AQ470" s="237"/>
      <c r="AR470" s="237"/>
    </row>
    <row r="471">
      <c r="A471" s="228"/>
      <c r="B471" s="228"/>
      <c r="C471" s="228"/>
      <c r="D471" s="228"/>
      <c r="E471" s="228"/>
      <c r="F471" s="228"/>
      <c r="G471" s="228"/>
      <c r="H471" s="241"/>
      <c r="I471" s="228"/>
      <c r="J471" s="236"/>
      <c r="K471" s="228"/>
      <c r="L471" s="228"/>
      <c r="M471" s="238"/>
      <c r="N471" s="228"/>
      <c r="O471" s="235"/>
      <c r="P471" s="236"/>
      <c r="Q471" s="235"/>
      <c r="R471" s="235"/>
      <c r="S471" s="236"/>
      <c r="T471" s="236"/>
      <c r="U471" s="237"/>
      <c r="V471" s="237"/>
      <c r="W471" s="238"/>
      <c r="X471" s="237"/>
      <c r="Y471" s="237"/>
      <c r="Z471" s="237"/>
      <c r="AA471" s="239"/>
      <c r="AB471" s="238"/>
      <c r="AC471" s="238"/>
      <c r="AD471" s="240"/>
      <c r="AE471" s="241"/>
      <c r="AF471" s="241"/>
      <c r="AG471" s="238"/>
      <c r="AH471" s="240"/>
      <c r="AI471" s="241"/>
      <c r="AJ471" s="241"/>
      <c r="AK471" s="241"/>
      <c r="AL471" s="237"/>
      <c r="AM471" s="237"/>
      <c r="AN471" s="237"/>
      <c r="AO471" s="237"/>
      <c r="AP471" s="237"/>
      <c r="AQ471" s="237"/>
      <c r="AR471" s="237"/>
    </row>
    <row r="472">
      <c r="A472" s="228"/>
      <c r="B472" s="228"/>
      <c r="C472" s="228"/>
      <c r="D472" s="228"/>
      <c r="E472" s="228"/>
      <c r="F472" s="228"/>
      <c r="G472" s="228"/>
      <c r="H472" s="241"/>
      <c r="I472" s="228"/>
      <c r="J472" s="236"/>
      <c r="K472" s="228"/>
      <c r="L472" s="228"/>
      <c r="M472" s="238"/>
      <c r="N472" s="228"/>
      <c r="O472" s="235"/>
      <c r="P472" s="236"/>
      <c r="Q472" s="235"/>
      <c r="R472" s="235"/>
      <c r="S472" s="236"/>
      <c r="T472" s="236"/>
      <c r="U472" s="237"/>
      <c r="V472" s="237"/>
      <c r="W472" s="238"/>
      <c r="X472" s="237"/>
      <c r="Y472" s="237"/>
      <c r="Z472" s="237"/>
      <c r="AA472" s="239"/>
      <c r="AB472" s="238"/>
      <c r="AC472" s="238"/>
      <c r="AD472" s="240"/>
      <c r="AE472" s="241"/>
      <c r="AF472" s="241"/>
      <c r="AG472" s="238"/>
      <c r="AH472" s="240"/>
      <c r="AI472" s="241"/>
      <c r="AJ472" s="241"/>
      <c r="AK472" s="241"/>
      <c r="AL472" s="237"/>
      <c r="AM472" s="237"/>
      <c r="AN472" s="237"/>
      <c r="AO472" s="237"/>
      <c r="AP472" s="237"/>
      <c r="AQ472" s="237"/>
      <c r="AR472" s="237"/>
    </row>
    <row r="473">
      <c r="A473" s="228"/>
      <c r="B473" s="228"/>
      <c r="C473" s="228"/>
      <c r="D473" s="228"/>
      <c r="E473" s="228"/>
      <c r="F473" s="228"/>
      <c r="G473" s="228"/>
      <c r="H473" s="241"/>
      <c r="I473" s="228"/>
      <c r="J473" s="236"/>
      <c r="K473" s="228"/>
      <c r="L473" s="228"/>
      <c r="M473" s="238"/>
      <c r="N473" s="228"/>
      <c r="O473" s="235"/>
      <c r="P473" s="236"/>
      <c r="Q473" s="235"/>
      <c r="R473" s="235"/>
      <c r="S473" s="236"/>
      <c r="T473" s="236"/>
      <c r="U473" s="237"/>
      <c r="V473" s="237"/>
      <c r="W473" s="238"/>
      <c r="X473" s="237"/>
      <c r="Y473" s="237"/>
      <c r="Z473" s="237"/>
      <c r="AA473" s="239"/>
      <c r="AB473" s="238"/>
      <c r="AC473" s="238"/>
      <c r="AD473" s="240"/>
      <c r="AE473" s="241"/>
      <c r="AF473" s="241"/>
      <c r="AG473" s="238"/>
      <c r="AH473" s="240"/>
      <c r="AI473" s="241"/>
      <c r="AJ473" s="241"/>
      <c r="AK473" s="241"/>
      <c r="AL473" s="237"/>
      <c r="AM473" s="237"/>
      <c r="AN473" s="237"/>
      <c r="AO473" s="237"/>
      <c r="AP473" s="237"/>
      <c r="AQ473" s="237"/>
      <c r="AR473" s="237"/>
    </row>
    <row r="474">
      <c r="A474" s="228"/>
      <c r="B474" s="228"/>
      <c r="C474" s="228"/>
      <c r="D474" s="228"/>
      <c r="E474" s="228"/>
      <c r="F474" s="228"/>
      <c r="G474" s="228"/>
      <c r="H474" s="241"/>
      <c r="I474" s="228"/>
      <c r="J474" s="236"/>
      <c r="K474" s="228"/>
      <c r="L474" s="228"/>
      <c r="M474" s="238"/>
      <c r="N474" s="228"/>
      <c r="O474" s="235"/>
      <c r="P474" s="236"/>
      <c r="Q474" s="235"/>
      <c r="R474" s="235"/>
      <c r="S474" s="236"/>
      <c r="T474" s="236"/>
      <c r="U474" s="237"/>
      <c r="V474" s="237"/>
      <c r="W474" s="238"/>
      <c r="X474" s="237"/>
      <c r="Y474" s="237"/>
      <c r="Z474" s="237"/>
      <c r="AA474" s="239"/>
      <c r="AB474" s="238"/>
      <c r="AC474" s="238"/>
      <c r="AD474" s="240"/>
      <c r="AE474" s="241"/>
      <c r="AF474" s="241"/>
      <c r="AG474" s="238"/>
      <c r="AH474" s="240"/>
      <c r="AI474" s="241"/>
      <c r="AJ474" s="241"/>
      <c r="AK474" s="241"/>
      <c r="AL474" s="237"/>
      <c r="AM474" s="237"/>
      <c r="AN474" s="237"/>
      <c r="AO474" s="237"/>
      <c r="AP474" s="237"/>
      <c r="AQ474" s="237"/>
      <c r="AR474" s="237"/>
    </row>
    <row r="475">
      <c r="A475" s="228"/>
      <c r="B475" s="228"/>
      <c r="C475" s="228"/>
      <c r="D475" s="228"/>
      <c r="E475" s="228"/>
      <c r="F475" s="228"/>
      <c r="G475" s="228"/>
      <c r="H475" s="241"/>
      <c r="I475" s="228"/>
      <c r="J475" s="236"/>
      <c r="K475" s="228"/>
      <c r="L475" s="228"/>
      <c r="M475" s="238"/>
      <c r="N475" s="228"/>
      <c r="O475" s="235"/>
      <c r="P475" s="236"/>
      <c r="Q475" s="235"/>
      <c r="R475" s="235"/>
      <c r="S475" s="236"/>
      <c r="T475" s="236"/>
      <c r="U475" s="237"/>
      <c r="V475" s="237"/>
      <c r="W475" s="238"/>
      <c r="X475" s="237"/>
      <c r="Y475" s="237"/>
      <c r="Z475" s="237"/>
      <c r="AA475" s="239"/>
      <c r="AB475" s="238"/>
      <c r="AC475" s="238"/>
      <c r="AD475" s="240"/>
      <c r="AE475" s="241"/>
      <c r="AF475" s="241"/>
      <c r="AG475" s="238"/>
      <c r="AH475" s="240"/>
      <c r="AI475" s="241"/>
      <c r="AJ475" s="241"/>
      <c r="AK475" s="241"/>
      <c r="AL475" s="237"/>
      <c r="AM475" s="237"/>
      <c r="AN475" s="237"/>
      <c r="AO475" s="237"/>
      <c r="AP475" s="237"/>
      <c r="AQ475" s="237"/>
      <c r="AR475" s="237"/>
    </row>
    <row r="476">
      <c r="A476" s="228"/>
      <c r="B476" s="228"/>
      <c r="C476" s="228"/>
      <c r="D476" s="228"/>
      <c r="E476" s="228"/>
      <c r="F476" s="228"/>
      <c r="G476" s="228"/>
      <c r="H476" s="241"/>
      <c r="I476" s="228"/>
      <c r="J476" s="236"/>
      <c r="K476" s="228"/>
      <c r="L476" s="228"/>
      <c r="M476" s="238"/>
      <c r="N476" s="228"/>
      <c r="O476" s="235"/>
      <c r="P476" s="236"/>
      <c r="Q476" s="235"/>
      <c r="R476" s="235"/>
      <c r="S476" s="236"/>
      <c r="T476" s="236"/>
      <c r="U476" s="237"/>
      <c r="V476" s="237"/>
      <c r="W476" s="238"/>
      <c r="X476" s="237"/>
      <c r="Y476" s="237"/>
      <c r="Z476" s="237"/>
      <c r="AA476" s="239"/>
      <c r="AB476" s="238"/>
      <c r="AC476" s="238"/>
      <c r="AD476" s="240"/>
      <c r="AE476" s="241"/>
      <c r="AF476" s="241"/>
      <c r="AG476" s="238"/>
      <c r="AH476" s="240"/>
      <c r="AI476" s="241"/>
      <c r="AJ476" s="241"/>
      <c r="AK476" s="241"/>
      <c r="AL476" s="237"/>
      <c r="AM476" s="237"/>
      <c r="AN476" s="237"/>
      <c r="AO476" s="237"/>
      <c r="AP476" s="237"/>
      <c r="AQ476" s="237"/>
      <c r="AR476" s="237"/>
    </row>
    <row r="477">
      <c r="A477" s="228"/>
      <c r="B477" s="228"/>
      <c r="C477" s="228"/>
      <c r="D477" s="228"/>
      <c r="E477" s="228"/>
      <c r="F477" s="228"/>
      <c r="G477" s="228"/>
      <c r="H477" s="241"/>
      <c r="I477" s="228"/>
      <c r="J477" s="236"/>
      <c r="K477" s="228"/>
      <c r="L477" s="228"/>
      <c r="M477" s="238"/>
      <c r="N477" s="228"/>
      <c r="O477" s="235"/>
      <c r="P477" s="236"/>
      <c r="Q477" s="235"/>
      <c r="R477" s="235"/>
      <c r="S477" s="236"/>
      <c r="T477" s="236"/>
      <c r="U477" s="237"/>
      <c r="V477" s="237"/>
      <c r="W477" s="238"/>
      <c r="X477" s="237"/>
      <c r="Y477" s="237"/>
      <c r="Z477" s="237"/>
      <c r="AA477" s="239"/>
      <c r="AB477" s="238"/>
      <c r="AC477" s="238"/>
      <c r="AD477" s="240"/>
      <c r="AE477" s="241"/>
      <c r="AF477" s="241"/>
      <c r="AG477" s="238"/>
      <c r="AH477" s="240"/>
      <c r="AI477" s="241"/>
      <c r="AJ477" s="241"/>
      <c r="AK477" s="241"/>
      <c r="AL477" s="237"/>
      <c r="AM477" s="237"/>
      <c r="AN477" s="237"/>
      <c r="AO477" s="237"/>
      <c r="AP477" s="237"/>
      <c r="AQ477" s="237"/>
      <c r="AR477" s="237"/>
    </row>
    <row r="478">
      <c r="A478" s="228"/>
      <c r="B478" s="228"/>
      <c r="C478" s="228"/>
      <c r="D478" s="228"/>
      <c r="E478" s="228"/>
      <c r="F478" s="228"/>
      <c r="G478" s="228"/>
      <c r="H478" s="241"/>
      <c r="I478" s="228"/>
      <c r="J478" s="236"/>
      <c r="K478" s="228"/>
      <c r="L478" s="228"/>
      <c r="M478" s="238"/>
      <c r="N478" s="228"/>
      <c r="O478" s="235"/>
      <c r="P478" s="236"/>
      <c r="Q478" s="235"/>
      <c r="R478" s="235"/>
      <c r="S478" s="236"/>
      <c r="T478" s="236"/>
      <c r="U478" s="237"/>
      <c r="V478" s="237"/>
      <c r="W478" s="238"/>
      <c r="X478" s="237"/>
      <c r="Y478" s="237"/>
      <c r="Z478" s="237"/>
      <c r="AA478" s="239"/>
      <c r="AB478" s="238"/>
      <c r="AC478" s="238"/>
      <c r="AD478" s="240"/>
      <c r="AE478" s="241"/>
      <c r="AF478" s="241"/>
      <c r="AG478" s="238"/>
      <c r="AH478" s="240"/>
      <c r="AI478" s="241"/>
      <c r="AJ478" s="241"/>
      <c r="AK478" s="241"/>
      <c r="AL478" s="237"/>
      <c r="AM478" s="237"/>
      <c r="AN478" s="237"/>
      <c r="AO478" s="237"/>
      <c r="AP478" s="237"/>
      <c r="AQ478" s="237"/>
      <c r="AR478" s="237"/>
    </row>
    <row r="479">
      <c r="A479" s="228"/>
      <c r="B479" s="228"/>
      <c r="C479" s="228"/>
      <c r="D479" s="228"/>
      <c r="E479" s="228"/>
      <c r="F479" s="228"/>
      <c r="G479" s="228"/>
      <c r="H479" s="241"/>
      <c r="I479" s="228"/>
      <c r="J479" s="236"/>
      <c r="K479" s="228"/>
      <c r="L479" s="228"/>
      <c r="M479" s="238"/>
      <c r="N479" s="228"/>
      <c r="O479" s="235"/>
      <c r="P479" s="236"/>
      <c r="Q479" s="235"/>
      <c r="R479" s="235"/>
      <c r="S479" s="236"/>
      <c r="T479" s="236"/>
      <c r="U479" s="237"/>
      <c r="V479" s="237"/>
      <c r="W479" s="238"/>
      <c r="X479" s="237"/>
      <c r="Y479" s="237"/>
      <c r="Z479" s="237"/>
      <c r="AA479" s="239"/>
      <c r="AB479" s="238"/>
      <c r="AC479" s="238"/>
      <c r="AD479" s="240"/>
      <c r="AE479" s="241"/>
      <c r="AF479" s="241"/>
      <c r="AG479" s="238"/>
      <c r="AH479" s="240"/>
      <c r="AI479" s="241"/>
      <c r="AJ479" s="241"/>
      <c r="AK479" s="241"/>
      <c r="AL479" s="237"/>
      <c r="AM479" s="237"/>
      <c r="AN479" s="237"/>
      <c r="AO479" s="237"/>
      <c r="AP479" s="237"/>
      <c r="AQ479" s="237"/>
      <c r="AR479" s="237"/>
    </row>
    <row r="480">
      <c r="A480" s="228"/>
      <c r="B480" s="228"/>
      <c r="C480" s="228"/>
      <c r="D480" s="228"/>
      <c r="E480" s="228"/>
      <c r="F480" s="228"/>
      <c r="G480" s="228"/>
      <c r="H480" s="241"/>
      <c r="I480" s="228"/>
      <c r="J480" s="236"/>
      <c r="K480" s="228"/>
      <c r="L480" s="228"/>
      <c r="M480" s="238"/>
      <c r="N480" s="228"/>
      <c r="O480" s="235"/>
      <c r="P480" s="236"/>
      <c r="Q480" s="235"/>
      <c r="R480" s="235"/>
      <c r="S480" s="236"/>
      <c r="T480" s="236"/>
      <c r="U480" s="237"/>
      <c r="V480" s="237"/>
      <c r="W480" s="238"/>
      <c r="X480" s="237"/>
      <c r="Y480" s="237"/>
      <c r="Z480" s="237"/>
      <c r="AA480" s="239"/>
      <c r="AB480" s="238"/>
      <c r="AC480" s="238"/>
      <c r="AD480" s="240"/>
      <c r="AE480" s="241"/>
      <c r="AF480" s="241"/>
      <c r="AG480" s="238"/>
      <c r="AH480" s="240"/>
      <c r="AI480" s="241"/>
      <c r="AJ480" s="241"/>
      <c r="AK480" s="241"/>
      <c r="AL480" s="237"/>
      <c r="AM480" s="237"/>
      <c r="AN480" s="237"/>
      <c r="AO480" s="237"/>
      <c r="AP480" s="237"/>
      <c r="AQ480" s="237"/>
      <c r="AR480" s="237"/>
    </row>
    <row r="481">
      <c r="A481" s="228"/>
      <c r="B481" s="228"/>
      <c r="C481" s="228"/>
      <c r="D481" s="228"/>
      <c r="E481" s="228"/>
      <c r="F481" s="228"/>
      <c r="G481" s="228"/>
      <c r="H481" s="241"/>
      <c r="I481" s="228"/>
      <c r="J481" s="236"/>
      <c r="K481" s="228"/>
      <c r="L481" s="228"/>
      <c r="M481" s="238"/>
      <c r="N481" s="228"/>
      <c r="O481" s="235"/>
      <c r="P481" s="236"/>
      <c r="Q481" s="235"/>
      <c r="R481" s="235"/>
      <c r="S481" s="236"/>
      <c r="T481" s="236"/>
      <c r="U481" s="237"/>
      <c r="V481" s="237"/>
      <c r="W481" s="238"/>
      <c r="X481" s="237"/>
      <c r="Y481" s="237"/>
      <c r="Z481" s="237"/>
      <c r="AA481" s="239"/>
      <c r="AB481" s="238"/>
      <c r="AC481" s="238"/>
      <c r="AD481" s="240"/>
      <c r="AE481" s="241"/>
      <c r="AF481" s="241"/>
      <c r="AG481" s="238"/>
      <c r="AH481" s="240"/>
      <c r="AI481" s="241"/>
      <c r="AJ481" s="241"/>
      <c r="AK481" s="241"/>
      <c r="AL481" s="237"/>
      <c r="AM481" s="237"/>
      <c r="AN481" s="237"/>
      <c r="AO481" s="237"/>
      <c r="AP481" s="237"/>
      <c r="AQ481" s="237"/>
      <c r="AR481" s="237"/>
    </row>
    <row r="482">
      <c r="A482" s="228"/>
      <c r="B482" s="228"/>
      <c r="C482" s="228"/>
      <c r="D482" s="228"/>
      <c r="E482" s="228"/>
      <c r="F482" s="228"/>
      <c r="G482" s="228"/>
      <c r="H482" s="241"/>
      <c r="I482" s="228"/>
      <c r="J482" s="236"/>
      <c r="K482" s="228"/>
      <c r="L482" s="228"/>
      <c r="M482" s="238"/>
      <c r="N482" s="228"/>
      <c r="O482" s="235"/>
      <c r="P482" s="236"/>
      <c r="Q482" s="235"/>
      <c r="R482" s="235"/>
      <c r="S482" s="236"/>
      <c r="T482" s="236"/>
      <c r="U482" s="237"/>
      <c r="V482" s="237"/>
      <c r="W482" s="238"/>
      <c r="X482" s="237"/>
      <c r="Y482" s="237"/>
      <c r="Z482" s="237"/>
      <c r="AA482" s="239"/>
      <c r="AB482" s="238"/>
      <c r="AC482" s="238"/>
      <c r="AD482" s="240"/>
      <c r="AE482" s="241"/>
      <c r="AF482" s="241"/>
      <c r="AG482" s="238"/>
      <c r="AH482" s="240"/>
      <c r="AI482" s="241"/>
      <c r="AJ482" s="241"/>
      <c r="AK482" s="241"/>
      <c r="AL482" s="237"/>
      <c r="AM482" s="237"/>
      <c r="AN482" s="237"/>
      <c r="AO482" s="237"/>
      <c r="AP482" s="237"/>
      <c r="AQ482" s="237"/>
      <c r="AR482" s="237"/>
    </row>
    <row r="483">
      <c r="A483" s="228"/>
      <c r="B483" s="228"/>
      <c r="C483" s="228"/>
      <c r="D483" s="228"/>
      <c r="E483" s="228"/>
      <c r="F483" s="228"/>
      <c r="G483" s="228"/>
      <c r="H483" s="241"/>
      <c r="I483" s="228"/>
      <c r="J483" s="236"/>
      <c r="K483" s="228"/>
      <c r="L483" s="228"/>
      <c r="M483" s="238"/>
      <c r="N483" s="228"/>
      <c r="O483" s="235"/>
      <c r="P483" s="236"/>
      <c r="Q483" s="235"/>
      <c r="R483" s="235"/>
      <c r="S483" s="236"/>
      <c r="T483" s="236"/>
      <c r="U483" s="237"/>
      <c r="V483" s="237"/>
      <c r="W483" s="238"/>
      <c r="X483" s="237"/>
      <c r="Y483" s="237"/>
      <c r="Z483" s="237"/>
      <c r="AA483" s="239"/>
      <c r="AB483" s="238"/>
      <c r="AC483" s="238"/>
      <c r="AD483" s="240"/>
      <c r="AE483" s="241"/>
      <c r="AF483" s="241"/>
      <c r="AG483" s="238"/>
      <c r="AH483" s="240"/>
      <c r="AI483" s="241"/>
      <c r="AJ483" s="241"/>
      <c r="AK483" s="241"/>
      <c r="AL483" s="237"/>
      <c r="AM483" s="237"/>
      <c r="AN483" s="237"/>
      <c r="AO483" s="237"/>
      <c r="AP483" s="237"/>
      <c r="AQ483" s="237"/>
      <c r="AR483" s="237"/>
    </row>
    <row r="484">
      <c r="A484" s="228"/>
      <c r="B484" s="228"/>
      <c r="C484" s="228"/>
      <c r="D484" s="228"/>
      <c r="E484" s="228"/>
      <c r="F484" s="228"/>
      <c r="G484" s="228"/>
      <c r="H484" s="241"/>
      <c r="I484" s="228"/>
      <c r="J484" s="236"/>
      <c r="K484" s="228"/>
      <c r="L484" s="228"/>
      <c r="M484" s="238"/>
      <c r="N484" s="228"/>
      <c r="O484" s="235"/>
      <c r="P484" s="236"/>
      <c r="Q484" s="235"/>
      <c r="R484" s="235"/>
      <c r="S484" s="236"/>
      <c r="T484" s="236"/>
      <c r="U484" s="237"/>
      <c r="V484" s="237"/>
      <c r="W484" s="238"/>
      <c r="X484" s="237"/>
      <c r="Y484" s="237"/>
      <c r="Z484" s="237"/>
      <c r="AA484" s="239"/>
      <c r="AB484" s="238"/>
      <c r="AC484" s="238"/>
      <c r="AD484" s="240"/>
      <c r="AE484" s="241"/>
      <c r="AF484" s="241"/>
      <c r="AG484" s="238"/>
      <c r="AH484" s="240"/>
      <c r="AI484" s="241"/>
      <c r="AJ484" s="241"/>
      <c r="AK484" s="241"/>
      <c r="AL484" s="237"/>
      <c r="AM484" s="237"/>
      <c r="AN484" s="237"/>
      <c r="AO484" s="237"/>
      <c r="AP484" s="237"/>
      <c r="AQ484" s="237"/>
      <c r="AR484" s="237"/>
    </row>
    <row r="485">
      <c r="A485" s="228"/>
      <c r="B485" s="228"/>
      <c r="C485" s="228"/>
      <c r="D485" s="228"/>
      <c r="E485" s="228"/>
      <c r="F485" s="228"/>
      <c r="G485" s="228"/>
      <c r="H485" s="241"/>
      <c r="I485" s="228"/>
      <c r="J485" s="236"/>
      <c r="K485" s="228"/>
      <c r="L485" s="228"/>
      <c r="M485" s="238"/>
      <c r="N485" s="228"/>
      <c r="O485" s="235"/>
      <c r="P485" s="236"/>
      <c r="Q485" s="235"/>
      <c r="R485" s="235"/>
      <c r="S485" s="236"/>
      <c r="T485" s="236"/>
      <c r="U485" s="237"/>
      <c r="V485" s="237"/>
      <c r="W485" s="238"/>
      <c r="X485" s="237"/>
      <c r="Y485" s="237"/>
      <c r="Z485" s="237"/>
      <c r="AA485" s="239"/>
      <c r="AB485" s="238"/>
      <c r="AC485" s="238"/>
      <c r="AD485" s="240"/>
      <c r="AE485" s="241"/>
      <c r="AF485" s="241"/>
      <c r="AG485" s="238"/>
      <c r="AH485" s="240"/>
      <c r="AI485" s="241"/>
      <c r="AJ485" s="241"/>
      <c r="AK485" s="241"/>
      <c r="AL485" s="237"/>
      <c r="AM485" s="237"/>
      <c r="AN485" s="237"/>
      <c r="AO485" s="237"/>
      <c r="AP485" s="237"/>
      <c r="AQ485" s="237"/>
      <c r="AR485" s="237"/>
    </row>
    <row r="486">
      <c r="A486" s="228"/>
      <c r="B486" s="228"/>
      <c r="C486" s="228"/>
      <c r="D486" s="228"/>
      <c r="E486" s="228"/>
      <c r="F486" s="228"/>
      <c r="G486" s="228"/>
      <c r="H486" s="241"/>
      <c r="I486" s="228"/>
      <c r="J486" s="236"/>
      <c r="K486" s="228"/>
      <c r="L486" s="228"/>
      <c r="M486" s="238"/>
      <c r="N486" s="228"/>
      <c r="O486" s="235"/>
      <c r="P486" s="236"/>
      <c r="Q486" s="235"/>
      <c r="R486" s="235"/>
      <c r="S486" s="236"/>
      <c r="T486" s="236"/>
      <c r="U486" s="237"/>
      <c r="V486" s="237"/>
      <c r="W486" s="238"/>
      <c r="X486" s="237"/>
      <c r="Y486" s="237"/>
      <c r="Z486" s="237"/>
      <c r="AA486" s="239"/>
      <c r="AB486" s="238"/>
      <c r="AC486" s="238"/>
      <c r="AD486" s="240"/>
      <c r="AE486" s="241"/>
      <c r="AF486" s="241"/>
      <c r="AG486" s="238"/>
      <c r="AH486" s="240"/>
      <c r="AI486" s="241"/>
      <c r="AJ486" s="241"/>
      <c r="AK486" s="241"/>
      <c r="AL486" s="237"/>
      <c r="AM486" s="237"/>
      <c r="AN486" s="237"/>
      <c r="AO486" s="237"/>
      <c r="AP486" s="237"/>
      <c r="AQ486" s="237"/>
      <c r="AR486" s="237"/>
    </row>
    <row r="487">
      <c r="A487" s="228"/>
      <c r="B487" s="228"/>
      <c r="C487" s="228"/>
      <c r="D487" s="228"/>
      <c r="E487" s="228"/>
      <c r="F487" s="228"/>
      <c r="G487" s="228"/>
      <c r="H487" s="241"/>
      <c r="I487" s="228"/>
      <c r="J487" s="236"/>
      <c r="K487" s="228"/>
      <c r="L487" s="228"/>
      <c r="M487" s="238"/>
      <c r="N487" s="228"/>
      <c r="O487" s="235"/>
      <c r="P487" s="236"/>
      <c r="Q487" s="235"/>
      <c r="R487" s="235"/>
      <c r="S487" s="236"/>
      <c r="T487" s="236"/>
      <c r="U487" s="237"/>
      <c r="V487" s="237"/>
      <c r="W487" s="238"/>
      <c r="X487" s="237"/>
      <c r="Y487" s="237"/>
      <c r="Z487" s="237"/>
      <c r="AA487" s="239"/>
      <c r="AB487" s="238"/>
      <c r="AC487" s="238"/>
      <c r="AD487" s="240"/>
      <c r="AE487" s="241"/>
      <c r="AF487" s="241"/>
      <c r="AG487" s="238"/>
      <c r="AH487" s="240"/>
      <c r="AI487" s="241"/>
      <c r="AJ487" s="241"/>
      <c r="AK487" s="241"/>
      <c r="AL487" s="237"/>
      <c r="AM487" s="237"/>
      <c r="AN487" s="237"/>
      <c r="AO487" s="237"/>
      <c r="AP487" s="237"/>
      <c r="AQ487" s="237"/>
      <c r="AR487" s="237"/>
    </row>
    <row r="488">
      <c r="A488" s="228"/>
      <c r="B488" s="228"/>
      <c r="C488" s="228"/>
      <c r="D488" s="228"/>
      <c r="E488" s="228"/>
      <c r="F488" s="228"/>
      <c r="G488" s="228"/>
      <c r="H488" s="241"/>
      <c r="I488" s="228"/>
      <c r="J488" s="236"/>
      <c r="K488" s="228"/>
      <c r="L488" s="228"/>
      <c r="M488" s="238"/>
      <c r="N488" s="228"/>
      <c r="O488" s="235"/>
      <c r="P488" s="236"/>
      <c r="Q488" s="235"/>
      <c r="R488" s="235"/>
      <c r="S488" s="236"/>
      <c r="T488" s="236"/>
      <c r="U488" s="237"/>
      <c r="V488" s="237"/>
      <c r="W488" s="238"/>
      <c r="X488" s="237"/>
      <c r="Y488" s="237"/>
      <c r="Z488" s="237"/>
      <c r="AA488" s="239"/>
      <c r="AB488" s="238"/>
      <c r="AC488" s="238"/>
      <c r="AD488" s="240"/>
      <c r="AE488" s="241"/>
      <c r="AF488" s="241"/>
      <c r="AG488" s="238"/>
      <c r="AH488" s="240"/>
      <c r="AI488" s="241"/>
      <c r="AJ488" s="241"/>
      <c r="AK488" s="241"/>
      <c r="AL488" s="237"/>
      <c r="AM488" s="237"/>
      <c r="AN488" s="237"/>
      <c r="AO488" s="237"/>
      <c r="AP488" s="237"/>
      <c r="AQ488" s="237"/>
      <c r="AR488" s="237"/>
    </row>
    <row r="489">
      <c r="A489" s="228"/>
      <c r="B489" s="228"/>
      <c r="C489" s="228"/>
      <c r="D489" s="228"/>
      <c r="E489" s="228"/>
      <c r="F489" s="228"/>
      <c r="G489" s="228"/>
      <c r="H489" s="241"/>
      <c r="I489" s="228"/>
      <c r="J489" s="236"/>
      <c r="K489" s="228"/>
      <c r="L489" s="228"/>
      <c r="M489" s="238"/>
      <c r="N489" s="228"/>
      <c r="O489" s="235"/>
      <c r="P489" s="236"/>
      <c r="Q489" s="235"/>
      <c r="R489" s="235"/>
      <c r="S489" s="236"/>
      <c r="T489" s="236"/>
      <c r="U489" s="237"/>
      <c r="V489" s="237"/>
      <c r="W489" s="238"/>
      <c r="X489" s="237"/>
      <c r="Y489" s="237"/>
      <c r="Z489" s="237"/>
      <c r="AA489" s="239"/>
      <c r="AB489" s="238"/>
      <c r="AC489" s="238"/>
      <c r="AD489" s="240"/>
      <c r="AE489" s="241"/>
      <c r="AF489" s="241"/>
      <c r="AG489" s="238"/>
      <c r="AH489" s="240"/>
      <c r="AI489" s="241"/>
      <c r="AJ489" s="241"/>
      <c r="AK489" s="241"/>
      <c r="AL489" s="237"/>
      <c r="AM489" s="237"/>
      <c r="AN489" s="237"/>
      <c r="AO489" s="237"/>
      <c r="AP489" s="237"/>
      <c r="AQ489" s="237"/>
      <c r="AR489" s="237"/>
    </row>
    <row r="490">
      <c r="A490" s="228"/>
      <c r="B490" s="228"/>
      <c r="C490" s="228"/>
      <c r="D490" s="228"/>
      <c r="E490" s="228"/>
      <c r="F490" s="228"/>
      <c r="G490" s="228"/>
      <c r="H490" s="241"/>
      <c r="I490" s="228"/>
      <c r="J490" s="236"/>
      <c r="K490" s="228"/>
      <c r="L490" s="228"/>
      <c r="M490" s="238"/>
      <c r="N490" s="228"/>
      <c r="O490" s="235"/>
      <c r="P490" s="236"/>
      <c r="Q490" s="235"/>
      <c r="R490" s="235"/>
      <c r="S490" s="236"/>
      <c r="T490" s="236"/>
      <c r="U490" s="237"/>
      <c r="V490" s="237"/>
      <c r="W490" s="238"/>
      <c r="X490" s="237"/>
      <c r="Y490" s="237"/>
      <c r="Z490" s="237"/>
      <c r="AA490" s="239"/>
      <c r="AB490" s="238"/>
      <c r="AC490" s="238"/>
      <c r="AD490" s="240"/>
      <c r="AE490" s="241"/>
      <c r="AF490" s="241"/>
      <c r="AG490" s="238"/>
      <c r="AH490" s="240"/>
      <c r="AI490" s="241"/>
      <c r="AJ490" s="241"/>
      <c r="AK490" s="241"/>
      <c r="AL490" s="237"/>
      <c r="AM490" s="237"/>
      <c r="AN490" s="237"/>
      <c r="AO490" s="237"/>
      <c r="AP490" s="237"/>
      <c r="AQ490" s="237"/>
      <c r="AR490" s="237"/>
    </row>
    <row r="491">
      <c r="A491" s="228"/>
      <c r="B491" s="228"/>
      <c r="C491" s="228"/>
      <c r="D491" s="228"/>
      <c r="E491" s="228"/>
      <c r="F491" s="228"/>
      <c r="G491" s="228"/>
      <c r="H491" s="241"/>
      <c r="I491" s="228"/>
      <c r="J491" s="236"/>
      <c r="K491" s="228"/>
      <c r="L491" s="228"/>
      <c r="M491" s="238"/>
      <c r="N491" s="228"/>
      <c r="O491" s="235"/>
      <c r="P491" s="236"/>
      <c r="Q491" s="235"/>
      <c r="R491" s="235"/>
      <c r="S491" s="236"/>
      <c r="T491" s="236"/>
      <c r="U491" s="237"/>
      <c r="V491" s="237"/>
      <c r="W491" s="238"/>
      <c r="X491" s="237"/>
      <c r="Y491" s="237"/>
      <c r="Z491" s="237"/>
      <c r="AA491" s="239"/>
      <c r="AB491" s="238"/>
      <c r="AC491" s="238"/>
      <c r="AD491" s="240"/>
      <c r="AE491" s="241"/>
      <c r="AF491" s="241"/>
      <c r="AG491" s="238"/>
      <c r="AH491" s="240"/>
      <c r="AI491" s="241"/>
      <c r="AJ491" s="241"/>
      <c r="AK491" s="241"/>
      <c r="AL491" s="237"/>
      <c r="AM491" s="237"/>
      <c r="AN491" s="237"/>
      <c r="AO491" s="237"/>
      <c r="AP491" s="237"/>
      <c r="AQ491" s="237"/>
      <c r="AR491" s="237"/>
    </row>
    <row r="492">
      <c r="A492" s="228"/>
      <c r="B492" s="228"/>
      <c r="C492" s="228"/>
      <c r="D492" s="228"/>
      <c r="E492" s="228"/>
      <c r="F492" s="228"/>
      <c r="G492" s="228"/>
      <c r="H492" s="241"/>
      <c r="I492" s="228"/>
      <c r="J492" s="236"/>
      <c r="K492" s="228"/>
      <c r="L492" s="228"/>
      <c r="M492" s="238"/>
      <c r="N492" s="228"/>
      <c r="O492" s="235"/>
      <c r="P492" s="236"/>
      <c r="Q492" s="235"/>
      <c r="R492" s="235"/>
      <c r="S492" s="236"/>
      <c r="T492" s="236"/>
      <c r="U492" s="237"/>
      <c r="V492" s="237"/>
      <c r="W492" s="238"/>
      <c r="X492" s="237"/>
      <c r="Y492" s="237"/>
      <c r="Z492" s="237"/>
      <c r="AA492" s="239"/>
      <c r="AB492" s="238"/>
      <c r="AC492" s="238"/>
      <c r="AD492" s="240"/>
      <c r="AE492" s="241"/>
      <c r="AF492" s="241"/>
      <c r="AG492" s="238"/>
      <c r="AH492" s="240"/>
      <c r="AI492" s="241"/>
      <c r="AJ492" s="241"/>
      <c r="AK492" s="241"/>
      <c r="AL492" s="237"/>
      <c r="AM492" s="237"/>
      <c r="AN492" s="237"/>
      <c r="AO492" s="237"/>
      <c r="AP492" s="237"/>
      <c r="AQ492" s="237"/>
      <c r="AR492" s="237"/>
    </row>
    <row r="493">
      <c r="A493" s="228"/>
      <c r="B493" s="228"/>
      <c r="C493" s="228"/>
      <c r="D493" s="228"/>
      <c r="E493" s="228"/>
      <c r="F493" s="228"/>
      <c r="G493" s="228"/>
      <c r="H493" s="241"/>
      <c r="I493" s="228"/>
      <c r="J493" s="236"/>
      <c r="K493" s="228"/>
      <c r="L493" s="228"/>
      <c r="M493" s="238"/>
      <c r="N493" s="228"/>
      <c r="O493" s="235"/>
      <c r="P493" s="236"/>
      <c r="Q493" s="235"/>
      <c r="R493" s="235"/>
      <c r="S493" s="236"/>
      <c r="T493" s="236"/>
      <c r="U493" s="237"/>
      <c r="V493" s="237"/>
      <c r="W493" s="238"/>
      <c r="X493" s="237"/>
      <c r="Y493" s="237"/>
      <c r="Z493" s="237"/>
      <c r="AA493" s="239"/>
      <c r="AB493" s="238"/>
      <c r="AC493" s="238"/>
      <c r="AD493" s="240"/>
      <c r="AE493" s="241"/>
      <c r="AF493" s="241"/>
      <c r="AG493" s="238"/>
      <c r="AH493" s="240"/>
      <c r="AI493" s="241"/>
      <c r="AJ493" s="241"/>
      <c r="AK493" s="241"/>
      <c r="AL493" s="237"/>
      <c r="AM493" s="237"/>
      <c r="AN493" s="237"/>
      <c r="AO493" s="237"/>
      <c r="AP493" s="237"/>
      <c r="AQ493" s="237"/>
      <c r="AR493" s="237"/>
    </row>
    <row r="494">
      <c r="A494" s="228"/>
      <c r="B494" s="228"/>
      <c r="C494" s="228"/>
      <c r="D494" s="228"/>
      <c r="E494" s="228"/>
      <c r="F494" s="228"/>
      <c r="G494" s="228"/>
      <c r="H494" s="241"/>
      <c r="I494" s="228"/>
      <c r="J494" s="236"/>
      <c r="K494" s="228"/>
      <c r="L494" s="228"/>
      <c r="M494" s="238"/>
      <c r="N494" s="228"/>
      <c r="O494" s="235"/>
      <c r="P494" s="236"/>
      <c r="Q494" s="235"/>
      <c r="R494" s="235"/>
      <c r="S494" s="236"/>
      <c r="T494" s="236"/>
      <c r="U494" s="237"/>
      <c r="V494" s="237"/>
      <c r="W494" s="238"/>
      <c r="X494" s="237"/>
      <c r="Y494" s="237"/>
      <c r="Z494" s="237"/>
      <c r="AA494" s="239"/>
      <c r="AB494" s="238"/>
      <c r="AC494" s="238"/>
      <c r="AD494" s="240"/>
      <c r="AE494" s="241"/>
      <c r="AF494" s="241"/>
      <c r="AG494" s="238"/>
      <c r="AH494" s="240"/>
      <c r="AI494" s="241"/>
      <c r="AJ494" s="241"/>
      <c r="AK494" s="241"/>
      <c r="AL494" s="237"/>
      <c r="AM494" s="237"/>
      <c r="AN494" s="237"/>
      <c r="AO494" s="237"/>
      <c r="AP494" s="237"/>
      <c r="AQ494" s="237"/>
      <c r="AR494" s="237"/>
    </row>
    <row r="495">
      <c r="A495" s="228"/>
      <c r="B495" s="228"/>
      <c r="C495" s="228"/>
      <c r="D495" s="228"/>
      <c r="E495" s="228"/>
      <c r="F495" s="228"/>
      <c r="G495" s="228"/>
      <c r="H495" s="241"/>
      <c r="I495" s="228"/>
      <c r="J495" s="236"/>
      <c r="K495" s="228"/>
      <c r="L495" s="228"/>
      <c r="M495" s="238"/>
      <c r="N495" s="228"/>
      <c r="O495" s="235"/>
      <c r="P495" s="236"/>
      <c r="Q495" s="235"/>
      <c r="R495" s="235"/>
      <c r="S495" s="236"/>
      <c r="T495" s="236"/>
      <c r="U495" s="237"/>
      <c r="V495" s="237"/>
      <c r="W495" s="238"/>
      <c r="X495" s="237"/>
      <c r="Y495" s="237"/>
      <c r="Z495" s="237"/>
      <c r="AA495" s="239"/>
      <c r="AB495" s="238"/>
      <c r="AC495" s="238"/>
      <c r="AD495" s="240"/>
      <c r="AE495" s="241"/>
      <c r="AF495" s="241"/>
      <c r="AG495" s="238"/>
      <c r="AH495" s="240"/>
      <c r="AI495" s="241"/>
      <c r="AJ495" s="241"/>
      <c r="AK495" s="241"/>
      <c r="AL495" s="237"/>
      <c r="AM495" s="237"/>
      <c r="AN495" s="237"/>
      <c r="AO495" s="237"/>
      <c r="AP495" s="237"/>
      <c r="AQ495" s="237"/>
      <c r="AR495" s="237"/>
    </row>
    <row r="496">
      <c r="A496" s="228"/>
      <c r="B496" s="228"/>
      <c r="C496" s="228"/>
      <c r="D496" s="228"/>
      <c r="E496" s="228"/>
      <c r="F496" s="228"/>
      <c r="G496" s="228"/>
      <c r="H496" s="241"/>
      <c r="I496" s="228"/>
      <c r="J496" s="236"/>
      <c r="K496" s="228"/>
      <c r="L496" s="228"/>
      <c r="M496" s="238"/>
      <c r="N496" s="228"/>
      <c r="O496" s="235"/>
      <c r="P496" s="236"/>
      <c r="Q496" s="235"/>
      <c r="R496" s="235"/>
      <c r="S496" s="236"/>
      <c r="T496" s="236"/>
      <c r="U496" s="237"/>
      <c r="V496" s="237"/>
      <c r="W496" s="238"/>
      <c r="X496" s="237"/>
      <c r="Y496" s="237"/>
      <c r="Z496" s="237"/>
      <c r="AA496" s="239"/>
      <c r="AB496" s="238"/>
      <c r="AC496" s="238"/>
      <c r="AD496" s="240"/>
      <c r="AE496" s="241"/>
      <c r="AF496" s="241"/>
      <c r="AG496" s="238"/>
      <c r="AH496" s="240"/>
      <c r="AI496" s="241"/>
      <c r="AJ496" s="241"/>
      <c r="AK496" s="241"/>
      <c r="AL496" s="237"/>
      <c r="AM496" s="237"/>
      <c r="AN496" s="237"/>
      <c r="AO496" s="237"/>
      <c r="AP496" s="237"/>
      <c r="AQ496" s="237"/>
      <c r="AR496" s="237"/>
    </row>
    <row r="497">
      <c r="A497" s="228"/>
      <c r="B497" s="228"/>
      <c r="C497" s="228"/>
      <c r="D497" s="228"/>
      <c r="E497" s="228"/>
      <c r="F497" s="228"/>
      <c r="G497" s="228"/>
      <c r="H497" s="241"/>
      <c r="I497" s="228"/>
      <c r="J497" s="236"/>
      <c r="K497" s="228"/>
      <c r="L497" s="228"/>
      <c r="M497" s="238"/>
      <c r="N497" s="228"/>
      <c r="O497" s="235"/>
      <c r="P497" s="236"/>
      <c r="Q497" s="235"/>
      <c r="R497" s="235"/>
      <c r="S497" s="236"/>
      <c r="T497" s="236"/>
      <c r="U497" s="237"/>
      <c r="V497" s="237"/>
      <c r="W497" s="238"/>
      <c r="X497" s="237"/>
      <c r="Y497" s="237"/>
      <c r="Z497" s="237"/>
      <c r="AA497" s="239"/>
      <c r="AB497" s="238"/>
      <c r="AC497" s="238"/>
      <c r="AD497" s="240"/>
      <c r="AE497" s="241"/>
      <c r="AF497" s="241"/>
      <c r="AG497" s="238"/>
      <c r="AH497" s="240"/>
      <c r="AI497" s="241"/>
      <c r="AJ497" s="241"/>
      <c r="AK497" s="241"/>
      <c r="AL497" s="237"/>
      <c r="AM497" s="237"/>
      <c r="AN497" s="237"/>
      <c r="AO497" s="237"/>
      <c r="AP497" s="237"/>
      <c r="AQ497" s="237"/>
      <c r="AR497" s="237"/>
    </row>
    <row r="498">
      <c r="A498" s="228"/>
      <c r="B498" s="228"/>
      <c r="C498" s="228"/>
      <c r="D498" s="228"/>
      <c r="E498" s="228"/>
      <c r="F498" s="228"/>
      <c r="G498" s="228"/>
      <c r="H498" s="241"/>
      <c r="I498" s="228"/>
      <c r="J498" s="236"/>
      <c r="K498" s="228"/>
      <c r="L498" s="228"/>
      <c r="M498" s="238"/>
      <c r="N498" s="228"/>
      <c r="O498" s="235"/>
      <c r="P498" s="236"/>
      <c r="Q498" s="235"/>
      <c r="R498" s="235"/>
      <c r="S498" s="236"/>
      <c r="T498" s="236"/>
      <c r="U498" s="237"/>
      <c r="V498" s="237"/>
      <c r="W498" s="238"/>
      <c r="X498" s="237"/>
      <c r="Y498" s="237"/>
      <c r="Z498" s="237"/>
      <c r="AA498" s="239"/>
      <c r="AB498" s="238"/>
      <c r="AC498" s="238"/>
      <c r="AD498" s="240"/>
      <c r="AE498" s="241"/>
      <c r="AF498" s="241"/>
      <c r="AG498" s="238"/>
      <c r="AH498" s="240"/>
      <c r="AI498" s="241"/>
      <c r="AJ498" s="241"/>
      <c r="AK498" s="241"/>
      <c r="AL498" s="237"/>
      <c r="AM498" s="237"/>
      <c r="AN498" s="237"/>
      <c r="AO498" s="237"/>
      <c r="AP498" s="237"/>
      <c r="AQ498" s="237"/>
      <c r="AR498" s="237"/>
    </row>
    <row r="499">
      <c r="A499" s="228"/>
      <c r="B499" s="228"/>
      <c r="C499" s="228"/>
      <c r="D499" s="228"/>
      <c r="E499" s="228"/>
      <c r="F499" s="228"/>
      <c r="G499" s="228"/>
      <c r="H499" s="241"/>
      <c r="I499" s="228"/>
      <c r="J499" s="236"/>
      <c r="K499" s="228"/>
      <c r="L499" s="228"/>
      <c r="M499" s="238"/>
      <c r="N499" s="228"/>
      <c r="O499" s="235"/>
      <c r="P499" s="236"/>
      <c r="Q499" s="235"/>
      <c r="R499" s="235"/>
      <c r="S499" s="236"/>
      <c r="T499" s="236"/>
      <c r="U499" s="237"/>
      <c r="V499" s="237"/>
      <c r="W499" s="238"/>
      <c r="X499" s="237"/>
      <c r="Y499" s="237"/>
      <c r="Z499" s="237"/>
      <c r="AA499" s="239"/>
      <c r="AB499" s="238"/>
      <c r="AC499" s="238"/>
      <c r="AD499" s="240"/>
      <c r="AE499" s="241"/>
      <c r="AF499" s="241"/>
      <c r="AG499" s="238"/>
      <c r="AH499" s="240"/>
      <c r="AI499" s="241"/>
      <c r="AJ499" s="241"/>
      <c r="AK499" s="241"/>
      <c r="AL499" s="237"/>
      <c r="AM499" s="237"/>
      <c r="AN499" s="237"/>
      <c r="AO499" s="237"/>
      <c r="AP499" s="237"/>
      <c r="AQ499" s="237"/>
      <c r="AR499" s="237"/>
    </row>
    <row r="500">
      <c r="A500" s="228"/>
      <c r="B500" s="228"/>
      <c r="C500" s="228"/>
      <c r="D500" s="228"/>
      <c r="E500" s="228"/>
      <c r="F500" s="228"/>
      <c r="G500" s="228"/>
      <c r="H500" s="241"/>
      <c r="I500" s="228"/>
      <c r="J500" s="236"/>
      <c r="K500" s="228"/>
      <c r="L500" s="228"/>
      <c r="M500" s="238"/>
      <c r="N500" s="228"/>
      <c r="O500" s="235"/>
      <c r="P500" s="236"/>
      <c r="Q500" s="235"/>
      <c r="R500" s="235"/>
      <c r="S500" s="236"/>
      <c r="T500" s="236"/>
      <c r="U500" s="237"/>
      <c r="V500" s="237"/>
      <c r="W500" s="238"/>
      <c r="X500" s="237"/>
      <c r="Y500" s="237"/>
      <c r="Z500" s="237"/>
      <c r="AA500" s="239"/>
      <c r="AB500" s="238"/>
      <c r="AC500" s="238"/>
      <c r="AD500" s="240"/>
      <c r="AE500" s="241"/>
      <c r="AF500" s="241"/>
      <c r="AG500" s="238"/>
      <c r="AH500" s="240"/>
      <c r="AI500" s="241"/>
      <c r="AJ500" s="241"/>
      <c r="AK500" s="241"/>
      <c r="AL500" s="237"/>
      <c r="AM500" s="237"/>
      <c r="AN500" s="237"/>
      <c r="AO500" s="237"/>
      <c r="AP500" s="237"/>
      <c r="AQ500" s="237"/>
      <c r="AR500" s="237"/>
    </row>
    <row r="501">
      <c r="A501" s="228"/>
      <c r="B501" s="228"/>
      <c r="C501" s="228"/>
      <c r="D501" s="228"/>
      <c r="E501" s="228"/>
      <c r="F501" s="228"/>
      <c r="G501" s="228"/>
      <c r="H501" s="241"/>
      <c r="I501" s="228"/>
      <c r="J501" s="236"/>
      <c r="K501" s="228"/>
      <c r="L501" s="228"/>
      <c r="M501" s="238"/>
      <c r="N501" s="228"/>
      <c r="O501" s="235"/>
      <c r="P501" s="236"/>
      <c r="Q501" s="235"/>
      <c r="R501" s="235"/>
      <c r="S501" s="236"/>
      <c r="T501" s="236"/>
      <c r="U501" s="237"/>
      <c r="V501" s="237"/>
      <c r="W501" s="238"/>
      <c r="X501" s="237"/>
      <c r="Y501" s="237"/>
      <c r="Z501" s="237"/>
      <c r="AA501" s="239"/>
      <c r="AB501" s="238"/>
      <c r="AC501" s="238"/>
      <c r="AD501" s="240"/>
      <c r="AE501" s="241"/>
      <c r="AF501" s="241"/>
      <c r="AG501" s="238"/>
      <c r="AH501" s="240"/>
      <c r="AI501" s="241"/>
      <c r="AJ501" s="241"/>
      <c r="AK501" s="241"/>
      <c r="AL501" s="237"/>
      <c r="AM501" s="237"/>
      <c r="AN501" s="237"/>
      <c r="AO501" s="237"/>
      <c r="AP501" s="237"/>
      <c r="AQ501" s="237"/>
      <c r="AR501" s="237"/>
    </row>
    <row r="502">
      <c r="A502" s="228"/>
      <c r="B502" s="228"/>
      <c r="C502" s="228"/>
      <c r="D502" s="228"/>
      <c r="E502" s="228"/>
      <c r="F502" s="228"/>
      <c r="G502" s="228"/>
      <c r="H502" s="241"/>
      <c r="I502" s="228"/>
      <c r="J502" s="236"/>
      <c r="K502" s="228"/>
      <c r="L502" s="228"/>
      <c r="M502" s="238"/>
      <c r="N502" s="228"/>
      <c r="O502" s="235"/>
      <c r="P502" s="236"/>
      <c r="Q502" s="235"/>
      <c r="R502" s="235"/>
      <c r="S502" s="236"/>
      <c r="T502" s="236"/>
      <c r="U502" s="237"/>
      <c r="V502" s="237"/>
      <c r="W502" s="238"/>
      <c r="X502" s="237"/>
      <c r="Y502" s="237"/>
      <c r="Z502" s="237"/>
      <c r="AA502" s="239"/>
      <c r="AB502" s="238"/>
      <c r="AC502" s="238"/>
      <c r="AD502" s="240"/>
      <c r="AE502" s="241"/>
      <c r="AF502" s="241"/>
      <c r="AG502" s="238"/>
      <c r="AH502" s="240"/>
      <c r="AI502" s="241"/>
      <c r="AJ502" s="241"/>
      <c r="AK502" s="241"/>
      <c r="AL502" s="237"/>
      <c r="AM502" s="237"/>
      <c r="AN502" s="237"/>
      <c r="AO502" s="237"/>
      <c r="AP502" s="237"/>
      <c r="AQ502" s="237"/>
      <c r="AR502" s="237"/>
    </row>
    <row r="503">
      <c r="A503" s="228"/>
      <c r="B503" s="228"/>
      <c r="C503" s="228"/>
      <c r="D503" s="228"/>
      <c r="E503" s="228"/>
      <c r="F503" s="228"/>
      <c r="G503" s="228"/>
      <c r="H503" s="241"/>
      <c r="I503" s="228"/>
      <c r="J503" s="236"/>
      <c r="K503" s="228"/>
      <c r="L503" s="228"/>
      <c r="M503" s="238"/>
      <c r="N503" s="228"/>
      <c r="O503" s="235"/>
      <c r="P503" s="236"/>
      <c r="Q503" s="235"/>
      <c r="R503" s="235"/>
      <c r="S503" s="236"/>
      <c r="T503" s="236"/>
      <c r="U503" s="237"/>
      <c r="V503" s="237"/>
      <c r="W503" s="238"/>
      <c r="X503" s="237"/>
      <c r="Y503" s="237"/>
      <c r="Z503" s="237"/>
      <c r="AA503" s="239"/>
      <c r="AB503" s="238"/>
      <c r="AC503" s="238"/>
      <c r="AD503" s="240"/>
      <c r="AE503" s="241"/>
      <c r="AF503" s="241"/>
      <c r="AG503" s="238"/>
      <c r="AH503" s="240"/>
      <c r="AI503" s="241"/>
      <c r="AJ503" s="241"/>
      <c r="AK503" s="241"/>
      <c r="AL503" s="237"/>
      <c r="AM503" s="237"/>
      <c r="AN503" s="237"/>
      <c r="AO503" s="237"/>
      <c r="AP503" s="237"/>
      <c r="AQ503" s="237"/>
      <c r="AR503" s="237"/>
    </row>
    <row r="504">
      <c r="A504" s="228"/>
      <c r="B504" s="228"/>
      <c r="C504" s="228"/>
      <c r="D504" s="228"/>
      <c r="E504" s="228"/>
      <c r="F504" s="228"/>
      <c r="G504" s="228"/>
      <c r="H504" s="241"/>
      <c r="I504" s="228"/>
      <c r="J504" s="236"/>
      <c r="K504" s="228"/>
      <c r="L504" s="228"/>
      <c r="M504" s="238"/>
      <c r="N504" s="228"/>
      <c r="O504" s="235"/>
      <c r="P504" s="236"/>
      <c r="Q504" s="235"/>
      <c r="R504" s="235"/>
      <c r="S504" s="236"/>
      <c r="T504" s="236"/>
      <c r="U504" s="237"/>
      <c r="V504" s="237"/>
      <c r="W504" s="238"/>
      <c r="X504" s="237"/>
      <c r="Y504" s="237"/>
      <c r="Z504" s="237"/>
      <c r="AA504" s="239"/>
      <c r="AB504" s="238"/>
      <c r="AC504" s="238"/>
      <c r="AD504" s="240"/>
      <c r="AE504" s="241"/>
      <c r="AF504" s="241"/>
      <c r="AG504" s="238"/>
      <c r="AH504" s="240"/>
      <c r="AI504" s="241"/>
      <c r="AJ504" s="241"/>
      <c r="AK504" s="241"/>
      <c r="AL504" s="237"/>
      <c r="AM504" s="237"/>
      <c r="AN504" s="237"/>
      <c r="AO504" s="237"/>
      <c r="AP504" s="237"/>
      <c r="AQ504" s="237"/>
      <c r="AR504" s="237"/>
    </row>
    <row r="505">
      <c r="A505" s="228"/>
      <c r="B505" s="228"/>
      <c r="C505" s="228"/>
      <c r="D505" s="228"/>
      <c r="E505" s="228"/>
      <c r="F505" s="228"/>
      <c r="G505" s="228"/>
      <c r="H505" s="241"/>
      <c r="I505" s="228"/>
      <c r="J505" s="236"/>
      <c r="K505" s="228"/>
      <c r="L505" s="228"/>
      <c r="M505" s="238"/>
      <c r="N505" s="228"/>
      <c r="O505" s="235"/>
      <c r="P505" s="236"/>
      <c r="Q505" s="235"/>
      <c r="R505" s="235"/>
      <c r="S505" s="236"/>
      <c r="T505" s="236"/>
      <c r="U505" s="237"/>
      <c r="V505" s="237"/>
      <c r="W505" s="238"/>
      <c r="X505" s="237"/>
      <c r="Y505" s="237"/>
      <c r="Z505" s="237"/>
      <c r="AA505" s="239"/>
      <c r="AB505" s="238"/>
      <c r="AC505" s="238"/>
      <c r="AD505" s="240"/>
      <c r="AE505" s="241"/>
      <c r="AF505" s="241"/>
      <c r="AG505" s="238"/>
      <c r="AH505" s="240"/>
      <c r="AI505" s="241"/>
      <c r="AJ505" s="241"/>
      <c r="AK505" s="241"/>
      <c r="AL505" s="237"/>
      <c r="AM505" s="237"/>
      <c r="AN505" s="237"/>
      <c r="AO505" s="237"/>
      <c r="AP505" s="237"/>
      <c r="AQ505" s="237"/>
      <c r="AR505" s="237"/>
    </row>
    <row r="506">
      <c r="A506" s="228"/>
      <c r="B506" s="228"/>
      <c r="C506" s="228"/>
      <c r="D506" s="228"/>
      <c r="E506" s="228"/>
      <c r="F506" s="228"/>
      <c r="G506" s="228"/>
      <c r="H506" s="241"/>
      <c r="I506" s="228"/>
      <c r="J506" s="236"/>
      <c r="K506" s="228"/>
      <c r="L506" s="228"/>
      <c r="M506" s="238"/>
      <c r="N506" s="228"/>
      <c r="O506" s="235"/>
      <c r="P506" s="236"/>
      <c r="Q506" s="235"/>
      <c r="R506" s="235"/>
      <c r="S506" s="236"/>
      <c r="T506" s="236"/>
      <c r="U506" s="237"/>
      <c r="V506" s="237"/>
      <c r="W506" s="238"/>
      <c r="X506" s="237"/>
      <c r="Y506" s="237"/>
      <c r="Z506" s="237"/>
      <c r="AA506" s="239"/>
      <c r="AB506" s="238"/>
      <c r="AC506" s="238"/>
      <c r="AD506" s="240"/>
      <c r="AE506" s="241"/>
      <c r="AF506" s="241"/>
      <c r="AG506" s="238"/>
      <c r="AH506" s="240"/>
      <c r="AI506" s="241"/>
      <c r="AJ506" s="241"/>
      <c r="AK506" s="241"/>
      <c r="AL506" s="237"/>
      <c r="AM506" s="237"/>
      <c r="AN506" s="237"/>
      <c r="AO506" s="237"/>
      <c r="AP506" s="237"/>
      <c r="AQ506" s="237"/>
      <c r="AR506" s="237"/>
    </row>
    <row r="507">
      <c r="A507" s="228"/>
      <c r="B507" s="228"/>
      <c r="C507" s="228"/>
      <c r="D507" s="228"/>
      <c r="E507" s="228"/>
      <c r="F507" s="228"/>
      <c r="G507" s="228"/>
      <c r="H507" s="241"/>
      <c r="I507" s="228"/>
      <c r="J507" s="236"/>
      <c r="K507" s="228"/>
      <c r="L507" s="228"/>
      <c r="M507" s="238"/>
      <c r="N507" s="228"/>
      <c r="O507" s="235"/>
      <c r="P507" s="236"/>
      <c r="Q507" s="235"/>
      <c r="R507" s="235"/>
      <c r="S507" s="236"/>
      <c r="T507" s="236"/>
      <c r="U507" s="237"/>
      <c r="V507" s="237"/>
      <c r="W507" s="238"/>
      <c r="X507" s="237"/>
      <c r="Y507" s="237"/>
      <c r="Z507" s="237"/>
      <c r="AA507" s="239"/>
      <c r="AB507" s="238"/>
      <c r="AC507" s="238"/>
      <c r="AD507" s="240"/>
      <c r="AE507" s="241"/>
      <c r="AF507" s="241"/>
      <c r="AG507" s="238"/>
      <c r="AH507" s="240"/>
      <c r="AI507" s="241"/>
      <c r="AJ507" s="241"/>
      <c r="AK507" s="241"/>
      <c r="AL507" s="237"/>
      <c r="AM507" s="237"/>
      <c r="AN507" s="237"/>
      <c r="AO507" s="237"/>
      <c r="AP507" s="237"/>
      <c r="AQ507" s="237"/>
      <c r="AR507" s="237"/>
    </row>
    <row r="508">
      <c r="A508" s="228"/>
      <c r="B508" s="228"/>
      <c r="C508" s="228"/>
      <c r="D508" s="228"/>
      <c r="E508" s="228"/>
      <c r="F508" s="228"/>
      <c r="G508" s="228"/>
      <c r="H508" s="241"/>
      <c r="I508" s="228"/>
      <c r="J508" s="236"/>
      <c r="K508" s="228"/>
      <c r="L508" s="228"/>
      <c r="M508" s="238"/>
      <c r="N508" s="228"/>
      <c r="O508" s="235"/>
      <c r="P508" s="236"/>
      <c r="Q508" s="235"/>
      <c r="R508" s="235"/>
      <c r="S508" s="236"/>
      <c r="T508" s="236"/>
      <c r="U508" s="237"/>
      <c r="V508" s="237"/>
      <c r="W508" s="238"/>
      <c r="X508" s="237"/>
      <c r="Y508" s="237"/>
      <c r="Z508" s="237"/>
      <c r="AA508" s="239"/>
      <c r="AB508" s="238"/>
      <c r="AC508" s="238"/>
      <c r="AD508" s="240"/>
      <c r="AE508" s="241"/>
      <c r="AF508" s="241"/>
      <c r="AG508" s="238"/>
      <c r="AH508" s="240"/>
      <c r="AI508" s="241"/>
      <c r="AJ508" s="241"/>
      <c r="AK508" s="241"/>
      <c r="AL508" s="237"/>
      <c r="AM508" s="237"/>
      <c r="AN508" s="237"/>
      <c r="AO508" s="237"/>
      <c r="AP508" s="237"/>
      <c r="AQ508" s="237"/>
      <c r="AR508" s="237"/>
    </row>
    <row r="509">
      <c r="A509" s="228"/>
      <c r="B509" s="228"/>
      <c r="C509" s="228"/>
      <c r="D509" s="228"/>
      <c r="E509" s="228"/>
      <c r="F509" s="228"/>
      <c r="G509" s="228"/>
      <c r="H509" s="241"/>
      <c r="I509" s="228"/>
      <c r="J509" s="236"/>
      <c r="K509" s="228"/>
      <c r="L509" s="228"/>
      <c r="M509" s="238"/>
      <c r="N509" s="228"/>
      <c r="O509" s="235"/>
      <c r="P509" s="236"/>
      <c r="Q509" s="235"/>
      <c r="R509" s="235"/>
      <c r="S509" s="236"/>
      <c r="T509" s="236"/>
      <c r="U509" s="237"/>
      <c r="V509" s="237"/>
      <c r="W509" s="238"/>
      <c r="X509" s="237"/>
      <c r="Y509" s="237"/>
      <c r="Z509" s="237"/>
      <c r="AA509" s="239"/>
      <c r="AB509" s="238"/>
      <c r="AC509" s="238"/>
      <c r="AD509" s="240"/>
      <c r="AE509" s="241"/>
      <c r="AF509" s="241"/>
      <c r="AG509" s="238"/>
      <c r="AH509" s="240"/>
      <c r="AI509" s="241"/>
      <c r="AJ509" s="241"/>
      <c r="AK509" s="241"/>
      <c r="AL509" s="237"/>
      <c r="AM509" s="237"/>
      <c r="AN509" s="237"/>
      <c r="AO509" s="237"/>
      <c r="AP509" s="237"/>
      <c r="AQ509" s="237"/>
      <c r="AR509" s="237"/>
    </row>
    <row r="510">
      <c r="A510" s="228"/>
      <c r="B510" s="228"/>
      <c r="C510" s="228"/>
      <c r="D510" s="228"/>
      <c r="E510" s="228"/>
      <c r="F510" s="228"/>
      <c r="G510" s="228"/>
      <c r="H510" s="241"/>
      <c r="I510" s="228"/>
      <c r="J510" s="236"/>
      <c r="K510" s="228"/>
      <c r="L510" s="228"/>
      <c r="M510" s="238"/>
      <c r="N510" s="228"/>
      <c r="O510" s="235"/>
      <c r="P510" s="236"/>
      <c r="Q510" s="235"/>
      <c r="R510" s="235"/>
      <c r="S510" s="236"/>
      <c r="T510" s="236"/>
      <c r="U510" s="237"/>
      <c r="V510" s="237"/>
      <c r="W510" s="238"/>
      <c r="X510" s="237"/>
      <c r="Y510" s="237"/>
      <c r="Z510" s="237"/>
      <c r="AA510" s="239"/>
      <c r="AB510" s="238"/>
      <c r="AC510" s="238"/>
      <c r="AD510" s="240"/>
      <c r="AE510" s="241"/>
      <c r="AF510" s="241"/>
      <c r="AG510" s="238"/>
      <c r="AH510" s="240"/>
      <c r="AI510" s="241"/>
      <c r="AJ510" s="241"/>
      <c r="AK510" s="241"/>
      <c r="AL510" s="237"/>
      <c r="AM510" s="237"/>
      <c r="AN510" s="237"/>
      <c r="AO510" s="237"/>
      <c r="AP510" s="237"/>
      <c r="AQ510" s="237"/>
      <c r="AR510" s="237"/>
    </row>
    <row r="511">
      <c r="A511" s="228"/>
      <c r="B511" s="228"/>
      <c r="C511" s="228"/>
      <c r="D511" s="228"/>
      <c r="E511" s="228"/>
      <c r="F511" s="228"/>
      <c r="G511" s="228"/>
      <c r="H511" s="241"/>
      <c r="I511" s="228"/>
      <c r="J511" s="236"/>
      <c r="K511" s="228"/>
      <c r="L511" s="228"/>
      <c r="M511" s="238"/>
      <c r="N511" s="228"/>
      <c r="O511" s="235"/>
      <c r="P511" s="236"/>
      <c r="Q511" s="235"/>
      <c r="R511" s="235"/>
      <c r="S511" s="236"/>
      <c r="T511" s="236"/>
      <c r="U511" s="237"/>
      <c r="V511" s="237"/>
      <c r="W511" s="238"/>
      <c r="X511" s="237"/>
      <c r="Y511" s="237"/>
      <c r="Z511" s="237"/>
      <c r="AA511" s="239"/>
      <c r="AB511" s="238"/>
      <c r="AC511" s="238"/>
      <c r="AD511" s="240"/>
      <c r="AE511" s="241"/>
      <c r="AF511" s="241"/>
      <c r="AG511" s="238"/>
      <c r="AH511" s="240"/>
      <c r="AI511" s="241"/>
      <c r="AJ511" s="241"/>
      <c r="AK511" s="241"/>
      <c r="AL511" s="237"/>
      <c r="AM511" s="237"/>
      <c r="AN511" s="237"/>
      <c r="AO511" s="237"/>
      <c r="AP511" s="237"/>
      <c r="AQ511" s="237"/>
      <c r="AR511" s="237"/>
    </row>
    <row r="512">
      <c r="A512" s="228"/>
      <c r="B512" s="228"/>
      <c r="C512" s="228"/>
      <c r="D512" s="228"/>
      <c r="E512" s="228"/>
      <c r="F512" s="228"/>
      <c r="G512" s="228"/>
      <c r="H512" s="241"/>
      <c r="I512" s="228"/>
      <c r="J512" s="236"/>
      <c r="K512" s="228"/>
      <c r="L512" s="228"/>
      <c r="M512" s="238"/>
      <c r="N512" s="228"/>
      <c r="O512" s="235"/>
      <c r="P512" s="236"/>
      <c r="Q512" s="235"/>
      <c r="R512" s="235"/>
      <c r="S512" s="236"/>
      <c r="T512" s="236"/>
      <c r="U512" s="237"/>
      <c r="V512" s="237"/>
      <c r="W512" s="238"/>
      <c r="X512" s="237"/>
      <c r="Y512" s="237"/>
      <c r="Z512" s="237"/>
      <c r="AA512" s="239"/>
      <c r="AB512" s="238"/>
      <c r="AC512" s="238"/>
      <c r="AD512" s="240"/>
      <c r="AE512" s="241"/>
      <c r="AF512" s="241"/>
      <c r="AG512" s="238"/>
      <c r="AH512" s="240"/>
      <c r="AI512" s="241"/>
      <c r="AJ512" s="241"/>
      <c r="AK512" s="241"/>
      <c r="AL512" s="237"/>
      <c r="AM512" s="237"/>
      <c r="AN512" s="237"/>
      <c r="AO512" s="237"/>
      <c r="AP512" s="237"/>
      <c r="AQ512" s="237"/>
      <c r="AR512" s="237"/>
    </row>
    <row r="513">
      <c r="A513" s="228"/>
      <c r="B513" s="228"/>
      <c r="C513" s="228"/>
      <c r="D513" s="228"/>
      <c r="E513" s="228"/>
      <c r="F513" s="228"/>
      <c r="G513" s="228"/>
      <c r="H513" s="241"/>
      <c r="I513" s="228"/>
      <c r="J513" s="236"/>
      <c r="K513" s="228"/>
      <c r="L513" s="228"/>
      <c r="M513" s="238"/>
      <c r="N513" s="228"/>
      <c r="O513" s="235"/>
      <c r="P513" s="236"/>
      <c r="Q513" s="235"/>
      <c r="R513" s="235"/>
      <c r="S513" s="236"/>
      <c r="T513" s="236"/>
      <c r="U513" s="237"/>
      <c r="V513" s="237"/>
      <c r="W513" s="238"/>
      <c r="X513" s="237"/>
      <c r="Y513" s="237"/>
      <c r="Z513" s="237"/>
      <c r="AA513" s="239"/>
      <c r="AB513" s="238"/>
      <c r="AC513" s="238"/>
      <c r="AD513" s="240"/>
      <c r="AE513" s="241"/>
      <c r="AF513" s="241"/>
      <c r="AG513" s="238"/>
      <c r="AH513" s="240"/>
      <c r="AI513" s="241"/>
      <c r="AJ513" s="241"/>
      <c r="AK513" s="241"/>
      <c r="AL513" s="237"/>
      <c r="AM513" s="237"/>
      <c r="AN513" s="237"/>
      <c r="AO513" s="237"/>
      <c r="AP513" s="237"/>
      <c r="AQ513" s="237"/>
      <c r="AR513" s="237"/>
    </row>
    <row r="514">
      <c r="A514" s="228"/>
      <c r="B514" s="228"/>
      <c r="C514" s="228"/>
      <c r="D514" s="228"/>
      <c r="E514" s="228"/>
      <c r="F514" s="228"/>
      <c r="G514" s="228"/>
      <c r="H514" s="241"/>
      <c r="I514" s="228"/>
      <c r="J514" s="236"/>
      <c r="K514" s="228"/>
      <c r="L514" s="228"/>
      <c r="M514" s="238"/>
      <c r="N514" s="228"/>
      <c r="O514" s="235"/>
      <c r="P514" s="236"/>
      <c r="Q514" s="235"/>
      <c r="R514" s="235"/>
      <c r="S514" s="236"/>
      <c r="T514" s="236"/>
      <c r="U514" s="237"/>
      <c r="V514" s="237"/>
      <c r="W514" s="238"/>
      <c r="X514" s="237"/>
      <c r="Y514" s="237"/>
      <c r="Z514" s="237"/>
      <c r="AA514" s="239"/>
      <c r="AB514" s="238"/>
      <c r="AC514" s="238"/>
      <c r="AD514" s="240"/>
      <c r="AE514" s="241"/>
      <c r="AF514" s="241"/>
      <c r="AG514" s="238"/>
      <c r="AH514" s="240"/>
      <c r="AI514" s="241"/>
      <c r="AJ514" s="241"/>
      <c r="AK514" s="241"/>
      <c r="AL514" s="237"/>
      <c r="AM514" s="237"/>
      <c r="AN514" s="237"/>
      <c r="AO514" s="237"/>
      <c r="AP514" s="237"/>
      <c r="AQ514" s="237"/>
      <c r="AR514" s="237"/>
    </row>
    <row r="515">
      <c r="A515" s="228"/>
      <c r="B515" s="228"/>
      <c r="C515" s="228"/>
      <c r="D515" s="228"/>
      <c r="E515" s="228"/>
      <c r="F515" s="228"/>
      <c r="G515" s="228"/>
      <c r="H515" s="241"/>
      <c r="I515" s="228"/>
      <c r="J515" s="236"/>
      <c r="K515" s="228"/>
      <c r="L515" s="228"/>
      <c r="M515" s="238"/>
      <c r="N515" s="228"/>
      <c r="O515" s="235"/>
      <c r="P515" s="236"/>
      <c r="Q515" s="235"/>
      <c r="R515" s="235"/>
      <c r="S515" s="236"/>
      <c r="T515" s="236"/>
      <c r="U515" s="237"/>
      <c r="V515" s="237"/>
      <c r="W515" s="238"/>
      <c r="X515" s="237"/>
      <c r="Y515" s="237"/>
      <c r="Z515" s="237"/>
      <c r="AA515" s="239"/>
      <c r="AB515" s="238"/>
      <c r="AC515" s="238"/>
      <c r="AD515" s="240"/>
      <c r="AE515" s="241"/>
      <c r="AF515" s="241"/>
      <c r="AG515" s="238"/>
      <c r="AH515" s="240"/>
      <c r="AI515" s="241"/>
      <c r="AJ515" s="241"/>
      <c r="AK515" s="241"/>
      <c r="AL515" s="237"/>
      <c r="AM515" s="237"/>
      <c r="AN515" s="237"/>
      <c r="AO515" s="237"/>
      <c r="AP515" s="237"/>
      <c r="AQ515" s="237"/>
      <c r="AR515" s="237"/>
    </row>
    <row r="516">
      <c r="A516" s="228"/>
      <c r="B516" s="228"/>
      <c r="C516" s="228"/>
      <c r="D516" s="228"/>
      <c r="E516" s="228"/>
      <c r="F516" s="228"/>
      <c r="G516" s="228"/>
      <c r="H516" s="241"/>
      <c r="I516" s="228"/>
      <c r="J516" s="236"/>
      <c r="K516" s="228"/>
      <c r="L516" s="228"/>
      <c r="M516" s="238"/>
      <c r="N516" s="228"/>
      <c r="O516" s="235"/>
      <c r="P516" s="236"/>
      <c r="Q516" s="235"/>
      <c r="R516" s="235"/>
      <c r="S516" s="236"/>
      <c r="T516" s="236"/>
      <c r="U516" s="237"/>
      <c r="V516" s="237"/>
      <c r="W516" s="238"/>
      <c r="X516" s="237"/>
      <c r="Y516" s="237"/>
      <c r="Z516" s="237"/>
      <c r="AA516" s="239"/>
      <c r="AB516" s="238"/>
      <c r="AC516" s="238"/>
      <c r="AD516" s="240"/>
      <c r="AE516" s="241"/>
      <c r="AF516" s="241"/>
      <c r="AG516" s="238"/>
      <c r="AH516" s="240"/>
      <c r="AI516" s="241"/>
      <c r="AJ516" s="241"/>
      <c r="AK516" s="241"/>
      <c r="AL516" s="237"/>
      <c r="AM516" s="237"/>
      <c r="AN516" s="237"/>
      <c r="AO516" s="237"/>
      <c r="AP516" s="237"/>
      <c r="AQ516" s="237"/>
      <c r="AR516" s="237"/>
    </row>
    <row r="517">
      <c r="A517" s="228"/>
      <c r="B517" s="228"/>
      <c r="C517" s="228"/>
      <c r="D517" s="228"/>
      <c r="E517" s="228"/>
      <c r="F517" s="228"/>
      <c r="G517" s="228"/>
      <c r="H517" s="241"/>
      <c r="I517" s="228"/>
      <c r="J517" s="236"/>
      <c r="K517" s="228"/>
      <c r="L517" s="228"/>
      <c r="M517" s="238"/>
      <c r="N517" s="228"/>
      <c r="O517" s="235"/>
      <c r="P517" s="236"/>
      <c r="Q517" s="235"/>
      <c r="R517" s="235"/>
      <c r="S517" s="236"/>
      <c r="T517" s="236"/>
      <c r="U517" s="237"/>
      <c r="V517" s="237"/>
      <c r="W517" s="238"/>
      <c r="X517" s="237"/>
      <c r="Y517" s="237"/>
      <c r="Z517" s="237"/>
      <c r="AA517" s="239"/>
      <c r="AB517" s="238"/>
      <c r="AC517" s="238"/>
      <c r="AD517" s="240"/>
      <c r="AE517" s="241"/>
      <c r="AF517" s="241"/>
      <c r="AG517" s="238"/>
      <c r="AH517" s="240"/>
      <c r="AI517" s="241"/>
      <c r="AJ517" s="241"/>
      <c r="AK517" s="241"/>
      <c r="AL517" s="237"/>
      <c r="AM517" s="237"/>
      <c r="AN517" s="237"/>
      <c r="AO517" s="237"/>
      <c r="AP517" s="237"/>
      <c r="AQ517" s="237"/>
      <c r="AR517" s="237"/>
    </row>
    <row r="518">
      <c r="A518" s="228"/>
      <c r="B518" s="228"/>
      <c r="C518" s="228"/>
      <c r="D518" s="228"/>
      <c r="E518" s="228"/>
      <c r="F518" s="228"/>
      <c r="G518" s="228"/>
      <c r="H518" s="241"/>
      <c r="I518" s="228"/>
      <c r="J518" s="236"/>
      <c r="K518" s="228"/>
      <c r="L518" s="228"/>
      <c r="M518" s="238"/>
      <c r="N518" s="228"/>
      <c r="O518" s="235"/>
      <c r="P518" s="236"/>
      <c r="Q518" s="235"/>
      <c r="R518" s="235"/>
      <c r="S518" s="236"/>
      <c r="T518" s="236"/>
      <c r="U518" s="237"/>
      <c r="V518" s="237"/>
      <c r="W518" s="238"/>
      <c r="X518" s="237"/>
      <c r="Y518" s="237"/>
      <c r="Z518" s="237"/>
      <c r="AA518" s="239"/>
      <c r="AB518" s="238"/>
      <c r="AC518" s="238"/>
      <c r="AD518" s="240"/>
      <c r="AE518" s="241"/>
      <c r="AF518" s="241"/>
      <c r="AG518" s="238"/>
      <c r="AH518" s="240"/>
      <c r="AI518" s="241"/>
      <c r="AJ518" s="241"/>
      <c r="AK518" s="241"/>
      <c r="AL518" s="237"/>
      <c r="AM518" s="237"/>
      <c r="AN518" s="237"/>
      <c r="AO518" s="237"/>
      <c r="AP518" s="237"/>
      <c r="AQ518" s="237"/>
      <c r="AR518" s="237"/>
    </row>
    <row r="519">
      <c r="A519" s="228"/>
      <c r="B519" s="228"/>
      <c r="C519" s="228"/>
      <c r="D519" s="228"/>
      <c r="E519" s="228"/>
      <c r="F519" s="228"/>
      <c r="G519" s="228"/>
      <c r="H519" s="241"/>
      <c r="I519" s="228"/>
      <c r="J519" s="236"/>
      <c r="K519" s="228"/>
      <c r="L519" s="228"/>
      <c r="M519" s="238"/>
      <c r="N519" s="228"/>
      <c r="O519" s="235"/>
      <c r="P519" s="236"/>
      <c r="Q519" s="235"/>
      <c r="R519" s="235"/>
      <c r="S519" s="236"/>
      <c r="T519" s="236"/>
      <c r="U519" s="237"/>
      <c r="V519" s="237"/>
      <c r="W519" s="238"/>
      <c r="X519" s="237"/>
      <c r="Y519" s="237"/>
      <c r="Z519" s="237"/>
      <c r="AA519" s="239"/>
      <c r="AB519" s="238"/>
      <c r="AC519" s="238"/>
      <c r="AD519" s="240"/>
      <c r="AE519" s="241"/>
      <c r="AF519" s="241"/>
      <c r="AG519" s="238"/>
      <c r="AH519" s="240"/>
      <c r="AI519" s="241"/>
      <c r="AJ519" s="241"/>
      <c r="AK519" s="241"/>
      <c r="AL519" s="237"/>
      <c r="AM519" s="237"/>
      <c r="AN519" s="237"/>
      <c r="AO519" s="237"/>
      <c r="AP519" s="237"/>
      <c r="AQ519" s="237"/>
      <c r="AR519" s="237"/>
    </row>
    <row r="520">
      <c r="A520" s="228"/>
      <c r="B520" s="228"/>
      <c r="C520" s="228"/>
      <c r="D520" s="228"/>
      <c r="E520" s="228"/>
      <c r="F520" s="228"/>
      <c r="G520" s="228"/>
      <c r="H520" s="241"/>
      <c r="I520" s="228"/>
      <c r="J520" s="236"/>
      <c r="K520" s="228"/>
      <c r="L520" s="228"/>
      <c r="M520" s="238"/>
      <c r="N520" s="228"/>
      <c r="O520" s="235"/>
      <c r="P520" s="236"/>
      <c r="Q520" s="235"/>
      <c r="R520" s="235"/>
      <c r="S520" s="236"/>
      <c r="T520" s="236"/>
      <c r="U520" s="237"/>
      <c r="V520" s="237"/>
      <c r="W520" s="238"/>
      <c r="X520" s="237"/>
      <c r="Y520" s="237"/>
      <c r="Z520" s="237"/>
      <c r="AA520" s="239"/>
      <c r="AB520" s="238"/>
      <c r="AC520" s="238"/>
      <c r="AD520" s="240"/>
      <c r="AE520" s="241"/>
      <c r="AF520" s="241"/>
      <c r="AG520" s="238"/>
      <c r="AH520" s="240"/>
      <c r="AI520" s="241"/>
      <c r="AJ520" s="241"/>
      <c r="AK520" s="241"/>
      <c r="AL520" s="237"/>
      <c r="AM520" s="237"/>
      <c r="AN520" s="237"/>
      <c r="AO520" s="237"/>
      <c r="AP520" s="237"/>
      <c r="AQ520" s="237"/>
      <c r="AR520" s="237"/>
    </row>
    <row r="521">
      <c r="A521" s="228"/>
      <c r="B521" s="228"/>
      <c r="C521" s="228"/>
      <c r="D521" s="228"/>
      <c r="E521" s="228"/>
      <c r="F521" s="228"/>
      <c r="G521" s="228"/>
      <c r="H521" s="241"/>
      <c r="I521" s="228"/>
      <c r="J521" s="236"/>
      <c r="K521" s="228"/>
      <c r="L521" s="228"/>
      <c r="M521" s="238"/>
      <c r="N521" s="228"/>
      <c r="O521" s="235"/>
      <c r="P521" s="236"/>
      <c r="Q521" s="235"/>
      <c r="R521" s="235"/>
      <c r="S521" s="236"/>
      <c r="T521" s="236"/>
      <c r="U521" s="237"/>
      <c r="V521" s="237"/>
      <c r="W521" s="238"/>
      <c r="X521" s="237"/>
      <c r="Y521" s="237"/>
      <c r="Z521" s="237"/>
      <c r="AA521" s="239"/>
      <c r="AB521" s="238"/>
      <c r="AC521" s="238"/>
      <c r="AD521" s="240"/>
      <c r="AE521" s="241"/>
      <c r="AF521" s="241"/>
      <c r="AG521" s="238"/>
      <c r="AH521" s="240"/>
      <c r="AI521" s="241"/>
      <c r="AJ521" s="241"/>
      <c r="AK521" s="241"/>
      <c r="AL521" s="237"/>
      <c r="AM521" s="237"/>
      <c r="AN521" s="237"/>
      <c r="AO521" s="237"/>
      <c r="AP521" s="237"/>
      <c r="AQ521" s="237"/>
      <c r="AR521" s="237"/>
    </row>
    <row r="522">
      <c r="A522" s="228"/>
      <c r="B522" s="228"/>
      <c r="C522" s="228"/>
      <c r="D522" s="228"/>
      <c r="E522" s="228"/>
      <c r="F522" s="228"/>
      <c r="G522" s="228"/>
      <c r="H522" s="241"/>
      <c r="I522" s="228"/>
      <c r="J522" s="236"/>
      <c r="K522" s="228"/>
      <c r="L522" s="228"/>
      <c r="M522" s="238"/>
      <c r="N522" s="228"/>
      <c r="O522" s="235"/>
      <c r="P522" s="236"/>
      <c r="Q522" s="235"/>
      <c r="R522" s="235"/>
      <c r="S522" s="236"/>
      <c r="T522" s="236"/>
      <c r="U522" s="237"/>
      <c r="V522" s="237"/>
      <c r="W522" s="238"/>
      <c r="X522" s="237"/>
      <c r="Y522" s="237"/>
      <c r="Z522" s="237"/>
      <c r="AA522" s="239"/>
      <c r="AB522" s="238"/>
      <c r="AC522" s="238"/>
      <c r="AD522" s="240"/>
      <c r="AE522" s="241"/>
      <c r="AF522" s="241"/>
      <c r="AG522" s="238"/>
      <c r="AH522" s="240"/>
      <c r="AI522" s="241"/>
      <c r="AJ522" s="241"/>
      <c r="AK522" s="241"/>
      <c r="AL522" s="237"/>
      <c r="AM522" s="237"/>
      <c r="AN522" s="237"/>
      <c r="AO522" s="237"/>
      <c r="AP522" s="237"/>
      <c r="AQ522" s="237"/>
      <c r="AR522" s="237"/>
    </row>
    <row r="523">
      <c r="A523" s="228"/>
      <c r="B523" s="228"/>
      <c r="C523" s="228"/>
      <c r="D523" s="228"/>
      <c r="E523" s="228"/>
      <c r="F523" s="228"/>
      <c r="G523" s="228"/>
      <c r="H523" s="241"/>
      <c r="I523" s="228"/>
      <c r="J523" s="236"/>
      <c r="K523" s="228"/>
      <c r="L523" s="228"/>
      <c r="M523" s="238"/>
      <c r="N523" s="228"/>
      <c r="O523" s="235"/>
      <c r="P523" s="236"/>
      <c r="Q523" s="235"/>
      <c r="R523" s="235"/>
      <c r="S523" s="236"/>
      <c r="T523" s="236"/>
      <c r="U523" s="237"/>
      <c r="V523" s="237"/>
      <c r="W523" s="238"/>
      <c r="X523" s="237"/>
      <c r="Y523" s="237"/>
      <c r="Z523" s="237"/>
      <c r="AA523" s="239"/>
      <c r="AB523" s="238"/>
      <c r="AC523" s="238"/>
      <c r="AD523" s="240"/>
      <c r="AE523" s="241"/>
      <c r="AF523" s="241"/>
      <c r="AG523" s="238"/>
      <c r="AH523" s="240"/>
      <c r="AI523" s="241"/>
      <c r="AJ523" s="241"/>
      <c r="AK523" s="241"/>
      <c r="AL523" s="237"/>
      <c r="AM523" s="237"/>
      <c r="AN523" s="237"/>
      <c r="AO523" s="237"/>
      <c r="AP523" s="237"/>
      <c r="AQ523" s="237"/>
      <c r="AR523" s="237"/>
    </row>
    <row r="524">
      <c r="A524" s="228"/>
      <c r="B524" s="228"/>
      <c r="C524" s="228"/>
      <c r="D524" s="228"/>
      <c r="E524" s="228"/>
      <c r="F524" s="228"/>
      <c r="G524" s="228"/>
      <c r="H524" s="241"/>
      <c r="I524" s="228"/>
      <c r="J524" s="236"/>
      <c r="K524" s="228"/>
      <c r="L524" s="228"/>
      <c r="M524" s="238"/>
      <c r="N524" s="228"/>
      <c r="O524" s="235"/>
      <c r="P524" s="236"/>
      <c r="Q524" s="235"/>
      <c r="R524" s="235"/>
      <c r="S524" s="236"/>
      <c r="T524" s="236"/>
      <c r="U524" s="237"/>
      <c r="V524" s="237"/>
      <c r="W524" s="238"/>
      <c r="X524" s="237"/>
      <c r="Y524" s="237"/>
      <c r="Z524" s="237"/>
      <c r="AA524" s="239"/>
      <c r="AB524" s="238"/>
      <c r="AC524" s="238"/>
      <c r="AD524" s="240"/>
      <c r="AE524" s="241"/>
      <c r="AF524" s="241"/>
      <c r="AG524" s="238"/>
      <c r="AH524" s="240"/>
      <c r="AI524" s="241"/>
      <c r="AJ524" s="241"/>
      <c r="AK524" s="241"/>
      <c r="AL524" s="237"/>
      <c r="AM524" s="237"/>
      <c r="AN524" s="237"/>
      <c r="AO524" s="237"/>
      <c r="AP524" s="237"/>
      <c r="AQ524" s="237"/>
      <c r="AR524" s="237"/>
    </row>
    <row r="525">
      <c r="A525" s="228"/>
      <c r="B525" s="228"/>
      <c r="C525" s="228"/>
      <c r="D525" s="228"/>
      <c r="E525" s="228"/>
      <c r="F525" s="228"/>
      <c r="G525" s="228"/>
      <c r="H525" s="241"/>
      <c r="I525" s="228"/>
      <c r="J525" s="236"/>
      <c r="K525" s="228"/>
      <c r="L525" s="228"/>
      <c r="M525" s="238"/>
      <c r="N525" s="228"/>
      <c r="O525" s="235"/>
      <c r="P525" s="236"/>
      <c r="Q525" s="235"/>
      <c r="R525" s="235"/>
      <c r="S525" s="236"/>
      <c r="T525" s="236"/>
      <c r="U525" s="237"/>
      <c r="V525" s="237"/>
      <c r="W525" s="238"/>
      <c r="X525" s="237"/>
      <c r="Y525" s="237"/>
      <c r="Z525" s="237"/>
      <c r="AA525" s="239"/>
      <c r="AB525" s="238"/>
      <c r="AC525" s="238"/>
      <c r="AD525" s="240"/>
      <c r="AE525" s="241"/>
      <c r="AF525" s="241"/>
      <c r="AG525" s="238"/>
      <c r="AH525" s="240"/>
      <c r="AI525" s="241"/>
      <c r="AJ525" s="241"/>
      <c r="AK525" s="241"/>
      <c r="AL525" s="237"/>
      <c r="AM525" s="237"/>
      <c r="AN525" s="237"/>
      <c r="AO525" s="237"/>
      <c r="AP525" s="237"/>
      <c r="AQ525" s="237"/>
      <c r="AR525" s="237"/>
    </row>
    <row r="526">
      <c r="A526" s="228"/>
      <c r="B526" s="228"/>
      <c r="C526" s="228"/>
      <c r="D526" s="228"/>
      <c r="E526" s="228"/>
      <c r="F526" s="228"/>
      <c r="G526" s="228"/>
      <c r="H526" s="241"/>
      <c r="I526" s="228"/>
      <c r="J526" s="236"/>
      <c r="K526" s="228"/>
      <c r="L526" s="228"/>
      <c r="M526" s="238"/>
      <c r="N526" s="228"/>
      <c r="O526" s="235"/>
      <c r="P526" s="236"/>
      <c r="Q526" s="235"/>
      <c r="R526" s="235"/>
      <c r="S526" s="236"/>
      <c r="T526" s="236"/>
      <c r="U526" s="237"/>
      <c r="V526" s="237"/>
      <c r="W526" s="238"/>
      <c r="X526" s="237"/>
      <c r="Y526" s="237"/>
      <c r="Z526" s="237"/>
      <c r="AA526" s="239"/>
      <c r="AB526" s="238"/>
      <c r="AC526" s="238"/>
      <c r="AD526" s="240"/>
      <c r="AE526" s="241"/>
      <c r="AF526" s="241"/>
      <c r="AG526" s="238"/>
      <c r="AH526" s="240"/>
      <c r="AI526" s="241"/>
      <c r="AJ526" s="241"/>
      <c r="AK526" s="241"/>
      <c r="AL526" s="237"/>
      <c r="AM526" s="237"/>
      <c r="AN526" s="237"/>
      <c r="AO526" s="237"/>
      <c r="AP526" s="237"/>
      <c r="AQ526" s="237"/>
      <c r="AR526" s="237"/>
    </row>
    <row r="527">
      <c r="A527" s="228"/>
      <c r="B527" s="228"/>
      <c r="C527" s="228"/>
      <c r="D527" s="228"/>
      <c r="E527" s="228"/>
      <c r="F527" s="228"/>
      <c r="G527" s="228"/>
      <c r="H527" s="241"/>
      <c r="I527" s="228"/>
      <c r="J527" s="236"/>
      <c r="K527" s="228"/>
      <c r="L527" s="228"/>
      <c r="M527" s="238"/>
      <c r="N527" s="228"/>
      <c r="O527" s="235"/>
      <c r="P527" s="236"/>
      <c r="Q527" s="235"/>
      <c r="R527" s="235"/>
      <c r="S527" s="236"/>
      <c r="T527" s="236"/>
      <c r="U527" s="237"/>
      <c r="V527" s="237"/>
      <c r="W527" s="238"/>
      <c r="X527" s="237"/>
      <c r="Y527" s="237"/>
      <c r="Z527" s="237"/>
      <c r="AA527" s="239"/>
      <c r="AB527" s="238"/>
      <c r="AC527" s="238"/>
      <c r="AD527" s="240"/>
      <c r="AE527" s="241"/>
      <c r="AF527" s="241"/>
      <c r="AG527" s="238"/>
      <c r="AH527" s="240"/>
      <c r="AI527" s="241"/>
      <c r="AJ527" s="241"/>
      <c r="AK527" s="241"/>
      <c r="AL527" s="237"/>
      <c r="AM527" s="237"/>
      <c r="AN527" s="237"/>
      <c r="AO527" s="237"/>
      <c r="AP527" s="237"/>
      <c r="AQ527" s="237"/>
      <c r="AR527" s="237"/>
    </row>
    <row r="528">
      <c r="A528" s="228"/>
      <c r="B528" s="228"/>
      <c r="C528" s="228"/>
      <c r="D528" s="228"/>
      <c r="E528" s="228"/>
      <c r="F528" s="228"/>
      <c r="G528" s="228"/>
      <c r="H528" s="241"/>
      <c r="I528" s="228"/>
      <c r="J528" s="236"/>
      <c r="K528" s="228"/>
      <c r="L528" s="228"/>
      <c r="M528" s="238"/>
      <c r="N528" s="228"/>
      <c r="O528" s="235"/>
      <c r="P528" s="236"/>
      <c r="Q528" s="235"/>
      <c r="R528" s="235"/>
      <c r="S528" s="236"/>
      <c r="T528" s="236"/>
      <c r="U528" s="237"/>
      <c r="V528" s="237"/>
      <c r="W528" s="238"/>
      <c r="X528" s="237"/>
      <c r="Y528" s="237"/>
      <c r="Z528" s="237"/>
      <c r="AA528" s="239"/>
      <c r="AB528" s="238"/>
      <c r="AC528" s="238"/>
      <c r="AD528" s="240"/>
      <c r="AE528" s="241"/>
      <c r="AF528" s="241"/>
      <c r="AG528" s="238"/>
      <c r="AH528" s="240"/>
      <c r="AI528" s="241"/>
      <c r="AJ528" s="241"/>
      <c r="AK528" s="241"/>
      <c r="AL528" s="237"/>
      <c r="AM528" s="237"/>
      <c r="AN528" s="237"/>
      <c r="AO528" s="237"/>
      <c r="AP528" s="237"/>
      <c r="AQ528" s="237"/>
      <c r="AR528" s="237"/>
    </row>
    <row r="529">
      <c r="A529" s="228"/>
      <c r="B529" s="228"/>
      <c r="C529" s="228"/>
      <c r="D529" s="228"/>
      <c r="E529" s="228"/>
      <c r="F529" s="228"/>
      <c r="G529" s="228"/>
      <c r="H529" s="241"/>
      <c r="I529" s="228"/>
      <c r="J529" s="236"/>
      <c r="K529" s="228"/>
      <c r="L529" s="228"/>
      <c r="M529" s="238"/>
      <c r="N529" s="228"/>
      <c r="O529" s="235"/>
      <c r="P529" s="236"/>
      <c r="Q529" s="235"/>
      <c r="R529" s="235"/>
      <c r="S529" s="236"/>
      <c r="T529" s="236"/>
      <c r="U529" s="237"/>
      <c r="V529" s="237"/>
      <c r="W529" s="238"/>
      <c r="X529" s="237"/>
      <c r="Y529" s="237"/>
      <c r="Z529" s="237"/>
      <c r="AA529" s="239"/>
      <c r="AB529" s="238"/>
      <c r="AC529" s="238"/>
      <c r="AD529" s="240"/>
      <c r="AE529" s="241"/>
      <c r="AF529" s="241"/>
      <c r="AG529" s="238"/>
      <c r="AH529" s="240"/>
      <c r="AI529" s="241"/>
      <c r="AJ529" s="241"/>
      <c r="AK529" s="241"/>
      <c r="AL529" s="237"/>
      <c r="AM529" s="237"/>
      <c r="AN529" s="237"/>
      <c r="AO529" s="237"/>
      <c r="AP529" s="237"/>
      <c r="AQ529" s="237"/>
      <c r="AR529" s="237"/>
    </row>
    <row r="530">
      <c r="A530" s="228"/>
      <c r="B530" s="228"/>
      <c r="C530" s="228"/>
      <c r="D530" s="228"/>
      <c r="E530" s="228"/>
      <c r="F530" s="228"/>
      <c r="G530" s="228"/>
      <c r="H530" s="241"/>
      <c r="I530" s="228"/>
      <c r="J530" s="236"/>
      <c r="K530" s="228"/>
      <c r="L530" s="228"/>
      <c r="M530" s="238"/>
      <c r="N530" s="228"/>
      <c r="O530" s="235"/>
      <c r="P530" s="236"/>
      <c r="Q530" s="235"/>
      <c r="R530" s="235"/>
      <c r="S530" s="236"/>
      <c r="T530" s="236"/>
      <c r="U530" s="237"/>
      <c r="V530" s="237"/>
      <c r="W530" s="238"/>
      <c r="X530" s="237"/>
      <c r="Y530" s="237"/>
      <c r="Z530" s="237"/>
      <c r="AA530" s="239"/>
      <c r="AB530" s="238"/>
      <c r="AC530" s="238"/>
      <c r="AD530" s="240"/>
      <c r="AE530" s="241"/>
      <c r="AF530" s="241"/>
      <c r="AG530" s="238"/>
      <c r="AH530" s="240"/>
      <c r="AI530" s="241"/>
      <c r="AJ530" s="241"/>
      <c r="AK530" s="241"/>
      <c r="AL530" s="237"/>
      <c r="AM530" s="237"/>
      <c r="AN530" s="237"/>
      <c r="AO530" s="237"/>
      <c r="AP530" s="237"/>
      <c r="AQ530" s="237"/>
      <c r="AR530" s="237"/>
    </row>
    <row r="531">
      <c r="A531" s="228"/>
      <c r="B531" s="228"/>
      <c r="C531" s="228"/>
      <c r="D531" s="228"/>
      <c r="E531" s="228"/>
      <c r="F531" s="228"/>
      <c r="G531" s="228"/>
      <c r="H531" s="241"/>
      <c r="I531" s="228"/>
      <c r="J531" s="236"/>
      <c r="K531" s="228"/>
      <c r="L531" s="228"/>
      <c r="M531" s="238"/>
      <c r="N531" s="228"/>
      <c r="O531" s="235"/>
      <c r="P531" s="236"/>
      <c r="Q531" s="235"/>
      <c r="R531" s="235"/>
      <c r="S531" s="236"/>
      <c r="T531" s="236"/>
      <c r="U531" s="237"/>
      <c r="V531" s="237"/>
      <c r="W531" s="238"/>
      <c r="X531" s="237"/>
      <c r="Y531" s="237"/>
      <c r="Z531" s="237"/>
      <c r="AA531" s="239"/>
      <c r="AB531" s="238"/>
      <c r="AC531" s="238"/>
      <c r="AD531" s="240"/>
      <c r="AE531" s="241"/>
      <c r="AF531" s="241"/>
      <c r="AG531" s="238"/>
      <c r="AH531" s="240"/>
      <c r="AI531" s="241"/>
      <c r="AJ531" s="241"/>
      <c r="AK531" s="241"/>
      <c r="AL531" s="237"/>
      <c r="AM531" s="237"/>
      <c r="AN531" s="237"/>
      <c r="AO531" s="237"/>
      <c r="AP531" s="237"/>
      <c r="AQ531" s="237"/>
      <c r="AR531" s="237"/>
    </row>
    <row r="532">
      <c r="A532" s="228"/>
      <c r="B532" s="228"/>
      <c r="C532" s="228"/>
      <c r="D532" s="228"/>
      <c r="E532" s="228"/>
      <c r="F532" s="228"/>
      <c r="G532" s="228"/>
      <c r="H532" s="241"/>
      <c r="I532" s="228"/>
      <c r="J532" s="236"/>
      <c r="K532" s="228"/>
      <c r="L532" s="228"/>
      <c r="M532" s="238"/>
      <c r="N532" s="228"/>
      <c r="O532" s="235"/>
      <c r="P532" s="236"/>
      <c r="Q532" s="235"/>
      <c r="R532" s="235"/>
      <c r="S532" s="236"/>
      <c r="T532" s="236"/>
      <c r="U532" s="237"/>
      <c r="V532" s="237"/>
      <c r="W532" s="238"/>
      <c r="X532" s="237"/>
      <c r="Y532" s="237"/>
      <c r="Z532" s="237"/>
      <c r="AA532" s="239"/>
      <c r="AB532" s="238"/>
      <c r="AC532" s="238"/>
      <c r="AD532" s="240"/>
      <c r="AE532" s="241"/>
      <c r="AF532" s="241"/>
      <c r="AG532" s="238"/>
      <c r="AH532" s="240"/>
      <c r="AI532" s="241"/>
      <c r="AJ532" s="241"/>
      <c r="AK532" s="241"/>
      <c r="AL532" s="237"/>
      <c r="AM532" s="237"/>
      <c r="AN532" s="237"/>
      <c r="AO532" s="237"/>
      <c r="AP532" s="237"/>
      <c r="AQ532" s="237"/>
      <c r="AR532" s="237"/>
    </row>
    <row r="533">
      <c r="A533" s="228"/>
      <c r="B533" s="228"/>
      <c r="C533" s="228"/>
      <c r="D533" s="228"/>
      <c r="E533" s="228"/>
      <c r="F533" s="228"/>
      <c r="G533" s="228"/>
      <c r="H533" s="241"/>
      <c r="I533" s="228"/>
      <c r="J533" s="236"/>
      <c r="K533" s="228"/>
      <c r="L533" s="228"/>
      <c r="M533" s="238"/>
      <c r="N533" s="228"/>
      <c r="O533" s="235"/>
      <c r="P533" s="236"/>
      <c r="Q533" s="235"/>
      <c r="R533" s="235"/>
      <c r="S533" s="236"/>
      <c r="T533" s="236"/>
      <c r="U533" s="237"/>
      <c r="V533" s="237"/>
      <c r="W533" s="238"/>
      <c r="X533" s="237"/>
      <c r="Y533" s="237"/>
      <c r="Z533" s="237"/>
      <c r="AA533" s="239"/>
      <c r="AB533" s="238"/>
      <c r="AC533" s="238"/>
      <c r="AD533" s="240"/>
      <c r="AE533" s="241"/>
      <c r="AF533" s="241"/>
      <c r="AG533" s="238"/>
      <c r="AH533" s="240"/>
      <c r="AI533" s="241"/>
      <c r="AJ533" s="241"/>
      <c r="AK533" s="241"/>
      <c r="AL533" s="237"/>
      <c r="AM533" s="237"/>
      <c r="AN533" s="237"/>
      <c r="AO533" s="237"/>
      <c r="AP533" s="237"/>
      <c r="AQ533" s="237"/>
      <c r="AR533" s="237"/>
    </row>
    <row r="534">
      <c r="A534" s="228"/>
      <c r="B534" s="228"/>
      <c r="C534" s="228"/>
      <c r="D534" s="228"/>
      <c r="E534" s="228"/>
      <c r="F534" s="228"/>
      <c r="G534" s="228"/>
      <c r="H534" s="241"/>
      <c r="I534" s="228"/>
      <c r="J534" s="236"/>
      <c r="K534" s="228"/>
      <c r="L534" s="228"/>
      <c r="M534" s="238"/>
      <c r="N534" s="228"/>
      <c r="O534" s="235"/>
      <c r="P534" s="236"/>
      <c r="Q534" s="235"/>
      <c r="R534" s="235"/>
      <c r="S534" s="236"/>
      <c r="T534" s="236"/>
      <c r="U534" s="237"/>
      <c r="V534" s="237"/>
      <c r="W534" s="238"/>
      <c r="X534" s="237"/>
      <c r="Y534" s="237"/>
      <c r="Z534" s="237"/>
      <c r="AA534" s="239"/>
      <c r="AB534" s="238"/>
      <c r="AC534" s="238"/>
      <c r="AD534" s="240"/>
      <c r="AE534" s="241"/>
      <c r="AF534" s="241"/>
      <c r="AG534" s="238"/>
      <c r="AH534" s="240"/>
      <c r="AI534" s="241"/>
      <c r="AJ534" s="241"/>
      <c r="AK534" s="241"/>
      <c r="AL534" s="237"/>
      <c r="AM534" s="237"/>
      <c r="AN534" s="237"/>
      <c r="AO534" s="237"/>
      <c r="AP534" s="237"/>
      <c r="AQ534" s="237"/>
      <c r="AR534" s="237"/>
    </row>
    <row r="535">
      <c r="A535" s="228"/>
      <c r="B535" s="228"/>
      <c r="C535" s="228"/>
      <c r="D535" s="228"/>
      <c r="E535" s="228"/>
      <c r="F535" s="228"/>
      <c r="G535" s="228"/>
      <c r="H535" s="241"/>
      <c r="I535" s="228"/>
      <c r="J535" s="236"/>
      <c r="K535" s="228"/>
      <c r="L535" s="228"/>
      <c r="M535" s="238"/>
      <c r="N535" s="228"/>
      <c r="O535" s="235"/>
      <c r="P535" s="236"/>
      <c r="Q535" s="235"/>
      <c r="R535" s="235"/>
      <c r="S535" s="236"/>
      <c r="T535" s="236"/>
      <c r="U535" s="237"/>
      <c r="V535" s="237"/>
      <c r="W535" s="238"/>
      <c r="X535" s="237"/>
      <c r="Y535" s="237"/>
      <c r="Z535" s="237"/>
      <c r="AA535" s="239"/>
      <c r="AB535" s="238"/>
      <c r="AC535" s="238"/>
      <c r="AD535" s="240"/>
      <c r="AE535" s="241"/>
      <c r="AF535" s="241"/>
      <c r="AG535" s="238"/>
      <c r="AH535" s="240"/>
      <c r="AI535" s="241"/>
      <c r="AJ535" s="241"/>
      <c r="AK535" s="241"/>
      <c r="AL535" s="237"/>
      <c r="AM535" s="237"/>
      <c r="AN535" s="237"/>
      <c r="AO535" s="237"/>
      <c r="AP535" s="237"/>
      <c r="AQ535" s="237"/>
      <c r="AR535" s="237"/>
    </row>
    <row r="536">
      <c r="A536" s="228"/>
      <c r="B536" s="228"/>
      <c r="C536" s="228"/>
      <c r="D536" s="228"/>
      <c r="E536" s="228"/>
      <c r="F536" s="228"/>
      <c r="G536" s="228"/>
      <c r="H536" s="241"/>
      <c r="I536" s="228"/>
      <c r="J536" s="236"/>
      <c r="K536" s="228"/>
      <c r="L536" s="228"/>
      <c r="M536" s="238"/>
      <c r="N536" s="228"/>
      <c r="O536" s="235"/>
      <c r="P536" s="236"/>
      <c r="Q536" s="235"/>
      <c r="R536" s="235"/>
      <c r="S536" s="236"/>
      <c r="T536" s="236"/>
      <c r="U536" s="237"/>
      <c r="V536" s="237"/>
      <c r="W536" s="238"/>
      <c r="X536" s="237"/>
      <c r="Y536" s="237"/>
      <c r="Z536" s="237"/>
      <c r="AA536" s="239"/>
      <c r="AB536" s="238"/>
      <c r="AC536" s="238"/>
      <c r="AD536" s="240"/>
      <c r="AE536" s="241"/>
      <c r="AF536" s="241"/>
      <c r="AG536" s="238"/>
      <c r="AH536" s="240"/>
      <c r="AI536" s="241"/>
      <c r="AJ536" s="241"/>
      <c r="AK536" s="241"/>
      <c r="AL536" s="237"/>
      <c r="AM536" s="237"/>
      <c r="AN536" s="237"/>
      <c r="AO536" s="237"/>
      <c r="AP536" s="237"/>
      <c r="AQ536" s="237"/>
      <c r="AR536" s="237"/>
    </row>
    <row r="537">
      <c r="A537" s="228"/>
      <c r="B537" s="228"/>
      <c r="C537" s="228"/>
      <c r="D537" s="228"/>
      <c r="E537" s="228"/>
      <c r="F537" s="228"/>
      <c r="G537" s="228"/>
      <c r="H537" s="241"/>
      <c r="I537" s="228"/>
      <c r="J537" s="236"/>
      <c r="K537" s="228"/>
      <c r="L537" s="228"/>
      <c r="M537" s="238"/>
      <c r="N537" s="228"/>
      <c r="O537" s="235"/>
      <c r="P537" s="236"/>
      <c r="Q537" s="235"/>
      <c r="R537" s="235"/>
      <c r="S537" s="236"/>
      <c r="T537" s="236"/>
      <c r="U537" s="237"/>
      <c r="V537" s="237"/>
      <c r="W537" s="238"/>
      <c r="X537" s="237"/>
      <c r="Y537" s="237"/>
      <c r="Z537" s="237"/>
      <c r="AA537" s="239"/>
      <c r="AB537" s="238"/>
      <c r="AC537" s="238"/>
      <c r="AD537" s="240"/>
      <c r="AE537" s="241"/>
      <c r="AF537" s="241"/>
      <c r="AG537" s="238"/>
      <c r="AH537" s="240"/>
      <c r="AI537" s="241"/>
      <c r="AJ537" s="241"/>
      <c r="AK537" s="241"/>
      <c r="AL537" s="237"/>
      <c r="AM537" s="237"/>
      <c r="AN537" s="237"/>
      <c r="AO537" s="237"/>
      <c r="AP537" s="237"/>
      <c r="AQ537" s="237"/>
      <c r="AR537" s="237"/>
    </row>
    <row r="538">
      <c r="A538" s="228"/>
      <c r="B538" s="228"/>
      <c r="C538" s="228"/>
      <c r="D538" s="228"/>
      <c r="E538" s="228"/>
      <c r="F538" s="228"/>
      <c r="G538" s="228"/>
      <c r="H538" s="241"/>
      <c r="I538" s="228"/>
      <c r="J538" s="236"/>
      <c r="K538" s="228"/>
      <c r="L538" s="228"/>
      <c r="M538" s="238"/>
      <c r="N538" s="228"/>
      <c r="O538" s="235"/>
      <c r="P538" s="236"/>
      <c r="Q538" s="235"/>
      <c r="R538" s="235"/>
      <c r="S538" s="236"/>
      <c r="T538" s="236"/>
      <c r="U538" s="237"/>
      <c r="V538" s="237"/>
      <c r="W538" s="238"/>
      <c r="X538" s="237"/>
      <c r="Y538" s="237"/>
      <c r="Z538" s="237"/>
      <c r="AA538" s="239"/>
      <c r="AB538" s="238"/>
      <c r="AC538" s="238"/>
      <c r="AD538" s="240"/>
      <c r="AE538" s="241"/>
      <c r="AF538" s="241"/>
      <c r="AG538" s="238"/>
      <c r="AH538" s="240"/>
      <c r="AI538" s="241"/>
      <c r="AJ538" s="241"/>
      <c r="AK538" s="241"/>
      <c r="AL538" s="237"/>
      <c r="AM538" s="237"/>
      <c r="AN538" s="237"/>
      <c r="AO538" s="237"/>
      <c r="AP538" s="237"/>
      <c r="AQ538" s="237"/>
      <c r="AR538" s="237"/>
    </row>
    <row r="539">
      <c r="A539" s="228"/>
      <c r="B539" s="228"/>
      <c r="C539" s="228"/>
      <c r="D539" s="228"/>
      <c r="E539" s="228"/>
      <c r="F539" s="228"/>
      <c r="G539" s="228"/>
      <c r="H539" s="241"/>
      <c r="I539" s="228"/>
      <c r="J539" s="236"/>
      <c r="K539" s="228"/>
      <c r="L539" s="228"/>
      <c r="M539" s="238"/>
      <c r="N539" s="228"/>
      <c r="O539" s="235"/>
      <c r="P539" s="236"/>
      <c r="Q539" s="235"/>
      <c r="R539" s="235"/>
      <c r="S539" s="236"/>
      <c r="T539" s="236"/>
      <c r="U539" s="237"/>
      <c r="V539" s="237"/>
      <c r="W539" s="238"/>
      <c r="X539" s="237"/>
      <c r="Y539" s="237"/>
      <c r="Z539" s="237"/>
      <c r="AA539" s="239"/>
      <c r="AB539" s="238"/>
      <c r="AC539" s="238"/>
      <c r="AD539" s="240"/>
      <c r="AE539" s="241"/>
      <c r="AF539" s="241"/>
      <c r="AG539" s="238"/>
      <c r="AH539" s="240"/>
      <c r="AI539" s="241"/>
      <c r="AJ539" s="241"/>
      <c r="AK539" s="241"/>
      <c r="AL539" s="237"/>
      <c r="AM539" s="237"/>
      <c r="AN539" s="237"/>
      <c r="AO539" s="237"/>
      <c r="AP539" s="237"/>
      <c r="AQ539" s="237"/>
      <c r="AR539" s="237"/>
    </row>
    <row r="540">
      <c r="A540" s="228"/>
      <c r="B540" s="228"/>
      <c r="C540" s="228"/>
      <c r="D540" s="228"/>
      <c r="E540" s="228"/>
      <c r="F540" s="228"/>
      <c r="G540" s="228"/>
      <c r="H540" s="241"/>
      <c r="I540" s="228"/>
      <c r="J540" s="236"/>
      <c r="K540" s="228"/>
      <c r="L540" s="228"/>
      <c r="M540" s="238"/>
      <c r="N540" s="228"/>
      <c r="O540" s="235"/>
      <c r="P540" s="236"/>
      <c r="Q540" s="235"/>
      <c r="R540" s="235"/>
      <c r="S540" s="236"/>
      <c r="T540" s="236"/>
      <c r="U540" s="237"/>
      <c r="V540" s="237"/>
      <c r="W540" s="238"/>
      <c r="X540" s="237"/>
      <c r="Y540" s="237"/>
      <c r="Z540" s="237"/>
      <c r="AA540" s="239"/>
      <c r="AB540" s="238"/>
      <c r="AC540" s="238"/>
      <c r="AD540" s="240"/>
      <c r="AE540" s="241"/>
      <c r="AF540" s="241"/>
      <c r="AG540" s="238"/>
      <c r="AH540" s="240"/>
      <c r="AI540" s="241"/>
      <c r="AJ540" s="241"/>
      <c r="AK540" s="241"/>
      <c r="AL540" s="237"/>
      <c r="AM540" s="237"/>
      <c r="AN540" s="237"/>
      <c r="AO540" s="237"/>
      <c r="AP540" s="237"/>
      <c r="AQ540" s="237"/>
      <c r="AR540" s="237"/>
    </row>
    <row r="541">
      <c r="A541" s="228"/>
      <c r="B541" s="228"/>
      <c r="C541" s="228"/>
      <c r="D541" s="228"/>
      <c r="E541" s="228"/>
      <c r="F541" s="228"/>
      <c r="G541" s="228"/>
      <c r="H541" s="241"/>
      <c r="I541" s="228"/>
      <c r="J541" s="236"/>
      <c r="K541" s="228"/>
      <c r="L541" s="228"/>
      <c r="M541" s="238"/>
      <c r="N541" s="228"/>
      <c r="O541" s="235"/>
      <c r="P541" s="236"/>
      <c r="Q541" s="235"/>
      <c r="R541" s="235"/>
      <c r="S541" s="236"/>
      <c r="T541" s="236"/>
      <c r="U541" s="237"/>
      <c r="V541" s="237"/>
      <c r="W541" s="238"/>
      <c r="X541" s="237"/>
      <c r="Y541" s="237"/>
      <c r="Z541" s="237"/>
      <c r="AA541" s="239"/>
      <c r="AB541" s="238"/>
      <c r="AC541" s="238"/>
      <c r="AD541" s="240"/>
      <c r="AE541" s="241"/>
      <c r="AF541" s="241"/>
      <c r="AG541" s="238"/>
      <c r="AH541" s="240"/>
      <c r="AI541" s="241"/>
      <c r="AJ541" s="241"/>
      <c r="AK541" s="241"/>
      <c r="AL541" s="237"/>
      <c r="AM541" s="237"/>
      <c r="AN541" s="237"/>
      <c r="AO541" s="237"/>
      <c r="AP541" s="237"/>
      <c r="AQ541" s="237"/>
      <c r="AR541" s="237"/>
    </row>
    <row r="542">
      <c r="A542" s="228"/>
      <c r="B542" s="228"/>
      <c r="C542" s="228"/>
      <c r="D542" s="228"/>
      <c r="E542" s="228"/>
      <c r="F542" s="228"/>
      <c r="G542" s="228"/>
      <c r="H542" s="241"/>
      <c r="I542" s="228"/>
      <c r="J542" s="236"/>
      <c r="K542" s="228"/>
      <c r="L542" s="228"/>
      <c r="M542" s="238"/>
      <c r="N542" s="228"/>
      <c r="O542" s="235"/>
      <c r="P542" s="236"/>
      <c r="Q542" s="235"/>
      <c r="R542" s="235"/>
      <c r="S542" s="236"/>
      <c r="T542" s="236"/>
      <c r="U542" s="237"/>
      <c r="V542" s="237"/>
      <c r="W542" s="238"/>
      <c r="X542" s="237"/>
      <c r="Y542" s="237"/>
      <c r="Z542" s="237"/>
      <c r="AA542" s="239"/>
      <c r="AB542" s="238"/>
      <c r="AC542" s="238"/>
      <c r="AD542" s="240"/>
      <c r="AE542" s="241"/>
      <c r="AF542" s="241"/>
      <c r="AG542" s="238"/>
      <c r="AH542" s="240"/>
      <c r="AI542" s="241"/>
      <c r="AJ542" s="241"/>
      <c r="AK542" s="241"/>
      <c r="AL542" s="237"/>
      <c r="AM542" s="237"/>
      <c r="AN542" s="237"/>
      <c r="AO542" s="237"/>
      <c r="AP542" s="237"/>
      <c r="AQ542" s="237"/>
      <c r="AR542" s="237"/>
    </row>
    <row r="543">
      <c r="A543" s="228"/>
      <c r="B543" s="228"/>
      <c r="C543" s="228"/>
      <c r="D543" s="228"/>
      <c r="E543" s="228"/>
      <c r="F543" s="228"/>
      <c r="G543" s="228"/>
      <c r="H543" s="241"/>
      <c r="I543" s="228"/>
      <c r="J543" s="236"/>
      <c r="K543" s="228"/>
      <c r="L543" s="228"/>
      <c r="M543" s="238"/>
      <c r="N543" s="228"/>
      <c r="O543" s="235"/>
      <c r="P543" s="236"/>
      <c r="Q543" s="235"/>
      <c r="R543" s="235"/>
      <c r="S543" s="236"/>
      <c r="T543" s="236"/>
      <c r="U543" s="237"/>
      <c r="V543" s="237"/>
      <c r="W543" s="238"/>
      <c r="X543" s="237"/>
      <c r="Y543" s="237"/>
      <c r="Z543" s="237"/>
      <c r="AA543" s="239"/>
      <c r="AB543" s="238"/>
      <c r="AC543" s="238"/>
      <c r="AD543" s="240"/>
      <c r="AE543" s="241"/>
      <c r="AF543" s="241"/>
      <c r="AG543" s="238"/>
      <c r="AH543" s="240"/>
      <c r="AI543" s="241"/>
      <c r="AJ543" s="241"/>
      <c r="AK543" s="241"/>
      <c r="AL543" s="237"/>
      <c r="AM543" s="237"/>
      <c r="AN543" s="237"/>
      <c r="AO543" s="237"/>
      <c r="AP543" s="237"/>
      <c r="AQ543" s="237"/>
      <c r="AR543" s="237"/>
    </row>
    <row r="544">
      <c r="A544" s="228"/>
      <c r="B544" s="228"/>
      <c r="C544" s="228"/>
      <c r="D544" s="228"/>
      <c r="E544" s="228"/>
      <c r="F544" s="228"/>
      <c r="G544" s="228"/>
      <c r="H544" s="241"/>
      <c r="I544" s="228"/>
      <c r="J544" s="236"/>
      <c r="K544" s="228"/>
      <c r="L544" s="228"/>
      <c r="M544" s="238"/>
      <c r="N544" s="228"/>
      <c r="O544" s="235"/>
      <c r="P544" s="236"/>
      <c r="Q544" s="235"/>
      <c r="R544" s="235"/>
      <c r="S544" s="236"/>
      <c r="T544" s="236"/>
      <c r="U544" s="237"/>
      <c r="V544" s="237"/>
      <c r="W544" s="238"/>
      <c r="X544" s="237"/>
      <c r="Y544" s="237"/>
      <c r="Z544" s="237"/>
      <c r="AA544" s="239"/>
      <c r="AB544" s="238"/>
      <c r="AC544" s="238"/>
      <c r="AD544" s="240"/>
      <c r="AE544" s="241"/>
      <c r="AF544" s="241"/>
      <c r="AG544" s="238"/>
      <c r="AH544" s="240"/>
      <c r="AI544" s="241"/>
      <c r="AJ544" s="241"/>
      <c r="AK544" s="241"/>
      <c r="AL544" s="237"/>
      <c r="AM544" s="237"/>
      <c r="AN544" s="237"/>
      <c r="AO544" s="237"/>
      <c r="AP544" s="237"/>
      <c r="AQ544" s="237"/>
      <c r="AR544" s="237"/>
    </row>
    <row r="545">
      <c r="A545" s="228"/>
      <c r="B545" s="228"/>
      <c r="C545" s="228"/>
      <c r="D545" s="228"/>
      <c r="E545" s="228"/>
      <c r="F545" s="228"/>
      <c r="G545" s="228"/>
      <c r="H545" s="241"/>
      <c r="I545" s="228"/>
      <c r="J545" s="236"/>
      <c r="K545" s="228"/>
      <c r="L545" s="228"/>
      <c r="M545" s="238"/>
      <c r="N545" s="228"/>
      <c r="O545" s="235"/>
      <c r="P545" s="236"/>
      <c r="Q545" s="235"/>
      <c r="R545" s="235"/>
      <c r="S545" s="236"/>
      <c r="T545" s="236"/>
      <c r="U545" s="237"/>
      <c r="V545" s="237"/>
      <c r="W545" s="238"/>
      <c r="X545" s="237"/>
      <c r="Y545" s="237"/>
      <c r="Z545" s="237"/>
      <c r="AA545" s="239"/>
      <c r="AB545" s="238"/>
      <c r="AC545" s="238"/>
      <c r="AD545" s="240"/>
      <c r="AE545" s="241"/>
      <c r="AF545" s="241"/>
      <c r="AG545" s="238"/>
      <c r="AH545" s="240"/>
      <c r="AI545" s="241"/>
      <c r="AJ545" s="241"/>
      <c r="AK545" s="241"/>
      <c r="AL545" s="237"/>
      <c r="AM545" s="237"/>
      <c r="AN545" s="237"/>
      <c r="AO545" s="237"/>
      <c r="AP545" s="237"/>
      <c r="AQ545" s="237"/>
      <c r="AR545" s="237"/>
    </row>
    <row r="546">
      <c r="A546" s="228"/>
      <c r="B546" s="228"/>
      <c r="C546" s="228"/>
      <c r="D546" s="228"/>
      <c r="E546" s="228"/>
      <c r="F546" s="228"/>
      <c r="G546" s="228"/>
      <c r="H546" s="241"/>
      <c r="I546" s="228"/>
      <c r="J546" s="236"/>
      <c r="K546" s="228"/>
      <c r="L546" s="228"/>
      <c r="M546" s="238"/>
      <c r="N546" s="228"/>
      <c r="O546" s="235"/>
      <c r="P546" s="236"/>
      <c r="Q546" s="235"/>
      <c r="R546" s="235"/>
      <c r="S546" s="236"/>
      <c r="T546" s="236"/>
      <c r="U546" s="237"/>
      <c r="V546" s="237"/>
      <c r="W546" s="238"/>
      <c r="X546" s="237"/>
      <c r="Y546" s="237"/>
      <c r="Z546" s="237"/>
      <c r="AA546" s="239"/>
      <c r="AB546" s="238"/>
      <c r="AC546" s="238"/>
      <c r="AD546" s="240"/>
      <c r="AE546" s="241"/>
      <c r="AF546" s="241"/>
      <c r="AG546" s="238"/>
      <c r="AH546" s="240"/>
      <c r="AI546" s="241"/>
      <c r="AJ546" s="241"/>
      <c r="AK546" s="241"/>
      <c r="AL546" s="237"/>
      <c r="AM546" s="237"/>
      <c r="AN546" s="237"/>
      <c r="AO546" s="237"/>
      <c r="AP546" s="237"/>
      <c r="AQ546" s="237"/>
      <c r="AR546" s="237"/>
    </row>
    <row r="547">
      <c r="A547" s="228"/>
      <c r="B547" s="228"/>
      <c r="C547" s="228"/>
      <c r="D547" s="228"/>
      <c r="E547" s="228"/>
      <c r="F547" s="228"/>
      <c r="G547" s="228"/>
      <c r="H547" s="241"/>
      <c r="I547" s="228"/>
      <c r="J547" s="236"/>
      <c r="K547" s="228"/>
      <c r="L547" s="228"/>
      <c r="M547" s="238"/>
      <c r="N547" s="228"/>
      <c r="O547" s="235"/>
      <c r="P547" s="236"/>
      <c r="Q547" s="235"/>
      <c r="R547" s="235"/>
      <c r="S547" s="236"/>
      <c r="T547" s="236"/>
      <c r="U547" s="237"/>
      <c r="V547" s="237"/>
      <c r="W547" s="238"/>
      <c r="X547" s="237"/>
      <c r="Y547" s="237"/>
      <c r="Z547" s="237"/>
      <c r="AA547" s="239"/>
      <c r="AB547" s="238"/>
      <c r="AC547" s="238"/>
      <c r="AD547" s="240"/>
      <c r="AE547" s="241"/>
      <c r="AF547" s="241"/>
      <c r="AG547" s="238"/>
      <c r="AH547" s="240"/>
      <c r="AI547" s="241"/>
      <c r="AJ547" s="241"/>
      <c r="AK547" s="241"/>
      <c r="AL547" s="237"/>
      <c r="AM547" s="237"/>
      <c r="AN547" s="237"/>
      <c r="AO547" s="237"/>
      <c r="AP547" s="237"/>
      <c r="AQ547" s="237"/>
      <c r="AR547" s="237"/>
    </row>
    <row r="548">
      <c r="A548" s="228"/>
      <c r="B548" s="228"/>
      <c r="C548" s="228"/>
      <c r="D548" s="228"/>
      <c r="E548" s="228"/>
      <c r="F548" s="228"/>
      <c r="G548" s="228"/>
      <c r="H548" s="241"/>
      <c r="I548" s="228"/>
      <c r="J548" s="236"/>
      <c r="K548" s="228"/>
      <c r="L548" s="228"/>
      <c r="M548" s="238"/>
      <c r="N548" s="228"/>
      <c r="O548" s="235"/>
      <c r="P548" s="236"/>
      <c r="Q548" s="235"/>
      <c r="R548" s="235"/>
      <c r="S548" s="236"/>
      <c r="T548" s="236"/>
      <c r="U548" s="237"/>
      <c r="V548" s="237"/>
      <c r="W548" s="238"/>
      <c r="X548" s="237"/>
      <c r="Y548" s="237"/>
      <c r="Z548" s="237"/>
      <c r="AA548" s="239"/>
      <c r="AB548" s="238"/>
      <c r="AC548" s="238"/>
      <c r="AD548" s="240"/>
      <c r="AE548" s="241"/>
      <c r="AF548" s="241"/>
      <c r="AG548" s="238"/>
      <c r="AH548" s="240"/>
      <c r="AI548" s="241"/>
      <c r="AJ548" s="241"/>
      <c r="AK548" s="241"/>
      <c r="AL548" s="237"/>
      <c r="AM548" s="237"/>
      <c r="AN548" s="237"/>
      <c r="AO548" s="237"/>
      <c r="AP548" s="237"/>
      <c r="AQ548" s="237"/>
      <c r="AR548" s="237"/>
    </row>
    <row r="549">
      <c r="A549" s="228"/>
      <c r="B549" s="228"/>
      <c r="C549" s="228"/>
      <c r="D549" s="228"/>
      <c r="E549" s="228"/>
      <c r="F549" s="228"/>
      <c r="G549" s="228"/>
      <c r="H549" s="241"/>
      <c r="I549" s="228"/>
      <c r="J549" s="236"/>
      <c r="K549" s="228"/>
      <c r="L549" s="228"/>
      <c r="M549" s="238"/>
      <c r="N549" s="228"/>
      <c r="O549" s="235"/>
      <c r="P549" s="236"/>
      <c r="Q549" s="235"/>
      <c r="R549" s="235"/>
      <c r="S549" s="236"/>
      <c r="T549" s="236"/>
      <c r="U549" s="237"/>
      <c r="V549" s="237"/>
      <c r="W549" s="238"/>
      <c r="X549" s="237"/>
      <c r="Y549" s="237"/>
      <c r="Z549" s="237"/>
      <c r="AA549" s="239"/>
      <c r="AB549" s="238"/>
      <c r="AC549" s="238"/>
      <c r="AD549" s="240"/>
      <c r="AE549" s="241"/>
      <c r="AF549" s="241"/>
      <c r="AG549" s="238"/>
      <c r="AH549" s="240"/>
      <c r="AI549" s="241"/>
      <c r="AJ549" s="241"/>
      <c r="AK549" s="241"/>
      <c r="AL549" s="237"/>
      <c r="AM549" s="237"/>
      <c r="AN549" s="237"/>
      <c r="AO549" s="237"/>
      <c r="AP549" s="237"/>
      <c r="AQ549" s="237"/>
      <c r="AR549" s="237"/>
    </row>
    <row r="550">
      <c r="A550" s="228"/>
      <c r="B550" s="228"/>
      <c r="C550" s="228"/>
      <c r="D550" s="228"/>
      <c r="E550" s="228"/>
      <c r="F550" s="228"/>
      <c r="G550" s="228"/>
      <c r="H550" s="241"/>
      <c r="I550" s="228"/>
      <c r="J550" s="236"/>
      <c r="K550" s="228"/>
      <c r="L550" s="228"/>
      <c r="M550" s="238"/>
      <c r="N550" s="228"/>
      <c r="O550" s="235"/>
      <c r="P550" s="236"/>
      <c r="Q550" s="235"/>
      <c r="R550" s="235"/>
      <c r="S550" s="236"/>
      <c r="T550" s="236"/>
      <c r="U550" s="237"/>
      <c r="V550" s="237"/>
      <c r="W550" s="238"/>
      <c r="X550" s="237"/>
      <c r="Y550" s="237"/>
      <c r="Z550" s="237"/>
      <c r="AA550" s="239"/>
      <c r="AB550" s="238"/>
      <c r="AC550" s="238"/>
      <c r="AD550" s="240"/>
      <c r="AE550" s="241"/>
      <c r="AF550" s="241"/>
      <c r="AG550" s="238"/>
      <c r="AH550" s="240"/>
      <c r="AI550" s="241"/>
      <c r="AJ550" s="241"/>
      <c r="AK550" s="241"/>
      <c r="AL550" s="237"/>
      <c r="AM550" s="237"/>
      <c r="AN550" s="237"/>
      <c r="AO550" s="237"/>
      <c r="AP550" s="237"/>
      <c r="AQ550" s="237"/>
      <c r="AR550" s="237"/>
    </row>
    <row r="551">
      <c r="A551" s="228"/>
      <c r="B551" s="228"/>
      <c r="C551" s="228"/>
      <c r="D551" s="228"/>
      <c r="E551" s="228"/>
      <c r="F551" s="228"/>
      <c r="G551" s="228"/>
      <c r="H551" s="241"/>
      <c r="I551" s="228"/>
      <c r="J551" s="236"/>
      <c r="K551" s="228"/>
      <c r="L551" s="228"/>
      <c r="M551" s="238"/>
      <c r="N551" s="228"/>
      <c r="O551" s="235"/>
      <c r="P551" s="236"/>
      <c r="Q551" s="235"/>
      <c r="R551" s="235"/>
      <c r="S551" s="236"/>
      <c r="T551" s="236"/>
      <c r="U551" s="237"/>
      <c r="V551" s="237"/>
      <c r="W551" s="238"/>
      <c r="X551" s="237"/>
      <c r="Y551" s="237"/>
      <c r="Z551" s="237"/>
      <c r="AA551" s="239"/>
      <c r="AB551" s="238"/>
      <c r="AC551" s="238"/>
      <c r="AD551" s="240"/>
      <c r="AE551" s="241"/>
      <c r="AF551" s="241"/>
      <c r="AG551" s="238"/>
      <c r="AH551" s="240"/>
      <c r="AI551" s="241"/>
      <c r="AJ551" s="241"/>
      <c r="AK551" s="241"/>
      <c r="AL551" s="237"/>
      <c r="AM551" s="237"/>
      <c r="AN551" s="237"/>
      <c r="AO551" s="237"/>
      <c r="AP551" s="237"/>
      <c r="AQ551" s="237"/>
      <c r="AR551" s="237"/>
    </row>
    <row r="552">
      <c r="A552" s="228"/>
      <c r="B552" s="228"/>
      <c r="C552" s="228"/>
      <c r="D552" s="228"/>
      <c r="E552" s="228"/>
      <c r="F552" s="228"/>
      <c r="G552" s="228"/>
      <c r="H552" s="241"/>
      <c r="I552" s="228"/>
      <c r="J552" s="236"/>
      <c r="K552" s="228"/>
      <c r="L552" s="228"/>
      <c r="M552" s="238"/>
      <c r="N552" s="228"/>
      <c r="O552" s="235"/>
      <c r="P552" s="236"/>
      <c r="Q552" s="235"/>
      <c r="R552" s="235"/>
      <c r="S552" s="236"/>
      <c r="T552" s="236"/>
      <c r="U552" s="237"/>
      <c r="V552" s="237"/>
      <c r="W552" s="238"/>
      <c r="X552" s="237"/>
      <c r="Y552" s="237"/>
      <c r="Z552" s="237"/>
      <c r="AA552" s="239"/>
      <c r="AB552" s="238"/>
      <c r="AC552" s="238"/>
      <c r="AD552" s="240"/>
      <c r="AE552" s="241"/>
      <c r="AF552" s="241"/>
      <c r="AG552" s="238"/>
      <c r="AH552" s="240"/>
      <c r="AI552" s="241"/>
      <c r="AJ552" s="241"/>
      <c r="AK552" s="241"/>
      <c r="AL552" s="237"/>
      <c r="AM552" s="237"/>
      <c r="AN552" s="237"/>
      <c r="AO552" s="237"/>
      <c r="AP552" s="237"/>
      <c r="AQ552" s="237"/>
      <c r="AR552" s="237"/>
    </row>
    <row r="553">
      <c r="A553" s="228"/>
      <c r="B553" s="228"/>
      <c r="C553" s="228"/>
      <c r="D553" s="228"/>
      <c r="E553" s="228"/>
      <c r="F553" s="228"/>
      <c r="G553" s="228"/>
      <c r="H553" s="241"/>
      <c r="I553" s="228"/>
      <c r="J553" s="236"/>
      <c r="K553" s="228"/>
      <c r="L553" s="228"/>
      <c r="M553" s="238"/>
      <c r="N553" s="228"/>
      <c r="O553" s="235"/>
      <c r="P553" s="236"/>
      <c r="Q553" s="235"/>
      <c r="R553" s="235"/>
      <c r="S553" s="236"/>
      <c r="T553" s="236"/>
      <c r="U553" s="237"/>
      <c r="V553" s="237"/>
      <c r="W553" s="238"/>
      <c r="X553" s="237"/>
      <c r="Y553" s="237"/>
      <c r="Z553" s="237"/>
      <c r="AA553" s="239"/>
      <c r="AB553" s="238"/>
      <c r="AC553" s="238"/>
      <c r="AD553" s="240"/>
      <c r="AE553" s="241"/>
      <c r="AF553" s="241"/>
      <c r="AG553" s="238"/>
      <c r="AH553" s="240"/>
      <c r="AI553" s="241"/>
      <c r="AJ553" s="241"/>
      <c r="AK553" s="241"/>
      <c r="AL553" s="237"/>
      <c r="AM553" s="237"/>
      <c r="AN553" s="237"/>
      <c r="AO553" s="237"/>
      <c r="AP553" s="237"/>
      <c r="AQ553" s="237"/>
      <c r="AR553" s="237"/>
    </row>
    <row r="554">
      <c r="A554" s="228"/>
      <c r="B554" s="228"/>
      <c r="C554" s="228"/>
      <c r="D554" s="228"/>
      <c r="E554" s="228"/>
      <c r="F554" s="228"/>
      <c r="G554" s="228"/>
      <c r="H554" s="241"/>
      <c r="I554" s="228"/>
      <c r="J554" s="236"/>
      <c r="K554" s="228"/>
      <c r="L554" s="228"/>
      <c r="M554" s="238"/>
      <c r="N554" s="228"/>
      <c r="O554" s="235"/>
      <c r="P554" s="236"/>
      <c r="Q554" s="235"/>
      <c r="R554" s="235"/>
      <c r="S554" s="236"/>
      <c r="T554" s="236"/>
      <c r="U554" s="237"/>
      <c r="V554" s="237"/>
      <c r="W554" s="238"/>
      <c r="X554" s="237"/>
      <c r="Y554" s="237"/>
      <c r="Z554" s="237"/>
      <c r="AA554" s="239"/>
      <c r="AB554" s="238"/>
      <c r="AC554" s="238"/>
      <c r="AD554" s="240"/>
      <c r="AE554" s="241"/>
      <c r="AF554" s="241"/>
      <c r="AG554" s="238"/>
      <c r="AH554" s="240"/>
      <c r="AI554" s="241"/>
      <c r="AJ554" s="241"/>
      <c r="AK554" s="241"/>
      <c r="AL554" s="237"/>
      <c r="AM554" s="237"/>
      <c r="AN554" s="237"/>
      <c r="AO554" s="237"/>
      <c r="AP554" s="237"/>
      <c r="AQ554" s="237"/>
      <c r="AR554" s="237"/>
    </row>
    <row r="555">
      <c r="A555" s="228"/>
      <c r="B555" s="228"/>
      <c r="C555" s="228"/>
      <c r="D555" s="228"/>
      <c r="E555" s="228"/>
      <c r="F555" s="228"/>
      <c r="G555" s="228"/>
      <c r="H555" s="241"/>
      <c r="I555" s="228"/>
      <c r="J555" s="236"/>
      <c r="K555" s="228"/>
      <c r="L555" s="228"/>
      <c r="M555" s="238"/>
      <c r="N555" s="228"/>
      <c r="O555" s="235"/>
      <c r="P555" s="236"/>
      <c r="Q555" s="235"/>
      <c r="R555" s="235"/>
      <c r="S555" s="236"/>
      <c r="T555" s="236"/>
      <c r="U555" s="237"/>
      <c r="V555" s="237"/>
      <c r="W555" s="238"/>
      <c r="X555" s="237"/>
      <c r="Y555" s="237"/>
      <c r="Z555" s="237"/>
      <c r="AA555" s="239"/>
      <c r="AB555" s="238"/>
      <c r="AC555" s="238"/>
      <c r="AD555" s="240"/>
      <c r="AE555" s="241"/>
      <c r="AF555" s="241"/>
      <c r="AG555" s="238"/>
      <c r="AH555" s="240"/>
      <c r="AI555" s="241"/>
      <c r="AJ555" s="241"/>
      <c r="AK555" s="241"/>
      <c r="AL555" s="237"/>
      <c r="AM555" s="237"/>
      <c r="AN555" s="237"/>
      <c r="AO555" s="237"/>
      <c r="AP555" s="237"/>
      <c r="AQ555" s="237"/>
      <c r="AR555" s="237"/>
    </row>
    <row r="556">
      <c r="A556" s="228"/>
      <c r="B556" s="228"/>
      <c r="C556" s="228"/>
      <c r="D556" s="228"/>
      <c r="E556" s="228"/>
      <c r="F556" s="228"/>
      <c r="G556" s="228"/>
      <c r="H556" s="241"/>
      <c r="I556" s="228"/>
      <c r="J556" s="236"/>
      <c r="K556" s="228"/>
      <c r="L556" s="228"/>
      <c r="M556" s="238"/>
      <c r="N556" s="228"/>
      <c r="O556" s="235"/>
      <c r="P556" s="236"/>
      <c r="Q556" s="235"/>
      <c r="R556" s="235"/>
      <c r="S556" s="236"/>
      <c r="T556" s="236"/>
      <c r="U556" s="237"/>
      <c r="V556" s="237"/>
      <c r="W556" s="238"/>
      <c r="X556" s="237"/>
      <c r="Y556" s="237"/>
      <c r="Z556" s="237"/>
      <c r="AA556" s="239"/>
      <c r="AB556" s="238"/>
      <c r="AC556" s="238"/>
      <c r="AD556" s="240"/>
      <c r="AE556" s="241"/>
      <c r="AF556" s="241"/>
      <c r="AG556" s="238"/>
      <c r="AH556" s="240"/>
      <c r="AI556" s="241"/>
      <c r="AJ556" s="241"/>
      <c r="AK556" s="241"/>
      <c r="AL556" s="237"/>
      <c r="AM556" s="237"/>
      <c r="AN556" s="237"/>
      <c r="AO556" s="237"/>
      <c r="AP556" s="237"/>
      <c r="AQ556" s="237"/>
      <c r="AR556" s="237"/>
    </row>
    <row r="557">
      <c r="A557" s="228"/>
      <c r="B557" s="228"/>
      <c r="C557" s="228"/>
      <c r="D557" s="228"/>
      <c r="E557" s="228"/>
      <c r="F557" s="228"/>
      <c r="G557" s="228"/>
      <c r="H557" s="241"/>
      <c r="I557" s="228"/>
      <c r="J557" s="236"/>
      <c r="K557" s="228"/>
      <c r="L557" s="228"/>
      <c r="M557" s="238"/>
      <c r="N557" s="228"/>
      <c r="O557" s="235"/>
      <c r="P557" s="236"/>
      <c r="Q557" s="235"/>
      <c r="R557" s="235"/>
      <c r="S557" s="236"/>
      <c r="T557" s="236"/>
      <c r="U557" s="237"/>
      <c r="V557" s="237"/>
      <c r="W557" s="238"/>
      <c r="X557" s="237"/>
      <c r="Y557" s="237"/>
      <c r="Z557" s="237"/>
      <c r="AA557" s="239"/>
      <c r="AB557" s="238"/>
      <c r="AC557" s="238"/>
      <c r="AD557" s="240"/>
      <c r="AE557" s="241"/>
      <c r="AF557" s="241"/>
      <c r="AG557" s="238"/>
      <c r="AH557" s="240"/>
      <c r="AI557" s="241"/>
      <c r="AJ557" s="241"/>
      <c r="AK557" s="241"/>
      <c r="AL557" s="237"/>
      <c r="AM557" s="237"/>
      <c r="AN557" s="237"/>
      <c r="AO557" s="237"/>
      <c r="AP557" s="237"/>
      <c r="AQ557" s="237"/>
      <c r="AR557" s="237"/>
    </row>
    <row r="558">
      <c r="A558" s="228"/>
      <c r="B558" s="228"/>
      <c r="C558" s="228"/>
      <c r="D558" s="228"/>
      <c r="E558" s="228"/>
      <c r="F558" s="228"/>
      <c r="G558" s="228"/>
      <c r="H558" s="241"/>
      <c r="I558" s="228"/>
      <c r="J558" s="236"/>
      <c r="K558" s="228"/>
      <c r="L558" s="228"/>
      <c r="M558" s="238"/>
      <c r="N558" s="228"/>
      <c r="O558" s="235"/>
      <c r="P558" s="236"/>
      <c r="Q558" s="235"/>
      <c r="R558" s="235"/>
      <c r="S558" s="236"/>
      <c r="T558" s="236"/>
      <c r="U558" s="237"/>
      <c r="V558" s="237"/>
      <c r="W558" s="238"/>
      <c r="X558" s="237"/>
      <c r="Y558" s="237"/>
      <c r="Z558" s="237"/>
      <c r="AA558" s="239"/>
      <c r="AB558" s="238"/>
      <c r="AC558" s="238"/>
      <c r="AD558" s="240"/>
      <c r="AE558" s="241"/>
      <c r="AF558" s="241"/>
      <c r="AG558" s="238"/>
      <c r="AH558" s="240"/>
      <c r="AI558" s="241"/>
      <c r="AJ558" s="241"/>
      <c r="AK558" s="241"/>
      <c r="AL558" s="237"/>
      <c r="AM558" s="237"/>
      <c r="AN558" s="237"/>
      <c r="AO558" s="237"/>
      <c r="AP558" s="237"/>
      <c r="AQ558" s="237"/>
      <c r="AR558" s="237"/>
    </row>
    <row r="559">
      <c r="A559" s="228"/>
      <c r="B559" s="228"/>
      <c r="C559" s="228"/>
      <c r="D559" s="228"/>
      <c r="E559" s="228"/>
      <c r="F559" s="228"/>
      <c r="G559" s="228"/>
      <c r="H559" s="241"/>
      <c r="I559" s="228"/>
      <c r="J559" s="236"/>
      <c r="K559" s="228"/>
      <c r="L559" s="228"/>
      <c r="M559" s="238"/>
      <c r="N559" s="228"/>
      <c r="O559" s="235"/>
      <c r="P559" s="236"/>
      <c r="Q559" s="235"/>
      <c r="R559" s="235"/>
      <c r="S559" s="236"/>
      <c r="T559" s="236"/>
      <c r="U559" s="237"/>
      <c r="V559" s="237"/>
      <c r="W559" s="238"/>
      <c r="X559" s="237"/>
      <c r="Y559" s="237"/>
      <c r="Z559" s="237"/>
      <c r="AA559" s="239"/>
      <c r="AB559" s="238"/>
      <c r="AC559" s="238"/>
      <c r="AD559" s="240"/>
      <c r="AE559" s="241"/>
      <c r="AF559" s="241"/>
      <c r="AG559" s="238"/>
      <c r="AH559" s="240"/>
      <c r="AI559" s="241"/>
      <c r="AJ559" s="241"/>
      <c r="AK559" s="241"/>
      <c r="AL559" s="237"/>
      <c r="AM559" s="237"/>
      <c r="AN559" s="237"/>
      <c r="AO559" s="237"/>
      <c r="AP559" s="237"/>
      <c r="AQ559" s="237"/>
      <c r="AR559" s="237"/>
    </row>
    <row r="560">
      <c r="A560" s="228"/>
      <c r="B560" s="228"/>
      <c r="C560" s="228"/>
      <c r="D560" s="228"/>
      <c r="E560" s="228"/>
      <c r="F560" s="228"/>
      <c r="G560" s="228"/>
      <c r="H560" s="241"/>
      <c r="I560" s="228"/>
      <c r="J560" s="236"/>
      <c r="K560" s="228"/>
      <c r="L560" s="228"/>
      <c r="M560" s="238"/>
      <c r="N560" s="228"/>
      <c r="O560" s="235"/>
      <c r="P560" s="236"/>
      <c r="Q560" s="235"/>
      <c r="R560" s="235"/>
      <c r="S560" s="236"/>
      <c r="T560" s="236"/>
      <c r="U560" s="237"/>
      <c r="V560" s="237"/>
      <c r="W560" s="238"/>
      <c r="X560" s="237"/>
      <c r="Y560" s="237"/>
      <c r="Z560" s="237"/>
      <c r="AA560" s="239"/>
      <c r="AB560" s="238"/>
      <c r="AC560" s="238"/>
      <c r="AD560" s="240"/>
      <c r="AE560" s="241"/>
      <c r="AF560" s="241"/>
      <c r="AG560" s="238"/>
      <c r="AH560" s="240"/>
      <c r="AI560" s="241"/>
      <c r="AJ560" s="241"/>
      <c r="AK560" s="241"/>
      <c r="AL560" s="237"/>
      <c r="AM560" s="237"/>
      <c r="AN560" s="237"/>
      <c r="AO560" s="237"/>
      <c r="AP560" s="237"/>
      <c r="AQ560" s="237"/>
      <c r="AR560" s="237"/>
    </row>
    <row r="561">
      <c r="A561" s="228"/>
      <c r="B561" s="228"/>
      <c r="C561" s="228"/>
      <c r="D561" s="228"/>
      <c r="E561" s="228"/>
      <c r="F561" s="228"/>
      <c r="G561" s="228"/>
      <c r="H561" s="241"/>
      <c r="I561" s="228"/>
      <c r="J561" s="236"/>
      <c r="K561" s="228"/>
      <c r="L561" s="228"/>
      <c r="M561" s="238"/>
      <c r="N561" s="228"/>
      <c r="O561" s="235"/>
      <c r="P561" s="236"/>
      <c r="Q561" s="235"/>
      <c r="R561" s="235"/>
      <c r="S561" s="236"/>
      <c r="T561" s="236"/>
      <c r="U561" s="237"/>
      <c r="V561" s="237"/>
      <c r="W561" s="238"/>
      <c r="X561" s="237"/>
      <c r="Y561" s="237"/>
      <c r="Z561" s="237"/>
      <c r="AA561" s="239"/>
      <c r="AB561" s="238"/>
      <c r="AC561" s="238"/>
      <c r="AD561" s="240"/>
      <c r="AE561" s="241"/>
      <c r="AF561" s="241"/>
      <c r="AG561" s="238"/>
      <c r="AH561" s="240"/>
      <c r="AI561" s="241"/>
      <c r="AJ561" s="241"/>
      <c r="AK561" s="241"/>
      <c r="AL561" s="237"/>
      <c r="AM561" s="237"/>
      <c r="AN561" s="237"/>
      <c r="AO561" s="237"/>
      <c r="AP561" s="237"/>
      <c r="AQ561" s="237"/>
      <c r="AR561" s="237"/>
    </row>
    <row r="562">
      <c r="A562" s="228"/>
      <c r="B562" s="228"/>
      <c r="C562" s="228"/>
      <c r="D562" s="228"/>
      <c r="E562" s="228"/>
      <c r="F562" s="228"/>
      <c r="G562" s="228"/>
      <c r="H562" s="241"/>
      <c r="I562" s="228"/>
      <c r="J562" s="236"/>
      <c r="K562" s="228"/>
      <c r="L562" s="228"/>
      <c r="M562" s="238"/>
      <c r="N562" s="228"/>
      <c r="O562" s="235"/>
      <c r="P562" s="236"/>
      <c r="Q562" s="235"/>
      <c r="R562" s="235"/>
      <c r="S562" s="236"/>
      <c r="T562" s="236"/>
      <c r="U562" s="237"/>
      <c r="V562" s="237"/>
      <c r="W562" s="238"/>
      <c r="X562" s="237"/>
      <c r="Y562" s="237"/>
      <c r="Z562" s="237"/>
      <c r="AA562" s="239"/>
      <c r="AB562" s="238"/>
      <c r="AC562" s="238"/>
      <c r="AD562" s="240"/>
      <c r="AE562" s="241"/>
      <c r="AF562" s="241"/>
      <c r="AG562" s="238"/>
      <c r="AH562" s="240"/>
      <c r="AI562" s="241"/>
      <c r="AJ562" s="241"/>
      <c r="AK562" s="241"/>
      <c r="AL562" s="237"/>
      <c r="AM562" s="237"/>
      <c r="AN562" s="237"/>
      <c r="AO562" s="237"/>
      <c r="AP562" s="237"/>
      <c r="AQ562" s="237"/>
      <c r="AR562" s="237"/>
    </row>
    <row r="563">
      <c r="A563" s="228"/>
      <c r="B563" s="228"/>
      <c r="C563" s="228"/>
      <c r="D563" s="228"/>
      <c r="E563" s="228"/>
      <c r="F563" s="228"/>
      <c r="G563" s="228"/>
      <c r="H563" s="241"/>
      <c r="I563" s="228"/>
      <c r="J563" s="236"/>
      <c r="K563" s="228"/>
      <c r="L563" s="228"/>
      <c r="M563" s="238"/>
      <c r="N563" s="228"/>
      <c r="O563" s="235"/>
      <c r="P563" s="236"/>
      <c r="Q563" s="235"/>
      <c r="R563" s="235"/>
      <c r="S563" s="236"/>
      <c r="T563" s="236"/>
      <c r="U563" s="237"/>
      <c r="V563" s="237"/>
      <c r="W563" s="238"/>
      <c r="X563" s="237"/>
      <c r="Y563" s="237"/>
      <c r="Z563" s="237"/>
      <c r="AA563" s="239"/>
      <c r="AB563" s="238"/>
      <c r="AC563" s="238"/>
      <c r="AD563" s="240"/>
      <c r="AE563" s="241"/>
      <c r="AF563" s="241"/>
      <c r="AG563" s="238"/>
      <c r="AH563" s="240"/>
      <c r="AI563" s="241"/>
      <c r="AJ563" s="241"/>
      <c r="AK563" s="241"/>
      <c r="AL563" s="237"/>
      <c r="AM563" s="237"/>
      <c r="AN563" s="237"/>
      <c r="AO563" s="237"/>
      <c r="AP563" s="237"/>
      <c r="AQ563" s="237"/>
      <c r="AR563" s="237"/>
    </row>
    <row r="564">
      <c r="A564" s="228"/>
      <c r="B564" s="228"/>
      <c r="C564" s="228"/>
      <c r="D564" s="228"/>
      <c r="E564" s="228"/>
      <c r="F564" s="228"/>
      <c r="G564" s="228"/>
      <c r="H564" s="241"/>
      <c r="I564" s="228"/>
      <c r="J564" s="236"/>
      <c r="K564" s="228"/>
      <c r="L564" s="228"/>
      <c r="M564" s="238"/>
      <c r="N564" s="228"/>
      <c r="O564" s="235"/>
      <c r="P564" s="236"/>
      <c r="Q564" s="235"/>
      <c r="R564" s="235"/>
      <c r="S564" s="236"/>
      <c r="T564" s="236"/>
      <c r="U564" s="237"/>
      <c r="V564" s="237"/>
      <c r="W564" s="238"/>
      <c r="X564" s="237"/>
      <c r="Y564" s="237"/>
      <c r="Z564" s="237"/>
      <c r="AA564" s="239"/>
      <c r="AB564" s="238"/>
      <c r="AC564" s="238"/>
      <c r="AD564" s="240"/>
      <c r="AE564" s="241"/>
      <c r="AF564" s="241"/>
      <c r="AG564" s="238"/>
      <c r="AH564" s="240"/>
      <c r="AI564" s="241"/>
      <c r="AJ564" s="241"/>
      <c r="AK564" s="241"/>
      <c r="AL564" s="237"/>
      <c r="AM564" s="237"/>
      <c r="AN564" s="237"/>
      <c r="AO564" s="237"/>
      <c r="AP564" s="237"/>
      <c r="AQ564" s="237"/>
      <c r="AR564" s="237"/>
    </row>
    <row r="565">
      <c r="A565" s="228"/>
      <c r="B565" s="228"/>
      <c r="C565" s="228"/>
      <c r="D565" s="228"/>
      <c r="E565" s="228"/>
      <c r="F565" s="228"/>
      <c r="G565" s="228"/>
      <c r="H565" s="241"/>
      <c r="I565" s="228"/>
      <c r="J565" s="236"/>
      <c r="K565" s="228"/>
      <c r="L565" s="228"/>
      <c r="M565" s="238"/>
      <c r="N565" s="228"/>
      <c r="O565" s="235"/>
      <c r="P565" s="236"/>
      <c r="Q565" s="235"/>
      <c r="R565" s="235"/>
      <c r="S565" s="236"/>
      <c r="T565" s="236"/>
      <c r="U565" s="237"/>
      <c r="V565" s="237"/>
      <c r="W565" s="238"/>
      <c r="X565" s="237"/>
      <c r="Y565" s="237"/>
      <c r="Z565" s="237"/>
      <c r="AA565" s="239"/>
      <c r="AB565" s="238"/>
      <c r="AC565" s="238"/>
      <c r="AD565" s="240"/>
      <c r="AE565" s="241"/>
      <c r="AF565" s="241"/>
      <c r="AG565" s="238"/>
      <c r="AH565" s="240"/>
      <c r="AI565" s="241"/>
      <c r="AJ565" s="241"/>
      <c r="AK565" s="241"/>
      <c r="AL565" s="237"/>
      <c r="AM565" s="237"/>
      <c r="AN565" s="237"/>
      <c r="AO565" s="237"/>
      <c r="AP565" s="237"/>
      <c r="AQ565" s="237"/>
      <c r="AR565" s="237"/>
    </row>
    <row r="566">
      <c r="A566" s="228"/>
      <c r="B566" s="228"/>
      <c r="C566" s="228"/>
      <c r="D566" s="228"/>
      <c r="E566" s="228"/>
      <c r="F566" s="228"/>
      <c r="G566" s="228"/>
      <c r="H566" s="241"/>
      <c r="I566" s="228"/>
      <c r="J566" s="236"/>
      <c r="K566" s="228"/>
      <c r="L566" s="228"/>
      <c r="M566" s="238"/>
      <c r="N566" s="228"/>
      <c r="O566" s="235"/>
      <c r="P566" s="236"/>
      <c r="Q566" s="235"/>
      <c r="R566" s="235"/>
      <c r="S566" s="236"/>
      <c r="T566" s="236"/>
      <c r="U566" s="237"/>
      <c r="V566" s="237"/>
      <c r="W566" s="238"/>
      <c r="X566" s="237"/>
      <c r="Y566" s="237"/>
      <c r="Z566" s="237"/>
      <c r="AA566" s="239"/>
      <c r="AB566" s="238"/>
      <c r="AC566" s="238"/>
      <c r="AD566" s="240"/>
      <c r="AE566" s="241"/>
      <c r="AF566" s="241"/>
      <c r="AG566" s="238"/>
      <c r="AH566" s="240"/>
      <c r="AI566" s="241"/>
      <c r="AJ566" s="241"/>
      <c r="AK566" s="241"/>
      <c r="AL566" s="237"/>
      <c r="AM566" s="237"/>
      <c r="AN566" s="237"/>
      <c r="AO566" s="237"/>
      <c r="AP566" s="237"/>
      <c r="AQ566" s="237"/>
      <c r="AR566" s="237"/>
    </row>
    <row r="567">
      <c r="A567" s="228"/>
      <c r="B567" s="228"/>
      <c r="C567" s="228"/>
      <c r="D567" s="228"/>
      <c r="E567" s="228"/>
      <c r="F567" s="228"/>
      <c r="G567" s="228"/>
      <c r="H567" s="241"/>
      <c r="I567" s="228"/>
      <c r="J567" s="236"/>
      <c r="K567" s="228"/>
      <c r="L567" s="228"/>
      <c r="M567" s="238"/>
      <c r="N567" s="228"/>
      <c r="O567" s="235"/>
      <c r="P567" s="236"/>
      <c r="Q567" s="235"/>
      <c r="R567" s="235"/>
      <c r="S567" s="236"/>
      <c r="T567" s="236"/>
      <c r="U567" s="237"/>
      <c r="V567" s="237"/>
      <c r="W567" s="238"/>
      <c r="X567" s="237"/>
      <c r="Y567" s="237"/>
      <c r="Z567" s="237"/>
      <c r="AA567" s="239"/>
      <c r="AB567" s="238"/>
      <c r="AC567" s="238"/>
      <c r="AD567" s="240"/>
      <c r="AE567" s="241"/>
      <c r="AF567" s="241"/>
      <c r="AG567" s="238"/>
      <c r="AH567" s="240"/>
      <c r="AI567" s="241"/>
      <c r="AJ567" s="241"/>
      <c r="AK567" s="241"/>
      <c r="AL567" s="237"/>
      <c r="AM567" s="237"/>
      <c r="AN567" s="237"/>
      <c r="AO567" s="237"/>
      <c r="AP567" s="237"/>
      <c r="AQ567" s="237"/>
      <c r="AR567" s="237"/>
    </row>
    <row r="568">
      <c r="A568" s="228"/>
      <c r="B568" s="228"/>
      <c r="C568" s="228"/>
      <c r="D568" s="228"/>
      <c r="E568" s="228"/>
      <c r="F568" s="228"/>
      <c r="G568" s="228"/>
      <c r="H568" s="241"/>
      <c r="I568" s="228"/>
      <c r="J568" s="236"/>
      <c r="K568" s="228"/>
      <c r="L568" s="228"/>
      <c r="M568" s="238"/>
      <c r="N568" s="228"/>
      <c r="O568" s="235"/>
      <c r="P568" s="236"/>
      <c r="Q568" s="235"/>
      <c r="R568" s="235"/>
      <c r="S568" s="236"/>
      <c r="T568" s="236"/>
      <c r="U568" s="237"/>
      <c r="V568" s="237"/>
      <c r="W568" s="238"/>
      <c r="X568" s="237"/>
      <c r="Y568" s="237"/>
      <c r="Z568" s="237"/>
      <c r="AA568" s="239"/>
      <c r="AB568" s="238"/>
      <c r="AC568" s="238"/>
      <c r="AD568" s="240"/>
      <c r="AE568" s="241"/>
      <c r="AF568" s="241"/>
      <c r="AG568" s="238"/>
      <c r="AH568" s="240"/>
      <c r="AI568" s="241"/>
      <c r="AJ568" s="241"/>
      <c r="AK568" s="241"/>
      <c r="AL568" s="237"/>
      <c r="AM568" s="237"/>
      <c r="AN568" s="237"/>
      <c r="AO568" s="237"/>
      <c r="AP568" s="237"/>
      <c r="AQ568" s="237"/>
      <c r="AR568" s="237"/>
    </row>
    <row r="569">
      <c r="A569" s="228"/>
      <c r="B569" s="228"/>
      <c r="C569" s="228"/>
      <c r="D569" s="228"/>
      <c r="E569" s="228"/>
      <c r="F569" s="228"/>
      <c r="G569" s="228"/>
      <c r="H569" s="241"/>
      <c r="I569" s="228"/>
      <c r="J569" s="236"/>
      <c r="K569" s="228"/>
      <c r="L569" s="228"/>
      <c r="M569" s="238"/>
      <c r="N569" s="228"/>
      <c r="O569" s="235"/>
      <c r="P569" s="236"/>
      <c r="Q569" s="235"/>
      <c r="R569" s="235"/>
      <c r="S569" s="236"/>
      <c r="T569" s="236"/>
      <c r="U569" s="237"/>
      <c r="V569" s="237"/>
      <c r="W569" s="238"/>
      <c r="X569" s="237"/>
      <c r="Y569" s="237"/>
      <c r="Z569" s="237"/>
      <c r="AA569" s="239"/>
      <c r="AB569" s="238"/>
      <c r="AC569" s="238"/>
      <c r="AD569" s="240"/>
      <c r="AE569" s="241"/>
      <c r="AF569" s="241"/>
      <c r="AG569" s="238"/>
      <c r="AH569" s="240"/>
      <c r="AI569" s="241"/>
      <c r="AJ569" s="241"/>
      <c r="AK569" s="241"/>
      <c r="AL569" s="237"/>
      <c r="AM569" s="237"/>
      <c r="AN569" s="237"/>
      <c r="AO569" s="237"/>
      <c r="AP569" s="237"/>
      <c r="AQ569" s="237"/>
      <c r="AR569" s="237"/>
    </row>
    <row r="570">
      <c r="A570" s="228"/>
      <c r="B570" s="228"/>
      <c r="C570" s="228"/>
      <c r="D570" s="228"/>
      <c r="E570" s="228"/>
      <c r="F570" s="228"/>
      <c r="G570" s="228"/>
      <c r="H570" s="241"/>
      <c r="I570" s="228"/>
      <c r="J570" s="236"/>
      <c r="K570" s="228"/>
      <c r="L570" s="228"/>
      <c r="M570" s="238"/>
      <c r="N570" s="228"/>
      <c r="O570" s="235"/>
      <c r="P570" s="236"/>
      <c r="Q570" s="235"/>
      <c r="R570" s="235"/>
      <c r="S570" s="236"/>
      <c r="T570" s="236"/>
      <c r="U570" s="237"/>
      <c r="V570" s="237"/>
      <c r="W570" s="238"/>
      <c r="X570" s="237"/>
      <c r="Y570" s="237"/>
      <c r="Z570" s="237"/>
      <c r="AA570" s="239"/>
      <c r="AB570" s="238"/>
      <c r="AC570" s="238"/>
      <c r="AD570" s="240"/>
      <c r="AE570" s="241"/>
      <c r="AF570" s="241"/>
      <c r="AG570" s="238"/>
      <c r="AH570" s="240"/>
      <c r="AI570" s="241"/>
      <c r="AJ570" s="241"/>
      <c r="AK570" s="241"/>
      <c r="AL570" s="237"/>
      <c r="AM570" s="237"/>
      <c r="AN570" s="237"/>
      <c r="AO570" s="237"/>
      <c r="AP570" s="237"/>
      <c r="AQ570" s="237"/>
      <c r="AR570" s="237"/>
    </row>
    <row r="571">
      <c r="A571" s="228"/>
      <c r="B571" s="228"/>
      <c r="C571" s="228"/>
      <c r="D571" s="228"/>
      <c r="E571" s="228"/>
      <c r="F571" s="228"/>
      <c r="G571" s="228"/>
      <c r="H571" s="241"/>
      <c r="I571" s="228"/>
      <c r="J571" s="236"/>
      <c r="K571" s="228"/>
      <c r="L571" s="228"/>
      <c r="M571" s="238"/>
      <c r="N571" s="228"/>
      <c r="O571" s="235"/>
      <c r="P571" s="236"/>
      <c r="Q571" s="235"/>
      <c r="R571" s="235"/>
      <c r="S571" s="236"/>
      <c r="T571" s="236"/>
      <c r="U571" s="237"/>
      <c r="V571" s="237"/>
      <c r="W571" s="238"/>
      <c r="X571" s="237"/>
      <c r="Y571" s="237"/>
      <c r="Z571" s="237"/>
      <c r="AA571" s="239"/>
      <c r="AB571" s="238"/>
      <c r="AC571" s="238"/>
      <c r="AD571" s="240"/>
      <c r="AE571" s="241"/>
      <c r="AF571" s="241"/>
      <c r="AG571" s="238"/>
      <c r="AH571" s="240"/>
      <c r="AI571" s="241"/>
      <c r="AJ571" s="241"/>
      <c r="AK571" s="241"/>
      <c r="AL571" s="237"/>
      <c r="AM571" s="237"/>
      <c r="AN571" s="237"/>
      <c r="AO571" s="237"/>
      <c r="AP571" s="237"/>
      <c r="AQ571" s="237"/>
      <c r="AR571" s="237"/>
    </row>
    <row r="572">
      <c r="A572" s="228"/>
      <c r="B572" s="228"/>
      <c r="C572" s="228"/>
      <c r="D572" s="228"/>
      <c r="E572" s="228"/>
      <c r="F572" s="228"/>
      <c r="G572" s="228"/>
      <c r="H572" s="241"/>
      <c r="I572" s="228"/>
      <c r="J572" s="236"/>
      <c r="K572" s="228"/>
      <c r="L572" s="228"/>
      <c r="M572" s="238"/>
      <c r="N572" s="228"/>
      <c r="O572" s="235"/>
      <c r="P572" s="236"/>
      <c r="Q572" s="235"/>
      <c r="R572" s="235"/>
      <c r="S572" s="236"/>
      <c r="T572" s="236"/>
      <c r="U572" s="237"/>
      <c r="V572" s="237"/>
      <c r="W572" s="238"/>
      <c r="X572" s="237"/>
      <c r="Y572" s="237"/>
      <c r="Z572" s="237"/>
      <c r="AA572" s="239"/>
      <c r="AB572" s="238"/>
      <c r="AC572" s="238"/>
      <c r="AD572" s="240"/>
      <c r="AE572" s="241"/>
      <c r="AF572" s="241"/>
      <c r="AG572" s="238"/>
      <c r="AH572" s="240"/>
      <c r="AI572" s="241"/>
      <c r="AJ572" s="241"/>
      <c r="AK572" s="241"/>
      <c r="AL572" s="237"/>
      <c r="AM572" s="237"/>
      <c r="AN572" s="237"/>
      <c r="AO572" s="237"/>
      <c r="AP572" s="237"/>
      <c r="AQ572" s="237"/>
      <c r="AR572" s="237"/>
    </row>
    <row r="573">
      <c r="A573" s="228"/>
      <c r="B573" s="228"/>
      <c r="C573" s="228"/>
      <c r="D573" s="228"/>
      <c r="E573" s="228"/>
      <c r="F573" s="228"/>
      <c r="G573" s="228"/>
      <c r="H573" s="241"/>
      <c r="I573" s="228"/>
      <c r="J573" s="236"/>
      <c r="K573" s="228"/>
      <c r="L573" s="228"/>
      <c r="M573" s="238"/>
      <c r="N573" s="228"/>
      <c r="O573" s="235"/>
      <c r="P573" s="236"/>
      <c r="Q573" s="235"/>
      <c r="R573" s="235"/>
      <c r="S573" s="236"/>
      <c r="T573" s="236"/>
      <c r="U573" s="237"/>
      <c r="V573" s="237"/>
      <c r="W573" s="238"/>
      <c r="X573" s="237"/>
      <c r="Y573" s="237"/>
      <c r="Z573" s="237"/>
      <c r="AA573" s="239"/>
      <c r="AB573" s="238"/>
      <c r="AC573" s="238"/>
      <c r="AD573" s="240"/>
      <c r="AE573" s="241"/>
      <c r="AF573" s="241"/>
      <c r="AG573" s="238"/>
      <c r="AH573" s="240"/>
      <c r="AI573" s="241"/>
      <c r="AJ573" s="241"/>
      <c r="AK573" s="241"/>
      <c r="AL573" s="237"/>
      <c r="AM573" s="237"/>
      <c r="AN573" s="237"/>
      <c r="AO573" s="237"/>
      <c r="AP573" s="237"/>
      <c r="AQ573" s="237"/>
      <c r="AR573" s="237"/>
    </row>
    <row r="574">
      <c r="A574" s="228"/>
      <c r="B574" s="228"/>
      <c r="C574" s="228"/>
      <c r="D574" s="228"/>
      <c r="E574" s="228"/>
      <c r="F574" s="228"/>
      <c r="G574" s="228"/>
      <c r="H574" s="241"/>
      <c r="I574" s="228"/>
      <c r="J574" s="236"/>
      <c r="K574" s="228"/>
      <c r="L574" s="228"/>
      <c r="M574" s="238"/>
      <c r="N574" s="228"/>
      <c r="O574" s="235"/>
      <c r="P574" s="236"/>
      <c r="Q574" s="235"/>
      <c r="R574" s="235"/>
      <c r="S574" s="236"/>
      <c r="T574" s="236"/>
      <c r="U574" s="237"/>
      <c r="V574" s="237"/>
      <c r="W574" s="238"/>
      <c r="X574" s="237"/>
      <c r="Y574" s="237"/>
      <c r="Z574" s="237"/>
      <c r="AA574" s="239"/>
      <c r="AB574" s="238"/>
      <c r="AC574" s="238"/>
      <c r="AD574" s="240"/>
      <c r="AE574" s="241"/>
      <c r="AF574" s="241"/>
      <c r="AG574" s="238"/>
      <c r="AH574" s="240"/>
      <c r="AI574" s="241"/>
      <c r="AJ574" s="241"/>
      <c r="AK574" s="241"/>
      <c r="AL574" s="237"/>
      <c r="AM574" s="237"/>
      <c r="AN574" s="237"/>
      <c r="AO574" s="237"/>
      <c r="AP574" s="237"/>
      <c r="AQ574" s="237"/>
      <c r="AR574" s="237"/>
    </row>
    <row r="575">
      <c r="A575" s="228"/>
      <c r="B575" s="228"/>
      <c r="C575" s="228"/>
      <c r="D575" s="228"/>
      <c r="E575" s="228"/>
      <c r="F575" s="228"/>
      <c r="G575" s="228"/>
      <c r="H575" s="241"/>
      <c r="I575" s="228"/>
      <c r="J575" s="236"/>
      <c r="K575" s="228"/>
      <c r="L575" s="228"/>
      <c r="M575" s="238"/>
      <c r="N575" s="228"/>
      <c r="O575" s="235"/>
      <c r="P575" s="236"/>
      <c r="Q575" s="235"/>
      <c r="R575" s="235"/>
      <c r="S575" s="236"/>
      <c r="T575" s="236"/>
      <c r="U575" s="237"/>
      <c r="V575" s="237"/>
      <c r="W575" s="238"/>
      <c r="X575" s="237"/>
      <c r="Y575" s="237"/>
      <c r="Z575" s="237"/>
      <c r="AA575" s="239"/>
      <c r="AB575" s="238"/>
      <c r="AC575" s="238"/>
      <c r="AD575" s="240"/>
      <c r="AE575" s="241"/>
      <c r="AF575" s="241"/>
      <c r="AG575" s="238"/>
      <c r="AH575" s="240"/>
      <c r="AI575" s="241"/>
      <c r="AJ575" s="241"/>
      <c r="AK575" s="241"/>
      <c r="AL575" s="237"/>
      <c r="AM575" s="237"/>
      <c r="AN575" s="237"/>
      <c r="AO575" s="237"/>
      <c r="AP575" s="237"/>
      <c r="AQ575" s="237"/>
      <c r="AR575" s="237"/>
    </row>
    <row r="576">
      <c r="A576" s="228"/>
      <c r="B576" s="228"/>
      <c r="C576" s="228"/>
      <c r="D576" s="228"/>
      <c r="E576" s="228"/>
      <c r="F576" s="228"/>
      <c r="G576" s="228"/>
      <c r="H576" s="241"/>
      <c r="I576" s="228"/>
      <c r="J576" s="236"/>
      <c r="K576" s="228"/>
      <c r="L576" s="228"/>
      <c r="M576" s="238"/>
      <c r="N576" s="228"/>
      <c r="O576" s="235"/>
      <c r="P576" s="236"/>
      <c r="Q576" s="235"/>
      <c r="R576" s="235"/>
      <c r="S576" s="236"/>
      <c r="T576" s="236"/>
      <c r="U576" s="237"/>
      <c r="V576" s="237"/>
      <c r="W576" s="238"/>
      <c r="X576" s="237"/>
      <c r="Y576" s="237"/>
      <c r="Z576" s="237"/>
      <c r="AA576" s="239"/>
      <c r="AB576" s="238"/>
      <c r="AC576" s="238"/>
      <c r="AD576" s="240"/>
      <c r="AE576" s="241"/>
      <c r="AF576" s="241"/>
      <c r="AG576" s="238"/>
      <c r="AH576" s="240"/>
      <c r="AI576" s="241"/>
      <c r="AJ576" s="241"/>
      <c r="AK576" s="241"/>
      <c r="AL576" s="237"/>
      <c r="AM576" s="237"/>
      <c r="AN576" s="237"/>
      <c r="AO576" s="237"/>
      <c r="AP576" s="237"/>
      <c r="AQ576" s="237"/>
      <c r="AR576" s="237"/>
    </row>
    <row r="577">
      <c r="A577" s="228"/>
      <c r="B577" s="228"/>
      <c r="C577" s="228"/>
      <c r="D577" s="228"/>
      <c r="E577" s="228"/>
      <c r="F577" s="228"/>
      <c r="G577" s="228"/>
      <c r="H577" s="241"/>
      <c r="I577" s="228"/>
      <c r="J577" s="236"/>
      <c r="K577" s="228"/>
      <c r="L577" s="228"/>
      <c r="M577" s="238"/>
      <c r="N577" s="228"/>
      <c r="O577" s="235"/>
      <c r="P577" s="236"/>
      <c r="Q577" s="235"/>
      <c r="R577" s="235"/>
      <c r="S577" s="236"/>
      <c r="T577" s="236"/>
      <c r="U577" s="237"/>
      <c r="V577" s="237"/>
      <c r="W577" s="238"/>
      <c r="X577" s="237"/>
      <c r="Y577" s="237"/>
      <c r="Z577" s="237"/>
      <c r="AA577" s="239"/>
      <c r="AB577" s="238"/>
      <c r="AC577" s="238"/>
      <c r="AD577" s="240"/>
      <c r="AE577" s="241"/>
      <c r="AF577" s="241"/>
      <c r="AG577" s="238"/>
      <c r="AH577" s="240"/>
      <c r="AI577" s="241"/>
      <c r="AJ577" s="241"/>
      <c r="AK577" s="241"/>
      <c r="AL577" s="237"/>
      <c r="AM577" s="237"/>
      <c r="AN577" s="237"/>
      <c r="AO577" s="237"/>
      <c r="AP577" s="237"/>
      <c r="AQ577" s="237"/>
      <c r="AR577" s="237"/>
    </row>
    <row r="578">
      <c r="A578" s="228"/>
      <c r="B578" s="228"/>
      <c r="C578" s="228"/>
      <c r="D578" s="228"/>
      <c r="E578" s="228"/>
      <c r="F578" s="228"/>
      <c r="G578" s="228"/>
      <c r="H578" s="241"/>
      <c r="I578" s="228"/>
      <c r="J578" s="236"/>
      <c r="K578" s="228"/>
      <c r="L578" s="228"/>
      <c r="M578" s="238"/>
      <c r="N578" s="228"/>
      <c r="O578" s="235"/>
      <c r="P578" s="236"/>
      <c r="Q578" s="235"/>
      <c r="R578" s="235"/>
      <c r="S578" s="236"/>
      <c r="T578" s="236"/>
      <c r="U578" s="237"/>
      <c r="V578" s="237"/>
      <c r="W578" s="238"/>
      <c r="X578" s="237"/>
      <c r="Y578" s="237"/>
      <c r="Z578" s="237"/>
      <c r="AA578" s="239"/>
      <c r="AB578" s="238"/>
      <c r="AC578" s="238"/>
      <c r="AD578" s="240"/>
      <c r="AE578" s="241"/>
      <c r="AF578" s="241"/>
      <c r="AG578" s="238"/>
      <c r="AH578" s="240"/>
      <c r="AI578" s="241"/>
      <c r="AJ578" s="241"/>
      <c r="AK578" s="241"/>
      <c r="AL578" s="237"/>
      <c r="AM578" s="237"/>
      <c r="AN578" s="237"/>
      <c r="AO578" s="237"/>
      <c r="AP578" s="237"/>
      <c r="AQ578" s="237"/>
      <c r="AR578" s="237"/>
    </row>
    <row r="579">
      <c r="A579" s="228"/>
      <c r="B579" s="228"/>
      <c r="C579" s="228"/>
      <c r="D579" s="228"/>
      <c r="E579" s="228"/>
      <c r="F579" s="228"/>
      <c r="G579" s="228"/>
      <c r="H579" s="241"/>
      <c r="I579" s="228"/>
      <c r="J579" s="236"/>
      <c r="K579" s="228"/>
      <c r="L579" s="228"/>
      <c r="M579" s="238"/>
      <c r="N579" s="228"/>
      <c r="O579" s="235"/>
      <c r="P579" s="236"/>
      <c r="Q579" s="235"/>
      <c r="R579" s="235"/>
      <c r="S579" s="236"/>
      <c r="T579" s="236"/>
      <c r="U579" s="237"/>
      <c r="V579" s="237"/>
      <c r="W579" s="238"/>
      <c r="X579" s="237"/>
      <c r="Y579" s="237"/>
      <c r="Z579" s="237"/>
      <c r="AA579" s="239"/>
      <c r="AB579" s="238"/>
      <c r="AC579" s="238"/>
      <c r="AD579" s="240"/>
      <c r="AE579" s="241"/>
      <c r="AF579" s="241"/>
      <c r="AG579" s="238"/>
      <c r="AH579" s="240"/>
      <c r="AI579" s="241"/>
      <c r="AJ579" s="241"/>
      <c r="AK579" s="241"/>
      <c r="AL579" s="237"/>
      <c r="AM579" s="237"/>
      <c r="AN579" s="237"/>
      <c r="AO579" s="237"/>
      <c r="AP579" s="237"/>
      <c r="AQ579" s="237"/>
      <c r="AR579" s="237"/>
    </row>
    <row r="580">
      <c r="A580" s="228"/>
      <c r="B580" s="228"/>
      <c r="C580" s="228"/>
      <c r="D580" s="228"/>
      <c r="E580" s="228"/>
      <c r="F580" s="228"/>
      <c r="G580" s="228"/>
      <c r="H580" s="241"/>
      <c r="I580" s="228"/>
      <c r="J580" s="236"/>
      <c r="K580" s="228"/>
      <c r="L580" s="228"/>
      <c r="M580" s="238"/>
      <c r="N580" s="228"/>
      <c r="O580" s="235"/>
      <c r="P580" s="236"/>
      <c r="Q580" s="235"/>
      <c r="R580" s="235"/>
      <c r="S580" s="236"/>
      <c r="T580" s="236"/>
      <c r="U580" s="237"/>
      <c r="V580" s="237"/>
      <c r="W580" s="238"/>
      <c r="X580" s="237"/>
      <c r="Y580" s="237"/>
      <c r="Z580" s="237"/>
      <c r="AA580" s="239"/>
      <c r="AB580" s="238"/>
      <c r="AC580" s="238"/>
      <c r="AD580" s="240"/>
      <c r="AE580" s="241"/>
      <c r="AF580" s="241"/>
      <c r="AG580" s="238"/>
      <c r="AH580" s="240"/>
      <c r="AI580" s="241"/>
      <c r="AJ580" s="241"/>
      <c r="AK580" s="241"/>
      <c r="AL580" s="237"/>
      <c r="AM580" s="237"/>
      <c r="AN580" s="237"/>
      <c r="AO580" s="237"/>
      <c r="AP580" s="237"/>
      <c r="AQ580" s="237"/>
      <c r="AR580" s="237"/>
    </row>
    <row r="581">
      <c r="A581" s="228"/>
      <c r="B581" s="228"/>
      <c r="C581" s="228"/>
      <c r="D581" s="228"/>
      <c r="E581" s="228"/>
      <c r="F581" s="228"/>
      <c r="G581" s="228"/>
      <c r="H581" s="241"/>
      <c r="I581" s="228"/>
      <c r="J581" s="236"/>
      <c r="K581" s="228"/>
      <c r="L581" s="228"/>
      <c r="M581" s="238"/>
      <c r="N581" s="228"/>
      <c r="O581" s="235"/>
      <c r="P581" s="236"/>
      <c r="Q581" s="235"/>
      <c r="R581" s="235"/>
      <c r="S581" s="236"/>
      <c r="T581" s="236"/>
      <c r="U581" s="237"/>
      <c r="V581" s="237"/>
      <c r="W581" s="238"/>
      <c r="X581" s="237"/>
      <c r="Y581" s="237"/>
      <c r="Z581" s="237"/>
      <c r="AA581" s="239"/>
      <c r="AB581" s="238"/>
      <c r="AC581" s="238"/>
      <c r="AD581" s="240"/>
      <c r="AE581" s="241"/>
      <c r="AF581" s="241"/>
      <c r="AG581" s="238"/>
      <c r="AH581" s="240"/>
      <c r="AI581" s="241"/>
      <c r="AJ581" s="241"/>
      <c r="AK581" s="241"/>
      <c r="AL581" s="237"/>
      <c r="AM581" s="237"/>
      <c r="AN581" s="237"/>
      <c r="AO581" s="237"/>
      <c r="AP581" s="237"/>
      <c r="AQ581" s="237"/>
      <c r="AR581" s="237"/>
    </row>
    <row r="582">
      <c r="A582" s="228"/>
      <c r="B582" s="228"/>
      <c r="C582" s="228"/>
      <c r="D582" s="228"/>
      <c r="E582" s="228"/>
      <c r="F582" s="228"/>
      <c r="G582" s="228"/>
      <c r="H582" s="241"/>
      <c r="I582" s="228"/>
      <c r="J582" s="236"/>
      <c r="K582" s="228"/>
      <c r="L582" s="228"/>
      <c r="M582" s="238"/>
      <c r="N582" s="228"/>
      <c r="O582" s="235"/>
      <c r="P582" s="236"/>
      <c r="Q582" s="235"/>
      <c r="R582" s="235"/>
      <c r="S582" s="236"/>
      <c r="T582" s="236"/>
      <c r="U582" s="237"/>
      <c r="V582" s="237"/>
      <c r="W582" s="238"/>
      <c r="X582" s="237"/>
      <c r="Y582" s="237"/>
      <c r="Z582" s="237"/>
      <c r="AA582" s="239"/>
      <c r="AB582" s="238"/>
      <c r="AC582" s="238"/>
      <c r="AD582" s="240"/>
      <c r="AE582" s="241"/>
      <c r="AF582" s="241"/>
      <c r="AG582" s="238"/>
      <c r="AH582" s="240"/>
      <c r="AI582" s="241"/>
      <c r="AJ582" s="241"/>
      <c r="AK582" s="241"/>
      <c r="AL582" s="237"/>
      <c r="AM582" s="237"/>
      <c r="AN582" s="237"/>
      <c r="AO582" s="237"/>
      <c r="AP582" s="237"/>
      <c r="AQ582" s="237"/>
      <c r="AR582" s="237"/>
    </row>
    <row r="583">
      <c r="A583" s="228"/>
      <c r="B583" s="228"/>
      <c r="C583" s="228"/>
      <c r="D583" s="228"/>
      <c r="E583" s="228"/>
      <c r="F583" s="228"/>
      <c r="G583" s="228"/>
      <c r="H583" s="241"/>
      <c r="I583" s="228"/>
      <c r="J583" s="236"/>
      <c r="K583" s="228"/>
      <c r="L583" s="228"/>
      <c r="M583" s="238"/>
      <c r="N583" s="228"/>
      <c r="O583" s="235"/>
      <c r="P583" s="236"/>
      <c r="Q583" s="235"/>
      <c r="R583" s="235"/>
      <c r="S583" s="236"/>
      <c r="T583" s="236"/>
      <c r="U583" s="237"/>
      <c r="V583" s="237"/>
      <c r="W583" s="238"/>
      <c r="X583" s="237"/>
      <c r="Y583" s="237"/>
      <c r="Z583" s="237"/>
      <c r="AA583" s="239"/>
      <c r="AB583" s="238"/>
      <c r="AC583" s="238"/>
      <c r="AD583" s="240"/>
      <c r="AE583" s="241"/>
      <c r="AF583" s="241"/>
      <c r="AG583" s="238"/>
      <c r="AH583" s="240"/>
      <c r="AI583" s="241"/>
      <c r="AJ583" s="241"/>
      <c r="AK583" s="241"/>
      <c r="AL583" s="237"/>
      <c r="AM583" s="237"/>
      <c r="AN583" s="237"/>
      <c r="AO583" s="237"/>
      <c r="AP583" s="237"/>
      <c r="AQ583" s="237"/>
      <c r="AR583" s="237"/>
    </row>
    <row r="584">
      <c r="A584" s="228"/>
      <c r="B584" s="228"/>
      <c r="C584" s="228"/>
      <c r="D584" s="228"/>
      <c r="E584" s="228"/>
      <c r="F584" s="228"/>
      <c r="G584" s="228"/>
      <c r="H584" s="241"/>
      <c r="I584" s="228"/>
      <c r="J584" s="236"/>
      <c r="K584" s="228"/>
      <c r="L584" s="228"/>
      <c r="M584" s="238"/>
      <c r="N584" s="228"/>
      <c r="O584" s="235"/>
      <c r="P584" s="236"/>
      <c r="Q584" s="235"/>
      <c r="R584" s="235"/>
      <c r="S584" s="236"/>
      <c r="T584" s="236"/>
      <c r="U584" s="237"/>
      <c r="V584" s="237"/>
      <c r="W584" s="238"/>
      <c r="X584" s="237"/>
      <c r="Y584" s="237"/>
      <c r="Z584" s="237"/>
      <c r="AA584" s="239"/>
      <c r="AB584" s="238"/>
      <c r="AC584" s="238"/>
      <c r="AD584" s="240"/>
      <c r="AE584" s="241"/>
      <c r="AF584" s="241"/>
      <c r="AG584" s="238"/>
      <c r="AH584" s="240"/>
      <c r="AI584" s="241"/>
      <c r="AJ584" s="241"/>
      <c r="AK584" s="241"/>
      <c r="AL584" s="237"/>
      <c r="AM584" s="237"/>
      <c r="AN584" s="237"/>
      <c r="AO584" s="237"/>
      <c r="AP584" s="237"/>
      <c r="AQ584" s="237"/>
      <c r="AR584" s="237"/>
    </row>
    <row r="585">
      <c r="A585" s="228"/>
      <c r="B585" s="228"/>
      <c r="C585" s="228"/>
      <c r="D585" s="228"/>
      <c r="E585" s="228"/>
      <c r="F585" s="228"/>
      <c r="G585" s="228"/>
      <c r="H585" s="241"/>
      <c r="I585" s="228"/>
      <c r="J585" s="236"/>
      <c r="K585" s="228"/>
      <c r="L585" s="228"/>
      <c r="M585" s="238"/>
      <c r="N585" s="228"/>
      <c r="O585" s="235"/>
      <c r="P585" s="236"/>
      <c r="Q585" s="235"/>
      <c r="R585" s="235"/>
      <c r="S585" s="236"/>
      <c r="T585" s="236"/>
      <c r="U585" s="237"/>
      <c r="V585" s="237"/>
      <c r="W585" s="238"/>
      <c r="X585" s="237"/>
      <c r="Y585" s="237"/>
      <c r="Z585" s="237"/>
      <c r="AA585" s="239"/>
      <c r="AB585" s="238"/>
      <c r="AC585" s="238"/>
      <c r="AD585" s="240"/>
      <c r="AE585" s="241"/>
      <c r="AF585" s="241"/>
      <c r="AG585" s="238"/>
      <c r="AH585" s="240"/>
      <c r="AI585" s="241"/>
      <c r="AJ585" s="241"/>
      <c r="AK585" s="241"/>
      <c r="AL585" s="237"/>
      <c r="AM585" s="237"/>
      <c r="AN585" s="237"/>
      <c r="AO585" s="237"/>
      <c r="AP585" s="237"/>
      <c r="AQ585" s="237"/>
      <c r="AR585" s="237"/>
    </row>
    <row r="586">
      <c r="A586" s="228"/>
      <c r="B586" s="228"/>
      <c r="C586" s="228"/>
      <c r="D586" s="228"/>
      <c r="E586" s="228"/>
      <c r="F586" s="228"/>
      <c r="G586" s="228"/>
      <c r="H586" s="241"/>
      <c r="I586" s="228"/>
      <c r="J586" s="236"/>
      <c r="K586" s="228"/>
      <c r="L586" s="228"/>
      <c r="M586" s="238"/>
      <c r="N586" s="228"/>
      <c r="O586" s="235"/>
      <c r="P586" s="236"/>
      <c r="Q586" s="235"/>
      <c r="R586" s="235"/>
      <c r="S586" s="236"/>
      <c r="T586" s="236"/>
      <c r="U586" s="237"/>
      <c r="V586" s="237"/>
      <c r="W586" s="238"/>
      <c r="X586" s="237"/>
      <c r="Y586" s="237"/>
      <c r="Z586" s="237"/>
      <c r="AA586" s="239"/>
      <c r="AB586" s="238"/>
      <c r="AC586" s="238"/>
      <c r="AD586" s="240"/>
      <c r="AE586" s="241"/>
      <c r="AF586" s="241"/>
      <c r="AG586" s="238"/>
      <c r="AH586" s="240"/>
      <c r="AI586" s="241"/>
      <c r="AJ586" s="241"/>
      <c r="AK586" s="241"/>
      <c r="AL586" s="237"/>
      <c r="AM586" s="237"/>
      <c r="AN586" s="237"/>
      <c r="AO586" s="237"/>
      <c r="AP586" s="237"/>
      <c r="AQ586" s="237"/>
      <c r="AR586" s="237"/>
    </row>
    <row r="587">
      <c r="A587" s="228"/>
      <c r="B587" s="228"/>
      <c r="C587" s="228"/>
      <c r="D587" s="228"/>
      <c r="E587" s="228"/>
      <c r="F587" s="228"/>
      <c r="G587" s="228"/>
      <c r="H587" s="241"/>
      <c r="I587" s="228"/>
      <c r="J587" s="236"/>
      <c r="K587" s="228"/>
      <c r="L587" s="228"/>
      <c r="M587" s="238"/>
      <c r="N587" s="228"/>
      <c r="O587" s="235"/>
      <c r="P587" s="236"/>
      <c r="Q587" s="235"/>
      <c r="R587" s="235"/>
      <c r="S587" s="236"/>
      <c r="T587" s="236"/>
      <c r="U587" s="237"/>
      <c r="V587" s="237"/>
      <c r="W587" s="238"/>
      <c r="X587" s="237"/>
      <c r="Y587" s="237"/>
      <c r="Z587" s="237"/>
      <c r="AA587" s="239"/>
      <c r="AB587" s="238"/>
      <c r="AC587" s="238"/>
      <c r="AD587" s="240"/>
      <c r="AE587" s="241"/>
      <c r="AF587" s="241"/>
      <c r="AG587" s="238"/>
      <c r="AH587" s="240"/>
      <c r="AI587" s="241"/>
      <c r="AJ587" s="241"/>
      <c r="AK587" s="241"/>
      <c r="AL587" s="237"/>
      <c r="AM587" s="237"/>
      <c r="AN587" s="237"/>
      <c r="AO587" s="237"/>
      <c r="AP587" s="237"/>
      <c r="AQ587" s="237"/>
      <c r="AR587" s="237"/>
    </row>
    <row r="588">
      <c r="A588" s="228"/>
      <c r="B588" s="228"/>
      <c r="C588" s="228"/>
      <c r="D588" s="228"/>
      <c r="E588" s="228"/>
      <c r="F588" s="228"/>
      <c r="G588" s="228"/>
      <c r="H588" s="241"/>
      <c r="I588" s="228"/>
      <c r="J588" s="236"/>
      <c r="K588" s="228"/>
      <c r="L588" s="228"/>
      <c r="M588" s="238"/>
      <c r="N588" s="228"/>
      <c r="O588" s="235"/>
      <c r="P588" s="236"/>
      <c r="Q588" s="235"/>
      <c r="R588" s="235"/>
      <c r="S588" s="236"/>
      <c r="T588" s="236"/>
      <c r="U588" s="237"/>
      <c r="V588" s="237"/>
      <c r="W588" s="238"/>
      <c r="X588" s="237"/>
      <c r="Y588" s="237"/>
      <c r="Z588" s="237"/>
      <c r="AA588" s="239"/>
      <c r="AB588" s="238"/>
      <c r="AC588" s="238"/>
      <c r="AD588" s="240"/>
      <c r="AE588" s="241"/>
      <c r="AF588" s="241"/>
      <c r="AG588" s="238"/>
      <c r="AH588" s="240"/>
      <c r="AI588" s="241"/>
      <c r="AJ588" s="241"/>
      <c r="AK588" s="241"/>
      <c r="AL588" s="237"/>
      <c r="AM588" s="237"/>
      <c r="AN588" s="237"/>
      <c r="AO588" s="237"/>
      <c r="AP588" s="237"/>
      <c r="AQ588" s="237"/>
      <c r="AR588" s="237"/>
    </row>
    <row r="589">
      <c r="A589" s="228"/>
      <c r="B589" s="228"/>
      <c r="C589" s="228"/>
      <c r="D589" s="228"/>
      <c r="E589" s="228"/>
      <c r="F589" s="228"/>
      <c r="G589" s="228"/>
      <c r="H589" s="241"/>
      <c r="I589" s="228"/>
      <c r="J589" s="236"/>
      <c r="K589" s="228"/>
      <c r="L589" s="228"/>
      <c r="M589" s="238"/>
      <c r="N589" s="228"/>
      <c r="O589" s="235"/>
      <c r="P589" s="236"/>
      <c r="Q589" s="235"/>
      <c r="R589" s="235"/>
      <c r="S589" s="236"/>
      <c r="T589" s="236"/>
      <c r="U589" s="237"/>
      <c r="V589" s="237"/>
      <c r="W589" s="238"/>
      <c r="X589" s="237"/>
      <c r="Y589" s="237"/>
      <c r="Z589" s="237"/>
      <c r="AA589" s="239"/>
      <c r="AB589" s="238"/>
      <c r="AC589" s="238"/>
      <c r="AD589" s="240"/>
      <c r="AE589" s="241"/>
      <c r="AF589" s="241"/>
      <c r="AG589" s="238"/>
      <c r="AH589" s="240"/>
      <c r="AI589" s="241"/>
      <c r="AJ589" s="241"/>
      <c r="AK589" s="241"/>
      <c r="AL589" s="237"/>
      <c r="AM589" s="237"/>
      <c r="AN589" s="237"/>
      <c r="AO589" s="237"/>
      <c r="AP589" s="237"/>
      <c r="AQ589" s="237"/>
      <c r="AR589" s="237"/>
    </row>
    <row r="590">
      <c r="A590" s="228"/>
      <c r="B590" s="228"/>
      <c r="C590" s="228"/>
      <c r="D590" s="228"/>
      <c r="E590" s="228"/>
      <c r="F590" s="228"/>
      <c r="G590" s="228"/>
      <c r="H590" s="241"/>
      <c r="I590" s="228"/>
      <c r="J590" s="236"/>
      <c r="K590" s="228"/>
      <c r="L590" s="228"/>
      <c r="M590" s="238"/>
      <c r="N590" s="228"/>
      <c r="O590" s="235"/>
      <c r="P590" s="236"/>
      <c r="Q590" s="235"/>
      <c r="R590" s="235"/>
      <c r="S590" s="236"/>
      <c r="T590" s="236"/>
      <c r="U590" s="237"/>
      <c r="V590" s="237"/>
      <c r="W590" s="238"/>
      <c r="X590" s="237"/>
      <c r="Y590" s="237"/>
      <c r="Z590" s="237"/>
      <c r="AA590" s="239"/>
      <c r="AB590" s="238"/>
      <c r="AC590" s="238"/>
      <c r="AD590" s="240"/>
      <c r="AE590" s="241"/>
      <c r="AF590" s="241"/>
      <c r="AG590" s="238"/>
      <c r="AH590" s="240"/>
      <c r="AI590" s="241"/>
      <c r="AJ590" s="241"/>
      <c r="AK590" s="241"/>
      <c r="AL590" s="237"/>
      <c r="AM590" s="237"/>
      <c r="AN590" s="237"/>
      <c r="AO590" s="237"/>
      <c r="AP590" s="237"/>
      <c r="AQ590" s="237"/>
      <c r="AR590" s="237"/>
    </row>
    <row r="591">
      <c r="A591" s="228"/>
      <c r="B591" s="228"/>
      <c r="C591" s="228"/>
      <c r="D591" s="228"/>
      <c r="E591" s="228"/>
      <c r="F591" s="228"/>
      <c r="G591" s="228"/>
      <c r="H591" s="241"/>
      <c r="I591" s="228"/>
      <c r="J591" s="236"/>
      <c r="K591" s="228"/>
      <c r="L591" s="228"/>
      <c r="M591" s="238"/>
      <c r="N591" s="228"/>
      <c r="O591" s="235"/>
      <c r="P591" s="236"/>
      <c r="Q591" s="235"/>
      <c r="R591" s="235"/>
      <c r="S591" s="236"/>
      <c r="T591" s="236"/>
      <c r="U591" s="237"/>
      <c r="V591" s="237"/>
      <c r="W591" s="238"/>
      <c r="X591" s="237"/>
      <c r="Y591" s="237"/>
      <c r="Z591" s="237"/>
      <c r="AA591" s="239"/>
      <c r="AB591" s="238"/>
      <c r="AC591" s="238"/>
      <c r="AD591" s="240"/>
      <c r="AE591" s="241"/>
      <c r="AF591" s="241"/>
      <c r="AG591" s="238"/>
      <c r="AH591" s="240"/>
      <c r="AI591" s="241"/>
      <c r="AJ591" s="241"/>
      <c r="AK591" s="241"/>
      <c r="AL591" s="237"/>
      <c r="AM591" s="237"/>
      <c r="AN591" s="237"/>
      <c r="AO591" s="237"/>
      <c r="AP591" s="237"/>
      <c r="AQ591" s="237"/>
      <c r="AR591" s="237"/>
    </row>
    <row r="592">
      <c r="A592" s="228"/>
      <c r="B592" s="228"/>
      <c r="C592" s="228"/>
      <c r="D592" s="228"/>
      <c r="E592" s="228"/>
      <c r="F592" s="228"/>
      <c r="G592" s="228"/>
      <c r="H592" s="241"/>
      <c r="I592" s="228"/>
      <c r="J592" s="236"/>
      <c r="K592" s="228"/>
      <c r="L592" s="228"/>
      <c r="M592" s="238"/>
      <c r="N592" s="228"/>
      <c r="O592" s="235"/>
      <c r="P592" s="236"/>
      <c r="Q592" s="235"/>
      <c r="R592" s="235"/>
      <c r="S592" s="236"/>
      <c r="T592" s="236"/>
      <c r="U592" s="237"/>
      <c r="V592" s="237"/>
      <c r="W592" s="238"/>
      <c r="X592" s="237"/>
      <c r="Y592" s="237"/>
      <c r="Z592" s="237"/>
      <c r="AA592" s="239"/>
      <c r="AB592" s="238"/>
      <c r="AC592" s="238"/>
      <c r="AD592" s="240"/>
      <c r="AE592" s="241"/>
      <c r="AF592" s="241"/>
      <c r="AG592" s="238"/>
      <c r="AH592" s="240"/>
      <c r="AI592" s="241"/>
      <c r="AJ592" s="241"/>
      <c r="AK592" s="241"/>
      <c r="AL592" s="237"/>
      <c r="AM592" s="237"/>
      <c r="AN592" s="237"/>
      <c r="AO592" s="237"/>
      <c r="AP592" s="237"/>
      <c r="AQ592" s="237"/>
      <c r="AR592" s="237"/>
    </row>
    <row r="593">
      <c r="A593" s="228"/>
      <c r="B593" s="228"/>
      <c r="C593" s="228"/>
      <c r="D593" s="228"/>
      <c r="E593" s="228"/>
      <c r="F593" s="228"/>
      <c r="G593" s="228"/>
      <c r="H593" s="241"/>
      <c r="I593" s="228"/>
      <c r="J593" s="236"/>
      <c r="K593" s="228"/>
      <c r="L593" s="228"/>
      <c r="M593" s="238"/>
      <c r="N593" s="228"/>
      <c r="O593" s="235"/>
      <c r="P593" s="236"/>
      <c r="Q593" s="235"/>
      <c r="R593" s="235"/>
      <c r="S593" s="236"/>
      <c r="T593" s="236"/>
      <c r="U593" s="237"/>
      <c r="V593" s="237"/>
      <c r="W593" s="238"/>
      <c r="X593" s="237"/>
      <c r="Y593" s="237"/>
      <c r="Z593" s="237"/>
      <c r="AA593" s="239"/>
      <c r="AB593" s="238"/>
      <c r="AC593" s="238"/>
      <c r="AD593" s="240"/>
      <c r="AE593" s="241"/>
      <c r="AF593" s="241"/>
      <c r="AG593" s="238"/>
      <c r="AH593" s="240"/>
      <c r="AI593" s="241"/>
      <c r="AJ593" s="241"/>
      <c r="AK593" s="241"/>
      <c r="AL593" s="237"/>
      <c r="AM593" s="237"/>
      <c r="AN593" s="237"/>
      <c r="AO593" s="237"/>
      <c r="AP593" s="237"/>
      <c r="AQ593" s="237"/>
      <c r="AR593" s="237"/>
    </row>
    <row r="594">
      <c r="A594" s="228"/>
      <c r="B594" s="228"/>
      <c r="C594" s="228"/>
      <c r="D594" s="228"/>
      <c r="E594" s="228"/>
      <c r="F594" s="228"/>
      <c r="G594" s="228"/>
      <c r="H594" s="241"/>
      <c r="I594" s="228"/>
      <c r="J594" s="236"/>
      <c r="K594" s="228"/>
      <c r="L594" s="228"/>
      <c r="M594" s="238"/>
      <c r="N594" s="228"/>
      <c r="O594" s="235"/>
      <c r="P594" s="236"/>
      <c r="Q594" s="235"/>
      <c r="R594" s="235"/>
      <c r="S594" s="236"/>
      <c r="T594" s="236"/>
      <c r="U594" s="237"/>
      <c r="V594" s="237"/>
      <c r="W594" s="238"/>
      <c r="X594" s="237"/>
      <c r="Y594" s="237"/>
      <c r="Z594" s="237"/>
      <c r="AA594" s="239"/>
      <c r="AB594" s="238"/>
      <c r="AC594" s="238"/>
      <c r="AD594" s="240"/>
      <c r="AE594" s="241"/>
      <c r="AF594" s="241"/>
      <c r="AG594" s="238"/>
      <c r="AH594" s="240"/>
      <c r="AI594" s="241"/>
      <c r="AJ594" s="241"/>
      <c r="AK594" s="241"/>
      <c r="AL594" s="237"/>
      <c r="AM594" s="237"/>
      <c r="AN594" s="237"/>
      <c r="AO594" s="237"/>
      <c r="AP594" s="237"/>
      <c r="AQ594" s="237"/>
      <c r="AR594" s="237"/>
    </row>
    <row r="595">
      <c r="A595" s="228"/>
      <c r="B595" s="228"/>
      <c r="C595" s="228"/>
      <c r="D595" s="228"/>
      <c r="E595" s="228"/>
      <c r="F595" s="228"/>
      <c r="G595" s="228"/>
      <c r="H595" s="241"/>
      <c r="I595" s="228"/>
      <c r="J595" s="236"/>
      <c r="K595" s="228"/>
      <c r="L595" s="228"/>
      <c r="M595" s="238"/>
      <c r="N595" s="228"/>
      <c r="O595" s="235"/>
      <c r="P595" s="236"/>
      <c r="Q595" s="235"/>
      <c r="R595" s="235"/>
      <c r="S595" s="236"/>
      <c r="T595" s="236"/>
      <c r="U595" s="237"/>
      <c r="V595" s="237"/>
      <c r="W595" s="238"/>
      <c r="X595" s="237"/>
      <c r="Y595" s="237"/>
      <c r="Z595" s="237"/>
      <c r="AA595" s="239"/>
      <c r="AB595" s="238"/>
      <c r="AC595" s="238"/>
      <c r="AD595" s="240"/>
      <c r="AE595" s="241"/>
      <c r="AF595" s="241"/>
      <c r="AG595" s="238"/>
      <c r="AH595" s="240"/>
      <c r="AI595" s="241"/>
      <c r="AJ595" s="241"/>
      <c r="AK595" s="241"/>
      <c r="AL595" s="237"/>
      <c r="AM595" s="237"/>
      <c r="AN595" s="237"/>
      <c r="AO595" s="237"/>
      <c r="AP595" s="237"/>
      <c r="AQ595" s="237"/>
      <c r="AR595" s="237"/>
    </row>
    <row r="596">
      <c r="A596" s="228"/>
      <c r="B596" s="228"/>
      <c r="C596" s="228"/>
      <c r="D596" s="228"/>
      <c r="E596" s="228"/>
      <c r="F596" s="228"/>
      <c r="G596" s="228"/>
      <c r="H596" s="241"/>
      <c r="I596" s="228"/>
      <c r="J596" s="236"/>
      <c r="K596" s="228"/>
      <c r="L596" s="228"/>
      <c r="M596" s="238"/>
      <c r="N596" s="228"/>
      <c r="O596" s="235"/>
      <c r="P596" s="236"/>
      <c r="Q596" s="235"/>
      <c r="R596" s="235"/>
      <c r="S596" s="236"/>
      <c r="T596" s="236"/>
      <c r="U596" s="237"/>
      <c r="V596" s="237"/>
      <c r="W596" s="238"/>
      <c r="X596" s="237"/>
      <c r="Y596" s="237"/>
      <c r="Z596" s="237"/>
      <c r="AA596" s="239"/>
      <c r="AB596" s="238"/>
      <c r="AC596" s="238"/>
      <c r="AD596" s="240"/>
      <c r="AE596" s="241"/>
      <c r="AF596" s="241"/>
      <c r="AG596" s="238"/>
      <c r="AH596" s="240"/>
      <c r="AI596" s="241"/>
      <c r="AJ596" s="241"/>
      <c r="AK596" s="241"/>
      <c r="AL596" s="237"/>
      <c r="AM596" s="237"/>
      <c r="AN596" s="237"/>
      <c r="AO596" s="237"/>
      <c r="AP596" s="237"/>
      <c r="AQ596" s="237"/>
      <c r="AR596" s="237"/>
    </row>
    <row r="597">
      <c r="A597" s="228"/>
      <c r="B597" s="228"/>
      <c r="C597" s="228"/>
      <c r="D597" s="228"/>
      <c r="E597" s="228"/>
      <c r="F597" s="228"/>
      <c r="G597" s="228"/>
      <c r="H597" s="241"/>
      <c r="I597" s="228"/>
      <c r="J597" s="236"/>
      <c r="K597" s="228"/>
      <c r="L597" s="228"/>
      <c r="M597" s="238"/>
      <c r="N597" s="228"/>
      <c r="O597" s="235"/>
      <c r="P597" s="236"/>
      <c r="Q597" s="235"/>
      <c r="R597" s="235"/>
      <c r="S597" s="236"/>
      <c r="T597" s="236"/>
      <c r="U597" s="237"/>
      <c r="V597" s="237"/>
      <c r="W597" s="238"/>
      <c r="X597" s="237"/>
      <c r="Y597" s="237"/>
      <c r="Z597" s="237"/>
      <c r="AA597" s="239"/>
      <c r="AB597" s="238"/>
      <c r="AC597" s="238"/>
      <c r="AD597" s="240"/>
      <c r="AE597" s="241"/>
      <c r="AF597" s="241"/>
      <c r="AG597" s="238"/>
      <c r="AH597" s="240"/>
      <c r="AI597" s="241"/>
      <c r="AJ597" s="241"/>
      <c r="AK597" s="241"/>
      <c r="AL597" s="237"/>
      <c r="AM597" s="237"/>
      <c r="AN597" s="237"/>
      <c r="AO597" s="237"/>
      <c r="AP597" s="237"/>
      <c r="AQ597" s="237"/>
      <c r="AR597" s="237"/>
    </row>
    <row r="598">
      <c r="A598" s="228"/>
      <c r="B598" s="228"/>
      <c r="C598" s="228"/>
      <c r="D598" s="228"/>
      <c r="E598" s="228"/>
      <c r="F598" s="228"/>
      <c r="G598" s="228"/>
      <c r="H598" s="241"/>
      <c r="I598" s="228"/>
      <c r="J598" s="236"/>
      <c r="K598" s="228"/>
      <c r="L598" s="228"/>
      <c r="M598" s="238"/>
      <c r="N598" s="228"/>
      <c r="O598" s="235"/>
      <c r="P598" s="236"/>
      <c r="Q598" s="235"/>
      <c r="R598" s="235"/>
      <c r="S598" s="236"/>
      <c r="T598" s="236"/>
      <c r="U598" s="237"/>
      <c r="V598" s="237"/>
      <c r="W598" s="238"/>
      <c r="X598" s="237"/>
      <c r="Y598" s="237"/>
      <c r="Z598" s="237"/>
      <c r="AA598" s="239"/>
      <c r="AB598" s="238"/>
      <c r="AC598" s="238"/>
      <c r="AD598" s="240"/>
      <c r="AE598" s="241"/>
      <c r="AF598" s="241"/>
      <c r="AG598" s="238"/>
      <c r="AH598" s="240"/>
      <c r="AI598" s="241"/>
      <c r="AJ598" s="241"/>
      <c r="AK598" s="241"/>
      <c r="AL598" s="237"/>
      <c r="AM598" s="237"/>
      <c r="AN598" s="237"/>
      <c r="AO598" s="237"/>
      <c r="AP598" s="237"/>
      <c r="AQ598" s="237"/>
      <c r="AR598" s="237"/>
    </row>
    <row r="599">
      <c r="A599" s="228"/>
      <c r="B599" s="228"/>
      <c r="C599" s="228"/>
      <c r="D599" s="228"/>
      <c r="E599" s="228"/>
      <c r="F599" s="228"/>
      <c r="G599" s="228"/>
      <c r="H599" s="241"/>
      <c r="I599" s="228"/>
      <c r="J599" s="236"/>
      <c r="K599" s="228"/>
      <c r="L599" s="228"/>
      <c r="M599" s="238"/>
      <c r="N599" s="228"/>
      <c r="O599" s="235"/>
      <c r="P599" s="236"/>
      <c r="Q599" s="235"/>
      <c r="R599" s="235"/>
      <c r="S599" s="236"/>
      <c r="T599" s="236"/>
      <c r="U599" s="237"/>
      <c r="V599" s="237"/>
      <c r="W599" s="238"/>
      <c r="X599" s="237"/>
      <c r="Y599" s="237"/>
      <c r="Z599" s="237"/>
      <c r="AA599" s="239"/>
      <c r="AB599" s="238"/>
      <c r="AC599" s="238"/>
      <c r="AD599" s="240"/>
      <c r="AE599" s="241"/>
      <c r="AF599" s="241"/>
      <c r="AG599" s="238"/>
      <c r="AH599" s="240"/>
      <c r="AI599" s="241"/>
      <c r="AJ599" s="241"/>
      <c r="AK599" s="241"/>
      <c r="AL599" s="237"/>
      <c r="AM599" s="237"/>
      <c r="AN599" s="237"/>
      <c r="AO599" s="237"/>
      <c r="AP599" s="237"/>
      <c r="AQ599" s="237"/>
      <c r="AR599" s="237"/>
    </row>
    <row r="600">
      <c r="A600" s="228"/>
      <c r="B600" s="228"/>
      <c r="C600" s="228"/>
      <c r="D600" s="228"/>
      <c r="E600" s="228"/>
      <c r="F600" s="228"/>
      <c r="G600" s="228"/>
      <c r="H600" s="241"/>
      <c r="I600" s="228"/>
      <c r="J600" s="236"/>
      <c r="K600" s="228"/>
      <c r="L600" s="228"/>
      <c r="M600" s="238"/>
      <c r="N600" s="228"/>
      <c r="O600" s="235"/>
      <c r="P600" s="236"/>
      <c r="Q600" s="235"/>
      <c r="R600" s="235"/>
      <c r="S600" s="236"/>
      <c r="T600" s="236"/>
      <c r="U600" s="237"/>
      <c r="V600" s="237"/>
      <c r="W600" s="238"/>
      <c r="X600" s="237"/>
      <c r="Y600" s="237"/>
      <c r="Z600" s="237"/>
      <c r="AA600" s="239"/>
      <c r="AB600" s="238"/>
      <c r="AC600" s="238"/>
      <c r="AD600" s="240"/>
      <c r="AE600" s="241"/>
      <c r="AF600" s="241"/>
      <c r="AG600" s="238"/>
      <c r="AH600" s="240"/>
      <c r="AI600" s="241"/>
      <c r="AJ600" s="241"/>
      <c r="AK600" s="241"/>
      <c r="AL600" s="237"/>
      <c r="AM600" s="237"/>
      <c r="AN600" s="237"/>
      <c r="AO600" s="237"/>
      <c r="AP600" s="237"/>
      <c r="AQ600" s="237"/>
      <c r="AR600" s="237"/>
    </row>
    <row r="601">
      <c r="A601" s="228"/>
      <c r="B601" s="228"/>
      <c r="C601" s="228"/>
      <c r="D601" s="228"/>
      <c r="E601" s="228"/>
      <c r="F601" s="228"/>
      <c r="G601" s="228"/>
      <c r="H601" s="241"/>
      <c r="I601" s="228"/>
      <c r="J601" s="236"/>
      <c r="K601" s="228"/>
      <c r="L601" s="228"/>
      <c r="M601" s="238"/>
      <c r="N601" s="228"/>
      <c r="O601" s="235"/>
      <c r="P601" s="236"/>
      <c r="Q601" s="235"/>
      <c r="R601" s="235"/>
      <c r="S601" s="236"/>
      <c r="T601" s="236"/>
      <c r="U601" s="237"/>
      <c r="V601" s="237"/>
      <c r="W601" s="238"/>
      <c r="X601" s="237"/>
      <c r="Y601" s="237"/>
      <c r="Z601" s="237"/>
      <c r="AA601" s="239"/>
      <c r="AB601" s="238"/>
      <c r="AC601" s="238"/>
      <c r="AD601" s="240"/>
      <c r="AE601" s="241"/>
      <c r="AF601" s="241"/>
      <c r="AG601" s="238"/>
      <c r="AH601" s="240"/>
      <c r="AI601" s="241"/>
      <c r="AJ601" s="241"/>
      <c r="AK601" s="241"/>
      <c r="AL601" s="237"/>
      <c r="AM601" s="237"/>
      <c r="AN601" s="237"/>
      <c r="AO601" s="237"/>
      <c r="AP601" s="237"/>
      <c r="AQ601" s="237"/>
      <c r="AR601" s="237"/>
    </row>
    <row r="602">
      <c r="A602" s="228"/>
      <c r="B602" s="228"/>
      <c r="C602" s="228"/>
      <c r="D602" s="228"/>
      <c r="E602" s="228"/>
      <c r="F602" s="228"/>
      <c r="G602" s="228"/>
      <c r="H602" s="241"/>
      <c r="I602" s="228"/>
      <c r="J602" s="236"/>
      <c r="K602" s="228"/>
      <c r="L602" s="228"/>
      <c r="M602" s="238"/>
      <c r="N602" s="228"/>
      <c r="O602" s="235"/>
      <c r="P602" s="236"/>
      <c r="Q602" s="235"/>
      <c r="R602" s="235"/>
      <c r="S602" s="236"/>
      <c r="T602" s="236"/>
      <c r="U602" s="237"/>
      <c r="V602" s="237"/>
      <c r="W602" s="238"/>
      <c r="X602" s="237"/>
      <c r="Y602" s="237"/>
      <c r="Z602" s="237"/>
      <c r="AA602" s="239"/>
      <c r="AB602" s="238"/>
      <c r="AC602" s="238"/>
      <c r="AD602" s="240"/>
      <c r="AE602" s="241"/>
      <c r="AF602" s="241"/>
      <c r="AG602" s="238"/>
      <c r="AH602" s="240"/>
      <c r="AI602" s="241"/>
      <c r="AJ602" s="241"/>
      <c r="AK602" s="241"/>
      <c r="AL602" s="237"/>
      <c r="AM602" s="237"/>
      <c r="AN602" s="237"/>
      <c r="AO602" s="237"/>
      <c r="AP602" s="237"/>
      <c r="AQ602" s="237"/>
      <c r="AR602" s="237"/>
    </row>
    <row r="603">
      <c r="A603" s="228"/>
      <c r="B603" s="228"/>
      <c r="C603" s="228"/>
      <c r="D603" s="228"/>
      <c r="E603" s="228"/>
      <c r="F603" s="228"/>
      <c r="G603" s="228"/>
      <c r="H603" s="241"/>
      <c r="I603" s="228"/>
      <c r="J603" s="236"/>
      <c r="K603" s="228"/>
      <c r="L603" s="228"/>
      <c r="M603" s="238"/>
      <c r="N603" s="228"/>
      <c r="O603" s="235"/>
      <c r="P603" s="236"/>
      <c r="Q603" s="235"/>
      <c r="R603" s="235"/>
      <c r="S603" s="236"/>
      <c r="T603" s="236"/>
      <c r="U603" s="237"/>
      <c r="V603" s="237"/>
      <c r="W603" s="238"/>
      <c r="X603" s="237"/>
      <c r="Y603" s="237"/>
      <c r="Z603" s="237"/>
      <c r="AA603" s="239"/>
      <c r="AB603" s="238"/>
      <c r="AC603" s="238"/>
      <c r="AD603" s="240"/>
      <c r="AE603" s="241"/>
      <c r="AF603" s="241"/>
      <c r="AG603" s="238"/>
      <c r="AH603" s="240"/>
      <c r="AI603" s="241"/>
      <c r="AJ603" s="241"/>
      <c r="AK603" s="241"/>
      <c r="AL603" s="237"/>
      <c r="AM603" s="237"/>
      <c r="AN603" s="237"/>
      <c r="AO603" s="237"/>
      <c r="AP603" s="237"/>
      <c r="AQ603" s="237"/>
      <c r="AR603" s="237"/>
    </row>
    <row r="604">
      <c r="A604" s="228"/>
      <c r="B604" s="228"/>
      <c r="C604" s="228"/>
      <c r="D604" s="228"/>
      <c r="E604" s="228"/>
      <c r="F604" s="228"/>
      <c r="G604" s="228"/>
      <c r="H604" s="241"/>
      <c r="I604" s="228"/>
      <c r="J604" s="236"/>
      <c r="K604" s="228"/>
      <c r="L604" s="228"/>
      <c r="M604" s="238"/>
      <c r="N604" s="228"/>
      <c r="O604" s="235"/>
      <c r="P604" s="236"/>
      <c r="Q604" s="235"/>
      <c r="R604" s="235"/>
      <c r="S604" s="236"/>
      <c r="T604" s="236"/>
      <c r="U604" s="237"/>
      <c r="V604" s="237"/>
      <c r="W604" s="238"/>
      <c r="X604" s="237"/>
      <c r="Y604" s="237"/>
      <c r="Z604" s="237"/>
      <c r="AA604" s="239"/>
      <c r="AB604" s="238"/>
      <c r="AC604" s="238"/>
      <c r="AD604" s="240"/>
      <c r="AE604" s="241"/>
      <c r="AF604" s="241"/>
      <c r="AG604" s="238"/>
      <c r="AH604" s="240"/>
      <c r="AI604" s="241"/>
      <c r="AJ604" s="241"/>
      <c r="AK604" s="241"/>
      <c r="AL604" s="237"/>
      <c r="AM604" s="237"/>
      <c r="AN604" s="237"/>
      <c r="AO604" s="237"/>
      <c r="AP604" s="237"/>
      <c r="AQ604" s="237"/>
      <c r="AR604" s="237"/>
    </row>
    <row r="605">
      <c r="A605" s="228"/>
      <c r="B605" s="228"/>
      <c r="C605" s="228"/>
      <c r="D605" s="228"/>
      <c r="E605" s="228"/>
      <c r="F605" s="228"/>
      <c r="G605" s="228"/>
      <c r="H605" s="241"/>
      <c r="I605" s="228"/>
      <c r="J605" s="236"/>
      <c r="K605" s="228"/>
      <c r="L605" s="228"/>
      <c r="M605" s="238"/>
      <c r="N605" s="228"/>
      <c r="O605" s="235"/>
      <c r="P605" s="236"/>
      <c r="Q605" s="235"/>
      <c r="R605" s="235"/>
      <c r="S605" s="236"/>
      <c r="T605" s="236"/>
      <c r="U605" s="237"/>
      <c r="V605" s="237"/>
      <c r="W605" s="238"/>
      <c r="X605" s="237"/>
      <c r="Y605" s="237"/>
      <c r="Z605" s="237"/>
      <c r="AA605" s="239"/>
      <c r="AB605" s="238"/>
      <c r="AC605" s="238"/>
      <c r="AD605" s="240"/>
      <c r="AE605" s="241"/>
      <c r="AF605" s="241"/>
      <c r="AG605" s="238"/>
      <c r="AH605" s="240"/>
      <c r="AI605" s="241"/>
      <c r="AJ605" s="241"/>
      <c r="AK605" s="241"/>
      <c r="AL605" s="237"/>
      <c r="AM605" s="237"/>
      <c r="AN605" s="237"/>
      <c r="AO605" s="237"/>
      <c r="AP605" s="237"/>
      <c r="AQ605" s="237"/>
      <c r="AR605" s="237"/>
    </row>
    <row r="606">
      <c r="A606" s="228"/>
      <c r="B606" s="228"/>
      <c r="C606" s="228"/>
      <c r="D606" s="228"/>
      <c r="E606" s="228"/>
      <c r="F606" s="228"/>
      <c r="G606" s="228"/>
      <c r="H606" s="241"/>
      <c r="I606" s="228"/>
      <c r="J606" s="236"/>
      <c r="K606" s="228"/>
      <c r="L606" s="228"/>
      <c r="M606" s="238"/>
      <c r="N606" s="228"/>
      <c r="O606" s="235"/>
      <c r="P606" s="236"/>
      <c r="Q606" s="235"/>
      <c r="R606" s="235"/>
      <c r="S606" s="236"/>
      <c r="T606" s="236"/>
      <c r="U606" s="237"/>
      <c r="V606" s="237"/>
      <c r="W606" s="238"/>
      <c r="X606" s="237"/>
      <c r="Y606" s="237"/>
      <c r="Z606" s="237"/>
      <c r="AA606" s="239"/>
      <c r="AB606" s="238"/>
      <c r="AC606" s="238"/>
      <c r="AD606" s="240"/>
      <c r="AE606" s="241"/>
      <c r="AF606" s="241"/>
      <c r="AG606" s="238"/>
      <c r="AH606" s="240"/>
      <c r="AI606" s="241"/>
      <c r="AJ606" s="241"/>
      <c r="AK606" s="241"/>
      <c r="AL606" s="237"/>
      <c r="AM606" s="237"/>
      <c r="AN606" s="237"/>
      <c r="AO606" s="237"/>
      <c r="AP606" s="237"/>
      <c r="AQ606" s="237"/>
      <c r="AR606" s="237"/>
    </row>
    <row r="607">
      <c r="A607" s="228"/>
      <c r="B607" s="228"/>
      <c r="C607" s="228"/>
      <c r="D607" s="228"/>
      <c r="E607" s="228"/>
      <c r="F607" s="228"/>
      <c r="G607" s="228"/>
      <c r="H607" s="241"/>
      <c r="I607" s="228"/>
      <c r="J607" s="236"/>
      <c r="K607" s="228"/>
      <c r="L607" s="228"/>
      <c r="M607" s="238"/>
      <c r="N607" s="228"/>
      <c r="O607" s="235"/>
      <c r="P607" s="236"/>
      <c r="Q607" s="235"/>
      <c r="R607" s="235"/>
      <c r="S607" s="236"/>
      <c r="T607" s="236"/>
      <c r="U607" s="237"/>
      <c r="V607" s="237"/>
      <c r="W607" s="238"/>
      <c r="X607" s="237"/>
      <c r="Y607" s="237"/>
      <c r="Z607" s="237"/>
      <c r="AA607" s="239"/>
      <c r="AB607" s="238"/>
      <c r="AC607" s="238"/>
      <c r="AD607" s="240"/>
      <c r="AE607" s="241"/>
      <c r="AF607" s="241"/>
      <c r="AG607" s="238"/>
      <c r="AH607" s="240"/>
      <c r="AI607" s="241"/>
      <c r="AJ607" s="241"/>
      <c r="AK607" s="241"/>
      <c r="AL607" s="237"/>
      <c r="AM607" s="237"/>
      <c r="AN607" s="237"/>
      <c r="AO607" s="237"/>
      <c r="AP607" s="237"/>
      <c r="AQ607" s="237"/>
      <c r="AR607" s="237"/>
    </row>
    <row r="608">
      <c r="A608" s="228"/>
      <c r="B608" s="228"/>
      <c r="C608" s="228"/>
      <c r="D608" s="228"/>
      <c r="E608" s="228"/>
      <c r="F608" s="228"/>
      <c r="G608" s="228"/>
      <c r="H608" s="241"/>
      <c r="I608" s="228"/>
      <c r="J608" s="236"/>
      <c r="K608" s="228"/>
      <c r="L608" s="228"/>
      <c r="M608" s="238"/>
      <c r="N608" s="228"/>
      <c r="O608" s="235"/>
      <c r="P608" s="236"/>
      <c r="Q608" s="235"/>
      <c r="R608" s="235"/>
      <c r="S608" s="236"/>
      <c r="T608" s="236"/>
      <c r="U608" s="237"/>
      <c r="V608" s="237"/>
      <c r="W608" s="238"/>
      <c r="X608" s="237"/>
      <c r="Y608" s="237"/>
      <c r="Z608" s="237"/>
      <c r="AA608" s="239"/>
      <c r="AB608" s="238"/>
      <c r="AC608" s="238"/>
      <c r="AD608" s="240"/>
      <c r="AE608" s="241"/>
      <c r="AF608" s="241"/>
      <c r="AG608" s="238"/>
      <c r="AH608" s="240"/>
      <c r="AI608" s="241"/>
      <c r="AJ608" s="241"/>
      <c r="AK608" s="241"/>
      <c r="AL608" s="237"/>
      <c r="AM608" s="237"/>
      <c r="AN608" s="237"/>
      <c r="AO608" s="237"/>
      <c r="AP608" s="237"/>
      <c r="AQ608" s="237"/>
      <c r="AR608" s="237"/>
    </row>
    <row r="609">
      <c r="A609" s="228"/>
      <c r="B609" s="228"/>
      <c r="C609" s="228"/>
      <c r="D609" s="228"/>
      <c r="E609" s="228"/>
      <c r="F609" s="228"/>
      <c r="G609" s="228"/>
      <c r="H609" s="241"/>
      <c r="I609" s="228"/>
      <c r="J609" s="236"/>
      <c r="K609" s="228"/>
      <c r="L609" s="228"/>
      <c r="M609" s="238"/>
      <c r="N609" s="228"/>
      <c r="O609" s="235"/>
      <c r="P609" s="236"/>
      <c r="Q609" s="235"/>
      <c r="R609" s="235"/>
      <c r="S609" s="236"/>
      <c r="T609" s="236"/>
      <c r="U609" s="237"/>
      <c r="V609" s="237"/>
      <c r="W609" s="238"/>
      <c r="X609" s="237"/>
      <c r="Y609" s="237"/>
      <c r="Z609" s="237"/>
      <c r="AA609" s="239"/>
      <c r="AB609" s="238"/>
      <c r="AC609" s="238"/>
      <c r="AD609" s="240"/>
      <c r="AE609" s="241"/>
      <c r="AF609" s="241"/>
      <c r="AG609" s="238"/>
      <c r="AH609" s="240"/>
      <c r="AI609" s="241"/>
      <c r="AJ609" s="241"/>
      <c r="AK609" s="241"/>
      <c r="AL609" s="237"/>
      <c r="AM609" s="237"/>
      <c r="AN609" s="237"/>
      <c r="AO609" s="237"/>
      <c r="AP609" s="237"/>
      <c r="AQ609" s="237"/>
      <c r="AR609" s="237"/>
    </row>
    <row r="610">
      <c r="A610" s="228"/>
      <c r="B610" s="228"/>
      <c r="C610" s="228"/>
      <c r="D610" s="228"/>
      <c r="E610" s="228"/>
      <c r="F610" s="228"/>
      <c r="G610" s="228"/>
      <c r="H610" s="241"/>
      <c r="I610" s="228"/>
      <c r="J610" s="236"/>
      <c r="K610" s="228"/>
      <c r="L610" s="228"/>
      <c r="M610" s="238"/>
      <c r="N610" s="228"/>
      <c r="O610" s="235"/>
      <c r="P610" s="236"/>
      <c r="Q610" s="235"/>
      <c r="R610" s="235"/>
      <c r="S610" s="236"/>
      <c r="T610" s="236"/>
      <c r="U610" s="237"/>
      <c r="V610" s="237"/>
      <c r="W610" s="238"/>
      <c r="X610" s="237"/>
      <c r="Y610" s="237"/>
      <c r="Z610" s="237"/>
      <c r="AA610" s="239"/>
      <c r="AB610" s="238"/>
      <c r="AC610" s="238"/>
      <c r="AD610" s="240"/>
      <c r="AE610" s="241"/>
      <c r="AF610" s="241"/>
      <c r="AG610" s="238"/>
      <c r="AH610" s="240"/>
      <c r="AI610" s="241"/>
      <c r="AJ610" s="241"/>
      <c r="AK610" s="241"/>
      <c r="AL610" s="237"/>
      <c r="AM610" s="237"/>
      <c r="AN610" s="237"/>
      <c r="AO610" s="237"/>
      <c r="AP610" s="237"/>
      <c r="AQ610" s="237"/>
      <c r="AR610" s="237"/>
    </row>
    <row r="611">
      <c r="A611" s="228"/>
      <c r="B611" s="228"/>
      <c r="C611" s="228"/>
      <c r="D611" s="228"/>
      <c r="E611" s="228"/>
      <c r="F611" s="228"/>
      <c r="G611" s="228"/>
      <c r="H611" s="241"/>
      <c r="I611" s="228"/>
      <c r="J611" s="236"/>
      <c r="K611" s="228"/>
      <c r="L611" s="228"/>
      <c r="M611" s="238"/>
      <c r="N611" s="228"/>
      <c r="O611" s="235"/>
      <c r="P611" s="236"/>
      <c r="Q611" s="235"/>
      <c r="R611" s="235"/>
      <c r="S611" s="236"/>
      <c r="T611" s="236"/>
      <c r="U611" s="237"/>
      <c r="V611" s="237"/>
      <c r="W611" s="238"/>
      <c r="X611" s="237"/>
      <c r="Y611" s="237"/>
      <c r="Z611" s="237"/>
      <c r="AA611" s="239"/>
      <c r="AB611" s="238"/>
      <c r="AC611" s="238"/>
      <c r="AD611" s="240"/>
      <c r="AE611" s="241"/>
      <c r="AF611" s="241"/>
      <c r="AG611" s="238"/>
      <c r="AH611" s="240"/>
      <c r="AI611" s="241"/>
      <c r="AJ611" s="241"/>
      <c r="AK611" s="241"/>
      <c r="AL611" s="237"/>
      <c r="AM611" s="237"/>
      <c r="AN611" s="237"/>
      <c r="AO611" s="237"/>
      <c r="AP611" s="237"/>
      <c r="AQ611" s="237"/>
      <c r="AR611" s="237"/>
    </row>
    <row r="612">
      <c r="A612" s="228"/>
      <c r="B612" s="228"/>
      <c r="C612" s="228"/>
      <c r="D612" s="228"/>
      <c r="E612" s="228"/>
      <c r="F612" s="228"/>
      <c r="G612" s="228"/>
      <c r="H612" s="241"/>
      <c r="I612" s="228"/>
      <c r="J612" s="236"/>
      <c r="K612" s="228"/>
      <c r="L612" s="228"/>
      <c r="M612" s="238"/>
      <c r="N612" s="228"/>
      <c r="O612" s="235"/>
      <c r="P612" s="236"/>
      <c r="Q612" s="235"/>
      <c r="R612" s="235"/>
      <c r="S612" s="236"/>
      <c r="T612" s="236"/>
      <c r="U612" s="237"/>
      <c r="V612" s="237"/>
      <c r="W612" s="238"/>
      <c r="X612" s="237"/>
      <c r="Y612" s="237"/>
      <c r="Z612" s="237"/>
      <c r="AA612" s="239"/>
      <c r="AB612" s="238"/>
      <c r="AC612" s="238"/>
      <c r="AD612" s="240"/>
      <c r="AE612" s="241"/>
      <c r="AF612" s="241"/>
      <c r="AG612" s="238"/>
      <c r="AH612" s="240"/>
      <c r="AI612" s="241"/>
      <c r="AJ612" s="241"/>
      <c r="AK612" s="241"/>
      <c r="AL612" s="237"/>
      <c r="AM612" s="237"/>
      <c r="AN612" s="237"/>
      <c r="AO612" s="237"/>
      <c r="AP612" s="237"/>
      <c r="AQ612" s="237"/>
      <c r="AR612" s="237"/>
    </row>
    <row r="613">
      <c r="A613" s="228"/>
      <c r="B613" s="228"/>
      <c r="C613" s="228"/>
      <c r="D613" s="228"/>
      <c r="E613" s="228"/>
      <c r="F613" s="228"/>
      <c r="G613" s="228"/>
      <c r="H613" s="241"/>
      <c r="I613" s="228"/>
      <c r="J613" s="236"/>
      <c r="K613" s="228"/>
      <c r="L613" s="228"/>
      <c r="M613" s="238"/>
      <c r="N613" s="228"/>
      <c r="O613" s="235"/>
      <c r="P613" s="236"/>
      <c r="Q613" s="235"/>
      <c r="R613" s="235"/>
      <c r="S613" s="236"/>
      <c r="T613" s="236"/>
      <c r="U613" s="237"/>
      <c r="V613" s="237"/>
      <c r="W613" s="238"/>
      <c r="X613" s="237"/>
      <c r="Y613" s="237"/>
      <c r="Z613" s="237"/>
      <c r="AA613" s="239"/>
      <c r="AB613" s="238"/>
      <c r="AC613" s="238"/>
      <c r="AD613" s="240"/>
      <c r="AE613" s="241"/>
      <c r="AF613" s="241"/>
      <c r="AG613" s="238"/>
      <c r="AH613" s="240"/>
      <c r="AI613" s="241"/>
      <c r="AJ613" s="241"/>
      <c r="AK613" s="241"/>
      <c r="AL613" s="237"/>
      <c r="AM613" s="237"/>
      <c r="AN613" s="237"/>
      <c r="AO613" s="237"/>
      <c r="AP613" s="237"/>
      <c r="AQ613" s="237"/>
      <c r="AR613" s="237"/>
    </row>
    <row r="614">
      <c r="A614" s="228"/>
      <c r="B614" s="228"/>
      <c r="C614" s="228"/>
      <c r="D614" s="228"/>
      <c r="E614" s="228"/>
      <c r="F614" s="228"/>
      <c r="G614" s="228"/>
      <c r="H614" s="241"/>
      <c r="I614" s="228"/>
      <c r="J614" s="236"/>
      <c r="K614" s="228"/>
      <c r="L614" s="228"/>
      <c r="M614" s="238"/>
      <c r="N614" s="228"/>
      <c r="O614" s="235"/>
      <c r="P614" s="236"/>
      <c r="Q614" s="235"/>
      <c r="R614" s="235"/>
      <c r="S614" s="236"/>
      <c r="T614" s="236"/>
      <c r="U614" s="237"/>
      <c r="V614" s="237"/>
      <c r="W614" s="238"/>
      <c r="X614" s="237"/>
      <c r="Y614" s="237"/>
      <c r="Z614" s="237"/>
      <c r="AA614" s="239"/>
      <c r="AB614" s="238"/>
      <c r="AC614" s="238"/>
      <c r="AD614" s="240"/>
      <c r="AE614" s="241"/>
      <c r="AF614" s="241"/>
      <c r="AG614" s="238"/>
      <c r="AH614" s="240"/>
      <c r="AI614" s="241"/>
      <c r="AJ614" s="241"/>
      <c r="AK614" s="241"/>
      <c r="AL614" s="237"/>
      <c r="AM614" s="237"/>
      <c r="AN614" s="237"/>
      <c r="AO614" s="237"/>
      <c r="AP614" s="237"/>
      <c r="AQ614" s="237"/>
      <c r="AR614" s="237"/>
    </row>
    <row r="615">
      <c r="A615" s="228"/>
      <c r="B615" s="228"/>
      <c r="C615" s="228"/>
      <c r="D615" s="228"/>
      <c r="E615" s="228"/>
      <c r="F615" s="228"/>
      <c r="G615" s="228"/>
      <c r="H615" s="241"/>
      <c r="I615" s="228"/>
      <c r="J615" s="236"/>
      <c r="K615" s="228"/>
      <c r="L615" s="228"/>
      <c r="M615" s="238"/>
      <c r="N615" s="228"/>
      <c r="O615" s="235"/>
      <c r="P615" s="236"/>
      <c r="Q615" s="235"/>
      <c r="R615" s="235"/>
      <c r="S615" s="236"/>
      <c r="T615" s="236"/>
      <c r="U615" s="237"/>
      <c r="V615" s="237"/>
      <c r="W615" s="238"/>
      <c r="X615" s="237"/>
      <c r="Y615" s="237"/>
      <c r="Z615" s="237"/>
      <c r="AA615" s="239"/>
      <c r="AB615" s="238"/>
      <c r="AC615" s="238"/>
      <c r="AD615" s="240"/>
      <c r="AE615" s="241"/>
      <c r="AF615" s="241"/>
      <c r="AG615" s="238"/>
      <c r="AH615" s="240"/>
      <c r="AI615" s="241"/>
      <c r="AJ615" s="241"/>
      <c r="AK615" s="241"/>
      <c r="AL615" s="237"/>
      <c r="AM615" s="237"/>
      <c r="AN615" s="237"/>
      <c r="AO615" s="237"/>
      <c r="AP615" s="237"/>
      <c r="AQ615" s="237"/>
      <c r="AR615" s="237"/>
    </row>
    <row r="616">
      <c r="A616" s="228"/>
      <c r="B616" s="228"/>
      <c r="C616" s="228"/>
      <c r="D616" s="228"/>
      <c r="E616" s="228"/>
      <c r="F616" s="228"/>
      <c r="G616" s="228"/>
      <c r="H616" s="241"/>
      <c r="I616" s="228"/>
      <c r="J616" s="236"/>
      <c r="K616" s="228"/>
      <c r="L616" s="228"/>
      <c r="M616" s="238"/>
      <c r="N616" s="228"/>
      <c r="O616" s="235"/>
      <c r="P616" s="236"/>
      <c r="Q616" s="235"/>
      <c r="R616" s="235"/>
      <c r="S616" s="236"/>
      <c r="T616" s="236"/>
      <c r="U616" s="237"/>
      <c r="V616" s="237"/>
      <c r="W616" s="238"/>
      <c r="X616" s="237"/>
      <c r="Y616" s="237"/>
      <c r="Z616" s="237"/>
      <c r="AA616" s="239"/>
      <c r="AB616" s="238"/>
      <c r="AC616" s="238"/>
      <c r="AD616" s="240"/>
      <c r="AE616" s="241"/>
      <c r="AF616" s="241"/>
      <c r="AG616" s="238"/>
      <c r="AH616" s="240"/>
      <c r="AI616" s="241"/>
      <c r="AJ616" s="241"/>
      <c r="AK616" s="241"/>
      <c r="AL616" s="237"/>
      <c r="AM616" s="237"/>
      <c r="AN616" s="237"/>
      <c r="AO616" s="237"/>
      <c r="AP616" s="237"/>
      <c r="AQ616" s="237"/>
      <c r="AR616" s="237"/>
    </row>
    <row r="617">
      <c r="A617" s="228"/>
      <c r="B617" s="228"/>
      <c r="C617" s="228"/>
      <c r="D617" s="228"/>
      <c r="E617" s="228"/>
      <c r="F617" s="228"/>
      <c r="G617" s="228"/>
      <c r="H617" s="241"/>
      <c r="I617" s="228"/>
      <c r="J617" s="236"/>
      <c r="K617" s="228"/>
      <c r="L617" s="228"/>
      <c r="M617" s="238"/>
      <c r="N617" s="228"/>
      <c r="O617" s="235"/>
      <c r="P617" s="236"/>
      <c r="Q617" s="235"/>
      <c r="R617" s="235"/>
      <c r="S617" s="236"/>
      <c r="T617" s="236"/>
      <c r="U617" s="237"/>
      <c r="V617" s="237"/>
      <c r="W617" s="238"/>
      <c r="X617" s="237"/>
      <c r="Y617" s="237"/>
      <c r="Z617" s="237"/>
      <c r="AA617" s="239"/>
      <c r="AB617" s="238"/>
      <c r="AC617" s="238"/>
      <c r="AD617" s="240"/>
      <c r="AE617" s="241"/>
      <c r="AF617" s="241"/>
      <c r="AG617" s="238"/>
      <c r="AH617" s="240"/>
      <c r="AI617" s="241"/>
      <c r="AJ617" s="241"/>
      <c r="AK617" s="241"/>
      <c r="AL617" s="237"/>
      <c r="AM617" s="237"/>
      <c r="AN617" s="237"/>
      <c r="AO617" s="237"/>
      <c r="AP617" s="237"/>
      <c r="AQ617" s="237"/>
      <c r="AR617" s="237"/>
    </row>
    <row r="618">
      <c r="A618" s="228"/>
      <c r="B618" s="228"/>
      <c r="C618" s="228"/>
      <c r="D618" s="228"/>
      <c r="E618" s="228"/>
      <c r="F618" s="228"/>
      <c r="G618" s="228"/>
      <c r="H618" s="241"/>
      <c r="I618" s="228"/>
      <c r="J618" s="236"/>
      <c r="K618" s="228"/>
      <c r="L618" s="228"/>
      <c r="M618" s="238"/>
      <c r="N618" s="228"/>
      <c r="O618" s="235"/>
      <c r="P618" s="236"/>
      <c r="Q618" s="235"/>
      <c r="R618" s="235"/>
      <c r="S618" s="236"/>
      <c r="T618" s="236"/>
      <c r="U618" s="237"/>
      <c r="V618" s="237"/>
      <c r="W618" s="238"/>
      <c r="X618" s="237"/>
      <c r="Y618" s="237"/>
      <c r="Z618" s="237"/>
      <c r="AA618" s="239"/>
      <c r="AB618" s="238"/>
      <c r="AC618" s="238"/>
      <c r="AD618" s="240"/>
      <c r="AE618" s="241"/>
      <c r="AF618" s="241"/>
      <c r="AG618" s="238"/>
      <c r="AH618" s="240"/>
      <c r="AI618" s="241"/>
      <c r="AJ618" s="241"/>
      <c r="AK618" s="241"/>
      <c r="AL618" s="237"/>
      <c r="AM618" s="237"/>
      <c r="AN618" s="237"/>
      <c r="AO618" s="237"/>
      <c r="AP618" s="237"/>
      <c r="AQ618" s="237"/>
      <c r="AR618" s="237"/>
    </row>
    <row r="619">
      <c r="A619" s="228"/>
      <c r="B619" s="228"/>
      <c r="C619" s="228"/>
      <c r="D619" s="228"/>
      <c r="E619" s="228"/>
      <c r="F619" s="228"/>
      <c r="G619" s="228"/>
      <c r="H619" s="241"/>
      <c r="I619" s="228"/>
      <c r="J619" s="236"/>
      <c r="K619" s="228"/>
      <c r="L619" s="228"/>
      <c r="M619" s="238"/>
      <c r="N619" s="228"/>
      <c r="O619" s="235"/>
      <c r="P619" s="236"/>
      <c r="Q619" s="235"/>
      <c r="R619" s="235"/>
      <c r="S619" s="236"/>
      <c r="T619" s="236"/>
      <c r="U619" s="237"/>
      <c r="V619" s="237"/>
      <c r="W619" s="238"/>
      <c r="X619" s="237"/>
      <c r="Y619" s="237"/>
      <c r="Z619" s="237"/>
      <c r="AA619" s="239"/>
      <c r="AB619" s="238"/>
      <c r="AC619" s="238"/>
      <c r="AD619" s="240"/>
      <c r="AE619" s="241"/>
      <c r="AF619" s="241"/>
      <c r="AG619" s="238"/>
      <c r="AH619" s="240"/>
      <c r="AI619" s="241"/>
      <c r="AJ619" s="241"/>
      <c r="AK619" s="241"/>
      <c r="AL619" s="237"/>
      <c r="AM619" s="237"/>
      <c r="AN619" s="237"/>
      <c r="AO619" s="237"/>
      <c r="AP619" s="237"/>
      <c r="AQ619" s="237"/>
      <c r="AR619" s="237"/>
    </row>
    <row r="620">
      <c r="A620" s="228"/>
      <c r="B620" s="228"/>
      <c r="C620" s="228"/>
      <c r="D620" s="228"/>
      <c r="E620" s="228"/>
      <c r="F620" s="228"/>
      <c r="G620" s="228"/>
      <c r="H620" s="241"/>
      <c r="I620" s="228"/>
      <c r="J620" s="236"/>
      <c r="K620" s="228"/>
      <c r="L620" s="228"/>
      <c r="M620" s="238"/>
      <c r="N620" s="228"/>
      <c r="O620" s="235"/>
      <c r="P620" s="236"/>
      <c r="Q620" s="235"/>
      <c r="R620" s="235"/>
      <c r="S620" s="236"/>
      <c r="T620" s="236"/>
      <c r="U620" s="237"/>
      <c r="V620" s="237"/>
      <c r="W620" s="238"/>
      <c r="X620" s="237"/>
      <c r="Y620" s="237"/>
      <c r="Z620" s="237"/>
      <c r="AA620" s="239"/>
      <c r="AB620" s="238"/>
      <c r="AC620" s="238"/>
      <c r="AD620" s="240"/>
      <c r="AE620" s="241"/>
      <c r="AF620" s="241"/>
      <c r="AG620" s="238"/>
      <c r="AH620" s="240"/>
      <c r="AI620" s="241"/>
      <c r="AJ620" s="241"/>
      <c r="AK620" s="241"/>
      <c r="AL620" s="237"/>
      <c r="AM620" s="237"/>
      <c r="AN620" s="237"/>
      <c r="AO620" s="237"/>
      <c r="AP620" s="237"/>
      <c r="AQ620" s="237"/>
      <c r="AR620" s="237"/>
    </row>
    <row r="621">
      <c r="A621" s="228"/>
      <c r="B621" s="228"/>
      <c r="C621" s="228"/>
      <c r="D621" s="228"/>
      <c r="E621" s="228"/>
      <c r="F621" s="228"/>
      <c r="G621" s="228"/>
      <c r="H621" s="241"/>
      <c r="I621" s="228"/>
      <c r="J621" s="236"/>
      <c r="K621" s="228"/>
      <c r="L621" s="228"/>
      <c r="M621" s="238"/>
      <c r="N621" s="228"/>
      <c r="O621" s="235"/>
      <c r="P621" s="236"/>
      <c r="Q621" s="235"/>
      <c r="R621" s="235"/>
      <c r="S621" s="236"/>
      <c r="T621" s="236"/>
      <c r="U621" s="237"/>
      <c r="V621" s="237"/>
      <c r="W621" s="238"/>
      <c r="X621" s="237"/>
      <c r="Y621" s="237"/>
      <c r="Z621" s="237"/>
      <c r="AA621" s="239"/>
      <c r="AB621" s="238"/>
      <c r="AC621" s="238"/>
      <c r="AD621" s="240"/>
      <c r="AE621" s="241"/>
      <c r="AF621" s="241"/>
      <c r="AG621" s="238"/>
      <c r="AH621" s="240"/>
      <c r="AI621" s="241"/>
      <c r="AJ621" s="241"/>
      <c r="AK621" s="241"/>
      <c r="AL621" s="237"/>
      <c r="AM621" s="237"/>
      <c r="AN621" s="237"/>
      <c r="AO621" s="237"/>
      <c r="AP621" s="237"/>
      <c r="AQ621" s="237"/>
      <c r="AR621" s="237"/>
    </row>
    <row r="622">
      <c r="A622" s="228"/>
      <c r="B622" s="228"/>
      <c r="C622" s="228"/>
      <c r="D622" s="228"/>
      <c r="E622" s="228"/>
      <c r="F622" s="228"/>
      <c r="G622" s="228"/>
      <c r="H622" s="241"/>
      <c r="I622" s="228"/>
      <c r="J622" s="236"/>
      <c r="K622" s="228"/>
      <c r="L622" s="228"/>
      <c r="M622" s="238"/>
      <c r="N622" s="228"/>
      <c r="O622" s="235"/>
      <c r="P622" s="236"/>
      <c r="Q622" s="235"/>
      <c r="R622" s="235"/>
      <c r="S622" s="236"/>
      <c r="T622" s="236"/>
      <c r="U622" s="237"/>
      <c r="V622" s="237"/>
      <c r="W622" s="238"/>
      <c r="X622" s="237"/>
      <c r="Y622" s="237"/>
      <c r="Z622" s="237"/>
      <c r="AA622" s="239"/>
      <c r="AB622" s="238"/>
      <c r="AC622" s="238"/>
      <c r="AD622" s="240"/>
      <c r="AE622" s="241"/>
      <c r="AF622" s="241"/>
      <c r="AG622" s="238"/>
      <c r="AH622" s="240"/>
      <c r="AI622" s="241"/>
      <c r="AJ622" s="241"/>
      <c r="AK622" s="241"/>
      <c r="AL622" s="237"/>
      <c r="AM622" s="237"/>
      <c r="AN622" s="237"/>
      <c r="AO622" s="237"/>
      <c r="AP622" s="237"/>
      <c r="AQ622" s="237"/>
      <c r="AR622" s="237"/>
    </row>
    <row r="623">
      <c r="A623" s="228"/>
      <c r="B623" s="228"/>
      <c r="C623" s="228"/>
      <c r="D623" s="228"/>
      <c r="E623" s="228"/>
      <c r="F623" s="228"/>
      <c r="G623" s="228"/>
      <c r="H623" s="241"/>
      <c r="I623" s="228"/>
      <c r="J623" s="236"/>
      <c r="K623" s="228"/>
      <c r="L623" s="228"/>
      <c r="M623" s="238"/>
      <c r="N623" s="228"/>
      <c r="O623" s="235"/>
      <c r="P623" s="236"/>
      <c r="Q623" s="235"/>
      <c r="R623" s="235"/>
      <c r="S623" s="236"/>
      <c r="T623" s="236"/>
      <c r="U623" s="237"/>
      <c r="V623" s="237"/>
      <c r="W623" s="238"/>
      <c r="X623" s="237"/>
      <c r="Y623" s="237"/>
      <c r="Z623" s="237"/>
      <c r="AA623" s="239"/>
      <c r="AB623" s="238"/>
      <c r="AC623" s="238"/>
      <c r="AD623" s="240"/>
      <c r="AE623" s="241"/>
      <c r="AF623" s="241"/>
      <c r="AG623" s="238"/>
      <c r="AH623" s="240"/>
      <c r="AI623" s="241"/>
      <c r="AJ623" s="241"/>
      <c r="AK623" s="241"/>
      <c r="AL623" s="237"/>
      <c r="AM623" s="237"/>
      <c r="AN623" s="237"/>
      <c r="AO623" s="237"/>
      <c r="AP623" s="237"/>
      <c r="AQ623" s="237"/>
      <c r="AR623" s="237"/>
    </row>
    <row r="624">
      <c r="A624" s="228"/>
      <c r="B624" s="228"/>
      <c r="C624" s="228"/>
      <c r="D624" s="228"/>
      <c r="E624" s="228"/>
      <c r="F624" s="228"/>
      <c r="G624" s="228"/>
      <c r="H624" s="241"/>
      <c r="I624" s="228"/>
      <c r="J624" s="236"/>
      <c r="K624" s="228"/>
      <c r="L624" s="228"/>
      <c r="M624" s="238"/>
      <c r="N624" s="228"/>
      <c r="O624" s="235"/>
      <c r="P624" s="236"/>
      <c r="Q624" s="235"/>
      <c r="R624" s="235"/>
      <c r="S624" s="236"/>
      <c r="T624" s="236"/>
      <c r="U624" s="237"/>
      <c r="V624" s="237"/>
      <c r="W624" s="238"/>
      <c r="X624" s="237"/>
      <c r="Y624" s="237"/>
      <c r="Z624" s="237"/>
      <c r="AA624" s="239"/>
      <c r="AB624" s="238"/>
      <c r="AC624" s="238"/>
      <c r="AD624" s="240"/>
      <c r="AE624" s="241"/>
      <c r="AF624" s="241"/>
      <c r="AG624" s="238"/>
      <c r="AH624" s="240"/>
      <c r="AI624" s="241"/>
      <c r="AJ624" s="241"/>
      <c r="AK624" s="241"/>
      <c r="AL624" s="237"/>
      <c r="AM624" s="237"/>
      <c r="AN624" s="237"/>
      <c r="AO624" s="237"/>
      <c r="AP624" s="237"/>
      <c r="AQ624" s="237"/>
      <c r="AR624" s="237"/>
    </row>
    <row r="625">
      <c r="A625" s="228"/>
      <c r="B625" s="228"/>
      <c r="C625" s="228"/>
      <c r="D625" s="228"/>
      <c r="E625" s="228"/>
      <c r="F625" s="228"/>
      <c r="G625" s="228"/>
      <c r="H625" s="241"/>
      <c r="I625" s="228"/>
      <c r="J625" s="236"/>
      <c r="K625" s="228"/>
      <c r="L625" s="228"/>
      <c r="M625" s="238"/>
      <c r="N625" s="228"/>
      <c r="O625" s="235"/>
      <c r="P625" s="236"/>
      <c r="Q625" s="235"/>
      <c r="R625" s="235"/>
      <c r="S625" s="236"/>
      <c r="T625" s="236"/>
      <c r="U625" s="237"/>
      <c r="V625" s="237"/>
      <c r="W625" s="238"/>
      <c r="X625" s="237"/>
      <c r="Y625" s="237"/>
      <c r="Z625" s="237"/>
      <c r="AA625" s="239"/>
      <c r="AB625" s="238"/>
      <c r="AC625" s="238"/>
      <c r="AD625" s="240"/>
      <c r="AE625" s="241"/>
      <c r="AF625" s="241"/>
      <c r="AG625" s="238"/>
      <c r="AH625" s="240"/>
      <c r="AI625" s="241"/>
      <c r="AJ625" s="241"/>
      <c r="AK625" s="241"/>
      <c r="AL625" s="237"/>
      <c r="AM625" s="237"/>
      <c r="AN625" s="237"/>
      <c r="AO625" s="237"/>
      <c r="AP625" s="237"/>
      <c r="AQ625" s="237"/>
      <c r="AR625" s="237"/>
    </row>
    <row r="626">
      <c r="A626" s="228"/>
      <c r="B626" s="228"/>
      <c r="C626" s="228"/>
      <c r="D626" s="228"/>
      <c r="E626" s="228"/>
      <c r="F626" s="228"/>
      <c r="G626" s="228"/>
      <c r="H626" s="241"/>
      <c r="I626" s="228"/>
      <c r="J626" s="236"/>
      <c r="K626" s="228"/>
      <c r="L626" s="228"/>
      <c r="M626" s="238"/>
      <c r="N626" s="228"/>
      <c r="O626" s="235"/>
      <c r="P626" s="236"/>
      <c r="Q626" s="235"/>
      <c r="R626" s="235"/>
      <c r="S626" s="236"/>
      <c r="T626" s="236"/>
      <c r="U626" s="237"/>
      <c r="V626" s="237"/>
      <c r="W626" s="238"/>
      <c r="X626" s="237"/>
      <c r="Y626" s="237"/>
      <c r="Z626" s="237"/>
      <c r="AA626" s="239"/>
      <c r="AB626" s="238"/>
      <c r="AC626" s="238"/>
      <c r="AD626" s="240"/>
      <c r="AE626" s="241"/>
      <c r="AF626" s="241"/>
      <c r="AG626" s="238"/>
      <c r="AH626" s="240"/>
      <c r="AI626" s="241"/>
      <c r="AJ626" s="241"/>
      <c r="AK626" s="241"/>
      <c r="AL626" s="237"/>
      <c r="AM626" s="237"/>
      <c r="AN626" s="237"/>
      <c r="AO626" s="237"/>
      <c r="AP626" s="237"/>
      <c r="AQ626" s="237"/>
      <c r="AR626" s="237"/>
    </row>
    <row r="627">
      <c r="A627" s="228"/>
      <c r="B627" s="228"/>
      <c r="C627" s="228"/>
      <c r="D627" s="228"/>
      <c r="E627" s="228"/>
      <c r="F627" s="228"/>
      <c r="G627" s="228"/>
      <c r="H627" s="241"/>
      <c r="I627" s="228"/>
      <c r="J627" s="236"/>
      <c r="K627" s="228"/>
      <c r="L627" s="228"/>
      <c r="M627" s="238"/>
      <c r="N627" s="228"/>
      <c r="O627" s="235"/>
      <c r="P627" s="236"/>
      <c r="Q627" s="235"/>
      <c r="R627" s="235"/>
      <c r="S627" s="236"/>
      <c r="T627" s="236"/>
      <c r="U627" s="237"/>
      <c r="V627" s="237"/>
      <c r="W627" s="238"/>
      <c r="X627" s="237"/>
      <c r="Y627" s="237"/>
      <c r="Z627" s="237"/>
      <c r="AA627" s="239"/>
      <c r="AB627" s="238"/>
      <c r="AC627" s="238"/>
      <c r="AD627" s="240"/>
      <c r="AE627" s="241"/>
      <c r="AF627" s="241"/>
      <c r="AG627" s="238"/>
      <c r="AH627" s="240"/>
      <c r="AI627" s="241"/>
      <c r="AJ627" s="241"/>
      <c r="AK627" s="241"/>
      <c r="AL627" s="237"/>
      <c r="AM627" s="237"/>
      <c r="AN627" s="237"/>
      <c r="AO627" s="237"/>
      <c r="AP627" s="237"/>
      <c r="AQ627" s="237"/>
      <c r="AR627" s="237"/>
    </row>
    <row r="628">
      <c r="A628" s="228"/>
      <c r="B628" s="228"/>
      <c r="C628" s="228"/>
      <c r="D628" s="228"/>
      <c r="E628" s="228"/>
      <c r="F628" s="228"/>
      <c r="G628" s="228"/>
      <c r="H628" s="241"/>
      <c r="I628" s="228"/>
      <c r="J628" s="236"/>
      <c r="K628" s="228"/>
      <c r="L628" s="228"/>
      <c r="M628" s="238"/>
      <c r="N628" s="228"/>
      <c r="O628" s="235"/>
      <c r="P628" s="236"/>
      <c r="Q628" s="235"/>
      <c r="R628" s="235"/>
      <c r="S628" s="236"/>
      <c r="T628" s="236"/>
      <c r="U628" s="237"/>
      <c r="V628" s="237"/>
      <c r="W628" s="238"/>
      <c r="X628" s="237"/>
      <c r="Y628" s="237"/>
      <c r="Z628" s="237"/>
      <c r="AA628" s="239"/>
      <c r="AB628" s="238"/>
      <c r="AC628" s="238"/>
      <c r="AD628" s="240"/>
      <c r="AE628" s="241"/>
      <c r="AF628" s="241"/>
      <c r="AG628" s="238"/>
      <c r="AH628" s="240"/>
      <c r="AI628" s="241"/>
      <c r="AJ628" s="241"/>
      <c r="AK628" s="241"/>
      <c r="AL628" s="237"/>
      <c r="AM628" s="237"/>
      <c r="AN628" s="237"/>
      <c r="AO628" s="237"/>
      <c r="AP628" s="237"/>
      <c r="AQ628" s="237"/>
      <c r="AR628" s="237"/>
    </row>
    <row r="629">
      <c r="A629" s="228"/>
      <c r="B629" s="228"/>
      <c r="C629" s="228"/>
      <c r="D629" s="228"/>
      <c r="E629" s="228"/>
      <c r="F629" s="228"/>
      <c r="G629" s="228"/>
      <c r="H629" s="241"/>
      <c r="I629" s="228"/>
      <c r="J629" s="236"/>
      <c r="K629" s="228"/>
      <c r="L629" s="228"/>
      <c r="M629" s="238"/>
      <c r="N629" s="228"/>
      <c r="O629" s="235"/>
      <c r="P629" s="236"/>
      <c r="Q629" s="235"/>
      <c r="R629" s="235"/>
      <c r="S629" s="236"/>
      <c r="T629" s="236"/>
      <c r="U629" s="237"/>
      <c r="V629" s="237"/>
      <c r="W629" s="238"/>
      <c r="X629" s="237"/>
      <c r="Y629" s="237"/>
      <c r="Z629" s="237"/>
      <c r="AA629" s="239"/>
      <c r="AB629" s="238"/>
      <c r="AC629" s="238"/>
      <c r="AD629" s="240"/>
      <c r="AE629" s="241"/>
      <c r="AF629" s="241"/>
      <c r="AG629" s="238"/>
      <c r="AH629" s="240"/>
      <c r="AI629" s="241"/>
      <c r="AJ629" s="241"/>
      <c r="AK629" s="241"/>
      <c r="AL629" s="237"/>
      <c r="AM629" s="237"/>
      <c r="AN629" s="237"/>
      <c r="AO629" s="237"/>
      <c r="AP629" s="237"/>
      <c r="AQ629" s="237"/>
      <c r="AR629" s="237"/>
    </row>
    <row r="630">
      <c r="A630" s="228"/>
      <c r="B630" s="228"/>
      <c r="C630" s="228"/>
      <c r="D630" s="228"/>
      <c r="E630" s="228"/>
      <c r="F630" s="228"/>
      <c r="G630" s="228"/>
      <c r="H630" s="241"/>
      <c r="I630" s="228"/>
      <c r="J630" s="236"/>
      <c r="K630" s="228"/>
      <c r="L630" s="228"/>
      <c r="M630" s="238"/>
      <c r="N630" s="228"/>
      <c r="O630" s="235"/>
      <c r="P630" s="236"/>
      <c r="Q630" s="235"/>
      <c r="R630" s="235"/>
      <c r="S630" s="236"/>
      <c r="T630" s="236"/>
      <c r="U630" s="237"/>
      <c r="V630" s="237"/>
      <c r="W630" s="238"/>
      <c r="X630" s="237"/>
      <c r="Y630" s="237"/>
      <c r="Z630" s="237"/>
      <c r="AA630" s="239"/>
      <c r="AB630" s="238"/>
      <c r="AC630" s="238"/>
      <c r="AD630" s="240"/>
      <c r="AE630" s="241"/>
      <c r="AF630" s="241"/>
      <c r="AG630" s="238"/>
      <c r="AH630" s="240"/>
      <c r="AI630" s="241"/>
      <c r="AJ630" s="241"/>
      <c r="AK630" s="241"/>
      <c r="AL630" s="237"/>
      <c r="AM630" s="237"/>
      <c r="AN630" s="237"/>
      <c r="AO630" s="237"/>
      <c r="AP630" s="237"/>
      <c r="AQ630" s="237"/>
      <c r="AR630" s="237"/>
    </row>
    <row r="631">
      <c r="A631" s="228"/>
      <c r="B631" s="228"/>
      <c r="C631" s="228"/>
      <c r="D631" s="228"/>
      <c r="E631" s="228"/>
      <c r="F631" s="228"/>
      <c r="G631" s="228"/>
      <c r="H631" s="241"/>
      <c r="I631" s="228"/>
      <c r="J631" s="236"/>
      <c r="K631" s="228"/>
      <c r="L631" s="228"/>
      <c r="M631" s="238"/>
      <c r="N631" s="228"/>
      <c r="O631" s="235"/>
      <c r="P631" s="236"/>
      <c r="Q631" s="235"/>
      <c r="R631" s="235"/>
      <c r="S631" s="236"/>
      <c r="T631" s="236"/>
      <c r="U631" s="237"/>
      <c r="V631" s="237"/>
      <c r="W631" s="238"/>
      <c r="X631" s="237"/>
      <c r="Y631" s="237"/>
      <c r="Z631" s="237"/>
      <c r="AA631" s="239"/>
      <c r="AB631" s="238"/>
      <c r="AC631" s="238"/>
      <c r="AD631" s="240"/>
      <c r="AE631" s="241"/>
      <c r="AF631" s="241"/>
      <c r="AG631" s="238"/>
      <c r="AH631" s="240"/>
      <c r="AI631" s="241"/>
      <c r="AJ631" s="241"/>
      <c r="AK631" s="241"/>
      <c r="AL631" s="237"/>
      <c r="AM631" s="237"/>
      <c r="AN631" s="237"/>
      <c r="AO631" s="237"/>
      <c r="AP631" s="237"/>
      <c r="AQ631" s="237"/>
      <c r="AR631" s="237"/>
    </row>
    <row r="632">
      <c r="A632" s="228"/>
      <c r="B632" s="228"/>
      <c r="C632" s="228"/>
      <c r="D632" s="228"/>
      <c r="E632" s="228"/>
      <c r="F632" s="228"/>
      <c r="G632" s="228"/>
      <c r="H632" s="241"/>
      <c r="I632" s="228"/>
      <c r="J632" s="236"/>
      <c r="K632" s="228"/>
      <c r="L632" s="228"/>
      <c r="M632" s="238"/>
      <c r="N632" s="228"/>
      <c r="O632" s="235"/>
      <c r="P632" s="236"/>
      <c r="Q632" s="235"/>
      <c r="R632" s="235"/>
      <c r="S632" s="236"/>
      <c r="T632" s="236"/>
      <c r="U632" s="237"/>
      <c r="V632" s="237"/>
      <c r="W632" s="238"/>
      <c r="X632" s="237"/>
      <c r="Y632" s="237"/>
      <c r="Z632" s="237"/>
      <c r="AA632" s="239"/>
      <c r="AB632" s="238"/>
      <c r="AC632" s="238"/>
      <c r="AD632" s="240"/>
      <c r="AE632" s="241"/>
      <c r="AF632" s="241"/>
      <c r="AG632" s="238"/>
      <c r="AH632" s="240"/>
      <c r="AI632" s="241"/>
      <c r="AJ632" s="241"/>
      <c r="AK632" s="241"/>
      <c r="AL632" s="237"/>
      <c r="AM632" s="237"/>
      <c r="AN632" s="237"/>
      <c r="AO632" s="237"/>
      <c r="AP632" s="237"/>
      <c r="AQ632" s="237"/>
      <c r="AR632" s="237"/>
    </row>
    <row r="633">
      <c r="A633" s="228"/>
      <c r="B633" s="228"/>
      <c r="C633" s="228"/>
      <c r="D633" s="228"/>
      <c r="E633" s="228"/>
      <c r="F633" s="228"/>
      <c r="G633" s="228"/>
      <c r="H633" s="241"/>
      <c r="I633" s="228"/>
      <c r="J633" s="236"/>
      <c r="K633" s="228"/>
      <c r="L633" s="228"/>
      <c r="M633" s="238"/>
      <c r="N633" s="228"/>
      <c r="O633" s="235"/>
      <c r="P633" s="236"/>
      <c r="Q633" s="235"/>
      <c r="R633" s="235"/>
      <c r="S633" s="236"/>
      <c r="T633" s="236"/>
      <c r="U633" s="237"/>
      <c r="V633" s="237"/>
      <c r="W633" s="238"/>
      <c r="X633" s="237"/>
      <c r="Y633" s="237"/>
      <c r="Z633" s="237"/>
      <c r="AA633" s="239"/>
      <c r="AB633" s="238"/>
      <c r="AC633" s="238"/>
      <c r="AD633" s="240"/>
      <c r="AE633" s="241"/>
      <c r="AF633" s="241"/>
      <c r="AG633" s="238"/>
      <c r="AH633" s="240"/>
      <c r="AI633" s="241"/>
      <c r="AJ633" s="241"/>
      <c r="AK633" s="241"/>
      <c r="AL633" s="237"/>
      <c r="AM633" s="237"/>
      <c r="AN633" s="237"/>
      <c r="AO633" s="237"/>
      <c r="AP633" s="237"/>
      <c r="AQ633" s="237"/>
      <c r="AR633" s="237"/>
    </row>
    <row r="634">
      <c r="A634" s="228"/>
      <c r="B634" s="228"/>
      <c r="C634" s="228"/>
      <c r="D634" s="228"/>
      <c r="E634" s="228"/>
      <c r="F634" s="228"/>
      <c r="G634" s="228"/>
      <c r="H634" s="241"/>
      <c r="I634" s="228"/>
      <c r="J634" s="236"/>
      <c r="K634" s="228"/>
      <c r="L634" s="228"/>
      <c r="M634" s="238"/>
      <c r="N634" s="228"/>
      <c r="O634" s="235"/>
      <c r="P634" s="236"/>
      <c r="Q634" s="235"/>
      <c r="R634" s="235"/>
      <c r="S634" s="236"/>
      <c r="T634" s="236"/>
      <c r="U634" s="237"/>
      <c r="V634" s="237"/>
      <c r="W634" s="238"/>
      <c r="X634" s="237"/>
      <c r="Y634" s="237"/>
      <c r="Z634" s="237"/>
      <c r="AA634" s="239"/>
      <c r="AB634" s="238"/>
      <c r="AC634" s="238"/>
      <c r="AD634" s="240"/>
      <c r="AE634" s="241"/>
      <c r="AF634" s="241"/>
      <c r="AG634" s="238"/>
      <c r="AH634" s="240"/>
      <c r="AI634" s="241"/>
      <c r="AJ634" s="241"/>
      <c r="AK634" s="241"/>
      <c r="AL634" s="237"/>
      <c r="AM634" s="237"/>
      <c r="AN634" s="237"/>
      <c r="AO634" s="237"/>
      <c r="AP634" s="237"/>
      <c r="AQ634" s="237"/>
      <c r="AR634" s="237"/>
    </row>
    <row r="635">
      <c r="A635" s="228"/>
      <c r="B635" s="228"/>
      <c r="C635" s="228"/>
      <c r="D635" s="228"/>
      <c r="E635" s="228"/>
      <c r="F635" s="228"/>
      <c r="G635" s="228"/>
      <c r="H635" s="241"/>
      <c r="I635" s="228"/>
      <c r="J635" s="236"/>
      <c r="K635" s="228"/>
      <c r="L635" s="228"/>
      <c r="M635" s="238"/>
      <c r="N635" s="228"/>
      <c r="O635" s="235"/>
      <c r="P635" s="236"/>
      <c r="Q635" s="235"/>
      <c r="R635" s="235"/>
      <c r="S635" s="236"/>
      <c r="T635" s="236"/>
      <c r="U635" s="237"/>
      <c r="V635" s="237"/>
      <c r="W635" s="238"/>
      <c r="X635" s="237"/>
      <c r="Y635" s="237"/>
      <c r="Z635" s="237"/>
      <c r="AA635" s="239"/>
      <c r="AB635" s="238"/>
      <c r="AC635" s="238"/>
      <c r="AD635" s="240"/>
      <c r="AE635" s="241"/>
      <c r="AF635" s="241"/>
      <c r="AG635" s="238"/>
      <c r="AH635" s="240"/>
      <c r="AI635" s="241"/>
      <c r="AJ635" s="241"/>
      <c r="AK635" s="241"/>
      <c r="AL635" s="237"/>
      <c r="AM635" s="237"/>
      <c r="AN635" s="237"/>
      <c r="AO635" s="237"/>
      <c r="AP635" s="237"/>
      <c r="AQ635" s="237"/>
      <c r="AR635" s="237"/>
    </row>
    <row r="636">
      <c r="A636" s="228"/>
      <c r="B636" s="228"/>
      <c r="C636" s="228"/>
      <c r="D636" s="228"/>
      <c r="E636" s="228"/>
      <c r="F636" s="228"/>
      <c r="G636" s="228"/>
      <c r="H636" s="241"/>
      <c r="I636" s="228"/>
      <c r="J636" s="236"/>
      <c r="K636" s="228"/>
      <c r="L636" s="228"/>
      <c r="M636" s="238"/>
      <c r="N636" s="228"/>
      <c r="O636" s="235"/>
      <c r="P636" s="236"/>
      <c r="Q636" s="235"/>
      <c r="R636" s="235"/>
      <c r="S636" s="236"/>
      <c r="T636" s="236"/>
      <c r="U636" s="237"/>
      <c r="V636" s="237"/>
      <c r="W636" s="238"/>
      <c r="X636" s="237"/>
      <c r="Y636" s="237"/>
      <c r="Z636" s="237"/>
      <c r="AA636" s="239"/>
      <c r="AB636" s="238"/>
      <c r="AC636" s="238"/>
      <c r="AD636" s="240"/>
      <c r="AE636" s="241"/>
      <c r="AF636" s="241"/>
      <c r="AG636" s="238"/>
      <c r="AH636" s="240"/>
      <c r="AI636" s="241"/>
      <c r="AJ636" s="241"/>
      <c r="AK636" s="241"/>
      <c r="AL636" s="237"/>
      <c r="AM636" s="237"/>
      <c r="AN636" s="237"/>
      <c r="AO636" s="237"/>
      <c r="AP636" s="237"/>
      <c r="AQ636" s="237"/>
      <c r="AR636" s="237"/>
    </row>
    <row r="637">
      <c r="A637" s="228"/>
      <c r="B637" s="228"/>
      <c r="C637" s="228"/>
      <c r="D637" s="228"/>
      <c r="E637" s="228"/>
      <c r="F637" s="228"/>
      <c r="G637" s="228"/>
      <c r="H637" s="241"/>
      <c r="I637" s="228"/>
      <c r="J637" s="236"/>
      <c r="K637" s="228"/>
      <c r="L637" s="228"/>
      <c r="M637" s="238"/>
      <c r="N637" s="228"/>
      <c r="O637" s="235"/>
      <c r="P637" s="236"/>
      <c r="Q637" s="235"/>
      <c r="R637" s="235"/>
      <c r="S637" s="236"/>
      <c r="T637" s="236"/>
      <c r="U637" s="237"/>
      <c r="V637" s="237"/>
      <c r="W637" s="238"/>
      <c r="X637" s="237"/>
      <c r="Y637" s="237"/>
      <c r="Z637" s="237"/>
      <c r="AA637" s="239"/>
      <c r="AB637" s="238"/>
      <c r="AC637" s="238"/>
      <c r="AD637" s="240"/>
      <c r="AE637" s="241"/>
      <c r="AF637" s="241"/>
      <c r="AG637" s="238"/>
      <c r="AH637" s="240"/>
      <c r="AI637" s="241"/>
      <c r="AJ637" s="241"/>
      <c r="AK637" s="241"/>
      <c r="AL637" s="237"/>
      <c r="AM637" s="237"/>
      <c r="AN637" s="237"/>
      <c r="AO637" s="237"/>
      <c r="AP637" s="237"/>
      <c r="AQ637" s="237"/>
      <c r="AR637" s="237"/>
    </row>
    <row r="638">
      <c r="A638" s="228"/>
      <c r="B638" s="228"/>
      <c r="C638" s="228"/>
      <c r="D638" s="228"/>
      <c r="E638" s="228"/>
      <c r="F638" s="228"/>
      <c r="G638" s="228"/>
      <c r="H638" s="241"/>
      <c r="I638" s="228"/>
      <c r="J638" s="236"/>
      <c r="K638" s="228"/>
      <c r="L638" s="228"/>
      <c r="M638" s="238"/>
      <c r="N638" s="228"/>
      <c r="O638" s="235"/>
      <c r="P638" s="236"/>
      <c r="Q638" s="235"/>
      <c r="R638" s="235"/>
      <c r="S638" s="236"/>
      <c r="T638" s="236"/>
      <c r="U638" s="237"/>
      <c r="V638" s="237"/>
      <c r="W638" s="238"/>
      <c r="X638" s="237"/>
      <c r="Y638" s="237"/>
      <c r="Z638" s="237"/>
      <c r="AA638" s="239"/>
      <c r="AB638" s="238"/>
      <c r="AC638" s="238"/>
      <c r="AD638" s="240"/>
      <c r="AE638" s="241"/>
      <c r="AF638" s="241"/>
      <c r="AG638" s="238"/>
      <c r="AH638" s="240"/>
      <c r="AI638" s="241"/>
      <c r="AJ638" s="241"/>
      <c r="AK638" s="241"/>
      <c r="AL638" s="237"/>
      <c r="AM638" s="237"/>
      <c r="AN638" s="237"/>
      <c r="AO638" s="237"/>
      <c r="AP638" s="237"/>
      <c r="AQ638" s="237"/>
      <c r="AR638" s="237"/>
    </row>
    <row r="639">
      <c r="A639" s="228"/>
      <c r="B639" s="228"/>
      <c r="C639" s="228"/>
      <c r="D639" s="228"/>
      <c r="E639" s="228"/>
      <c r="F639" s="228"/>
      <c r="G639" s="228"/>
      <c r="H639" s="241"/>
      <c r="I639" s="228"/>
      <c r="J639" s="236"/>
      <c r="K639" s="228"/>
      <c r="L639" s="228"/>
      <c r="M639" s="238"/>
      <c r="N639" s="228"/>
      <c r="O639" s="235"/>
      <c r="P639" s="236"/>
      <c r="Q639" s="235"/>
      <c r="R639" s="235"/>
      <c r="S639" s="236"/>
      <c r="T639" s="236"/>
      <c r="U639" s="237"/>
      <c r="V639" s="237"/>
      <c r="W639" s="238"/>
      <c r="X639" s="237"/>
      <c r="Y639" s="237"/>
      <c r="Z639" s="237"/>
      <c r="AA639" s="239"/>
      <c r="AB639" s="238"/>
      <c r="AC639" s="238"/>
      <c r="AD639" s="240"/>
      <c r="AE639" s="241"/>
      <c r="AF639" s="241"/>
      <c r="AG639" s="238"/>
      <c r="AH639" s="240"/>
      <c r="AI639" s="241"/>
      <c r="AJ639" s="241"/>
      <c r="AK639" s="241"/>
      <c r="AL639" s="237"/>
      <c r="AM639" s="237"/>
      <c r="AN639" s="237"/>
      <c r="AO639" s="237"/>
      <c r="AP639" s="237"/>
      <c r="AQ639" s="237"/>
      <c r="AR639" s="237"/>
    </row>
    <row r="640">
      <c r="A640" s="228"/>
      <c r="B640" s="228"/>
      <c r="C640" s="228"/>
      <c r="D640" s="228"/>
      <c r="E640" s="228"/>
      <c r="F640" s="228"/>
      <c r="G640" s="228"/>
      <c r="H640" s="241"/>
      <c r="I640" s="228"/>
      <c r="J640" s="236"/>
      <c r="K640" s="228"/>
      <c r="L640" s="228"/>
      <c r="M640" s="238"/>
      <c r="N640" s="228"/>
      <c r="O640" s="235"/>
      <c r="P640" s="236"/>
      <c r="Q640" s="235"/>
      <c r="R640" s="235"/>
      <c r="S640" s="236"/>
      <c r="T640" s="236"/>
      <c r="U640" s="237"/>
      <c r="V640" s="237"/>
      <c r="W640" s="238"/>
      <c r="X640" s="237"/>
      <c r="Y640" s="237"/>
      <c r="Z640" s="237"/>
      <c r="AA640" s="239"/>
      <c r="AB640" s="238"/>
      <c r="AC640" s="238"/>
      <c r="AD640" s="240"/>
      <c r="AE640" s="241"/>
      <c r="AF640" s="241"/>
      <c r="AG640" s="238"/>
      <c r="AH640" s="240"/>
      <c r="AI640" s="241"/>
      <c r="AJ640" s="241"/>
      <c r="AK640" s="241"/>
      <c r="AL640" s="237"/>
      <c r="AM640" s="237"/>
      <c r="AN640" s="237"/>
      <c r="AO640" s="237"/>
      <c r="AP640" s="237"/>
      <c r="AQ640" s="237"/>
      <c r="AR640" s="237"/>
    </row>
    <row r="641">
      <c r="A641" s="228"/>
      <c r="B641" s="228"/>
      <c r="C641" s="228"/>
      <c r="D641" s="228"/>
      <c r="E641" s="228"/>
      <c r="F641" s="228"/>
      <c r="G641" s="228"/>
      <c r="H641" s="241"/>
      <c r="I641" s="228"/>
      <c r="J641" s="236"/>
      <c r="K641" s="228"/>
      <c r="L641" s="228"/>
      <c r="M641" s="238"/>
      <c r="N641" s="228"/>
      <c r="O641" s="235"/>
      <c r="P641" s="236"/>
      <c r="Q641" s="235"/>
      <c r="R641" s="235"/>
      <c r="S641" s="236"/>
      <c r="T641" s="236"/>
      <c r="U641" s="237"/>
      <c r="V641" s="237"/>
      <c r="W641" s="238"/>
      <c r="X641" s="237"/>
      <c r="Y641" s="237"/>
      <c r="Z641" s="237"/>
      <c r="AA641" s="239"/>
      <c r="AB641" s="238"/>
      <c r="AC641" s="238"/>
      <c r="AD641" s="240"/>
      <c r="AE641" s="241"/>
      <c r="AF641" s="241"/>
      <c r="AG641" s="238"/>
      <c r="AH641" s="240"/>
      <c r="AI641" s="241"/>
      <c r="AJ641" s="241"/>
      <c r="AK641" s="241"/>
      <c r="AL641" s="237"/>
      <c r="AM641" s="237"/>
      <c r="AN641" s="237"/>
      <c r="AO641" s="237"/>
      <c r="AP641" s="237"/>
      <c r="AQ641" s="237"/>
      <c r="AR641" s="237"/>
    </row>
    <row r="642">
      <c r="A642" s="228"/>
      <c r="B642" s="228"/>
      <c r="C642" s="228"/>
      <c r="D642" s="228"/>
      <c r="E642" s="228"/>
      <c r="F642" s="228"/>
      <c r="G642" s="228"/>
      <c r="H642" s="241"/>
      <c r="I642" s="228"/>
      <c r="J642" s="236"/>
      <c r="K642" s="228"/>
      <c r="L642" s="228"/>
      <c r="M642" s="238"/>
      <c r="N642" s="228"/>
      <c r="O642" s="235"/>
      <c r="P642" s="236"/>
      <c r="Q642" s="235"/>
      <c r="R642" s="235"/>
      <c r="S642" s="236"/>
      <c r="T642" s="236"/>
      <c r="U642" s="237"/>
      <c r="V642" s="237"/>
      <c r="W642" s="238"/>
      <c r="X642" s="237"/>
      <c r="Y642" s="237"/>
      <c r="Z642" s="237"/>
      <c r="AA642" s="239"/>
      <c r="AB642" s="238"/>
      <c r="AC642" s="238"/>
      <c r="AD642" s="240"/>
      <c r="AE642" s="241"/>
      <c r="AF642" s="241"/>
      <c r="AG642" s="238"/>
      <c r="AH642" s="240"/>
      <c r="AI642" s="241"/>
      <c r="AJ642" s="241"/>
      <c r="AK642" s="241"/>
      <c r="AL642" s="237"/>
      <c r="AM642" s="237"/>
      <c r="AN642" s="237"/>
      <c r="AO642" s="237"/>
      <c r="AP642" s="237"/>
      <c r="AQ642" s="237"/>
      <c r="AR642" s="237"/>
    </row>
    <row r="643">
      <c r="A643" s="228"/>
      <c r="B643" s="228"/>
      <c r="C643" s="228"/>
      <c r="D643" s="228"/>
      <c r="E643" s="228"/>
      <c r="F643" s="228"/>
      <c r="G643" s="228"/>
      <c r="H643" s="241"/>
      <c r="I643" s="228"/>
      <c r="J643" s="236"/>
      <c r="K643" s="228"/>
      <c r="L643" s="228"/>
      <c r="M643" s="238"/>
      <c r="N643" s="228"/>
      <c r="O643" s="235"/>
      <c r="P643" s="236"/>
      <c r="Q643" s="235"/>
      <c r="R643" s="235"/>
      <c r="S643" s="236"/>
      <c r="T643" s="236"/>
      <c r="U643" s="237"/>
      <c r="V643" s="237"/>
      <c r="W643" s="238"/>
      <c r="X643" s="237"/>
      <c r="Y643" s="237"/>
      <c r="Z643" s="237"/>
      <c r="AA643" s="239"/>
      <c r="AB643" s="238"/>
      <c r="AC643" s="238"/>
      <c r="AD643" s="240"/>
      <c r="AE643" s="241"/>
      <c r="AF643" s="241"/>
      <c r="AG643" s="238"/>
      <c r="AH643" s="240"/>
      <c r="AI643" s="241"/>
      <c r="AJ643" s="241"/>
      <c r="AK643" s="241"/>
      <c r="AL643" s="237"/>
      <c r="AM643" s="237"/>
      <c r="AN643" s="237"/>
      <c r="AO643" s="237"/>
      <c r="AP643" s="237"/>
      <c r="AQ643" s="237"/>
      <c r="AR643" s="237"/>
    </row>
    <row r="644">
      <c r="A644" s="228"/>
      <c r="B644" s="228"/>
      <c r="C644" s="228"/>
      <c r="D644" s="228"/>
      <c r="E644" s="228"/>
      <c r="F644" s="228"/>
      <c r="G644" s="228"/>
      <c r="H644" s="241"/>
      <c r="I644" s="228"/>
      <c r="J644" s="236"/>
      <c r="K644" s="228"/>
      <c r="L644" s="228"/>
      <c r="M644" s="238"/>
      <c r="N644" s="228"/>
      <c r="O644" s="235"/>
      <c r="P644" s="236"/>
      <c r="Q644" s="235"/>
      <c r="R644" s="235"/>
      <c r="S644" s="236"/>
      <c r="T644" s="236"/>
      <c r="U644" s="237"/>
      <c r="V644" s="237"/>
      <c r="W644" s="238"/>
      <c r="X644" s="237"/>
      <c r="Y644" s="237"/>
      <c r="Z644" s="237"/>
      <c r="AA644" s="239"/>
      <c r="AB644" s="238"/>
      <c r="AC644" s="238"/>
      <c r="AD644" s="240"/>
      <c r="AE644" s="241"/>
      <c r="AF644" s="241"/>
      <c r="AG644" s="238"/>
      <c r="AH644" s="240"/>
      <c r="AI644" s="241"/>
      <c r="AJ644" s="241"/>
      <c r="AK644" s="241"/>
      <c r="AL644" s="237"/>
      <c r="AM644" s="237"/>
      <c r="AN644" s="237"/>
      <c r="AO644" s="237"/>
      <c r="AP644" s="237"/>
      <c r="AQ644" s="237"/>
      <c r="AR644" s="237"/>
    </row>
    <row r="645">
      <c r="A645" s="228"/>
      <c r="B645" s="228"/>
      <c r="C645" s="228"/>
      <c r="D645" s="228"/>
      <c r="E645" s="228"/>
      <c r="F645" s="228"/>
      <c r="G645" s="228"/>
      <c r="H645" s="241"/>
      <c r="I645" s="228"/>
      <c r="J645" s="236"/>
      <c r="K645" s="228"/>
      <c r="L645" s="228"/>
      <c r="M645" s="238"/>
      <c r="N645" s="228"/>
      <c r="O645" s="235"/>
      <c r="P645" s="236"/>
      <c r="Q645" s="235"/>
      <c r="R645" s="235"/>
      <c r="S645" s="236"/>
      <c r="T645" s="236"/>
      <c r="U645" s="237"/>
      <c r="V645" s="237"/>
      <c r="W645" s="238"/>
      <c r="X645" s="237"/>
      <c r="Y645" s="237"/>
      <c r="Z645" s="237"/>
      <c r="AA645" s="239"/>
      <c r="AB645" s="238"/>
      <c r="AC645" s="238"/>
      <c r="AD645" s="240"/>
      <c r="AE645" s="241"/>
      <c r="AF645" s="241"/>
      <c r="AG645" s="238"/>
      <c r="AH645" s="240"/>
      <c r="AI645" s="241"/>
      <c r="AJ645" s="241"/>
      <c r="AK645" s="241"/>
      <c r="AL645" s="237"/>
      <c r="AM645" s="237"/>
      <c r="AN645" s="237"/>
      <c r="AO645" s="237"/>
      <c r="AP645" s="237"/>
      <c r="AQ645" s="237"/>
      <c r="AR645" s="237"/>
    </row>
    <row r="646">
      <c r="A646" s="228"/>
      <c r="B646" s="228"/>
      <c r="C646" s="228"/>
      <c r="D646" s="228"/>
      <c r="E646" s="228"/>
      <c r="F646" s="228"/>
      <c r="G646" s="228"/>
      <c r="H646" s="241"/>
      <c r="I646" s="228"/>
      <c r="J646" s="236"/>
      <c r="K646" s="228"/>
      <c r="L646" s="228"/>
      <c r="M646" s="238"/>
      <c r="N646" s="228"/>
      <c r="O646" s="235"/>
      <c r="P646" s="236"/>
      <c r="Q646" s="235"/>
      <c r="R646" s="235"/>
      <c r="S646" s="236"/>
      <c r="T646" s="236"/>
      <c r="U646" s="237"/>
      <c r="V646" s="237"/>
      <c r="W646" s="238"/>
      <c r="X646" s="237"/>
      <c r="Y646" s="237"/>
      <c r="Z646" s="237"/>
      <c r="AA646" s="239"/>
      <c r="AB646" s="238"/>
      <c r="AC646" s="238"/>
      <c r="AD646" s="240"/>
      <c r="AE646" s="241"/>
      <c r="AF646" s="241"/>
      <c r="AG646" s="238"/>
      <c r="AH646" s="240"/>
      <c r="AI646" s="241"/>
      <c r="AJ646" s="241"/>
      <c r="AK646" s="241"/>
      <c r="AL646" s="237"/>
      <c r="AM646" s="237"/>
      <c r="AN646" s="237"/>
      <c r="AO646" s="237"/>
      <c r="AP646" s="237"/>
      <c r="AQ646" s="237"/>
      <c r="AR646" s="237"/>
    </row>
    <row r="647">
      <c r="A647" s="228"/>
      <c r="B647" s="228"/>
      <c r="C647" s="228"/>
      <c r="D647" s="228"/>
      <c r="E647" s="228"/>
      <c r="F647" s="228"/>
      <c r="G647" s="228"/>
      <c r="H647" s="241"/>
      <c r="I647" s="228"/>
      <c r="J647" s="236"/>
      <c r="K647" s="228"/>
      <c r="L647" s="228"/>
      <c r="M647" s="238"/>
      <c r="N647" s="228"/>
      <c r="O647" s="235"/>
      <c r="P647" s="236"/>
      <c r="Q647" s="235"/>
      <c r="R647" s="235"/>
      <c r="S647" s="236"/>
      <c r="T647" s="236"/>
      <c r="U647" s="237"/>
      <c r="V647" s="237"/>
      <c r="W647" s="238"/>
      <c r="X647" s="237"/>
      <c r="Y647" s="237"/>
      <c r="Z647" s="237"/>
      <c r="AA647" s="239"/>
      <c r="AB647" s="238"/>
      <c r="AC647" s="238"/>
      <c r="AD647" s="240"/>
      <c r="AE647" s="241"/>
      <c r="AF647" s="241"/>
      <c r="AG647" s="238"/>
      <c r="AH647" s="240"/>
      <c r="AI647" s="241"/>
      <c r="AJ647" s="241"/>
      <c r="AK647" s="241"/>
      <c r="AL647" s="237"/>
      <c r="AM647" s="237"/>
      <c r="AN647" s="237"/>
      <c r="AO647" s="237"/>
      <c r="AP647" s="237"/>
      <c r="AQ647" s="237"/>
      <c r="AR647" s="237"/>
    </row>
    <row r="648">
      <c r="A648" s="228"/>
      <c r="B648" s="228"/>
      <c r="C648" s="228"/>
      <c r="D648" s="228"/>
      <c r="E648" s="228"/>
      <c r="F648" s="228"/>
      <c r="G648" s="228"/>
      <c r="H648" s="241"/>
      <c r="I648" s="228"/>
      <c r="J648" s="236"/>
      <c r="K648" s="228"/>
      <c r="L648" s="228"/>
      <c r="M648" s="238"/>
      <c r="N648" s="228"/>
      <c r="O648" s="235"/>
      <c r="P648" s="236"/>
      <c r="Q648" s="235"/>
      <c r="R648" s="235"/>
      <c r="S648" s="236"/>
      <c r="T648" s="236"/>
      <c r="U648" s="237"/>
      <c r="V648" s="237"/>
      <c r="W648" s="238"/>
      <c r="X648" s="237"/>
      <c r="Y648" s="237"/>
      <c r="Z648" s="237"/>
      <c r="AA648" s="239"/>
      <c r="AB648" s="238"/>
      <c r="AC648" s="238"/>
      <c r="AD648" s="240"/>
      <c r="AE648" s="241"/>
      <c r="AF648" s="241"/>
      <c r="AG648" s="238"/>
      <c r="AH648" s="240"/>
      <c r="AI648" s="241"/>
      <c r="AJ648" s="241"/>
      <c r="AK648" s="241"/>
      <c r="AL648" s="237"/>
      <c r="AM648" s="237"/>
      <c r="AN648" s="237"/>
      <c r="AO648" s="237"/>
      <c r="AP648" s="237"/>
      <c r="AQ648" s="237"/>
      <c r="AR648" s="237"/>
    </row>
    <row r="649">
      <c r="A649" s="228"/>
      <c r="B649" s="228"/>
      <c r="C649" s="228"/>
      <c r="D649" s="228"/>
      <c r="E649" s="228"/>
      <c r="F649" s="228"/>
      <c r="G649" s="228"/>
      <c r="H649" s="241"/>
      <c r="I649" s="228"/>
      <c r="J649" s="236"/>
      <c r="K649" s="228"/>
      <c r="L649" s="228"/>
      <c r="M649" s="238"/>
      <c r="N649" s="228"/>
      <c r="O649" s="235"/>
      <c r="P649" s="236"/>
      <c r="Q649" s="235"/>
      <c r="R649" s="235"/>
      <c r="S649" s="236"/>
      <c r="T649" s="236"/>
      <c r="U649" s="237"/>
      <c r="V649" s="237"/>
      <c r="W649" s="238"/>
      <c r="X649" s="237"/>
      <c r="Y649" s="237"/>
      <c r="Z649" s="237"/>
      <c r="AA649" s="239"/>
      <c r="AB649" s="238"/>
      <c r="AC649" s="238"/>
      <c r="AD649" s="240"/>
      <c r="AE649" s="241"/>
      <c r="AF649" s="241"/>
      <c r="AG649" s="238"/>
      <c r="AH649" s="240"/>
      <c r="AI649" s="241"/>
      <c r="AJ649" s="241"/>
      <c r="AK649" s="241"/>
      <c r="AL649" s="237"/>
      <c r="AM649" s="237"/>
      <c r="AN649" s="237"/>
      <c r="AO649" s="237"/>
      <c r="AP649" s="237"/>
      <c r="AQ649" s="237"/>
      <c r="AR649" s="237"/>
    </row>
    <row r="650">
      <c r="A650" s="228"/>
      <c r="B650" s="228"/>
      <c r="C650" s="228"/>
      <c r="D650" s="228"/>
      <c r="E650" s="228"/>
      <c r="F650" s="228"/>
      <c r="G650" s="228"/>
      <c r="H650" s="241"/>
      <c r="I650" s="228"/>
      <c r="J650" s="236"/>
      <c r="K650" s="228"/>
      <c r="L650" s="228"/>
      <c r="M650" s="238"/>
      <c r="N650" s="228"/>
      <c r="O650" s="235"/>
      <c r="P650" s="236"/>
      <c r="Q650" s="235"/>
      <c r="R650" s="235"/>
      <c r="S650" s="236"/>
      <c r="T650" s="236"/>
      <c r="U650" s="237"/>
      <c r="V650" s="237"/>
      <c r="W650" s="238"/>
      <c r="X650" s="237"/>
      <c r="Y650" s="237"/>
      <c r="Z650" s="237"/>
      <c r="AA650" s="239"/>
      <c r="AB650" s="238"/>
      <c r="AC650" s="238"/>
      <c r="AD650" s="240"/>
      <c r="AE650" s="241"/>
      <c r="AF650" s="241"/>
      <c r="AG650" s="238"/>
      <c r="AH650" s="240"/>
      <c r="AI650" s="241"/>
      <c r="AJ650" s="241"/>
      <c r="AK650" s="241"/>
      <c r="AL650" s="237"/>
      <c r="AM650" s="237"/>
      <c r="AN650" s="237"/>
      <c r="AO650" s="237"/>
      <c r="AP650" s="237"/>
      <c r="AQ650" s="237"/>
      <c r="AR650" s="237"/>
    </row>
    <row r="651">
      <c r="A651" s="228"/>
      <c r="B651" s="228"/>
      <c r="C651" s="228"/>
      <c r="D651" s="228"/>
      <c r="E651" s="228"/>
      <c r="F651" s="228"/>
      <c r="G651" s="228"/>
      <c r="H651" s="241"/>
      <c r="I651" s="228"/>
      <c r="J651" s="236"/>
      <c r="K651" s="228"/>
      <c r="L651" s="228"/>
      <c r="M651" s="238"/>
      <c r="N651" s="228"/>
      <c r="O651" s="235"/>
      <c r="P651" s="236"/>
      <c r="Q651" s="235"/>
      <c r="R651" s="235"/>
      <c r="S651" s="236"/>
      <c r="T651" s="236"/>
      <c r="U651" s="237"/>
      <c r="V651" s="237"/>
      <c r="W651" s="238"/>
      <c r="X651" s="237"/>
      <c r="Y651" s="237"/>
      <c r="Z651" s="237"/>
      <c r="AA651" s="239"/>
      <c r="AB651" s="238"/>
      <c r="AC651" s="238"/>
      <c r="AD651" s="240"/>
      <c r="AE651" s="241"/>
      <c r="AF651" s="241"/>
      <c r="AG651" s="238"/>
      <c r="AH651" s="240"/>
      <c r="AI651" s="241"/>
      <c r="AJ651" s="241"/>
      <c r="AK651" s="241"/>
      <c r="AL651" s="237"/>
      <c r="AM651" s="237"/>
      <c r="AN651" s="237"/>
      <c r="AO651" s="237"/>
      <c r="AP651" s="237"/>
      <c r="AQ651" s="237"/>
      <c r="AR651" s="237"/>
    </row>
    <row r="652">
      <c r="A652" s="228"/>
      <c r="B652" s="228"/>
      <c r="C652" s="228"/>
      <c r="D652" s="228"/>
      <c r="E652" s="228"/>
      <c r="F652" s="228"/>
      <c r="G652" s="228"/>
      <c r="H652" s="241"/>
      <c r="I652" s="228"/>
      <c r="J652" s="236"/>
      <c r="K652" s="228"/>
      <c r="L652" s="228"/>
      <c r="M652" s="238"/>
      <c r="N652" s="228"/>
      <c r="O652" s="235"/>
      <c r="P652" s="236"/>
      <c r="Q652" s="235"/>
      <c r="R652" s="235"/>
      <c r="S652" s="236"/>
      <c r="T652" s="236"/>
      <c r="U652" s="237"/>
      <c r="V652" s="237"/>
      <c r="W652" s="238"/>
      <c r="X652" s="237"/>
      <c r="Y652" s="237"/>
      <c r="Z652" s="237"/>
      <c r="AA652" s="239"/>
      <c r="AB652" s="238"/>
      <c r="AC652" s="238"/>
      <c r="AD652" s="240"/>
      <c r="AE652" s="241"/>
      <c r="AF652" s="241"/>
      <c r="AG652" s="238"/>
      <c r="AH652" s="240"/>
      <c r="AI652" s="241"/>
      <c r="AJ652" s="241"/>
      <c r="AK652" s="241"/>
      <c r="AL652" s="237"/>
      <c r="AM652" s="237"/>
      <c r="AN652" s="237"/>
      <c r="AO652" s="237"/>
      <c r="AP652" s="237"/>
      <c r="AQ652" s="237"/>
      <c r="AR652" s="237"/>
    </row>
    <row r="653">
      <c r="A653" s="228"/>
      <c r="B653" s="228"/>
      <c r="C653" s="228"/>
      <c r="D653" s="228"/>
      <c r="E653" s="228"/>
      <c r="F653" s="228"/>
      <c r="G653" s="228"/>
      <c r="H653" s="241"/>
      <c r="I653" s="228"/>
      <c r="J653" s="236"/>
      <c r="K653" s="228"/>
      <c r="L653" s="228"/>
      <c r="M653" s="238"/>
      <c r="N653" s="228"/>
      <c r="O653" s="235"/>
      <c r="P653" s="236"/>
      <c r="Q653" s="235"/>
      <c r="R653" s="235"/>
      <c r="S653" s="236"/>
      <c r="T653" s="236"/>
      <c r="U653" s="237"/>
      <c r="V653" s="237"/>
      <c r="W653" s="238"/>
      <c r="X653" s="237"/>
      <c r="Y653" s="237"/>
      <c r="Z653" s="237"/>
      <c r="AA653" s="239"/>
      <c r="AB653" s="238"/>
      <c r="AC653" s="238"/>
      <c r="AD653" s="240"/>
      <c r="AE653" s="241"/>
      <c r="AF653" s="241"/>
      <c r="AG653" s="238"/>
      <c r="AH653" s="240"/>
      <c r="AI653" s="241"/>
      <c r="AJ653" s="241"/>
      <c r="AK653" s="241"/>
      <c r="AL653" s="237"/>
      <c r="AM653" s="237"/>
      <c r="AN653" s="237"/>
      <c r="AO653" s="237"/>
      <c r="AP653" s="237"/>
      <c r="AQ653" s="237"/>
      <c r="AR653" s="237"/>
    </row>
    <row r="654">
      <c r="A654" s="228"/>
      <c r="B654" s="228"/>
      <c r="C654" s="228"/>
      <c r="D654" s="228"/>
      <c r="E654" s="228"/>
      <c r="F654" s="228"/>
      <c r="G654" s="228"/>
      <c r="H654" s="241"/>
      <c r="I654" s="228"/>
      <c r="J654" s="236"/>
      <c r="K654" s="228"/>
      <c r="L654" s="228"/>
      <c r="M654" s="238"/>
      <c r="N654" s="228"/>
      <c r="O654" s="235"/>
      <c r="P654" s="236"/>
      <c r="Q654" s="235"/>
      <c r="R654" s="235"/>
      <c r="S654" s="236"/>
      <c r="T654" s="236"/>
      <c r="U654" s="237"/>
      <c r="V654" s="237"/>
      <c r="W654" s="238"/>
      <c r="X654" s="237"/>
      <c r="Y654" s="237"/>
      <c r="Z654" s="237"/>
      <c r="AA654" s="239"/>
      <c r="AB654" s="238"/>
      <c r="AC654" s="238"/>
      <c r="AD654" s="240"/>
      <c r="AE654" s="241"/>
      <c r="AF654" s="241"/>
      <c r="AG654" s="238"/>
      <c r="AH654" s="240"/>
      <c r="AI654" s="241"/>
      <c r="AJ654" s="241"/>
      <c r="AK654" s="241"/>
      <c r="AL654" s="237"/>
      <c r="AM654" s="237"/>
      <c r="AN654" s="237"/>
      <c r="AO654" s="237"/>
      <c r="AP654" s="237"/>
      <c r="AQ654" s="237"/>
      <c r="AR654" s="237"/>
    </row>
    <row r="655">
      <c r="A655" s="228"/>
      <c r="B655" s="228"/>
      <c r="C655" s="228"/>
      <c r="D655" s="228"/>
      <c r="E655" s="228"/>
      <c r="F655" s="228"/>
      <c r="G655" s="228"/>
      <c r="H655" s="241"/>
      <c r="I655" s="228"/>
      <c r="J655" s="236"/>
      <c r="K655" s="228"/>
      <c r="L655" s="228"/>
      <c r="M655" s="238"/>
      <c r="N655" s="228"/>
      <c r="O655" s="235"/>
      <c r="P655" s="236"/>
      <c r="Q655" s="235"/>
      <c r="R655" s="235"/>
      <c r="S655" s="236"/>
      <c r="T655" s="236"/>
      <c r="U655" s="237"/>
      <c r="V655" s="237"/>
      <c r="W655" s="238"/>
      <c r="X655" s="237"/>
      <c r="Y655" s="237"/>
      <c r="Z655" s="237"/>
      <c r="AA655" s="239"/>
      <c r="AB655" s="238"/>
      <c r="AC655" s="238"/>
      <c r="AD655" s="240"/>
      <c r="AE655" s="241"/>
      <c r="AF655" s="241"/>
      <c r="AG655" s="238"/>
      <c r="AH655" s="240"/>
      <c r="AI655" s="241"/>
      <c r="AJ655" s="241"/>
      <c r="AK655" s="241"/>
      <c r="AL655" s="237"/>
      <c r="AM655" s="237"/>
      <c r="AN655" s="237"/>
      <c r="AO655" s="237"/>
      <c r="AP655" s="237"/>
      <c r="AQ655" s="237"/>
      <c r="AR655" s="237"/>
    </row>
    <row r="656">
      <c r="A656" s="228"/>
      <c r="B656" s="228"/>
      <c r="C656" s="228"/>
      <c r="D656" s="228"/>
      <c r="E656" s="228"/>
      <c r="F656" s="228"/>
      <c r="G656" s="228"/>
      <c r="H656" s="241"/>
      <c r="I656" s="228"/>
      <c r="J656" s="236"/>
      <c r="K656" s="228"/>
      <c r="L656" s="228"/>
      <c r="M656" s="238"/>
      <c r="N656" s="228"/>
      <c r="O656" s="235"/>
      <c r="P656" s="236"/>
      <c r="Q656" s="235"/>
      <c r="R656" s="235"/>
      <c r="S656" s="236"/>
      <c r="T656" s="236"/>
      <c r="U656" s="237"/>
      <c r="V656" s="237"/>
      <c r="W656" s="238"/>
      <c r="X656" s="237"/>
      <c r="Y656" s="237"/>
      <c r="Z656" s="237"/>
      <c r="AA656" s="239"/>
      <c r="AB656" s="238"/>
      <c r="AC656" s="238"/>
      <c r="AD656" s="240"/>
      <c r="AE656" s="241"/>
      <c r="AF656" s="241"/>
      <c r="AG656" s="238"/>
      <c r="AH656" s="240"/>
      <c r="AI656" s="241"/>
      <c r="AJ656" s="241"/>
      <c r="AK656" s="241"/>
      <c r="AL656" s="237"/>
      <c r="AM656" s="237"/>
      <c r="AN656" s="237"/>
      <c r="AO656" s="237"/>
      <c r="AP656" s="237"/>
      <c r="AQ656" s="237"/>
      <c r="AR656" s="237"/>
    </row>
    <row r="657">
      <c r="A657" s="228"/>
      <c r="B657" s="228"/>
      <c r="C657" s="228"/>
      <c r="D657" s="228"/>
      <c r="E657" s="228"/>
      <c r="F657" s="228"/>
      <c r="G657" s="228"/>
      <c r="H657" s="241"/>
      <c r="I657" s="228"/>
      <c r="J657" s="236"/>
      <c r="K657" s="228"/>
      <c r="L657" s="228"/>
      <c r="M657" s="238"/>
      <c r="N657" s="228"/>
      <c r="O657" s="235"/>
      <c r="P657" s="236"/>
      <c r="Q657" s="235"/>
      <c r="R657" s="235"/>
      <c r="S657" s="236"/>
      <c r="T657" s="236"/>
      <c r="U657" s="237"/>
      <c r="V657" s="237"/>
      <c r="W657" s="238"/>
      <c r="X657" s="237"/>
      <c r="Y657" s="237"/>
      <c r="Z657" s="237"/>
      <c r="AA657" s="239"/>
      <c r="AB657" s="238"/>
      <c r="AC657" s="238"/>
      <c r="AD657" s="240"/>
      <c r="AE657" s="241"/>
      <c r="AF657" s="241"/>
      <c r="AG657" s="238"/>
      <c r="AH657" s="240"/>
      <c r="AI657" s="241"/>
      <c r="AJ657" s="241"/>
      <c r="AK657" s="241"/>
      <c r="AL657" s="237"/>
      <c r="AM657" s="237"/>
      <c r="AN657" s="237"/>
      <c r="AO657" s="237"/>
      <c r="AP657" s="237"/>
      <c r="AQ657" s="237"/>
      <c r="AR657" s="237"/>
    </row>
    <row r="658">
      <c r="A658" s="228"/>
      <c r="B658" s="228"/>
      <c r="C658" s="228"/>
      <c r="D658" s="228"/>
      <c r="E658" s="228"/>
      <c r="F658" s="228"/>
      <c r="G658" s="228"/>
      <c r="H658" s="241"/>
      <c r="I658" s="228"/>
      <c r="J658" s="236"/>
      <c r="K658" s="228"/>
      <c r="L658" s="228"/>
      <c r="M658" s="238"/>
      <c r="N658" s="228"/>
      <c r="O658" s="235"/>
      <c r="P658" s="236"/>
      <c r="Q658" s="235"/>
      <c r="R658" s="235"/>
      <c r="S658" s="236"/>
      <c r="T658" s="236"/>
      <c r="U658" s="237"/>
      <c r="V658" s="237"/>
      <c r="W658" s="238"/>
      <c r="X658" s="237"/>
      <c r="Y658" s="237"/>
      <c r="Z658" s="237"/>
      <c r="AA658" s="239"/>
      <c r="AB658" s="238"/>
      <c r="AC658" s="238"/>
      <c r="AD658" s="240"/>
      <c r="AE658" s="241"/>
      <c r="AF658" s="241"/>
      <c r="AG658" s="238"/>
      <c r="AH658" s="240"/>
      <c r="AI658" s="241"/>
      <c r="AJ658" s="241"/>
      <c r="AK658" s="241"/>
      <c r="AL658" s="237"/>
      <c r="AM658" s="237"/>
      <c r="AN658" s="237"/>
      <c r="AO658" s="237"/>
      <c r="AP658" s="237"/>
      <c r="AQ658" s="237"/>
      <c r="AR658" s="237"/>
    </row>
    <row r="659">
      <c r="A659" s="228"/>
      <c r="B659" s="228"/>
      <c r="C659" s="228"/>
      <c r="D659" s="228"/>
      <c r="E659" s="228"/>
      <c r="F659" s="228"/>
      <c r="G659" s="228"/>
      <c r="H659" s="241"/>
      <c r="I659" s="228"/>
      <c r="J659" s="236"/>
      <c r="K659" s="228"/>
      <c r="L659" s="228"/>
      <c r="M659" s="238"/>
      <c r="N659" s="228"/>
      <c r="O659" s="235"/>
      <c r="P659" s="236"/>
      <c r="Q659" s="235"/>
      <c r="R659" s="235"/>
      <c r="S659" s="236"/>
      <c r="T659" s="236"/>
      <c r="U659" s="237"/>
      <c r="V659" s="237"/>
      <c r="W659" s="238"/>
      <c r="X659" s="237"/>
      <c r="Y659" s="237"/>
      <c r="Z659" s="237"/>
      <c r="AA659" s="239"/>
      <c r="AB659" s="238"/>
      <c r="AC659" s="238"/>
      <c r="AD659" s="240"/>
      <c r="AE659" s="241"/>
      <c r="AF659" s="241"/>
      <c r="AG659" s="238"/>
      <c r="AH659" s="240"/>
      <c r="AI659" s="241"/>
      <c r="AJ659" s="241"/>
      <c r="AK659" s="241"/>
      <c r="AL659" s="237"/>
      <c r="AM659" s="237"/>
      <c r="AN659" s="237"/>
      <c r="AO659" s="237"/>
      <c r="AP659" s="237"/>
      <c r="AQ659" s="237"/>
      <c r="AR659" s="237"/>
    </row>
    <row r="660">
      <c r="A660" s="228"/>
      <c r="B660" s="228"/>
      <c r="C660" s="228"/>
      <c r="D660" s="228"/>
      <c r="E660" s="228"/>
      <c r="F660" s="228"/>
      <c r="G660" s="228"/>
      <c r="H660" s="241"/>
      <c r="I660" s="228"/>
      <c r="J660" s="236"/>
      <c r="K660" s="228"/>
      <c r="L660" s="228"/>
      <c r="M660" s="238"/>
      <c r="N660" s="228"/>
      <c r="O660" s="235"/>
      <c r="P660" s="236"/>
      <c r="Q660" s="235"/>
      <c r="R660" s="235"/>
      <c r="S660" s="236"/>
      <c r="T660" s="236"/>
      <c r="U660" s="237"/>
      <c r="V660" s="237"/>
      <c r="W660" s="238"/>
      <c r="X660" s="237"/>
      <c r="Y660" s="237"/>
      <c r="Z660" s="237"/>
      <c r="AA660" s="239"/>
      <c r="AB660" s="238"/>
      <c r="AC660" s="238"/>
      <c r="AD660" s="240"/>
      <c r="AE660" s="241"/>
      <c r="AF660" s="241"/>
      <c r="AG660" s="238"/>
      <c r="AH660" s="240"/>
      <c r="AI660" s="241"/>
      <c r="AJ660" s="241"/>
      <c r="AK660" s="241"/>
      <c r="AL660" s="237"/>
      <c r="AM660" s="237"/>
      <c r="AN660" s="237"/>
      <c r="AO660" s="237"/>
      <c r="AP660" s="237"/>
      <c r="AQ660" s="237"/>
      <c r="AR660" s="237"/>
    </row>
    <row r="661">
      <c r="A661" s="228"/>
      <c r="B661" s="228"/>
      <c r="C661" s="228"/>
      <c r="D661" s="228"/>
      <c r="E661" s="228"/>
      <c r="F661" s="228"/>
      <c r="G661" s="228"/>
      <c r="H661" s="241"/>
      <c r="I661" s="228"/>
      <c r="J661" s="236"/>
      <c r="K661" s="228"/>
      <c r="L661" s="228"/>
      <c r="M661" s="238"/>
      <c r="N661" s="228"/>
      <c r="O661" s="235"/>
      <c r="P661" s="236"/>
      <c r="Q661" s="235"/>
      <c r="R661" s="235"/>
      <c r="S661" s="236"/>
      <c r="T661" s="236"/>
      <c r="U661" s="237"/>
      <c r="V661" s="237"/>
      <c r="W661" s="238"/>
      <c r="X661" s="237"/>
      <c r="Y661" s="237"/>
      <c r="Z661" s="237"/>
      <c r="AA661" s="239"/>
      <c r="AB661" s="238"/>
      <c r="AC661" s="238"/>
      <c r="AD661" s="240"/>
      <c r="AE661" s="241"/>
      <c r="AF661" s="241"/>
      <c r="AG661" s="238"/>
      <c r="AH661" s="240"/>
      <c r="AI661" s="241"/>
      <c r="AJ661" s="241"/>
      <c r="AK661" s="241"/>
      <c r="AL661" s="237"/>
      <c r="AM661" s="237"/>
      <c r="AN661" s="237"/>
      <c r="AO661" s="237"/>
      <c r="AP661" s="237"/>
      <c r="AQ661" s="237"/>
      <c r="AR661" s="237"/>
    </row>
    <row r="662">
      <c r="A662" s="228"/>
      <c r="B662" s="228"/>
      <c r="C662" s="228"/>
      <c r="D662" s="228"/>
      <c r="E662" s="228"/>
      <c r="F662" s="228"/>
      <c r="G662" s="228"/>
      <c r="H662" s="241"/>
      <c r="I662" s="228"/>
      <c r="J662" s="236"/>
      <c r="K662" s="228"/>
      <c r="L662" s="228"/>
      <c r="M662" s="238"/>
      <c r="N662" s="228"/>
      <c r="O662" s="235"/>
      <c r="P662" s="236"/>
      <c r="Q662" s="235"/>
      <c r="R662" s="235"/>
      <c r="S662" s="236"/>
      <c r="T662" s="236"/>
      <c r="U662" s="237"/>
      <c r="V662" s="237"/>
      <c r="W662" s="238"/>
      <c r="X662" s="237"/>
      <c r="Y662" s="237"/>
      <c r="Z662" s="237"/>
      <c r="AA662" s="239"/>
      <c r="AB662" s="238"/>
      <c r="AC662" s="238"/>
      <c r="AD662" s="240"/>
      <c r="AE662" s="241"/>
      <c r="AF662" s="241"/>
      <c r="AG662" s="238"/>
      <c r="AH662" s="240"/>
      <c r="AI662" s="241"/>
      <c r="AJ662" s="241"/>
      <c r="AK662" s="241"/>
      <c r="AL662" s="237"/>
      <c r="AM662" s="237"/>
      <c r="AN662" s="237"/>
      <c r="AO662" s="237"/>
      <c r="AP662" s="237"/>
      <c r="AQ662" s="237"/>
      <c r="AR662" s="237"/>
    </row>
    <row r="663">
      <c r="A663" s="228"/>
      <c r="B663" s="228"/>
      <c r="C663" s="228"/>
      <c r="D663" s="228"/>
      <c r="E663" s="228"/>
      <c r="F663" s="228"/>
      <c r="G663" s="228"/>
      <c r="H663" s="241"/>
      <c r="I663" s="228"/>
      <c r="J663" s="236"/>
      <c r="K663" s="228"/>
      <c r="L663" s="228"/>
      <c r="M663" s="238"/>
      <c r="N663" s="228"/>
      <c r="O663" s="235"/>
      <c r="P663" s="236"/>
      <c r="Q663" s="235"/>
      <c r="R663" s="235"/>
      <c r="S663" s="236"/>
      <c r="T663" s="236"/>
      <c r="U663" s="237"/>
      <c r="V663" s="237"/>
      <c r="W663" s="238"/>
      <c r="X663" s="237"/>
      <c r="Y663" s="237"/>
      <c r="Z663" s="237"/>
      <c r="AA663" s="239"/>
      <c r="AB663" s="238"/>
      <c r="AC663" s="238"/>
      <c r="AD663" s="240"/>
      <c r="AE663" s="241"/>
      <c r="AF663" s="241"/>
      <c r="AG663" s="238"/>
      <c r="AH663" s="240"/>
      <c r="AI663" s="241"/>
      <c r="AJ663" s="241"/>
      <c r="AK663" s="241"/>
      <c r="AL663" s="237"/>
      <c r="AM663" s="237"/>
      <c r="AN663" s="237"/>
      <c r="AO663" s="237"/>
      <c r="AP663" s="237"/>
      <c r="AQ663" s="237"/>
      <c r="AR663" s="237"/>
    </row>
    <row r="664">
      <c r="A664" s="228"/>
      <c r="B664" s="228"/>
      <c r="C664" s="228"/>
      <c r="D664" s="228"/>
      <c r="E664" s="228"/>
      <c r="F664" s="228"/>
      <c r="G664" s="228"/>
      <c r="H664" s="241"/>
      <c r="I664" s="228"/>
      <c r="J664" s="236"/>
      <c r="K664" s="228"/>
      <c r="L664" s="228"/>
      <c r="M664" s="238"/>
      <c r="N664" s="228"/>
      <c r="O664" s="235"/>
      <c r="P664" s="236"/>
      <c r="Q664" s="235"/>
      <c r="R664" s="235"/>
      <c r="S664" s="236"/>
      <c r="T664" s="236"/>
      <c r="U664" s="237"/>
      <c r="V664" s="237"/>
      <c r="W664" s="238"/>
      <c r="X664" s="237"/>
      <c r="Y664" s="237"/>
      <c r="Z664" s="237"/>
      <c r="AA664" s="239"/>
      <c r="AB664" s="238"/>
      <c r="AC664" s="238"/>
      <c r="AD664" s="240"/>
      <c r="AE664" s="241"/>
      <c r="AF664" s="241"/>
      <c r="AG664" s="238"/>
      <c r="AH664" s="240"/>
      <c r="AI664" s="241"/>
      <c r="AJ664" s="241"/>
      <c r="AK664" s="241"/>
      <c r="AL664" s="237"/>
      <c r="AM664" s="237"/>
      <c r="AN664" s="237"/>
      <c r="AO664" s="237"/>
      <c r="AP664" s="237"/>
      <c r="AQ664" s="237"/>
      <c r="AR664" s="237"/>
    </row>
    <row r="665">
      <c r="A665" s="228"/>
      <c r="B665" s="228"/>
      <c r="C665" s="228"/>
      <c r="D665" s="228"/>
      <c r="E665" s="228"/>
      <c r="F665" s="228"/>
      <c r="G665" s="228"/>
      <c r="H665" s="241"/>
      <c r="I665" s="228"/>
      <c r="J665" s="236"/>
      <c r="K665" s="228"/>
      <c r="L665" s="228"/>
      <c r="M665" s="238"/>
      <c r="N665" s="228"/>
      <c r="O665" s="235"/>
      <c r="P665" s="236"/>
      <c r="Q665" s="235"/>
      <c r="R665" s="235"/>
      <c r="S665" s="236"/>
      <c r="T665" s="236"/>
      <c r="U665" s="237"/>
      <c r="V665" s="237"/>
      <c r="W665" s="238"/>
      <c r="X665" s="237"/>
      <c r="Y665" s="237"/>
      <c r="Z665" s="237"/>
      <c r="AA665" s="239"/>
      <c r="AB665" s="238"/>
      <c r="AC665" s="238"/>
      <c r="AD665" s="240"/>
      <c r="AE665" s="241"/>
      <c r="AF665" s="241"/>
      <c r="AG665" s="238"/>
      <c r="AH665" s="240"/>
      <c r="AI665" s="241"/>
      <c r="AJ665" s="241"/>
      <c r="AK665" s="241"/>
      <c r="AL665" s="237"/>
      <c r="AM665" s="237"/>
      <c r="AN665" s="237"/>
      <c r="AO665" s="237"/>
      <c r="AP665" s="237"/>
      <c r="AQ665" s="237"/>
      <c r="AR665" s="237"/>
    </row>
    <row r="666">
      <c r="A666" s="228"/>
      <c r="B666" s="228"/>
      <c r="C666" s="228"/>
      <c r="D666" s="228"/>
      <c r="E666" s="228"/>
      <c r="F666" s="228"/>
      <c r="G666" s="228"/>
      <c r="H666" s="241"/>
      <c r="I666" s="228"/>
      <c r="J666" s="236"/>
      <c r="K666" s="228"/>
      <c r="L666" s="228"/>
      <c r="M666" s="238"/>
      <c r="N666" s="228"/>
      <c r="O666" s="235"/>
      <c r="P666" s="236"/>
      <c r="Q666" s="235"/>
      <c r="R666" s="235"/>
      <c r="S666" s="236"/>
      <c r="T666" s="236"/>
      <c r="U666" s="237"/>
      <c r="V666" s="237"/>
      <c r="W666" s="238"/>
      <c r="X666" s="237"/>
      <c r="Y666" s="237"/>
      <c r="Z666" s="237"/>
      <c r="AA666" s="239"/>
      <c r="AB666" s="238"/>
      <c r="AC666" s="238"/>
      <c r="AD666" s="240"/>
      <c r="AE666" s="241"/>
      <c r="AF666" s="241"/>
      <c r="AG666" s="238"/>
      <c r="AH666" s="240"/>
      <c r="AI666" s="241"/>
      <c r="AJ666" s="241"/>
      <c r="AK666" s="241"/>
      <c r="AL666" s="237"/>
      <c r="AM666" s="237"/>
      <c r="AN666" s="237"/>
      <c r="AO666" s="237"/>
      <c r="AP666" s="237"/>
      <c r="AQ666" s="237"/>
      <c r="AR666" s="237"/>
    </row>
    <row r="667">
      <c r="A667" s="228"/>
      <c r="B667" s="228"/>
      <c r="C667" s="228"/>
      <c r="D667" s="228"/>
      <c r="E667" s="228"/>
      <c r="F667" s="228"/>
      <c r="G667" s="228"/>
      <c r="H667" s="241"/>
      <c r="I667" s="228"/>
      <c r="J667" s="236"/>
      <c r="K667" s="228"/>
      <c r="L667" s="228"/>
      <c r="M667" s="238"/>
      <c r="N667" s="228"/>
      <c r="O667" s="235"/>
      <c r="P667" s="236"/>
      <c r="Q667" s="235"/>
      <c r="R667" s="235"/>
      <c r="S667" s="236"/>
      <c r="T667" s="236"/>
      <c r="U667" s="237"/>
      <c r="V667" s="237"/>
      <c r="W667" s="238"/>
      <c r="X667" s="237"/>
      <c r="Y667" s="237"/>
      <c r="Z667" s="237"/>
      <c r="AA667" s="239"/>
      <c r="AB667" s="238"/>
      <c r="AC667" s="238"/>
      <c r="AD667" s="240"/>
      <c r="AE667" s="241"/>
      <c r="AF667" s="241"/>
      <c r="AG667" s="238"/>
      <c r="AH667" s="240"/>
      <c r="AI667" s="241"/>
      <c r="AJ667" s="241"/>
      <c r="AK667" s="241"/>
      <c r="AL667" s="237"/>
      <c r="AM667" s="237"/>
      <c r="AN667" s="237"/>
      <c r="AO667" s="237"/>
      <c r="AP667" s="237"/>
      <c r="AQ667" s="237"/>
      <c r="AR667" s="237"/>
    </row>
    <row r="668">
      <c r="A668" s="228"/>
      <c r="B668" s="228"/>
      <c r="C668" s="228"/>
      <c r="D668" s="228"/>
      <c r="E668" s="228"/>
      <c r="F668" s="228"/>
      <c r="G668" s="228"/>
      <c r="H668" s="241"/>
      <c r="I668" s="228"/>
      <c r="J668" s="236"/>
      <c r="K668" s="228"/>
      <c r="L668" s="228"/>
      <c r="M668" s="238"/>
      <c r="N668" s="228"/>
      <c r="O668" s="235"/>
      <c r="P668" s="236"/>
      <c r="Q668" s="235"/>
      <c r="R668" s="235"/>
      <c r="S668" s="236"/>
      <c r="T668" s="236"/>
      <c r="U668" s="237"/>
      <c r="V668" s="237"/>
      <c r="W668" s="238"/>
      <c r="X668" s="237"/>
      <c r="Y668" s="237"/>
      <c r="Z668" s="237"/>
      <c r="AA668" s="239"/>
      <c r="AB668" s="238"/>
      <c r="AC668" s="238"/>
      <c r="AD668" s="240"/>
      <c r="AE668" s="241"/>
      <c r="AF668" s="241"/>
      <c r="AG668" s="238"/>
      <c r="AH668" s="240"/>
      <c r="AI668" s="241"/>
      <c r="AJ668" s="241"/>
      <c r="AK668" s="241"/>
      <c r="AL668" s="237"/>
      <c r="AM668" s="237"/>
      <c r="AN668" s="237"/>
      <c r="AO668" s="237"/>
      <c r="AP668" s="237"/>
      <c r="AQ668" s="237"/>
      <c r="AR668" s="237"/>
    </row>
    <row r="669">
      <c r="A669" s="228"/>
      <c r="B669" s="228"/>
      <c r="C669" s="228"/>
      <c r="D669" s="228"/>
      <c r="E669" s="228"/>
      <c r="F669" s="228"/>
      <c r="G669" s="228"/>
      <c r="H669" s="241"/>
      <c r="I669" s="228"/>
      <c r="J669" s="236"/>
      <c r="K669" s="228"/>
      <c r="L669" s="228"/>
      <c r="M669" s="238"/>
      <c r="N669" s="228"/>
      <c r="O669" s="235"/>
      <c r="P669" s="236"/>
      <c r="Q669" s="235"/>
      <c r="R669" s="235"/>
      <c r="S669" s="236"/>
      <c r="T669" s="236"/>
      <c r="U669" s="237"/>
      <c r="V669" s="237"/>
      <c r="W669" s="238"/>
      <c r="X669" s="237"/>
      <c r="Y669" s="237"/>
      <c r="Z669" s="237"/>
      <c r="AA669" s="239"/>
      <c r="AB669" s="238"/>
      <c r="AC669" s="238"/>
      <c r="AD669" s="240"/>
      <c r="AE669" s="241"/>
      <c r="AF669" s="241"/>
      <c r="AG669" s="238"/>
      <c r="AH669" s="240"/>
      <c r="AI669" s="241"/>
      <c r="AJ669" s="241"/>
      <c r="AK669" s="241"/>
      <c r="AL669" s="237"/>
      <c r="AM669" s="237"/>
      <c r="AN669" s="237"/>
      <c r="AO669" s="237"/>
      <c r="AP669" s="237"/>
      <c r="AQ669" s="237"/>
      <c r="AR669" s="237"/>
    </row>
    <row r="670">
      <c r="A670" s="228"/>
      <c r="B670" s="228"/>
      <c r="C670" s="228"/>
      <c r="D670" s="228"/>
      <c r="E670" s="228"/>
      <c r="F670" s="228"/>
      <c r="G670" s="228"/>
      <c r="H670" s="241"/>
      <c r="I670" s="228"/>
      <c r="J670" s="236"/>
      <c r="K670" s="228"/>
      <c r="L670" s="228"/>
      <c r="M670" s="238"/>
      <c r="N670" s="228"/>
      <c r="O670" s="235"/>
      <c r="P670" s="236"/>
      <c r="Q670" s="235"/>
      <c r="R670" s="235"/>
      <c r="S670" s="236"/>
      <c r="T670" s="236"/>
      <c r="U670" s="237"/>
      <c r="V670" s="237"/>
      <c r="W670" s="238"/>
      <c r="X670" s="237"/>
      <c r="Y670" s="237"/>
      <c r="Z670" s="237"/>
      <c r="AA670" s="239"/>
      <c r="AB670" s="238"/>
      <c r="AC670" s="238"/>
      <c r="AD670" s="240"/>
      <c r="AE670" s="241"/>
      <c r="AF670" s="241"/>
      <c r="AG670" s="238"/>
      <c r="AH670" s="240"/>
      <c r="AI670" s="241"/>
      <c r="AJ670" s="241"/>
      <c r="AK670" s="241"/>
      <c r="AL670" s="237"/>
      <c r="AM670" s="237"/>
      <c r="AN670" s="237"/>
      <c r="AO670" s="237"/>
      <c r="AP670" s="237"/>
      <c r="AQ670" s="237"/>
      <c r="AR670" s="237"/>
    </row>
    <row r="671">
      <c r="A671" s="228"/>
      <c r="B671" s="228"/>
      <c r="C671" s="228"/>
      <c r="D671" s="228"/>
      <c r="E671" s="228"/>
      <c r="F671" s="228"/>
      <c r="G671" s="228"/>
      <c r="H671" s="241"/>
      <c r="I671" s="228"/>
      <c r="J671" s="236"/>
      <c r="K671" s="228"/>
      <c r="L671" s="228"/>
      <c r="M671" s="238"/>
      <c r="N671" s="228"/>
      <c r="O671" s="235"/>
      <c r="P671" s="236"/>
      <c r="Q671" s="235"/>
      <c r="R671" s="235"/>
      <c r="S671" s="236"/>
      <c r="T671" s="236"/>
      <c r="U671" s="237"/>
      <c r="V671" s="237"/>
      <c r="W671" s="238"/>
      <c r="X671" s="237"/>
      <c r="Y671" s="237"/>
      <c r="Z671" s="237"/>
      <c r="AA671" s="239"/>
      <c r="AB671" s="238"/>
      <c r="AC671" s="238"/>
      <c r="AD671" s="240"/>
      <c r="AE671" s="241"/>
      <c r="AF671" s="241"/>
      <c r="AG671" s="238"/>
      <c r="AH671" s="240"/>
      <c r="AI671" s="241"/>
      <c r="AJ671" s="241"/>
      <c r="AK671" s="241"/>
      <c r="AL671" s="237"/>
      <c r="AM671" s="237"/>
      <c r="AN671" s="237"/>
      <c r="AO671" s="237"/>
      <c r="AP671" s="237"/>
      <c r="AQ671" s="237"/>
      <c r="AR671" s="237"/>
    </row>
    <row r="672">
      <c r="A672" s="228"/>
      <c r="B672" s="228"/>
      <c r="C672" s="228"/>
      <c r="D672" s="228"/>
      <c r="E672" s="228"/>
      <c r="F672" s="228"/>
      <c r="G672" s="228"/>
      <c r="H672" s="241"/>
      <c r="I672" s="228"/>
      <c r="J672" s="236"/>
      <c r="K672" s="228"/>
      <c r="L672" s="228"/>
      <c r="M672" s="238"/>
      <c r="N672" s="228"/>
      <c r="O672" s="235"/>
      <c r="P672" s="236"/>
      <c r="Q672" s="235"/>
      <c r="R672" s="235"/>
      <c r="S672" s="236"/>
      <c r="T672" s="236"/>
      <c r="U672" s="237"/>
      <c r="V672" s="237"/>
      <c r="W672" s="238"/>
      <c r="X672" s="237"/>
      <c r="Y672" s="237"/>
      <c r="Z672" s="237"/>
      <c r="AA672" s="239"/>
      <c r="AB672" s="238"/>
      <c r="AC672" s="238"/>
      <c r="AD672" s="240"/>
      <c r="AE672" s="241"/>
      <c r="AF672" s="241"/>
      <c r="AG672" s="238"/>
      <c r="AH672" s="240"/>
      <c r="AI672" s="241"/>
      <c r="AJ672" s="241"/>
      <c r="AK672" s="241"/>
      <c r="AL672" s="237"/>
      <c r="AM672" s="237"/>
      <c r="AN672" s="237"/>
      <c r="AO672" s="237"/>
      <c r="AP672" s="237"/>
      <c r="AQ672" s="237"/>
      <c r="AR672" s="237"/>
    </row>
    <row r="673">
      <c r="A673" s="228"/>
      <c r="B673" s="228"/>
      <c r="C673" s="228"/>
      <c r="D673" s="228"/>
      <c r="E673" s="228"/>
      <c r="F673" s="228"/>
      <c r="G673" s="228"/>
      <c r="H673" s="241"/>
      <c r="I673" s="228"/>
      <c r="J673" s="236"/>
      <c r="K673" s="228"/>
      <c r="L673" s="228"/>
      <c r="M673" s="238"/>
      <c r="N673" s="228"/>
      <c r="O673" s="235"/>
      <c r="P673" s="236"/>
      <c r="Q673" s="235"/>
      <c r="R673" s="235"/>
      <c r="S673" s="236"/>
      <c r="T673" s="236"/>
      <c r="U673" s="237"/>
      <c r="V673" s="237"/>
      <c r="W673" s="238"/>
      <c r="X673" s="237"/>
      <c r="Y673" s="237"/>
      <c r="Z673" s="237"/>
      <c r="AA673" s="239"/>
      <c r="AB673" s="238"/>
      <c r="AC673" s="238"/>
      <c r="AD673" s="240"/>
      <c r="AE673" s="241"/>
      <c r="AF673" s="241"/>
      <c r="AG673" s="238"/>
      <c r="AH673" s="240"/>
      <c r="AI673" s="241"/>
      <c r="AJ673" s="241"/>
      <c r="AK673" s="241"/>
      <c r="AL673" s="237"/>
      <c r="AM673" s="237"/>
      <c r="AN673" s="237"/>
      <c r="AO673" s="237"/>
      <c r="AP673" s="237"/>
      <c r="AQ673" s="237"/>
      <c r="AR673" s="237"/>
    </row>
    <row r="674">
      <c r="A674" s="228"/>
      <c r="B674" s="228"/>
      <c r="C674" s="228"/>
      <c r="D674" s="228"/>
      <c r="E674" s="228"/>
      <c r="F674" s="228"/>
      <c r="G674" s="228"/>
      <c r="H674" s="241"/>
      <c r="I674" s="228"/>
      <c r="J674" s="236"/>
      <c r="K674" s="228"/>
      <c r="L674" s="228"/>
      <c r="M674" s="238"/>
      <c r="N674" s="228"/>
      <c r="O674" s="235"/>
      <c r="P674" s="236"/>
      <c r="Q674" s="235"/>
      <c r="R674" s="235"/>
      <c r="S674" s="236"/>
      <c r="T674" s="236"/>
      <c r="U674" s="237"/>
      <c r="V674" s="237"/>
      <c r="W674" s="238"/>
      <c r="X674" s="237"/>
      <c r="Y674" s="237"/>
      <c r="Z674" s="237"/>
      <c r="AA674" s="239"/>
      <c r="AB674" s="238"/>
      <c r="AC674" s="238"/>
      <c r="AD674" s="240"/>
      <c r="AE674" s="241"/>
      <c r="AF674" s="241"/>
      <c r="AG674" s="238"/>
      <c r="AH674" s="240"/>
      <c r="AI674" s="241"/>
      <c r="AJ674" s="241"/>
      <c r="AK674" s="241"/>
      <c r="AL674" s="237"/>
      <c r="AM674" s="237"/>
      <c r="AN674" s="237"/>
      <c r="AO674" s="237"/>
      <c r="AP674" s="237"/>
      <c r="AQ674" s="237"/>
      <c r="AR674" s="237"/>
    </row>
    <row r="675">
      <c r="A675" s="228"/>
      <c r="B675" s="228"/>
      <c r="C675" s="228"/>
      <c r="D675" s="228"/>
      <c r="E675" s="228"/>
      <c r="F675" s="228"/>
      <c r="G675" s="228"/>
      <c r="H675" s="241"/>
      <c r="I675" s="228"/>
      <c r="J675" s="236"/>
      <c r="K675" s="228"/>
      <c r="L675" s="228"/>
      <c r="M675" s="238"/>
      <c r="N675" s="228"/>
      <c r="O675" s="235"/>
      <c r="P675" s="236"/>
      <c r="Q675" s="235"/>
      <c r="R675" s="235"/>
      <c r="S675" s="236"/>
      <c r="T675" s="236"/>
      <c r="U675" s="237"/>
      <c r="V675" s="237"/>
      <c r="W675" s="238"/>
      <c r="X675" s="237"/>
      <c r="Y675" s="237"/>
      <c r="Z675" s="237"/>
      <c r="AA675" s="239"/>
      <c r="AB675" s="238"/>
      <c r="AC675" s="238"/>
      <c r="AD675" s="240"/>
      <c r="AE675" s="241"/>
      <c r="AF675" s="241"/>
      <c r="AG675" s="238"/>
      <c r="AH675" s="240"/>
      <c r="AI675" s="241"/>
      <c r="AJ675" s="241"/>
      <c r="AK675" s="241"/>
      <c r="AL675" s="237"/>
      <c r="AM675" s="237"/>
      <c r="AN675" s="237"/>
      <c r="AO675" s="237"/>
      <c r="AP675" s="237"/>
      <c r="AQ675" s="237"/>
      <c r="AR675" s="237"/>
    </row>
    <row r="676">
      <c r="A676" s="228"/>
      <c r="B676" s="228"/>
      <c r="C676" s="228"/>
      <c r="D676" s="228"/>
      <c r="E676" s="228"/>
      <c r="F676" s="228"/>
      <c r="G676" s="228"/>
      <c r="H676" s="241"/>
      <c r="I676" s="228"/>
      <c r="J676" s="236"/>
      <c r="K676" s="228"/>
      <c r="L676" s="228"/>
      <c r="M676" s="238"/>
      <c r="N676" s="228"/>
      <c r="O676" s="235"/>
      <c r="P676" s="236"/>
      <c r="Q676" s="235"/>
      <c r="R676" s="235"/>
      <c r="S676" s="236"/>
      <c r="T676" s="236"/>
      <c r="U676" s="237"/>
      <c r="V676" s="237"/>
      <c r="W676" s="238"/>
      <c r="X676" s="237"/>
      <c r="Y676" s="237"/>
      <c r="Z676" s="237"/>
      <c r="AA676" s="239"/>
      <c r="AB676" s="238"/>
      <c r="AC676" s="238"/>
      <c r="AD676" s="240"/>
      <c r="AE676" s="241"/>
      <c r="AF676" s="241"/>
      <c r="AG676" s="238"/>
      <c r="AH676" s="240"/>
      <c r="AI676" s="241"/>
      <c r="AJ676" s="241"/>
      <c r="AK676" s="241"/>
      <c r="AL676" s="237"/>
      <c r="AM676" s="237"/>
      <c r="AN676" s="237"/>
      <c r="AO676" s="237"/>
      <c r="AP676" s="237"/>
      <c r="AQ676" s="237"/>
      <c r="AR676" s="237"/>
    </row>
    <row r="677">
      <c r="A677" s="228"/>
      <c r="B677" s="228"/>
      <c r="C677" s="228"/>
      <c r="D677" s="228"/>
      <c r="E677" s="228"/>
      <c r="F677" s="228"/>
      <c r="G677" s="228"/>
      <c r="H677" s="241"/>
      <c r="I677" s="228"/>
      <c r="J677" s="236"/>
      <c r="K677" s="228"/>
      <c r="L677" s="228"/>
      <c r="M677" s="238"/>
      <c r="N677" s="228"/>
      <c r="O677" s="235"/>
      <c r="P677" s="236"/>
      <c r="Q677" s="235"/>
      <c r="R677" s="235"/>
      <c r="S677" s="236"/>
      <c r="T677" s="236"/>
      <c r="U677" s="237"/>
      <c r="V677" s="237"/>
      <c r="W677" s="238"/>
      <c r="X677" s="237"/>
      <c r="Y677" s="237"/>
      <c r="Z677" s="237"/>
      <c r="AA677" s="239"/>
      <c r="AB677" s="238"/>
      <c r="AC677" s="238"/>
      <c r="AD677" s="240"/>
      <c r="AE677" s="241"/>
      <c r="AF677" s="241"/>
      <c r="AG677" s="238"/>
      <c r="AH677" s="240"/>
      <c r="AI677" s="241"/>
      <c r="AJ677" s="241"/>
      <c r="AK677" s="241"/>
      <c r="AL677" s="237"/>
      <c r="AM677" s="237"/>
      <c r="AN677" s="237"/>
      <c r="AO677" s="237"/>
      <c r="AP677" s="237"/>
      <c r="AQ677" s="237"/>
      <c r="AR677" s="237"/>
    </row>
    <row r="678">
      <c r="A678" s="228"/>
      <c r="B678" s="228"/>
      <c r="C678" s="228"/>
      <c r="D678" s="228"/>
      <c r="E678" s="228"/>
      <c r="F678" s="228"/>
      <c r="G678" s="228"/>
      <c r="H678" s="241"/>
      <c r="I678" s="228"/>
      <c r="J678" s="236"/>
      <c r="K678" s="228"/>
      <c r="L678" s="228"/>
      <c r="M678" s="238"/>
      <c r="N678" s="228"/>
      <c r="O678" s="235"/>
      <c r="P678" s="236"/>
      <c r="Q678" s="235"/>
      <c r="R678" s="235"/>
      <c r="S678" s="236"/>
      <c r="T678" s="236"/>
      <c r="U678" s="237"/>
      <c r="V678" s="237"/>
      <c r="W678" s="238"/>
      <c r="X678" s="237"/>
      <c r="Y678" s="237"/>
      <c r="Z678" s="237"/>
      <c r="AA678" s="239"/>
      <c r="AB678" s="238"/>
      <c r="AC678" s="238"/>
      <c r="AD678" s="240"/>
      <c r="AE678" s="241"/>
      <c r="AF678" s="241"/>
      <c r="AG678" s="238"/>
      <c r="AH678" s="240"/>
      <c r="AI678" s="241"/>
      <c r="AJ678" s="241"/>
      <c r="AK678" s="241"/>
      <c r="AL678" s="237"/>
      <c r="AM678" s="237"/>
      <c r="AN678" s="237"/>
      <c r="AO678" s="237"/>
      <c r="AP678" s="237"/>
      <c r="AQ678" s="237"/>
      <c r="AR678" s="237"/>
    </row>
    <row r="679">
      <c r="A679" s="228"/>
      <c r="B679" s="228"/>
      <c r="C679" s="228"/>
      <c r="D679" s="228"/>
      <c r="E679" s="228"/>
      <c r="F679" s="228"/>
      <c r="G679" s="228"/>
      <c r="H679" s="241"/>
      <c r="I679" s="228"/>
      <c r="J679" s="236"/>
      <c r="K679" s="228"/>
      <c r="L679" s="228"/>
      <c r="M679" s="238"/>
      <c r="N679" s="228"/>
      <c r="O679" s="235"/>
      <c r="P679" s="236"/>
      <c r="Q679" s="235"/>
      <c r="R679" s="235"/>
      <c r="S679" s="236"/>
      <c r="T679" s="236"/>
      <c r="U679" s="237"/>
      <c r="V679" s="237"/>
      <c r="W679" s="238"/>
      <c r="X679" s="237"/>
      <c r="Y679" s="237"/>
      <c r="Z679" s="237"/>
      <c r="AA679" s="239"/>
      <c r="AB679" s="238"/>
      <c r="AC679" s="238"/>
      <c r="AD679" s="240"/>
      <c r="AE679" s="241"/>
      <c r="AF679" s="241"/>
      <c r="AG679" s="238"/>
      <c r="AH679" s="240"/>
      <c r="AI679" s="241"/>
      <c r="AJ679" s="241"/>
      <c r="AK679" s="241"/>
      <c r="AL679" s="237"/>
      <c r="AM679" s="237"/>
      <c r="AN679" s="237"/>
      <c r="AO679" s="237"/>
      <c r="AP679" s="237"/>
      <c r="AQ679" s="237"/>
      <c r="AR679" s="237"/>
    </row>
    <row r="680">
      <c r="A680" s="228"/>
      <c r="B680" s="228"/>
      <c r="C680" s="228"/>
      <c r="D680" s="228"/>
      <c r="E680" s="228"/>
      <c r="F680" s="228"/>
      <c r="G680" s="228"/>
      <c r="H680" s="241"/>
      <c r="I680" s="228"/>
      <c r="J680" s="236"/>
      <c r="K680" s="228"/>
      <c r="L680" s="228"/>
      <c r="M680" s="238"/>
      <c r="N680" s="228"/>
      <c r="O680" s="235"/>
      <c r="P680" s="236"/>
      <c r="Q680" s="235"/>
      <c r="R680" s="235"/>
      <c r="S680" s="236"/>
      <c r="T680" s="236"/>
      <c r="U680" s="237"/>
      <c r="V680" s="237"/>
      <c r="W680" s="238"/>
      <c r="X680" s="237"/>
      <c r="Y680" s="237"/>
      <c r="Z680" s="237"/>
      <c r="AA680" s="239"/>
      <c r="AB680" s="238"/>
      <c r="AC680" s="238"/>
      <c r="AD680" s="240"/>
      <c r="AE680" s="241"/>
      <c r="AF680" s="241"/>
      <c r="AG680" s="238"/>
      <c r="AH680" s="240"/>
      <c r="AI680" s="241"/>
      <c r="AJ680" s="241"/>
      <c r="AK680" s="241"/>
      <c r="AL680" s="237"/>
      <c r="AM680" s="237"/>
      <c r="AN680" s="237"/>
      <c r="AO680" s="237"/>
      <c r="AP680" s="237"/>
      <c r="AQ680" s="237"/>
      <c r="AR680" s="237"/>
    </row>
    <row r="681">
      <c r="A681" s="228"/>
      <c r="B681" s="228"/>
      <c r="C681" s="228"/>
      <c r="D681" s="228"/>
      <c r="E681" s="228"/>
      <c r="F681" s="228"/>
      <c r="G681" s="228"/>
      <c r="H681" s="241"/>
      <c r="I681" s="228"/>
      <c r="J681" s="236"/>
      <c r="K681" s="228"/>
      <c r="L681" s="228"/>
      <c r="M681" s="238"/>
      <c r="N681" s="228"/>
      <c r="O681" s="235"/>
      <c r="P681" s="236"/>
      <c r="Q681" s="235"/>
      <c r="R681" s="235"/>
      <c r="S681" s="236"/>
      <c r="T681" s="236"/>
      <c r="U681" s="237"/>
      <c r="V681" s="237"/>
      <c r="W681" s="238"/>
      <c r="X681" s="237"/>
      <c r="Y681" s="237"/>
      <c r="Z681" s="237"/>
      <c r="AA681" s="239"/>
      <c r="AB681" s="238"/>
      <c r="AC681" s="238"/>
      <c r="AD681" s="240"/>
      <c r="AE681" s="241"/>
      <c r="AF681" s="241"/>
      <c r="AG681" s="238"/>
      <c r="AH681" s="240"/>
      <c r="AI681" s="241"/>
      <c r="AJ681" s="241"/>
      <c r="AK681" s="241"/>
      <c r="AL681" s="237"/>
      <c r="AM681" s="237"/>
      <c r="AN681" s="237"/>
      <c r="AO681" s="237"/>
      <c r="AP681" s="237"/>
      <c r="AQ681" s="237"/>
      <c r="AR681" s="237"/>
    </row>
    <row r="682">
      <c r="A682" s="228"/>
      <c r="B682" s="228"/>
      <c r="C682" s="228"/>
      <c r="D682" s="228"/>
      <c r="E682" s="228"/>
      <c r="F682" s="228"/>
      <c r="G682" s="228"/>
      <c r="H682" s="241"/>
      <c r="I682" s="228"/>
      <c r="J682" s="236"/>
      <c r="K682" s="228"/>
      <c r="L682" s="228"/>
      <c r="M682" s="238"/>
      <c r="N682" s="228"/>
      <c r="O682" s="235"/>
      <c r="P682" s="236"/>
      <c r="Q682" s="235"/>
      <c r="R682" s="235"/>
      <c r="S682" s="236"/>
      <c r="T682" s="236"/>
      <c r="U682" s="237"/>
      <c r="V682" s="237"/>
      <c r="W682" s="238"/>
      <c r="X682" s="237"/>
      <c r="Y682" s="237"/>
      <c r="Z682" s="237"/>
      <c r="AA682" s="239"/>
      <c r="AB682" s="238"/>
      <c r="AC682" s="238"/>
      <c r="AD682" s="240"/>
      <c r="AE682" s="241"/>
      <c r="AF682" s="241"/>
      <c r="AG682" s="238"/>
      <c r="AH682" s="240"/>
      <c r="AI682" s="241"/>
      <c r="AJ682" s="241"/>
      <c r="AK682" s="241"/>
      <c r="AL682" s="237"/>
      <c r="AM682" s="237"/>
      <c r="AN682" s="237"/>
      <c r="AO682" s="237"/>
      <c r="AP682" s="237"/>
      <c r="AQ682" s="237"/>
      <c r="AR682" s="237"/>
    </row>
    <row r="683">
      <c r="A683" s="228"/>
      <c r="B683" s="228"/>
      <c r="C683" s="228"/>
      <c r="D683" s="228"/>
      <c r="E683" s="228"/>
      <c r="F683" s="228"/>
      <c r="G683" s="228"/>
      <c r="H683" s="241"/>
      <c r="I683" s="228"/>
      <c r="J683" s="236"/>
      <c r="K683" s="228"/>
      <c r="L683" s="228"/>
      <c r="M683" s="238"/>
      <c r="N683" s="228"/>
      <c r="O683" s="235"/>
      <c r="P683" s="236"/>
      <c r="Q683" s="235"/>
      <c r="R683" s="235"/>
      <c r="S683" s="236"/>
      <c r="T683" s="236"/>
      <c r="U683" s="237"/>
      <c r="V683" s="237"/>
      <c r="W683" s="238"/>
      <c r="X683" s="237"/>
      <c r="Y683" s="237"/>
      <c r="Z683" s="237"/>
      <c r="AA683" s="239"/>
      <c r="AB683" s="238"/>
      <c r="AC683" s="238"/>
      <c r="AD683" s="240"/>
      <c r="AE683" s="241"/>
      <c r="AF683" s="241"/>
      <c r="AG683" s="238"/>
      <c r="AH683" s="240"/>
      <c r="AI683" s="241"/>
      <c r="AJ683" s="241"/>
      <c r="AK683" s="241"/>
      <c r="AL683" s="237"/>
      <c r="AM683" s="237"/>
      <c r="AN683" s="237"/>
      <c r="AO683" s="237"/>
      <c r="AP683" s="237"/>
      <c r="AQ683" s="237"/>
      <c r="AR683" s="237"/>
    </row>
    <row r="684">
      <c r="A684" s="228"/>
      <c r="B684" s="228"/>
      <c r="C684" s="228"/>
      <c r="D684" s="228"/>
      <c r="E684" s="228"/>
      <c r="F684" s="228"/>
      <c r="G684" s="228"/>
      <c r="H684" s="241"/>
      <c r="I684" s="228"/>
      <c r="J684" s="236"/>
      <c r="K684" s="228"/>
      <c r="L684" s="228"/>
      <c r="M684" s="238"/>
      <c r="N684" s="228"/>
      <c r="O684" s="235"/>
      <c r="P684" s="236"/>
      <c r="Q684" s="235"/>
      <c r="R684" s="235"/>
      <c r="S684" s="236"/>
      <c r="T684" s="236"/>
      <c r="U684" s="237"/>
      <c r="V684" s="237"/>
      <c r="W684" s="238"/>
      <c r="X684" s="237"/>
      <c r="Y684" s="237"/>
      <c r="Z684" s="237"/>
      <c r="AA684" s="239"/>
      <c r="AB684" s="238"/>
      <c r="AC684" s="238"/>
      <c r="AD684" s="240"/>
      <c r="AE684" s="241"/>
      <c r="AF684" s="241"/>
      <c r="AG684" s="238"/>
      <c r="AH684" s="240"/>
      <c r="AI684" s="241"/>
      <c r="AJ684" s="241"/>
      <c r="AK684" s="241"/>
      <c r="AL684" s="237"/>
      <c r="AM684" s="237"/>
      <c r="AN684" s="237"/>
      <c r="AO684" s="237"/>
      <c r="AP684" s="237"/>
      <c r="AQ684" s="237"/>
      <c r="AR684" s="237"/>
    </row>
    <row r="685">
      <c r="A685" s="228"/>
      <c r="B685" s="228"/>
      <c r="C685" s="228"/>
      <c r="D685" s="228"/>
      <c r="E685" s="228"/>
      <c r="F685" s="228"/>
      <c r="G685" s="228"/>
      <c r="H685" s="241"/>
      <c r="I685" s="228"/>
      <c r="J685" s="236"/>
      <c r="K685" s="228"/>
      <c r="L685" s="228"/>
      <c r="M685" s="238"/>
      <c r="N685" s="228"/>
      <c r="O685" s="235"/>
      <c r="P685" s="236"/>
      <c r="Q685" s="235"/>
      <c r="R685" s="235"/>
      <c r="S685" s="236"/>
      <c r="T685" s="236"/>
      <c r="U685" s="237"/>
      <c r="V685" s="237"/>
      <c r="W685" s="238"/>
      <c r="X685" s="237"/>
      <c r="Y685" s="237"/>
      <c r="Z685" s="237"/>
      <c r="AA685" s="239"/>
      <c r="AB685" s="238"/>
      <c r="AC685" s="238"/>
      <c r="AD685" s="240"/>
      <c r="AE685" s="241"/>
      <c r="AF685" s="241"/>
      <c r="AG685" s="238"/>
      <c r="AH685" s="240"/>
      <c r="AI685" s="241"/>
      <c r="AJ685" s="241"/>
      <c r="AK685" s="241"/>
      <c r="AL685" s="237"/>
      <c r="AM685" s="237"/>
      <c r="AN685" s="237"/>
      <c r="AO685" s="237"/>
      <c r="AP685" s="237"/>
      <c r="AQ685" s="237"/>
      <c r="AR685" s="237"/>
    </row>
    <row r="686">
      <c r="A686" s="228"/>
      <c r="B686" s="228"/>
      <c r="C686" s="228"/>
      <c r="D686" s="228"/>
      <c r="E686" s="228"/>
      <c r="F686" s="228"/>
      <c r="G686" s="228"/>
      <c r="H686" s="241"/>
      <c r="I686" s="228"/>
      <c r="J686" s="236"/>
      <c r="K686" s="228"/>
      <c r="L686" s="228"/>
      <c r="M686" s="238"/>
      <c r="N686" s="228"/>
      <c r="O686" s="235"/>
      <c r="P686" s="236"/>
      <c r="Q686" s="235"/>
      <c r="R686" s="235"/>
      <c r="S686" s="236"/>
      <c r="T686" s="236"/>
      <c r="U686" s="237"/>
      <c r="V686" s="237"/>
      <c r="W686" s="238"/>
      <c r="X686" s="237"/>
      <c r="Y686" s="237"/>
      <c r="Z686" s="237"/>
      <c r="AA686" s="239"/>
      <c r="AB686" s="238"/>
      <c r="AC686" s="238"/>
      <c r="AD686" s="240"/>
      <c r="AE686" s="241"/>
      <c r="AF686" s="241"/>
      <c r="AG686" s="238"/>
      <c r="AH686" s="240"/>
      <c r="AI686" s="241"/>
      <c r="AJ686" s="241"/>
      <c r="AK686" s="241"/>
      <c r="AL686" s="237"/>
      <c r="AM686" s="237"/>
      <c r="AN686" s="237"/>
      <c r="AO686" s="237"/>
      <c r="AP686" s="237"/>
      <c r="AQ686" s="237"/>
      <c r="AR686" s="237"/>
    </row>
    <row r="687">
      <c r="A687" s="228"/>
      <c r="B687" s="228"/>
      <c r="C687" s="228"/>
      <c r="D687" s="228"/>
      <c r="E687" s="228"/>
      <c r="F687" s="228"/>
      <c r="G687" s="228"/>
      <c r="H687" s="241"/>
      <c r="I687" s="228"/>
      <c r="J687" s="236"/>
      <c r="K687" s="228"/>
      <c r="L687" s="228"/>
      <c r="M687" s="238"/>
      <c r="N687" s="228"/>
      <c r="O687" s="235"/>
      <c r="P687" s="236"/>
      <c r="Q687" s="235"/>
      <c r="R687" s="235"/>
      <c r="S687" s="236"/>
      <c r="T687" s="236"/>
      <c r="U687" s="237"/>
      <c r="V687" s="237"/>
      <c r="W687" s="238"/>
      <c r="X687" s="237"/>
      <c r="Y687" s="237"/>
      <c r="Z687" s="237"/>
      <c r="AA687" s="239"/>
      <c r="AB687" s="238"/>
      <c r="AC687" s="238"/>
      <c r="AD687" s="240"/>
      <c r="AE687" s="241"/>
      <c r="AF687" s="241"/>
      <c r="AG687" s="238"/>
      <c r="AH687" s="240"/>
      <c r="AI687" s="241"/>
      <c r="AJ687" s="241"/>
      <c r="AK687" s="241"/>
      <c r="AL687" s="237"/>
      <c r="AM687" s="237"/>
      <c r="AN687" s="237"/>
      <c r="AO687" s="237"/>
      <c r="AP687" s="237"/>
      <c r="AQ687" s="237"/>
      <c r="AR687" s="237"/>
    </row>
    <row r="688">
      <c r="A688" s="228"/>
      <c r="B688" s="228"/>
      <c r="C688" s="228"/>
      <c r="D688" s="228"/>
      <c r="E688" s="228"/>
      <c r="F688" s="228"/>
      <c r="G688" s="228"/>
      <c r="H688" s="241"/>
      <c r="I688" s="228"/>
      <c r="J688" s="236"/>
      <c r="K688" s="228"/>
      <c r="L688" s="228"/>
      <c r="M688" s="238"/>
      <c r="N688" s="228"/>
      <c r="O688" s="235"/>
      <c r="P688" s="236"/>
      <c r="Q688" s="235"/>
      <c r="R688" s="235"/>
      <c r="S688" s="236"/>
      <c r="T688" s="236"/>
      <c r="U688" s="237"/>
      <c r="V688" s="237"/>
      <c r="W688" s="238"/>
      <c r="X688" s="237"/>
      <c r="Y688" s="237"/>
      <c r="Z688" s="237"/>
      <c r="AA688" s="239"/>
      <c r="AB688" s="238"/>
      <c r="AC688" s="238"/>
      <c r="AD688" s="240"/>
      <c r="AE688" s="241"/>
      <c r="AF688" s="241"/>
      <c r="AG688" s="238"/>
      <c r="AH688" s="240"/>
      <c r="AI688" s="241"/>
      <c r="AJ688" s="241"/>
      <c r="AK688" s="241"/>
      <c r="AL688" s="237"/>
      <c r="AM688" s="237"/>
      <c r="AN688" s="237"/>
      <c r="AO688" s="237"/>
      <c r="AP688" s="237"/>
      <c r="AQ688" s="237"/>
      <c r="AR688" s="237"/>
    </row>
    <row r="689">
      <c r="A689" s="228"/>
      <c r="B689" s="228"/>
      <c r="C689" s="228"/>
      <c r="D689" s="228"/>
      <c r="E689" s="228"/>
      <c r="F689" s="228"/>
      <c r="G689" s="228"/>
      <c r="H689" s="241"/>
      <c r="I689" s="228"/>
      <c r="J689" s="236"/>
      <c r="K689" s="228"/>
      <c r="L689" s="228"/>
      <c r="M689" s="238"/>
      <c r="N689" s="228"/>
      <c r="O689" s="235"/>
      <c r="P689" s="236"/>
      <c r="Q689" s="235"/>
      <c r="R689" s="235"/>
      <c r="S689" s="236"/>
      <c r="T689" s="236"/>
      <c r="U689" s="237"/>
      <c r="V689" s="237"/>
      <c r="W689" s="238"/>
      <c r="X689" s="237"/>
      <c r="Y689" s="237"/>
      <c r="Z689" s="237"/>
      <c r="AA689" s="239"/>
      <c r="AB689" s="238"/>
      <c r="AC689" s="238"/>
      <c r="AD689" s="240"/>
      <c r="AE689" s="241"/>
      <c r="AF689" s="241"/>
      <c r="AG689" s="238"/>
      <c r="AH689" s="240"/>
      <c r="AI689" s="241"/>
      <c r="AJ689" s="241"/>
      <c r="AK689" s="241"/>
      <c r="AL689" s="237"/>
      <c r="AM689" s="237"/>
      <c r="AN689" s="237"/>
      <c r="AO689" s="237"/>
      <c r="AP689" s="237"/>
      <c r="AQ689" s="237"/>
      <c r="AR689" s="237"/>
    </row>
    <row r="690">
      <c r="A690" s="228"/>
      <c r="B690" s="228"/>
      <c r="C690" s="228"/>
      <c r="D690" s="228"/>
      <c r="E690" s="228"/>
      <c r="F690" s="228"/>
      <c r="G690" s="228"/>
      <c r="H690" s="241"/>
      <c r="I690" s="228"/>
      <c r="J690" s="236"/>
      <c r="K690" s="228"/>
      <c r="L690" s="228"/>
      <c r="M690" s="238"/>
      <c r="N690" s="228"/>
      <c r="O690" s="235"/>
      <c r="P690" s="236"/>
      <c r="Q690" s="235"/>
      <c r="R690" s="235"/>
      <c r="S690" s="236"/>
      <c r="T690" s="236"/>
      <c r="U690" s="237"/>
      <c r="V690" s="237"/>
      <c r="W690" s="238"/>
      <c r="X690" s="237"/>
      <c r="Y690" s="237"/>
      <c r="Z690" s="237"/>
      <c r="AA690" s="239"/>
      <c r="AB690" s="238"/>
      <c r="AC690" s="238"/>
      <c r="AD690" s="240"/>
      <c r="AE690" s="241"/>
      <c r="AF690" s="241"/>
      <c r="AG690" s="238"/>
      <c r="AH690" s="240"/>
      <c r="AI690" s="241"/>
      <c r="AJ690" s="241"/>
      <c r="AK690" s="241"/>
      <c r="AL690" s="237"/>
      <c r="AM690" s="237"/>
      <c r="AN690" s="237"/>
      <c r="AO690" s="237"/>
      <c r="AP690" s="237"/>
      <c r="AQ690" s="237"/>
      <c r="AR690" s="237"/>
    </row>
    <row r="691">
      <c r="A691" s="228"/>
      <c r="B691" s="228"/>
      <c r="C691" s="228"/>
      <c r="D691" s="228"/>
      <c r="E691" s="228"/>
      <c r="F691" s="228"/>
      <c r="G691" s="228"/>
      <c r="H691" s="241"/>
      <c r="I691" s="228"/>
      <c r="J691" s="236"/>
      <c r="K691" s="228"/>
      <c r="L691" s="228"/>
      <c r="M691" s="238"/>
      <c r="N691" s="228"/>
      <c r="O691" s="235"/>
      <c r="P691" s="236"/>
      <c r="Q691" s="235"/>
      <c r="R691" s="235"/>
      <c r="S691" s="236"/>
      <c r="T691" s="236"/>
      <c r="U691" s="237"/>
      <c r="V691" s="237"/>
      <c r="W691" s="238"/>
      <c r="X691" s="237"/>
      <c r="Y691" s="237"/>
      <c r="Z691" s="237"/>
      <c r="AA691" s="239"/>
      <c r="AB691" s="238"/>
      <c r="AC691" s="238"/>
      <c r="AD691" s="240"/>
      <c r="AE691" s="241"/>
      <c r="AF691" s="241"/>
      <c r="AG691" s="238"/>
      <c r="AH691" s="240"/>
      <c r="AI691" s="241"/>
      <c r="AJ691" s="241"/>
      <c r="AK691" s="241"/>
      <c r="AL691" s="237"/>
      <c r="AM691" s="237"/>
      <c r="AN691" s="237"/>
      <c r="AO691" s="237"/>
      <c r="AP691" s="237"/>
      <c r="AQ691" s="237"/>
      <c r="AR691" s="237"/>
    </row>
    <row r="692">
      <c r="A692" s="228"/>
      <c r="B692" s="228"/>
      <c r="C692" s="228"/>
      <c r="D692" s="228"/>
      <c r="E692" s="228"/>
      <c r="F692" s="228"/>
      <c r="G692" s="228"/>
      <c r="H692" s="241"/>
      <c r="I692" s="228"/>
      <c r="J692" s="236"/>
      <c r="K692" s="228"/>
      <c r="L692" s="228"/>
      <c r="M692" s="238"/>
      <c r="N692" s="228"/>
      <c r="O692" s="235"/>
      <c r="P692" s="236"/>
      <c r="Q692" s="235"/>
      <c r="R692" s="235"/>
      <c r="S692" s="236"/>
      <c r="T692" s="236"/>
      <c r="U692" s="237"/>
      <c r="V692" s="237"/>
      <c r="W692" s="238"/>
      <c r="X692" s="237"/>
      <c r="Y692" s="237"/>
      <c r="Z692" s="237"/>
      <c r="AA692" s="239"/>
      <c r="AB692" s="238"/>
      <c r="AC692" s="238"/>
      <c r="AD692" s="240"/>
      <c r="AE692" s="241"/>
      <c r="AF692" s="241"/>
      <c r="AG692" s="238"/>
      <c r="AH692" s="240"/>
      <c r="AI692" s="241"/>
      <c r="AJ692" s="241"/>
      <c r="AK692" s="241"/>
      <c r="AL692" s="237"/>
      <c r="AM692" s="237"/>
      <c r="AN692" s="237"/>
      <c r="AO692" s="237"/>
      <c r="AP692" s="237"/>
      <c r="AQ692" s="237"/>
      <c r="AR692" s="237"/>
    </row>
    <row r="693">
      <c r="A693" s="228"/>
      <c r="B693" s="228"/>
      <c r="C693" s="228"/>
      <c r="D693" s="228"/>
      <c r="E693" s="228"/>
      <c r="F693" s="228"/>
      <c r="G693" s="228"/>
      <c r="H693" s="241"/>
      <c r="I693" s="228"/>
      <c r="J693" s="236"/>
      <c r="K693" s="228"/>
      <c r="L693" s="228"/>
      <c r="M693" s="238"/>
      <c r="N693" s="228"/>
      <c r="O693" s="235"/>
      <c r="P693" s="236"/>
      <c r="Q693" s="235"/>
      <c r="R693" s="235"/>
      <c r="S693" s="236"/>
      <c r="T693" s="236"/>
      <c r="U693" s="237"/>
      <c r="V693" s="237"/>
      <c r="W693" s="238"/>
      <c r="X693" s="237"/>
      <c r="Y693" s="237"/>
      <c r="Z693" s="237"/>
      <c r="AA693" s="239"/>
      <c r="AB693" s="238"/>
      <c r="AC693" s="238"/>
      <c r="AD693" s="240"/>
      <c r="AE693" s="241"/>
      <c r="AF693" s="241"/>
      <c r="AG693" s="238"/>
      <c r="AH693" s="240"/>
      <c r="AI693" s="241"/>
      <c r="AJ693" s="241"/>
      <c r="AK693" s="241"/>
      <c r="AL693" s="237"/>
      <c r="AM693" s="237"/>
      <c r="AN693" s="237"/>
      <c r="AO693" s="237"/>
      <c r="AP693" s="237"/>
      <c r="AQ693" s="237"/>
      <c r="AR693" s="237"/>
    </row>
    <row r="694">
      <c r="A694" s="228"/>
      <c r="B694" s="228"/>
      <c r="C694" s="228"/>
      <c r="D694" s="228"/>
      <c r="E694" s="228"/>
      <c r="F694" s="228"/>
      <c r="G694" s="228"/>
      <c r="H694" s="241"/>
      <c r="I694" s="228"/>
      <c r="J694" s="236"/>
      <c r="K694" s="228"/>
      <c r="L694" s="228"/>
      <c r="M694" s="238"/>
      <c r="N694" s="228"/>
      <c r="O694" s="235"/>
      <c r="P694" s="236"/>
      <c r="Q694" s="235"/>
      <c r="R694" s="235"/>
      <c r="S694" s="236"/>
      <c r="T694" s="236"/>
      <c r="U694" s="237"/>
      <c r="V694" s="237"/>
      <c r="W694" s="238"/>
      <c r="X694" s="237"/>
      <c r="Y694" s="237"/>
      <c r="Z694" s="237"/>
      <c r="AA694" s="239"/>
      <c r="AB694" s="238"/>
      <c r="AC694" s="238"/>
      <c r="AD694" s="240"/>
      <c r="AE694" s="241"/>
      <c r="AF694" s="241"/>
      <c r="AG694" s="238"/>
      <c r="AH694" s="240"/>
      <c r="AI694" s="241"/>
      <c r="AJ694" s="241"/>
      <c r="AK694" s="241"/>
      <c r="AL694" s="237"/>
      <c r="AM694" s="237"/>
      <c r="AN694" s="237"/>
      <c r="AO694" s="237"/>
      <c r="AP694" s="237"/>
      <c r="AQ694" s="237"/>
      <c r="AR694" s="237"/>
    </row>
    <row r="695">
      <c r="A695" s="228"/>
      <c r="B695" s="228"/>
      <c r="C695" s="228"/>
      <c r="D695" s="228"/>
      <c r="E695" s="228"/>
      <c r="F695" s="228"/>
      <c r="G695" s="228"/>
      <c r="H695" s="241"/>
      <c r="I695" s="228"/>
      <c r="J695" s="236"/>
      <c r="K695" s="228"/>
      <c r="L695" s="228"/>
      <c r="M695" s="238"/>
      <c r="N695" s="228"/>
      <c r="O695" s="235"/>
      <c r="P695" s="236"/>
      <c r="Q695" s="235"/>
      <c r="R695" s="235"/>
      <c r="S695" s="236"/>
      <c r="T695" s="236"/>
      <c r="U695" s="237"/>
      <c r="V695" s="237"/>
      <c r="W695" s="238"/>
      <c r="X695" s="237"/>
      <c r="Y695" s="237"/>
      <c r="Z695" s="237"/>
      <c r="AA695" s="239"/>
      <c r="AB695" s="238"/>
      <c r="AC695" s="238"/>
      <c r="AD695" s="240"/>
      <c r="AE695" s="241"/>
      <c r="AF695" s="241"/>
      <c r="AG695" s="238"/>
      <c r="AH695" s="240"/>
      <c r="AI695" s="241"/>
      <c r="AJ695" s="241"/>
      <c r="AK695" s="241"/>
      <c r="AL695" s="237"/>
      <c r="AM695" s="237"/>
      <c r="AN695" s="237"/>
      <c r="AO695" s="237"/>
      <c r="AP695" s="237"/>
      <c r="AQ695" s="237"/>
      <c r="AR695" s="237"/>
    </row>
    <row r="696">
      <c r="A696" s="228"/>
      <c r="B696" s="228"/>
      <c r="C696" s="228"/>
      <c r="D696" s="228"/>
      <c r="E696" s="228"/>
      <c r="F696" s="228"/>
      <c r="G696" s="228"/>
      <c r="H696" s="241"/>
      <c r="I696" s="228"/>
      <c r="J696" s="236"/>
      <c r="K696" s="228"/>
      <c r="L696" s="228"/>
      <c r="M696" s="238"/>
      <c r="N696" s="228"/>
      <c r="O696" s="235"/>
      <c r="P696" s="236"/>
      <c r="Q696" s="235"/>
      <c r="R696" s="235"/>
      <c r="S696" s="236"/>
      <c r="T696" s="236"/>
      <c r="U696" s="237"/>
      <c r="V696" s="237"/>
      <c r="W696" s="238"/>
      <c r="X696" s="237"/>
      <c r="Y696" s="237"/>
      <c r="Z696" s="237"/>
      <c r="AA696" s="239"/>
      <c r="AB696" s="238"/>
      <c r="AC696" s="238"/>
      <c r="AD696" s="240"/>
      <c r="AE696" s="241"/>
      <c r="AF696" s="241"/>
      <c r="AG696" s="238"/>
      <c r="AH696" s="240"/>
      <c r="AI696" s="241"/>
      <c r="AJ696" s="241"/>
      <c r="AK696" s="241"/>
      <c r="AL696" s="237"/>
      <c r="AM696" s="237"/>
      <c r="AN696" s="237"/>
      <c r="AO696" s="237"/>
      <c r="AP696" s="237"/>
      <c r="AQ696" s="237"/>
      <c r="AR696" s="237"/>
    </row>
    <row r="697">
      <c r="A697" s="228"/>
      <c r="B697" s="228"/>
      <c r="C697" s="228"/>
      <c r="D697" s="228"/>
      <c r="E697" s="228"/>
      <c r="F697" s="228"/>
      <c r="G697" s="228"/>
      <c r="H697" s="241"/>
      <c r="I697" s="228"/>
      <c r="J697" s="236"/>
      <c r="K697" s="228"/>
      <c r="L697" s="228"/>
      <c r="M697" s="238"/>
      <c r="N697" s="228"/>
      <c r="O697" s="235"/>
      <c r="P697" s="236"/>
      <c r="Q697" s="235"/>
      <c r="R697" s="235"/>
      <c r="S697" s="236"/>
      <c r="T697" s="236"/>
      <c r="U697" s="237"/>
      <c r="V697" s="237"/>
      <c r="W697" s="238"/>
      <c r="X697" s="237"/>
      <c r="Y697" s="237"/>
      <c r="Z697" s="237"/>
      <c r="AA697" s="239"/>
      <c r="AB697" s="238"/>
      <c r="AC697" s="238"/>
      <c r="AD697" s="240"/>
      <c r="AE697" s="241"/>
      <c r="AF697" s="241"/>
      <c r="AG697" s="238"/>
      <c r="AH697" s="240"/>
      <c r="AI697" s="241"/>
      <c r="AJ697" s="241"/>
      <c r="AK697" s="241"/>
      <c r="AL697" s="237"/>
      <c r="AM697" s="237"/>
      <c r="AN697" s="237"/>
      <c r="AO697" s="237"/>
      <c r="AP697" s="237"/>
      <c r="AQ697" s="237"/>
      <c r="AR697" s="237"/>
    </row>
    <row r="698">
      <c r="A698" s="228"/>
      <c r="B698" s="228"/>
      <c r="C698" s="228"/>
      <c r="D698" s="228"/>
      <c r="E698" s="228"/>
      <c r="F698" s="228"/>
      <c r="G698" s="228"/>
      <c r="H698" s="241"/>
      <c r="I698" s="228"/>
      <c r="J698" s="236"/>
      <c r="K698" s="228"/>
      <c r="L698" s="228"/>
      <c r="M698" s="238"/>
      <c r="N698" s="228"/>
      <c r="O698" s="235"/>
      <c r="P698" s="236"/>
      <c r="Q698" s="235"/>
      <c r="R698" s="235"/>
      <c r="S698" s="236"/>
      <c r="T698" s="236"/>
      <c r="U698" s="237"/>
      <c r="V698" s="237"/>
      <c r="W698" s="238"/>
      <c r="X698" s="237"/>
      <c r="Y698" s="237"/>
      <c r="Z698" s="237"/>
      <c r="AA698" s="239"/>
      <c r="AB698" s="238"/>
      <c r="AC698" s="238"/>
      <c r="AD698" s="240"/>
      <c r="AE698" s="241"/>
      <c r="AF698" s="241"/>
      <c r="AG698" s="238"/>
      <c r="AH698" s="240"/>
      <c r="AI698" s="241"/>
      <c r="AJ698" s="241"/>
      <c r="AK698" s="241"/>
      <c r="AL698" s="237"/>
      <c r="AM698" s="237"/>
      <c r="AN698" s="237"/>
      <c r="AO698" s="237"/>
      <c r="AP698" s="237"/>
      <c r="AQ698" s="237"/>
      <c r="AR698" s="237"/>
    </row>
    <row r="699">
      <c r="A699" s="228"/>
      <c r="B699" s="228"/>
      <c r="C699" s="228"/>
      <c r="D699" s="228"/>
      <c r="E699" s="228"/>
      <c r="F699" s="228"/>
      <c r="G699" s="228"/>
      <c r="H699" s="241"/>
      <c r="I699" s="228"/>
      <c r="J699" s="236"/>
      <c r="K699" s="228"/>
      <c r="L699" s="228"/>
      <c r="M699" s="238"/>
      <c r="N699" s="228"/>
      <c r="O699" s="235"/>
      <c r="P699" s="236"/>
      <c r="Q699" s="235"/>
      <c r="R699" s="235"/>
      <c r="S699" s="236"/>
      <c r="T699" s="236"/>
      <c r="U699" s="237"/>
      <c r="V699" s="237"/>
      <c r="W699" s="238"/>
      <c r="X699" s="237"/>
      <c r="Y699" s="237"/>
      <c r="Z699" s="237"/>
      <c r="AA699" s="239"/>
      <c r="AB699" s="238"/>
      <c r="AC699" s="238"/>
      <c r="AD699" s="240"/>
      <c r="AE699" s="241"/>
      <c r="AF699" s="241"/>
      <c r="AG699" s="238"/>
      <c r="AH699" s="240"/>
      <c r="AI699" s="241"/>
      <c r="AJ699" s="241"/>
      <c r="AK699" s="241"/>
      <c r="AL699" s="237"/>
      <c r="AM699" s="237"/>
      <c r="AN699" s="237"/>
      <c r="AO699" s="237"/>
      <c r="AP699" s="237"/>
      <c r="AQ699" s="237"/>
      <c r="AR699" s="237"/>
    </row>
    <row r="700">
      <c r="A700" s="228"/>
      <c r="B700" s="228"/>
      <c r="C700" s="228"/>
      <c r="D700" s="228"/>
      <c r="E700" s="228"/>
      <c r="F700" s="228"/>
      <c r="G700" s="228"/>
      <c r="H700" s="241"/>
      <c r="I700" s="228"/>
      <c r="J700" s="236"/>
      <c r="K700" s="228"/>
      <c r="L700" s="228"/>
      <c r="M700" s="238"/>
      <c r="N700" s="228"/>
      <c r="O700" s="235"/>
      <c r="P700" s="236"/>
      <c r="Q700" s="235"/>
      <c r="R700" s="235"/>
      <c r="S700" s="236"/>
      <c r="T700" s="236"/>
      <c r="U700" s="237"/>
      <c r="V700" s="237"/>
      <c r="W700" s="238"/>
      <c r="X700" s="237"/>
      <c r="Y700" s="237"/>
      <c r="Z700" s="237"/>
      <c r="AA700" s="239"/>
      <c r="AB700" s="238"/>
      <c r="AC700" s="238"/>
      <c r="AD700" s="240"/>
      <c r="AE700" s="241"/>
      <c r="AF700" s="241"/>
      <c r="AG700" s="238"/>
      <c r="AH700" s="240"/>
      <c r="AI700" s="241"/>
      <c r="AJ700" s="241"/>
      <c r="AK700" s="241"/>
      <c r="AL700" s="237"/>
      <c r="AM700" s="237"/>
      <c r="AN700" s="237"/>
      <c r="AO700" s="237"/>
      <c r="AP700" s="237"/>
      <c r="AQ700" s="237"/>
      <c r="AR700" s="237"/>
    </row>
    <row r="701">
      <c r="A701" s="228"/>
      <c r="B701" s="228"/>
      <c r="C701" s="228"/>
      <c r="D701" s="228"/>
      <c r="E701" s="228"/>
      <c r="F701" s="228"/>
      <c r="G701" s="228"/>
      <c r="H701" s="241"/>
      <c r="I701" s="228"/>
      <c r="J701" s="236"/>
      <c r="K701" s="228"/>
      <c r="L701" s="228"/>
      <c r="M701" s="238"/>
      <c r="N701" s="228"/>
      <c r="O701" s="235"/>
      <c r="P701" s="236"/>
      <c r="Q701" s="235"/>
      <c r="R701" s="235"/>
      <c r="S701" s="236"/>
      <c r="T701" s="236"/>
      <c r="U701" s="237"/>
      <c r="V701" s="237"/>
      <c r="W701" s="238"/>
      <c r="X701" s="237"/>
      <c r="Y701" s="237"/>
      <c r="Z701" s="237"/>
      <c r="AA701" s="239"/>
      <c r="AB701" s="238"/>
      <c r="AC701" s="238"/>
      <c r="AD701" s="240"/>
      <c r="AE701" s="241"/>
      <c r="AF701" s="241"/>
      <c r="AG701" s="238"/>
      <c r="AH701" s="240"/>
      <c r="AI701" s="241"/>
      <c r="AJ701" s="241"/>
      <c r="AK701" s="241"/>
      <c r="AL701" s="237"/>
      <c r="AM701" s="237"/>
      <c r="AN701" s="237"/>
      <c r="AO701" s="237"/>
      <c r="AP701" s="237"/>
      <c r="AQ701" s="237"/>
      <c r="AR701" s="237"/>
    </row>
    <row r="702">
      <c r="A702" s="228"/>
      <c r="B702" s="228"/>
      <c r="C702" s="228"/>
      <c r="D702" s="228"/>
      <c r="E702" s="228"/>
      <c r="F702" s="228"/>
      <c r="G702" s="228"/>
      <c r="H702" s="241"/>
      <c r="I702" s="228"/>
      <c r="J702" s="236"/>
      <c r="K702" s="228"/>
      <c r="L702" s="228"/>
      <c r="M702" s="238"/>
      <c r="N702" s="228"/>
      <c r="O702" s="235"/>
      <c r="P702" s="236"/>
      <c r="Q702" s="235"/>
      <c r="R702" s="235"/>
      <c r="S702" s="236"/>
      <c r="T702" s="236"/>
      <c r="U702" s="237"/>
      <c r="V702" s="237"/>
      <c r="W702" s="238"/>
      <c r="X702" s="237"/>
      <c r="Y702" s="237"/>
      <c r="Z702" s="237"/>
      <c r="AA702" s="239"/>
      <c r="AB702" s="238"/>
      <c r="AC702" s="238"/>
      <c r="AD702" s="240"/>
      <c r="AE702" s="241"/>
      <c r="AF702" s="241"/>
      <c r="AG702" s="238"/>
      <c r="AH702" s="240"/>
      <c r="AI702" s="241"/>
      <c r="AJ702" s="241"/>
      <c r="AK702" s="241"/>
      <c r="AL702" s="237"/>
      <c r="AM702" s="237"/>
      <c r="AN702" s="237"/>
      <c r="AO702" s="237"/>
      <c r="AP702" s="237"/>
      <c r="AQ702" s="237"/>
      <c r="AR702" s="237"/>
    </row>
    <row r="703">
      <c r="A703" s="228"/>
      <c r="B703" s="228"/>
      <c r="C703" s="228"/>
      <c r="D703" s="228"/>
      <c r="E703" s="228"/>
      <c r="F703" s="228"/>
      <c r="G703" s="228"/>
      <c r="H703" s="241"/>
      <c r="I703" s="228"/>
      <c r="J703" s="236"/>
      <c r="K703" s="228"/>
      <c r="L703" s="228"/>
      <c r="M703" s="238"/>
      <c r="N703" s="228"/>
      <c r="O703" s="235"/>
      <c r="P703" s="236"/>
      <c r="Q703" s="235"/>
      <c r="R703" s="235"/>
      <c r="S703" s="236"/>
      <c r="T703" s="236"/>
      <c r="U703" s="237"/>
      <c r="V703" s="237"/>
      <c r="W703" s="238"/>
      <c r="X703" s="237"/>
      <c r="Y703" s="237"/>
      <c r="Z703" s="237"/>
      <c r="AA703" s="239"/>
      <c r="AB703" s="238"/>
      <c r="AC703" s="238"/>
      <c r="AD703" s="240"/>
      <c r="AE703" s="241"/>
      <c r="AF703" s="241"/>
      <c r="AG703" s="238"/>
      <c r="AH703" s="240"/>
      <c r="AI703" s="241"/>
      <c r="AJ703" s="241"/>
      <c r="AK703" s="241"/>
      <c r="AL703" s="237"/>
      <c r="AM703" s="237"/>
      <c r="AN703" s="237"/>
      <c r="AO703" s="237"/>
      <c r="AP703" s="237"/>
      <c r="AQ703" s="237"/>
      <c r="AR703" s="237"/>
    </row>
    <row r="704">
      <c r="A704" s="228"/>
      <c r="B704" s="228"/>
      <c r="C704" s="228"/>
      <c r="D704" s="228"/>
      <c r="E704" s="228"/>
      <c r="F704" s="228"/>
      <c r="G704" s="228"/>
      <c r="H704" s="241"/>
      <c r="I704" s="228"/>
      <c r="J704" s="236"/>
      <c r="K704" s="228"/>
      <c r="L704" s="228"/>
      <c r="M704" s="238"/>
      <c r="N704" s="228"/>
      <c r="O704" s="235"/>
      <c r="P704" s="236"/>
      <c r="Q704" s="235"/>
      <c r="R704" s="235"/>
      <c r="S704" s="236"/>
      <c r="T704" s="236"/>
      <c r="U704" s="237"/>
      <c r="V704" s="237"/>
      <c r="W704" s="238"/>
      <c r="X704" s="237"/>
      <c r="Y704" s="237"/>
      <c r="Z704" s="237"/>
      <c r="AA704" s="239"/>
      <c r="AB704" s="238"/>
      <c r="AC704" s="238"/>
      <c r="AD704" s="240"/>
      <c r="AE704" s="241"/>
      <c r="AF704" s="241"/>
      <c r="AG704" s="238"/>
      <c r="AH704" s="240"/>
      <c r="AI704" s="241"/>
      <c r="AJ704" s="241"/>
      <c r="AK704" s="241"/>
      <c r="AL704" s="237"/>
      <c r="AM704" s="237"/>
      <c r="AN704" s="237"/>
      <c r="AO704" s="237"/>
      <c r="AP704" s="237"/>
      <c r="AQ704" s="237"/>
      <c r="AR704" s="237"/>
    </row>
    <row r="705">
      <c r="A705" s="228"/>
      <c r="B705" s="228"/>
      <c r="C705" s="228"/>
      <c r="D705" s="228"/>
      <c r="E705" s="228"/>
      <c r="F705" s="228"/>
      <c r="G705" s="228"/>
      <c r="H705" s="241"/>
      <c r="I705" s="228"/>
      <c r="J705" s="236"/>
      <c r="K705" s="228"/>
      <c r="L705" s="228"/>
      <c r="M705" s="238"/>
      <c r="N705" s="228"/>
      <c r="O705" s="235"/>
      <c r="P705" s="236"/>
      <c r="Q705" s="235"/>
      <c r="R705" s="235"/>
      <c r="S705" s="236"/>
      <c r="T705" s="236"/>
      <c r="U705" s="237"/>
      <c r="V705" s="237"/>
      <c r="W705" s="238"/>
      <c r="X705" s="237"/>
      <c r="Y705" s="237"/>
      <c r="Z705" s="237"/>
      <c r="AA705" s="239"/>
      <c r="AB705" s="238"/>
      <c r="AC705" s="238"/>
      <c r="AD705" s="240"/>
      <c r="AE705" s="241"/>
      <c r="AF705" s="241"/>
      <c r="AG705" s="238"/>
      <c r="AH705" s="240"/>
      <c r="AI705" s="241"/>
      <c r="AJ705" s="241"/>
      <c r="AK705" s="241"/>
      <c r="AL705" s="237"/>
      <c r="AM705" s="237"/>
      <c r="AN705" s="237"/>
      <c r="AO705" s="237"/>
      <c r="AP705" s="237"/>
      <c r="AQ705" s="237"/>
      <c r="AR705" s="237"/>
    </row>
    <row r="706">
      <c r="A706" s="228"/>
      <c r="B706" s="228"/>
      <c r="C706" s="228"/>
      <c r="D706" s="228"/>
      <c r="E706" s="228"/>
      <c r="F706" s="228"/>
      <c r="G706" s="228"/>
      <c r="H706" s="241"/>
      <c r="I706" s="228"/>
      <c r="J706" s="236"/>
      <c r="K706" s="228"/>
      <c r="L706" s="228"/>
      <c r="M706" s="238"/>
      <c r="N706" s="228"/>
      <c r="O706" s="235"/>
      <c r="P706" s="236"/>
      <c r="Q706" s="235"/>
      <c r="R706" s="235"/>
      <c r="S706" s="236"/>
      <c r="T706" s="236"/>
      <c r="U706" s="237"/>
      <c r="V706" s="237"/>
      <c r="W706" s="238"/>
      <c r="X706" s="237"/>
      <c r="Y706" s="237"/>
      <c r="Z706" s="237"/>
      <c r="AA706" s="239"/>
      <c r="AB706" s="238"/>
      <c r="AC706" s="238"/>
      <c r="AD706" s="240"/>
      <c r="AE706" s="241"/>
      <c r="AF706" s="241"/>
      <c r="AG706" s="238"/>
      <c r="AH706" s="240"/>
      <c r="AI706" s="241"/>
      <c r="AJ706" s="241"/>
      <c r="AK706" s="241"/>
      <c r="AL706" s="237"/>
      <c r="AM706" s="237"/>
      <c r="AN706" s="237"/>
      <c r="AO706" s="237"/>
      <c r="AP706" s="237"/>
      <c r="AQ706" s="237"/>
      <c r="AR706" s="237"/>
    </row>
    <row r="707">
      <c r="A707" s="228"/>
      <c r="B707" s="228"/>
      <c r="C707" s="228"/>
      <c r="D707" s="228"/>
      <c r="E707" s="228"/>
      <c r="F707" s="228"/>
      <c r="G707" s="228"/>
      <c r="H707" s="241"/>
      <c r="I707" s="228"/>
      <c r="J707" s="236"/>
      <c r="K707" s="228"/>
      <c r="L707" s="228"/>
      <c r="M707" s="238"/>
      <c r="N707" s="228"/>
      <c r="O707" s="235"/>
      <c r="P707" s="236"/>
      <c r="Q707" s="235"/>
      <c r="R707" s="235"/>
      <c r="S707" s="236"/>
      <c r="T707" s="236"/>
      <c r="U707" s="237"/>
      <c r="V707" s="237"/>
      <c r="W707" s="238"/>
      <c r="X707" s="237"/>
      <c r="Y707" s="237"/>
      <c r="Z707" s="237"/>
      <c r="AA707" s="239"/>
      <c r="AB707" s="238"/>
      <c r="AC707" s="238"/>
      <c r="AD707" s="240"/>
      <c r="AE707" s="241"/>
      <c r="AF707" s="241"/>
      <c r="AG707" s="238"/>
      <c r="AH707" s="240"/>
      <c r="AI707" s="241"/>
      <c r="AJ707" s="241"/>
      <c r="AK707" s="241"/>
      <c r="AL707" s="237"/>
      <c r="AM707" s="237"/>
      <c r="AN707" s="237"/>
      <c r="AO707" s="237"/>
      <c r="AP707" s="237"/>
      <c r="AQ707" s="237"/>
      <c r="AR707" s="237"/>
    </row>
    <row r="708">
      <c r="A708" s="228"/>
      <c r="B708" s="228"/>
      <c r="C708" s="228"/>
      <c r="D708" s="228"/>
      <c r="E708" s="228"/>
      <c r="F708" s="228"/>
      <c r="G708" s="228"/>
      <c r="H708" s="241"/>
      <c r="I708" s="228"/>
      <c r="J708" s="236"/>
      <c r="K708" s="228"/>
      <c r="L708" s="228"/>
      <c r="M708" s="238"/>
      <c r="N708" s="228"/>
      <c r="O708" s="235"/>
      <c r="P708" s="236"/>
      <c r="Q708" s="235"/>
      <c r="R708" s="235"/>
      <c r="S708" s="236"/>
      <c r="T708" s="236"/>
      <c r="U708" s="237"/>
      <c r="V708" s="237"/>
      <c r="W708" s="238"/>
      <c r="X708" s="237"/>
      <c r="Y708" s="237"/>
      <c r="Z708" s="237"/>
      <c r="AA708" s="239"/>
      <c r="AB708" s="238"/>
      <c r="AC708" s="238"/>
      <c r="AD708" s="240"/>
      <c r="AE708" s="241"/>
      <c r="AF708" s="241"/>
      <c r="AG708" s="238"/>
      <c r="AH708" s="240"/>
      <c r="AI708" s="241"/>
      <c r="AJ708" s="241"/>
      <c r="AK708" s="241"/>
      <c r="AL708" s="237"/>
      <c r="AM708" s="237"/>
      <c r="AN708" s="237"/>
      <c r="AO708" s="237"/>
      <c r="AP708" s="237"/>
      <c r="AQ708" s="237"/>
      <c r="AR708" s="237"/>
    </row>
    <row r="709">
      <c r="A709" s="228"/>
      <c r="B709" s="228"/>
      <c r="C709" s="228"/>
      <c r="D709" s="228"/>
      <c r="E709" s="228"/>
      <c r="F709" s="228"/>
      <c r="G709" s="228"/>
      <c r="H709" s="241"/>
      <c r="I709" s="228"/>
      <c r="J709" s="236"/>
      <c r="K709" s="228"/>
      <c r="L709" s="228"/>
      <c r="M709" s="238"/>
      <c r="N709" s="228"/>
      <c r="O709" s="235"/>
      <c r="P709" s="236"/>
      <c r="Q709" s="235"/>
      <c r="R709" s="235"/>
      <c r="S709" s="236"/>
      <c r="T709" s="236"/>
      <c r="U709" s="237"/>
      <c r="V709" s="237"/>
      <c r="W709" s="238"/>
      <c r="X709" s="237"/>
      <c r="Y709" s="237"/>
      <c r="Z709" s="237"/>
      <c r="AA709" s="239"/>
      <c r="AB709" s="238"/>
      <c r="AC709" s="238"/>
      <c r="AD709" s="240"/>
      <c r="AE709" s="241"/>
      <c r="AF709" s="241"/>
      <c r="AG709" s="238"/>
      <c r="AH709" s="240"/>
      <c r="AI709" s="241"/>
      <c r="AJ709" s="241"/>
      <c r="AK709" s="241"/>
      <c r="AL709" s="237"/>
      <c r="AM709" s="237"/>
      <c r="AN709" s="237"/>
      <c r="AO709" s="237"/>
      <c r="AP709" s="237"/>
      <c r="AQ709" s="237"/>
      <c r="AR709" s="237"/>
    </row>
    <row r="710">
      <c r="A710" s="228"/>
      <c r="B710" s="228"/>
      <c r="C710" s="228"/>
      <c r="D710" s="228"/>
      <c r="E710" s="228"/>
      <c r="F710" s="228"/>
      <c r="G710" s="228"/>
      <c r="H710" s="241"/>
      <c r="I710" s="228"/>
      <c r="J710" s="236"/>
      <c r="K710" s="228"/>
      <c r="L710" s="228"/>
      <c r="M710" s="238"/>
      <c r="N710" s="228"/>
      <c r="O710" s="235"/>
      <c r="P710" s="236"/>
      <c r="Q710" s="235"/>
      <c r="R710" s="235"/>
      <c r="S710" s="236"/>
      <c r="T710" s="236"/>
      <c r="U710" s="237"/>
      <c r="V710" s="237"/>
      <c r="W710" s="238"/>
      <c r="X710" s="237"/>
      <c r="Y710" s="237"/>
      <c r="Z710" s="237"/>
      <c r="AA710" s="239"/>
      <c r="AB710" s="238"/>
      <c r="AC710" s="238"/>
      <c r="AD710" s="240"/>
      <c r="AE710" s="241"/>
      <c r="AF710" s="241"/>
      <c r="AG710" s="238"/>
      <c r="AH710" s="240"/>
      <c r="AI710" s="241"/>
      <c r="AJ710" s="241"/>
      <c r="AK710" s="241"/>
      <c r="AL710" s="237"/>
      <c r="AM710" s="237"/>
      <c r="AN710" s="237"/>
      <c r="AO710" s="237"/>
      <c r="AP710" s="237"/>
      <c r="AQ710" s="237"/>
      <c r="AR710" s="237"/>
    </row>
    <row r="711">
      <c r="A711" s="228"/>
      <c r="B711" s="228"/>
      <c r="C711" s="228"/>
      <c r="D711" s="228"/>
      <c r="E711" s="228"/>
      <c r="F711" s="228"/>
      <c r="G711" s="228"/>
      <c r="H711" s="241"/>
      <c r="I711" s="228"/>
      <c r="J711" s="236"/>
      <c r="K711" s="228"/>
      <c r="L711" s="228"/>
      <c r="M711" s="238"/>
      <c r="N711" s="228"/>
      <c r="O711" s="235"/>
      <c r="P711" s="236"/>
      <c r="Q711" s="235"/>
      <c r="R711" s="235"/>
      <c r="S711" s="236"/>
      <c r="T711" s="236"/>
      <c r="U711" s="237"/>
      <c r="V711" s="237"/>
      <c r="W711" s="238"/>
      <c r="X711" s="237"/>
      <c r="Y711" s="237"/>
      <c r="Z711" s="237"/>
      <c r="AA711" s="239"/>
      <c r="AB711" s="238"/>
      <c r="AC711" s="238"/>
      <c r="AD711" s="240"/>
      <c r="AE711" s="241"/>
      <c r="AF711" s="241"/>
      <c r="AG711" s="238"/>
      <c r="AH711" s="240"/>
      <c r="AI711" s="241"/>
      <c r="AJ711" s="241"/>
      <c r="AK711" s="241"/>
      <c r="AL711" s="237"/>
      <c r="AM711" s="237"/>
      <c r="AN711" s="237"/>
      <c r="AO711" s="237"/>
      <c r="AP711" s="237"/>
      <c r="AQ711" s="237"/>
      <c r="AR711" s="237"/>
    </row>
    <row r="712">
      <c r="A712" s="228"/>
      <c r="B712" s="228"/>
      <c r="C712" s="228"/>
      <c r="D712" s="228"/>
      <c r="E712" s="228"/>
      <c r="F712" s="228"/>
      <c r="G712" s="228"/>
      <c r="H712" s="241"/>
      <c r="I712" s="228"/>
      <c r="J712" s="236"/>
      <c r="K712" s="228"/>
      <c r="L712" s="228"/>
      <c r="M712" s="238"/>
      <c r="N712" s="228"/>
      <c r="O712" s="235"/>
      <c r="P712" s="236"/>
      <c r="Q712" s="235"/>
      <c r="R712" s="235"/>
      <c r="S712" s="236"/>
      <c r="T712" s="236"/>
      <c r="U712" s="237"/>
      <c r="V712" s="237"/>
      <c r="W712" s="238"/>
      <c r="X712" s="237"/>
      <c r="Y712" s="237"/>
      <c r="Z712" s="237"/>
      <c r="AA712" s="239"/>
      <c r="AB712" s="238"/>
      <c r="AC712" s="238"/>
      <c r="AD712" s="240"/>
      <c r="AE712" s="241"/>
      <c r="AF712" s="241"/>
      <c r="AG712" s="238"/>
      <c r="AH712" s="240"/>
      <c r="AI712" s="241"/>
      <c r="AJ712" s="241"/>
      <c r="AK712" s="241"/>
      <c r="AL712" s="237"/>
      <c r="AM712" s="237"/>
      <c r="AN712" s="237"/>
      <c r="AO712" s="237"/>
      <c r="AP712" s="237"/>
      <c r="AQ712" s="237"/>
      <c r="AR712" s="237"/>
    </row>
    <row r="713">
      <c r="A713" s="228"/>
      <c r="B713" s="228"/>
      <c r="C713" s="228"/>
      <c r="D713" s="228"/>
      <c r="E713" s="228"/>
      <c r="F713" s="228"/>
      <c r="G713" s="228"/>
      <c r="H713" s="241"/>
      <c r="I713" s="228"/>
      <c r="J713" s="236"/>
      <c r="K713" s="228"/>
      <c r="L713" s="228"/>
      <c r="M713" s="238"/>
      <c r="N713" s="228"/>
      <c r="O713" s="235"/>
      <c r="P713" s="236"/>
      <c r="Q713" s="235"/>
      <c r="R713" s="235"/>
      <c r="S713" s="236"/>
      <c r="T713" s="236"/>
      <c r="U713" s="237"/>
      <c r="V713" s="237"/>
      <c r="W713" s="238"/>
      <c r="X713" s="237"/>
      <c r="Y713" s="237"/>
      <c r="Z713" s="237"/>
      <c r="AA713" s="239"/>
      <c r="AB713" s="238"/>
      <c r="AC713" s="238"/>
      <c r="AD713" s="240"/>
      <c r="AE713" s="241"/>
      <c r="AF713" s="241"/>
      <c r="AG713" s="238"/>
      <c r="AH713" s="240"/>
      <c r="AI713" s="241"/>
      <c r="AJ713" s="241"/>
      <c r="AK713" s="241"/>
      <c r="AL713" s="237"/>
      <c r="AM713" s="237"/>
      <c r="AN713" s="237"/>
      <c r="AO713" s="237"/>
      <c r="AP713" s="237"/>
      <c r="AQ713" s="237"/>
      <c r="AR713" s="237"/>
    </row>
    <row r="714">
      <c r="A714" s="228"/>
      <c r="B714" s="228"/>
      <c r="C714" s="228"/>
      <c r="D714" s="228"/>
      <c r="E714" s="228"/>
      <c r="F714" s="228"/>
      <c r="G714" s="228"/>
      <c r="H714" s="241"/>
      <c r="I714" s="228"/>
      <c r="J714" s="236"/>
      <c r="K714" s="228"/>
      <c r="L714" s="228"/>
      <c r="M714" s="238"/>
      <c r="N714" s="228"/>
      <c r="O714" s="235"/>
      <c r="P714" s="236"/>
      <c r="Q714" s="235"/>
      <c r="R714" s="235"/>
      <c r="S714" s="236"/>
      <c r="T714" s="236"/>
      <c r="U714" s="237"/>
      <c r="V714" s="237"/>
      <c r="W714" s="238"/>
      <c r="X714" s="237"/>
      <c r="Y714" s="237"/>
      <c r="Z714" s="237"/>
      <c r="AA714" s="239"/>
      <c r="AB714" s="238"/>
      <c r="AC714" s="238"/>
      <c r="AD714" s="240"/>
      <c r="AE714" s="241"/>
      <c r="AF714" s="241"/>
      <c r="AG714" s="238"/>
      <c r="AH714" s="240"/>
      <c r="AI714" s="241"/>
      <c r="AJ714" s="241"/>
      <c r="AK714" s="241"/>
      <c r="AL714" s="237"/>
      <c r="AM714" s="237"/>
      <c r="AN714" s="237"/>
      <c r="AO714" s="237"/>
      <c r="AP714" s="237"/>
      <c r="AQ714" s="237"/>
      <c r="AR714" s="237"/>
    </row>
    <row r="715">
      <c r="A715" s="228"/>
      <c r="B715" s="228"/>
      <c r="C715" s="228"/>
      <c r="D715" s="228"/>
      <c r="E715" s="228"/>
      <c r="F715" s="228"/>
      <c r="G715" s="228"/>
      <c r="H715" s="241"/>
      <c r="I715" s="228"/>
      <c r="J715" s="236"/>
      <c r="K715" s="228"/>
      <c r="L715" s="228"/>
      <c r="M715" s="238"/>
      <c r="N715" s="228"/>
      <c r="O715" s="235"/>
      <c r="P715" s="236"/>
      <c r="Q715" s="235"/>
      <c r="R715" s="235"/>
      <c r="S715" s="236"/>
      <c r="T715" s="236"/>
      <c r="U715" s="237"/>
      <c r="V715" s="237"/>
      <c r="W715" s="238"/>
      <c r="X715" s="237"/>
      <c r="Y715" s="237"/>
      <c r="Z715" s="237"/>
      <c r="AA715" s="239"/>
      <c r="AB715" s="238"/>
      <c r="AC715" s="238"/>
      <c r="AD715" s="240"/>
      <c r="AE715" s="241"/>
      <c r="AF715" s="241"/>
      <c r="AG715" s="238"/>
      <c r="AH715" s="240"/>
      <c r="AI715" s="241"/>
      <c r="AJ715" s="241"/>
      <c r="AK715" s="241"/>
      <c r="AL715" s="237"/>
      <c r="AM715" s="237"/>
      <c r="AN715" s="237"/>
      <c r="AO715" s="237"/>
      <c r="AP715" s="237"/>
      <c r="AQ715" s="237"/>
      <c r="AR715" s="237"/>
    </row>
    <row r="716">
      <c r="A716" s="228"/>
      <c r="B716" s="228"/>
      <c r="C716" s="228"/>
      <c r="D716" s="228"/>
      <c r="E716" s="228"/>
      <c r="F716" s="228"/>
      <c r="G716" s="228"/>
      <c r="H716" s="241"/>
      <c r="I716" s="228"/>
      <c r="J716" s="236"/>
      <c r="K716" s="228"/>
      <c r="L716" s="228"/>
      <c r="M716" s="238"/>
      <c r="N716" s="228"/>
      <c r="O716" s="235"/>
      <c r="P716" s="236"/>
      <c r="Q716" s="235"/>
      <c r="R716" s="235"/>
      <c r="S716" s="236"/>
      <c r="T716" s="236"/>
      <c r="U716" s="237"/>
      <c r="V716" s="237"/>
      <c r="W716" s="238"/>
      <c r="X716" s="237"/>
      <c r="Y716" s="237"/>
      <c r="Z716" s="237"/>
      <c r="AA716" s="239"/>
      <c r="AB716" s="238"/>
      <c r="AC716" s="238"/>
      <c r="AD716" s="240"/>
      <c r="AE716" s="241"/>
      <c r="AF716" s="241"/>
      <c r="AG716" s="238"/>
      <c r="AH716" s="240"/>
      <c r="AI716" s="241"/>
      <c r="AJ716" s="241"/>
      <c r="AK716" s="241"/>
      <c r="AL716" s="237"/>
      <c r="AM716" s="237"/>
      <c r="AN716" s="237"/>
      <c r="AO716" s="237"/>
      <c r="AP716" s="237"/>
      <c r="AQ716" s="237"/>
      <c r="AR716" s="237"/>
    </row>
    <row r="717">
      <c r="A717" s="228"/>
      <c r="B717" s="228"/>
      <c r="C717" s="228"/>
      <c r="D717" s="228"/>
      <c r="E717" s="228"/>
      <c r="F717" s="228"/>
      <c r="G717" s="228"/>
      <c r="H717" s="241"/>
      <c r="I717" s="228"/>
      <c r="J717" s="236"/>
      <c r="K717" s="228"/>
      <c r="L717" s="228"/>
      <c r="M717" s="238"/>
      <c r="N717" s="228"/>
      <c r="O717" s="235"/>
      <c r="P717" s="236"/>
      <c r="Q717" s="235"/>
      <c r="R717" s="235"/>
      <c r="S717" s="236"/>
      <c r="T717" s="236"/>
      <c r="U717" s="237"/>
      <c r="V717" s="237"/>
      <c r="W717" s="238"/>
      <c r="X717" s="237"/>
      <c r="Y717" s="237"/>
      <c r="Z717" s="237"/>
      <c r="AA717" s="239"/>
      <c r="AB717" s="238"/>
      <c r="AC717" s="238"/>
      <c r="AD717" s="240"/>
      <c r="AE717" s="241"/>
      <c r="AF717" s="241"/>
      <c r="AG717" s="238"/>
      <c r="AH717" s="240"/>
      <c r="AI717" s="241"/>
      <c r="AJ717" s="241"/>
      <c r="AK717" s="241"/>
      <c r="AL717" s="237"/>
      <c r="AM717" s="237"/>
      <c r="AN717" s="237"/>
      <c r="AO717" s="237"/>
      <c r="AP717" s="237"/>
      <c r="AQ717" s="237"/>
      <c r="AR717" s="237"/>
    </row>
    <row r="718">
      <c r="A718" s="228"/>
      <c r="B718" s="228"/>
      <c r="C718" s="228"/>
      <c r="D718" s="228"/>
      <c r="E718" s="228"/>
      <c r="F718" s="228"/>
      <c r="G718" s="228"/>
      <c r="H718" s="241"/>
      <c r="I718" s="228"/>
      <c r="J718" s="236"/>
      <c r="K718" s="228"/>
      <c r="L718" s="228"/>
      <c r="M718" s="238"/>
      <c r="N718" s="228"/>
      <c r="O718" s="235"/>
      <c r="P718" s="236"/>
      <c r="Q718" s="235"/>
      <c r="R718" s="235"/>
      <c r="S718" s="236"/>
      <c r="T718" s="236"/>
      <c r="U718" s="237"/>
      <c r="V718" s="237"/>
      <c r="W718" s="238"/>
      <c r="X718" s="237"/>
      <c r="Y718" s="237"/>
      <c r="Z718" s="237"/>
      <c r="AA718" s="239"/>
      <c r="AB718" s="238"/>
      <c r="AC718" s="238"/>
      <c r="AD718" s="240"/>
      <c r="AE718" s="241"/>
      <c r="AF718" s="241"/>
      <c r="AG718" s="238"/>
      <c r="AH718" s="240"/>
      <c r="AI718" s="241"/>
      <c r="AJ718" s="241"/>
      <c r="AK718" s="241"/>
      <c r="AL718" s="237"/>
      <c r="AM718" s="237"/>
      <c r="AN718" s="237"/>
      <c r="AO718" s="237"/>
      <c r="AP718" s="237"/>
      <c r="AQ718" s="237"/>
      <c r="AR718" s="237"/>
    </row>
    <row r="719">
      <c r="A719" s="228"/>
      <c r="B719" s="228"/>
      <c r="C719" s="228"/>
      <c r="D719" s="228"/>
      <c r="E719" s="228"/>
      <c r="F719" s="228"/>
      <c r="G719" s="228"/>
      <c r="H719" s="241"/>
      <c r="I719" s="228"/>
      <c r="J719" s="236"/>
      <c r="K719" s="228"/>
      <c r="L719" s="228"/>
      <c r="M719" s="238"/>
      <c r="N719" s="228"/>
      <c r="O719" s="235"/>
      <c r="P719" s="236"/>
      <c r="Q719" s="235"/>
      <c r="R719" s="235"/>
      <c r="S719" s="236"/>
      <c r="T719" s="236"/>
      <c r="U719" s="237"/>
      <c r="V719" s="237"/>
      <c r="W719" s="238"/>
      <c r="X719" s="237"/>
      <c r="Y719" s="237"/>
      <c r="Z719" s="237"/>
      <c r="AA719" s="239"/>
      <c r="AB719" s="238"/>
      <c r="AC719" s="238"/>
      <c r="AD719" s="240"/>
      <c r="AE719" s="241"/>
      <c r="AF719" s="241"/>
      <c r="AG719" s="238"/>
      <c r="AH719" s="240"/>
      <c r="AI719" s="241"/>
      <c r="AJ719" s="241"/>
      <c r="AK719" s="241"/>
      <c r="AL719" s="237"/>
      <c r="AM719" s="237"/>
      <c r="AN719" s="237"/>
      <c r="AO719" s="237"/>
      <c r="AP719" s="237"/>
      <c r="AQ719" s="237"/>
      <c r="AR719" s="237"/>
    </row>
    <row r="720">
      <c r="A720" s="228"/>
      <c r="B720" s="228"/>
      <c r="C720" s="228"/>
      <c r="D720" s="228"/>
      <c r="E720" s="228"/>
      <c r="F720" s="228"/>
      <c r="G720" s="228"/>
      <c r="H720" s="241"/>
      <c r="I720" s="228"/>
      <c r="J720" s="236"/>
      <c r="K720" s="228"/>
      <c r="L720" s="228"/>
      <c r="M720" s="238"/>
      <c r="N720" s="228"/>
      <c r="O720" s="235"/>
      <c r="P720" s="236"/>
      <c r="Q720" s="235"/>
      <c r="R720" s="235"/>
      <c r="S720" s="236"/>
      <c r="T720" s="236"/>
      <c r="U720" s="237"/>
      <c r="V720" s="237"/>
      <c r="W720" s="238"/>
      <c r="X720" s="237"/>
      <c r="Y720" s="237"/>
      <c r="Z720" s="237"/>
      <c r="AA720" s="239"/>
      <c r="AB720" s="238"/>
      <c r="AC720" s="238"/>
      <c r="AD720" s="240"/>
      <c r="AE720" s="241"/>
      <c r="AF720" s="241"/>
      <c r="AG720" s="238"/>
      <c r="AH720" s="240"/>
      <c r="AI720" s="241"/>
      <c r="AJ720" s="241"/>
      <c r="AK720" s="241"/>
      <c r="AL720" s="237"/>
      <c r="AM720" s="237"/>
      <c r="AN720" s="237"/>
      <c r="AO720" s="237"/>
      <c r="AP720" s="237"/>
      <c r="AQ720" s="237"/>
      <c r="AR720" s="237"/>
    </row>
    <row r="721">
      <c r="A721" s="228"/>
      <c r="B721" s="228"/>
      <c r="C721" s="228"/>
      <c r="D721" s="228"/>
      <c r="E721" s="228"/>
      <c r="F721" s="228"/>
      <c r="G721" s="228"/>
      <c r="H721" s="241"/>
      <c r="I721" s="228"/>
      <c r="J721" s="236"/>
      <c r="K721" s="228"/>
      <c r="L721" s="228"/>
      <c r="M721" s="238"/>
      <c r="N721" s="228"/>
      <c r="O721" s="235"/>
      <c r="P721" s="236"/>
      <c r="Q721" s="235"/>
      <c r="R721" s="235"/>
      <c r="S721" s="236"/>
      <c r="T721" s="236"/>
      <c r="U721" s="237"/>
      <c r="V721" s="237"/>
      <c r="W721" s="238"/>
      <c r="X721" s="237"/>
      <c r="Y721" s="237"/>
      <c r="Z721" s="237"/>
      <c r="AA721" s="239"/>
      <c r="AB721" s="238"/>
      <c r="AC721" s="238"/>
      <c r="AD721" s="240"/>
      <c r="AE721" s="241"/>
      <c r="AF721" s="241"/>
      <c r="AG721" s="238"/>
      <c r="AH721" s="240"/>
      <c r="AI721" s="241"/>
      <c r="AJ721" s="241"/>
      <c r="AK721" s="241"/>
      <c r="AL721" s="237"/>
      <c r="AM721" s="237"/>
      <c r="AN721" s="237"/>
      <c r="AO721" s="237"/>
      <c r="AP721" s="237"/>
      <c r="AQ721" s="237"/>
      <c r="AR721" s="237"/>
    </row>
    <row r="722">
      <c r="A722" s="228"/>
      <c r="B722" s="228"/>
      <c r="C722" s="228"/>
      <c r="D722" s="228"/>
      <c r="E722" s="228"/>
      <c r="F722" s="228"/>
      <c r="G722" s="228"/>
      <c r="H722" s="241"/>
      <c r="I722" s="228"/>
      <c r="J722" s="236"/>
      <c r="K722" s="228"/>
      <c r="L722" s="228"/>
      <c r="M722" s="238"/>
      <c r="N722" s="228"/>
      <c r="O722" s="235"/>
      <c r="P722" s="236"/>
      <c r="Q722" s="235"/>
      <c r="R722" s="235"/>
      <c r="S722" s="236"/>
      <c r="T722" s="236"/>
      <c r="U722" s="237"/>
      <c r="V722" s="237"/>
      <c r="W722" s="238"/>
      <c r="X722" s="237"/>
      <c r="Y722" s="237"/>
      <c r="Z722" s="237"/>
      <c r="AA722" s="239"/>
      <c r="AB722" s="238"/>
      <c r="AC722" s="238"/>
      <c r="AD722" s="240"/>
      <c r="AE722" s="241"/>
      <c r="AF722" s="241"/>
      <c r="AG722" s="238"/>
      <c r="AH722" s="240"/>
      <c r="AI722" s="241"/>
      <c r="AJ722" s="241"/>
      <c r="AK722" s="241"/>
      <c r="AL722" s="237"/>
      <c r="AM722" s="237"/>
      <c r="AN722" s="237"/>
      <c r="AO722" s="237"/>
      <c r="AP722" s="237"/>
      <c r="AQ722" s="237"/>
      <c r="AR722" s="237"/>
    </row>
    <row r="723">
      <c r="A723" s="228"/>
      <c r="B723" s="228"/>
      <c r="C723" s="228"/>
      <c r="D723" s="228"/>
      <c r="E723" s="228"/>
      <c r="F723" s="228"/>
      <c r="G723" s="228"/>
      <c r="H723" s="241"/>
      <c r="I723" s="228"/>
      <c r="J723" s="236"/>
      <c r="K723" s="228"/>
      <c r="L723" s="228"/>
      <c r="M723" s="238"/>
      <c r="N723" s="228"/>
      <c r="O723" s="235"/>
      <c r="P723" s="236"/>
      <c r="Q723" s="235"/>
      <c r="R723" s="235"/>
      <c r="S723" s="236"/>
      <c r="T723" s="236"/>
      <c r="U723" s="237"/>
      <c r="V723" s="237"/>
      <c r="W723" s="238"/>
      <c r="X723" s="237"/>
      <c r="Y723" s="237"/>
      <c r="Z723" s="237"/>
      <c r="AA723" s="239"/>
      <c r="AB723" s="238"/>
      <c r="AC723" s="238"/>
      <c r="AD723" s="240"/>
      <c r="AE723" s="241"/>
      <c r="AF723" s="241"/>
      <c r="AG723" s="238"/>
      <c r="AH723" s="240"/>
      <c r="AI723" s="241"/>
      <c r="AJ723" s="241"/>
      <c r="AK723" s="241"/>
      <c r="AL723" s="237"/>
      <c r="AM723" s="237"/>
      <c r="AN723" s="237"/>
      <c r="AO723" s="237"/>
      <c r="AP723" s="237"/>
      <c r="AQ723" s="237"/>
      <c r="AR723" s="237"/>
    </row>
    <row r="724">
      <c r="A724" s="228"/>
      <c r="B724" s="228"/>
      <c r="C724" s="228"/>
      <c r="D724" s="228"/>
      <c r="E724" s="228"/>
      <c r="F724" s="228"/>
      <c r="G724" s="228"/>
      <c r="H724" s="241"/>
      <c r="I724" s="228"/>
      <c r="J724" s="236"/>
      <c r="K724" s="228"/>
      <c r="L724" s="228"/>
      <c r="M724" s="238"/>
      <c r="N724" s="228"/>
      <c r="O724" s="235"/>
      <c r="P724" s="236"/>
      <c r="Q724" s="235"/>
      <c r="R724" s="235"/>
      <c r="S724" s="236"/>
      <c r="T724" s="236"/>
      <c r="U724" s="237"/>
      <c r="V724" s="237"/>
      <c r="W724" s="238"/>
      <c r="X724" s="237"/>
      <c r="Y724" s="237"/>
      <c r="Z724" s="237"/>
      <c r="AA724" s="239"/>
      <c r="AB724" s="238"/>
      <c r="AC724" s="238"/>
      <c r="AD724" s="240"/>
      <c r="AE724" s="241"/>
      <c r="AF724" s="241"/>
      <c r="AG724" s="238"/>
      <c r="AH724" s="240"/>
      <c r="AI724" s="241"/>
      <c r="AJ724" s="241"/>
      <c r="AK724" s="241"/>
      <c r="AL724" s="237"/>
      <c r="AM724" s="237"/>
      <c r="AN724" s="237"/>
      <c r="AO724" s="237"/>
      <c r="AP724" s="237"/>
      <c r="AQ724" s="237"/>
      <c r="AR724" s="237"/>
    </row>
    <row r="725">
      <c r="A725" s="228"/>
      <c r="B725" s="228"/>
      <c r="C725" s="228"/>
      <c r="D725" s="228"/>
      <c r="E725" s="228"/>
      <c r="F725" s="228"/>
      <c r="G725" s="228"/>
      <c r="H725" s="241"/>
      <c r="I725" s="228"/>
      <c r="J725" s="236"/>
      <c r="K725" s="228"/>
      <c r="L725" s="228"/>
      <c r="M725" s="238"/>
      <c r="N725" s="228"/>
      <c r="O725" s="235"/>
      <c r="P725" s="236"/>
      <c r="Q725" s="235"/>
      <c r="R725" s="235"/>
      <c r="S725" s="236"/>
      <c r="T725" s="236"/>
      <c r="U725" s="237"/>
      <c r="V725" s="237"/>
      <c r="W725" s="238"/>
      <c r="X725" s="237"/>
      <c r="Y725" s="237"/>
      <c r="Z725" s="237"/>
      <c r="AA725" s="239"/>
      <c r="AB725" s="238"/>
      <c r="AC725" s="238"/>
      <c r="AD725" s="240"/>
      <c r="AE725" s="241"/>
      <c r="AF725" s="241"/>
      <c r="AG725" s="238"/>
      <c r="AH725" s="240"/>
      <c r="AI725" s="241"/>
      <c r="AJ725" s="241"/>
      <c r="AK725" s="241"/>
      <c r="AL725" s="237"/>
      <c r="AM725" s="237"/>
      <c r="AN725" s="237"/>
      <c r="AO725" s="237"/>
      <c r="AP725" s="237"/>
      <c r="AQ725" s="237"/>
      <c r="AR725" s="237"/>
    </row>
    <row r="726">
      <c r="A726" s="228"/>
      <c r="B726" s="228"/>
      <c r="C726" s="228"/>
      <c r="D726" s="228"/>
      <c r="E726" s="228"/>
      <c r="F726" s="228"/>
      <c r="G726" s="228"/>
      <c r="H726" s="241"/>
      <c r="I726" s="228"/>
      <c r="J726" s="236"/>
      <c r="K726" s="228"/>
      <c r="L726" s="228"/>
      <c r="M726" s="238"/>
      <c r="N726" s="228"/>
      <c r="O726" s="235"/>
      <c r="P726" s="236"/>
      <c r="Q726" s="235"/>
      <c r="R726" s="235"/>
      <c r="S726" s="236"/>
      <c r="T726" s="236"/>
      <c r="U726" s="237"/>
      <c r="V726" s="237"/>
      <c r="W726" s="238"/>
      <c r="X726" s="237"/>
      <c r="Y726" s="237"/>
      <c r="Z726" s="237"/>
      <c r="AA726" s="239"/>
      <c r="AB726" s="238"/>
      <c r="AC726" s="238"/>
      <c r="AD726" s="240"/>
      <c r="AE726" s="241"/>
      <c r="AF726" s="241"/>
      <c r="AG726" s="238"/>
      <c r="AH726" s="240"/>
      <c r="AI726" s="241"/>
      <c r="AJ726" s="241"/>
      <c r="AK726" s="241"/>
      <c r="AL726" s="237"/>
      <c r="AM726" s="237"/>
      <c r="AN726" s="237"/>
      <c r="AO726" s="237"/>
      <c r="AP726" s="237"/>
      <c r="AQ726" s="237"/>
      <c r="AR726" s="237"/>
    </row>
    <row r="727">
      <c r="A727" s="228"/>
      <c r="B727" s="228"/>
      <c r="C727" s="228"/>
      <c r="D727" s="228"/>
      <c r="E727" s="228"/>
      <c r="F727" s="228"/>
      <c r="G727" s="228"/>
      <c r="H727" s="241"/>
      <c r="I727" s="228"/>
      <c r="J727" s="236"/>
      <c r="K727" s="228"/>
      <c r="L727" s="228"/>
      <c r="M727" s="238"/>
      <c r="N727" s="228"/>
      <c r="O727" s="235"/>
      <c r="P727" s="236"/>
      <c r="Q727" s="235"/>
      <c r="R727" s="235"/>
      <c r="S727" s="236"/>
      <c r="T727" s="236"/>
      <c r="U727" s="237"/>
      <c r="V727" s="237"/>
      <c r="W727" s="238"/>
      <c r="X727" s="237"/>
      <c r="Y727" s="237"/>
      <c r="Z727" s="237"/>
      <c r="AA727" s="239"/>
      <c r="AB727" s="238"/>
      <c r="AC727" s="238"/>
      <c r="AD727" s="240"/>
      <c r="AE727" s="241"/>
      <c r="AF727" s="241"/>
      <c r="AG727" s="238"/>
      <c r="AH727" s="240"/>
      <c r="AI727" s="241"/>
      <c r="AJ727" s="241"/>
      <c r="AK727" s="241"/>
      <c r="AL727" s="237"/>
      <c r="AM727" s="237"/>
      <c r="AN727" s="237"/>
      <c r="AO727" s="237"/>
      <c r="AP727" s="237"/>
      <c r="AQ727" s="237"/>
      <c r="AR727" s="237"/>
    </row>
    <row r="728">
      <c r="A728" s="228"/>
      <c r="B728" s="228"/>
      <c r="C728" s="228"/>
      <c r="D728" s="228"/>
      <c r="E728" s="228"/>
      <c r="F728" s="228"/>
      <c r="G728" s="228"/>
      <c r="H728" s="241"/>
      <c r="I728" s="228"/>
      <c r="J728" s="236"/>
      <c r="K728" s="228"/>
      <c r="L728" s="228"/>
      <c r="M728" s="238"/>
      <c r="N728" s="228"/>
      <c r="O728" s="235"/>
      <c r="P728" s="236"/>
      <c r="Q728" s="235"/>
      <c r="R728" s="235"/>
      <c r="S728" s="236"/>
      <c r="T728" s="236"/>
      <c r="U728" s="237"/>
      <c r="V728" s="237"/>
      <c r="W728" s="238"/>
      <c r="X728" s="237"/>
      <c r="Y728" s="237"/>
      <c r="Z728" s="237"/>
      <c r="AA728" s="239"/>
      <c r="AB728" s="238"/>
      <c r="AC728" s="238"/>
      <c r="AD728" s="240"/>
      <c r="AE728" s="241"/>
      <c r="AF728" s="241"/>
      <c r="AG728" s="238"/>
      <c r="AH728" s="240"/>
      <c r="AI728" s="241"/>
      <c r="AJ728" s="241"/>
      <c r="AK728" s="241"/>
      <c r="AL728" s="237"/>
      <c r="AM728" s="237"/>
      <c r="AN728" s="237"/>
      <c r="AO728" s="237"/>
      <c r="AP728" s="237"/>
      <c r="AQ728" s="237"/>
      <c r="AR728" s="237"/>
    </row>
    <row r="729">
      <c r="A729" s="228"/>
      <c r="B729" s="228"/>
      <c r="C729" s="228"/>
      <c r="D729" s="228"/>
      <c r="E729" s="228"/>
      <c r="F729" s="228"/>
      <c r="G729" s="228"/>
      <c r="H729" s="241"/>
      <c r="I729" s="228"/>
      <c r="J729" s="236"/>
      <c r="K729" s="228"/>
      <c r="L729" s="228"/>
      <c r="M729" s="238"/>
      <c r="N729" s="228"/>
      <c r="O729" s="235"/>
      <c r="P729" s="236"/>
      <c r="Q729" s="235"/>
      <c r="R729" s="235"/>
      <c r="S729" s="236"/>
      <c r="T729" s="236"/>
      <c r="U729" s="237"/>
      <c r="V729" s="237"/>
      <c r="W729" s="238"/>
      <c r="X729" s="237"/>
      <c r="Y729" s="237"/>
      <c r="Z729" s="237"/>
      <c r="AA729" s="239"/>
      <c r="AB729" s="238"/>
      <c r="AC729" s="238"/>
      <c r="AD729" s="240"/>
      <c r="AE729" s="241"/>
      <c r="AF729" s="241"/>
      <c r="AG729" s="238"/>
      <c r="AH729" s="240"/>
      <c r="AI729" s="241"/>
      <c r="AJ729" s="241"/>
      <c r="AK729" s="241"/>
      <c r="AL729" s="237"/>
      <c r="AM729" s="237"/>
      <c r="AN729" s="237"/>
      <c r="AO729" s="237"/>
      <c r="AP729" s="237"/>
      <c r="AQ729" s="237"/>
      <c r="AR729" s="237"/>
    </row>
    <row r="730">
      <c r="A730" s="228"/>
      <c r="B730" s="228"/>
      <c r="C730" s="228"/>
      <c r="D730" s="228"/>
      <c r="E730" s="228"/>
      <c r="F730" s="228"/>
      <c r="G730" s="228"/>
      <c r="H730" s="241"/>
      <c r="I730" s="228"/>
      <c r="J730" s="236"/>
      <c r="K730" s="228"/>
      <c r="L730" s="228"/>
      <c r="M730" s="238"/>
      <c r="N730" s="228"/>
      <c r="O730" s="235"/>
      <c r="P730" s="236"/>
      <c r="Q730" s="235"/>
      <c r="R730" s="235"/>
      <c r="S730" s="236"/>
      <c r="T730" s="236"/>
      <c r="U730" s="237"/>
      <c r="V730" s="237"/>
      <c r="W730" s="238"/>
      <c r="X730" s="237"/>
      <c r="Y730" s="237"/>
      <c r="Z730" s="237"/>
      <c r="AA730" s="239"/>
      <c r="AB730" s="238"/>
      <c r="AC730" s="238"/>
      <c r="AD730" s="240"/>
      <c r="AE730" s="241"/>
      <c r="AF730" s="241"/>
      <c r="AG730" s="238"/>
      <c r="AH730" s="240"/>
      <c r="AI730" s="241"/>
      <c r="AJ730" s="241"/>
      <c r="AK730" s="241"/>
      <c r="AL730" s="237"/>
      <c r="AM730" s="237"/>
      <c r="AN730" s="237"/>
      <c r="AO730" s="237"/>
      <c r="AP730" s="237"/>
      <c r="AQ730" s="237"/>
      <c r="AR730" s="237"/>
    </row>
    <row r="731">
      <c r="A731" s="228"/>
      <c r="B731" s="228"/>
      <c r="C731" s="228"/>
      <c r="D731" s="228"/>
      <c r="E731" s="228"/>
      <c r="F731" s="228"/>
      <c r="G731" s="228"/>
      <c r="H731" s="241"/>
      <c r="I731" s="228"/>
      <c r="J731" s="236"/>
      <c r="K731" s="228"/>
      <c r="L731" s="228"/>
      <c r="M731" s="238"/>
      <c r="N731" s="228"/>
      <c r="O731" s="235"/>
      <c r="P731" s="236"/>
      <c r="Q731" s="235"/>
      <c r="R731" s="235"/>
      <c r="S731" s="236"/>
      <c r="T731" s="236"/>
      <c r="U731" s="237"/>
      <c r="V731" s="237"/>
      <c r="W731" s="238"/>
      <c r="X731" s="237"/>
      <c r="Y731" s="237"/>
      <c r="Z731" s="237"/>
      <c r="AA731" s="239"/>
      <c r="AB731" s="238"/>
      <c r="AC731" s="238"/>
      <c r="AD731" s="240"/>
      <c r="AE731" s="241"/>
      <c r="AF731" s="241"/>
      <c r="AG731" s="238"/>
      <c r="AH731" s="240"/>
      <c r="AI731" s="241"/>
      <c r="AJ731" s="241"/>
      <c r="AK731" s="241"/>
      <c r="AL731" s="237"/>
      <c r="AM731" s="237"/>
      <c r="AN731" s="237"/>
      <c r="AO731" s="237"/>
      <c r="AP731" s="237"/>
      <c r="AQ731" s="237"/>
      <c r="AR731" s="237"/>
    </row>
    <row r="732">
      <c r="A732" s="228"/>
      <c r="B732" s="228"/>
      <c r="C732" s="228"/>
      <c r="D732" s="228"/>
      <c r="E732" s="228"/>
      <c r="F732" s="228"/>
      <c r="G732" s="228"/>
      <c r="H732" s="241"/>
      <c r="I732" s="228"/>
      <c r="J732" s="236"/>
      <c r="K732" s="228"/>
      <c r="L732" s="228"/>
      <c r="M732" s="238"/>
      <c r="N732" s="228"/>
      <c r="O732" s="235"/>
      <c r="P732" s="236"/>
      <c r="Q732" s="235"/>
      <c r="R732" s="235"/>
      <c r="S732" s="236"/>
      <c r="T732" s="236"/>
      <c r="U732" s="237"/>
      <c r="V732" s="237"/>
      <c r="W732" s="238"/>
      <c r="X732" s="237"/>
      <c r="Y732" s="237"/>
      <c r="Z732" s="237"/>
      <c r="AA732" s="239"/>
      <c r="AB732" s="238"/>
      <c r="AC732" s="238"/>
      <c r="AD732" s="240"/>
      <c r="AE732" s="241"/>
      <c r="AF732" s="241"/>
      <c r="AG732" s="238"/>
      <c r="AH732" s="240"/>
      <c r="AI732" s="241"/>
      <c r="AJ732" s="241"/>
      <c r="AK732" s="241"/>
      <c r="AL732" s="237"/>
      <c r="AM732" s="237"/>
      <c r="AN732" s="237"/>
      <c r="AO732" s="237"/>
      <c r="AP732" s="237"/>
      <c r="AQ732" s="237"/>
      <c r="AR732" s="237"/>
    </row>
    <row r="733">
      <c r="A733" s="228"/>
      <c r="B733" s="228"/>
      <c r="C733" s="228"/>
      <c r="D733" s="228"/>
      <c r="E733" s="228"/>
      <c r="F733" s="228"/>
      <c r="G733" s="228"/>
      <c r="H733" s="241"/>
      <c r="I733" s="228"/>
      <c r="J733" s="236"/>
      <c r="K733" s="228"/>
      <c r="L733" s="228"/>
      <c r="M733" s="238"/>
      <c r="N733" s="228"/>
      <c r="O733" s="235"/>
      <c r="P733" s="236"/>
      <c r="Q733" s="235"/>
      <c r="R733" s="235"/>
      <c r="S733" s="236"/>
      <c r="T733" s="236"/>
      <c r="U733" s="237"/>
      <c r="V733" s="237"/>
      <c r="W733" s="238"/>
      <c r="X733" s="237"/>
      <c r="Y733" s="237"/>
      <c r="Z733" s="237"/>
      <c r="AA733" s="239"/>
      <c r="AB733" s="238"/>
      <c r="AC733" s="238"/>
      <c r="AD733" s="240"/>
      <c r="AE733" s="241"/>
      <c r="AF733" s="241"/>
      <c r="AG733" s="238"/>
      <c r="AH733" s="240"/>
      <c r="AI733" s="241"/>
      <c r="AJ733" s="241"/>
      <c r="AK733" s="241"/>
      <c r="AL733" s="237"/>
      <c r="AM733" s="237"/>
      <c r="AN733" s="237"/>
      <c r="AO733" s="237"/>
      <c r="AP733" s="237"/>
      <c r="AQ733" s="237"/>
      <c r="AR733" s="237"/>
    </row>
    <row r="734">
      <c r="A734" s="228"/>
      <c r="B734" s="228"/>
      <c r="C734" s="228"/>
      <c r="D734" s="228"/>
      <c r="E734" s="228"/>
      <c r="F734" s="228"/>
      <c r="G734" s="228"/>
      <c r="H734" s="241"/>
      <c r="I734" s="228"/>
      <c r="J734" s="236"/>
      <c r="K734" s="228"/>
      <c r="L734" s="228"/>
      <c r="M734" s="238"/>
      <c r="N734" s="228"/>
      <c r="O734" s="235"/>
      <c r="P734" s="236"/>
      <c r="Q734" s="235"/>
      <c r="R734" s="235"/>
      <c r="S734" s="236"/>
      <c r="T734" s="236"/>
      <c r="U734" s="237"/>
      <c r="V734" s="237"/>
      <c r="W734" s="238"/>
      <c r="X734" s="237"/>
      <c r="Y734" s="237"/>
      <c r="Z734" s="237"/>
      <c r="AA734" s="239"/>
      <c r="AB734" s="238"/>
      <c r="AC734" s="238"/>
      <c r="AD734" s="240"/>
      <c r="AE734" s="241"/>
      <c r="AF734" s="241"/>
      <c r="AG734" s="238"/>
      <c r="AH734" s="240"/>
      <c r="AI734" s="241"/>
      <c r="AJ734" s="241"/>
      <c r="AK734" s="241"/>
      <c r="AL734" s="237"/>
      <c r="AM734" s="237"/>
      <c r="AN734" s="237"/>
      <c r="AO734" s="237"/>
      <c r="AP734" s="237"/>
      <c r="AQ734" s="237"/>
      <c r="AR734" s="237"/>
    </row>
    <row r="735">
      <c r="A735" s="228"/>
      <c r="B735" s="228"/>
      <c r="C735" s="228"/>
      <c r="D735" s="228"/>
      <c r="E735" s="228"/>
      <c r="F735" s="228"/>
      <c r="G735" s="228"/>
      <c r="H735" s="241"/>
      <c r="I735" s="228"/>
      <c r="J735" s="236"/>
      <c r="K735" s="228"/>
      <c r="L735" s="228"/>
      <c r="M735" s="238"/>
      <c r="N735" s="228"/>
      <c r="O735" s="235"/>
      <c r="P735" s="236"/>
      <c r="Q735" s="235"/>
      <c r="R735" s="235"/>
      <c r="S735" s="236"/>
      <c r="T735" s="236"/>
      <c r="U735" s="237"/>
      <c r="V735" s="237"/>
      <c r="W735" s="238"/>
      <c r="X735" s="237"/>
      <c r="Y735" s="237"/>
      <c r="Z735" s="237"/>
      <c r="AA735" s="239"/>
      <c r="AB735" s="238"/>
      <c r="AC735" s="238"/>
      <c r="AD735" s="240"/>
      <c r="AE735" s="241"/>
      <c r="AF735" s="241"/>
      <c r="AG735" s="238"/>
      <c r="AH735" s="240"/>
      <c r="AI735" s="241"/>
      <c r="AJ735" s="241"/>
      <c r="AK735" s="241"/>
      <c r="AL735" s="237"/>
      <c r="AM735" s="237"/>
      <c r="AN735" s="237"/>
      <c r="AO735" s="237"/>
      <c r="AP735" s="237"/>
      <c r="AQ735" s="237"/>
      <c r="AR735" s="237"/>
    </row>
    <row r="736">
      <c r="A736" s="228"/>
      <c r="B736" s="228"/>
      <c r="C736" s="228"/>
      <c r="D736" s="228"/>
      <c r="E736" s="228"/>
      <c r="F736" s="228"/>
      <c r="G736" s="228"/>
      <c r="H736" s="241"/>
      <c r="I736" s="228"/>
      <c r="J736" s="236"/>
      <c r="K736" s="228"/>
      <c r="L736" s="228"/>
      <c r="M736" s="238"/>
      <c r="N736" s="228"/>
      <c r="O736" s="235"/>
      <c r="P736" s="236"/>
      <c r="Q736" s="235"/>
      <c r="R736" s="235"/>
      <c r="S736" s="236"/>
      <c r="T736" s="236"/>
      <c r="U736" s="237"/>
      <c r="V736" s="237"/>
      <c r="W736" s="238"/>
      <c r="X736" s="237"/>
      <c r="Y736" s="237"/>
      <c r="Z736" s="237"/>
      <c r="AA736" s="239"/>
      <c r="AB736" s="238"/>
      <c r="AC736" s="238"/>
      <c r="AD736" s="240"/>
      <c r="AE736" s="241"/>
      <c r="AF736" s="241"/>
      <c r="AG736" s="238"/>
      <c r="AH736" s="240"/>
      <c r="AI736" s="241"/>
      <c r="AJ736" s="241"/>
      <c r="AK736" s="241"/>
      <c r="AL736" s="237"/>
      <c r="AM736" s="237"/>
      <c r="AN736" s="237"/>
      <c r="AO736" s="237"/>
      <c r="AP736" s="237"/>
      <c r="AQ736" s="237"/>
      <c r="AR736" s="237"/>
    </row>
    <row r="737">
      <c r="A737" s="228"/>
      <c r="B737" s="228"/>
      <c r="C737" s="228"/>
      <c r="D737" s="228"/>
      <c r="E737" s="228"/>
      <c r="F737" s="228"/>
      <c r="G737" s="228"/>
      <c r="H737" s="241"/>
      <c r="I737" s="228"/>
      <c r="J737" s="236"/>
      <c r="K737" s="228"/>
      <c r="L737" s="228"/>
      <c r="M737" s="238"/>
      <c r="N737" s="228"/>
      <c r="O737" s="235"/>
      <c r="P737" s="236"/>
      <c r="Q737" s="235"/>
      <c r="R737" s="235"/>
      <c r="S737" s="236"/>
      <c r="T737" s="236"/>
      <c r="U737" s="237"/>
      <c r="V737" s="237"/>
      <c r="W737" s="238"/>
      <c r="X737" s="237"/>
      <c r="Y737" s="237"/>
      <c r="Z737" s="237"/>
      <c r="AA737" s="239"/>
      <c r="AB737" s="238"/>
      <c r="AC737" s="238"/>
      <c r="AD737" s="240"/>
      <c r="AE737" s="241"/>
      <c r="AF737" s="241"/>
      <c r="AG737" s="238"/>
      <c r="AH737" s="240"/>
      <c r="AI737" s="241"/>
      <c r="AJ737" s="241"/>
      <c r="AK737" s="241"/>
      <c r="AL737" s="237"/>
      <c r="AM737" s="237"/>
      <c r="AN737" s="237"/>
      <c r="AO737" s="237"/>
      <c r="AP737" s="237"/>
      <c r="AQ737" s="237"/>
      <c r="AR737" s="237"/>
    </row>
    <row r="738">
      <c r="A738" s="228"/>
      <c r="B738" s="228"/>
      <c r="C738" s="228"/>
      <c r="D738" s="228"/>
      <c r="E738" s="228"/>
      <c r="F738" s="228"/>
      <c r="G738" s="228"/>
      <c r="H738" s="241"/>
      <c r="I738" s="228"/>
      <c r="J738" s="236"/>
      <c r="K738" s="228"/>
      <c r="L738" s="228"/>
      <c r="M738" s="238"/>
      <c r="N738" s="228"/>
      <c r="O738" s="235"/>
      <c r="P738" s="236"/>
      <c r="Q738" s="235"/>
      <c r="R738" s="235"/>
      <c r="S738" s="236"/>
      <c r="T738" s="236"/>
      <c r="U738" s="237"/>
      <c r="V738" s="237"/>
      <c r="W738" s="238"/>
      <c r="X738" s="237"/>
      <c r="Y738" s="237"/>
      <c r="Z738" s="237"/>
      <c r="AA738" s="239"/>
      <c r="AB738" s="238"/>
      <c r="AC738" s="238"/>
      <c r="AD738" s="240"/>
      <c r="AE738" s="241"/>
      <c r="AF738" s="241"/>
      <c r="AG738" s="238"/>
      <c r="AH738" s="240"/>
      <c r="AI738" s="241"/>
      <c r="AJ738" s="241"/>
      <c r="AK738" s="241"/>
      <c r="AL738" s="237"/>
      <c r="AM738" s="237"/>
      <c r="AN738" s="237"/>
      <c r="AO738" s="237"/>
      <c r="AP738" s="237"/>
      <c r="AQ738" s="237"/>
      <c r="AR738" s="237"/>
    </row>
    <row r="739">
      <c r="A739" s="228"/>
      <c r="B739" s="228"/>
      <c r="C739" s="228"/>
      <c r="D739" s="228"/>
      <c r="E739" s="228"/>
      <c r="F739" s="228"/>
      <c r="G739" s="228"/>
      <c r="H739" s="241"/>
      <c r="I739" s="228"/>
      <c r="J739" s="236"/>
      <c r="K739" s="228"/>
      <c r="L739" s="228"/>
      <c r="M739" s="238"/>
      <c r="N739" s="228"/>
      <c r="O739" s="235"/>
      <c r="P739" s="236"/>
      <c r="Q739" s="235"/>
      <c r="R739" s="235"/>
      <c r="S739" s="236"/>
      <c r="T739" s="236"/>
      <c r="U739" s="237"/>
      <c r="V739" s="237"/>
      <c r="W739" s="238"/>
      <c r="X739" s="237"/>
      <c r="Y739" s="237"/>
      <c r="Z739" s="237"/>
      <c r="AA739" s="239"/>
      <c r="AB739" s="238"/>
      <c r="AC739" s="238"/>
      <c r="AD739" s="240"/>
      <c r="AE739" s="241"/>
      <c r="AF739" s="241"/>
      <c r="AG739" s="238"/>
      <c r="AH739" s="240"/>
      <c r="AI739" s="241"/>
      <c r="AJ739" s="241"/>
      <c r="AK739" s="241"/>
      <c r="AL739" s="237"/>
      <c r="AM739" s="237"/>
      <c r="AN739" s="237"/>
      <c r="AO739" s="237"/>
      <c r="AP739" s="237"/>
      <c r="AQ739" s="237"/>
      <c r="AR739" s="237"/>
    </row>
    <row r="740">
      <c r="A740" s="228"/>
      <c r="B740" s="228"/>
      <c r="C740" s="228"/>
      <c r="D740" s="228"/>
      <c r="E740" s="228"/>
      <c r="F740" s="228"/>
      <c r="G740" s="228"/>
      <c r="H740" s="241"/>
      <c r="I740" s="228"/>
      <c r="J740" s="236"/>
      <c r="K740" s="228"/>
      <c r="L740" s="228"/>
      <c r="M740" s="238"/>
      <c r="N740" s="228"/>
      <c r="O740" s="235"/>
      <c r="P740" s="236"/>
      <c r="Q740" s="235"/>
      <c r="R740" s="235"/>
      <c r="S740" s="236"/>
      <c r="T740" s="236"/>
      <c r="U740" s="237"/>
      <c r="V740" s="237"/>
      <c r="W740" s="238"/>
      <c r="X740" s="237"/>
      <c r="Y740" s="237"/>
      <c r="Z740" s="237"/>
      <c r="AA740" s="239"/>
      <c r="AB740" s="238"/>
      <c r="AC740" s="238"/>
      <c r="AD740" s="240"/>
      <c r="AE740" s="241"/>
      <c r="AF740" s="241"/>
      <c r="AG740" s="238"/>
      <c r="AH740" s="240"/>
      <c r="AI740" s="241"/>
      <c r="AJ740" s="241"/>
      <c r="AK740" s="241"/>
      <c r="AL740" s="237"/>
      <c r="AM740" s="237"/>
      <c r="AN740" s="237"/>
      <c r="AO740" s="237"/>
      <c r="AP740" s="237"/>
      <c r="AQ740" s="237"/>
      <c r="AR740" s="237"/>
    </row>
    <row r="741">
      <c r="A741" s="228"/>
      <c r="B741" s="228"/>
      <c r="C741" s="228"/>
      <c r="D741" s="228"/>
      <c r="E741" s="228"/>
      <c r="F741" s="228"/>
      <c r="G741" s="228"/>
      <c r="H741" s="241"/>
      <c r="I741" s="228"/>
      <c r="J741" s="236"/>
      <c r="K741" s="228"/>
      <c r="L741" s="228"/>
      <c r="M741" s="238"/>
      <c r="N741" s="228"/>
      <c r="O741" s="235"/>
      <c r="P741" s="236"/>
      <c r="Q741" s="235"/>
      <c r="R741" s="235"/>
      <c r="S741" s="236"/>
      <c r="T741" s="236"/>
      <c r="U741" s="237"/>
      <c r="V741" s="237"/>
      <c r="W741" s="238"/>
      <c r="X741" s="237"/>
      <c r="Y741" s="237"/>
      <c r="Z741" s="237"/>
      <c r="AA741" s="239"/>
      <c r="AB741" s="238"/>
      <c r="AC741" s="238"/>
      <c r="AD741" s="240"/>
      <c r="AE741" s="241"/>
      <c r="AF741" s="241"/>
      <c r="AG741" s="238"/>
      <c r="AH741" s="240"/>
      <c r="AI741" s="241"/>
      <c r="AJ741" s="241"/>
      <c r="AK741" s="241"/>
      <c r="AL741" s="237"/>
      <c r="AM741" s="237"/>
      <c r="AN741" s="237"/>
      <c r="AO741" s="237"/>
      <c r="AP741" s="237"/>
      <c r="AQ741" s="237"/>
      <c r="AR741" s="237"/>
    </row>
    <row r="742">
      <c r="A742" s="228"/>
      <c r="B742" s="228"/>
      <c r="C742" s="228"/>
      <c r="D742" s="228"/>
      <c r="E742" s="228"/>
      <c r="F742" s="228"/>
      <c r="G742" s="228"/>
      <c r="H742" s="241"/>
      <c r="I742" s="228"/>
      <c r="J742" s="236"/>
      <c r="K742" s="228"/>
      <c r="L742" s="228"/>
      <c r="M742" s="238"/>
      <c r="N742" s="228"/>
      <c r="O742" s="235"/>
      <c r="P742" s="236"/>
      <c r="Q742" s="235"/>
      <c r="R742" s="235"/>
      <c r="S742" s="236"/>
      <c r="T742" s="236"/>
      <c r="U742" s="237"/>
      <c r="V742" s="237"/>
      <c r="W742" s="238"/>
      <c r="X742" s="237"/>
      <c r="Y742" s="237"/>
      <c r="Z742" s="237"/>
      <c r="AA742" s="239"/>
      <c r="AB742" s="238"/>
      <c r="AC742" s="238"/>
      <c r="AD742" s="240"/>
      <c r="AE742" s="241"/>
      <c r="AF742" s="241"/>
      <c r="AG742" s="238"/>
      <c r="AH742" s="240"/>
      <c r="AI742" s="241"/>
      <c r="AJ742" s="241"/>
      <c r="AK742" s="241"/>
      <c r="AL742" s="237"/>
      <c r="AM742" s="237"/>
      <c r="AN742" s="237"/>
      <c r="AO742" s="237"/>
      <c r="AP742" s="237"/>
      <c r="AQ742" s="237"/>
      <c r="AR742" s="237"/>
    </row>
    <row r="743">
      <c r="A743" s="228"/>
      <c r="B743" s="228"/>
      <c r="C743" s="228"/>
      <c r="D743" s="228"/>
      <c r="E743" s="228"/>
      <c r="F743" s="228"/>
      <c r="G743" s="228"/>
      <c r="H743" s="241"/>
      <c r="I743" s="228"/>
      <c r="J743" s="236"/>
      <c r="K743" s="228"/>
      <c r="L743" s="228"/>
      <c r="M743" s="238"/>
      <c r="N743" s="228"/>
      <c r="O743" s="235"/>
      <c r="P743" s="236"/>
      <c r="Q743" s="235"/>
      <c r="R743" s="235"/>
      <c r="S743" s="236"/>
      <c r="T743" s="236"/>
      <c r="U743" s="237"/>
      <c r="V743" s="237"/>
      <c r="W743" s="238"/>
      <c r="X743" s="237"/>
      <c r="Y743" s="237"/>
      <c r="Z743" s="237"/>
      <c r="AA743" s="239"/>
      <c r="AB743" s="238"/>
      <c r="AC743" s="238"/>
      <c r="AD743" s="240"/>
      <c r="AE743" s="241"/>
      <c r="AF743" s="241"/>
      <c r="AG743" s="238"/>
      <c r="AH743" s="240"/>
      <c r="AI743" s="241"/>
      <c r="AJ743" s="241"/>
      <c r="AK743" s="241"/>
      <c r="AL743" s="237"/>
      <c r="AM743" s="237"/>
      <c r="AN743" s="237"/>
      <c r="AO743" s="237"/>
      <c r="AP743" s="237"/>
      <c r="AQ743" s="237"/>
      <c r="AR743" s="237"/>
    </row>
    <row r="744">
      <c r="A744" s="228"/>
      <c r="B744" s="228"/>
      <c r="C744" s="228"/>
      <c r="D744" s="228"/>
      <c r="E744" s="228"/>
      <c r="F744" s="228"/>
      <c r="G744" s="228"/>
      <c r="H744" s="241"/>
      <c r="I744" s="228"/>
      <c r="J744" s="236"/>
      <c r="K744" s="228"/>
      <c r="L744" s="228"/>
      <c r="M744" s="238"/>
      <c r="N744" s="228"/>
      <c r="O744" s="235"/>
      <c r="P744" s="236"/>
      <c r="Q744" s="235"/>
      <c r="R744" s="235"/>
      <c r="S744" s="236"/>
      <c r="T744" s="236"/>
      <c r="U744" s="237"/>
      <c r="V744" s="237"/>
      <c r="W744" s="238"/>
      <c r="X744" s="237"/>
      <c r="Y744" s="237"/>
      <c r="Z744" s="237"/>
      <c r="AA744" s="239"/>
      <c r="AB744" s="238"/>
      <c r="AC744" s="238"/>
      <c r="AD744" s="240"/>
      <c r="AE744" s="241"/>
      <c r="AF744" s="241"/>
      <c r="AG744" s="238"/>
      <c r="AH744" s="240"/>
      <c r="AI744" s="241"/>
      <c r="AJ744" s="241"/>
      <c r="AK744" s="241"/>
      <c r="AL744" s="237"/>
      <c r="AM744" s="237"/>
      <c r="AN744" s="237"/>
      <c r="AO744" s="237"/>
      <c r="AP744" s="237"/>
      <c r="AQ744" s="237"/>
      <c r="AR744" s="237"/>
    </row>
    <row r="745">
      <c r="A745" s="228"/>
      <c r="B745" s="228"/>
      <c r="C745" s="228"/>
      <c r="D745" s="228"/>
      <c r="E745" s="228"/>
      <c r="F745" s="228"/>
      <c r="G745" s="228"/>
      <c r="H745" s="241"/>
      <c r="I745" s="228"/>
      <c r="J745" s="236"/>
      <c r="K745" s="228"/>
      <c r="L745" s="228"/>
      <c r="M745" s="238"/>
      <c r="N745" s="228"/>
      <c r="O745" s="235"/>
      <c r="P745" s="236"/>
      <c r="Q745" s="235"/>
      <c r="R745" s="235"/>
      <c r="S745" s="236"/>
      <c r="T745" s="236"/>
      <c r="U745" s="237"/>
      <c r="V745" s="237"/>
      <c r="W745" s="238"/>
      <c r="X745" s="237"/>
      <c r="Y745" s="237"/>
      <c r="Z745" s="237"/>
      <c r="AA745" s="239"/>
      <c r="AB745" s="238"/>
      <c r="AC745" s="238"/>
      <c r="AD745" s="240"/>
      <c r="AE745" s="241"/>
      <c r="AF745" s="241"/>
      <c r="AG745" s="238"/>
      <c r="AH745" s="240"/>
      <c r="AI745" s="241"/>
      <c r="AJ745" s="241"/>
      <c r="AK745" s="241"/>
      <c r="AL745" s="237"/>
      <c r="AM745" s="237"/>
      <c r="AN745" s="237"/>
      <c r="AO745" s="237"/>
      <c r="AP745" s="237"/>
      <c r="AQ745" s="237"/>
      <c r="AR745" s="237"/>
    </row>
    <row r="746">
      <c r="A746" s="228"/>
      <c r="B746" s="228"/>
      <c r="C746" s="228"/>
      <c r="D746" s="228"/>
      <c r="E746" s="228"/>
      <c r="F746" s="228"/>
      <c r="G746" s="228"/>
      <c r="H746" s="241"/>
      <c r="I746" s="228"/>
      <c r="J746" s="236"/>
      <c r="K746" s="228"/>
      <c r="L746" s="228"/>
      <c r="M746" s="238"/>
      <c r="N746" s="228"/>
      <c r="O746" s="235"/>
      <c r="P746" s="236"/>
      <c r="Q746" s="235"/>
      <c r="R746" s="235"/>
      <c r="S746" s="236"/>
      <c r="T746" s="236"/>
      <c r="U746" s="237"/>
      <c r="V746" s="237"/>
      <c r="W746" s="238"/>
      <c r="X746" s="237"/>
      <c r="Y746" s="237"/>
      <c r="Z746" s="237"/>
      <c r="AA746" s="239"/>
      <c r="AB746" s="238"/>
      <c r="AC746" s="238"/>
      <c r="AD746" s="240"/>
      <c r="AE746" s="241"/>
      <c r="AF746" s="241"/>
      <c r="AG746" s="238"/>
      <c r="AH746" s="240"/>
      <c r="AI746" s="241"/>
      <c r="AJ746" s="241"/>
      <c r="AK746" s="241"/>
      <c r="AL746" s="237"/>
      <c r="AM746" s="237"/>
      <c r="AN746" s="237"/>
      <c r="AO746" s="237"/>
      <c r="AP746" s="237"/>
      <c r="AQ746" s="237"/>
      <c r="AR746" s="237"/>
    </row>
    <row r="747">
      <c r="A747" s="228"/>
      <c r="B747" s="228"/>
      <c r="C747" s="228"/>
      <c r="D747" s="228"/>
      <c r="E747" s="228"/>
      <c r="F747" s="228"/>
      <c r="G747" s="228"/>
      <c r="H747" s="241"/>
      <c r="I747" s="228"/>
      <c r="J747" s="236"/>
      <c r="K747" s="228"/>
      <c r="L747" s="228"/>
      <c r="M747" s="238"/>
      <c r="N747" s="228"/>
      <c r="O747" s="235"/>
      <c r="P747" s="236"/>
      <c r="Q747" s="235"/>
      <c r="R747" s="235"/>
      <c r="S747" s="236"/>
      <c r="T747" s="236"/>
      <c r="U747" s="237"/>
      <c r="V747" s="237"/>
      <c r="W747" s="238"/>
      <c r="X747" s="237"/>
      <c r="Y747" s="237"/>
      <c r="Z747" s="237"/>
      <c r="AA747" s="239"/>
      <c r="AB747" s="238"/>
      <c r="AC747" s="238"/>
      <c r="AD747" s="240"/>
      <c r="AE747" s="241"/>
      <c r="AF747" s="241"/>
      <c r="AG747" s="238"/>
      <c r="AH747" s="240"/>
      <c r="AI747" s="241"/>
      <c r="AJ747" s="241"/>
      <c r="AK747" s="241"/>
      <c r="AL747" s="237"/>
      <c r="AM747" s="237"/>
      <c r="AN747" s="237"/>
      <c r="AO747" s="237"/>
      <c r="AP747" s="237"/>
      <c r="AQ747" s="237"/>
      <c r="AR747" s="237"/>
    </row>
    <row r="748">
      <c r="A748" s="228"/>
      <c r="B748" s="228"/>
      <c r="C748" s="228"/>
      <c r="D748" s="228"/>
      <c r="E748" s="228"/>
      <c r="F748" s="228"/>
      <c r="G748" s="228"/>
      <c r="H748" s="241"/>
      <c r="I748" s="228"/>
      <c r="J748" s="236"/>
      <c r="K748" s="228"/>
      <c r="L748" s="228"/>
      <c r="M748" s="238"/>
      <c r="N748" s="228"/>
      <c r="O748" s="235"/>
      <c r="P748" s="236"/>
      <c r="Q748" s="235"/>
      <c r="R748" s="235"/>
      <c r="S748" s="236"/>
      <c r="T748" s="236"/>
      <c r="U748" s="237"/>
      <c r="V748" s="237"/>
      <c r="W748" s="238"/>
      <c r="X748" s="237"/>
      <c r="Y748" s="237"/>
      <c r="Z748" s="237"/>
      <c r="AA748" s="239"/>
      <c r="AB748" s="238"/>
      <c r="AC748" s="238"/>
      <c r="AD748" s="240"/>
      <c r="AE748" s="241"/>
      <c r="AF748" s="241"/>
      <c r="AG748" s="238"/>
      <c r="AH748" s="240"/>
      <c r="AI748" s="241"/>
      <c r="AJ748" s="241"/>
      <c r="AK748" s="241"/>
      <c r="AL748" s="237"/>
      <c r="AM748" s="237"/>
      <c r="AN748" s="237"/>
      <c r="AO748" s="237"/>
      <c r="AP748" s="237"/>
      <c r="AQ748" s="237"/>
      <c r="AR748" s="237"/>
    </row>
    <row r="749">
      <c r="A749" s="228"/>
      <c r="B749" s="228"/>
      <c r="C749" s="228"/>
      <c r="D749" s="228"/>
      <c r="E749" s="228"/>
      <c r="F749" s="228"/>
      <c r="G749" s="228"/>
      <c r="H749" s="241"/>
      <c r="I749" s="228"/>
      <c r="J749" s="236"/>
      <c r="K749" s="228"/>
      <c r="L749" s="228"/>
      <c r="M749" s="238"/>
      <c r="N749" s="228"/>
      <c r="O749" s="235"/>
      <c r="P749" s="236"/>
      <c r="Q749" s="235"/>
      <c r="R749" s="235"/>
      <c r="S749" s="236"/>
      <c r="T749" s="236"/>
      <c r="U749" s="237"/>
      <c r="V749" s="237"/>
      <c r="W749" s="238"/>
      <c r="X749" s="237"/>
      <c r="Y749" s="237"/>
      <c r="Z749" s="237"/>
      <c r="AA749" s="239"/>
      <c r="AB749" s="238"/>
      <c r="AC749" s="238"/>
      <c r="AD749" s="240"/>
      <c r="AE749" s="241"/>
      <c r="AF749" s="241"/>
      <c r="AG749" s="238"/>
      <c r="AH749" s="240"/>
      <c r="AI749" s="241"/>
      <c r="AJ749" s="241"/>
      <c r="AK749" s="241"/>
      <c r="AL749" s="237"/>
      <c r="AM749" s="237"/>
      <c r="AN749" s="237"/>
      <c r="AO749" s="237"/>
      <c r="AP749" s="237"/>
      <c r="AQ749" s="237"/>
      <c r="AR749" s="237"/>
    </row>
    <row r="750">
      <c r="A750" s="228"/>
      <c r="B750" s="228"/>
      <c r="C750" s="228"/>
      <c r="D750" s="228"/>
      <c r="E750" s="228"/>
      <c r="F750" s="228"/>
      <c r="G750" s="228"/>
      <c r="H750" s="241"/>
      <c r="I750" s="228"/>
      <c r="J750" s="236"/>
      <c r="K750" s="228"/>
      <c r="L750" s="228"/>
      <c r="M750" s="238"/>
      <c r="N750" s="228"/>
      <c r="O750" s="235"/>
      <c r="P750" s="236"/>
      <c r="Q750" s="235"/>
      <c r="R750" s="235"/>
      <c r="S750" s="236"/>
      <c r="T750" s="236"/>
      <c r="U750" s="237"/>
      <c r="V750" s="237"/>
      <c r="W750" s="238"/>
      <c r="X750" s="237"/>
      <c r="Y750" s="237"/>
      <c r="Z750" s="237"/>
      <c r="AA750" s="239"/>
      <c r="AB750" s="238"/>
      <c r="AC750" s="238"/>
      <c r="AD750" s="240"/>
      <c r="AE750" s="241"/>
      <c r="AF750" s="241"/>
      <c r="AG750" s="238"/>
      <c r="AH750" s="240"/>
      <c r="AI750" s="241"/>
      <c r="AJ750" s="241"/>
      <c r="AK750" s="241"/>
      <c r="AL750" s="237"/>
      <c r="AM750" s="237"/>
      <c r="AN750" s="237"/>
      <c r="AO750" s="237"/>
      <c r="AP750" s="237"/>
      <c r="AQ750" s="237"/>
      <c r="AR750" s="237"/>
    </row>
    <row r="751">
      <c r="A751" s="228"/>
      <c r="B751" s="228"/>
      <c r="C751" s="228"/>
      <c r="D751" s="228"/>
      <c r="E751" s="228"/>
      <c r="F751" s="228"/>
      <c r="G751" s="228"/>
      <c r="H751" s="241"/>
      <c r="I751" s="228"/>
      <c r="J751" s="236"/>
      <c r="K751" s="228"/>
      <c r="L751" s="228"/>
      <c r="M751" s="238"/>
      <c r="N751" s="228"/>
      <c r="O751" s="235"/>
      <c r="P751" s="236"/>
      <c r="Q751" s="235"/>
      <c r="R751" s="235"/>
      <c r="S751" s="236"/>
      <c r="T751" s="236"/>
      <c r="U751" s="237"/>
      <c r="V751" s="237"/>
      <c r="W751" s="238"/>
      <c r="X751" s="237"/>
      <c r="Y751" s="237"/>
      <c r="Z751" s="237"/>
      <c r="AA751" s="239"/>
      <c r="AB751" s="238"/>
      <c r="AC751" s="238"/>
      <c r="AD751" s="240"/>
      <c r="AE751" s="241"/>
      <c r="AF751" s="241"/>
      <c r="AG751" s="238"/>
      <c r="AH751" s="240"/>
      <c r="AI751" s="241"/>
      <c r="AJ751" s="241"/>
      <c r="AK751" s="241"/>
      <c r="AL751" s="237"/>
      <c r="AM751" s="237"/>
      <c r="AN751" s="237"/>
      <c r="AO751" s="237"/>
      <c r="AP751" s="237"/>
      <c r="AQ751" s="237"/>
      <c r="AR751" s="237"/>
    </row>
    <row r="752">
      <c r="A752" s="228"/>
      <c r="B752" s="228"/>
      <c r="C752" s="228"/>
      <c r="D752" s="228"/>
      <c r="E752" s="228"/>
      <c r="F752" s="228"/>
      <c r="G752" s="228"/>
      <c r="H752" s="241"/>
      <c r="I752" s="228"/>
      <c r="J752" s="236"/>
      <c r="K752" s="228"/>
      <c r="L752" s="228"/>
      <c r="M752" s="238"/>
      <c r="N752" s="228"/>
      <c r="O752" s="235"/>
      <c r="P752" s="236"/>
      <c r="Q752" s="235"/>
      <c r="R752" s="235"/>
      <c r="S752" s="236"/>
      <c r="T752" s="236"/>
      <c r="U752" s="237"/>
      <c r="V752" s="237"/>
      <c r="W752" s="238"/>
      <c r="X752" s="237"/>
      <c r="Y752" s="237"/>
      <c r="Z752" s="237"/>
      <c r="AA752" s="239"/>
      <c r="AB752" s="238"/>
      <c r="AC752" s="238"/>
      <c r="AD752" s="240"/>
      <c r="AE752" s="241"/>
      <c r="AF752" s="241"/>
      <c r="AG752" s="238"/>
      <c r="AH752" s="240"/>
      <c r="AI752" s="241"/>
      <c r="AJ752" s="241"/>
      <c r="AK752" s="241"/>
      <c r="AL752" s="237"/>
      <c r="AM752" s="237"/>
      <c r="AN752" s="237"/>
      <c r="AO752" s="237"/>
      <c r="AP752" s="237"/>
      <c r="AQ752" s="237"/>
      <c r="AR752" s="237"/>
    </row>
    <row r="753">
      <c r="A753" s="228"/>
      <c r="B753" s="228"/>
      <c r="C753" s="228"/>
      <c r="D753" s="228"/>
      <c r="E753" s="228"/>
      <c r="F753" s="228"/>
      <c r="G753" s="228"/>
      <c r="H753" s="241"/>
      <c r="I753" s="228"/>
      <c r="J753" s="236"/>
      <c r="K753" s="228"/>
      <c r="L753" s="228"/>
      <c r="M753" s="238"/>
      <c r="N753" s="228"/>
      <c r="O753" s="235"/>
      <c r="P753" s="236"/>
      <c r="Q753" s="235"/>
      <c r="R753" s="235"/>
      <c r="S753" s="236"/>
      <c r="T753" s="236"/>
      <c r="U753" s="237"/>
      <c r="V753" s="237"/>
      <c r="W753" s="238"/>
      <c r="X753" s="237"/>
      <c r="Y753" s="237"/>
      <c r="Z753" s="237"/>
      <c r="AA753" s="239"/>
      <c r="AB753" s="238"/>
      <c r="AC753" s="238"/>
      <c r="AD753" s="240"/>
      <c r="AE753" s="241"/>
      <c r="AF753" s="241"/>
      <c r="AG753" s="238"/>
      <c r="AH753" s="240"/>
      <c r="AI753" s="241"/>
      <c r="AJ753" s="241"/>
      <c r="AK753" s="241"/>
      <c r="AL753" s="237"/>
      <c r="AM753" s="237"/>
      <c r="AN753" s="237"/>
      <c r="AO753" s="237"/>
      <c r="AP753" s="237"/>
      <c r="AQ753" s="237"/>
      <c r="AR753" s="237"/>
    </row>
    <row r="754">
      <c r="A754" s="228"/>
      <c r="B754" s="228"/>
      <c r="C754" s="228"/>
      <c r="D754" s="228"/>
      <c r="E754" s="228"/>
      <c r="F754" s="228"/>
      <c r="G754" s="228"/>
      <c r="H754" s="241"/>
      <c r="I754" s="228"/>
      <c r="J754" s="236"/>
      <c r="K754" s="228"/>
      <c r="L754" s="228"/>
      <c r="M754" s="238"/>
      <c r="N754" s="228"/>
      <c r="O754" s="235"/>
      <c r="P754" s="236"/>
      <c r="Q754" s="235"/>
      <c r="R754" s="235"/>
      <c r="S754" s="236"/>
      <c r="T754" s="236"/>
      <c r="U754" s="237"/>
      <c r="V754" s="237"/>
      <c r="W754" s="238"/>
      <c r="X754" s="237"/>
      <c r="Y754" s="237"/>
      <c r="Z754" s="237"/>
      <c r="AA754" s="239"/>
      <c r="AB754" s="238"/>
      <c r="AC754" s="238"/>
      <c r="AD754" s="240"/>
      <c r="AE754" s="241"/>
      <c r="AF754" s="241"/>
      <c r="AG754" s="238"/>
      <c r="AH754" s="240"/>
      <c r="AI754" s="241"/>
      <c r="AJ754" s="241"/>
      <c r="AK754" s="241"/>
      <c r="AL754" s="237"/>
      <c r="AM754" s="237"/>
      <c r="AN754" s="237"/>
      <c r="AO754" s="237"/>
      <c r="AP754" s="237"/>
      <c r="AQ754" s="237"/>
      <c r="AR754" s="237"/>
    </row>
    <row r="755">
      <c r="A755" s="228"/>
      <c r="B755" s="228"/>
      <c r="C755" s="228"/>
      <c r="D755" s="228"/>
      <c r="E755" s="228"/>
      <c r="F755" s="228"/>
      <c r="G755" s="228"/>
      <c r="H755" s="241"/>
      <c r="I755" s="228"/>
      <c r="J755" s="236"/>
      <c r="K755" s="228"/>
      <c r="L755" s="228"/>
      <c r="M755" s="238"/>
      <c r="N755" s="228"/>
      <c r="O755" s="235"/>
      <c r="P755" s="236"/>
      <c r="Q755" s="235"/>
      <c r="R755" s="235"/>
      <c r="S755" s="236"/>
      <c r="T755" s="236"/>
      <c r="U755" s="237"/>
      <c r="V755" s="237"/>
      <c r="W755" s="238"/>
      <c r="X755" s="237"/>
      <c r="Y755" s="237"/>
      <c r="Z755" s="237"/>
      <c r="AA755" s="239"/>
      <c r="AB755" s="238"/>
      <c r="AC755" s="238"/>
      <c r="AD755" s="240"/>
      <c r="AE755" s="241"/>
      <c r="AF755" s="241"/>
      <c r="AG755" s="238"/>
      <c r="AH755" s="240"/>
      <c r="AI755" s="241"/>
      <c r="AJ755" s="241"/>
      <c r="AK755" s="241"/>
      <c r="AL755" s="237"/>
      <c r="AM755" s="237"/>
      <c r="AN755" s="237"/>
      <c r="AO755" s="237"/>
      <c r="AP755" s="237"/>
      <c r="AQ755" s="237"/>
      <c r="AR755" s="237"/>
    </row>
    <row r="756">
      <c r="A756" s="228"/>
      <c r="B756" s="228"/>
      <c r="C756" s="228"/>
      <c r="D756" s="228"/>
      <c r="E756" s="228"/>
      <c r="F756" s="228"/>
      <c r="G756" s="228"/>
      <c r="H756" s="241"/>
      <c r="I756" s="228"/>
      <c r="J756" s="236"/>
      <c r="K756" s="228"/>
      <c r="L756" s="228"/>
      <c r="M756" s="238"/>
      <c r="N756" s="228"/>
      <c r="O756" s="235"/>
      <c r="P756" s="236"/>
      <c r="Q756" s="235"/>
      <c r="R756" s="235"/>
      <c r="S756" s="236"/>
      <c r="T756" s="236"/>
      <c r="U756" s="237"/>
      <c r="V756" s="237"/>
      <c r="W756" s="238"/>
      <c r="X756" s="237"/>
      <c r="Y756" s="237"/>
      <c r="Z756" s="237"/>
      <c r="AA756" s="239"/>
      <c r="AB756" s="238"/>
      <c r="AC756" s="238"/>
      <c r="AD756" s="240"/>
      <c r="AE756" s="241"/>
      <c r="AF756" s="241"/>
      <c r="AG756" s="238"/>
      <c r="AH756" s="240"/>
      <c r="AI756" s="241"/>
      <c r="AJ756" s="241"/>
      <c r="AK756" s="241"/>
      <c r="AL756" s="237"/>
      <c r="AM756" s="237"/>
      <c r="AN756" s="237"/>
      <c r="AO756" s="237"/>
      <c r="AP756" s="237"/>
      <c r="AQ756" s="237"/>
      <c r="AR756" s="237"/>
    </row>
    <row r="757">
      <c r="A757" s="228"/>
      <c r="B757" s="228"/>
      <c r="C757" s="228"/>
      <c r="D757" s="228"/>
      <c r="E757" s="228"/>
      <c r="F757" s="228"/>
      <c r="G757" s="228"/>
      <c r="H757" s="241"/>
      <c r="I757" s="228"/>
      <c r="J757" s="236"/>
      <c r="K757" s="228"/>
      <c r="L757" s="228"/>
      <c r="M757" s="238"/>
      <c r="N757" s="228"/>
      <c r="O757" s="235"/>
      <c r="P757" s="236"/>
      <c r="Q757" s="235"/>
      <c r="R757" s="235"/>
      <c r="S757" s="236"/>
      <c r="T757" s="236"/>
      <c r="U757" s="237"/>
      <c r="V757" s="237"/>
      <c r="W757" s="238"/>
      <c r="X757" s="237"/>
      <c r="Y757" s="237"/>
      <c r="Z757" s="237"/>
      <c r="AA757" s="239"/>
      <c r="AB757" s="238"/>
      <c r="AC757" s="238"/>
      <c r="AD757" s="240"/>
      <c r="AE757" s="241"/>
      <c r="AF757" s="241"/>
      <c r="AG757" s="238"/>
      <c r="AH757" s="240"/>
      <c r="AI757" s="241"/>
      <c r="AJ757" s="241"/>
      <c r="AK757" s="241"/>
      <c r="AL757" s="237"/>
      <c r="AM757" s="237"/>
      <c r="AN757" s="237"/>
      <c r="AO757" s="237"/>
      <c r="AP757" s="237"/>
      <c r="AQ757" s="237"/>
      <c r="AR757" s="237"/>
    </row>
    <row r="758">
      <c r="A758" s="228"/>
      <c r="B758" s="228"/>
      <c r="C758" s="228"/>
      <c r="D758" s="228"/>
      <c r="E758" s="228"/>
      <c r="F758" s="228"/>
      <c r="G758" s="228"/>
      <c r="H758" s="241"/>
      <c r="I758" s="228"/>
      <c r="J758" s="236"/>
      <c r="K758" s="228"/>
      <c r="L758" s="228"/>
      <c r="M758" s="238"/>
      <c r="N758" s="228"/>
      <c r="O758" s="235"/>
      <c r="P758" s="236"/>
      <c r="Q758" s="235"/>
      <c r="R758" s="235"/>
      <c r="S758" s="236"/>
      <c r="T758" s="236"/>
      <c r="U758" s="237"/>
      <c r="V758" s="237"/>
      <c r="W758" s="238"/>
      <c r="X758" s="237"/>
      <c r="Y758" s="237"/>
      <c r="Z758" s="237"/>
      <c r="AA758" s="239"/>
      <c r="AB758" s="238"/>
      <c r="AC758" s="238"/>
      <c r="AD758" s="240"/>
      <c r="AE758" s="241"/>
      <c r="AF758" s="241"/>
      <c r="AG758" s="238"/>
      <c r="AH758" s="240"/>
      <c r="AI758" s="241"/>
      <c r="AJ758" s="241"/>
      <c r="AK758" s="241"/>
      <c r="AL758" s="237"/>
      <c r="AM758" s="237"/>
      <c r="AN758" s="237"/>
      <c r="AO758" s="237"/>
      <c r="AP758" s="237"/>
      <c r="AQ758" s="237"/>
      <c r="AR758" s="237"/>
    </row>
    <row r="759">
      <c r="A759" s="228"/>
      <c r="B759" s="228"/>
      <c r="C759" s="228"/>
      <c r="D759" s="228"/>
      <c r="E759" s="228"/>
      <c r="F759" s="228"/>
      <c r="G759" s="228"/>
      <c r="H759" s="241"/>
      <c r="I759" s="228"/>
      <c r="J759" s="236"/>
      <c r="K759" s="228"/>
      <c r="L759" s="228"/>
      <c r="M759" s="238"/>
      <c r="N759" s="228"/>
      <c r="O759" s="235"/>
      <c r="P759" s="236"/>
      <c r="Q759" s="235"/>
      <c r="R759" s="235"/>
      <c r="S759" s="236"/>
      <c r="T759" s="236"/>
      <c r="U759" s="237"/>
      <c r="V759" s="237"/>
      <c r="W759" s="238"/>
      <c r="X759" s="237"/>
      <c r="Y759" s="237"/>
      <c r="Z759" s="237"/>
      <c r="AA759" s="239"/>
      <c r="AB759" s="238"/>
      <c r="AC759" s="238"/>
      <c r="AD759" s="240"/>
      <c r="AE759" s="241"/>
      <c r="AF759" s="241"/>
      <c r="AG759" s="238"/>
      <c r="AH759" s="240"/>
      <c r="AI759" s="241"/>
      <c r="AJ759" s="241"/>
      <c r="AK759" s="241"/>
      <c r="AL759" s="237"/>
      <c r="AM759" s="237"/>
      <c r="AN759" s="237"/>
      <c r="AO759" s="237"/>
      <c r="AP759" s="237"/>
      <c r="AQ759" s="237"/>
      <c r="AR759" s="237"/>
    </row>
    <row r="760">
      <c r="A760" s="228"/>
      <c r="B760" s="228"/>
      <c r="C760" s="228"/>
      <c r="D760" s="228"/>
      <c r="E760" s="228"/>
      <c r="F760" s="228"/>
      <c r="G760" s="228"/>
      <c r="H760" s="241"/>
      <c r="I760" s="228"/>
      <c r="J760" s="236"/>
      <c r="K760" s="228"/>
      <c r="L760" s="228"/>
      <c r="M760" s="238"/>
      <c r="N760" s="228"/>
      <c r="O760" s="235"/>
      <c r="P760" s="236"/>
      <c r="Q760" s="235"/>
      <c r="R760" s="235"/>
      <c r="S760" s="236"/>
      <c r="T760" s="236"/>
      <c r="U760" s="237"/>
      <c r="V760" s="237"/>
      <c r="W760" s="238"/>
      <c r="X760" s="237"/>
      <c r="Y760" s="237"/>
      <c r="Z760" s="237"/>
      <c r="AA760" s="239"/>
      <c r="AB760" s="238"/>
      <c r="AC760" s="238"/>
      <c r="AD760" s="240"/>
      <c r="AE760" s="241"/>
      <c r="AF760" s="241"/>
      <c r="AG760" s="238"/>
      <c r="AH760" s="240"/>
      <c r="AI760" s="241"/>
      <c r="AJ760" s="241"/>
      <c r="AK760" s="241"/>
      <c r="AL760" s="237"/>
      <c r="AM760" s="237"/>
      <c r="AN760" s="237"/>
      <c r="AO760" s="237"/>
      <c r="AP760" s="237"/>
      <c r="AQ760" s="237"/>
      <c r="AR760" s="237"/>
    </row>
    <row r="761">
      <c r="A761" s="228"/>
      <c r="B761" s="228"/>
      <c r="C761" s="228"/>
      <c r="D761" s="228"/>
      <c r="E761" s="228"/>
      <c r="F761" s="228"/>
      <c r="G761" s="228"/>
      <c r="H761" s="241"/>
      <c r="I761" s="228"/>
      <c r="J761" s="236"/>
      <c r="K761" s="228"/>
      <c r="L761" s="228"/>
      <c r="M761" s="238"/>
      <c r="N761" s="228"/>
      <c r="O761" s="235"/>
      <c r="P761" s="236"/>
      <c r="Q761" s="235"/>
      <c r="R761" s="235"/>
      <c r="S761" s="236"/>
      <c r="T761" s="236"/>
      <c r="U761" s="237"/>
      <c r="V761" s="237"/>
      <c r="W761" s="238"/>
      <c r="X761" s="237"/>
      <c r="Y761" s="237"/>
      <c r="Z761" s="237"/>
      <c r="AA761" s="239"/>
      <c r="AB761" s="238"/>
      <c r="AC761" s="238"/>
      <c r="AD761" s="240"/>
      <c r="AE761" s="241"/>
      <c r="AF761" s="241"/>
      <c r="AG761" s="238"/>
      <c r="AH761" s="240"/>
      <c r="AI761" s="241"/>
      <c r="AJ761" s="241"/>
      <c r="AK761" s="241"/>
      <c r="AL761" s="237"/>
      <c r="AM761" s="237"/>
      <c r="AN761" s="237"/>
      <c r="AO761" s="237"/>
      <c r="AP761" s="237"/>
      <c r="AQ761" s="237"/>
      <c r="AR761" s="237"/>
    </row>
    <row r="762">
      <c r="A762" s="228"/>
      <c r="B762" s="228"/>
      <c r="C762" s="228"/>
      <c r="D762" s="228"/>
      <c r="E762" s="228"/>
      <c r="F762" s="228"/>
      <c r="G762" s="228"/>
      <c r="H762" s="241"/>
      <c r="I762" s="228"/>
      <c r="J762" s="236"/>
      <c r="K762" s="228"/>
      <c r="L762" s="228"/>
      <c r="M762" s="238"/>
      <c r="N762" s="228"/>
      <c r="O762" s="235"/>
      <c r="P762" s="236"/>
      <c r="Q762" s="235"/>
      <c r="R762" s="235"/>
      <c r="S762" s="236"/>
      <c r="T762" s="236"/>
      <c r="U762" s="237"/>
      <c r="V762" s="237"/>
      <c r="W762" s="238"/>
      <c r="X762" s="237"/>
      <c r="Y762" s="237"/>
      <c r="Z762" s="237"/>
      <c r="AA762" s="239"/>
      <c r="AB762" s="238"/>
      <c r="AC762" s="238"/>
      <c r="AD762" s="240"/>
      <c r="AE762" s="241"/>
      <c r="AF762" s="241"/>
      <c r="AG762" s="238"/>
      <c r="AH762" s="240"/>
      <c r="AI762" s="241"/>
      <c r="AJ762" s="241"/>
      <c r="AK762" s="241"/>
      <c r="AL762" s="237"/>
      <c r="AM762" s="237"/>
      <c r="AN762" s="237"/>
      <c r="AO762" s="237"/>
      <c r="AP762" s="237"/>
      <c r="AQ762" s="237"/>
      <c r="AR762" s="237"/>
    </row>
    <row r="763">
      <c r="A763" s="228"/>
      <c r="B763" s="228"/>
      <c r="C763" s="228"/>
      <c r="D763" s="228"/>
      <c r="E763" s="228"/>
      <c r="F763" s="228"/>
      <c r="G763" s="228"/>
      <c r="H763" s="241"/>
      <c r="I763" s="228"/>
      <c r="J763" s="236"/>
      <c r="K763" s="228"/>
      <c r="L763" s="228"/>
      <c r="M763" s="238"/>
      <c r="N763" s="228"/>
      <c r="O763" s="235"/>
      <c r="P763" s="236"/>
      <c r="Q763" s="235"/>
      <c r="R763" s="235"/>
      <c r="S763" s="236"/>
      <c r="T763" s="236"/>
      <c r="U763" s="237"/>
      <c r="V763" s="237"/>
      <c r="W763" s="238"/>
      <c r="X763" s="237"/>
      <c r="Y763" s="237"/>
      <c r="Z763" s="237"/>
      <c r="AA763" s="239"/>
      <c r="AB763" s="238"/>
      <c r="AC763" s="238"/>
      <c r="AD763" s="240"/>
      <c r="AE763" s="241"/>
      <c r="AF763" s="241"/>
      <c r="AG763" s="238"/>
      <c r="AH763" s="240"/>
      <c r="AI763" s="241"/>
      <c r="AJ763" s="241"/>
      <c r="AK763" s="241"/>
      <c r="AL763" s="237"/>
      <c r="AM763" s="237"/>
      <c r="AN763" s="237"/>
      <c r="AO763" s="237"/>
      <c r="AP763" s="237"/>
      <c r="AQ763" s="237"/>
      <c r="AR763" s="237"/>
    </row>
    <row r="764">
      <c r="A764" s="228"/>
      <c r="B764" s="228"/>
      <c r="C764" s="228"/>
      <c r="D764" s="228"/>
      <c r="E764" s="228"/>
      <c r="F764" s="228"/>
      <c r="G764" s="228"/>
      <c r="H764" s="241"/>
      <c r="I764" s="228"/>
      <c r="J764" s="236"/>
      <c r="K764" s="228"/>
      <c r="L764" s="228"/>
      <c r="M764" s="238"/>
      <c r="N764" s="228"/>
      <c r="O764" s="235"/>
      <c r="P764" s="236"/>
      <c r="Q764" s="235"/>
      <c r="R764" s="235"/>
      <c r="S764" s="236"/>
      <c r="T764" s="236"/>
      <c r="U764" s="237"/>
      <c r="V764" s="237"/>
      <c r="W764" s="238"/>
      <c r="X764" s="237"/>
      <c r="Y764" s="237"/>
      <c r="Z764" s="237"/>
      <c r="AA764" s="239"/>
      <c r="AB764" s="238"/>
      <c r="AC764" s="238"/>
      <c r="AD764" s="240"/>
      <c r="AE764" s="241"/>
      <c r="AF764" s="241"/>
      <c r="AG764" s="238"/>
      <c r="AH764" s="240"/>
      <c r="AI764" s="241"/>
      <c r="AJ764" s="241"/>
      <c r="AK764" s="241"/>
      <c r="AL764" s="237"/>
      <c r="AM764" s="237"/>
      <c r="AN764" s="237"/>
      <c r="AO764" s="237"/>
      <c r="AP764" s="237"/>
      <c r="AQ764" s="237"/>
      <c r="AR764" s="237"/>
    </row>
    <row r="765">
      <c r="A765" s="228"/>
      <c r="B765" s="228"/>
      <c r="C765" s="228"/>
      <c r="D765" s="228"/>
      <c r="E765" s="228"/>
      <c r="F765" s="228"/>
      <c r="G765" s="228"/>
      <c r="H765" s="241"/>
      <c r="I765" s="228"/>
      <c r="J765" s="236"/>
      <c r="K765" s="228"/>
      <c r="L765" s="228"/>
      <c r="M765" s="238"/>
      <c r="N765" s="228"/>
      <c r="O765" s="235"/>
      <c r="P765" s="236"/>
      <c r="Q765" s="235"/>
      <c r="R765" s="235"/>
      <c r="S765" s="236"/>
      <c r="T765" s="236"/>
      <c r="U765" s="237"/>
      <c r="V765" s="237"/>
      <c r="W765" s="238"/>
      <c r="X765" s="237"/>
      <c r="Y765" s="237"/>
      <c r="Z765" s="237"/>
      <c r="AA765" s="239"/>
      <c r="AB765" s="238"/>
      <c r="AC765" s="238"/>
      <c r="AD765" s="240"/>
      <c r="AE765" s="241"/>
      <c r="AF765" s="241"/>
      <c r="AG765" s="238"/>
      <c r="AH765" s="240"/>
      <c r="AI765" s="241"/>
      <c r="AJ765" s="241"/>
      <c r="AK765" s="241"/>
      <c r="AL765" s="237"/>
      <c r="AM765" s="237"/>
      <c r="AN765" s="237"/>
      <c r="AO765" s="237"/>
      <c r="AP765" s="237"/>
      <c r="AQ765" s="237"/>
      <c r="AR765" s="237"/>
    </row>
    <row r="766">
      <c r="A766" s="228"/>
      <c r="B766" s="228"/>
      <c r="C766" s="228"/>
      <c r="D766" s="228"/>
      <c r="E766" s="228"/>
      <c r="F766" s="228"/>
      <c r="G766" s="228"/>
      <c r="H766" s="241"/>
      <c r="I766" s="228"/>
      <c r="J766" s="236"/>
      <c r="K766" s="228"/>
      <c r="L766" s="228"/>
      <c r="M766" s="238"/>
      <c r="N766" s="228"/>
      <c r="O766" s="235"/>
      <c r="P766" s="236"/>
      <c r="Q766" s="235"/>
      <c r="R766" s="235"/>
      <c r="S766" s="236"/>
      <c r="T766" s="236"/>
      <c r="U766" s="237"/>
      <c r="V766" s="237"/>
      <c r="W766" s="238"/>
      <c r="X766" s="237"/>
      <c r="Y766" s="237"/>
      <c r="Z766" s="237"/>
      <c r="AA766" s="239"/>
      <c r="AB766" s="238"/>
      <c r="AC766" s="238"/>
      <c r="AD766" s="240"/>
      <c r="AE766" s="241"/>
      <c r="AF766" s="241"/>
      <c r="AG766" s="238"/>
      <c r="AH766" s="240"/>
      <c r="AI766" s="241"/>
      <c r="AJ766" s="241"/>
      <c r="AK766" s="241"/>
      <c r="AL766" s="237"/>
      <c r="AM766" s="237"/>
      <c r="AN766" s="237"/>
      <c r="AO766" s="237"/>
      <c r="AP766" s="237"/>
      <c r="AQ766" s="237"/>
      <c r="AR766" s="237"/>
    </row>
    <row r="767">
      <c r="A767" s="228"/>
      <c r="B767" s="228"/>
      <c r="C767" s="228"/>
      <c r="D767" s="228"/>
      <c r="E767" s="228"/>
      <c r="F767" s="228"/>
      <c r="G767" s="228"/>
      <c r="H767" s="241"/>
      <c r="I767" s="228"/>
      <c r="J767" s="236"/>
      <c r="K767" s="228"/>
      <c r="L767" s="228"/>
      <c r="M767" s="238"/>
      <c r="N767" s="228"/>
      <c r="O767" s="235"/>
      <c r="P767" s="236"/>
      <c r="Q767" s="235"/>
      <c r="R767" s="235"/>
      <c r="S767" s="236"/>
      <c r="T767" s="236"/>
      <c r="U767" s="237"/>
      <c r="V767" s="237"/>
      <c r="W767" s="238"/>
      <c r="X767" s="237"/>
      <c r="Y767" s="237"/>
      <c r="Z767" s="237"/>
      <c r="AA767" s="239"/>
      <c r="AB767" s="238"/>
      <c r="AC767" s="238"/>
      <c r="AD767" s="240"/>
      <c r="AE767" s="241"/>
      <c r="AF767" s="241"/>
      <c r="AG767" s="238"/>
      <c r="AH767" s="240"/>
      <c r="AI767" s="241"/>
      <c r="AJ767" s="241"/>
      <c r="AK767" s="241"/>
      <c r="AL767" s="237"/>
      <c r="AM767" s="237"/>
      <c r="AN767" s="237"/>
      <c r="AO767" s="237"/>
      <c r="AP767" s="237"/>
      <c r="AQ767" s="237"/>
      <c r="AR767" s="237"/>
    </row>
    <row r="768">
      <c r="A768" s="228"/>
      <c r="B768" s="228"/>
      <c r="C768" s="228"/>
      <c r="D768" s="228"/>
      <c r="E768" s="228"/>
      <c r="F768" s="228"/>
      <c r="G768" s="228"/>
      <c r="H768" s="241"/>
      <c r="I768" s="228"/>
      <c r="J768" s="236"/>
      <c r="K768" s="228"/>
      <c r="L768" s="228"/>
      <c r="M768" s="238"/>
      <c r="N768" s="228"/>
      <c r="O768" s="235"/>
      <c r="P768" s="236"/>
      <c r="Q768" s="235"/>
      <c r="R768" s="235"/>
      <c r="S768" s="236"/>
      <c r="T768" s="236"/>
      <c r="U768" s="237"/>
      <c r="V768" s="237"/>
      <c r="W768" s="238"/>
      <c r="X768" s="237"/>
      <c r="Y768" s="237"/>
      <c r="Z768" s="237"/>
      <c r="AA768" s="239"/>
      <c r="AB768" s="238"/>
      <c r="AC768" s="238"/>
      <c r="AD768" s="240"/>
      <c r="AE768" s="241"/>
      <c r="AF768" s="241"/>
      <c r="AG768" s="238"/>
      <c r="AH768" s="240"/>
      <c r="AI768" s="241"/>
      <c r="AJ768" s="241"/>
      <c r="AK768" s="241"/>
      <c r="AL768" s="237"/>
      <c r="AM768" s="237"/>
      <c r="AN768" s="237"/>
      <c r="AO768" s="237"/>
      <c r="AP768" s="237"/>
      <c r="AQ768" s="237"/>
      <c r="AR768" s="237"/>
    </row>
    <row r="769">
      <c r="A769" s="228"/>
      <c r="B769" s="228"/>
      <c r="C769" s="228"/>
      <c r="D769" s="228"/>
      <c r="E769" s="228"/>
      <c r="F769" s="228"/>
      <c r="G769" s="228"/>
      <c r="H769" s="241"/>
      <c r="I769" s="228"/>
      <c r="J769" s="236"/>
      <c r="K769" s="228"/>
      <c r="L769" s="228"/>
      <c r="M769" s="238"/>
      <c r="N769" s="228"/>
      <c r="O769" s="235"/>
      <c r="P769" s="236"/>
      <c r="Q769" s="235"/>
      <c r="R769" s="235"/>
      <c r="S769" s="236"/>
      <c r="T769" s="236"/>
      <c r="U769" s="237"/>
      <c r="V769" s="237"/>
      <c r="W769" s="238"/>
      <c r="X769" s="237"/>
      <c r="Y769" s="237"/>
      <c r="Z769" s="237"/>
      <c r="AA769" s="239"/>
      <c r="AB769" s="238"/>
      <c r="AC769" s="238"/>
      <c r="AD769" s="240"/>
      <c r="AE769" s="241"/>
      <c r="AF769" s="241"/>
      <c r="AG769" s="238"/>
      <c r="AH769" s="240"/>
      <c r="AI769" s="241"/>
      <c r="AJ769" s="241"/>
      <c r="AK769" s="241"/>
      <c r="AL769" s="237"/>
      <c r="AM769" s="237"/>
      <c r="AN769" s="237"/>
      <c r="AO769" s="237"/>
      <c r="AP769" s="237"/>
      <c r="AQ769" s="237"/>
      <c r="AR769" s="237"/>
    </row>
    <row r="770">
      <c r="A770" s="228"/>
      <c r="B770" s="228"/>
      <c r="C770" s="228"/>
      <c r="D770" s="228"/>
      <c r="E770" s="228"/>
      <c r="F770" s="228"/>
      <c r="G770" s="228"/>
      <c r="H770" s="241"/>
      <c r="I770" s="228"/>
      <c r="J770" s="236"/>
      <c r="K770" s="228"/>
      <c r="L770" s="228"/>
      <c r="M770" s="238"/>
      <c r="N770" s="228"/>
      <c r="O770" s="235"/>
      <c r="P770" s="236"/>
      <c r="Q770" s="235"/>
      <c r="R770" s="235"/>
      <c r="S770" s="236"/>
      <c r="T770" s="236"/>
      <c r="U770" s="237"/>
      <c r="V770" s="237"/>
      <c r="W770" s="238"/>
      <c r="X770" s="237"/>
      <c r="Y770" s="237"/>
      <c r="Z770" s="237"/>
      <c r="AA770" s="239"/>
      <c r="AB770" s="238"/>
      <c r="AC770" s="238"/>
      <c r="AD770" s="240"/>
      <c r="AE770" s="241"/>
      <c r="AF770" s="241"/>
      <c r="AG770" s="238"/>
      <c r="AH770" s="240"/>
      <c r="AI770" s="241"/>
      <c r="AJ770" s="241"/>
      <c r="AK770" s="241"/>
      <c r="AL770" s="237"/>
      <c r="AM770" s="237"/>
      <c r="AN770" s="237"/>
      <c r="AO770" s="237"/>
      <c r="AP770" s="237"/>
      <c r="AQ770" s="237"/>
      <c r="AR770" s="237"/>
    </row>
    <row r="771">
      <c r="A771" s="228"/>
      <c r="B771" s="228"/>
      <c r="C771" s="228"/>
      <c r="D771" s="228"/>
      <c r="E771" s="228"/>
      <c r="F771" s="228"/>
      <c r="G771" s="228"/>
      <c r="H771" s="241"/>
      <c r="I771" s="228"/>
      <c r="J771" s="236"/>
      <c r="K771" s="228"/>
      <c r="L771" s="228"/>
      <c r="M771" s="238"/>
      <c r="N771" s="228"/>
      <c r="O771" s="235"/>
      <c r="P771" s="236"/>
      <c r="Q771" s="235"/>
      <c r="R771" s="235"/>
      <c r="S771" s="236"/>
      <c r="T771" s="236"/>
      <c r="U771" s="237"/>
      <c r="V771" s="237"/>
      <c r="W771" s="238"/>
      <c r="X771" s="237"/>
      <c r="Y771" s="237"/>
      <c r="Z771" s="237"/>
      <c r="AA771" s="239"/>
      <c r="AB771" s="238"/>
      <c r="AC771" s="238"/>
      <c r="AD771" s="240"/>
      <c r="AE771" s="241"/>
      <c r="AF771" s="241"/>
      <c r="AG771" s="238"/>
      <c r="AH771" s="240"/>
      <c r="AI771" s="241"/>
      <c r="AJ771" s="241"/>
      <c r="AK771" s="241"/>
      <c r="AL771" s="237"/>
      <c r="AM771" s="237"/>
      <c r="AN771" s="237"/>
      <c r="AO771" s="237"/>
      <c r="AP771" s="237"/>
      <c r="AQ771" s="237"/>
      <c r="AR771" s="237"/>
    </row>
    <row r="772">
      <c r="A772" s="228"/>
      <c r="B772" s="228"/>
      <c r="C772" s="228"/>
      <c r="D772" s="228"/>
      <c r="E772" s="228"/>
      <c r="F772" s="228"/>
      <c r="G772" s="228"/>
      <c r="H772" s="241"/>
      <c r="I772" s="228"/>
      <c r="J772" s="236"/>
      <c r="K772" s="228"/>
      <c r="L772" s="228"/>
      <c r="M772" s="238"/>
      <c r="N772" s="228"/>
      <c r="O772" s="235"/>
      <c r="P772" s="236"/>
      <c r="Q772" s="235"/>
      <c r="R772" s="235"/>
      <c r="S772" s="236"/>
      <c r="T772" s="236"/>
      <c r="U772" s="237"/>
      <c r="V772" s="237"/>
      <c r="W772" s="238"/>
      <c r="X772" s="237"/>
      <c r="Y772" s="237"/>
      <c r="Z772" s="237"/>
      <c r="AA772" s="239"/>
      <c r="AB772" s="238"/>
      <c r="AC772" s="238"/>
      <c r="AD772" s="240"/>
      <c r="AE772" s="241"/>
      <c r="AF772" s="241"/>
      <c r="AG772" s="238"/>
      <c r="AH772" s="240"/>
      <c r="AI772" s="241"/>
      <c r="AJ772" s="241"/>
      <c r="AK772" s="241"/>
      <c r="AL772" s="237"/>
      <c r="AM772" s="237"/>
      <c r="AN772" s="237"/>
      <c r="AO772" s="237"/>
      <c r="AP772" s="237"/>
      <c r="AQ772" s="237"/>
      <c r="AR772" s="237"/>
    </row>
    <row r="773">
      <c r="A773" s="228"/>
      <c r="B773" s="228"/>
      <c r="C773" s="228"/>
      <c r="D773" s="228"/>
      <c r="E773" s="228"/>
      <c r="F773" s="228"/>
      <c r="G773" s="228"/>
      <c r="H773" s="241"/>
      <c r="I773" s="228"/>
      <c r="J773" s="236"/>
      <c r="K773" s="228"/>
      <c r="L773" s="228"/>
      <c r="M773" s="238"/>
      <c r="N773" s="228"/>
      <c r="O773" s="235"/>
      <c r="P773" s="236"/>
      <c r="Q773" s="235"/>
      <c r="R773" s="235"/>
      <c r="S773" s="236"/>
      <c r="T773" s="236"/>
      <c r="U773" s="237"/>
      <c r="V773" s="237"/>
      <c r="W773" s="238"/>
      <c r="X773" s="237"/>
      <c r="Y773" s="237"/>
      <c r="Z773" s="237"/>
      <c r="AA773" s="239"/>
      <c r="AB773" s="238"/>
      <c r="AC773" s="238"/>
      <c r="AD773" s="240"/>
      <c r="AE773" s="241"/>
      <c r="AF773" s="241"/>
      <c r="AG773" s="238"/>
      <c r="AH773" s="240"/>
      <c r="AI773" s="241"/>
      <c r="AJ773" s="241"/>
      <c r="AK773" s="241"/>
      <c r="AL773" s="237"/>
      <c r="AM773" s="237"/>
      <c r="AN773" s="237"/>
      <c r="AO773" s="237"/>
      <c r="AP773" s="237"/>
      <c r="AQ773" s="237"/>
      <c r="AR773" s="237"/>
    </row>
    <row r="774">
      <c r="A774" s="228"/>
      <c r="B774" s="228"/>
      <c r="C774" s="228"/>
      <c r="D774" s="228"/>
      <c r="E774" s="228"/>
      <c r="F774" s="228"/>
      <c r="G774" s="228"/>
      <c r="H774" s="241"/>
      <c r="I774" s="228"/>
      <c r="J774" s="236"/>
      <c r="K774" s="228"/>
      <c r="L774" s="228"/>
      <c r="M774" s="238"/>
      <c r="N774" s="228"/>
      <c r="O774" s="235"/>
      <c r="P774" s="236"/>
      <c r="Q774" s="235"/>
      <c r="R774" s="235"/>
      <c r="S774" s="236"/>
      <c r="T774" s="236"/>
      <c r="U774" s="237"/>
      <c r="V774" s="237"/>
      <c r="W774" s="238"/>
      <c r="X774" s="237"/>
      <c r="Y774" s="237"/>
      <c r="Z774" s="237"/>
      <c r="AA774" s="239"/>
      <c r="AB774" s="238"/>
      <c r="AC774" s="238"/>
      <c r="AD774" s="240"/>
      <c r="AE774" s="241"/>
      <c r="AF774" s="241"/>
      <c r="AG774" s="238"/>
      <c r="AH774" s="240"/>
      <c r="AI774" s="241"/>
      <c r="AJ774" s="241"/>
      <c r="AK774" s="241"/>
      <c r="AL774" s="237"/>
      <c r="AM774" s="237"/>
      <c r="AN774" s="237"/>
      <c r="AO774" s="237"/>
      <c r="AP774" s="237"/>
      <c r="AQ774" s="237"/>
      <c r="AR774" s="237"/>
    </row>
    <row r="775">
      <c r="A775" s="228"/>
      <c r="B775" s="228"/>
      <c r="C775" s="228"/>
      <c r="D775" s="228"/>
      <c r="E775" s="228"/>
      <c r="F775" s="228"/>
      <c r="G775" s="228"/>
      <c r="H775" s="241"/>
      <c r="I775" s="228"/>
      <c r="J775" s="236"/>
      <c r="K775" s="228"/>
      <c r="L775" s="228"/>
      <c r="M775" s="238"/>
      <c r="N775" s="228"/>
      <c r="O775" s="235"/>
      <c r="P775" s="236"/>
      <c r="Q775" s="235"/>
      <c r="R775" s="235"/>
      <c r="S775" s="236"/>
      <c r="T775" s="236"/>
      <c r="U775" s="237"/>
      <c r="V775" s="237"/>
      <c r="W775" s="238"/>
      <c r="X775" s="237"/>
      <c r="Y775" s="237"/>
      <c r="Z775" s="237"/>
      <c r="AA775" s="239"/>
      <c r="AB775" s="238"/>
      <c r="AC775" s="238"/>
      <c r="AD775" s="240"/>
      <c r="AE775" s="241"/>
      <c r="AF775" s="241"/>
      <c r="AG775" s="238"/>
      <c r="AH775" s="240"/>
      <c r="AI775" s="241"/>
      <c r="AJ775" s="241"/>
      <c r="AK775" s="241"/>
      <c r="AL775" s="237"/>
      <c r="AM775" s="237"/>
      <c r="AN775" s="237"/>
      <c r="AO775" s="237"/>
      <c r="AP775" s="237"/>
      <c r="AQ775" s="237"/>
      <c r="AR775" s="237"/>
    </row>
    <row r="776">
      <c r="A776" s="228"/>
      <c r="B776" s="228"/>
      <c r="C776" s="228"/>
      <c r="D776" s="228"/>
      <c r="E776" s="228"/>
      <c r="F776" s="228"/>
      <c r="G776" s="228"/>
      <c r="H776" s="241"/>
      <c r="I776" s="228"/>
      <c r="J776" s="236"/>
      <c r="K776" s="228"/>
      <c r="L776" s="228"/>
      <c r="M776" s="238"/>
      <c r="N776" s="228"/>
      <c r="O776" s="235"/>
      <c r="P776" s="236"/>
      <c r="Q776" s="235"/>
      <c r="R776" s="235"/>
      <c r="S776" s="236"/>
      <c r="T776" s="236"/>
      <c r="U776" s="237"/>
      <c r="V776" s="237"/>
      <c r="W776" s="238"/>
      <c r="X776" s="237"/>
      <c r="Y776" s="237"/>
      <c r="Z776" s="237"/>
      <c r="AA776" s="239"/>
      <c r="AB776" s="238"/>
      <c r="AC776" s="238"/>
      <c r="AD776" s="240"/>
      <c r="AE776" s="241"/>
      <c r="AF776" s="241"/>
      <c r="AG776" s="238"/>
      <c r="AH776" s="240"/>
      <c r="AI776" s="241"/>
      <c r="AJ776" s="241"/>
      <c r="AK776" s="241"/>
      <c r="AL776" s="237"/>
      <c r="AM776" s="237"/>
      <c r="AN776" s="237"/>
      <c r="AO776" s="237"/>
      <c r="AP776" s="237"/>
      <c r="AQ776" s="237"/>
      <c r="AR776" s="237"/>
    </row>
    <row r="777">
      <c r="A777" s="228"/>
      <c r="B777" s="228"/>
      <c r="C777" s="228"/>
      <c r="D777" s="228"/>
      <c r="E777" s="228"/>
      <c r="F777" s="228"/>
      <c r="G777" s="228"/>
      <c r="H777" s="241"/>
      <c r="I777" s="228"/>
      <c r="J777" s="236"/>
      <c r="K777" s="228"/>
      <c r="L777" s="228"/>
      <c r="M777" s="238"/>
      <c r="N777" s="228"/>
      <c r="O777" s="235"/>
      <c r="P777" s="236"/>
      <c r="Q777" s="235"/>
      <c r="R777" s="235"/>
      <c r="S777" s="236"/>
      <c r="T777" s="236"/>
      <c r="U777" s="237"/>
      <c r="V777" s="237"/>
      <c r="W777" s="238"/>
      <c r="X777" s="237"/>
      <c r="Y777" s="237"/>
      <c r="Z777" s="237"/>
      <c r="AA777" s="239"/>
      <c r="AB777" s="238"/>
      <c r="AC777" s="238"/>
      <c r="AD777" s="240"/>
      <c r="AE777" s="241"/>
      <c r="AF777" s="241"/>
      <c r="AG777" s="238"/>
      <c r="AH777" s="240"/>
      <c r="AI777" s="241"/>
      <c r="AJ777" s="241"/>
      <c r="AK777" s="241"/>
      <c r="AL777" s="237"/>
      <c r="AM777" s="237"/>
      <c r="AN777" s="237"/>
      <c r="AO777" s="237"/>
      <c r="AP777" s="237"/>
      <c r="AQ777" s="237"/>
      <c r="AR777" s="237"/>
    </row>
    <row r="778">
      <c r="A778" s="228"/>
      <c r="B778" s="228"/>
      <c r="C778" s="228"/>
      <c r="D778" s="228"/>
      <c r="E778" s="228"/>
      <c r="F778" s="228"/>
      <c r="G778" s="228"/>
      <c r="H778" s="241"/>
      <c r="I778" s="228"/>
      <c r="J778" s="236"/>
      <c r="K778" s="228"/>
      <c r="L778" s="228"/>
      <c r="M778" s="238"/>
      <c r="N778" s="228"/>
      <c r="O778" s="235"/>
      <c r="P778" s="236"/>
      <c r="Q778" s="235"/>
      <c r="R778" s="235"/>
      <c r="S778" s="236"/>
      <c r="T778" s="236"/>
      <c r="U778" s="237"/>
      <c r="V778" s="237"/>
      <c r="W778" s="238"/>
      <c r="X778" s="237"/>
      <c r="Y778" s="237"/>
      <c r="Z778" s="237"/>
      <c r="AA778" s="239"/>
      <c r="AB778" s="238"/>
      <c r="AC778" s="238"/>
      <c r="AD778" s="240"/>
      <c r="AE778" s="241"/>
      <c r="AF778" s="241"/>
      <c r="AG778" s="238"/>
      <c r="AH778" s="240"/>
      <c r="AI778" s="241"/>
      <c r="AJ778" s="241"/>
      <c r="AK778" s="241"/>
      <c r="AL778" s="237"/>
      <c r="AM778" s="237"/>
      <c r="AN778" s="237"/>
      <c r="AO778" s="237"/>
      <c r="AP778" s="237"/>
      <c r="AQ778" s="237"/>
      <c r="AR778" s="237"/>
    </row>
    <row r="779">
      <c r="A779" s="228"/>
      <c r="B779" s="228"/>
      <c r="C779" s="228"/>
      <c r="D779" s="228"/>
      <c r="E779" s="228"/>
      <c r="F779" s="228"/>
      <c r="G779" s="228"/>
      <c r="H779" s="241"/>
      <c r="I779" s="228"/>
      <c r="J779" s="236"/>
      <c r="K779" s="228"/>
      <c r="L779" s="228"/>
      <c r="M779" s="238"/>
      <c r="N779" s="228"/>
      <c r="O779" s="235"/>
      <c r="P779" s="236"/>
      <c r="Q779" s="235"/>
      <c r="R779" s="235"/>
      <c r="S779" s="236"/>
      <c r="T779" s="236"/>
      <c r="U779" s="237"/>
      <c r="V779" s="237"/>
      <c r="W779" s="238"/>
      <c r="X779" s="237"/>
      <c r="Y779" s="237"/>
      <c r="Z779" s="237"/>
      <c r="AA779" s="239"/>
      <c r="AB779" s="238"/>
      <c r="AC779" s="238"/>
      <c r="AD779" s="240"/>
      <c r="AE779" s="241"/>
      <c r="AF779" s="241"/>
      <c r="AG779" s="238"/>
      <c r="AH779" s="240"/>
      <c r="AI779" s="241"/>
      <c r="AJ779" s="241"/>
      <c r="AK779" s="241"/>
      <c r="AL779" s="237"/>
      <c r="AM779" s="237"/>
      <c r="AN779" s="237"/>
      <c r="AO779" s="237"/>
      <c r="AP779" s="237"/>
      <c r="AQ779" s="237"/>
      <c r="AR779" s="237"/>
    </row>
    <row r="780">
      <c r="A780" s="228"/>
      <c r="B780" s="228"/>
      <c r="C780" s="228"/>
      <c r="D780" s="228"/>
      <c r="E780" s="228"/>
      <c r="F780" s="228"/>
      <c r="G780" s="228"/>
      <c r="H780" s="241"/>
      <c r="I780" s="228"/>
      <c r="J780" s="236"/>
      <c r="K780" s="228"/>
      <c r="L780" s="228"/>
      <c r="M780" s="238"/>
      <c r="N780" s="228"/>
      <c r="O780" s="235"/>
      <c r="P780" s="236"/>
      <c r="Q780" s="235"/>
      <c r="R780" s="235"/>
      <c r="S780" s="236"/>
      <c r="T780" s="236"/>
      <c r="U780" s="237"/>
      <c r="V780" s="237"/>
      <c r="W780" s="238"/>
      <c r="X780" s="237"/>
      <c r="Y780" s="237"/>
      <c r="Z780" s="237"/>
      <c r="AA780" s="239"/>
      <c r="AB780" s="238"/>
      <c r="AC780" s="238"/>
      <c r="AD780" s="240"/>
      <c r="AE780" s="241"/>
      <c r="AF780" s="241"/>
      <c r="AG780" s="238"/>
      <c r="AH780" s="240"/>
      <c r="AI780" s="241"/>
      <c r="AJ780" s="241"/>
      <c r="AK780" s="241"/>
      <c r="AL780" s="237"/>
      <c r="AM780" s="237"/>
      <c r="AN780" s="237"/>
      <c r="AO780" s="237"/>
      <c r="AP780" s="237"/>
      <c r="AQ780" s="237"/>
      <c r="AR780" s="237"/>
    </row>
    <row r="781">
      <c r="A781" s="228"/>
      <c r="B781" s="228"/>
      <c r="C781" s="228"/>
      <c r="D781" s="228"/>
      <c r="E781" s="228"/>
      <c r="F781" s="228"/>
      <c r="G781" s="228"/>
      <c r="H781" s="241"/>
      <c r="I781" s="228"/>
      <c r="J781" s="236"/>
      <c r="K781" s="228"/>
      <c r="L781" s="228"/>
      <c r="M781" s="238"/>
      <c r="N781" s="228"/>
      <c r="O781" s="235"/>
      <c r="P781" s="236"/>
      <c r="Q781" s="235"/>
      <c r="R781" s="235"/>
      <c r="S781" s="236"/>
      <c r="T781" s="236"/>
      <c r="U781" s="237"/>
      <c r="V781" s="237"/>
      <c r="W781" s="238"/>
      <c r="X781" s="237"/>
      <c r="Y781" s="237"/>
      <c r="Z781" s="237"/>
      <c r="AA781" s="239"/>
      <c r="AB781" s="238"/>
      <c r="AC781" s="238"/>
      <c r="AD781" s="240"/>
      <c r="AE781" s="241"/>
      <c r="AF781" s="241"/>
      <c r="AG781" s="238"/>
      <c r="AH781" s="240"/>
      <c r="AI781" s="241"/>
      <c r="AJ781" s="241"/>
      <c r="AK781" s="241"/>
      <c r="AL781" s="237"/>
      <c r="AM781" s="237"/>
      <c r="AN781" s="237"/>
      <c r="AO781" s="237"/>
      <c r="AP781" s="237"/>
      <c r="AQ781" s="237"/>
      <c r="AR781" s="237"/>
    </row>
    <row r="782">
      <c r="A782" s="228"/>
      <c r="B782" s="228"/>
      <c r="C782" s="228"/>
      <c r="D782" s="228"/>
      <c r="E782" s="228"/>
      <c r="F782" s="228"/>
      <c r="G782" s="228"/>
      <c r="H782" s="241"/>
      <c r="I782" s="228"/>
      <c r="J782" s="236"/>
      <c r="K782" s="228"/>
      <c r="L782" s="228"/>
      <c r="M782" s="238"/>
      <c r="N782" s="228"/>
      <c r="O782" s="235"/>
      <c r="P782" s="236"/>
      <c r="Q782" s="235"/>
      <c r="R782" s="235"/>
      <c r="S782" s="236"/>
      <c r="T782" s="236"/>
      <c r="U782" s="237"/>
      <c r="V782" s="237"/>
      <c r="W782" s="238"/>
      <c r="X782" s="237"/>
      <c r="Y782" s="237"/>
      <c r="Z782" s="237"/>
      <c r="AA782" s="239"/>
      <c r="AB782" s="238"/>
      <c r="AC782" s="238"/>
      <c r="AD782" s="240"/>
      <c r="AE782" s="241"/>
      <c r="AF782" s="241"/>
      <c r="AG782" s="238"/>
      <c r="AH782" s="240"/>
      <c r="AI782" s="241"/>
      <c r="AJ782" s="241"/>
      <c r="AK782" s="241"/>
      <c r="AL782" s="237"/>
      <c r="AM782" s="237"/>
      <c r="AN782" s="237"/>
      <c r="AO782" s="237"/>
      <c r="AP782" s="237"/>
      <c r="AQ782" s="237"/>
      <c r="AR782" s="237"/>
    </row>
    <row r="783">
      <c r="A783" s="228"/>
      <c r="B783" s="228"/>
      <c r="C783" s="228"/>
      <c r="D783" s="228"/>
      <c r="E783" s="228"/>
      <c r="F783" s="228"/>
      <c r="G783" s="228"/>
      <c r="H783" s="241"/>
      <c r="I783" s="228"/>
      <c r="J783" s="236"/>
      <c r="K783" s="228"/>
      <c r="L783" s="228"/>
      <c r="M783" s="238"/>
      <c r="N783" s="228"/>
      <c r="O783" s="235"/>
      <c r="P783" s="236"/>
      <c r="Q783" s="235"/>
      <c r="R783" s="235"/>
      <c r="S783" s="236"/>
      <c r="T783" s="236"/>
      <c r="U783" s="237"/>
      <c r="V783" s="237"/>
      <c r="W783" s="238"/>
      <c r="X783" s="237"/>
      <c r="Y783" s="237"/>
      <c r="Z783" s="237"/>
      <c r="AA783" s="239"/>
      <c r="AB783" s="238"/>
      <c r="AC783" s="238"/>
      <c r="AD783" s="240"/>
      <c r="AE783" s="241"/>
      <c r="AF783" s="241"/>
      <c r="AG783" s="238"/>
      <c r="AH783" s="240"/>
      <c r="AI783" s="241"/>
      <c r="AJ783" s="241"/>
      <c r="AK783" s="241"/>
      <c r="AL783" s="237"/>
      <c r="AM783" s="237"/>
      <c r="AN783" s="237"/>
      <c r="AO783" s="237"/>
      <c r="AP783" s="237"/>
      <c r="AQ783" s="237"/>
      <c r="AR783" s="237"/>
    </row>
    <row r="784">
      <c r="A784" s="228"/>
      <c r="B784" s="228"/>
      <c r="C784" s="228"/>
      <c r="D784" s="228"/>
      <c r="E784" s="228"/>
      <c r="F784" s="228"/>
      <c r="G784" s="228"/>
      <c r="H784" s="241"/>
      <c r="I784" s="228"/>
      <c r="J784" s="236"/>
      <c r="K784" s="228"/>
      <c r="L784" s="228"/>
      <c r="M784" s="238"/>
      <c r="N784" s="228"/>
      <c r="O784" s="235"/>
      <c r="P784" s="236"/>
      <c r="Q784" s="235"/>
      <c r="R784" s="235"/>
      <c r="S784" s="236"/>
      <c r="T784" s="236"/>
      <c r="U784" s="237"/>
      <c r="V784" s="237"/>
      <c r="W784" s="238"/>
      <c r="X784" s="237"/>
      <c r="Y784" s="237"/>
      <c r="Z784" s="237"/>
      <c r="AA784" s="239"/>
      <c r="AB784" s="238"/>
      <c r="AC784" s="238"/>
      <c r="AD784" s="240"/>
      <c r="AE784" s="241"/>
      <c r="AF784" s="241"/>
      <c r="AG784" s="238"/>
      <c r="AH784" s="240"/>
      <c r="AI784" s="241"/>
      <c r="AJ784" s="241"/>
      <c r="AK784" s="241"/>
      <c r="AL784" s="237"/>
      <c r="AM784" s="237"/>
      <c r="AN784" s="237"/>
      <c r="AO784" s="237"/>
      <c r="AP784" s="237"/>
      <c r="AQ784" s="237"/>
      <c r="AR784" s="237"/>
    </row>
    <row r="785">
      <c r="A785" s="228"/>
      <c r="B785" s="228"/>
      <c r="C785" s="228"/>
      <c r="D785" s="228"/>
      <c r="E785" s="228"/>
      <c r="F785" s="228"/>
      <c r="G785" s="228"/>
      <c r="H785" s="241"/>
      <c r="I785" s="228"/>
      <c r="J785" s="236"/>
      <c r="K785" s="228"/>
      <c r="L785" s="228"/>
      <c r="M785" s="238"/>
      <c r="N785" s="228"/>
      <c r="O785" s="235"/>
      <c r="P785" s="236"/>
      <c r="Q785" s="235"/>
      <c r="R785" s="235"/>
      <c r="S785" s="236"/>
      <c r="T785" s="236"/>
      <c r="U785" s="237"/>
      <c r="V785" s="237"/>
      <c r="W785" s="238"/>
      <c r="X785" s="237"/>
      <c r="Y785" s="237"/>
      <c r="Z785" s="237"/>
      <c r="AA785" s="239"/>
      <c r="AB785" s="238"/>
      <c r="AC785" s="238"/>
      <c r="AD785" s="240"/>
      <c r="AE785" s="241"/>
      <c r="AF785" s="241"/>
      <c r="AG785" s="238"/>
      <c r="AH785" s="240"/>
      <c r="AI785" s="241"/>
      <c r="AJ785" s="241"/>
      <c r="AK785" s="241"/>
      <c r="AL785" s="237"/>
      <c r="AM785" s="237"/>
      <c r="AN785" s="237"/>
      <c r="AO785" s="237"/>
      <c r="AP785" s="237"/>
      <c r="AQ785" s="237"/>
      <c r="AR785" s="237"/>
    </row>
    <row r="786">
      <c r="A786" s="228"/>
      <c r="B786" s="228"/>
      <c r="C786" s="228"/>
      <c r="D786" s="228"/>
      <c r="E786" s="228"/>
      <c r="F786" s="228"/>
      <c r="G786" s="228"/>
      <c r="H786" s="241"/>
      <c r="I786" s="228"/>
      <c r="J786" s="236"/>
      <c r="K786" s="228"/>
      <c r="L786" s="228"/>
      <c r="M786" s="238"/>
      <c r="N786" s="228"/>
      <c r="O786" s="235"/>
      <c r="P786" s="236"/>
      <c r="Q786" s="235"/>
      <c r="R786" s="235"/>
      <c r="S786" s="236"/>
      <c r="T786" s="236"/>
      <c r="U786" s="237"/>
      <c r="V786" s="237"/>
      <c r="W786" s="238"/>
      <c r="X786" s="237"/>
      <c r="Y786" s="237"/>
      <c r="Z786" s="237"/>
      <c r="AA786" s="239"/>
      <c r="AB786" s="238"/>
      <c r="AC786" s="238"/>
      <c r="AD786" s="240"/>
      <c r="AE786" s="241"/>
      <c r="AF786" s="241"/>
      <c r="AG786" s="238"/>
      <c r="AH786" s="240"/>
      <c r="AI786" s="241"/>
      <c r="AJ786" s="241"/>
      <c r="AK786" s="241"/>
      <c r="AL786" s="237"/>
      <c r="AM786" s="237"/>
      <c r="AN786" s="237"/>
      <c r="AO786" s="237"/>
      <c r="AP786" s="237"/>
      <c r="AQ786" s="237"/>
      <c r="AR786" s="237"/>
    </row>
    <row r="787">
      <c r="A787" s="228"/>
      <c r="B787" s="228"/>
      <c r="C787" s="228"/>
      <c r="D787" s="228"/>
      <c r="E787" s="228"/>
      <c r="F787" s="228"/>
      <c r="G787" s="228"/>
      <c r="H787" s="241"/>
      <c r="I787" s="228"/>
      <c r="J787" s="236"/>
      <c r="K787" s="228"/>
      <c r="L787" s="228"/>
      <c r="M787" s="238"/>
      <c r="N787" s="228"/>
      <c r="O787" s="235"/>
      <c r="P787" s="236"/>
      <c r="Q787" s="235"/>
      <c r="R787" s="235"/>
      <c r="S787" s="236"/>
      <c r="T787" s="236"/>
      <c r="U787" s="237"/>
      <c r="V787" s="237"/>
      <c r="W787" s="238"/>
      <c r="X787" s="237"/>
      <c r="Y787" s="237"/>
      <c r="Z787" s="237"/>
      <c r="AA787" s="239"/>
      <c r="AB787" s="238"/>
      <c r="AC787" s="238"/>
      <c r="AD787" s="240"/>
      <c r="AE787" s="241"/>
      <c r="AF787" s="241"/>
      <c r="AG787" s="238"/>
      <c r="AH787" s="240"/>
      <c r="AI787" s="241"/>
      <c r="AJ787" s="241"/>
      <c r="AK787" s="241"/>
      <c r="AL787" s="237"/>
      <c r="AM787" s="237"/>
      <c r="AN787" s="237"/>
      <c r="AO787" s="237"/>
      <c r="AP787" s="237"/>
      <c r="AQ787" s="237"/>
      <c r="AR787" s="237"/>
    </row>
    <row r="788">
      <c r="A788" s="228"/>
      <c r="B788" s="228"/>
      <c r="C788" s="228"/>
      <c r="D788" s="228"/>
      <c r="E788" s="228"/>
      <c r="F788" s="228"/>
      <c r="G788" s="228"/>
      <c r="H788" s="241"/>
      <c r="I788" s="228"/>
      <c r="J788" s="236"/>
      <c r="K788" s="228"/>
      <c r="L788" s="228"/>
      <c r="M788" s="238"/>
      <c r="N788" s="228"/>
      <c r="O788" s="235"/>
      <c r="P788" s="236"/>
      <c r="Q788" s="235"/>
      <c r="R788" s="235"/>
      <c r="S788" s="236"/>
      <c r="T788" s="236"/>
      <c r="U788" s="237"/>
      <c r="V788" s="237"/>
      <c r="W788" s="238"/>
      <c r="X788" s="237"/>
      <c r="Y788" s="237"/>
      <c r="Z788" s="237"/>
      <c r="AA788" s="239"/>
      <c r="AB788" s="238"/>
      <c r="AC788" s="238"/>
      <c r="AD788" s="240"/>
      <c r="AE788" s="241"/>
      <c r="AF788" s="241"/>
      <c r="AG788" s="238"/>
      <c r="AH788" s="240"/>
      <c r="AI788" s="241"/>
      <c r="AJ788" s="241"/>
      <c r="AK788" s="241"/>
      <c r="AL788" s="237"/>
      <c r="AM788" s="237"/>
      <c r="AN788" s="237"/>
      <c r="AO788" s="237"/>
      <c r="AP788" s="237"/>
      <c r="AQ788" s="237"/>
      <c r="AR788" s="237"/>
    </row>
    <row r="789">
      <c r="A789" s="228"/>
      <c r="B789" s="228"/>
      <c r="C789" s="228"/>
      <c r="D789" s="228"/>
      <c r="E789" s="228"/>
      <c r="F789" s="228"/>
      <c r="G789" s="228"/>
      <c r="H789" s="241"/>
      <c r="I789" s="228"/>
      <c r="J789" s="236"/>
      <c r="K789" s="228"/>
      <c r="L789" s="228"/>
      <c r="M789" s="238"/>
      <c r="N789" s="228"/>
      <c r="O789" s="235"/>
      <c r="P789" s="236"/>
      <c r="Q789" s="235"/>
      <c r="R789" s="235"/>
      <c r="S789" s="236"/>
      <c r="T789" s="236"/>
      <c r="U789" s="237"/>
      <c r="V789" s="237"/>
      <c r="W789" s="238"/>
      <c r="X789" s="237"/>
      <c r="Y789" s="237"/>
      <c r="Z789" s="237"/>
      <c r="AA789" s="239"/>
      <c r="AB789" s="238"/>
      <c r="AC789" s="238"/>
      <c r="AD789" s="240"/>
      <c r="AE789" s="241"/>
      <c r="AF789" s="241"/>
      <c r="AG789" s="238"/>
      <c r="AH789" s="240"/>
      <c r="AI789" s="241"/>
      <c r="AJ789" s="241"/>
      <c r="AK789" s="241"/>
      <c r="AL789" s="237"/>
      <c r="AM789" s="237"/>
      <c r="AN789" s="237"/>
      <c r="AO789" s="237"/>
      <c r="AP789" s="237"/>
      <c r="AQ789" s="237"/>
      <c r="AR789" s="237"/>
    </row>
    <row r="790">
      <c r="A790" s="228"/>
      <c r="B790" s="228"/>
      <c r="C790" s="228"/>
      <c r="D790" s="228"/>
      <c r="E790" s="228"/>
      <c r="F790" s="228"/>
      <c r="G790" s="228"/>
      <c r="H790" s="241"/>
      <c r="I790" s="228"/>
      <c r="J790" s="236"/>
      <c r="K790" s="228"/>
      <c r="L790" s="228"/>
      <c r="M790" s="238"/>
      <c r="N790" s="228"/>
      <c r="O790" s="235"/>
      <c r="P790" s="236"/>
      <c r="Q790" s="235"/>
      <c r="R790" s="235"/>
      <c r="S790" s="236"/>
      <c r="T790" s="236"/>
      <c r="U790" s="237"/>
      <c r="V790" s="237"/>
      <c r="W790" s="238"/>
      <c r="X790" s="237"/>
      <c r="Y790" s="237"/>
      <c r="Z790" s="237"/>
      <c r="AA790" s="239"/>
      <c r="AB790" s="238"/>
      <c r="AC790" s="238"/>
      <c r="AD790" s="240"/>
      <c r="AE790" s="241"/>
      <c r="AF790" s="241"/>
      <c r="AG790" s="238"/>
      <c r="AH790" s="240"/>
      <c r="AI790" s="241"/>
      <c r="AJ790" s="241"/>
      <c r="AK790" s="241"/>
      <c r="AL790" s="237"/>
      <c r="AM790" s="237"/>
      <c r="AN790" s="237"/>
      <c r="AO790" s="237"/>
      <c r="AP790" s="237"/>
      <c r="AQ790" s="237"/>
      <c r="AR790" s="237"/>
    </row>
    <row r="791">
      <c r="A791" s="228"/>
      <c r="B791" s="228"/>
      <c r="C791" s="228"/>
      <c r="D791" s="228"/>
      <c r="E791" s="228"/>
      <c r="F791" s="228"/>
      <c r="G791" s="228"/>
      <c r="H791" s="241"/>
      <c r="I791" s="228"/>
      <c r="J791" s="236"/>
      <c r="K791" s="228"/>
      <c r="L791" s="228"/>
      <c r="M791" s="238"/>
      <c r="N791" s="228"/>
      <c r="O791" s="235"/>
      <c r="P791" s="236"/>
      <c r="Q791" s="235"/>
      <c r="R791" s="235"/>
      <c r="S791" s="236"/>
      <c r="T791" s="236"/>
      <c r="U791" s="237"/>
      <c r="V791" s="237"/>
      <c r="W791" s="238"/>
      <c r="X791" s="237"/>
      <c r="Y791" s="237"/>
      <c r="Z791" s="237"/>
      <c r="AA791" s="239"/>
      <c r="AB791" s="238"/>
      <c r="AC791" s="238"/>
      <c r="AD791" s="240"/>
      <c r="AE791" s="241"/>
      <c r="AF791" s="241"/>
      <c r="AG791" s="238"/>
      <c r="AH791" s="240"/>
      <c r="AI791" s="241"/>
      <c r="AJ791" s="241"/>
      <c r="AK791" s="241"/>
      <c r="AL791" s="237"/>
      <c r="AM791" s="237"/>
      <c r="AN791" s="237"/>
      <c r="AO791" s="237"/>
      <c r="AP791" s="237"/>
      <c r="AQ791" s="237"/>
      <c r="AR791" s="237"/>
    </row>
    <row r="792">
      <c r="A792" s="228"/>
      <c r="B792" s="228"/>
      <c r="C792" s="228"/>
      <c r="D792" s="228"/>
      <c r="E792" s="228"/>
      <c r="F792" s="228"/>
      <c r="G792" s="228"/>
      <c r="H792" s="241"/>
      <c r="I792" s="228"/>
      <c r="J792" s="236"/>
      <c r="K792" s="228"/>
      <c r="L792" s="228"/>
      <c r="M792" s="238"/>
      <c r="N792" s="228"/>
      <c r="O792" s="235"/>
      <c r="P792" s="236"/>
      <c r="Q792" s="235"/>
      <c r="R792" s="235"/>
      <c r="S792" s="236"/>
      <c r="T792" s="236"/>
      <c r="U792" s="237"/>
      <c r="V792" s="237"/>
      <c r="W792" s="238"/>
      <c r="X792" s="237"/>
      <c r="Y792" s="237"/>
      <c r="Z792" s="237"/>
      <c r="AA792" s="239"/>
      <c r="AB792" s="238"/>
      <c r="AC792" s="238"/>
      <c r="AD792" s="240"/>
      <c r="AE792" s="241"/>
      <c r="AF792" s="241"/>
      <c r="AG792" s="238"/>
      <c r="AH792" s="240"/>
      <c r="AI792" s="241"/>
      <c r="AJ792" s="241"/>
      <c r="AK792" s="241"/>
      <c r="AL792" s="237"/>
      <c r="AM792" s="237"/>
      <c r="AN792" s="237"/>
      <c r="AO792" s="237"/>
      <c r="AP792" s="237"/>
      <c r="AQ792" s="237"/>
      <c r="AR792" s="237"/>
    </row>
    <row r="793">
      <c r="A793" s="228"/>
      <c r="B793" s="228"/>
      <c r="C793" s="228"/>
      <c r="D793" s="228"/>
      <c r="E793" s="228"/>
      <c r="F793" s="228"/>
      <c r="G793" s="228"/>
      <c r="H793" s="241"/>
      <c r="I793" s="228"/>
      <c r="J793" s="236"/>
      <c r="K793" s="228"/>
      <c r="L793" s="228"/>
      <c r="M793" s="238"/>
      <c r="N793" s="228"/>
      <c r="O793" s="235"/>
      <c r="P793" s="236"/>
      <c r="Q793" s="235"/>
      <c r="R793" s="235"/>
      <c r="S793" s="236"/>
      <c r="T793" s="236"/>
      <c r="U793" s="237"/>
      <c r="V793" s="237"/>
      <c r="W793" s="238"/>
      <c r="X793" s="237"/>
      <c r="Y793" s="237"/>
      <c r="Z793" s="237"/>
      <c r="AA793" s="239"/>
      <c r="AB793" s="238"/>
      <c r="AC793" s="238"/>
      <c r="AD793" s="240"/>
      <c r="AE793" s="241"/>
      <c r="AF793" s="241"/>
      <c r="AG793" s="238"/>
      <c r="AH793" s="240"/>
      <c r="AI793" s="241"/>
      <c r="AJ793" s="241"/>
      <c r="AK793" s="241"/>
      <c r="AL793" s="237"/>
      <c r="AM793" s="237"/>
      <c r="AN793" s="237"/>
      <c r="AO793" s="237"/>
      <c r="AP793" s="237"/>
      <c r="AQ793" s="237"/>
      <c r="AR793" s="237"/>
    </row>
    <row r="794">
      <c r="A794" s="228"/>
      <c r="B794" s="228"/>
      <c r="C794" s="228"/>
      <c r="D794" s="228"/>
      <c r="E794" s="228"/>
      <c r="F794" s="228"/>
      <c r="G794" s="228"/>
      <c r="H794" s="241"/>
      <c r="I794" s="228"/>
      <c r="J794" s="236"/>
      <c r="K794" s="228"/>
      <c r="L794" s="228"/>
      <c r="M794" s="238"/>
      <c r="N794" s="228"/>
      <c r="O794" s="235"/>
      <c r="P794" s="236"/>
      <c r="Q794" s="235"/>
      <c r="R794" s="235"/>
      <c r="S794" s="236"/>
      <c r="T794" s="236"/>
      <c r="U794" s="237"/>
      <c r="V794" s="237"/>
      <c r="W794" s="238"/>
      <c r="X794" s="237"/>
      <c r="Y794" s="237"/>
      <c r="Z794" s="237"/>
      <c r="AA794" s="239"/>
      <c r="AB794" s="238"/>
      <c r="AC794" s="238"/>
      <c r="AD794" s="240"/>
      <c r="AE794" s="241"/>
      <c r="AF794" s="241"/>
      <c r="AG794" s="238"/>
      <c r="AH794" s="240"/>
      <c r="AI794" s="241"/>
      <c r="AJ794" s="241"/>
      <c r="AK794" s="241"/>
      <c r="AL794" s="237"/>
      <c r="AM794" s="237"/>
      <c r="AN794" s="237"/>
      <c r="AO794" s="237"/>
      <c r="AP794" s="237"/>
      <c r="AQ794" s="237"/>
      <c r="AR794" s="237"/>
    </row>
    <row r="795">
      <c r="A795" s="228"/>
      <c r="B795" s="228"/>
      <c r="C795" s="228"/>
      <c r="D795" s="228"/>
      <c r="E795" s="228"/>
      <c r="F795" s="228"/>
      <c r="G795" s="228"/>
      <c r="H795" s="241"/>
      <c r="I795" s="228"/>
      <c r="J795" s="236"/>
      <c r="K795" s="228"/>
      <c r="L795" s="228"/>
      <c r="M795" s="238"/>
      <c r="N795" s="228"/>
      <c r="O795" s="235"/>
      <c r="P795" s="236"/>
      <c r="Q795" s="235"/>
      <c r="R795" s="235"/>
      <c r="S795" s="236"/>
      <c r="T795" s="236"/>
      <c r="U795" s="237"/>
      <c r="V795" s="237"/>
      <c r="W795" s="238"/>
      <c r="X795" s="237"/>
      <c r="Y795" s="237"/>
      <c r="Z795" s="237"/>
      <c r="AA795" s="239"/>
      <c r="AB795" s="238"/>
      <c r="AC795" s="238"/>
      <c r="AD795" s="240"/>
      <c r="AE795" s="241"/>
      <c r="AF795" s="241"/>
      <c r="AG795" s="238"/>
      <c r="AH795" s="240"/>
      <c r="AI795" s="241"/>
      <c r="AJ795" s="241"/>
      <c r="AK795" s="241"/>
      <c r="AL795" s="237"/>
      <c r="AM795" s="237"/>
      <c r="AN795" s="237"/>
      <c r="AO795" s="237"/>
      <c r="AP795" s="237"/>
      <c r="AQ795" s="237"/>
      <c r="AR795" s="237"/>
    </row>
    <row r="796">
      <c r="A796" s="228"/>
      <c r="B796" s="228"/>
      <c r="C796" s="228"/>
      <c r="D796" s="228"/>
      <c r="E796" s="228"/>
      <c r="F796" s="228"/>
      <c r="G796" s="228"/>
      <c r="H796" s="241"/>
      <c r="I796" s="228"/>
      <c r="J796" s="236"/>
      <c r="K796" s="228"/>
      <c r="L796" s="228"/>
      <c r="M796" s="238"/>
      <c r="N796" s="228"/>
      <c r="O796" s="235"/>
      <c r="P796" s="236"/>
      <c r="Q796" s="235"/>
      <c r="R796" s="235"/>
      <c r="S796" s="236"/>
      <c r="T796" s="236"/>
      <c r="U796" s="237"/>
      <c r="V796" s="237"/>
      <c r="W796" s="238"/>
      <c r="X796" s="237"/>
      <c r="Y796" s="237"/>
      <c r="Z796" s="237"/>
      <c r="AA796" s="239"/>
      <c r="AB796" s="238"/>
      <c r="AC796" s="238"/>
      <c r="AD796" s="240"/>
      <c r="AE796" s="241"/>
      <c r="AF796" s="241"/>
      <c r="AG796" s="238"/>
      <c r="AH796" s="240"/>
      <c r="AI796" s="241"/>
      <c r="AJ796" s="241"/>
      <c r="AK796" s="241"/>
      <c r="AL796" s="237"/>
      <c r="AM796" s="237"/>
      <c r="AN796" s="237"/>
      <c r="AO796" s="237"/>
      <c r="AP796" s="237"/>
      <c r="AQ796" s="237"/>
      <c r="AR796" s="237"/>
    </row>
    <row r="797">
      <c r="A797" s="228"/>
      <c r="B797" s="228"/>
      <c r="C797" s="228"/>
      <c r="D797" s="228"/>
      <c r="E797" s="228"/>
      <c r="F797" s="228"/>
      <c r="G797" s="228"/>
      <c r="H797" s="241"/>
      <c r="I797" s="228"/>
      <c r="J797" s="236"/>
      <c r="K797" s="228"/>
      <c r="L797" s="228"/>
      <c r="M797" s="238"/>
      <c r="N797" s="228"/>
      <c r="O797" s="235"/>
      <c r="P797" s="236"/>
      <c r="Q797" s="235"/>
      <c r="R797" s="235"/>
      <c r="S797" s="236"/>
      <c r="T797" s="236"/>
      <c r="U797" s="237"/>
      <c r="V797" s="237"/>
      <c r="W797" s="238"/>
      <c r="X797" s="237"/>
      <c r="Y797" s="237"/>
      <c r="Z797" s="237"/>
      <c r="AA797" s="239"/>
      <c r="AB797" s="238"/>
      <c r="AC797" s="238"/>
      <c r="AD797" s="240"/>
      <c r="AE797" s="241"/>
      <c r="AF797" s="241"/>
      <c r="AG797" s="238"/>
      <c r="AH797" s="240"/>
      <c r="AI797" s="241"/>
      <c r="AJ797" s="241"/>
      <c r="AK797" s="241"/>
      <c r="AL797" s="237"/>
      <c r="AM797" s="237"/>
      <c r="AN797" s="237"/>
      <c r="AO797" s="237"/>
      <c r="AP797" s="237"/>
      <c r="AQ797" s="237"/>
      <c r="AR797" s="237"/>
    </row>
    <row r="798">
      <c r="A798" s="228"/>
      <c r="B798" s="228"/>
      <c r="C798" s="228"/>
      <c r="D798" s="228"/>
      <c r="E798" s="228"/>
      <c r="F798" s="228"/>
      <c r="G798" s="228"/>
      <c r="H798" s="241"/>
      <c r="I798" s="228"/>
      <c r="J798" s="236"/>
      <c r="K798" s="228"/>
      <c r="L798" s="228"/>
      <c r="M798" s="238"/>
      <c r="N798" s="228"/>
      <c r="O798" s="235"/>
      <c r="P798" s="236"/>
      <c r="Q798" s="235"/>
      <c r="R798" s="235"/>
      <c r="S798" s="236"/>
      <c r="T798" s="236"/>
      <c r="U798" s="237"/>
      <c r="V798" s="237"/>
      <c r="W798" s="238"/>
      <c r="X798" s="237"/>
      <c r="Y798" s="237"/>
      <c r="Z798" s="237"/>
      <c r="AA798" s="239"/>
      <c r="AB798" s="238"/>
      <c r="AC798" s="238"/>
      <c r="AD798" s="240"/>
      <c r="AE798" s="241"/>
      <c r="AF798" s="241"/>
      <c r="AG798" s="238"/>
      <c r="AH798" s="240"/>
      <c r="AI798" s="241"/>
      <c r="AJ798" s="241"/>
      <c r="AK798" s="241"/>
      <c r="AL798" s="237"/>
      <c r="AM798" s="237"/>
      <c r="AN798" s="237"/>
      <c r="AO798" s="237"/>
      <c r="AP798" s="237"/>
      <c r="AQ798" s="237"/>
      <c r="AR798" s="237"/>
    </row>
    <row r="799">
      <c r="A799" s="228"/>
      <c r="B799" s="228"/>
      <c r="C799" s="228"/>
      <c r="D799" s="228"/>
      <c r="E799" s="228"/>
      <c r="F799" s="228"/>
      <c r="G799" s="228"/>
      <c r="H799" s="241"/>
      <c r="I799" s="228"/>
      <c r="J799" s="236"/>
      <c r="K799" s="228"/>
      <c r="L799" s="228"/>
      <c r="M799" s="238"/>
      <c r="N799" s="228"/>
      <c r="O799" s="235"/>
      <c r="P799" s="236"/>
      <c r="Q799" s="235"/>
      <c r="R799" s="235"/>
      <c r="S799" s="236"/>
      <c r="T799" s="236"/>
      <c r="U799" s="237"/>
      <c r="V799" s="237"/>
      <c r="W799" s="238"/>
      <c r="X799" s="237"/>
      <c r="Y799" s="237"/>
      <c r="Z799" s="237"/>
      <c r="AA799" s="239"/>
      <c r="AB799" s="238"/>
      <c r="AC799" s="238"/>
      <c r="AD799" s="240"/>
      <c r="AE799" s="241"/>
      <c r="AF799" s="241"/>
      <c r="AG799" s="238"/>
      <c r="AH799" s="240"/>
      <c r="AI799" s="241"/>
      <c r="AJ799" s="241"/>
      <c r="AK799" s="241"/>
      <c r="AL799" s="237"/>
      <c r="AM799" s="237"/>
      <c r="AN799" s="237"/>
      <c r="AO799" s="237"/>
      <c r="AP799" s="237"/>
      <c r="AQ799" s="237"/>
      <c r="AR799" s="237"/>
    </row>
    <row r="800">
      <c r="A800" s="228"/>
      <c r="B800" s="228"/>
      <c r="C800" s="228"/>
      <c r="D800" s="228"/>
      <c r="E800" s="228"/>
      <c r="F800" s="228"/>
      <c r="G800" s="228"/>
      <c r="H800" s="241"/>
      <c r="I800" s="228"/>
      <c r="J800" s="236"/>
      <c r="K800" s="228"/>
      <c r="L800" s="228"/>
      <c r="M800" s="238"/>
      <c r="N800" s="228"/>
      <c r="O800" s="235"/>
      <c r="P800" s="236"/>
      <c r="Q800" s="235"/>
      <c r="R800" s="235"/>
      <c r="S800" s="236"/>
      <c r="T800" s="236"/>
      <c r="U800" s="237"/>
      <c r="V800" s="237"/>
      <c r="W800" s="238"/>
      <c r="X800" s="237"/>
      <c r="Y800" s="237"/>
      <c r="Z800" s="237"/>
      <c r="AA800" s="239"/>
      <c r="AB800" s="238"/>
      <c r="AC800" s="238"/>
      <c r="AD800" s="240"/>
      <c r="AE800" s="241"/>
      <c r="AF800" s="241"/>
      <c r="AG800" s="238"/>
      <c r="AH800" s="240"/>
      <c r="AI800" s="241"/>
      <c r="AJ800" s="241"/>
      <c r="AK800" s="241"/>
      <c r="AL800" s="237"/>
      <c r="AM800" s="237"/>
      <c r="AN800" s="237"/>
      <c r="AO800" s="237"/>
      <c r="AP800" s="237"/>
      <c r="AQ800" s="237"/>
      <c r="AR800" s="237"/>
    </row>
    <row r="801">
      <c r="A801" s="228"/>
      <c r="B801" s="228"/>
      <c r="C801" s="228"/>
      <c r="D801" s="228"/>
      <c r="E801" s="228"/>
      <c r="F801" s="228"/>
      <c r="G801" s="228"/>
      <c r="H801" s="241"/>
      <c r="I801" s="228"/>
      <c r="J801" s="236"/>
      <c r="K801" s="228"/>
      <c r="L801" s="228"/>
      <c r="M801" s="238"/>
      <c r="N801" s="228"/>
      <c r="O801" s="235"/>
      <c r="P801" s="236"/>
      <c r="Q801" s="235"/>
      <c r="R801" s="235"/>
      <c r="S801" s="236"/>
      <c r="T801" s="236"/>
      <c r="U801" s="237"/>
      <c r="V801" s="237"/>
      <c r="W801" s="238"/>
      <c r="X801" s="237"/>
      <c r="Y801" s="237"/>
      <c r="Z801" s="237"/>
      <c r="AA801" s="239"/>
      <c r="AB801" s="238"/>
      <c r="AC801" s="238"/>
      <c r="AD801" s="240"/>
      <c r="AE801" s="241"/>
      <c r="AF801" s="241"/>
      <c r="AG801" s="238"/>
      <c r="AH801" s="240"/>
      <c r="AI801" s="241"/>
      <c r="AJ801" s="241"/>
      <c r="AK801" s="241"/>
      <c r="AL801" s="237"/>
      <c r="AM801" s="237"/>
      <c r="AN801" s="237"/>
      <c r="AO801" s="237"/>
      <c r="AP801" s="237"/>
      <c r="AQ801" s="237"/>
      <c r="AR801" s="237"/>
    </row>
    <row r="802">
      <c r="A802" s="228"/>
      <c r="B802" s="228"/>
      <c r="C802" s="228"/>
      <c r="D802" s="228"/>
      <c r="E802" s="228"/>
      <c r="F802" s="228"/>
      <c r="G802" s="228"/>
      <c r="H802" s="241"/>
      <c r="I802" s="228"/>
      <c r="J802" s="236"/>
      <c r="K802" s="228"/>
      <c r="L802" s="228"/>
      <c r="M802" s="238"/>
      <c r="N802" s="228"/>
      <c r="O802" s="235"/>
      <c r="P802" s="236"/>
      <c r="Q802" s="235"/>
      <c r="R802" s="235"/>
      <c r="S802" s="236"/>
      <c r="T802" s="236"/>
      <c r="U802" s="237"/>
      <c r="V802" s="237"/>
      <c r="W802" s="238"/>
      <c r="X802" s="237"/>
      <c r="Y802" s="237"/>
      <c r="Z802" s="237"/>
      <c r="AA802" s="239"/>
      <c r="AB802" s="238"/>
      <c r="AC802" s="238"/>
      <c r="AD802" s="240"/>
      <c r="AE802" s="241"/>
      <c r="AF802" s="241"/>
      <c r="AG802" s="238"/>
      <c r="AH802" s="240"/>
      <c r="AI802" s="241"/>
      <c r="AJ802" s="241"/>
      <c r="AK802" s="241"/>
      <c r="AL802" s="237"/>
      <c r="AM802" s="237"/>
      <c r="AN802" s="237"/>
      <c r="AO802" s="237"/>
      <c r="AP802" s="237"/>
      <c r="AQ802" s="237"/>
      <c r="AR802" s="237"/>
    </row>
    <row r="803">
      <c r="A803" s="228"/>
      <c r="B803" s="228"/>
      <c r="C803" s="228"/>
      <c r="D803" s="228"/>
      <c r="E803" s="228"/>
      <c r="F803" s="228"/>
      <c r="G803" s="228"/>
      <c r="H803" s="241"/>
      <c r="I803" s="228"/>
      <c r="J803" s="236"/>
      <c r="K803" s="228"/>
      <c r="L803" s="228"/>
      <c r="M803" s="238"/>
      <c r="N803" s="228"/>
      <c r="O803" s="235"/>
      <c r="P803" s="236"/>
      <c r="Q803" s="235"/>
      <c r="R803" s="235"/>
      <c r="S803" s="236"/>
      <c r="T803" s="236"/>
      <c r="U803" s="237"/>
      <c r="V803" s="237"/>
      <c r="W803" s="238"/>
      <c r="X803" s="237"/>
      <c r="Y803" s="237"/>
      <c r="Z803" s="237"/>
      <c r="AA803" s="239"/>
      <c r="AB803" s="238"/>
      <c r="AC803" s="238"/>
      <c r="AD803" s="240"/>
      <c r="AE803" s="241"/>
      <c r="AF803" s="241"/>
      <c r="AG803" s="238"/>
      <c r="AH803" s="240"/>
      <c r="AI803" s="241"/>
      <c r="AJ803" s="241"/>
      <c r="AK803" s="241"/>
      <c r="AL803" s="237"/>
      <c r="AM803" s="237"/>
      <c r="AN803" s="237"/>
      <c r="AO803" s="237"/>
      <c r="AP803" s="237"/>
      <c r="AQ803" s="237"/>
      <c r="AR803" s="237"/>
    </row>
    <row r="804">
      <c r="A804" s="228"/>
      <c r="B804" s="228"/>
      <c r="C804" s="228"/>
      <c r="D804" s="228"/>
      <c r="E804" s="228"/>
      <c r="F804" s="228"/>
      <c r="G804" s="228"/>
      <c r="H804" s="241"/>
      <c r="I804" s="228"/>
      <c r="J804" s="236"/>
      <c r="K804" s="228"/>
      <c r="L804" s="228"/>
      <c r="M804" s="238"/>
      <c r="N804" s="228"/>
      <c r="O804" s="235"/>
      <c r="P804" s="236"/>
      <c r="Q804" s="235"/>
      <c r="R804" s="235"/>
      <c r="S804" s="236"/>
      <c r="T804" s="236"/>
      <c r="U804" s="237"/>
      <c r="V804" s="237"/>
      <c r="W804" s="238"/>
      <c r="X804" s="237"/>
      <c r="Y804" s="237"/>
      <c r="Z804" s="237"/>
      <c r="AA804" s="239"/>
      <c r="AB804" s="238"/>
      <c r="AC804" s="238"/>
      <c r="AD804" s="240"/>
      <c r="AE804" s="241"/>
      <c r="AF804" s="241"/>
      <c r="AG804" s="238"/>
      <c r="AH804" s="240"/>
      <c r="AI804" s="241"/>
      <c r="AJ804" s="241"/>
      <c r="AK804" s="241"/>
      <c r="AL804" s="237"/>
      <c r="AM804" s="237"/>
      <c r="AN804" s="237"/>
      <c r="AO804" s="237"/>
      <c r="AP804" s="237"/>
      <c r="AQ804" s="237"/>
      <c r="AR804" s="237"/>
    </row>
    <row r="805">
      <c r="A805" s="228"/>
      <c r="B805" s="228"/>
      <c r="C805" s="228"/>
      <c r="D805" s="228"/>
      <c r="E805" s="228"/>
      <c r="F805" s="228"/>
      <c r="G805" s="228"/>
      <c r="H805" s="241"/>
      <c r="I805" s="228"/>
      <c r="J805" s="236"/>
      <c r="K805" s="228"/>
      <c r="L805" s="228"/>
      <c r="M805" s="238"/>
      <c r="N805" s="228"/>
      <c r="O805" s="235"/>
      <c r="P805" s="236"/>
      <c r="Q805" s="235"/>
      <c r="R805" s="235"/>
      <c r="S805" s="236"/>
      <c r="T805" s="236"/>
      <c r="U805" s="237"/>
      <c r="V805" s="237"/>
      <c r="W805" s="238"/>
      <c r="X805" s="237"/>
      <c r="Y805" s="237"/>
      <c r="Z805" s="237"/>
      <c r="AA805" s="239"/>
      <c r="AB805" s="238"/>
      <c r="AC805" s="238"/>
      <c r="AD805" s="240"/>
      <c r="AE805" s="241"/>
      <c r="AF805" s="241"/>
      <c r="AG805" s="238"/>
      <c r="AH805" s="240"/>
      <c r="AI805" s="241"/>
      <c r="AJ805" s="241"/>
      <c r="AK805" s="241"/>
      <c r="AL805" s="237"/>
      <c r="AM805" s="237"/>
      <c r="AN805" s="237"/>
      <c r="AO805" s="237"/>
      <c r="AP805" s="237"/>
      <c r="AQ805" s="237"/>
      <c r="AR805" s="237"/>
    </row>
    <row r="806">
      <c r="A806" s="228"/>
      <c r="B806" s="228"/>
      <c r="C806" s="228"/>
      <c r="D806" s="228"/>
      <c r="E806" s="228"/>
      <c r="F806" s="228"/>
      <c r="G806" s="228"/>
      <c r="H806" s="241"/>
      <c r="I806" s="228"/>
      <c r="J806" s="236"/>
      <c r="K806" s="228"/>
      <c r="L806" s="228"/>
      <c r="M806" s="238"/>
      <c r="N806" s="228"/>
      <c r="O806" s="235"/>
      <c r="P806" s="236"/>
      <c r="Q806" s="235"/>
      <c r="R806" s="235"/>
      <c r="S806" s="236"/>
      <c r="T806" s="236"/>
      <c r="U806" s="237"/>
      <c r="V806" s="237"/>
      <c r="W806" s="238"/>
      <c r="X806" s="237"/>
      <c r="Y806" s="237"/>
      <c r="Z806" s="237"/>
      <c r="AA806" s="239"/>
      <c r="AB806" s="238"/>
      <c r="AC806" s="238"/>
      <c r="AD806" s="240"/>
      <c r="AE806" s="241"/>
      <c r="AF806" s="241"/>
      <c r="AG806" s="238"/>
      <c r="AH806" s="240"/>
      <c r="AI806" s="241"/>
      <c r="AJ806" s="241"/>
      <c r="AK806" s="241"/>
      <c r="AL806" s="237"/>
      <c r="AM806" s="237"/>
      <c r="AN806" s="237"/>
      <c r="AO806" s="237"/>
      <c r="AP806" s="237"/>
      <c r="AQ806" s="237"/>
      <c r="AR806" s="237"/>
    </row>
    <row r="807">
      <c r="A807" s="228"/>
      <c r="B807" s="228"/>
      <c r="C807" s="228"/>
      <c r="D807" s="228"/>
      <c r="E807" s="228"/>
      <c r="F807" s="228"/>
      <c r="G807" s="228"/>
      <c r="H807" s="241"/>
      <c r="I807" s="228"/>
      <c r="J807" s="236"/>
      <c r="K807" s="228"/>
      <c r="L807" s="228"/>
      <c r="M807" s="238"/>
      <c r="N807" s="228"/>
      <c r="O807" s="235"/>
      <c r="P807" s="236"/>
      <c r="Q807" s="235"/>
      <c r="R807" s="235"/>
      <c r="S807" s="236"/>
      <c r="T807" s="236"/>
      <c r="U807" s="237"/>
      <c r="V807" s="237"/>
      <c r="W807" s="238"/>
      <c r="X807" s="237"/>
      <c r="Y807" s="237"/>
      <c r="Z807" s="237"/>
      <c r="AA807" s="239"/>
      <c r="AB807" s="238"/>
      <c r="AC807" s="238"/>
      <c r="AD807" s="240"/>
      <c r="AE807" s="241"/>
      <c r="AF807" s="241"/>
      <c r="AG807" s="238"/>
      <c r="AH807" s="240"/>
      <c r="AI807" s="241"/>
      <c r="AJ807" s="241"/>
      <c r="AK807" s="241"/>
      <c r="AL807" s="237"/>
      <c r="AM807" s="237"/>
      <c r="AN807" s="237"/>
      <c r="AO807" s="237"/>
      <c r="AP807" s="237"/>
      <c r="AQ807" s="237"/>
      <c r="AR807" s="237"/>
    </row>
    <row r="808">
      <c r="A808" s="228"/>
      <c r="B808" s="228"/>
      <c r="C808" s="228"/>
      <c r="D808" s="228"/>
      <c r="E808" s="228"/>
      <c r="F808" s="228"/>
      <c r="G808" s="228"/>
      <c r="H808" s="241"/>
      <c r="I808" s="228"/>
      <c r="J808" s="236"/>
      <c r="K808" s="228"/>
      <c r="L808" s="228"/>
      <c r="M808" s="238"/>
      <c r="N808" s="228"/>
      <c r="O808" s="235"/>
      <c r="P808" s="236"/>
      <c r="Q808" s="235"/>
      <c r="R808" s="235"/>
      <c r="S808" s="236"/>
      <c r="T808" s="236"/>
      <c r="U808" s="237"/>
      <c r="V808" s="237"/>
      <c r="W808" s="238"/>
      <c r="X808" s="237"/>
      <c r="Y808" s="237"/>
      <c r="Z808" s="237"/>
      <c r="AA808" s="239"/>
      <c r="AB808" s="238"/>
      <c r="AC808" s="238"/>
      <c r="AD808" s="240"/>
      <c r="AE808" s="241"/>
      <c r="AF808" s="241"/>
      <c r="AG808" s="238"/>
      <c r="AH808" s="240"/>
      <c r="AI808" s="241"/>
      <c r="AJ808" s="241"/>
      <c r="AK808" s="241"/>
      <c r="AL808" s="237"/>
      <c r="AM808" s="237"/>
      <c r="AN808" s="237"/>
      <c r="AO808" s="237"/>
      <c r="AP808" s="237"/>
      <c r="AQ808" s="237"/>
      <c r="AR808" s="237"/>
    </row>
    <row r="809">
      <c r="A809" s="228"/>
      <c r="B809" s="228"/>
      <c r="C809" s="228"/>
      <c r="D809" s="228"/>
      <c r="E809" s="228"/>
      <c r="F809" s="228"/>
      <c r="G809" s="228"/>
      <c r="H809" s="241"/>
      <c r="I809" s="228"/>
      <c r="J809" s="236"/>
      <c r="K809" s="228"/>
      <c r="L809" s="228"/>
      <c r="M809" s="238"/>
      <c r="N809" s="228"/>
      <c r="O809" s="235"/>
      <c r="P809" s="236"/>
      <c r="Q809" s="235"/>
      <c r="R809" s="235"/>
      <c r="S809" s="236"/>
      <c r="T809" s="236"/>
      <c r="U809" s="237"/>
      <c r="V809" s="237"/>
      <c r="W809" s="238"/>
      <c r="X809" s="237"/>
      <c r="Y809" s="237"/>
      <c r="Z809" s="237"/>
      <c r="AA809" s="239"/>
      <c r="AB809" s="238"/>
      <c r="AC809" s="238"/>
      <c r="AD809" s="240"/>
      <c r="AE809" s="241"/>
      <c r="AF809" s="241"/>
      <c r="AG809" s="238"/>
      <c r="AH809" s="240"/>
      <c r="AI809" s="241"/>
      <c r="AJ809" s="241"/>
      <c r="AK809" s="241"/>
      <c r="AL809" s="237"/>
      <c r="AM809" s="237"/>
      <c r="AN809" s="237"/>
      <c r="AO809" s="237"/>
      <c r="AP809" s="237"/>
      <c r="AQ809" s="237"/>
      <c r="AR809" s="237"/>
    </row>
    <row r="810">
      <c r="A810" s="228"/>
      <c r="B810" s="228"/>
      <c r="C810" s="228"/>
      <c r="D810" s="228"/>
      <c r="E810" s="228"/>
      <c r="F810" s="228"/>
      <c r="G810" s="228"/>
      <c r="H810" s="241"/>
      <c r="I810" s="228"/>
      <c r="J810" s="236"/>
      <c r="K810" s="228"/>
      <c r="L810" s="228"/>
      <c r="M810" s="238"/>
      <c r="N810" s="228"/>
      <c r="O810" s="235"/>
      <c r="P810" s="236"/>
      <c r="Q810" s="235"/>
      <c r="R810" s="235"/>
      <c r="S810" s="236"/>
      <c r="T810" s="236"/>
      <c r="U810" s="237"/>
      <c r="V810" s="237"/>
      <c r="W810" s="238"/>
      <c r="X810" s="237"/>
      <c r="Y810" s="237"/>
      <c r="Z810" s="237"/>
      <c r="AA810" s="239"/>
      <c r="AB810" s="238"/>
      <c r="AC810" s="238"/>
      <c r="AD810" s="240"/>
      <c r="AE810" s="241"/>
      <c r="AF810" s="241"/>
      <c r="AG810" s="238"/>
      <c r="AH810" s="240"/>
      <c r="AI810" s="241"/>
      <c r="AJ810" s="241"/>
      <c r="AK810" s="241"/>
      <c r="AL810" s="237"/>
      <c r="AM810" s="237"/>
      <c r="AN810" s="237"/>
      <c r="AO810" s="237"/>
      <c r="AP810" s="237"/>
      <c r="AQ810" s="237"/>
      <c r="AR810" s="237"/>
    </row>
    <row r="811">
      <c r="A811" s="228"/>
      <c r="B811" s="228"/>
      <c r="C811" s="228"/>
      <c r="D811" s="228"/>
      <c r="E811" s="228"/>
      <c r="F811" s="228"/>
      <c r="G811" s="228"/>
      <c r="H811" s="241"/>
      <c r="I811" s="228"/>
      <c r="J811" s="236"/>
      <c r="K811" s="228"/>
      <c r="L811" s="228"/>
      <c r="M811" s="238"/>
      <c r="N811" s="228"/>
      <c r="O811" s="235"/>
      <c r="P811" s="236"/>
      <c r="Q811" s="235"/>
      <c r="R811" s="235"/>
      <c r="S811" s="236"/>
      <c r="T811" s="236"/>
      <c r="U811" s="237"/>
      <c r="V811" s="237"/>
      <c r="W811" s="238"/>
      <c r="X811" s="237"/>
      <c r="Y811" s="237"/>
      <c r="Z811" s="237"/>
      <c r="AA811" s="239"/>
      <c r="AB811" s="238"/>
      <c r="AC811" s="238"/>
      <c r="AD811" s="240"/>
      <c r="AE811" s="241"/>
      <c r="AF811" s="241"/>
      <c r="AG811" s="238"/>
      <c r="AH811" s="240"/>
      <c r="AI811" s="241"/>
      <c r="AJ811" s="241"/>
      <c r="AK811" s="241"/>
      <c r="AL811" s="237"/>
      <c r="AM811" s="237"/>
      <c r="AN811" s="237"/>
      <c r="AO811" s="237"/>
      <c r="AP811" s="237"/>
      <c r="AQ811" s="237"/>
      <c r="AR811" s="237"/>
    </row>
    <row r="812">
      <c r="A812" s="228"/>
      <c r="B812" s="228"/>
      <c r="C812" s="228"/>
      <c r="D812" s="228"/>
      <c r="E812" s="228"/>
      <c r="F812" s="228"/>
      <c r="G812" s="228"/>
      <c r="H812" s="241"/>
      <c r="I812" s="228"/>
      <c r="J812" s="236"/>
      <c r="K812" s="228"/>
      <c r="L812" s="228"/>
      <c r="M812" s="238"/>
      <c r="N812" s="228"/>
      <c r="O812" s="235"/>
      <c r="P812" s="236"/>
      <c r="Q812" s="235"/>
      <c r="R812" s="235"/>
      <c r="S812" s="236"/>
      <c r="T812" s="236"/>
      <c r="U812" s="237"/>
      <c r="V812" s="237"/>
      <c r="W812" s="238"/>
      <c r="X812" s="237"/>
      <c r="Y812" s="237"/>
      <c r="Z812" s="237"/>
      <c r="AA812" s="239"/>
      <c r="AB812" s="238"/>
      <c r="AC812" s="238"/>
      <c r="AD812" s="240"/>
      <c r="AE812" s="241"/>
      <c r="AF812" s="241"/>
      <c r="AG812" s="238"/>
      <c r="AH812" s="240"/>
      <c r="AI812" s="241"/>
      <c r="AJ812" s="241"/>
      <c r="AK812" s="241"/>
      <c r="AL812" s="237"/>
      <c r="AM812" s="237"/>
      <c r="AN812" s="237"/>
      <c r="AO812" s="237"/>
      <c r="AP812" s="237"/>
      <c r="AQ812" s="237"/>
      <c r="AR812" s="237"/>
    </row>
    <row r="813">
      <c r="A813" s="228"/>
      <c r="B813" s="228"/>
      <c r="C813" s="228"/>
      <c r="D813" s="228"/>
      <c r="E813" s="228"/>
      <c r="F813" s="228"/>
      <c r="G813" s="228"/>
      <c r="H813" s="241"/>
      <c r="I813" s="228"/>
      <c r="J813" s="236"/>
      <c r="K813" s="228"/>
      <c r="L813" s="228"/>
      <c r="M813" s="238"/>
      <c r="N813" s="228"/>
      <c r="O813" s="235"/>
      <c r="P813" s="236"/>
      <c r="Q813" s="235"/>
      <c r="R813" s="235"/>
      <c r="S813" s="236"/>
      <c r="T813" s="236"/>
      <c r="U813" s="237"/>
      <c r="V813" s="237"/>
      <c r="W813" s="238"/>
      <c r="X813" s="237"/>
      <c r="Y813" s="237"/>
      <c r="Z813" s="237"/>
      <c r="AA813" s="239"/>
      <c r="AB813" s="238"/>
      <c r="AC813" s="238"/>
      <c r="AD813" s="240"/>
      <c r="AE813" s="241"/>
      <c r="AF813" s="241"/>
      <c r="AG813" s="238"/>
      <c r="AH813" s="240"/>
      <c r="AI813" s="241"/>
      <c r="AJ813" s="241"/>
      <c r="AK813" s="241"/>
      <c r="AL813" s="237"/>
      <c r="AM813" s="237"/>
      <c r="AN813" s="237"/>
      <c r="AO813" s="237"/>
      <c r="AP813" s="237"/>
      <c r="AQ813" s="237"/>
      <c r="AR813" s="237"/>
    </row>
    <row r="814">
      <c r="A814" s="228"/>
      <c r="B814" s="228"/>
      <c r="C814" s="228"/>
      <c r="D814" s="228"/>
      <c r="E814" s="228"/>
      <c r="F814" s="228"/>
      <c r="G814" s="228"/>
      <c r="H814" s="241"/>
      <c r="I814" s="228"/>
      <c r="J814" s="236"/>
      <c r="K814" s="228"/>
      <c r="L814" s="228"/>
      <c r="M814" s="238"/>
      <c r="N814" s="228"/>
      <c r="O814" s="235"/>
      <c r="P814" s="236"/>
      <c r="Q814" s="235"/>
      <c r="R814" s="235"/>
      <c r="S814" s="236"/>
      <c r="T814" s="236"/>
      <c r="U814" s="237"/>
      <c r="V814" s="237"/>
      <c r="W814" s="238"/>
      <c r="X814" s="237"/>
      <c r="Y814" s="237"/>
      <c r="Z814" s="237"/>
      <c r="AA814" s="239"/>
      <c r="AB814" s="238"/>
      <c r="AC814" s="238"/>
      <c r="AD814" s="240"/>
      <c r="AE814" s="241"/>
      <c r="AF814" s="241"/>
      <c r="AG814" s="238"/>
      <c r="AH814" s="240"/>
      <c r="AI814" s="241"/>
      <c r="AJ814" s="241"/>
      <c r="AK814" s="241"/>
      <c r="AL814" s="237"/>
      <c r="AM814" s="237"/>
      <c r="AN814" s="237"/>
      <c r="AO814" s="237"/>
      <c r="AP814" s="237"/>
      <c r="AQ814" s="237"/>
      <c r="AR814" s="237"/>
    </row>
    <row r="815">
      <c r="A815" s="228"/>
      <c r="B815" s="228"/>
      <c r="C815" s="228"/>
      <c r="D815" s="228"/>
      <c r="E815" s="228"/>
      <c r="F815" s="228"/>
      <c r="G815" s="228"/>
      <c r="H815" s="241"/>
      <c r="I815" s="228"/>
      <c r="J815" s="236"/>
      <c r="K815" s="228"/>
      <c r="L815" s="228"/>
      <c r="M815" s="238"/>
      <c r="N815" s="228"/>
      <c r="O815" s="235"/>
      <c r="P815" s="236"/>
      <c r="Q815" s="235"/>
      <c r="R815" s="235"/>
      <c r="S815" s="236"/>
      <c r="T815" s="236"/>
      <c r="U815" s="237"/>
      <c r="V815" s="237"/>
      <c r="W815" s="238"/>
      <c r="X815" s="237"/>
      <c r="Y815" s="237"/>
      <c r="Z815" s="237"/>
      <c r="AA815" s="239"/>
      <c r="AB815" s="238"/>
      <c r="AC815" s="238"/>
      <c r="AD815" s="240"/>
      <c r="AE815" s="241"/>
      <c r="AF815" s="241"/>
      <c r="AG815" s="238"/>
      <c r="AH815" s="240"/>
      <c r="AI815" s="241"/>
      <c r="AJ815" s="241"/>
      <c r="AK815" s="241"/>
      <c r="AL815" s="237"/>
      <c r="AM815" s="237"/>
      <c r="AN815" s="237"/>
      <c r="AO815" s="237"/>
      <c r="AP815" s="237"/>
      <c r="AQ815" s="237"/>
      <c r="AR815" s="237"/>
    </row>
    <row r="816">
      <c r="A816" s="228"/>
      <c r="B816" s="228"/>
      <c r="C816" s="228"/>
      <c r="D816" s="228"/>
      <c r="E816" s="228"/>
      <c r="F816" s="228"/>
      <c r="G816" s="228"/>
      <c r="H816" s="241"/>
      <c r="I816" s="228"/>
      <c r="J816" s="236"/>
      <c r="K816" s="228"/>
      <c r="L816" s="228"/>
      <c r="M816" s="238"/>
      <c r="N816" s="228"/>
      <c r="O816" s="235"/>
      <c r="P816" s="236"/>
      <c r="Q816" s="235"/>
      <c r="R816" s="235"/>
      <c r="S816" s="236"/>
      <c r="T816" s="236"/>
      <c r="U816" s="237"/>
      <c r="V816" s="237"/>
      <c r="W816" s="238"/>
      <c r="X816" s="237"/>
      <c r="Y816" s="237"/>
      <c r="Z816" s="237"/>
      <c r="AA816" s="239"/>
      <c r="AB816" s="238"/>
      <c r="AC816" s="238"/>
      <c r="AD816" s="240"/>
      <c r="AE816" s="241"/>
      <c r="AF816" s="241"/>
      <c r="AG816" s="238"/>
      <c r="AH816" s="240"/>
      <c r="AI816" s="241"/>
      <c r="AJ816" s="241"/>
      <c r="AK816" s="241"/>
      <c r="AL816" s="237"/>
      <c r="AM816" s="237"/>
      <c r="AN816" s="237"/>
      <c r="AO816" s="237"/>
      <c r="AP816" s="237"/>
      <c r="AQ816" s="237"/>
      <c r="AR816" s="237"/>
    </row>
    <row r="817">
      <c r="A817" s="228"/>
      <c r="B817" s="228"/>
      <c r="C817" s="228"/>
      <c r="D817" s="228"/>
      <c r="E817" s="228"/>
      <c r="F817" s="228"/>
      <c r="G817" s="228"/>
      <c r="H817" s="241"/>
      <c r="I817" s="228"/>
      <c r="J817" s="236"/>
      <c r="K817" s="228"/>
      <c r="L817" s="228"/>
      <c r="M817" s="238"/>
      <c r="N817" s="228"/>
      <c r="O817" s="235"/>
      <c r="P817" s="236"/>
      <c r="Q817" s="235"/>
      <c r="R817" s="235"/>
      <c r="S817" s="236"/>
      <c r="T817" s="236"/>
      <c r="U817" s="237"/>
      <c r="V817" s="237"/>
      <c r="W817" s="238"/>
      <c r="X817" s="237"/>
      <c r="Y817" s="237"/>
      <c r="Z817" s="237"/>
      <c r="AA817" s="239"/>
      <c r="AB817" s="238"/>
      <c r="AC817" s="238"/>
      <c r="AD817" s="240"/>
      <c r="AE817" s="241"/>
      <c r="AF817" s="241"/>
      <c r="AG817" s="238"/>
      <c r="AH817" s="240"/>
      <c r="AI817" s="241"/>
      <c r="AJ817" s="241"/>
      <c r="AK817" s="241"/>
      <c r="AL817" s="237"/>
      <c r="AM817" s="237"/>
      <c r="AN817" s="237"/>
      <c r="AO817" s="237"/>
      <c r="AP817" s="237"/>
      <c r="AQ817" s="237"/>
      <c r="AR817" s="237"/>
    </row>
    <row r="818">
      <c r="A818" s="228"/>
      <c r="B818" s="228"/>
      <c r="C818" s="228"/>
      <c r="D818" s="228"/>
      <c r="E818" s="228"/>
      <c r="F818" s="228"/>
      <c r="G818" s="228"/>
      <c r="H818" s="241"/>
      <c r="I818" s="228"/>
      <c r="J818" s="236"/>
      <c r="K818" s="228"/>
      <c r="L818" s="228"/>
      <c r="M818" s="238"/>
      <c r="N818" s="228"/>
      <c r="O818" s="235"/>
      <c r="P818" s="236"/>
      <c r="Q818" s="235"/>
      <c r="R818" s="235"/>
      <c r="S818" s="236"/>
      <c r="T818" s="236"/>
      <c r="U818" s="237"/>
      <c r="V818" s="237"/>
      <c r="W818" s="238"/>
      <c r="X818" s="237"/>
      <c r="Y818" s="237"/>
      <c r="Z818" s="237"/>
      <c r="AA818" s="239"/>
      <c r="AB818" s="238"/>
      <c r="AC818" s="238"/>
      <c r="AD818" s="240"/>
      <c r="AE818" s="241"/>
      <c r="AF818" s="241"/>
      <c r="AG818" s="238"/>
      <c r="AH818" s="240"/>
      <c r="AI818" s="241"/>
      <c r="AJ818" s="241"/>
      <c r="AK818" s="241"/>
      <c r="AL818" s="237"/>
      <c r="AM818" s="237"/>
      <c r="AN818" s="237"/>
      <c r="AO818" s="237"/>
      <c r="AP818" s="237"/>
      <c r="AQ818" s="237"/>
      <c r="AR818" s="237"/>
    </row>
    <row r="819">
      <c r="A819" s="228"/>
      <c r="B819" s="228"/>
      <c r="C819" s="228"/>
      <c r="D819" s="228"/>
      <c r="E819" s="228"/>
      <c r="F819" s="228"/>
      <c r="G819" s="228"/>
      <c r="H819" s="241"/>
      <c r="I819" s="228"/>
      <c r="J819" s="236"/>
      <c r="K819" s="228"/>
      <c r="L819" s="228"/>
      <c r="M819" s="238"/>
      <c r="N819" s="228"/>
      <c r="O819" s="235"/>
      <c r="P819" s="236"/>
      <c r="Q819" s="235"/>
      <c r="R819" s="235"/>
      <c r="S819" s="236"/>
      <c r="T819" s="236"/>
      <c r="U819" s="237"/>
      <c r="V819" s="237"/>
      <c r="W819" s="238"/>
      <c r="X819" s="237"/>
      <c r="Y819" s="237"/>
      <c r="Z819" s="237"/>
      <c r="AA819" s="239"/>
      <c r="AB819" s="238"/>
      <c r="AC819" s="238"/>
      <c r="AD819" s="240"/>
      <c r="AE819" s="241"/>
      <c r="AF819" s="241"/>
      <c r="AG819" s="238"/>
      <c r="AH819" s="240"/>
      <c r="AI819" s="241"/>
      <c r="AJ819" s="241"/>
      <c r="AK819" s="241"/>
      <c r="AL819" s="237"/>
      <c r="AM819" s="237"/>
      <c r="AN819" s="237"/>
      <c r="AO819" s="237"/>
      <c r="AP819" s="237"/>
      <c r="AQ819" s="237"/>
      <c r="AR819" s="237"/>
    </row>
    <row r="820">
      <c r="A820" s="228"/>
      <c r="B820" s="228"/>
      <c r="C820" s="228"/>
      <c r="D820" s="228"/>
      <c r="E820" s="228"/>
      <c r="F820" s="228"/>
      <c r="G820" s="228"/>
      <c r="H820" s="241"/>
      <c r="I820" s="228"/>
      <c r="J820" s="236"/>
      <c r="K820" s="228"/>
      <c r="L820" s="228"/>
      <c r="M820" s="238"/>
      <c r="N820" s="228"/>
      <c r="O820" s="235"/>
      <c r="P820" s="236"/>
      <c r="Q820" s="235"/>
      <c r="R820" s="235"/>
      <c r="S820" s="236"/>
      <c r="T820" s="236"/>
      <c r="U820" s="237"/>
      <c r="V820" s="237"/>
      <c r="W820" s="238"/>
      <c r="X820" s="237"/>
      <c r="Y820" s="237"/>
      <c r="Z820" s="237"/>
      <c r="AA820" s="239"/>
      <c r="AB820" s="238"/>
      <c r="AC820" s="238"/>
      <c r="AD820" s="240"/>
      <c r="AE820" s="241"/>
      <c r="AF820" s="241"/>
      <c r="AG820" s="238"/>
      <c r="AH820" s="240"/>
      <c r="AI820" s="241"/>
      <c r="AJ820" s="241"/>
      <c r="AK820" s="241"/>
      <c r="AL820" s="237"/>
      <c r="AM820" s="237"/>
      <c r="AN820" s="237"/>
      <c r="AO820" s="237"/>
      <c r="AP820" s="237"/>
      <c r="AQ820" s="237"/>
      <c r="AR820" s="237"/>
    </row>
    <row r="821">
      <c r="A821" s="228"/>
      <c r="B821" s="228"/>
      <c r="C821" s="228"/>
      <c r="D821" s="228"/>
      <c r="E821" s="228"/>
      <c r="F821" s="228"/>
      <c r="G821" s="228"/>
      <c r="H821" s="241"/>
      <c r="I821" s="228"/>
      <c r="J821" s="236"/>
      <c r="K821" s="228"/>
      <c r="L821" s="228"/>
      <c r="M821" s="238"/>
      <c r="N821" s="228"/>
      <c r="O821" s="235"/>
      <c r="P821" s="236"/>
      <c r="Q821" s="235"/>
      <c r="R821" s="235"/>
      <c r="S821" s="236"/>
      <c r="T821" s="236"/>
      <c r="U821" s="237"/>
      <c r="V821" s="237"/>
      <c r="W821" s="238"/>
      <c r="X821" s="237"/>
      <c r="Y821" s="237"/>
      <c r="Z821" s="237"/>
      <c r="AA821" s="239"/>
      <c r="AB821" s="238"/>
      <c r="AC821" s="238"/>
      <c r="AD821" s="240"/>
      <c r="AE821" s="241"/>
      <c r="AF821" s="241"/>
      <c r="AG821" s="238"/>
      <c r="AH821" s="240"/>
      <c r="AI821" s="241"/>
      <c r="AJ821" s="241"/>
      <c r="AK821" s="241"/>
      <c r="AL821" s="237"/>
      <c r="AM821" s="237"/>
      <c r="AN821" s="237"/>
      <c r="AO821" s="237"/>
      <c r="AP821" s="237"/>
      <c r="AQ821" s="237"/>
      <c r="AR821" s="237"/>
    </row>
    <row r="822">
      <c r="A822" s="228"/>
      <c r="B822" s="228"/>
      <c r="C822" s="228"/>
      <c r="D822" s="228"/>
      <c r="E822" s="228"/>
      <c r="F822" s="228"/>
      <c r="G822" s="228"/>
      <c r="H822" s="241"/>
      <c r="I822" s="228"/>
      <c r="J822" s="236"/>
      <c r="K822" s="228"/>
      <c r="L822" s="228"/>
      <c r="M822" s="238"/>
      <c r="N822" s="228"/>
      <c r="O822" s="235"/>
      <c r="P822" s="236"/>
      <c r="Q822" s="235"/>
      <c r="R822" s="235"/>
      <c r="S822" s="236"/>
      <c r="T822" s="236"/>
      <c r="U822" s="237"/>
      <c r="V822" s="237"/>
      <c r="W822" s="238"/>
      <c r="X822" s="237"/>
      <c r="Y822" s="237"/>
      <c r="Z822" s="237"/>
      <c r="AA822" s="239"/>
      <c r="AB822" s="238"/>
      <c r="AC822" s="238"/>
      <c r="AD822" s="240"/>
      <c r="AE822" s="241"/>
      <c r="AF822" s="241"/>
      <c r="AG822" s="238"/>
      <c r="AH822" s="240"/>
      <c r="AI822" s="241"/>
      <c r="AJ822" s="241"/>
      <c r="AK822" s="241"/>
      <c r="AL822" s="237"/>
      <c r="AM822" s="237"/>
      <c r="AN822" s="237"/>
      <c r="AO822" s="237"/>
      <c r="AP822" s="237"/>
      <c r="AQ822" s="237"/>
      <c r="AR822" s="237"/>
    </row>
    <row r="823">
      <c r="A823" s="228"/>
      <c r="B823" s="228"/>
      <c r="C823" s="228"/>
      <c r="D823" s="228"/>
      <c r="E823" s="228"/>
      <c r="F823" s="228"/>
      <c r="G823" s="228"/>
      <c r="H823" s="241"/>
      <c r="I823" s="228"/>
      <c r="J823" s="236"/>
      <c r="K823" s="228"/>
      <c r="L823" s="228"/>
      <c r="M823" s="238"/>
      <c r="N823" s="228"/>
      <c r="O823" s="235"/>
      <c r="P823" s="236"/>
      <c r="Q823" s="235"/>
      <c r="R823" s="235"/>
      <c r="S823" s="236"/>
      <c r="T823" s="236"/>
      <c r="U823" s="237"/>
      <c r="V823" s="237"/>
      <c r="W823" s="238"/>
      <c r="X823" s="237"/>
      <c r="Y823" s="237"/>
      <c r="Z823" s="237"/>
      <c r="AA823" s="239"/>
      <c r="AB823" s="238"/>
      <c r="AC823" s="238"/>
      <c r="AD823" s="240"/>
      <c r="AE823" s="241"/>
      <c r="AF823" s="241"/>
      <c r="AG823" s="238"/>
      <c r="AH823" s="240"/>
      <c r="AI823" s="241"/>
      <c r="AJ823" s="241"/>
      <c r="AK823" s="241"/>
      <c r="AL823" s="237"/>
      <c r="AM823" s="237"/>
      <c r="AN823" s="237"/>
      <c r="AO823" s="237"/>
      <c r="AP823" s="237"/>
      <c r="AQ823" s="237"/>
      <c r="AR823" s="237"/>
    </row>
    <row r="824">
      <c r="A824" s="228"/>
      <c r="B824" s="228"/>
      <c r="C824" s="228"/>
      <c r="D824" s="228"/>
      <c r="E824" s="228"/>
      <c r="F824" s="228"/>
      <c r="G824" s="228"/>
      <c r="H824" s="241"/>
      <c r="I824" s="228"/>
      <c r="J824" s="236"/>
      <c r="K824" s="228"/>
      <c r="L824" s="228"/>
      <c r="M824" s="238"/>
      <c r="N824" s="228"/>
      <c r="O824" s="235"/>
      <c r="P824" s="236"/>
      <c r="Q824" s="235"/>
      <c r="R824" s="235"/>
      <c r="S824" s="236"/>
      <c r="T824" s="236"/>
      <c r="U824" s="237"/>
      <c r="V824" s="237"/>
      <c r="W824" s="238"/>
      <c r="X824" s="237"/>
      <c r="Y824" s="237"/>
      <c r="Z824" s="237"/>
      <c r="AA824" s="239"/>
      <c r="AB824" s="238"/>
      <c r="AC824" s="238"/>
      <c r="AD824" s="240"/>
      <c r="AE824" s="241"/>
      <c r="AF824" s="241"/>
      <c r="AG824" s="238"/>
      <c r="AH824" s="240"/>
      <c r="AI824" s="241"/>
      <c r="AJ824" s="241"/>
      <c r="AK824" s="241"/>
      <c r="AL824" s="237"/>
      <c r="AM824" s="237"/>
      <c r="AN824" s="237"/>
      <c r="AO824" s="237"/>
      <c r="AP824" s="237"/>
      <c r="AQ824" s="237"/>
      <c r="AR824" s="237"/>
    </row>
    <row r="825">
      <c r="A825" s="228"/>
      <c r="B825" s="228"/>
      <c r="C825" s="228"/>
      <c r="D825" s="228"/>
      <c r="E825" s="228"/>
      <c r="F825" s="228"/>
      <c r="G825" s="228"/>
      <c r="H825" s="241"/>
      <c r="I825" s="228"/>
      <c r="J825" s="236"/>
      <c r="K825" s="228"/>
      <c r="L825" s="228"/>
      <c r="M825" s="238"/>
      <c r="N825" s="228"/>
      <c r="O825" s="235"/>
      <c r="P825" s="236"/>
      <c r="Q825" s="235"/>
      <c r="R825" s="235"/>
      <c r="S825" s="236"/>
      <c r="T825" s="236"/>
      <c r="U825" s="237"/>
      <c r="V825" s="237"/>
      <c r="W825" s="238"/>
      <c r="X825" s="237"/>
      <c r="Y825" s="237"/>
      <c r="Z825" s="237"/>
      <c r="AA825" s="239"/>
      <c r="AB825" s="238"/>
      <c r="AC825" s="238"/>
      <c r="AD825" s="240"/>
      <c r="AE825" s="241"/>
      <c r="AF825" s="241"/>
      <c r="AG825" s="238"/>
      <c r="AH825" s="240"/>
      <c r="AI825" s="241"/>
      <c r="AJ825" s="241"/>
      <c r="AK825" s="241"/>
      <c r="AL825" s="237"/>
      <c r="AM825" s="237"/>
      <c r="AN825" s="237"/>
      <c r="AO825" s="237"/>
      <c r="AP825" s="237"/>
      <c r="AQ825" s="237"/>
      <c r="AR825" s="237"/>
    </row>
    <row r="826">
      <c r="A826" s="228"/>
      <c r="B826" s="228"/>
      <c r="C826" s="228"/>
      <c r="D826" s="228"/>
      <c r="E826" s="228"/>
      <c r="F826" s="228"/>
      <c r="G826" s="228"/>
      <c r="H826" s="241"/>
      <c r="I826" s="228"/>
      <c r="J826" s="236"/>
      <c r="K826" s="228"/>
      <c r="L826" s="228"/>
      <c r="M826" s="238"/>
      <c r="N826" s="228"/>
      <c r="O826" s="235"/>
      <c r="P826" s="236"/>
      <c r="Q826" s="235"/>
      <c r="R826" s="235"/>
      <c r="S826" s="236"/>
      <c r="T826" s="236"/>
      <c r="U826" s="237"/>
      <c r="V826" s="237"/>
      <c r="W826" s="238"/>
      <c r="X826" s="237"/>
      <c r="Y826" s="237"/>
      <c r="Z826" s="237"/>
      <c r="AA826" s="239"/>
      <c r="AB826" s="238"/>
      <c r="AC826" s="238"/>
      <c r="AD826" s="240"/>
      <c r="AE826" s="241"/>
      <c r="AF826" s="241"/>
      <c r="AG826" s="238"/>
      <c r="AH826" s="240"/>
      <c r="AI826" s="241"/>
      <c r="AJ826" s="241"/>
      <c r="AK826" s="241"/>
      <c r="AL826" s="237"/>
      <c r="AM826" s="237"/>
      <c r="AN826" s="237"/>
      <c r="AO826" s="237"/>
      <c r="AP826" s="237"/>
      <c r="AQ826" s="237"/>
      <c r="AR826" s="237"/>
    </row>
    <row r="827">
      <c r="A827" s="228"/>
      <c r="B827" s="228"/>
      <c r="C827" s="228"/>
      <c r="D827" s="228"/>
      <c r="E827" s="228"/>
      <c r="F827" s="228"/>
      <c r="G827" s="228"/>
      <c r="H827" s="241"/>
      <c r="I827" s="228"/>
      <c r="J827" s="236"/>
      <c r="K827" s="228"/>
      <c r="L827" s="228"/>
      <c r="M827" s="238"/>
      <c r="N827" s="228"/>
      <c r="O827" s="235"/>
      <c r="P827" s="236"/>
      <c r="Q827" s="235"/>
      <c r="R827" s="235"/>
      <c r="S827" s="236"/>
      <c r="T827" s="236"/>
      <c r="U827" s="237"/>
      <c r="V827" s="237"/>
      <c r="W827" s="238"/>
      <c r="X827" s="237"/>
      <c r="Y827" s="237"/>
      <c r="Z827" s="237"/>
      <c r="AA827" s="239"/>
      <c r="AB827" s="238"/>
      <c r="AC827" s="238"/>
      <c r="AD827" s="240"/>
      <c r="AE827" s="241"/>
      <c r="AF827" s="241"/>
      <c r="AG827" s="238"/>
      <c r="AH827" s="240"/>
      <c r="AI827" s="241"/>
      <c r="AJ827" s="241"/>
      <c r="AK827" s="241"/>
      <c r="AL827" s="237"/>
      <c r="AM827" s="237"/>
      <c r="AN827" s="237"/>
      <c r="AO827" s="237"/>
      <c r="AP827" s="237"/>
      <c r="AQ827" s="237"/>
      <c r="AR827" s="237"/>
    </row>
    <row r="828">
      <c r="A828" s="228"/>
      <c r="B828" s="228"/>
      <c r="C828" s="228"/>
      <c r="D828" s="228"/>
      <c r="E828" s="228"/>
      <c r="F828" s="228"/>
      <c r="G828" s="228"/>
      <c r="H828" s="241"/>
      <c r="I828" s="228"/>
      <c r="J828" s="236"/>
      <c r="K828" s="228"/>
      <c r="L828" s="228"/>
      <c r="M828" s="238"/>
      <c r="N828" s="228"/>
      <c r="O828" s="235"/>
      <c r="P828" s="236"/>
      <c r="Q828" s="235"/>
      <c r="R828" s="235"/>
      <c r="S828" s="236"/>
      <c r="T828" s="236"/>
      <c r="U828" s="237"/>
      <c r="V828" s="237"/>
      <c r="W828" s="238"/>
      <c r="X828" s="237"/>
      <c r="Y828" s="237"/>
      <c r="Z828" s="237"/>
      <c r="AA828" s="239"/>
      <c r="AB828" s="238"/>
      <c r="AC828" s="238"/>
      <c r="AD828" s="240"/>
      <c r="AE828" s="241"/>
      <c r="AF828" s="241"/>
      <c r="AG828" s="238"/>
      <c r="AH828" s="240"/>
      <c r="AI828" s="241"/>
      <c r="AJ828" s="241"/>
      <c r="AK828" s="241"/>
      <c r="AL828" s="237"/>
      <c r="AM828" s="237"/>
      <c r="AN828" s="237"/>
      <c r="AO828" s="237"/>
      <c r="AP828" s="237"/>
      <c r="AQ828" s="237"/>
      <c r="AR828" s="237"/>
    </row>
    <row r="829">
      <c r="A829" s="228"/>
      <c r="B829" s="228"/>
      <c r="C829" s="228"/>
      <c r="D829" s="228"/>
      <c r="E829" s="228"/>
      <c r="F829" s="228"/>
      <c r="G829" s="228"/>
      <c r="H829" s="241"/>
      <c r="I829" s="228"/>
      <c r="J829" s="236"/>
      <c r="K829" s="228"/>
      <c r="L829" s="228"/>
      <c r="M829" s="238"/>
      <c r="N829" s="228"/>
      <c r="O829" s="235"/>
      <c r="P829" s="236"/>
      <c r="Q829" s="235"/>
      <c r="R829" s="235"/>
      <c r="S829" s="236"/>
      <c r="T829" s="236"/>
      <c r="U829" s="237"/>
      <c r="V829" s="237"/>
      <c r="W829" s="238"/>
      <c r="X829" s="237"/>
      <c r="Y829" s="237"/>
      <c r="Z829" s="237"/>
      <c r="AA829" s="239"/>
      <c r="AB829" s="238"/>
      <c r="AC829" s="238"/>
      <c r="AD829" s="240"/>
      <c r="AE829" s="241"/>
      <c r="AF829" s="241"/>
      <c r="AG829" s="238"/>
      <c r="AH829" s="240"/>
      <c r="AI829" s="241"/>
      <c r="AJ829" s="241"/>
      <c r="AK829" s="241"/>
      <c r="AL829" s="237"/>
      <c r="AM829" s="237"/>
      <c r="AN829" s="237"/>
      <c r="AO829" s="237"/>
      <c r="AP829" s="237"/>
      <c r="AQ829" s="237"/>
      <c r="AR829" s="237"/>
    </row>
    <row r="830">
      <c r="A830" s="228"/>
      <c r="B830" s="228"/>
      <c r="C830" s="228"/>
      <c r="D830" s="228"/>
      <c r="E830" s="228"/>
      <c r="F830" s="228"/>
      <c r="G830" s="228"/>
      <c r="H830" s="241"/>
      <c r="I830" s="228"/>
      <c r="J830" s="236"/>
      <c r="K830" s="228"/>
      <c r="L830" s="228"/>
      <c r="M830" s="238"/>
      <c r="N830" s="228"/>
      <c r="O830" s="235"/>
      <c r="P830" s="236"/>
      <c r="Q830" s="235"/>
      <c r="R830" s="235"/>
      <c r="S830" s="236"/>
      <c r="T830" s="236"/>
      <c r="U830" s="237"/>
      <c r="V830" s="237"/>
      <c r="W830" s="238"/>
      <c r="X830" s="237"/>
      <c r="Y830" s="237"/>
      <c r="Z830" s="237"/>
      <c r="AA830" s="239"/>
      <c r="AB830" s="238"/>
      <c r="AC830" s="238"/>
      <c r="AD830" s="240"/>
      <c r="AE830" s="241"/>
      <c r="AF830" s="241"/>
      <c r="AG830" s="238"/>
      <c r="AH830" s="240"/>
      <c r="AI830" s="241"/>
      <c r="AJ830" s="241"/>
      <c r="AK830" s="241"/>
      <c r="AL830" s="237"/>
      <c r="AM830" s="237"/>
      <c r="AN830" s="237"/>
      <c r="AO830" s="237"/>
      <c r="AP830" s="237"/>
      <c r="AQ830" s="237"/>
      <c r="AR830" s="237"/>
    </row>
    <row r="831">
      <c r="A831" s="228"/>
      <c r="B831" s="228"/>
      <c r="C831" s="228"/>
      <c r="D831" s="228"/>
      <c r="E831" s="228"/>
      <c r="F831" s="228"/>
      <c r="G831" s="228"/>
      <c r="H831" s="241"/>
      <c r="I831" s="228"/>
      <c r="J831" s="236"/>
      <c r="K831" s="228"/>
      <c r="L831" s="228"/>
      <c r="M831" s="238"/>
      <c r="N831" s="228"/>
      <c r="O831" s="235"/>
      <c r="P831" s="236"/>
      <c r="Q831" s="235"/>
      <c r="R831" s="235"/>
      <c r="S831" s="236"/>
      <c r="T831" s="236"/>
      <c r="U831" s="237"/>
      <c r="V831" s="237"/>
      <c r="W831" s="238"/>
      <c r="X831" s="237"/>
      <c r="Y831" s="237"/>
      <c r="Z831" s="237"/>
      <c r="AA831" s="239"/>
      <c r="AB831" s="238"/>
      <c r="AC831" s="238"/>
      <c r="AD831" s="240"/>
      <c r="AE831" s="241"/>
      <c r="AF831" s="241"/>
      <c r="AG831" s="238"/>
      <c r="AH831" s="240"/>
      <c r="AI831" s="241"/>
      <c r="AJ831" s="241"/>
      <c r="AK831" s="241"/>
      <c r="AL831" s="237"/>
      <c r="AM831" s="237"/>
      <c r="AN831" s="237"/>
      <c r="AO831" s="237"/>
      <c r="AP831" s="237"/>
      <c r="AQ831" s="237"/>
      <c r="AR831" s="237"/>
    </row>
    <row r="832">
      <c r="A832" s="228"/>
      <c r="B832" s="228"/>
      <c r="C832" s="228"/>
      <c r="D832" s="228"/>
      <c r="E832" s="228"/>
      <c r="F832" s="228"/>
      <c r="G832" s="228"/>
      <c r="H832" s="241"/>
      <c r="I832" s="228"/>
      <c r="J832" s="236"/>
      <c r="K832" s="228"/>
      <c r="L832" s="228"/>
      <c r="M832" s="238"/>
      <c r="N832" s="228"/>
      <c r="O832" s="235"/>
      <c r="P832" s="236"/>
      <c r="Q832" s="235"/>
      <c r="R832" s="235"/>
      <c r="S832" s="236"/>
      <c r="T832" s="236"/>
      <c r="U832" s="237"/>
      <c r="V832" s="237"/>
      <c r="W832" s="238"/>
      <c r="X832" s="237"/>
      <c r="Y832" s="237"/>
      <c r="Z832" s="237"/>
      <c r="AA832" s="239"/>
      <c r="AB832" s="238"/>
      <c r="AC832" s="238"/>
      <c r="AD832" s="240"/>
      <c r="AE832" s="241"/>
      <c r="AF832" s="241"/>
      <c r="AG832" s="238"/>
      <c r="AH832" s="240"/>
      <c r="AI832" s="241"/>
      <c r="AJ832" s="241"/>
      <c r="AK832" s="241"/>
      <c r="AL832" s="237"/>
      <c r="AM832" s="237"/>
      <c r="AN832" s="237"/>
      <c r="AO832" s="237"/>
      <c r="AP832" s="237"/>
      <c r="AQ832" s="237"/>
      <c r="AR832" s="237"/>
    </row>
    <row r="833">
      <c r="A833" s="228"/>
      <c r="B833" s="228"/>
      <c r="C833" s="228"/>
      <c r="D833" s="228"/>
      <c r="E833" s="228"/>
      <c r="F833" s="228"/>
      <c r="G833" s="228"/>
      <c r="H833" s="241"/>
      <c r="I833" s="228"/>
      <c r="J833" s="236"/>
      <c r="K833" s="228"/>
      <c r="L833" s="228"/>
      <c r="M833" s="238"/>
      <c r="N833" s="228"/>
      <c r="O833" s="235"/>
      <c r="P833" s="236"/>
      <c r="Q833" s="235"/>
      <c r="R833" s="235"/>
      <c r="S833" s="236"/>
      <c r="T833" s="236"/>
      <c r="U833" s="237"/>
      <c r="V833" s="237"/>
      <c r="W833" s="238"/>
      <c r="X833" s="237"/>
      <c r="Y833" s="237"/>
      <c r="Z833" s="237"/>
      <c r="AA833" s="239"/>
      <c r="AB833" s="238"/>
      <c r="AC833" s="238"/>
      <c r="AD833" s="240"/>
      <c r="AE833" s="241"/>
      <c r="AF833" s="241"/>
      <c r="AG833" s="238"/>
      <c r="AH833" s="240"/>
      <c r="AI833" s="241"/>
      <c r="AJ833" s="241"/>
      <c r="AK833" s="241"/>
      <c r="AL833" s="237"/>
      <c r="AM833" s="237"/>
      <c r="AN833" s="237"/>
      <c r="AO833" s="237"/>
      <c r="AP833" s="237"/>
      <c r="AQ833" s="237"/>
      <c r="AR833" s="237"/>
    </row>
    <row r="834">
      <c r="A834" s="228"/>
      <c r="B834" s="228"/>
      <c r="C834" s="228"/>
      <c r="D834" s="228"/>
      <c r="E834" s="228"/>
      <c r="F834" s="228"/>
      <c r="G834" s="228"/>
      <c r="H834" s="241"/>
      <c r="I834" s="228"/>
      <c r="J834" s="236"/>
      <c r="K834" s="228"/>
      <c r="L834" s="228"/>
      <c r="M834" s="238"/>
      <c r="N834" s="228"/>
      <c r="O834" s="235"/>
      <c r="P834" s="236"/>
      <c r="Q834" s="235"/>
      <c r="R834" s="235"/>
      <c r="S834" s="236"/>
      <c r="T834" s="236"/>
      <c r="U834" s="237"/>
      <c r="V834" s="237"/>
      <c r="W834" s="238"/>
      <c r="X834" s="237"/>
      <c r="Y834" s="237"/>
      <c r="Z834" s="237"/>
      <c r="AA834" s="239"/>
      <c r="AB834" s="238"/>
      <c r="AC834" s="238"/>
      <c r="AD834" s="240"/>
      <c r="AE834" s="241"/>
      <c r="AF834" s="241"/>
      <c r="AG834" s="238"/>
      <c r="AH834" s="240"/>
      <c r="AI834" s="241"/>
      <c r="AJ834" s="241"/>
      <c r="AK834" s="241"/>
      <c r="AL834" s="237"/>
      <c r="AM834" s="237"/>
      <c r="AN834" s="237"/>
      <c r="AO834" s="237"/>
      <c r="AP834" s="237"/>
      <c r="AQ834" s="237"/>
      <c r="AR834" s="237"/>
    </row>
    <row r="835">
      <c r="A835" s="228"/>
      <c r="B835" s="228"/>
      <c r="C835" s="228"/>
      <c r="D835" s="228"/>
      <c r="E835" s="228"/>
      <c r="F835" s="228"/>
      <c r="G835" s="228"/>
      <c r="H835" s="241"/>
      <c r="I835" s="228"/>
      <c r="J835" s="236"/>
      <c r="K835" s="228"/>
      <c r="L835" s="228"/>
      <c r="M835" s="238"/>
      <c r="N835" s="228"/>
      <c r="O835" s="235"/>
      <c r="P835" s="236"/>
      <c r="Q835" s="235"/>
      <c r="R835" s="235"/>
      <c r="S835" s="236"/>
      <c r="T835" s="236"/>
      <c r="U835" s="237"/>
      <c r="V835" s="237"/>
      <c r="W835" s="238"/>
      <c r="X835" s="237"/>
      <c r="Y835" s="237"/>
      <c r="Z835" s="237"/>
      <c r="AA835" s="239"/>
      <c r="AB835" s="238"/>
      <c r="AC835" s="238"/>
      <c r="AD835" s="240"/>
      <c r="AE835" s="241"/>
      <c r="AF835" s="241"/>
      <c r="AG835" s="238"/>
      <c r="AH835" s="240"/>
      <c r="AI835" s="241"/>
      <c r="AJ835" s="241"/>
      <c r="AK835" s="241"/>
      <c r="AL835" s="237"/>
      <c r="AM835" s="237"/>
      <c r="AN835" s="237"/>
      <c r="AO835" s="237"/>
      <c r="AP835" s="237"/>
      <c r="AQ835" s="237"/>
      <c r="AR835" s="237"/>
    </row>
    <row r="836">
      <c r="A836" s="228"/>
      <c r="B836" s="228"/>
      <c r="C836" s="228"/>
      <c r="D836" s="228"/>
      <c r="E836" s="228"/>
      <c r="F836" s="228"/>
      <c r="G836" s="228"/>
      <c r="H836" s="241"/>
      <c r="I836" s="228"/>
      <c r="J836" s="236"/>
      <c r="K836" s="228"/>
      <c r="L836" s="228"/>
      <c r="M836" s="238"/>
      <c r="N836" s="228"/>
      <c r="O836" s="235"/>
      <c r="P836" s="236"/>
      <c r="Q836" s="235"/>
      <c r="R836" s="235"/>
      <c r="S836" s="236"/>
      <c r="T836" s="236"/>
      <c r="U836" s="237"/>
      <c r="V836" s="237"/>
      <c r="W836" s="238"/>
      <c r="X836" s="237"/>
      <c r="Y836" s="237"/>
      <c r="Z836" s="237"/>
      <c r="AA836" s="239"/>
      <c r="AB836" s="238"/>
      <c r="AC836" s="238"/>
      <c r="AD836" s="240"/>
      <c r="AE836" s="241"/>
      <c r="AF836" s="241"/>
      <c r="AG836" s="238"/>
      <c r="AH836" s="240"/>
      <c r="AI836" s="241"/>
      <c r="AJ836" s="241"/>
      <c r="AK836" s="241"/>
      <c r="AL836" s="237"/>
      <c r="AM836" s="237"/>
      <c r="AN836" s="237"/>
      <c r="AO836" s="237"/>
      <c r="AP836" s="237"/>
      <c r="AQ836" s="237"/>
      <c r="AR836" s="237"/>
    </row>
    <row r="837">
      <c r="A837" s="228"/>
      <c r="B837" s="228"/>
      <c r="C837" s="228"/>
      <c r="D837" s="228"/>
      <c r="E837" s="228"/>
      <c r="F837" s="228"/>
      <c r="G837" s="228"/>
      <c r="H837" s="241"/>
      <c r="I837" s="228"/>
      <c r="J837" s="236"/>
      <c r="K837" s="228"/>
      <c r="L837" s="228"/>
      <c r="M837" s="238"/>
      <c r="N837" s="228"/>
      <c r="O837" s="235"/>
      <c r="P837" s="236"/>
      <c r="Q837" s="235"/>
      <c r="R837" s="235"/>
      <c r="S837" s="236"/>
      <c r="T837" s="236"/>
      <c r="U837" s="237"/>
      <c r="V837" s="237"/>
      <c r="W837" s="238"/>
      <c r="X837" s="237"/>
      <c r="Y837" s="237"/>
      <c r="Z837" s="237"/>
      <c r="AA837" s="239"/>
      <c r="AB837" s="238"/>
      <c r="AC837" s="238"/>
      <c r="AD837" s="240"/>
      <c r="AE837" s="241"/>
      <c r="AF837" s="241"/>
      <c r="AG837" s="238"/>
      <c r="AH837" s="240"/>
      <c r="AI837" s="241"/>
      <c r="AJ837" s="241"/>
      <c r="AK837" s="241"/>
      <c r="AL837" s="237"/>
      <c r="AM837" s="237"/>
      <c r="AN837" s="237"/>
      <c r="AO837" s="237"/>
      <c r="AP837" s="237"/>
      <c r="AQ837" s="237"/>
      <c r="AR837" s="237"/>
    </row>
    <row r="838">
      <c r="A838" s="228"/>
      <c r="B838" s="228"/>
      <c r="C838" s="228"/>
      <c r="D838" s="228"/>
      <c r="E838" s="228"/>
      <c r="F838" s="228"/>
      <c r="G838" s="228"/>
      <c r="H838" s="241"/>
      <c r="I838" s="228"/>
      <c r="J838" s="236"/>
      <c r="K838" s="228"/>
      <c r="L838" s="228"/>
      <c r="M838" s="238"/>
      <c r="N838" s="228"/>
      <c r="O838" s="235"/>
      <c r="P838" s="236"/>
      <c r="Q838" s="235"/>
      <c r="R838" s="235"/>
      <c r="S838" s="236"/>
      <c r="T838" s="236"/>
      <c r="U838" s="237"/>
      <c r="V838" s="237"/>
      <c r="W838" s="238"/>
      <c r="X838" s="237"/>
      <c r="Y838" s="237"/>
      <c r="Z838" s="237"/>
      <c r="AA838" s="239"/>
      <c r="AB838" s="238"/>
      <c r="AC838" s="238"/>
      <c r="AD838" s="240"/>
      <c r="AE838" s="241"/>
      <c r="AF838" s="241"/>
      <c r="AG838" s="238"/>
      <c r="AH838" s="240"/>
      <c r="AI838" s="241"/>
      <c r="AJ838" s="241"/>
      <c r="AK838" s="241"/>
      <c r="AL838" s="237"/>
      <c r="AM838" s="237"/>
      <c r="AN838" s="237"/>
      <c r="AO838" s="237"/>
      <c r="AP838" s="237"/>
      <c r="AQ838" s="237"/>
      <c r="AR838" s="237"/>
    </row>
    <row r="839">
      <c r="A839" s="228"/>
      <c r="B839" s="228"/>
      <c r="C839" s="228"/>
      <c r="D839" s="228"/>
      <c r="E839" s="228"/>
      <c r="F839" s="228"/>
      <c r="G839" s="228"/>
      <c r="H839" s="241"/>
      <c r="I839" s="228"/>
      <c r="J839" s="236"/>
      <c r="K839" s="228"/>
      <c r="L839" s="228"/>
      <c r="M839" s="238"/>
      <c r="N839" s="228"/>
      <c r="O839" s="235"/>
      <c r="P839" s="236"/>
      <c r="Q839" s="235"/>
      <c r="R839" s="235"/>
      <c r="S839" s="236"/>
      <c r="T839" s="236"/>
      <c r="U839" s="237"/>
      <c r="V839" s="237"/>
      <c r="W839" s="238"/>
      <c r="X839" s="237"/>
      <c r="Y839" s="237"/>
      <c r="Z839" s="237"/>
      <c r="AA839" s="239"/>
      <c r="AB839" s="238"/>
      <c r="AC839" s="238"/>
      <c r="AD839" s="240"/>
      <c r="AE839" s="241"/>
      <c r="AF839" s="241"/>
      <c r="AG839" s="238"/>
      <c r="AH839" s="240"/>
      <c r="AI839" s="241"/>
      <c r="AJ839" s="241"/>
      <c r="AK839" s="241"/>
      <c r="AL839" s="237"/>
      <c r="AM839" s="237"/>
      <c r="AN839" s="237"/>
      <c r="AO839" s="237"/>
      <c r="AP839" s="237"/>
      <c r="AQ839" s="237"/>
      <c r="AR839" s="237"/>
    </row>
    <row r="840">
      <c r="A840" s="228"/>
      <c r="B840" s="228"/>
      <c r="C840" s="228"/>
      <c r="D840" s="228"/>
      <c r="E840" s="228"/>
      <c r="F840" s="228"/>
      <c r="G840" s="228"/>
      <c r="H840" s="241"/>
      <c r="I840" s="228"/>
      <c r="J840" s="236"/>
      <c r="K840" s="228"/>
      <c r="L840" s="228"/>
      <c r="M840" s="238"/>
      <c r="N840" s="228"/>
      <c r="O840" s="235"/>
      <c r="P840" s="236"/>
      <c r="Q840" s="235"/>
      <c r="R840" s="235"/>
      <c r="S840" s="236"/>
      <c r="T840" s="236"/>
      <c r="U840" s="237"/>
      <c r="V840" s="237"/>
      <c r="W840" s="238"/>
      <c r="X840" s="237"/>
      <c r="Y840" s="237"/>
      <c r="Z840" s="237"/>
      <c r="AA840" s="239"/>
      <c r="AB840" s="238"/>
      <c r="AC840" s="238"/>
      <c r="AD840" s="240"/>
      <c r="AE840" s="241"/>
      <c r="AF840" s="241"/>
      <c r="AG840" s="238"/>
      <c r="AH840" s="240"/>
      <c r="AI840" s="241"/>
      <c r="AJ840" s="241"/>
      <c r="AK840" s="241"/>
      <c r="AL840" s="237"/>
      <c r="AM840" s="237"/>
      <c r="AN840" s="237"/>
      <c r="AO840" s="237"/>
      <c r="AP840" s="237"/>
      <c r="AQ840" s="237"/>
      <c r="AR840" s="237"/>
    </row>
    <row r="841">
      <c r="A841" s="228"/>
      <c r="B841" s="228"/>
      <c r="C841" s="228"/>
      <c r="D841" s="228"/>
      <c r="E841" s="228"/>
      <c r="F841" s="228"/>
      <c r="G841" s="228"/>
      <c r="H841" s="241"/>
      <c r="I841" s="228"/>
      <c r="J841" s="236"/>
      <c r="K841" s="228"/>
      <c r="L841" s="228"/>
      <c r="M841" s="238"/>
      <c r="N841" s="228"/>
      <c r="O841" s="235"/>
      <c r="P841" s="236"/>
      <c r="Q841" s="235"/>
      <c r="R841" s="235"/>
      <c r="S841" s="236"/>
      <c r="T841" s="236"/>
      <c r="U841" s="237"/>
      <c r="V841" s="237"/>
      <c r="W841" s="238"/>
      <c r="X841" s="237"/>
      <c r="Y841" s="237"/>
      <c r="Z841" s="237"/>
      <c r="AA841" s="239"/>
      <c r="AB841" s="238"/>
      <c r="AC841" s="238"/>
      <c r="AD841" s="240"/>
      <c r="AE841" s="241"/>
      <c r="AF841" s="241"/>
      <c r="AG841" s="238"/>
      <c r="AH841" s="240"/>
      <c r="AI841" s="241"/>
      <c r="AJ841" s="241"/>
      <c r="AK841" s="241"/>
      <c r="AL841" s="237"/>
      <c r="AM841" s="237"/>
      <c r="AN841" s="237"/>
      <c r="AO841" s="237"/>
      <c r="AP841" s="237"/>
      <c r="AQ841" s="237"/>
      <c r="AR841" s="237"/>
    </row>
    <row r="842">
      <c r="A842" s="228"/>
      <c r="B842" s="228"/>
      <c r="C842" s="228"/>
      <c r="D842" s="228"/>
      <c r="E842" s="228"/>
      <c r="F842" s="228"/>
      <c r="G842" s="228"/>
      <c r="H842" s="241"/>
      <c r="I842" s="228"/>
      <c r="J842" s="236"/>
      <c r="K842" s="228"/>
      <c r="L842" s="228"/>
      <c r="M842" s="238"/>
      <c r="N842" s="228"/>
      <c r="O842" s="235"/>
      <c r="P842" s="236"/>
      <c r="Q842" s="235"/>
      <c r="R842" s="235"/>
      <c r="S842" s="236"/>
      <c r="T842" s="236"/>
      <c r="U842" s="237"/>
      <c r="V842" s="237"/>
      <c r="W842" s="238"/>
      <c r="X842" s="237"/>
      <c r="Y842" s="237"/>
      <c r="Z842" s="237"/>
      <c r="AA842" s="239"/>
      <c r="AB842" s="238"/>
      <c r="AC842" s="238"/>
      <c r="AD842" s="240"/>
      <c r="AE842" s="241"/>
      <c r="AF842" s="241"/>
      <c r="AG842" s="238"/>
      <c r="AH842" s="240"/>
      <c r="AI842" s="241"/>
      <c r="AJ842" s="241"/>
      <c r="AK842" s="241"/>
      <c r="AL842" s="237"/>
      <c r="AM842" s="237"/>
      <c r="AN842" s="237"/>
      <c r="AO842" s="237"/>
      <c r="AP842" s="237"/>
      <c r="AQ842" s="237"/>
      <c r="AR842" s="237"/>
    </row>
    <row r="843">
      <c r="A843" s="228"/>
      <c r="B843" s="228"/>
      <c r="C843" s="228"/>
      <c r="D843" s="228"/>
      <c r="E843" s="228"/>
      <c r="F843" s="228"/>
      <c r="G843" s="228"/>
      <c r="H843" s="241"/>
      <c r="I843" s="228"/>
      <c r="J843" s="236"/>
      <c r="K843" s="228"/>
      <c r="L843" s="228"/>
      <c r="M843" s="238"/>
      <c r="N843" s="228"/>
      <c r="O843" s="235"/>
      <c r="P843" s="236"/>
      <c r="Q843" s="235"/>
      <c r="R843" s="235"/>
      <c r="S843" s="236"/>
      <c r="T843" s="236"/>
      <c r="U843" s="237"/>
      <c r="V843" s="237"/>
      <c r="W843" s="238"/>
      <c r="X843" s="237"/>
      <c r="Y843" s="237"/>
      <c r="Z843" s="237"/>
      <c r="AA843" s="239"/>
      <c r="AB843" s="238"/>
      <c r="AC843" s="238"/>
      <c r="AD843" s="240"/>
      <c r="AE843" s="241"/>
      <c r="AF843" s="241"/>
      <c r="AG843" s="238"/>
      <c r="AH843" s="240"/>
      <c r="AI843" s="241"/>
      <c r="AJ843" s="241"/>
      <c r="AK843" s="241"/>
      <c r="AL843" s="237"/>
      <c r="AM843" s="237"/>
      <c r="AN843" s="237"/>
      <c r="AO843" s="237"/>
      <c r="AP843" s="237"/>
      <c r="AQ843" s="237"/>
      <c r="AR843" s="237"/>
    </row>
    <row r="844">
      <c r="A844" s="228"/>
      <c r="B844" s="228"/>
      <c r="C844" s="228"/>
      <c r="D844" s="228"/>
      <c r="E844" s="228"/>
      <c r="F844" s="228"/>
      <c r="G844" s="228"/>
      <c r="H844" s="241"/>
      <c r="I844" s="228"/>
      <c r="J844" s="236"/>
      <c r="K844" s="228"/>
      <c r="L844" s="228"/>
      <c r="M844" s="238"/>
      <c r="N844" s="228"/>
      <c r="O844" s="235"/>
      <c r="P844" s="236"/>
      <c r="Q844" s="235"/>
      <c r="R844" s="235"/>
      <c r="S844" s="236"/>
      <c r="T844" s="236"/>
      <c r="U844" s="237"/>
      <c r="V844" s="237"/>
      <c r="W844" s="238"/>
      <c r="X844" s="237"/>
      <c r="Y844" s="237"/>
      <c r="Z844" s="237"/>
      <c r="AA844" s="239"/>
      <c r="AB844" s="238"/>
      <c r="AC844" s="238"/>
      <c r="AD844" s="240"/>
      <c r="AE844" s="241"/>
      <c r="AF844" s="241"/>
      <c r="AG844" s="238"/>
      <c r="AH844" s="240"/>
      <c r="AI844" s="241"/>
      <c r="AJ844" s="241"/>
      <c r="AK844" s="241"/>
      <c r="AL844" s="237"/>
      <c r="AM844" s="237"/>
      <c r="AN844" s="237"/>
      <c r="AO844" s="237"/>
      <c r="AP844" s="237"/>
      <c r="AQ844" s="237"/>
      <c r="AR844" s="237"/>
    </row>
    <row r="845">
      <c r="A845" s="228"/>
      <c r="B845" s="228"/>
      <c r="C845" s="228"/>
      <c r="D845" s="228"/>
      <c r="E845" s="228"/>
      <c r="F845" s="228"/>
      <c r="G845" s="228"/>
      <c r="H845" s="241"/>
      <c r="I845" s="228"/>
      <c r="J845" s="236"/>
      <c r="K845" s="228"/>
      <c r="L845" s="228"/>
      <c r="M845" s="238"/>
      <c r="N845" s="228"/>
      <c r="O845" s="235"/>
      <c r="P845" s="236"/>
      <c r="Q845" s="235"/>
      <c r="R845" s="235"/>
      <c r="S845" s="236"/>
      <c r="T845" s="236"/>
      <c r="U845" s="237"/>
      <c r="V845" s="237"/>
      <c r="W845" s="238"/>
      <c r="X845" s="237"/>
      <c r="Y845" s="237"/>
      <c r="Z845" s="237"/>
      <c r="AA845" s="239"/>
      <c r="AB845" s="238"/>
      <c r="AC845" s="238"/>
      <c r="AD845" s="240"/>
      <c r="AE845" s="241"/>
      <c r="AF845" s="241"/>
      <c r="AG845" s="238"/>
      <c r="AH845" s="240"/>
      <c r="AI845" s="241"/>
      <c r="AJ845" s="241"/>
      <c r="AK845" s="241"/>
      <c r="AL845" s="237"/>
      <c r="AM845" s="237"/>
      <c r="AN845" s="237"/>
      <c r="AO845" s="237"/>
      <c r="AP845" s="237"/>
      <c r="AQ845" s="237"/>
      <c r="AR845" s="237"/>
    </row>
    <row r="846">
      <c r="A846" s="228"/>
      <c r="B846" s="228"/>
      <c r="C846" s="228"/>
      <c r="D846" s="228"/>
      <c r="E846" s="228"/>
      <c r="F846" s="228"/>
      <c r="G846" s="228"/>
      <c r="H846" s="241"/>
      <c r="I846" s="228"/>
      <c r="J846" s="236"/>
      <c r="K846" s="228"/>
      <c r="L846" s="228"/>
      <c r="M846" s="238"/>
      <c r="N846" s="228"/>
      <c r="O846" s="235"/>
      <c r="P846" s="236"/>
      <c r="Q846" s="235"/>
      <c r="R846" s="235"/>
      <c r="S846" s="236"/>
      <c r="T846" s="236"/>
      <c r="U846" s="237"/>
      <c r="V846" s="237"/>
      <c r="W846" s="238"/>
      <c r="X846" s="237"/>
      <c r="Y846" s="237"/>
      <c r="Z846" s="237"/>
      <c r="AA846" s="239"/>
      <c r="AB846" s="238"/>
      <c r="AC846" s="238"/>
      <c r="AD846" s="240"/>
      <c r="AE846" s="241"/>
      <c r="AF846" s="241"/>
      <c r="AG846" s="238"/>
      <c r="AH846" s="240"/>
      <c r="AI846" s="241"/>
      <c r="AJ846" s="241"/>
      <c r="AK846" s="241"/>
      <c r="AL846" s="237"/>
      <c r="AM846" s="237"/>
      <c r="AN846" s="237"/>
      <c r="AO846" s="237"/>
      <c r="AP846" s="237"/>
      <c r="AQ846" s="237"/>
      <c r="AR846" s="237"/>
    </row>
    <row r="847">
      <c r="A847" s="228"/>
      <c r="B847" s="228"/>
      <c r="C847" s="228"/>
      <c r="D847" s="228"/>
      <c r="E847" s="228"/>
      <c r="F847" s="228"/>
      <c r="G847" s="228"/>
      <c r="H847" s="241"/>
      <c r="I847" s="228"/>
      <c r="J847" s="236"/>
      <c r="K847" s="228"/>
      <c r="L847" s="228"/>
      <c r="M847" s="238"/>
      <c r="N847" s="228"/>
      <c r="O847" s="235"/>
      <c r="P847" s="236"/>
      <c r="Q847" s="235"/>
      <c r="R847" s="235"/>
      <c r="S847" s="236"/>
      <c r="T847" s="236"/>
      <c r="U847" s="237"/>
      <c r="V847" s="237"/>
      <c r="W847" s="238"/>
      <c r="X847" s="237"/>
      <c r="Y847" s="237"/>
      <c r="Z847" s="237"/>
      <c r="AA847" s="239"/>
      <c r="AB847" s="238"/>
      <c r="AC847" s="238"/>
      <c r="AD847" s="240"/>
      <c r="AE847" s="241"/>
      <c r="AF847" s="241"/>
      <c r="AG847" s="238"/>
      <c r="AH847" s="240"/>
      <c r="AI847" s="241"/>
      <c r="AJ847" s="241"/>
      <c r="AK847" s="241"/>
      <c r="AL847" s="237"/>
      <c r="AM847" s="237"/>
      <c r="AN847" s="237"/>
      <c r="AO847" s="237"/>
      <c r="AP847" s="237"/>
      <c r="AQ847" s="237"/>
      <c r="AR847" s="237"/>
    </row>
    <row r="848">
      <c r="A848" s="228"/>
      <c r="B848" s="228"/>
      <c r="C848" s="228"/>
      <c r="D848" s="228"/>
      <c r="E848" s="228"/>
      <c r="F848" s="228"/>
      <c r="G848" s="228"/>
      <c r="H848" s="241"/>
      <c r="I848" s="228"/>
      <c r="J848" s="236"/>
      <c r="K848" s="228"/>
      <c r="L848" s="228"/>
      <c r="M848" s="238"/>
      <c r="N848" s="228"/>
      <c r="O848" s="235"/>
      <c r="P848" s="236"/>
      <c r="Q848" s="235"/>
      <c r="R848" s="235"/>
      <c r="S848" s="236"/>
      <c r="T848" s="236"/>
      <c r="U848" s="237"/>
      <c r="V848" s="237"/>
      <c r="W848" s="238"/>
      <c r="X848" s="237"/>
      <c r="Y848" s="237"/>
      <c r="Z848" s="237"/>
      <c r="AA848" s="239"/>
      <c r="AB848" s="238"/>
      <c r="AC848" s="238"/>
      <c r="AD848" s="240"/>
      <c r="AE848" s="241"/>
      <c r="AF848" s="241"/>
      <c r="AG848" s="238"/>
      <c r="AH848" s="240"/>
      <c r="AI848" s="241"/>
      <c r="AJ848" s="241"/>
      <c r="AK848" s="241"/>
      <c r="AL848" s="237"/>
      <c r="AM848" s="237"/>
      <c r="AN848" s="237"/>
      <c r="AO848" s="237"/>
      <c r="AP848" s="237"/>
      <c r="AQ848" s="237"/>
      <c r="AR848" s="237"/>
    </row>
    <row r="849">
      <c r="A849" s="228"/>
      <c r="B849" s="228"/>
      <c r="C849" s="228"/>
      <c r="D849" s="228"/>
      <c r="E849" s="228"/>
      <c r="F849" s="228"/>
      <c r="G849" s="228"/>
      <c r="H849" s="241"/>
      <c r="I849" s="228"/>
      <c r="J849" s="236"/>
      <c r="K849" s="228"/>
      <c r="L849" s="228"/>
      <c r="M849" s="238"/>
      <c r="N849" s="228"/>
      <c r="O849" s="235"/>
      <c r="P849" s="236"/>
      <c r="Q849" s="235"/>
      <c r="R849" s="235"/>
      <c r="S849" s="236"/>
      <c r="T849" s="236"/>
      <c r="U849" s="237"/>
      <c r="V849" s="237"/>
      <c r="W849" s="238"/>
      <c r="X849" s="237"/>
      <c r="Y849" s="237"/>
      <c r="Z849" s="237"/>
      <c r="AA849" s="239"/>
      <c r="AB849" s="238"/>
      <c r="AC849" s="238"/>
      <c r="AD849" s="240"/>
      <c r="AE849" s="241"/>
      <c r="AF849" s="241"/>
      <c r="AG849" s="238"/>
      <c r="AH849" s="240"/>
      <c r="AI849" s="241"/>
      <c r="AJ849" s="241"/>
      <c r="AK849" s="241"/>
      <c r="AL849" s="237"/>
      <c r="AM849" s="237"/>
      <c r="AN849" s="237"/>
      <c r="AO849" s="237"/>
      <c r="AP849" s="237"/>
      <c r="AQ849" s="237"/>
      <c r="AR849" s="237"/>
    </row>
    <row r="850">
      <c r="A850" s="228"/>
      <c r="B850" s="228"/>
      <c r="C850" s="228"/>
      <c r="D850" s="228"/>
      <c r="E850" s="228"/>
      <c r="F850" s="228"/>
      <c r="G850" s="228"/>
      <c r="H850" s="241"/>
      <c r="I850" s="228"/>
      <c r="J850" s="236"/>
      <c r="K850" s="228"/>
      <c r="L850" s="228"/>
      <c r="M850" s="238"/>
      <c r="N850" s="228"/>
      <c r="O850" s="235"/>
      <c r="P850" s="236"/>
      <c r="Q850" s="235"/>
      <c r="R850" s="235"/>
      <c r="S850" s="236"/>
      <c r="T850" s="236"/>
      <c r="U850" s="237"/>
      <c r="V850" s="237"/>
      <c r="W850" s="238"/>
      <c r="X850" s="237"/>
      <c r="Y850" s="237"/>
      <c r="Z850" s="237"/>
      <c r="AA850" s="239"/>
      <c r="AB850" s="238"/>
      <c r="AC850" s="238"/>
      <c r="AD850" s="240"/>
      <c r="AE850" s="241"/>
      <c r="AF850" s="241"/>
      <c r="AG850" s="238"/>
      <c r="AH850" s="240"/>
      <c r="AI850" s="241"/>
      <c r="AJ850" s="241"/>
      <c r="AK850" s="241"/>
      <c r="AL850" s="237"/>
      <c r="AM850" s="237"/>
      <c r="AN850" s="237"/>
      <c r="AO850" s="237"/>
      <c r="AP850" s="237"/>
      <c r="AQ850" s="237"/>
      <c r="AR850" s="237"/>
    </row>
    <row r="851">
      <c r="A851" s="228"/>
      <c r="B851" s="228"/>
      <c r="C851" s="228"/>
      <c r="D851" s="228"/>
      <c r="E851" s="228"/>
      <c r="F851" s="228"/>
      <c r="G851" s="228"/>
      <c r="H851" s="241"/>
      <c r="I851" s="228"/>
      <c r="J851" s="236"/>
      <c r="K851" s="228"/>
      <c r="L851" s="228"/>
      <c r="M851" s="238"/>
      <c r="N851" s="228"/>
      <c r="O851" s="235"/>
      <c r="P851" s="236"/>
      <c r="Q851" s="235"/>
      <c r="R851" s="235"/>
      <c r="S851" s="236"/>
      <c r="T851" s="236"/>
      <c r="U851" s="237"/>
      <c r="V851" s="237"/>
      <c r="W851" s="238"/>
      <c r="X851" s="237"/>
      <c r="Y851" s="237"/>
      <c r="Z851" s="237"/>
      <c r="AA851" s="239"/>
      <c r="AB851" s="238"/>
      <c r="AC851" s="238"/>
      <c r="AD851" s="240"/>
      <c r="AE851" s="241"/>
      <c r="AF851" s="241"/>
      <c r="AG851" s="238"/>
      <c r="AH851" s="240"/>
      <c r="AI851" s="241"/>
      <c r="AJ851" s="241"/>
      <c r="AK851" s="241"/>
      <c r="AL851" s="237"/>
      <c r="AM851" s="237"/>
      <c r="AN851" s="237"/>
      <c r="AO851" s="237"/>
      <c r="AP851" s="237"/>
      <c r="AQ851" s="237"/>
      <c r="AR851" s="237"/>
    </row>
    <row r="852">
      <c r="A852" s="228"/>
      <c r="B852" s="228"/>
      <c r="C852" s="228"/>
      <c r="D852" s="228"/>
      <c r="E852" s="228"/>
      <c r="F852" s="228"/>
      <c r="G852" s="228"/>
      <c r="H852" s="241"/>
      <c r="I852" s="228"/>
      <c r="J852" s="236"/>
      <c r="K852" s="228"/>
      <c r="L852" s="228"/>
      <c r="M852" s="238"/>
      <c r="N852" s="228"/>
      <c r="O852" s="235"/>
      <c r="P852" s="236"/>
      <c r="Q852" s="235"/>
      <c r="R852" s="235"/>
      <c r="S852" s="236"/>
      <c r="T852" s="236"/>
      <c r="U852" s="237"/>
      <c r="V852" s="237"/>
      <c r="W852" s="238"/>
      <c r="X852" s="237"/>
      <c r="Y852" s="237"/>
      <c r="Z852" s="237"/>
      <c r="AA852" s="239"/>
      <c r="AB852" s="238"/>
      <c r="AC852" s="238"/>
      <c r="AD852" s="240"/>
      <c r="AE852" s="241"/>
      <c r="AF852" s="241"/>
      <c r="AG852" s="238"/>
      <c r="AH852" s="240"/>
      <c r="AI852" s="241"/>
      <c r="AJ852" s="241"/>
      <c r="AK852" s="241"/>
      <c r="AL852" s="237"/>
      <c r="AM852" s="237"/>
      <c r="AN852" s="237"/>
      <c r="AO852" s="237"/>
      <c r="AP852" s="237"/>
      <c r="AQ852" s="237"/>
      <c r="AR852" s="237"/>
    </row>
    <row r="853">
      <c r="A853" s="228"/>
      <c r="B853" s="228"/>
      <c r="C853" s="228"/>
      <c r="D853" s="228"/>
      <c r="E853" s="228"/>
      <c r="F853" s="228"/>
      <c r="G853" s="228"/>
      <c r="H853" s="241"/>
      <c r="I853" s="228"/>
      <c r="J853" s="236"/>
      <c r="K853" s="228"/>
      <c r="L853" s="228"/>
      <c r="M853" s="238"/>
      <c r="N853" s="228"/>
      <c r="O853" s="235"/>
      <c r="P853" s="236"/>
      <c r="Q853" s="235"/>
      <c r="R853" s="235"/>
      <c r="S853" s="236"/>
      <c r="T853" s="236"/>
      <c r="U853" s="237"/>
      <c r="V853" s="237"/>
      <c r="W853" s="238"/>
      <c r="X853" s="237"/>
      <c r="Y853" s="237"/>
      <c r="Z853" s="237"/>
      <c r="AA853" s="239"/>
      <c r="AB853" s="238"/>
      <c r="AC853" s="238"/>
      <c r="AD853" s="240"/>
      <c r="AE853" s="241"/>
      <c r="AF853" s="241"/>
      <c r="AG853" s="238"/>
      <c r="AH853" s="240"/>
      <c r="AI853" s="241"/>
      <c r="AJ853" s="241"/>
      <c r="AK853" s="241"/>
      <c r="AL853" s="237"/>
      <c r="AM853" s="237"/>
      <c r="AN853" s="237"/>
      <c r="AO853" s="237"/>
      <c r="AP853" s="237"/>
      <c r="AQ853" s="237"/>
      <c r="AR853" s="237"/>
    </row>
    <row r="854">
      <c r="A854" s="228"/>
      <c r="B854" s="228"/>
      <c r="C854" s="228"/>
      <c r="D854" s="228"/>
      <c r="E854" s="228"/>
      <c r="F854" s="228"/>
      <c r="G854" s="228"/>
      <c r="H854" s="241"/>
      <c r="I854" s="228"/>
      <c r="J854" s="236"/>
      <c r="K854" s="228"/>
      <c r="L854" s="228"/>
      <c r="M854" s="238"/>
      <c r="N854" s="228"/>
      <c r="O854" s="235"/>
      <c r="P854" s="236"/>
      <c r="Q854" s="235"/>
      <c r="R854" s="235"/>
      <c r="S854" s="236"/>
      <c r="T854" s="236"/>
      <c r="U854" s="237"/>
      <c r="V854" s="237"/>
      <c r="W854" s="238"/>
      <c r="X854" s="237"/>
      <c r="Y854" s="237"/>
      <c r="Z854" s="237"/>
      <c r="AA854" s="239"/>
      <c r="AB854" s="238"/>
      <c r="AC854" s="238"/>
      <c r="AD854" s="240"/>
      <c r="AE854" s="241"/>
      <c r="AF854" s="241"/>
      <c r="AG854" s="238"/>
      <c r="AH854" s="240"/>
      <c r="AI854" s="241"/>
      <c r="AJ854" s="241"/>
      <c r="AK854" s="241"/>
      <c r="AL854" s="237"/>
      <c r="AM854" s="237"/>
      <c r="AN854" s="237"/>
      <c r="AO854" s="237"/>
      <c r="AP854" s="237"/>
      <c r="AQ854" s="237"/>
      <c r="AR854" s="237"/>
    </row>
    <row r="855">
      <c r="A855" s="228"/>
      <c r="B855" s="228"/>
      <c r="C855" s="228"/>
      <c r="D855" s="228"/>
      <c r="E855" s="228"/>
      <c r="F855" s="228"/>
      <c r="G855" s="228"/>
      <c r="H855" s="241"/>
      <c r="I855" s="228"/>
      <c r="J855" s="236"/>
      <c r="K855" s="228"/>
      <c r="L855" s="228"/>
      <c r="M855" s="238"/>
      <c r="N855" s="228"/>
      <c r="O855" s="235"/>
      <c r="P855" s="236"/>
      <c r="Q855" s="235"/>
      <c r="R855" s="235"/>
      <c r="S855" s="236"/>
      <c r="T855" s="236"/>
      <c r="U855" s="237"/>
      <c r="V855" s="237"/>
      <c r="W855" s="238"/>
      <c r="X855" s="237"/>
      <c r="Y855" s="237"/>
      <c r="Z855" s="237"/>
      <c r="AA855" s="239"/>
      <c r="AB855" s="238"/>
      <c r="AC855" s="238"/>
      <c r="AD855" s="240"/>
      <c r="AE855" s="241"/>
      <c r="AF855" s="241"/>
      <c r="AG855" s="238"/>
      <c r="AH855" s="240"/>
      <c r="AI855" s="241"/>
      <c r="AJ855" s="241"/>
      <c r="AK855" s="241"/>
      <c r="AL855" s="237"/>
      <c r="AM855" s="237"/>
      <c r="AN855" s="237"/>
      <c r="AO855" s="237"/>
      <c r="AP855" s="237"/>
      <c r="AQ855" s="237"/>
      <c r="AR855" s="237"/>
    </row>
    <row r="856">
      <c r="A856" s="228"/>
      <c r="B856" s="228"/>
      <c r="C856" s="228"/>
      <c r="D856" s="228"/>
      <c r="E856" s="228"/>
      <c r="F856" s="228"/>
      <c r="G856" s="228"/>
      <c r="H856" s="241"/>
      <c r="I856" s="228"/>
      <c r="J856" s="236"/>
      <c r="K856" s="228"/>
      <c r="L856" s="228"/>
      <c r="M856" s="238"/>
      <c r="N856" s="228"/>
      <c r="O856" s="235"/>
      <c r="P856" s="236"/>
      <c r="Q856" s="235"/>
      <c r="R856" s="235"/>
      <c r="S856" s="236"/>
      <c r="T856" s="236"/>
      <c r="U856" s="237"/>
      <c r="V856" s="237"/>
      <c r="W856" s="238"/>
      <c r="X856" s="237"/>
      <c r="Y856" s="237"/>
      <c r="Z856" s="237"/>
      <c r="AA856" s="239"/>
      <c r="AB856" s="238"/>
      <c r="AC856" s="238"/>
      <c r="AD856" s="240"/>
      <c r="AE856" s="241"/>
      <c r="AF856" s="241"/>
      <c r="AG856" s="238"/>
      <c r="AH856" s="240"/>
      <c r="AI856" s="241"/>
      <c r="AJ856" s="241"/>
      <c r="AK856" s="241"/>
      <c r="AL856" s="237"/>
      <c r="AM856" s="237"/>
      <c r="AN856" s="237"/>
      <c r="AO856" s="237"/>
      <c r="AP856" s="237"/>
      <c r="AQ856" s="237"/>
      <c r="AR856" s="237"/>
    </row>
    <row r="857">
      <c r="A857" s="228"/>
      <c r="B857" s="228"/>
      <c r="C857" s="228"/>
      <c r="D857" s="228"/>
      <c r="E857" s="228"/>
      <c r="F857" s="228"/>
      <c r="G857" s="228"/>
      <c r="H857" s="241"/>
      <c r="I857" s="228"/>
      <c r="J857" s="236"/>
      <c r="K857" s="228"/>
      <c r="L857" s="228"/>
      <c r="M857" s="238"/>
      <c r="N857" s="228"/>
      <c r="O857" s="235"/>
      <c r="P857" s="236"/>
      <c r="Q857" s="235"/>
      <c r="R857" s="235"/>
      <c r="S857" s="236"/>
      <c r="T857" s="236"/>
      <c r="U857" s="237"/>
      <c r="V857" s="237"/>
      <c r="W857" s="238"/>
      <c r="X857" s="237"/>
      <c r="Y857" s="237"/>
      <c r="Z857" s="237"/>
      <c r="AA857" s="239"/>
      <c r="AB857" s="238"/>
      <c r="AC857" s="238"/>
      <c r="AD857" s="240"/>
      <c r="AE857" s="241"/>
      <c r="AF857" s="241"/>
      <c r="AG857" s="238"/>
      <c r="AH857" s="240"/>
      <c r="AI857" s="241"/>
      <c r="AJ857" s="241"/>
      <c r="AK857" s="241"/>
      <c r="AL857" s="237"/>
      <c r="AM857" s="237"/>
      <c r="AN857" s="237"/>
      <c r="AO857" s="237"/>
      <c r="AP857" s="237"/>
      <c r="AQ857" s="237"/>
      <c r="AR857" s="237"/>
    </row>
    <row r="858">
      <c r="A858" s="228"/>
      <c r="B858" s="228"/>
      <c r="C858" s="228"/>
      <c r="D858" s="228"/>
      <c r="E858" s="228"/>
      <c r="F858" s="228"/>
      <c r="G858" s="228"/>
      <c r="H858" s="241"/>
      <c r="I858" s="228"/>
      <c r="J858" s="236"/>
      <c r="K858" s="228"/>
      <c r="L858" s="228"/>
      <c r="M858" s="238"/>
      <c r="N858" s="228"/>
      <c r="O858" s="235"/>
      <c r="P858" s="236"/>
      <c r="Q858" s="235"/>
      <c r="R858" s="235"/>
      <c r="S858" s="236"/>
      <c r="T858" s="236"/>
      <c r="U858" s="237"/>
      <c r="V858" s="237"/>
      <c r="W858" s="238"/>
      <c r="X858" s="237"/>
      <c r="Y858" s="237"/>
      <c r="Z858" s="237"/>
      <c r="AA858" s="239"/>
      <c r="AB858" s="238"/>
      <c r="AC858" s="238"/>
      <c r="AD858" s="240"/>
      <c r="AE858" s="241"/>
      <c r="AF858" s="241"/>
      <c r="AG858" s="238"/>
      <c r="AH858" s="240"/>
      <c r="AI858" s="241"/>
      <c r="AJ858" s="241"/>
      <c r="AK858" s="241"/>
      <c r="AL858" s="237"/>
      <c r="AM858" s="237"/>
      <c r="AN858" s="237"/>
      <c r="AO858" s="237"/>
      <c r="AP858" s="237"/>
      <c r="AQ858" s="237"/>
      <c r="AR858" s="237"/>
    </row>
    <row r="859">
      <c r="A859" s="228"/>
      <c r="B859" s="228"/>
      <c r="C859" s="228"/>
      <c r="D859" s="228"/>
      <c r="E859" s="228"/>
      <c r="F859" s="228"/>
      <c r="G859" s="228"/>
      <c r="H859" s="241"/>
      <c r="I859" s="228"/>
      <c r="J859" s="236"/>
      <c r="K859" s="228"/>
      <c r="L859" s="228"/>
      <c r="M859" s="238"/>
      <c r="N859" s="228"/>
      <c r="O859" s="235"/>
      <c r="P859" s="236"/>
      <c r="Q859" s="235"/>
      <c r="R859" s="235"/>
      <c r="S859" s="236"/>
      <c r="T859" s="236"/>
      <c r="U859" s="237"/>
      <c r="V859" s="237"/>
      <c r="W859" s="238"/>
      <c r="X859" s="237"/>
      <c r="Y859" s="237"/>
      <c r="Z859" s="237"/>
      <c r="AA859" s="239"/>
      <c r="AB859" s="238"/>
      <c r="AC859" s="238"/>
      <c r="AD859" s="240"/>
      <c r="AE859" s="241"/>
      <c r="AF859" s="241"/>
      <c r="AG859" s="238"/>
      <c r="AH859" s="240"/>
      <c r="AI859" s="241"/>
      <c r="AJ859" s="241"/>
      <c r="AK859" s="241"/>
      <c r="AL859" s="237"/>
      <c r="AM859" s="237"/>
      <c r="AN859" s="237"/>
      <c r="AO859" s="237"/>
      <c r="AP859" s="237"/>
      <c r="AQ859" s="237"/>
      <c r="AR859" s="237"/>
    </row>
    <row r="860">
      <c r="A860" s="228"/>
      <c r="B860" s="228"/>
      <c r="C860" s="228"/>
      <c r="D860" s="228"/>
      <c r="E860" s="228"/>
      <c r="F860" s="228"/>
      <c r="G860" s="228"/>
      <c r="H860" s="241"/>
      <c r="I860" s="228"/>
      <c r="J860" s="236"/>
      <c r="K860" s="228"/>
      <c r="L860" s="228"/>
      <c r="M860" s="238"/>
      <c r="N860" s="228"/>
      <c r="O860" s="235"/>
      <c r="P860" s="236"/>
      <c r="Q860" s="235"/>
      <c r="R860" s="235"/>
      <c r="S860" s="236"/>
      <c r="T860" s="236"/>
      <c r="U860" s="237"/>
      <c r="V860" s="237"/>
      <c r="W860" s="238"/>
      <c r="X860" s="237"/>
      <c r="Y860" s="237"/>
      <c r="Z860" s="237"/>
      <c r="AA860" s="239"/>
      <c r="AB860" s="238"/>
      <c r="AC860" s="238"/>
      <c r="AD860" s="240"/>
      <c r="AE860" s="241"/>
      <c r="AF860" s="241"/>
      <c r="AG860" s="238"/>
      <c r="AH860" s="240"/>
      <c r="AI860" s="241"/>
      <c r="AJ860" s="241"/>
      <c r="AK860" s="241"/>
      <c r="AL860" s="237"/>
      <c r="AM860" s="237"/>
      <c r="AN860" s="237"/>
      <c r="AO860" s="237"/>
      <c r="AP860" s="237"/>
      <c r="AQ860" s="237"/>
      <c r="AR860" s="237"/>
    </row>
    <row r="861">
      <c r="A861" s="228"/>
      <c r="B861" s="228"/>
      <c r="C861" s="228"/>
      <c r="D861" s="228"/>
      <c r="E861" s="228"/>
      <c r="F861" s="228"/>
      <c r="G861" s="228"/>
      <c r="H861" s="241"/>
      <c r="I861" s="228"/>
      <c r="J861" s="236"/>
      <c r="K861" s="228"/>
      <c r="L861" s="228"/>
      <c r="M861" s="238"/>
      <c r="N861" s="228"/>
      <c r="O861" s="235"/>
      <c r="P861" s="236"/>
      <c r="Q861" s="235"/>
      <c r="R861" s="235"/>
      <c r="S861" s="236"/>
      <c r="T861" s="236"/>
      <c r="U861" s="237"/>
      <c r="V861" s="237"/>
      <c r="W861" s="238"/>
      <c r="X861" s="237"/>
      <c r="Y861" s="237"/>
      <c r="Z861" s="237"/>
      <c r="AA861" s="239"/>
      <c r="AB861" s="238"/>
      <c r="AC861" s="238"/>
      <c r="AD861" s="240"/>
      <c r="AE861" s="241"/>
      <c r="AF861" s="241"/>
      <c r="AG861" s="238"/>
      <c r="AH861" s="240"/>
      <c r="AI861" s="241"/>
      <c r="AJ861" s="241"/>
      <c r="AK861" s="241"/>
      <c r="AL861" s="237"/>
      <c r="AM861" s="237"/>
      <c r="AN861" s="237"/>
      <c r="AO861" s="237"/>
      <c r="AP861" s="237"/>
      <c r="AQ861" s="237"/>
      <c r="AR861" s="237"/>
    </row>
    <row r="862">
      <c r="A862" s="228"/>
      <c r="B862" s="228"/>
      <c r="C862" s="228"/>
      <c r="D862" s="228"/>
      <c r="E862" s="228"/>
      <c r="F862" s="228"/>
      <c r="G862" s="228"/>
      <c r="H862" s="241"/>
      <c r="I862" s="228"/>
      <c r="J862" s="236"/>
      <c r="K862" s="228"/>
      <c r="L862" s="228"/>
      <c r="M862" s="238"/>
      <c r="N862" s="228"/>
      <c r="O862" s="235"/>
      <c r="P862" s="236"/>
      <c r="Q862" s="235"/>
      <c r="R862" s="235"/>
      <c r="S862" s="236"/>
      <c r="T862" s="236"/>
      <c r="U862" s="237"/>
      <c r="V862" s="237"/>
      <c r="W862" s="238"/>
      <c r="X862" s="237"/>
      <c r="Y862" s="237"/>
      <c r="Z862" s="237"/>
      <c r="AA862" s="239"/>
      <c r="AB862" s="238"/>
      <c r="AC862" s="238"/>
      <c r="AD862" s="240"/>
      <c r="AE862" s="241"/>
      <c r="AF862" s="241"/>
      <c r="AG862" s="238"/>
      <c r="AH862" s="240"/>
      <c r="AI862" s="241"/>
      <c r="AJ862" s="241"/>
      <c r="AK862" s="241"/>
      <c r="AL862" s="237"/>
      <c r="AM862" s="237"/>
      <c r="AN862" s="237"/>
      <c r="AO862" s="237"/>
      <c r="AP862" s="237"/>
      <c r="AQ862" s="237"/>
      <c r="AR862" s="237"/>
    </row>
    <row r="863">
      <c r="A863" s="228"/>
      <c r="B863" s="228"/>
      <c r="C863" s="228"/>
      <c r="D863" s="228"/>
      <c r="E863" s="228"/>
      <c r="F863" s="228"/>
      <c r="G863" s="228"/>
      <c r="H863" s="241"/>
      <c r="I863" s="228"/>
      <c r="J863" s="236"/>
      <c r="K863" s="228"/>
      <c r="L863" s="228"/>
      <c r="M863" s="238"/>
      <c r="N863" s="228"/>
      <c r="O863" s="235"/>
      <c r="P863" s="236"/>
      <c r="Q863" s="235"/>
      <c r="R863" s="235"/>
      <c r="S863" s="236"/>
      <c r="T863" s="236"/>
      <c r="U863" s="237"/>
      <c r="V863" s="237"/>
      <c r="W863" s="238"/>
      <c r="X863" s="237"/>
      <c r="Y863" s="237"/>
      <c r="Z863" s="237"/>
      <c r="AA863" s="239"/>
      <c r="AB863" s="238"/>
      <c r="AC863" s="238"/>
      <c r="AD863" s="240"/>
      <c r="AE863" s="241"/>
      <c r="AF863" s="241"/>
      <c r="AG863" s="238"/>
      <c r="AH863" s="240"/>
      <c r="AI863" s="241"/>
      <c r="AJ863" s="241"/>
      <c r="AK863" s="241"/>
      <c r="AL863" s="237"/>
      <c r="AM863" s="237"/>
      <c r="AN863" s="237"/>
      <c r="AO863" s="237"/>
      <c r="AP863" s="237"/>
      <c r="AQ863" s="237"/>
      <c r="AR863" s="237"/>
    </row>
    <row r="864">
      <c r="A864" s="228"/>
      <c r="B864" s="228"/>
      <c r="C864" s="228"/>
      <c r="D864" s="228"/>
      <c r="E864" s="228"/>
      <c r="F864" s="228"/>
      <c r="G864" s="228"/>
      <c r="H864" s="241"/>
      <c r="I864" s="228"/>
      <c r="J864" s="236"/>
      <c r="K864" s="228"/>
      <c r="L864" s="228"/>
      <c r="M864" s="238"/>
      <c r="N864" s="228"/>
      <c r="O864" s="235"/>
      <c r="P864" s="236"/>
      <c r="Q864" s="235"/>
      <c r="R864" s="235"/>
      <c r="S864" s="236"/>
      <c r="T864" s="236"/>
      <c r="U864" s="237"/>
      <c r="V864" s="237"/>
      <c r="W864" s="238"/>
      <c r="X864" s="237"/>
      <c r="Y864" s="237"/>
      <c r="Z864" s="237"/>
      <c r="AA864" s="239"/>
      <c r="AB864" s="238"/>
      <c r="AC864" s="238"/>
      <c r="AD864" s="240"/>
      <c r="AE864" s="241"/>
      <c r="AF864" s="241"/>
      <c r="AG864" s="238"/>
      <c r="AH864" s="240"/>
      <c r="AI864" s="241"/>
      <c r="AJ864" s="241"/>
      <c r="AK864" s="241"/>
      <c r="AL864" s="237"/>
      <c r="AM864" s="237"/>
      <c r="AN864" s="237"/>
      <c r="AO864" s="237"/>
      <c r="AP864" s="237"/>
      <c r="AQ864" s="237"/>
      <c r="AR864" s="237"/>
    </row>
    <row r="865">
      <c r="A865" s="228"/>
      <c r="B865" s="228"/>
      <c r="C865" s="228"/>
      <c r="D865" s="228"/>
      <c r="E865" s="228"/>
      <c r="F865" s="228"/>
      <c r="G865" s="228"/>
      <c r="H865" s="241"/>
      <c r="I865" s="228"/>
      <c r="J865" s="236"/>
      <c r="K865" s="228"/>
      <c r="L865" s="228"/>
      <c r="M865" s="238"/>
      <c r="N865" s="228"/>
      <c r="O865" s="235"/>
      <c r="P865" s="236"/>
      <c r="Q865" s="235"/>
      <c r="R865" s="235"/>
      <c r="S865" s="236"/>
      <c r="T865" s="236"/>
      <c r="U865" s="237"/>
      <c r="V865" s="237"/>
      <c r="W865" s="238"/>
      <c r="X865" s="237"/>
      <c r="Y865" s="237"/>
      <c r="Z865" s="237"/>
      <c r="AA865" s="239"/>
      <c r="AB865" s="238"/>
      <c r="AC865" s="238"/>
      <c r="AD865" s="240"/>
      <c r="AE865" s="241"/>
      <c r="AF865" s="241"/>
      <c r="AG865" s="238"/>
      <c r="AH865" s="240"/>
      <c r="AI865" s="241"/>
      <c r="AJ865" s="241"/>
      <c r="AK865" s="241"/>
      <c r="AL865" s="237"/>
      <c r="AM865" s="237"/>
      <c r="AN865" s="237"/>
      <c r="AO865" s="237"/>
      <c r="AP865" s="237"/>
      <c r="AQ865" s="237"/>
      <c r="AR865" s="237"/>
    </row>
    <row r="866">
      <c r="A866" s="228"/>
      <c r="B866" s="228"/>
      <c r="C866" s="228"/>
      <c r="D866" s="228"/>
      <c r="E866" s="228"/>
      <c r="F866" s="228"/>
      <c r="G866" s="228"/>
      <c r="H866" s="241"/>
      <c r="I866" s="228"/>
      <c r="J866" s="236"/>
      <c r="K866" s="228"/>
      <c r="L866" s="228"/>
      <c r="M866" s="238"/>
      <c r="N866" s="228"/>
      <c r="O866" s="235"/>
      <c r="P866" s="236"/>
      <c r="Q866" s="235"/>
      <c r="R866" s="235"/>
      <c r="S866" s="236"/>
      <c r="T866" s="236"/>
      <c r="U866" s="237"/>
      <c r="V866" s="237"/>
      <c r="W866" s="238"/>
      <c r="X866" s="237"/>
      <c r="Y866" s="237"/>
      <c r="Z866" s="237"/>
      <c r="AA866" s="239"/>
      <c r="AB866" s="238"/>
      <c r="AC866" s="238"/>
      <c r="AD866" s="240"/>
      <c r="AE866" s="241"/>
      <c r="AF866" s="241"/>
      <c r="AG866" s="238"/>
      <c r="AH866" s="240"/>
      <c r="AI866" s="241"/>
      <c r="AJ866" s="241"/>
      <c r="AK866" s="241"/>
      <c r="AL866" s="237"/>
      <c r="AM866" s="237"/>
      <c r="AN866" s="237"/>
      <c r="AO866" s="237"/>
      <c r="AP866" s="237"/>
      <c r="AQ866" s="237"/>
      <c r="AR866" s="237"/>
    </row>
    <row r="867">
      <c r="A867" s="228"/>
      <c r="B867" s="228"/>
      <c r="C867" s="228"/>
      <c r="D867" s="228"/>
      <c r="E867" s="228"/>
      <c r="F867" s="228"/>
      <c r="G867" s="228"/>
      <c r="H867" s="241"/>
      <c r="I867" s="228"/>
      <c r="J867" s="236"/>
      <c r="K867" s="228"/>
      <c r="L867" s="228"/>
      <c r="M867" s="238"/>
      <c r="N867" s="228"/>
      <c r="O867" s="235"/>
      <c r="P867" s="236"/>
      <c r="Q867" s="235"/>
      <c r="R867" s="235"/>
      <c r="S867" s="236"/>
      <c r="T867" s="236"/>
      <c r="U867" s="237"/>
      <c r="V867" s="237"/>
      <c r="W867" s="238"/>
      <c r="X867" s="237"/>
      <c r="Y867" s="237"/>
      <c r="Z867" s="237"/>
      <c r="AA867" s="239"/>
      <c r="AB867" s="238"/>
      <c r="AC867" s="238"/>
      <c r="AD867" s="240"/>
      <c r="AE867" s="241"/>
      <c r="AF867" s="241"/>
      <c r="AG867" s="238"/>
      <c r="AH867" s="240"/>
      <c r="AI867" s="241"/>
      <c r="AJ867" s="241"/>
      <c r="AK867" s="241"/>
      <c r="AL867" s="237"/>
      <c r="AM867" s="237"/>
      <c r="AN867" s="237"/>
      <c r="AO867" s="237"/>
      <c r="AP867" s="237"/>
      <c r="AQ867" s="237"/>
      <c r="AR867" s="237"/>
    </row>
    <row r="868">
      <c r="A868" s="228"/>
      <c r="B868" s="228"/>
      <c r="C868" s="228"/>
      <c r="D868" s="228"/>
      <c r="E868" s="228"/>
      <c r="F868" s="228"/>
      <c r="G868" s="228"/>
      <c r="H868" s="241"/>
      <c r="I868" s="228"/>
      <c r="J868" s="236"/>
      <c r="K868" s="228"/>
      <c r="L868" s="228"/>
      <c r="M868" s="238"/>
      <c r="N868" s="228"/>
      <c r="O868" s="235"/>
      <c r="P868" s="236"/>
      <c r="Q868" s="235"/>
      <c r="R868" s="235"/>
      <c r="S868" s="236"/>
      <c r="T868" s="236"/>
      <c r="U868" s="237"/>
      <c r="V868" s="237"/>
      <c r="W868" s="238"/>
      <c r="X868" s="237"/>
      <c r="Y868" s="237"/>
      <c r="Z868" s="237"/>
      <c r="AA868" s="239"/>
      <c r="AB868" s="238"/>
      <c r="AC868" s="238"/>
      <c r="AD868" s="240"/>
      <c r="AE868" s="241"/>
      <c r="AF868" s="241"/>
      <c r="AG868" s="238"/>
      <c r="AH868" s="240"/>
      <c r="AI868" s="241"/>
      <c r="AJ868" s="241"/>
      <c r="AK868" s="241"/>
      <c r="AL868" s="237"/>
      <c r="AM868" s="237"/>
      <c r="AN868" s="237"/>
      <c r="AO868" s="237"/>
      <c r="AP868" s="237"/>
      <c r="AQ868" s="237"/>
      <c r="AR868" s="237"/>
    </row>
    <row r="869">
      <c r="A869" s="228"/>
      <c r="B869" s="228"/>
      <c r="C869" s="228"/>
      <c r="D869" s="228"/>
      <c r="E869" s="228"/>
      <c r="F869" s="228"/>
      <c r="G869" s="228"/>
      <c r="H869" s="241"/>
      <c r="I869" s="228"/>
      <c r="J869" s="236"/>
      <c r="K869" s="228"/>
      <c r="L869" s="228"/>
      <c r="M869" s="238"/>
      <c r="N869" s="228"/>
      <c r="O869" s="235"/>
      <c r="P869" s="236"/>
      <c r="Q869" s="235"/>
      <c r="R869" s="235"/>
      <c r="S869" s="236"/>
      <c r="T869" s="236"/>
      <c r="U869" s="237"/>
      <c r="V869" s="237"/>
      <c r="W869" s="238"/>
      <c r="X869" s="237"/>
      <c r="Y869" s="237"/>
      <c r="Z869" s="237"/>
      <c r="AA869" s="239"/>
      <c r="AB869" s="238"/>
      <c r="AC869" s="238"/>
      <c r="AD869" s="240"/>
      <c r="AE869" s="241"/>
      <c r="AF869" s="241"/>
      <c r="AG869" s="238"/>
      <c r="AH869" s="240"/>
      <c r="AI869" s="241"/>
      <c r="AJ869" s="241"/>
      <c r="AK869" s="241"/>
      <c r="AL869" s="237"/>
      <c r="AM869" s="237"/>
      <c r="AN869" s="237"/>
      <c r="AO869" s="237"/>
      <c r="AP869" s="237"/>
      <c r="AQ869" s="237"/>
      <c r="AR869" s="237"/>
    </row>
    <row r="870">
      <c r="A870" s="228"/>
      <c r="B870" s="228"/>
      <c r="C870" s="228"/>
      <c r="D870" s="228"/>
      <c r="E870" s="228"/>
      <c r="F870" s="228"/>
      <c r="G870" s="228"/>
      <c r="H870" s="241"/>
      <c r="I870" s="228"/>
      <c r="J870" s="236"/>
      <c r="K870" s="228"/>
      <c r="L870" s="228"/>
      <c r="M870" s="238"/>
      <c r="N870" s="228"/>
      <c r="O870" s="235"/>
      <c r="P870" s="236"/>
      <c r="Q870" s="235"/>
      <c r="R870" s="235"/>
      <c r="S870" s="236"/>
      <c r="T870" s="236"/>
      <c r="U870" s="237"/>
      <c r="V870" s="237"/>
      <c r="W870" s="238"/>
      <c r="X870" s="237"/>
      <c r="Y870" s="237"/>
      <c r="Z870" s="237"/>
      <c r="AA870" s="239"/>
      <c r="AB870" s="238"/>
      <c r="AC870" s="238"/>
      <c r="AD870" s="240"/>
      <c r="AE870" s="241"/>
      <c r="AF870" s="241"/>
      <c r="AG870" s="238"/>
      <c r="AH870" s="240"/>
      <c r="AI870" s="241"/>
      <c r="AJ870" s="241"/>
      <c r="AK870" s="241"/>
      <c r="AL870" s="237"/>
      <c r="AM870" s="237"/>
      <c r="AN870" s="237"/>
      <c r="AO870" s="237"/>
      <c r="AP870" s="237"/>
      <c r="AQ870" s="237"/>
      <c r="AR870" s="237"/>
    </row>
    <row r="871">
      <c r="A871" s="228"/>
      <c r="B871" s="228"/>
      <c r="C871" s="228"/>
      <c r="D871" s="228"/>
      <c r="E871" s="228"/>
      <c r="F871" s="228"/>
      <c r="G871" s="228"/>
      <c r="H871" s="241"/>
      <c r="I871" s="228"/>
      <c r="J871" s="236"/>
      <c r="K871" s="228"/>
      <c r="L871" s="228"/>
      <c r="M871" s="238"/>
      <c r="N871" s="228"/>
      <c r="O871" s="235"/>
      <c r="P871" s="236"/>
      <c r="Q871" s="235"/>
      <c r="R871" s="235"/>
      <c r="S871" s="236"/>
      <c r="T871" s="236"/>
      <c r="U871" s="237"/>
      <c r="V871" s="237"/>
      <c r="W871" s="238"/>
      <c r="X871" s="237"/>
      <c r="Y871" s="237"/>
      <c r="Z871" s="237"/>
      <c r="AA871" s="239"/>
      <c r="AB871" s="238"/>
      <c r="AC871" s="238"/>
      <c r="AD871" s="240"/>
      <c r="AE871" s="241"/>
      <c r="AF871" s="241"/>
      <c r="AG871" s="238"/>
      <c r="AH871" s="240"/>
      <c r="AI871" s="241"/>
      <c r="AJ871" s="241"/>
      <c r="AK871" s="241"/>
      <c r="AL871" s="237"/>
      <c r="AM871" s="237"/>
      <c r="AN871" s="237"/>
      <c r="AO871" s="237"/>
      <c r="AP871" s="237"/>
      <c r="AQ871" s="237"/>
      <c r="AR871" s="237"/>
    </row>
    <row r="872">
      <c r="A872" s="228"/>
      <c r="B872" s="228"/>
      <c r="C872" s="228"/>
      <c r="D872" s="228"/>
      <c r="E872" s="228"/>
      <c r="F872" s="228"/>
      <c r="G872" s="228"/>
      <c r="H872" s="241"/>
      <c r="I872" s="228"/>
      <c r="J872" s="236"/>
      <c r="K872" s="228"/>
      <c r="L872" s="228"/>
      <c r="M872" s="238"/>
      <c r="N872" s="228"/>
      <c r="O872" s="235"/>
      <c r="P872" s="236"/>
      <c r="Q872" s="235"/>
      <c r="R872" s="235"/>
      <c r="S872" s="236"/>
      <c r="T872" s="236"/>
      <c r="U872" s="237"/>
      <c r="V872" s="237"/>
      <c r="W872" s="238"/>
      <c r="X872" s="237"/>
      <c r="Y872" s="237"/>
      <c r="Z872" s="237"/>
      <c r="AA872" s="239"/>
      <c r="AB872" s="238"/>
      <c r="AC872" s="238"/>
      <c r="AD872" s="240"/>
      <c r="AE872" s="241"/>
      <c r="AF872" s="241"/>
      <c r="AG872" s="238"/>
      <c r="AH872" s="240"/>
      <c r="AI872" s="241"/>
      <c r="AJ872" s="241"/>
      <c r="AK872" s="241"/>
      <c r="AL872" s="237"/>
      <c r="AM872" s="237"/>
      <c r="AN872" s="237"/>
      <c r="AO872" s="237"/>
      <c r="AP872" s="237"/>
      <c r="AQ872" s="237"/>
      <c r="AR872" s="237"/>
    </row>
    <row r="873">
      <c r="A873" s="228"/>
      <c r="B873" s="228"/>
      <c r="C873" s="228"/>
      <c r="D873" s="228"/>
      <c r="E873" s="228"/>
      <c r="F873" s="228"/>
      <c r="G873" s="228"/>
      <c r="H873" s="241"/>
      <c r="I873" s="228"/>
      <c r="J873" s="236"/>
      <c r="K873" s="228"/>
      <c r="L873" s="228"/>
      <c r="M873" s="238"/>
      <c r="N873" s="228"/>
      <c r="O873" s="235"/>
      <c r="P873" s="236"/>
      <c r="Q873" s="235"/>
      <c r="R873" s="235"/>
      <c r="S873" s="236"/>
      <c r="T873" s="236"/>
      <c r="U873" s="237"/>
      <c r="V873" s="237"/>
      <c r="W873" s="238"/>
      <c r="X873" s="237"/>
      <c r="Y873" s="237"/>
      <c r="Z873" s="237"/>
      <c r="AA873" s="239"/>
      <c r="AB873" s="238"/>
      <c r="AC873" s="238"/>
      <c r="AD873" s="240"/>
      <c r="AE873" s="241"/>
      <c r="AF873" s="241"/>
      <c r="AG873" s="238"/>
      <c r="AH873" s="240"/>
      <c r="AI873" s="241"/>
      <c r="AJ873" s="241"/>
      <c r="AK873" s="241"/>
      <c r="AL873" s="237"/>
      <c r="AM873" s="237"/>
      <c r="AN873" s="237"/>
      <c r="AO873" s="237"/>
      <c r="AP873" s="237"/>
      <c r="AQ873" s="237"/>
      <c r="AR873" s="237"/>
    </row>
    <row r="874">
      <c r="A874" s="228"/>
      <c r="B874" s="228"/>
      <c r="C874" s="228"/>
      <c r="D874" s="228"/>
      <c r="E874" s="228"/>
      <c r="F874" s="228"/>
      <c r="G874" s="228"/>
      <c r="H874" s="241"/>
      <c r="I874" s="228"/>
      <c r="J874" s="236"/>
      <c r="K874" s="228"/>
      <c r="L874" s="228"/>
      <c r="M874" s="238"/>
      <c r="N874" s="228"/>
      <c r="O874" s="235"/>
      <c r="P874" s="236"/>
      <c r="Q874" s="235"/>
      <c r="R874" s="235"/>
      <c r="S874" s="236"/>
      <c r="T874" s="236"/>
      <c r="U874" s="237"/>
      <c r="V874" s="237"/>
      <c r="W874" s="238"/>
      <c r="X874" s="237"/>
      <c r="Y874" s="237"/>
      <c r="Z874" s="237"/>
      <c r="AA874" s="239"/>
      <c r="AB874" s="238"/>
      <c r="AC874" s="238"/>
      <c r="AD874" s="240"/>
      <c r="AE874" s="241"/>
      <c r="AF874" s="241"/>
      <c r="AG874" s="238"/>
      <c r="AH874" s="240"/>
      <c r="AI874" s="241"/>
      <c r="AJ874" s="241"/>
      <c r="AK874" s="241"/>
      <c r="AL874" s="237"/>
      <c r="AM874" s="237"/>
      <c r="AN874" s="237"/>
      <c r="AO874" s="237"/>
      <c r="AP874" s="237"/>
      <c r="AQ874" s="237"/>
      <c r="AR874" s="237"/>
    </row>
    <row r="875">
      <c r="A875" s="228"/>
      <c r="B875" s="228"/>
      <c r="C875" s="228"/>
      <c r="D875" s="228"/>
      <c r="E875" s="228"/>
      <c r="F875" s="228"/>
      <c r="G875" s="228"/>
      <c r="H875" s="241"/>
      <c r="I875" s="228"/>
      <c r="J875" s="236"/>
      <c r="K875" s="228"/>
      <c r="L875" s="228"/>
      <c r="M875" s="238"/>
      <c r="N875" s="228"/>
      <c r="O875" s="235"/>
      <c r="P875" s="236"/>
      <c r="Q875" s="235"/>
      <c r="R875" s="235"/>
      <c r="S875" s="236"/>
      <c r="T875" s="236"/>
      <c r="U875" s="237"/>
      <c r="V875" s="237"/>
      <c r="W875" s="238"/>
      <c r="X875" s="237"/>
      <c r="Y875" s="237"/>
      <c r="Z875" s="237"/>
      <c r="AA875" s="239"/>
      <c r="AB875" s="238"/>
      <c r="AC875" s="238"/>
      <c r="AD875" s="240"/>
      <c r="AE875" s="241"/>
      <c r="AF875" s="241"/>
      <c r="AG875" s="238"/>
      <c r="AH875" s="240"/>
      <c r="AI875" s="241"/>
      <c r="AJ875" s="241"/>
      <c r="AK875" s="241"/>
      <c r="AL875" s="237"/>
      <c r="AM875" s="237"/>
      <c r="AN875" s="237"/>
      <c r="AO875" s="237"/>
      <c r="AP875" s="237"/>
      <c r="AQ875" s="237"/>
      <c r="AR875" s="237"/>
    </row>
    <row r="876">
      <c r="A876" s="228"/>
      <c r="B876" s="228"/>
      <c r="C876" s="228"/>
      <c r="D876" s="228"/>
      <c r="E876" s="228"/>
      <c r="F876" s="228"/>
      <c r="G876" s="228"/>
      <c r="H876" s="241"/>
      <c r="I876" s="228"/>
      <c r="J876" s="236"/>
      <c r="K876" s="228"/>
      <c r="L876" s="228"/>
      <c r="M876" s="238"/>
      <c r="N876" s="228"/>
      <c r="O876" s="235"/>
      <c r="P876" s="236"/>
      <c r="Q876" s="235"/>
      <c r="R876" s="235"/>
      <c r="S876" s="236"/>
      <c r="T876" s="236"/>
      <c r="U876" s="237"/>
      <c r="V876" s="237"/>
      <c r="W876" s="238"/>
      <c r="X876" s="237"/>
      <c r="Y876" s="237"/>
      <c r="Z876" s="237"/>
      <c r="AA876" s="239"/>
      <c r="AB876" s="238"/>
      <c r="AC876" s="238"/>
      <c r="AD876" s="240"/>
      <c r="AE876" s="241"/>
      <c r="AF876" s="241"/>
      <c r="AG876" s="238"/>
      <c r="AH876" s="240"/>
      <c r="AI876" s="241"/>
      <c r="AJ876" s="241"/>
      <c r="AK876" s="241"/>
      <c r="AL876" s="237"/>
      <c r="AM876" s="237"/>
      <c r="AN876" s="237"/>
      <c r="AO876" s="237"/>
      <c r="AP876" s="237"/>
      <c r="AQ876" s="237"/>
      <c r="AR876" s="237"/>
    </row>
    <row r="877">
      <c r="A877" s="228"/>
      <c r="B877" s="228"/>
      <c r="C877" s="228"/>
      <c r="D877" s="228"/>
      <c r="E877" s="228"/>
      <c r="F877" s="228"/>
      <c r="G877" s="228"/>
      <c r="H877" s="241"/>
      <c r="I877" s="228"/>
      <c r="J877" s="236"/>
      <c r="K877" s="228"/>
      <c r="L877" s="228"/>
      <c r="M877" s="238"/>
      <c r="N877" s="228"/>
      <c r="O877" s="235"/>
      <c r="P877" s="236"/>
      <c r="Q877" s="235"/>
      <c r="R877" s="235"/>
      <c r="S877" s="236"/>
      <c r="T877" s="236"/>
      <c r="U877" s="237"/>
      <c r="V877" s="237"/>
      <c r="W877" s="238"/>
      <c r="X877" s="237"/>
      <c r="Y877" s="237"/>
      <c r="Z877" s="237"/>
      <c r="AA877" s="239"/>
      <c r="AB877" s="238"/>
      <c r="AC877" s="238"/>
      <c r="AD877" s="240"/>
      <c r="AE877" s="241"/>
      <c r="AF877" s="241"/>
      <c r="AG877" s="238"/>
      <c r="AH877" s="240"/>
      <c r="AI877" s="241"/>
      <c r="AJ877" s="241"/>
      <c r="AK877" s="241"/>
      <c r="AL877" s="237"/>
      <c r="AM877" s="237"/>
      <c r="AN877" s="237"/>
      <c r="AO877" s="237"/>
      <c r="AP877" s="237"/>
      <c r="AQ877" s="237"/>
      <c r="AR877" s="237"/>
    </row>
    <row r="878">
      <c r="A878" s="228"/>
      <c r="B878" s="228"/>
      <c r="C878" s="228"/>
      <c r="D878" s="228"/>
      <c r="E878" s="228"/>
      <c r="F878" s="228"/>
      <c r="G878" s="228"/>
      <c r="H878" s="241"/>
      <c r="I878" s="228"/>
      <c r="J878" s="236"/>
      <c r="K878" s="228"/>
      <c r="L878" s="228"/>
      <c r="M878" s="238"/>
      <c r="N878" s="228"/>
      <c r="O878" s="235"/>
      <c r="P878" s="236"/>
      <c r="Q878" s="235"/>
      <c r="R878" s="235"/>
      <c r="S878" s="236"/>
      <c r="T878" s="236"/>
      <c r="U878" s="237"/>
      <c r="V878" s="237"/>
      <c r="W878" s="238"/>
      <c r="X878" s="237"/>
      <c r="Y878" s="237"/>
      <c r="Z878" s="237"/>
      <c r="AA878" s="239"/>
      <c r="AB878" s="238"/>
      <c r="AC878" s="238"/>
      <c r="AD878" s="240"/>
      <c r="AE878" s="241"/>
      <c r="AF878" s="241"/>
      <c r="AG878" s="238"/>
      <c r="AH878" s="240"/>
      <c r="AI878" s="241"/>
      <c r="AJ878" s="241"/>
      <c r="AK878" s="241"/>
      <c r="AL878" s="237"/>
      <c r="AM878" s="237"/>
      <c r="AN878" s="237"/>
      <c r="AO878" s="237"/>
      <c r="AP878" s="237"/>
      <c r="AQ878" s="237"/>
      <c r="AR878" s="237"/>
    </row>
    <row r="879">
      <c r="A879" s="228"/>
      <c r="B879" s="228"/>
      <c r="C879" s="228"/>
      <c r="D879" s="228"/>
      <c r="E879" s="228"/>
      <c r="F879" s="228"/>
      <c r="G879" s="228"/>
      <c r="H879" s="241"/>
      <c r="I879" s="228"/>
      <c r="J879" s="236"/>
      <c r="K879" s="228"/>
      <c r="L879" s="228"/>
      <c r="M879" s="238"/>
      <c r="N879" s="228"/>
      <c r="O879" s="235"/>
      <c r="P879" s="236"/>
      <c r="Q879" s="235"/>
      <c r="R879" s="235"/>
      <c r="S879" s="236"/>
      <c r="T879" s="236"/>
      <c r="U879" s="237"/>
      <c r="V879" s="237"/>
      <c r="W879" s="238"/>
      <c r="X879" s="237"/>
      <c r="Y879" s="237"/>
      <c r="Z879" s="237"/>
      <c r="AA879" s="239"/>
      <c r="AB879" s="238"/>
      <c r="AC879" s="238"/>
      <c r="AD879" s="240"/>
      <c r="AE879" s="241"/>
      <c r="AF879" s="241"/>
      <c r="AG879" s="238"/>
      <c r="AH879" s="240"/>
      <c r="AI879" s="241"/>
      <c r="AJ879" s="241"/>
      <c r="AK879" s="241"/>
      <c r="AL879" s="237"/>
      <c r="AM879" s="237"/>
      <c r="AN879" s="237"/>
      <c r="AO879" s="237"/>
      <c r="AP879" s="237"/>
      <c r="AQ879" s="237"/>
      <c r="AR879" s="237"/>
    </row>
    <row r="880">
      <c r="A880" s="228"/>
      <c r="B880" s="228"/>
      <c r="C880" s="228"/>
      <c r="D880" s="228"/>
      <c r="E880" s="228"/>
      <c r="F880" s="228"/>
      <c r="G880" s="228"/>
      <c r="H880" s="241"/>
      <c r="I880" s="228"/>
      <c r="J880" s="236"/>
      <c r="K880" s="228"/>
      <c r="L880" s="228"/>
      <c r="M880" s="238"/>
      <c r="N880" s="228"/>
      <c r="O880" s="235"/>
      <c r="P880" s="236"/>
      <c r="Q880" s="235"/>
      <c r="R880" s="235"/>
      <c r="S880" s="236"/>
      <c r="T880" s="236"/>
      <c r="U880" s="237"/>
      <c r="V880" s="237"/>
      <c r="W880" s="238"/>
      <c r="X880" s="237"/>
      <c r="Y880" s="237"/>
      <c r="Z880" s="237"/>
      <c r="AA880" s="239"/>
      <c r="AB880" s="238"/>
      <c r="AC880" s="238"/>
      <c r="AD880" s="240"/>
      <c r="AE880" s="241"/>
      <c r="AF880" s="241"/>
      <c r="AG880" s="238"/>
      <c r="AH880" s="240"/>
      <c r="AI880" s="241"/>
      <c r="AJ880" s="241"/>
      <c r="AK880" s="241"/>
      <c r="AL880" s="237"/>
      <c r="AM880" s="237"/>
      <c r="AN880" s="237"/>
      <c r="AO880" s="237"/>
      <c r="AP880" s="237"/>
      <c r="AQ880" s="237"/>
      <c r="AR880" s="237"/>
    </row>
    <row r="881">
      <c r="A881" s="228"/>
      <c r="B881" s="228"/>
      <c r="C881" s="228"/>
      <c r="D881" s="228"/>
      <c r="E881" s="228"/>
      <c r="F881" s="228"/>
      <c r="G881" s="228"/>
      <c r="H881" s="241"/>
      <c r="I881" s="228"/>
      <c r="J881" s="236"/>
      <c r="K881" s="228"/>
      <c r="L881" s="228"/>
      <c r="M881" s="238"/>
      <c r="N881" s="228"/>
      <c r="O881" s="235"/>
      <c r="P881" s="236"/>
      <c r="Q881" s="235"/>
      <c r="R881" s="235"/>
      <c r="S881" s="236"/>
      <c r="T881" s="236"/>
      <c r="U881" s="237"/>
      <c r="V881" s="237"/>
      <c r="W881" s="238"/>
      <c r="X881" s="237"/>
      <c r="Y881" s="237"/>
      <c r="Z881" s="237"/>
      <c r="AA881" s="239"/>
      <c r="AB881" s="238"/>
      <c r="AC881" s="238"/>
      <c r="AD881" s="240"/>
      <c r="AE881" s="241"/>
      <c r="AF881" s="241"/>
      <c r="AG881" s="238"/>
      <c r="AH881" s="240"/>
      <c r="AI881" s="241"/>
      <c r="AJ881" s="241"/>
      <c r="AK881" s="241"/>
      <c r="AL881" s="237"/>
      <c r="AM881" s="237"/>
      <c r="AN881" s="237"/>
      <c r="AO881" s="237"/>
      <c r="AP881" s="237"/>
      <c r="AQ881" s="237"/>
      <c r="AR881" s="237"/>
    </row>
    <row r="882">
      <c r="A882" s="228"/>
      <c r="B882" s="228"/>
      <c r="C882" s="228"/>
      <c r="D882" s="228"/>
      <c r="E882" s="228"/>
      <c r="F882" s="228"/>
      <c r="G882" s="228"/>
      <c r="H882" s="241"/>
      <c r="I882" s="228"/>
      <c r="J882" s="236"/>
      <c r="K882" s="228"/>
      <c r="L882" s="228"/>
      <c r="M882" s="238"/>
      <c r="N882" s="228"/>
      <c r="O882" s="235"/>
      <c r="P882" s="236"/>
      <c r="Q882" s="235"/>
      <c r="R882" s="235"/>
      <c r="S882" s="236"/>
      <c r="T882" s="236"/>
      <c r="U882" s="237"/>
      <c r="V882" s="237"/>
      <c r="W882" s="238"/>
      <c r="X882" s="237"/>
      <c r="Y882" s="237"/>
      <c r="Z882" s="237"/>
      <c r="AA882" s="239"/>
      <c r="AB882" s="238"/>
      <c r="AC882" s="238"/>
      <c r="AD882" s="240"/>
      <c r="AE882" s="241"/>
      <c r="AF882" s="241"/>
      <c r="AG882" s="238"/>
      <c r="AH882" s="240"/>
      <c r="AI882" s="241"/>
      <c r="AJ882" s="241"/>
      <c r="AK882" s="241"/>
      <c r="AL882" s="237"/>
      <c r="AM882" s="237"/>
      <c r="AN882" s="237"/>
      <c r="AO882" s="237"/>
      <c r="AP882" s="237"/>
      <c r="AQ882" s="237"/>
      <c r="AR882" s="237"/>
    </row>
    <row r="883">
      <c r="A883" s="228"/>
      <c r="B883" s="228"/>
      <c r="C883" s="228"/>
      <c r="D883" s="228"/>
      <c r="E883" s="228"/>
      <c r="F883" s="228"/>
      <c r="G883" s="228"/>
      <c r="H883" s="241"/>
      <c r="I883" s="228"/>
      <c r="J883" s="236"/>
      <c r="K883" s="228"/>
      <c r="L883" s="228"/>
      <c r="M883" s="238"/>
      <c r="N883" s="228"/>
      <c r="O883" s="235"/>
      <c r="P883" s="236"/>
      <c r="Q883" s="235"/>
      <c r="R883" s="235"/>
      <c r="S883" s="236"/>
      <c r="T883" s="236"/>
      <c r="U883" s="237"/>
      <c r="V883" s="237"/>
      <c r="W883" s="238"/>
      <c r="X883" s="237"/>
      <c r="Y883" s="237"/>
      <c r="Z883" s="237"/>
      <c r="AA883" s="239"/>
      <c r="AB883" s="238"/>
      <c r="AC883" s="238"/>
      <c r="AD883" s="240"/>
      <c r="AE883" s="241"/>
      <c r="AF883" s="241"/>
      <c r="AG883" s="238"/>
      <c r="AH883" s="240"/>
      <c r="AI883" s="241"/>
      <c r="AJ883" s="241"/>
      <c r="AK883" s="241"/>
      <c r="AL883" s="237"/>
      <c r="AM883" s="237"/>
      <c r="AN883" s="237"/>
      <c r="AO883" s="237"/>
      <c r="AP883" s="237"/>
      <c r="AQ883" s="237"/>
      <c r="AR883" s="237"/>
    </row>
    <row r="884">
      <c r="A884" s="228"/>
      <c r="B884" s="228"/>
      <c r="C884" s="228"/>
      <c r="D884" s="228"/>
      <c r="E884" s="228"/>
      <c r="F884" s="228"/>
      <c r="G884" s="228"/>
      <c r="H884" s="241"/>
      <c r="I884" s="228"/>
      <c r="J884" s="236"/>
      <c r="K884" s="228"/>
      <c r="L884" s="228"/>
      <c r="M884" s="238"/>
      <c r="N884" s="228"/>
      <c r="O884" s="235"/>
      <c r="P884" s="236"/>
      <c r="Q884" s="235"/>
      <c r="R884" s="235"/>
      <c r="S884" s="236"/>
      <c r="T884" s="236"/>
      <c r="U884" s="237"/>
      <c r="V884" s="237"/>
      <c r="W884" s="238"/>
      <c r="X884" s="237"/>
      <c r="Y884" s="237"/>
      <c r="Z884" s="237"/>
      <c r="AA884" s="239"/>
      <c r="AB884" s="238"/>
      <c r="AC884" s="238"/>
      <c r="AD884" s="240"/>
      <c r="AE884" s="241"/>
      <c r="AF884" s="241"/>
      <c r="AG884" s="238"/>
      <c r="AH884" s="240"/>
      <c r="AI884" s="241"/>
      <c r="AJ884" s="241"/>
      <c r="AK884" s="241"/>
      <c r="AL884" s="237"/>
      <c r="AM884" s="237"/>
      <c r="AN884" s="237"/>
      <c r="AO884" s="237"/>
      <c r="AP884" s="237"/>
      <c r="AQ884" s="237"/>
      <c r="AR884" s="237"/>
    </row>
    <row r="885">
      <c r="A885" s="228"/>
      <c r="B885" s="228"/>
      <c r="C885" s="228"/>
      <c r="D885" s="228"/>
      <c r="E885" s="228"/>
      <c r="F885" s="228"/>
      <c r="G885" s="228"/>
      <c r="H885" s="241"/>
      <c r="I885" s="228"/>
      <c r="J885" s="236"/>
      <c r="K885" s="228"/>
      <c r="L885" s="228"/>
      <c r="M885" s="238"/>
      <c r="N885" s="228"/>
      <c r="O885" s="235"/>
      <c r="P885" s="236"/>
      <c r="Q885" s="235"/>
      <c r="R885" s="235"/>
      <c r="S885" s="236"/>
      <c r="T885" s="236"/>
      <c r="U885" s="237"/>
      <c r="V885" s="237"/>
      <c r="W885" s="238"/>
      <c r="X885" s="237"/>
      <c r="Y885" s="237"/>
      <c r="Z885" s="237"/>
      <c r="AA885" s="239"/>
      <c r="AB885" s="238"/>
      <c r="AC885" s="238"/>
      <c r="AD885" s="240"/>
      <c r="AE885" s="241"/>
      <c r="AF885" s="241"/>
      <c r="AG885" s="238"/>
      <c r="AH885" s="240"/>
      <c r="AI885" s="241"/>
      <c r="AJ885" s="241"/>
      <c r="AK885" s="241"/>
      <c r="AL885" s="237"/>
      <c r="AM885" s="237"/>
      <c r="AN885" s="237"/>
      <c r="AO885" s="237"/>
      <c r="AP885" s="237"/>
      <c r="AQ885" s="237"/>
      <c r="AR885" s="237"/>
    </row>
    <row r="886">
      <c r="A886" s="228"/>
      <c r="B886" s="228"/>
      <c r="C886" s="228"/>
      <c r="D886" s="228"/>
      <c r="E886" s="228"/>
      <c r="F886" s="228"/>
      <c r="G886" s="228"/>
      <c r="H886" s="241"/>
      <c r="I886" s="228"/>
      <c r="J886" s="236"/>
      <c r="K886" s="228"/>
      <c r="L886" s="228"/>
      <c r="M886" s="238"/>
      <c r="N886" s="228"/>
      <c r="O886" s="235"/>
      <c r="P886" s="236"/>
      <c r="Q886" s="235"/>
      <c r="R886" s="235"/>
      <c r="S886" s="236"/>
      <c r="T886" s="236"/>
      <c r="U886" s="237"/>
      <c r="V886" s="237"/>
      <c r="W886" s="238"/>
      <c r="X886" s="237"/>
      <c r="Y886" s="237"/>
      <c r="Z886" s="237"/>
      <c r="AA886" s="239"/>
      <c r="AB886" s="238"/>
      <c r="AC886" s="238"/>
      <c r="AD886" s="240"/>
      <c r="AE886" s="241"/>
      <c r="AF886" s="241"/>
      <c r="AG886" s="238"/>
      <c r="AH886" s="240"/>
      <c r="AI886" s="241"/>
      <c r="AJ886" s="241"/>
      <c r="AK886" s="241"/>
      <c r="AL886" s="237"/>
      <c r="AM886" s="237"/>
      <c r="AN886" s="237"/>
      <c r="AO886" s="237"/>
      <c r="AP886" s="237"/>
      <c r="AQ886" s="237"/>
      <c r="AR886" s="237"/>
    </row>
    <row r="887">
      <c r="A887" s="228"/>
      <c r="B887" s="228"/>
      <c r="C887" s="228"/>
      <c r="D887" s="228"/>
      <c r="E887" s="228"/>
      <c r="F887" s="228"/>
      <c r="G887" s="228"/>
      <c r="H887" s="241"/>
      <c r="I887" s="228"/>
      <c r="J887" s="236"/>
      <c r="K887" s="228"/>
      <c r="L887" s="228"/>
      <c r="M887" s="238"/>
      <c r="N887" s="228"/>
      <c r="O887" s="235"/>
      <c r="P887" s="236"/>
      <c r="Q887" s="235"/>
      <c r="R887" s="235"/>
      <c r="S887" s="236"/>
      <c r="T887" s="236"/>
      <c r="U887" s="237"/>
      <c r="V887" s="237"/>
      <c r="W887" s="238"/>
      <c r="X887" s="237"/>
      <c r="Y887" s="237"/>
      <c r="Z887" s="237"/>
      <c r="AA887" s="239"/>
      <c r="AB887" s="238"/>
      <c r="AC887" s="238"/>
      <c r="AD887" s="240"/>
      <c r="AE887" s="241"/>
      <c r="AF887" s="241"/>
      <c r="AG887" s="238"/>
      <c r="AH887" s="240"/>
      <c r="AI887" s="241"/>
      <c r="AJ887" s="241"/>
      <c r="AK887" s="241"/>
      <c r="AL887" s="237"/>
      <c r="AM887" s="237"/>
      <c r="AN887" s="237"/>
      <c r="AO887" s="237"/>
      <c r="AP887" s="237"/>
      <c r="AQ887" s="237"/>
      <c r="AR887" s="237"/>
    </row>
    <row r="888">
      <c r="A888" s="228"/>
      <c r="B888" s="228"/>
      <c r="C888" s="228"/>
      <c r="D888" s="228"/>
      <c r="E888" s="228"/>
      <c r="F888" s="228"/>
      <c r="G888" s="228"/>
      <c r="H888" s="241"/>
      <c r="I888" s="228"/>
      <c r="J888" s="236"/>
      <c r="K888" s="228"/>
      <c r="L888" s="228"/>
      <c r="M888" s="238"/>
      <c r="N888" s="228"/>
      <c r="O888" s="235"/>
      <c r="P888" s="236"/>
      <c r="Q888" s="235"/>
      <c r="R888" s="235"/>
      <c r="S888" s="236"/>
      <c r="T888" s="236"/>
      <c r="U888" s="237"/>
      <c r="V888" s="237"/>
      <c r="W888" s="238"/>
      <c r="X888" s="237"/>
      <c r="Y888" s="237"/>
      <c r="Z888" s="237"/>
      <c r="AA888" s="239"/>
      <c r="AB888" s="238"/>
      <c r="AC888" s="238"/>
      <c r="AD888" s="240"/>
      <c r="AE888" s="241"/>
      <c r="AF888" s="241"/>
      <c r="AG888" s="238"/>
      <c r="AH888" s="240"/>
      <c r="AI888" s="241"/>
      <c r="AJ888" s="241"/>
      <c r="AK888" s="241"/>
      <c r="AL888" s="237"/>
      <c r="AM888" s="237"/>
      <c r="AN888" s="237"/>
      <c r="AO888" s="237"/>
      <c r="AP888" s="237"/>
      <c r="AQ888" s="237"/>
      <c r="AR888" s="237"/>
    </row>
    <row r="889">
      <c r="A889" s="228"/>
      <c r="B889" s="228"/>
      <c r="C889" s="228"/>
      <c r="D889" s="228"/>
      <c r="E889" s="228"/>
      <c r="F889" s="228"/>
      <c r="G889" s="228"/>
      <c r="H889" s="241"/>
      <c r="I889" s="228"/>
      <c r="J889" s="236"/>
      <c r="K889" s="228"/>
      <c r="L889" s="228"/>
      <c r="M889" s="238"/>
      <c r="N889" s="228"/>
      <c r="O889" s="235"/>
      <c r="P889" s="236"/>
      <c r="Q889" s="235"/>
      <c r="R889" s="235"/>
      <c r="S889" s="236"/>
      <c r="T889" s="236"/>
      <c r="U889" s="237"/>
      <c r="V889" s="237"/>
      <c r="W889" s="238"/>
      <c r="X889" s="237"/>
      <c r="Y889" s="237"/>
      <c r="Z889" s="237"/>
      <c r="AA889" s="239"/>
      <c r="AB889" s="238"/>
      <c r="AC889" s="238"/>
      <c r="AD889" s="240"/>
      <c r="AE889" s="241"/>
      <c r="AF889" s="241"/>
      <c r="AG889" s="238"/>
      <c r="AH889" s="240"/>
      <c r="AI889" s="241"/>
      <c r="AJ889" s="241"/>
      <c r="AK889" s="241"/>
      <c r="AL889" s="237"/>
      <c r="AM889" s="237"/>
      <c r="AN889" s="237"/>
      <c r="AO889" s="237"/>
      <c r="AP889" s="237"/>
      <c r="AQ889" s="237"/>
      <c r="AR889" s="237"/>
    </row>
    <row r="890">
      <c r="A890" s="228"/>
      <c r="B890" s="228"/>
      <c r="C890" s="228"/>
      <c r="D890" s="228"/>
      <c r="E890" s="228"/>
      <c r="F890" s="228"/>
      <c r="G890" s="228"/>
      <c r="H890" s="241"/>
      <c r="I890" s="228"/>
      <c r="J890" s="236"/>
      <c r="K890" s="228"/>
      <c r="L890" s="228"/>
      <c r="M890" s="238"/>
      <c r="N890" s="228"/>
      <c r="O890" s="235"/>
      <c r="P890" s="236"/>
      <c r="Q890" s="235"/>
      <c r="R890" s="235"/>
      <c r="S890" s="236"/>
      <c r="T890" s="236"/>
      <c r="U890" s="237"/>
      <c r="V890" s="237"/>
      <c r="W890" s="238"/>
      <c r="X890" s="237"/>
      <c r="Y890" s="237"/>
      <c r="Z890" s="237"/>
      <c r="AA890" s="239"/>
      <c r="AB890" s="238"/>
      <c r="AC890" s="238"/>
      <c r="AD890" s="240"/>
      <c r="AE890" s="241"/>
      <c r="AF890" s="241"/>
      <c r="AG890" s="238"/>
      <c r="AH890" s="240"/>
      <c r="AI890" s="241"/>
      <c r="AJ890" s="241"/>
      <c r="AK890" s="241"/>
      <c r="AL890" s="237"/>
      <c r="AM890" s="237"/>
      <c r="AN890" s="237"/>
      <c r="AO890" s="237"/>
      <c r="AP890" s="237"/>
      <c r="AQ890" s="237"/>
      <c r="AR890" s="237"/>
    </row>
    <row r="891">
      <c r="A891" s="228"/>
      <c r="B891" s="228"/>
      <c r="C891" s="228"/>
      <c r="D891" s="228"/>
      <c r="E891" s="228"/>
      <c r="F891" s="228"/>
      <c r="G891" s="228"/>
      <c r="H891" s="241"/>
      <c r="I891" s="228"/>
      <c r="J891" s="236"/>
      <c r="K891" s="228"/>
      <c r="L891" s="228"/>
      <c r="M891" s="238"/>
      <c r="N891" s="228"/>
      <c r="O891" s="235"/>
      <c r="P891" s="236"/>
      <c r="Q891" s="235"/>
      <c r="R891" s="235"/>
      <c r="S891" s="236"/>
      <c r="T891" s="236"/>
      <c r="U891" s="237"/>
      <c r="V891" s="237"/>
      <c r="W891" s="238"/>
      <c r="X891" s="237"/>
      <c r="Y891" s="237"/>
      <c r="Z891" s="237"/>
      <c r="AA891" s="239"/>
      <c r="AB891" s="238"/>
      <c r="AC891" s="238"/>
      <c r="AD891" s="240"/>
      <c r="AE891" s="241"/>
      <c r="AF891" s="241"/>
      <c r="AG891" s="238"/>
      <c r="AH891" s="240"/>
      <c r="AI891" s="241"/>
      <c r="AJ891" s="241"/>
      <c r="AK891" s="241"/>
      <c r="AL891" s="237"/>
      <c r="AM891" s="237"/>
      <c r="AN891" s="237"/>
      <c r="AO891" s="237"/>
      <c r="AP891" s="237"/>
      <c r="AQ891" s="237"/>
      <c r="AR891" s="237"/>
    </row>
    <row r="892">
      <c r="A892" s="228"/>
      <c r="B892" s="228"/>
      <c r="C892" s="228"/>
      <c r="D892" s="228"/>
      <c r="E892" s="228"/>
      <c r="F892" s="228"/>
      <c r="G892" s="228"/>
      <c r="H892" s="241"/>
      <c r="I892" s="228"/>
      <c r="J892" s="236"/>
      <c r="K892" s="228"/>
      <c r="L892" s="228"/>
      <c r="M892" s="238"/>
      <c r="N892" s="228"/>
      <c r="O892" s="235"/>
      <c r="P892" s="236"/>
      <c r="Q892" s="235"/>
      <c r="R892" s="235"/>
      <c r="S892" s="236"/>
      <c r="T892" s="236"/>
      <c r="U892" s="237"/>
      <c r="V892" s="237"/>
      <c r="W892" s="238"/>
      <c r="X892" s="237"/>
      <c r="Y892" s="237"/>
      <c r="Z892" s="237"/>
      <c r="AA892" s="239"/>
      <c r="AB892" s="238"/>
      <c r="AC892" s="238"/>
      <c r="AD892" s="240"/>
      <c r="AE892" s="241"/>
      <c r="AF892" s="241"/>
      <c r="AG892" s="238"/>
      <c r="AH892" s="240"/>
      <c r="AI892" s="241"/>
      <c r="AJ892" s="241"/>
      <c r="AK892" s="241"/>
      <c r="AL892" s="237"/>
      <c r="AM892" s="237"/>
      <c r="AN892" s="237"/>
      <c r="AO892" s="237"/>
      <c r="AP892" s="237"/>
      <c r="AQ892" s="237"/>
      <c r="AR892" s="237"/>
    </row>
    <row r="893">
      <c r="A893" s="228"/>
      <c r="B893" s="228"/>
      <c r="C893" s="228"/>
      <c r="D893" s="228"/>
      <c r="E893" s="228"/>
      <c r="F893" s="228"/>
      <c r="G893" s="228"/>
      <c r="H893" s="241"/>
      <c r="I893" s="228"/>
      <c r="J893" s="236"/>
      <c r="K893" s="228"/>
      <c r="L893" s="228"/>
      <c r="M893" s="238"/>
      <c r="N893" s="228"/>
      <c r="O893" s="235"/>
      <c r="P893" s="236"/>
      <c r="Q893" s="235"/>
      <c r="R893" s="235"/>
      <c r="S893" s="236"/>
      <c r="T893" s="236"/>
      <c r="U893" s="237"/>
      <c r="V893" s="237"/>
      <c r="W893" s="238"/>
      <c r="X893" s="237"/>
      <c r="Y893" s="237"/>
      <c r="Z893" s="237"/>
      <c r="AA893" s="239"/>
      <c r="AB893" s="238"/>
      <c r="AC893" s="238"/>
      <c r="AD893" s="240"/>
      <c r="AE893" s="241"/>
      <c r="AF893" s="241"/>
      <c r="AG893" s="238"/>
      <c r="AH893" s="240"/>
      <c r="AI893" s="241"/>
      <c r="AJ893" s="241"/>
      <c r="AK893" s="241"/>
      <c r="AL893" s="237"/>
      <c r="AM893" s="237"/>
      <c r="AN893" s="237"/>
      <c r="AO893" s="237"/>
      <c r="AP893" s="237"/>
      <c r="AQ893" s="237"/>
      <c r="AR893" s="237"/>
    </row>
    <row r="894">
      <c r="A894" s="228"/>
      <c r="B894" s="228"/>
      <c r="C894" s="228"/>
      <c r="D894" s="228"/>
      <c r="E894" s="228"/>
      <c r="F894" s="228"/>
      <c r="G894" s="228"/>
      <c r="H894" s="241"/>
      <c r="I894" s="228"/>
      <c r="J894" s="236"/>
      <c r="K894" s="228"/>
      <c r="L894" s="228"/>
      <c r="M894" s="238"/>
      <c r="N894" s="228"/>
      <c r="O894" s="235"/>
      <c r="P894" s="236"/>
      <c r="Q894" s="235"/>
      <c r="R894" s="235"/>
      <c r="S894" s="236"/>
      <c r="T894" s="236"/>
      <c r="U894" s="237"/>
      <c r="V894" s="237"/>
      <c r="W894" s="238"/>
      <c r="X894" s="237"/>
      <c r="Y894" s="237"/>
      <c r="Z894" s="237"/>
      <c r="AA894" s="239"/>
      <c r="AB894" s="238"/>
      <c r="AC894" s="238"/>
      <c r="AD894" s="240"/>
      <c r="AE894" s="241"/>
      <c r="AF894" s="241"/>
      <c r="AG894" s="238"/>
      <c r="AH894" s="240"/>
      <c r="AI894" s="241"/>
      <c r="AJ894" s="241"/>
      <c r="AK894" s="241"/>
      <c r="AL894" s="237"/>
      <c r="AM894" s="237"/>
      <c r="AN894" s="237"/>
      <c r="AO894" s="237"/>
      <c r="AP894" s="237"/>
      <c r="AQ894" s="237"/>
      <c r="AR894" s="237"/>
    </row>
    <row r="895">
      <c r="A895" s="228"/>
      <c r="B895" s="228"/>
      <c r="C895" s="228"/>
      <c r="D895" s="228"/>
      <c r="E895" s="228"/>
      <c r="F895" s="228"/>
      <c r="G895" s="228"/>
      <c r="H895" s="241"/>
      <c r="I895" s="228"/>
      <c r="J895" s="236"/>
      <c r="K895" s="228"/>
      <c r="L895" s="228"/>
      <c r="M895" s="238"/>
      <c r="N895" s="228"/>
      <c r="O895" s="235"/>
      <c r="P895" s="236"/>
      <c r="Q895" s="235"/>
      <c r="R895" s="235"/>
      <c r="S895" s="236"/>
      <c r="T895" s="236"/>
      <c r="U895" s="237"/>
      <c r="V895" s="237"/>
      <c r="W895" s="238"/>
      <c r="X895" s="237"/>
      <c r="Y895" s="237"/>
      <c r="Z895" s="237"/>
      <c r="AA895" s="239"/>
      <c r="AB895" s="238"/>
      <c r="AC895" s="238"/>
      <c r="AD895" s="240"/>
      <c r="AE895" s="241"/>
      <c r="AF895" s="241"/>
      <c r="AG895" s="238"/>
      <c r="AH895" s="240"/>
      <c r="AI895" s="241"/>
      <c r="AJ895" s="241"/>
      <c r="AK895" s="241"/>
      <c r="AL895" s="237"/>
      <c r="AM895" s="237"/>
      <c r="AN895" s="237"/>
      <c r="AO895" s="237"/>
      <c r="AP895" s="237"/>
      <c r="AQ895" s="237"/>
      <c r="AR895" s="237"/>
    </row>
    <row r="896">
      <c r="A896" s="228"/>
      <c r="B896" s="228"/>
      <c r="C896" s="228"/>
      <c r="D896" s="228"/>
      <c r="E896" s="228"/>
      <c r="F896" s="228"/>
      <c r="G896" s="228"/>
      <c r="H896" s="241"/>
      <c r="I896" s="228"/>
      <c r="J896" s="236"/>
      <c r="K896" s="228"/>
      <c r="L896" s="228"/>
      <c r="M896" s="238"/>
      <c r="N896" s="228"/>
      <c r="O896" s="235"/>
      <c r="P896" s="236"/>
      <c r="Q896" s="235"/>
      <c r="R896" s="235"/>
      <c r="S896" s="236"/>
      <c r="T896" s="236"/>
      <c r="U896" s="237"/>
      <c r="V896" s="237"/>
      <c r="W896" s="238"/>
      <c r="X896" s="237"/>
      <c r="Y896" s="237"/>
      <c r="Z896" s="237"/>
      <c r="AA896" s="239"/>
      <c r="AB896" s="238"/>
      <c r="AC896" s="238"/>
      <c r="AD896" s="240"/>
      <c r="AE896" s="241"/>
      <c r="AF896" s="241"/>
      <c r="AG896" s="238"/>
      <c r="AH896" s="240"/>
      <c r="AI896" s="241"/>
      <c r="AJ896" s="241"/>
      <c r="AK896" s="241"/>
      <c r="AL896" s="237"/>
      <c r="AM896" s="237"/>
      <c r="AN896" s="237"/>
      <c r="AO896" s="237"/>
      <c r="AP896" s="237"/>
      <c r="AQ896" s="237"/>
      <c r="AR896" s="237"/>
    </row>
    <row r="897">
      <c r="A897" s="228"/>
      <c r="B897" s="228"/>
      <c r="C897" s="228"/>
      <c r="D897" s="228"/>
      <c r="E897" s="228"/>
      <c r="F897" s="228"/>
      <c r="G897" s="228"/>
      <c r="H897" s="241"/>
      <c r="I897" s="228"/>
      <c r="J897" s="236"/>
      <c r="K897" s="228"/>
      <c r="L897" s="228"/>
      <c r="M897" s="238"/>
      <c r="N897" s="228"/>
      <c r="O897" s="235"/>
      <c r="P897" s="236"/>
      <c r="Q897" s="235"/>
      <c r="R897" s="235"/>
      <c r="S897" s="236"/>
      <c r="T897" s="236"/>
      <c r="U897" s="237"/>
      <c r="V897" s="237"/>
      <c r="W897" s="238"/>
      <c r="X897" s="237"/>
      <c r="Y897" s="237"/>
      <c r="Z897" s="237"/>
      <c r="AA897" s="239"/>
      <c r="AB897" s="238"/>
      <c r="AC897" s="238"/>
      <c r="AD897" s="240"/>
      <c r="AE897" s="241"/>
      <c r="AF897" s="241"/>
      <c r="AG897" s="238"/>
      <c r="AH897" s="240"/>
      <c r="AI897" s="241"/>
      <c r="AJ897" s="241"/>
      <c r="AK897" s="241"/>
      <c r="AL897" s="237"/>
      <c r="AM897" s="237"/>
      <c r="AN897" s="237"/>
      <c r="AO897" s="237"/>
      <c r="AP897" s="237"/>
      <c r="AQ897" s="237"/>
      <c r="AR897" s="237"/>
    </row>
    <row r="898">
      <c r="A898" s="228"/>
      <c r="B898" s="228"/>
      <c r="C898" s="228"/>
      <c r="D898" s="228"/>
      <c r="E898" s="228"/>
      <c r="F898" s="228"/>
      <c r="G898" s="228"/>
      <c r="H898" s="241"/>
      <c r="I898" s="228"/>
      <c r="J898" s="236"/>
      <c r="K898" s="228"/>
      <c r="L898" s="228"/>
      <c r="M898" s="238"/>
      <c r="N898" s="228"/>
      <c r="O898" s="235"/>
      <c r="P898" s="236"/>
      <c r="Q898" s="235"/>
      <c r="R898" s="235"/>
      <c r="S898" s="236"/>
      <c r="T898" s="236"/>
      <c r="U898" s="237"/>
      <c r="V898" s="237"/>
      <c r="W898" s="238"/>
      <c r="X898" s="237"/>
      <c r="Y898" s="237"/>
      <c r="Z898" s="237"/>
      <c r="AA898" s="239"/>
      <c r="AB898" s="238"/>
      <c r="AC898" s="238"/>
      <c r="AD898" s="240"/>
      <c r="AE898" s="241"/>
      <c r="AF898" s="241"/>
      <c r="AG898" s="238"/>
      <c r="AH898" s="240"/>
      <c r="AI898" s="241"/>
      <c r="AJ898" s="241"/>
      <c r="AK898" s="241"/>
      <c r="AL898" s="237"/>
      <c r="AM898" s="237"/>
      <c r="AN898" s="237"/>
      <c r="AO898" s="237"/>
      <c r="AP898" s="237"/>
      <c r="AQ898" s="237"/>
      <c r="AR898" s="237"/>
    </row>
    <row r="899">
      <c r="A899" s="228"/>
      <c r="B899" s="228"/>
      <c r="C899" s="228"/>
      <c r="D899" s="228"/>
      <c r="E899" s="228"/>
      <c r="F899" s="228"/>
      <c r="G899" s="228"/>
      <c r="H899" s="241"/>
      <c r="I899" s="228"/>
      <c r="J899" s="236"/>
      <c r="K899" s="228"/>
      <c r="L899" s="228"/>
      <c r="M899" s="238"/>
      <c r="N899" s="228"/>
      <c r="O899" s="235"/>
      <c r="P899" s="236"/>
      <c r="Q899" s="235"/>
      <c r="R899" s="235"/>
      <c r="S899" s="236"/>
      <c r="T899" s="236"/>
      <c r="U899" s="237"/>
      <c r="V899" s="237"/>
      <c r="W899" s="238"/>
      <c r="X899" s="237"/>
      <c r="Y899" s="237"/>
      <c r="Z899" s="237"/>
      <c r="AA899" s="239"/>
      <c r="AB899" s="238"/>
      <c r="AC899" s="238"/>
      <c r="AD899" s="240"/>
      <c r="AE899" s="241"/>
      <c r="AF899" s="241"/>
      <c r="AG899" s="238"/>
      <c r="AH899" s="240"/>
      <c r="AI899" s="241"/>
      <c r="AJ899" s="241"/>
      <c r="AK899" s="241"/>
      <c r="AL899" s="237"/>
      <c r="AM899" s="237"/>
      <c r="AN899" s="237"/>
      <c r="AO899" s="237"/>
      <c r="AP899" s="237"/>
      <c r="AQ899" s="237"/>
      <c r="AR899" s="237"/>
    </row>
    <row r="900">
      <c r="A900" s="228"/>
      <c r="B900" s="228"/>
      <c r="C900" s="228"/>
      <c r="D900" s="228"/>
      <c r="E900" s="228"/>
      <c r="F900" s="228"/>
      <c r="G900" s="228"/>
      <c r="H900" s="241"/>
      <c r="I900" s="228"/>
      <c r="J900" s="236"/>
      <c r="K900" s="228"/>
      <c r="L900" s="228"/>
      <c r="M900" s="238"/>
      <c r="N900" s="228"/>
      <c r="O900" s="235"/>
      <c r="P900" s="236"/>
      <c r="Q900" s="235"/>
      <c r="R900" s="235"/>
      <c r="S900" s="236"/>
      <c r="T900" s="236"/>
      <c r="U900" s="237"/>
      <c r="V900" s="237"/>
      <c r="W900" s="238"/>
      <c r="X900" s="237"/>
      <c r="Y900" s="237"/>
      <c r="Z900" s="237"/>
      <c r="AA900" s="239"/>
      <c r="AB900" s="238"/>
      <c r="AC900" s="238"/>
      <c r="AD900" s="240"/>
      <c r="AE900" s="241"/>
      <c r="AF900" s="241"/>
      <c r="AG900" s="238"/>
      <c r="AH900" s="240"/>
      <c r="AI900" s="241"/>
      <c r="AJ900" s="241"/>
      <c r="AK900" s="241"/>
      <c r="AL900" s="237"/>
      <c r="AM900" s="237"/>
      <c r="AN900" s="237"/>
      <c r="AO900" s="237"/>
      <c r="AP900" s="237"/>
      <c r="AQ900" s="237"/>
      <c r="AR900" s="237"/>
    </row>
    <row r="901">
      <c r="A901" s="228"/>
      <c r="B901" s="228"/>
      <c r="C901" s="228"/>
      <c r="D901" s="228"/>
      <c r="E901" s="228"/>
      <c r="F901" s="228"/>
      <c r="G901" s="228"/>
      <c r="H901" s="241"/>
      <c r="I901" s="228"/>
      <c r="J901" s="236"/>
      <c r="K901" s="228"/>
      <c r="L901" s="228"/>
      <c r="M901" s="238"/>
      <c r="N901" s="228"/>
      <c r="O901" s="235"/>
      <c r="P901" s="236"/>
      <c r="Q901" s="235"/>
      <c r="R901" s="235"/>
      <c r="S901" s="236"/>
      <c r="T901" s="236"/>
      <c r="U901" s="237"/>
      <c r="V901" s="237"/>
      <c r="W901" s="238"/>
      <c r="X901" s="237"/>
      <c r="Y901" s="237"/>
      <c r="Z901" s="237"/>
      <c r="AA901" s="239"/>
      <c r="AB901" s="238"/>
      <c r="AC901" s="238"/>
      <c r="AD901" s="240"/>
      <c r="AE901" s="241"/>
      <c r="AF901" s="241"/>
      <c r="AG901" s="238"/>
      <c r="AH901" s="240"/>
      <c r="AI901" s="241"/>
      <c r="AJ901" s="241"/>
      <c r="AK901" s="241"/>
      <c r="AL901" s="237"/>
      <c r="AM901" s="237"/>
      <c r="AN901" s="237"/>
      <c r="AO901" s="237"/>
      <c r="AP901" s="237"/>
      <c r="AQ901" s="237"/>
      <c r="AR901" s="237"/>
    </row>
    <row r="902">
      <c r="A902" s="228"/>
      <c r="B902" s="228"/>
      <c r="C902" s="228"/>
      <c r="D902" s="228"/>
      <c r="E902" s="228"/>
      <c r="F902" s="228"/>
      <c r="G902" s="228"/>
      <c r="H902" s="241"/>
      <c r="I902" s="228"/>
      <c r="J902" s="236"/>
      <c r="K902" s="228"/>
      <c r="L902" s="228"/>
      <c r="M902" s="238"/>
      <c r="N902" s="228"/>
      <c r="O902" s="235"/>
      <c r="P902" s="236"/>
      <c r="Q902" s="235"/>
      <c r="R902" s="235"/>
      <c r="S902" s="236"/>
      <c r="T902" s="236"/>
      <c r="U902" s="237"/>
      <c r="V902" s="237"/>
      <c r="W902" s="238"/>
      <c r="X902" s="237"/>
      <c r="Y902" s="237"/>
      <c r="Z902" s="237"/>
      <c r="AA902" s="239"/>
      <c r="AB902" s="238"/>
      <c r="AC902" s="238"/>
      <c r="AD902" s="240"/>
      <c r="AE902" s="241"/>
      <c r="AF902" s="241"/>
      <c r="AG902" s="238"/>
      <c r="AH902" s="240"/>
      <c r="AI902" s="241"/>
      <c r="AJ902" s="241"/>
      <c r="AK902" s="241"/>
      <c r="AL902" s="237"/>
      <c r="AM902" s="237"/>
      <c r="AN902" s="237"/>
      <c r="AO902" s="237"/>
      <c r="AP902" s="237"/>
      <c r="AQ902" s="237"/>
      <c r="AR902" s="237"/>
    </row>
    <row r="903">
      <c r="A903" s="228"/>
      <c r="B903" s="228"/>
      <c r="C903" s="228"/>
      <c r="D903" s="228"/>
      <c r="E903" s="228"/>
      <c r="F903" s="228"/>
      <c r="G903" s="228"/>
      <c r="H903" s="241"/>
      <c r="I903" s="228"/>
      <c r="J903" s="236"/>
      <c r="K903" s="228"/>
      <c r="L903" s="228"/>
      <c r="M903" s="238"/>
      <c r="N903" s="228"/>
      <c r="O903" s="235"/>
      <c r="P903" s="236"/>
      <c r="Q903" s="235"/>
      <c r="R903" s="235"/>
      <c r="S903" s="236"/>
      <c r="T903" s="236"/>
      <c r="U903" s="237"/>
      <c r="V903" s="237"/>
      <c r="W903" s="238"/>
      <c r="X903" s="237"/>
      <c r="Y903" s="237"/>
      <c r="Z903" s="237"/>
      <c r="AA903" s="239"/>
      <c r="AB903" s="238"/>
      <c r="AC903" s="238"/>
      <c r="AD903" s="240"/>
      <c r="AE903" s="241"/>
      <c r="AF903" s="241"/>
      <c r="AG903" s="238"/>
      <c r="AH903" s="240"/>
      <c r="AI903" s="241"/>
      <c r="AJ903" s="241"/>
      <c r="AK903" s="241"/>
      <c r="AL903" s="237"/>
      <c r="AM903" s="237"/>
      <c r="AN903" s="237"/>
      <c r="AO903" s="237"/>
      <c r="AP903" s="237"/>
      <c r="AQ903" s="237"/>
      <c r="AR903" s="237"/>
    </row>
    <row r="904">
      <c r="A904" s="228"/>
      <c r="B904" s="228"/>
      <c r="C904" s="228"/>
      <c r="D904" s="228"/>
      <c r="E904" s="228"/>
      <c r="F904" s="228"/>
      <c r="G904" s="228"/>
      <c r="H904" s="241"/>
      <c r="I904" s="228"/>
      <c r="J904" s="236"/>
      <c r="K904" s="228"/>
      <c r="L904" s="228"/>
      <c r="M904" s="238"/>
      <c r="N904" s="228"/>
      <c r="O904" s="235"/>
      <c r="P904" s="236"/>
      <c r="Q904" s="235"/>
      <c r="R904" s="235"/>
      <c r="S904" s="236"/>
      <c r="T904" s="236"/>
      <c r="U904" s="237"/>
      <c r="V904" s="237"/>
      <c r="W904" s="238"/>
      <c r="X904" s="237"/>
      <c r="Y904" s="237"/>
      <c r="Z904" s="237"/>
      <c r="AA904" s="239"/>
      <c r="AB904" s="238"/>
      <c r="AC904" s="238"/>
      <c r="AD904" s="240"/>
      <c r="AE904" s="241"/>
      <c r="AF904" s="241"/>
      <c r="AG904" s="238"/>
      <c r="AH904" s="240"/>
      <c r="AI904" s="241"/>
      <c r="AJ904" s="241"/>
      <c r="AK904" s="241"/>
      <c r="AL904" s="237"/>
      <c r="AM904" s="237"/>
      <c r="AN904" s="237"/>
      <c r="AO904" s="237"/>
      <c r="AP904" s="237"/>
      <c r="AQ904" s="237"/>
      <c r="AR904" s="237"/>
    </row>
    <row r="905">
      <c r="A905" s="228"/>
      <c r="B905" s="228"/>
      <c r="C905" s="228"/>
      <c r="D905" s="228"/>
      <c r="E905" s="228"/>
      <c r="F905" s="228"/>
      <c r="G905" s="228"/>
      <c r="H905" s="241"/>
      <c r="I905" s="228"/>
      <c r="J905" s="236"/>
      <c r="K905" s="228"/>
      <c r="L905" s="228"/>
      <c r="M905" s="238"/>
      <c r="N905" s="228"/>
      <c r="O905" s="235"/>
      <c r="P905" s="236"/>
      <c r="Q905" s="235"/>
      <c r="R905" s="235"/>
      <c r="S905" s="236"/>
      <c r="T905" s="236"/>
      <c r="U905" s="237"/>
      <c r="V905" s="237"/>
      <c r="W905" s="238"/>
      <c r="X905" s="237"/>
      <c r="Y905" s="237"/>
      <c r="Z905" s="237"/>
      <c r="AA905" s="239"/>
      <c r="AB905" s="238"/>
      <c r="AC905" s="238"/>
      <c r="AD905" s="240"/>
      <c r="AE905" s="241"/>
      <c r="AF905" s="241"/>
      <c r="AG905" s="238"/>
      <c r="AH905" s="240"/>
      <c r="AI905" s="241"/>
      <c r="AJ905" s="241"/>
      <c r="AK905" s="241"/>
      <c r="AL905" s="237"/>
      <c r="AM905" s="237"/>
      <c r="AN905" s="237"/>
      <c r="AO905" s="237"/>
      <c r="AP905" s="237"/>
      <c r="AQ905" s="237"/>
      <c r="AR905" s="237"/>
    </row>
    <row r="906">
      <c r="A906" s="228"/>
      <c r="B906" s="228"/>
      <c r="C906" s="228"/>
      <c r="D906" s="228"/>
      <c r="E906" s="228"/>
      <c r="F906" s="228"/>
      <c r="G906" s="228"/>
      <c r="H906" s="241"/>
      <c r="I906" s="228"/>
      <c r="J906" s="236"/>
      <c r="K906" s="228"/>
      <c r="L906" s="228"/>
      <c r="M906" s="238"/>
      <c r="N906" s="228"/>
      <c r="O906" s="235"/>
      <c r="P906" s="236"/>
      <c r="Q906" s="235"/>
      <c r="R906" s="235"/>
      <c r="S906" s="236"/>
      <c r="T906" s="236"/>
      <c r="U906" s="237"/>
      <c r="V906" s="237"/>
      <c r="W906" s="238"/>
      <c r="X906" s="237"/>
      <c r="Y906" s="237"/>
      <c r="Z906" s="237"/>
      <c r="AA906" s="239"/>
      <c r="AB906" s="238"/>
      <c r="AC906" s="238"/>
      <c r="AD906" s="240"/>
      <c r="AE906" s="241"/>
      <c r="AF906" s="241"/>
      <c r="AG906" s="238"/>
      <c r="AH906" s="240"/>
      <c r="AI906" s="241"/>
      <c r="AJ906" s="241"/>
      <c r="AK906" s="241"/>
      <c r="AL906" s="237"/>
      <c r="AM906" s="237"/>
      <c r="AN906" s="237"/>
      <c r="AO906" s="237"/>
      <c r="AP906" s="237"/>
      <c r="AQ906" s="237"/>
      <c r="AR906" s="237"/>
    </row>
    <row r="907">
      <c r="A907" s="228"/>
      <c r="B907" s="228"/>
      <c r="C907" s="228"/>
      <c r="D907" s="228"/>
      <c r="E907" s="228"/>
      <c r="F907" s="228"/>
      <c r="G907" s="228"/>
      <c r="H907" s="241"/>
      <c r="I907" s="228"/>
      <c r="J907" s="236"/>
      <c r="K907" s="228"/>
      <c r="L907" s="228"/>
      <c r="M907" s="238"/>
      <c r="N907" s="228"/>
      <c r="O907" s="235"/>
      <c r="P907" s="236"/>
      <c r="Q907" s="235"/>
      <c r="R907" s="235"/>
      <c r="S907" s="236"/>
      <c r="T907" s="236"/>
      <c r="U907" s="237"/>
      <c r="V907" s="237"/>
      <c r="W907" s="238"/>
      <c r="X907" s="237"/>
      <c r="Y907" s="237"/>
      <c r="Z907" s="237"/>
      <c r="AA907" s="239"/>
      <c r="AB907" s="238"/>
      <c r="AC907" s="238"/>
      <c r="AD907" s="240"/>
      <c r="AE907" s="241"/>
      <c r="AF907" s="241"/>
      <c r="AG907" s="238"/>
      <c r="AH907" s="240"/>
      <c r="AI907" s="241"/>
      <c r="AJ907" s="241"/>
      <c r="AK907" s="241"/>
      <c r="AL907" s="237"/>
      <c r="AM907" s="237"/>
      <c r="AN907" s="237"/>
      <c r="AO907" s="237"/>
      <c r="AP907" s="237"/>
      <c r="AQ907" s="237"/>
      <c r="AR907" s="237"/>
    </row>
    <row r="908">
      <c r="A908" s="228"/>
      <c r="B908" s="228"/>
      <c r="C908" s="228"/>
      <c r="D908" s="228"/>
      <c r="E908" s="228"/>
      <c r="F908" s="228"/>
      <c r="G908" s="228"/>
      <c r="H908" s="241"/>
      <c r="I908" s="228"/>
      <c r="J908" s="236"/>
      <c r="K908" s="228"/>
      <c r="L908" s="228"/>
      <c r="M908" s="238"/>
      <c r="N908" s="228"/>
      <c r="O908" s="235"/>
      <c r="P908" s="236"/>
      <c r="Q908" s="235"/>
      <c r="R908" s="235"/>
      <c r="S908" s="236"/>
      <c r="T908" s="236"/>
      <c r="U908" s="237"/>
      <c r="V908" s="237"/>
      <c r="W908" s="238"/>
      <c r="X908" s="237"/>
      <c r="Y908" s="237"/>
      <c r="Z908" s="237"/>
      <c r="AA908" s="239"/>
      <c r="AB908" s="238"/>
      <c r="AC908" s="238"/>
      <c r="AD908" s="240"/>
      <c r="AE908" s="241"/>
      <c r="AF908" s="241"/>
      <c r="AG908" s="238"/>
      <c r="AH908" s="240"/>
      <c r="AI908" s="241"/>
      <c r="AJ908" s="241"/>
      <c r="AK908" s="241"/>
      <c r="AL908" s="237"/>
      <c r="AM908" s="237"/>
      <c r="AN908" s="237"/>
      <c r="AO908" s="237"/>
      <c r="AP908" s="237"/>
      <c r="AQ908" s="237"/>
      <c r="AR908" s="237"/>
    </row>
    <row r="909">
      <c r="A909" s="228"/>
      <c r="B909" s="228"/>
      <c r="C909" s="228"/>
      <c r="D909" s="228"/>
      <c r="E909" s="228"/>
      <c r="F909" s="228"/>
      <c r="G909" s="228"/>
      <c r="H909" s="241"/>
      <c r="I909" s="228"/>
      <c r="J909" s="236"/>
      <c r="K909" s="228"/>
      <c r="L909" s="228"/>
      <c r="M909" s="238"/>
      <c r="N909" s="228"/>
      <c r="O909" s="235"/>
      <c r="P909" s="236"/>
      <c r="Q909" s="235"/>
      <c r="R909" s="235"/>
      <c r="S909" s="236"/>
      <c r="T909" s="236"/>
      <c r="U909" s="237"/>
      <c r="V909" s="237"/>
      <c r="W909" s="238"/>
      <c r="X909" s="237"/>
      <c r="Y909" s="237"/>
      <c r="Z909" s="237"/>
      <c r="AA909" s="239"/>
      <c r="AB909" s="238"/>
      <c r="AC909" s="238"/>
      <c r="AD909" s="240"/>
      <c r="AE909" s="241"/>
      <c r="AF909" s="241"/>
      <c r="AG909" s="238"/>
      <c r="AH909" s="240"/>
      <c r="AI909" s="241"/>
      <c r="AJ909" s="241"/>
      <c r="AK909" s="241"/>
      <c r="AL909" s="237"/>
      <c r="AM909" s="237"/>
      <c r="AN909" s="237"/>
      <c r="AO909" s="237"/>
      <c r="AP909" s="237"/>
      <c r="AQ909" s="237"/>
      <c r="AR909" s="237"/>
    </row>
    <row r="910">
      <c r="A910" s="228"/>
      <c r="B910" s="228"/>
      <c r="C910" s="228"/>
      <c r="D910" s="228"/>
      <c r="E910" s="228"/>
      <c r="F910" s="228"/>
      <c r="G910" s="228"/>
      <c r="H910" s="241"/>
      <c r="I910" s="228"/>
      <c r="J910" s="236"/>
      <c r="K910" s="228"/>
      <c r="L910" s="228"/>
      <c r="M910" s="238"/>
      <c r="N910" s="228"/>
      <c r="O910" s="235"/>
      <c r="P910" s="236"/>
      <c r="Q910" s="235"/>
      <c r="R910" s="235"/>
      <c r="S910" s="236"/>
      <c r="T910" s="236"/>
      <c r="U910" s="237"/>
      <c r="V910" s="237"/>
      <c r="W910" s="238"/>
      <c r="X910" s="237"/>
      <c r="Y910" s="237"/>
      <c r="Z910" s="237"/>
      <c r="AA910" s="239"/>
      <c r="AB910" s="238"/>
      <c r="AC910" s="238"/>
      <c r="AD910" s="240"/>
      <c r="AE910" s="241"/>
      <c r="AF910" s="241"/>
      <c r="AG910" s="238"/>
      <c r="AH910" s="240"/>
      <c r="AI910" s="241"/>
      <c r="AJ910" s="241"/>
      <c r="AK910" s="241"/>
      <c r="AL910" s="237"/>
      <c r="AM910" s="237"/>
      <c r="AN910" s="237"/>
      <c r="AO910" s="237"/>
      <c r="AP910" s="237"/>
      <c r="AQ910" s="237"/>
      <c r="AR910" s="237"/>
    </row>
    <row r="911">
      <c r="A911" s="228"/>
      <c r="B911" s="228"/>
      <c r="C911" s="228"/>
      <c r="D911" s="228"/>
      <c r="E911" s="228"/>
      <c r="F911" s="228"/>
      <c r="G911" s="228"/>
      <c r="H911" s="241"/>
      <c r="I911" s="228"/>
      <c r="J911" s="236"/>
      <c r="K911" s="228"/>
      <c r="L911" s="228"/>
      <c r="M911" s="238"/>
      <c r="N911" s="228"/>
      <c r="O911" s="235"/>
      <c r="P911" s="236"/>
      <c r="Q911" s="235"/>
      <c r="R911" s="235"/>
      <c r="S911" s="236"/>
      <c r="T911" s="236"/>
      <c r="U911" s="237"/>
      <c r="V911" s="237"/>
      <c r="W911" s="238"/>
      <c r="X911" s="237"/>
      <c r="Y911" s="237"/>
      <c r="Z911" s="237"/>
      <c r="AA911" s="239"/>
      <c r="AB911" s="238"/>
      <c r="AC911" s="238"/>
      <c r="AD911" s="240"/>
      <c r="AE911" s="241"/>
      <c r="AF911" s="241"/>
      <c r="AG911" s="238"/>
      <c r="AH911" s="240"/>
      <c r="AI911" s="241"/>
      <c r="AJ911" s="241"/>
      <c r="AK911" s="241"/>
      <c r="AL911" s="237"/>
      <c r="AM911" s="237"/>
      <c r="AN911" s="237"/>
      <c r="AO911" s="237"/>
      <c r="AP911" s="237"/>
      <c r="AQ911" s="237"/>
      <c r="AR911" s="237"/>
    </row>
    <row r="912">
      <c r="A912" s="228"/>
      <c r="B912" s="228"/>
      <c r="C912" s="228"/>
      <c r="D912" s="228"/>
      <c r="E912" s="228"/>
      <c r="F912" s="228"/>
      <c r="G912" s="228"/>
      <c r="H912" s="241"/>
      <c r="I912" s="228"/>
      <c r="J912" s="236"/>
      <c r="K912" s="228"/>
      <c r="L912" s="228"/>
      <c r="M912" s="238"/>
      <c r="N912" s="228"/>
      <c r="O912" s="235"/>
      <c r="P912" s="236"/>
      <c r="Q912" s="235"/>
      <c r="R912" s="235"/>
      <c r="S912" s="236"/>
      <c r="T912" s="236"/>
      <c r="U912" s="237"/>
      <c r="V912" s="237"/>
      <c r="W912" s="238"/>
      <c r="X912" s="237"/>
      <c r="Y912" s="237"/>
      <c r="Z912" s="237"/>
      <c r="AA912" s="239"/>
      <c r="AB912" s="238"/>
      <c r="AC912" s="238"/>
      <c r="AD912" s="240"/>
      <c r="AE912" s="241"/>
      <c r="AF912" s="241"/>
      <c r="AG912" s="238"/>
      <c r="AH912" s="240"/>
      <c r="AI912" s="241"/>
      <c r="AJ912" s="241"/>
      <c r="AK912" s="241"/>
      <c r="AL912" s="237"/>
      <c r="AM912" s="237"/>
      <c r="AN912" s="237"/>
      <c r="AO912" s="237"/>
      <c r="AP912" s="237"/>
      <c r="AQ912" s="237"/>
      <c r="AR912" s="237"/>
    </row>
    <row r="913">
      <c r="A913" s="228"/>
      <c r="B913" s="228"/>
      <c r="C913" s="228"/>
      <c r="D913" s="228"/>
      <c r="E913" s="228"/>
      <c r="F913" s="228"/>
      <c r="G913" s="228"/>
      <c r="H913" s="241"/>
      <c r="I913" s="228"/>
      <c r="J913" s="236"/>
      <c r="K913" s="228"/>
      <c r="L913" s="228"/>
      <c r="M913" s="238"/>
      <c r="N913" s="228"/>
      <c r="O913" s="235"/>
      <c r="P913" s="236"/>
      <c r="Q913" s="235"/>
      <c r="R913" s="235"/>
      <c r="S913" s="236"/>
      <c r="T913" s="236"/>
      <c r="U913" s="237"/>
      <c r="V913" s="237"/>
      <c r="W913" s="238"/>
      <c r="X913" s="237"/>
      <c r="Y913" s="237"/>
      <c r="Z913" s="237"/>
      <c r="AA913" s="239"/>
      <c r="AB913" s="238"/>
      <c r="AC913" s="238"/>
      <c r="AD913" s="240"/>
      <c r="AE913" s="241"/>
      <c r="AF913" s="241"/>
      <c r="AG913" s="238"/>
      <c r="AH913" s="240"/>
      <c r="AI913" s="241"/>
      <c r="AJ913" s="241"/>
      <c r="AK913" s="241"/>
      <c r="AL913" s="237"/>
      <c r="AM913" s="237"/>
      <c r="AN913" s="237"/>
      <c r="AO913" s="237"/>
      <c r="AP913" s="237"/>
      <c r="AQ913" s="237"/>
      <c r="AR913" s="237"/>
    </row>
    <row r="914">
      <c r="A914" s="228"/>
      <c r="B914" s="228"/>
      <c r="C914" s="228"/>
      <c r="D914" s="228"/>
      <c r="E914" s="228"/>
      <c r="F914" s="228"/>
      <c r="G914" s="228"/>
      <c r="H914" s="241"/>
      <c r="I914" s="228"/>
      <c r="J914" s="236"/>
      <c r="K914" s="228"/>
      <c r="L914" s="228"/>
      <c r="M914" s="238"/>
      <c r="N914" s="228"/>
      <c r="O914" s="235"/>
      <c r="P914" s="236"/>
      <c r="Q914" s="235"/>
      <c r="R914" s="235"/>
      <c r="S914" s="236"/>
      <c r="T914" s="236"/>
      <c r="U914" s="237"/>
      <c r="V914" s="237"/>
      <c r="W914" s="238"/>
      <c r="X914" s="237"/>
      <c r="Y914" s="237"/>
      <c r="Z914" s="237"/>
      <c r="AA914" s="239"/>
      <c r="AB914" s="238"/>
      <c r="AC914" s="238"/>
      <c r="AD914" s="240"/>
      <c r="AE914" s="241"/>
      <c r="AF914" s="241"/>
      <c r="AG914" s="238"/>
      <c r="AH914" s="240"/>
      <c r="AI914" s="241"/>
      <c r="AJ914" s="241"/>
      <c r="AK914" s="241"/>
      <c r="AL914" s="237"/>
      <c r="AM914" s="237"/>
      <c r="AN914" s="237"/>
      <c r="AO914" s="237"/>
      <c r="AP914" s="237"/>
      <c r="AQ914" s="237"/>
      <c r="AR914" s="237"/>
    </row>
    <row r="915">
      <c r="A915" s="228"/>
      <c r="B915" s="228"/>
      <c r="C915" s="228"/>
      <c r="D915" s="228"/>
      <c r="E915" s="228"/>
      <c r="F915" s="228"/>
      <c r="G915" s="228"/>
      <c r="H915" s="241"/>
      <c r="I915" s="228"/>
      <c r="J915" s="236"/>
      <c r="K915" s="228"/>
      <c r="L915" s="228"/>
      <c r="M915" s="238"/>
      <c r="N915" s="228"/>
      <c r="O915" s="235"/>
      <c r="P915" s="236"/>
      <c r="Q915" s="235"/>
      <c r="R915" s="235"/>
      <c r="S915" s="236"/>
      <c r="T915" s="236"/>
      <c r="U915" s="237"/>
      <c r="V915" s="237"/>
      <c r="W915" s="238"/>
      <c r="X915" s="237"/>
      <c r="Y915" s="237"/>
      <c r="Z915" s="237"/>
      <c r="AA915" s="239"/>
      <c r="AB915" s="238"/>
      <c r="AC915" s="238"/>
      <c r="AD915" s="240"/>
      <c r="AE915" s="241"/>
      <c r="AF915" s="241"/>
      <c r="AG915" s="238"/>
      <c r="AH915" s="240"/>
      <c r="AI915" s="241"/>
      <c r="AJ915" s="241"/>
      <c r="AK915" s="241"/>
      <c r="AL915" s="237"/>
      <c r="AM915" s="237"/>
      <c r="AN915" s="237"/>
      <c r="AO915" s="237"/>
      <c r="AP915" s="237"/>
      <c r="AQ915" s="237"/>
      <c r="AR915" s="237"/>
    </row>
    <row r="916">
      <c r="A916" s="228"/>
      <c r="B916" s="228"/>
      <c r="C916" s="228"/>
      <c r="D916" s="228"/>
      <c r="E916" s="228"/>
      <c r="F916" s="228"/>
      <c r="G916" s="228"/>
      <c r="H916" s="241"/>
      <c r="I916" s="228"/>
      <c r="J916" s="236"/>
      <c r="K916" s="228"/>
      <c r="L916" s="228"/>
      <c r="M916" s="238"/>
      <c r="N916" s="228"/>
      <c r="O916" s="235"/>
      <c r="P916" s="236"/>
      <c r="Q916" s="235"/>
      <c r="R916" s="235"/>
      <c r="S916" s="236"/>
      <c r="T916" s="236"/>
      <c r="U916" s="237"/>
      <c r="V916" s="237"/>
      <c r="W916" s="238"/>
      <c r="X916" s="237"/>
      <c r="Y916" s="237"/>
      <c r="Z916" s="237"/>
      <c r="AA916" s="239"/>
      <c r="AB916" s="238"/>
      <c r="AC916" s="238"/>
      <c r="AD916" s="240"/>
      <c r="AE916" s="241"/>
      <c r="AF916" s="241"/>
      <c r="AG916" s="238"/>
      <c r="AH916" s="240"/>
      <c r="AI916" s="241"/>
      <c r="AJ916" s="241"/>
      <c r="AK916" s="241"/>
      <c r="AL916" s="237"/>
      <c r="AM916" s="237"/>
      <c r="AN916" s="237"/>
      <c r="AO916" s="237"/>
      <c r="AP916" s="237"/>
      <c r="AQ916" s="237"/>
      <c r="AR916" s="237"/>
    </row>
    <row r="917">
      <c r="A917" s="228"/>
      <c r="B917" s="228"/>
      <c r="C917" s="228"/>
      <c r="D917" s="228"/>
      <c r="E917" s="228"/>
      <c r="F917" s="228"/>
      <c r="G917" s="228"/>
      <c r="H917" s="241"/>
      <c r="I917" s="228"/>
      <c r="J917" s="236"/>
      <c r="K917" s="228"/>
      <c r="L917" s="228"/>
      <c r="M917" s="238"/>
      <c r="N917" s="228"/>
      <c r="O917" s="235"/>
      <c r="P917" s="236"/>
      <c r="Q917" s="235"/>
      <c r="R917" s="235"/>
      <c r="S917" s="236"/>
      <c r="T917" s="236"/>
      <c r="U917" s="237"/>
      <c r="V917" s="237"/>
      <c r="W917" s="238"/>
      <c r="X917" s="237"/>
      <c r="Y917" s="237"/>
      <c r="Z917" s="237"/>
      <c r="AA917" s="239"/>
      <c r="AB917" s="238"/>
      <c r="AC917" s="238"/>
      <c r="AD917" s="240"/>
      <c r="AE917" s="241"/>
      <c r="AF917" s="241"/>
      <c r="AG917" s="238"/>
      <c r="AH917" s="240"/>
      <c r="AI917" s="241"/>
      <c r="AJ917" s="241"/>
      <c r="AK917" s="241"/>
      <c r="AL917" s="237"/>
      <c r="AM917" s="237"/>
      <c r="AN917" s="237"/>
      <c r="AO917" s="237"/>
      <c r="AP917" s="237"/>
      <c r="AQ917" s="237"/>
      <c r="AR917" s="237"/>
    </row>
    <row r="918">
      <c r="A918" s="228"/>
      <c r="B918" s="228"/>
      <c r="C918" s="228"/>
      <c r="D918" s="228"/>
      <c r="E918" s="228"/>
      <c r="F918" s="228"/>
      <c r="G918" s="228"/>
      <c r="H918" s="241"/>
      <c r="I918" s="228"/>
      <c r="J918" s="236"/>
      <c r="K918" s="228"/>
      <c r="L918" s="228"/>
      <c r="M918" s="238"/>
      <c r="N918" s="228"/>
      <c r="O918" s="235"/>
      <c r="P918" s="236"/>
      <c r="Q918" s="235"/>
      <c r="R918" s="235"/>
      <c r="S918" s="236"/>
      <c r="T918" s="236"/>
      <c r="U918" s="237"/>
      <c r="V918" s="237"/>
      <c r="W918" s="238"/>
      <c r="X918" s="237"/>
      <c r="Y918" s="237"/>
      <c r="Z918" s="237"/>
      <c r="AA918" s="239"/>
      <c r="AB918" s="238"/>
      <c r="AC918" s="238"/>
      <c r="AD918" s="240"/>
      <c r="AE918" s="241"/>
      <c r="AF918" s="241"/>
      <c r="AG918" s="238"/>
      <c r="AH918" s="240"/>
      <c r="AI918" s="241"/>
      <c r="AJ918" s="241"/>
      <c r="AK918" s="241"/>
      <c r="AL918" s="237"/>
      <c r="AM918" s="237"/>
      <c r="AN918" s="237"/>
      <c r="AO918" s="237"/>
      <c r="AP918" s="237"/>
      <c r="AQ918" s="237"/>
      <c r="AR918" s="237"/>
    </row>
    <row r="919">
      <c r="A919" s="228"/>
      <c r="B919" s="228"/>
      <c r="C919" s="228"/>
      <c r="D919" s="228"/>
      <c r="E919" s="228"/>
      <c r="F919" s="228"/>
      <c r="G919" s="228"/>
      <c r="H919" s="241"/>
      <c r="I919" s="228"/>
      <c r="J919" s="236"/>
      <c r="K919" s="228"/>
      <c r="L919" s="228"/>
      <c r="M919" s="238"/>
      <c r="N919" s="228"/>
      <c r="O919" s="235"/>
      <c r="P919" s="236"/>
      <c r="Q919" s="235"/>
      <c r="R919" s="235"/>
      <c r="S919" s="236"/>
      <c r="T919" s="236"/>
      <c r="U919" s="237"/>
      <c r="V919" s="237"/>
      <c r="W919" s="238"/>
      <c r="X919" s="237"/>
      <c r="Y919" s="237"/>
      <c r="Z919" s="237"/>
      <c r="AA919" s="239"/>
      <c r="AB919" s="238"/>
      <c r="AC919" s="238"/>
      <c r="AD919" s="240"/>
      <c r="AE919" s="241"/>
      <c r="AF919" s="241"/>
      <c r="AG919" s="238"/>
      <c r="AH919" s="240"/>
      <c r="AI919" s="241"/>
      <c r="AJ919" s="241"/>
      <c r="AK919" s="241"/>
      <c r="AL919" s="237"/>
      <c r="AM919" s="237"/>
      <c r="AN919" s="237"/>
      <c r="AO919" s="237"/>
      <c r="AP919" s="237"/>
      <c r="AQ919" s="237"/>
      <c r="AR919" s="237"/>
    </row>
    <row r="920">
      <c r="A920" s="228"/>
      <c r="B920" s="228"/>
      <c r="C920" s="228"/>
      <c r="D920" s="228"/>
      <c r="E920" s="228"/>
      <c r="F920" s="228"/>
      <c r="G920" s="228"/>
      <c r="H920" s="241"/>
      <c r="I920" s="228"/>
      <c r="J920" s="236"/>
      <c r="K920" s="228"/>
      <c r="L920" s="228"/>
      <c r="M920" s="238"/>
      <c r="N920" s="228"/>
      <c r="O920" s="235"/>
      <c r="P920" s="236"/>
      <c r="Q920" s="235"/>
      <c r="R920" s="235"/>
      <c r="S920" s="236"/>
      <c r="T920" s="236"/>
      <c r="U920" s="237"/>
      <c r="V920" s="237"/>
      <c r="W920" s="238"/>
      <c r="X920" s="237"/>
      <c r="Y920" s="237"/>
      <c r="Z920" s="237"/>
      <c r="AA920" s="239"/>
      <c r="AB920" s="238"/>
      <c r="AC920" s="238"/>
      <c r="AD920" s="240"/>
      <c r="AE920" s="241"/>
      <c r="AF920" s="241"/>
      <c r="AG920" s="238"/>
      <c r="AH920" s="240"/>
      <c r="AI920" s="241"/>
      <c r="AJ920" s="241"/>
      <c r="AK920" s="241"/>
      <c r="AL920" s="237"/>
      <c r="AM920" s="237"/>
      <c r="AN920" s="237"/>
      <c r="AO920" s="237"/>
      <c r="AP920" s="237"/>
      <c r="AQ920" s="237"/>
      <c r="AR920" s="237"/>
    </row>
    <row r="921">
      <c r="A921" s="228"/>
      <c r="B921" s="228"/>
      <c r="C921" s="228"/>
      <c r="D921" s="228"/>
      <c r="E921" s="228"/>
      <c r="F921" s="228"/>
      <c r="G921" s="228"/>
      <c r="H921" s="241"/>
      <c r="I921" s="228"/>
      <c r="J921" s="236"/>
      <c r="K921" s="228"/>
      <c r="L921" s="228"/>
      <c r="M921" s="238"/>
      <c r="N921" s="228"/>
      <c r="O921" s="235"/>
      <c r="P921" s="236"/>
      <c r="Q921" s="235"/>
      <c r="R921" s="235"/>
      <c r="S921" s="236"/>
      <c r="T921" s="236"/>
      <c r="U921" s="237"/>
      <c r="V921" s="237"/>
      <c r="W921" s="238"/>
      <c r="X921" s="237"/>
      <c r="Y921" s="237"/>
      <c r="Z921" s="237"/>
      <c r="AA921" s="239"/>
      <c r="AB921" s="238"/>
      <c r="AC921" s="238"/>
      <c r="AD921" s="240"/>
      <c r="AE921" s="241"/>
      <c r="AF921" s="241"/>
      <c r="AG921" s="238"/>
      <c r="AH921" s="240"/>
      <c r="AI921" s="241"/>
      <c r="AJ921" s="241"/>
      <c r="AK921" s="241"/>
      <c r="AL921" s="237"/>
      <c r="AM921" s="237"/>
      <c r="AN921" s="237"/>
      <c r="AO921" s="237"/>
      <c r="AP921" s="237"/>
      <c r="AQ921" s="237"/>
      <c r="AR921" s="237"/>
    </row>
    <row r="922">
      <c r="A922" s="228"/>
      <c r="B922" s="228"/>
      <c r="C922" s="228"/>
      <c r="D922" s="228"/>
      <c r="E922" s="228"/>
      <c r="F922" s="228"/>
      <c r="G922" s="228"/>
      <c r="H922" s="241"/>
      <c r="I922" s="228"/>
      <c r="J922" s="236"/>
      <c r="K922" s="228"/>
      <c r="L922" s="228"/>
      <c r="M922" s="238"/>
      <c r="N922" s="228"/>
      <c r="O922" s="235"/>
      <c r="P922" s="236"/>
      <c r="Q922" s="235"/>
      <c r="R922" s="235"/>
      <c r="S922" s="236"/>
      <c r="T922" s="236"/>
      <c r="U922" s="237"/>
      <c r="V922" s="237"/>
      <c r="W922" s="238"/>
      <c r="X922" s="237"/>
      <c r="Y922" s="237"/>
      <c r="Z922" s="237"/>
      <c r="AA922" s="239"/>
      <c r="AB922" s="238"/>
      <c r="AC922" s="238"/>
      <c r="AD922" s="240"/>
      <c r="AE922" s="241"/>
      <c r="AF922" s="241"/>
      <c r="AG922" s="238"/>
      <c r="AH922" s="240"/>
      <c r="AI922" s="241"/>
      <c r="AJ922" s="241"/>
      <c r="AK922" s="241"/>
      <c r="AL922" s="237"/>
      <c r="AM922" s="237"/>
      <c r="AN922" s="237"/>
      <c r="AO922" s="237"/>
      <c r="AP922" s="237"/>
      <c r="AQ922" s="237"/>
      <c r="AR922" s="237"/>
    </row>
    <row r="923">
      <c r="A923" s="228"/>
      <c r="B923" s="228"/>
      <c r="C923" s="228"/>
      <c r="D923" s="228"/>
      <c r="E923" s="228"/>
      <c r="F923" s="228"/>
      <c r="G923" s="228"/>
      <c r="H923" s="241"/>
      <c r="I923" s="228"/>
      <c r="J923" s="236"/>
      <c r="K923" s="228"/>
      <c r="L923" s="228"/>
      <c r="M923" s="238"/>
      <c r="N923" s="228"/>
      <c r="O923" s="235"/>
      <c r="P923" s="236"/>
      <c r="Q923" s="235"/>
      <c r="R923" s="235"/>
      <c r="S923" s="236"/>
      <c r="T923" s="236"/>
      <c r="U923" s="237"/>
      <c r="V923" s="237"/>
      <c r="W923" s="238"/>
      <c r="X923" s="237"/>
      <c r="Y923" s="237"/>
      <c r="Z923" s="237"/>
      <c r="AA923" s="239"/>
      <c r="AB923" s="238"/>
      <c r="AC923" s="238"/>
      <c r="AD923" s="240"/>
      <c r="AE923" s="241"/>
      <c r="AF923" s="241"/>
      <c r="AG923" s="238"/>
      <c r="AH923" s="240"/>
      <c r="AI923" s="241"/>
      <c r="AJ923" s="241"/>
      <c r="AK923" s="241"/>
      <c r="AL923" s="237"/>
      <c r="AM923" s="237"/>
      <c r="AN923" s="237"/>
      <c r="AO923" s="237"/>
      <c r="AP923" s="237"/>
      <c r="AQ923" s="237"/>
      <c r="AR923" s="237"/>
    </row>
    <row r="924">
      <c r="A924" s="228"/>
      <c r="B924" s="228"/>
      <c r="C924" s="228"/>
      <c r="D924" s="228"/>
      <c r="E924" s="228"/>
      <c r="F924" s="228"/>
      <c r="G924" s="228"/>
      <c r="H924" s="241"/>
      <c r="I924" s="228"/>
      <c r="J924" s="236"/>
      <c r="K924" s="228"/>
      <c r="L924" s="228"/>
      <c r="M924" s="238"/>
      <c r="N924" s="228"/>
      <c r="O924" s="235"/>
      <c r="P924" s="236"/>
      <c r="Q924" s="235"/>
      <c r="R924" s="235"/>
      <c r="S924" s="236"/>
      <c r="T924" s="236"/>
      <c r="U924" s="237"/>
      <c r="V924" s="237"/>
      <c r="W924" s="238"/>
      <c r="X924" s="237"/>
      <c r="Y924" s="237"/>
      <c r="Z924" s="237"/>
      <c r="AA924" s="239"/>
      <c r="AB924" s="238"/>
      <c r="AC924" s="238"/>
      <c r="AD924" s="240"/>
      <c r="AE924" s="241"/>
      <c r="AF924" s="241"/>
      <c r="AG924" s="238"/>
      <c r="AH924" s="240"/>
      <c r="AI924" s="241"/>
      <c r="AJ924" s="241"/>
      <c r="AK924" s="241"/>
      <c r="AL924" s="237"/>
      <c r="AM924" s="237"/>
      <c r="AN924" s="237"/>
      <c r="AO924" s="237"/>
      <c r="AP924" s="237"/>
      <c r="AQ924" s="237"/>
      <c r="AR924" s="237"/>
    </row>
    <row r="925">
      <c r="A925" s="228"/>
      <c r="B925" s="228"/>
      <c r="C925" s="228"/>
      <c r="D925" s="228"/>
      <c r="E925" s="228"/>
      <c r="F925" s="228"/>
      <c r="G925" s="228"/>
      <c r="H925" s="241"/>
      <c r="I925" s="228"/>
      <c r="J925" s="236"/>
      <c r="K925" s="228"/>
      <c r="L925" s="228"/>
      <c r="M925" s="238"/>
      <c r="N925" s="228"/>
      <c r="O925" s="235"/>
      <c r="P925" s="236"/>
      <c r="Q925" s="235"/>
      <c r="R925" s="235"/>
      <c r="S925" s="236"/>
      <c r="T925" s="236"/>
      <c r="U925" s="237"/>
      <c r="V925" s="237"/>
      <c r="W925" s="238"/>
      <c r="X925" s="237"/>
      <c r="Y925" s="237"/>
      <c r="Z925" s="237"/>
      <c r="AA925" s="239"/>
      <c r="AB925" s="238"/>
      <c r="AC925" s="238"/>
      <c r="AD925" s="240"/>
      <c r="AE925" s="241"/>
      <c r="AF925" s="241"/>
      <c r="AG925" s="238"/>
      <c r="AH925" s="240"/>
      <c r="AI925" s="241"/>
      <c r="AJ925" s="241"/>
      <c r="AK925" s="241"/>
      <c r="AL925" s="237"/>
      <c r="AM925" s="237"/>
      <c r="AN925" s="237"/>
      <c r="AO925" s="237"/>
      <c r="AP925" s="237"/>
      <c r="AQ925" s="237"/>
      <c r="AR925" s="237"/>
    </row>
    <row r="926">
      <c r="A926" s="228"/>
      <c r="B926" s="228"/>
      <c r="C926" s="228"/>
      <c r="D926" s="228"/>
      <c r="E926" s="228"/>
      <c r="F926" s="228"/>
      <c r="G926" s="228"/>
      <c r="H926" s="241"/>
      <c r="I926" s="228"/>
      <c r="J926" s="236"/>
      <c r="K926" s="228"/>
      <c r="L926" s="228"/>
      <c r="M926" s="238"/>
      <c r="N926" s="228"/>
      <c r="O926" s="235"/>
      <c r="P926" s="236"/>
      <c r="Q926" s="235"/>
      <c r="R926" s="235"/>
      <c r="S926" s="236"/>
      <c r="T926" s="236"/>
      <c r="U926" s="237"/>
      <c r="V926" s="237"/>
      <c r="W926" s="238"/>
      <c r="X926" s="237"/>
      <c r="Y926" s="237"/>
      <c r="Z926" s="237"/>
      <c r="AA926" s="239"/>
      <c r="AB926" s="238"/>
      <c r="AC926" s="238"/>
      <c r="AD926" s="240"/>
      <c r="AE926" s="241"/>
      <c r="AF926" s="241"/>
      <c r="AG926" s="238"/>
      <c r="AH926" s="240"/>
      <c r="AI926" s="241"/>
      <c r="AJ926" s="241"/>
      <c r="AK926" s="241"/>
      <c r="AL926" s="237"/>
      <c r="AM926" s="237"/>
      <c r="AN926" s="237"/>
      <c r="AO926" s="237"/>
      <c r="AP926" s="237"/>
      <c r="AQ926" s="237"/>
      <c r="AR926" s="237"/>
    </row>
    <row r="927">
      <c r="A927" s="228"/>
      <c r="B927" s="228"/>
      <c r="C927" s="228"/>
      <c r="D927" s="228"/>
      <c r="E927" s="228"/>
      <c r="F927" s="228"/>
      <c r="G927" s="228"/>
      <c r="H927" s="241"/>
      <c r="I927" s="228"/>
      <c r="J927" s="236"/>
      <c r="K927" s="228"/>
      <c r="L927" s="228"/>
      <c r="M927" s="238"/>
      <c r="N927" s="228"/>
      <c r="O927" s="235"/>
      <c r="P927" s="236"/>
      <c r="Q927" s="235"/>
      <c r="R927" s="235"/>
      <c r="S927" s="236"/>
      <c r="T927" s="236"/>
      <c r="U927" s="237"/>
      <c r="V927" s="237"/>
      <c r="W927" s="238"/>
      <c r="X927" s="237"/>
      <c r="Y927" s="237"/>
      <c r="Z927" s="237"/>
      <c r="AA927" s="239"/>
      <c r="AB927" s="238"/>
      <c r="AC927" s="238"/>
      <c r="AD927" s="240"/>
      <c r="AE927" s="241"/>
      <c r="AF927" s="241"/>
      <c r="AG927" s="238"/>
      <c r="AH927" s="240"/>
      <c r="AI927" s="241"/>
      <c r="AJ927" s="241"/>
      <c r="AK927" s="241"/>
      <c r="AL927" s="237"/>
      <c r="AM927" s="237"/>
      <c r="AN927" s="237"/>
      <c r="AO927" s="237"/>
      <c r="AP927" s="237"/>
      <c r="AQ927" s="237"/>
      <c r="AR927" s="237"/>
    </row>
    <row r="928">
      <c r="A928" s="228"/>
      <c r="B928" s="228"/>
      <c r="C928" s="228"/>
      <c r="D928" s="228"/>
      <c r="E928" s="228"/>
      <c r="F928" s="228"/>
      <c r="G928" s="228"/>
      <c r="H928" s="241"/>
      <c r="I928" s="228"/>
      <c r="J928" s="236"/>
      <c r="K928" s="228"/>
      <c r="L928" s="228"/>
      <c r="M928" s="238"/>
      <c r="N928" s="228"/>
      <c r="O928" s="235"/>
      <c r="P928" s="236"/>
      <c r="Q928" s="235"/>
      <c r="R928" s="235"/>
      <c r="S928" s="236"/>
      <c r="T928" s="236"/>
      <c r="U928" s="237"/>
      <c r="V928" s="237"/>
      <c r="W928" s="238"/>
      <c r="X928" s="237"/>
      <c r="Y928" s="237"/>
      <c r="Z928" s="237"/>
      <c r="AA928" s="239"/>
      <c r="AB928" s="238"/>
      <c r="AC928" s="238"/>
      <c r="AD928" s="240"/>
      <c r="AE928" s="241"/>
      <c r="AF928" s="241"/>
      <c r="AG928" s="238"/>
      <c r="AH928" s="240"/>
      <c r="AI928" s="241"/>
      <c r="AJ928" s="241"/>
      <c r="AK928" s="241"/>
      <c r="AL928" s="237"/>
      <c r="AM928" s="237"/>
      <c r="AN928" s="237"/>
      <c r="AO928" s="237"/>
      <c r="AP928" s="237"/>
      <c r="AQ928" s="237"/>
      <c r="AR928" s="237"/>
    </row>
    <row r="929">
      <c r="A929" s="228"/>
      <c r="B929" s="228"/>
      <c r="C929" s="228"/>
      <c r="D929" s="228"/>
      <c r="E929" s="228"/>
      <c r="F929" s="228"/>
      <c r="G929" s="228"/>
      <c r="H929" s="241"/>
      <c r="I929" s="228"/>
      <c r="J929" s="236"/>
      <c r="K929" s="228"/>
      <c r="L929" s="228"/>
      <c r="M929" s="238"/>
      <c r="N929" s="228"/>
      <c r="O929" s="235"/>
      <c r="P929" s="236"/>
      <c r="Q929" s="235"/>
      <c r="R929" s="235"/>
      <c r="S929" s="236"/>
      <c r="T929" s="236"/>
      <c r="U929" s="237"/>
      <c r="V929" s="237"/>
      <c r="W929" s="238"/>
      <c r="X929" s="237"/>
      <c r="Y929" s="237"/>
      <c r="Z929" s="237"/>
      <c r="AA929" s="239"/>
      <c r="AB929" s="238"/>
      <c r="AC929" s="238"/>
      <c r="AD929" s="240"/>
      <c r="AE929" s="241"/>
      <c r="AF929" s="241"/>
      <c r="AG929" s="238"/>
      <c r="AH929" s="240"/>
      <c r="AI929" s="241"/>
      <c r="AJ929" s="241"/>
      <c r="AK929" s="241"/>
      <c r="AL929" s="237"/>
      <c r="AM929" s="237"/>
      <c r="AN929" s="237"/>
      <c r="AO929" s="237"/>
      <c r="AP929" s="237"/>
      <c r="AQ929" s="237"/>
      <c r="AR929" s="237"/>
    </row>
    <row r="930">
      <c r="A930" s="228"/>
      <c r="B930" s="228"/>
      <c r="C930" s="228"/>
      <c r="D930" s="228"/>
      <c r="E930" s="228"/>
      <c r="F930" s="228"/>
      <c r="G930" s="228"/>
      <c r="H930" s="241"/>
      <c r="I930" s="228"/>
      <c r="J930" s="236"/>
      <c r="K930" s="228"/>
      <c r="L930" s="228"/>
      <c r="M930" s="238"/>
      <c r="N930" s="228"/>
      <c r="O930" s="235"/>
      <c r="P930" s="236"/>
      <c r="Q930" s="235"/>
      <c r="R930" s="235"/>
      <c r="S930" s="236"/>
      <c r="T930" s="236"/>
      <c r="U930" s="237"/>
      <c r="V930" s="237"/>
      <c r="W930" s="238"/>
      <c r="X930" s="237"/>
      <c r="Y930" s="237"/>
      <c r="Z930" s="237"/>
      <c r="AA930" s="239"/>
      <c r="AB930" s="238"/>
      <c r="AC930" s="238"/>
      <c r="AD930" s="240"/>
      <c r="AE930" s="241"/>
      <c r="AF930" s="241"/>
      <c r="AG930" s="238"/>
      <c r="AH930" s="240"/>
      <c r="AI930" s="241"/>
      <c r="AJ930" s="241"/>
      <c r="AK930" s="241"/>
      <c r="AL930" s="237"/>
      <c r="AM930" s="237"/>
      <c r="AN930" s="237"/>
      <c r="AO930" s="237"/>
      <c r="AP930" s="237"/>
      <c r="AQ930" s="237"/>
      <c r="AR930" s="237"/>
    </row>
    <row r="931">
      <c r="A931" s="228"/>
      <c r="B931" s="228"/>
      <c r="C931" s="228"/>
      <c r="D931" s="228"/>
      <c r="E931" s="228"/>
      <c r="F931" s="228"/>
      <c r="G931" s="228"/>
      <c r="H931" s="241"/>
      <c r="I931" s="228"/>
      <c r="J931" s="236"/>
      <c r="K931" s="228"/>
      <c r="L931" s="228"/>
      <c r="M931" s="238"/>
      <c r="N931" s="228"/>
      <c r="O931" s="235"/>
      <c r="P931" s="236"/>
      <c r="Q931" s="235"/>
      <c r="R931" s="235"/>
      <c r="S931" s="236"/>
      <c r="T931" s="236"/>
      <c r="U931" s="237"/>
      <c r="V931" s="237"/>
      <c r="W931" s="238"/>
      <c r="X931" s="237"/>
      <c r="Y931" s="237"/>
      <c r="Z931" s="237"/>
      <c r="AA931" s="239"/>
      <c r="AB931" s="238"/>
      <c r="AC931" s="238"/>
      <c r="AD931" s="240"/>
      <c r="AE931" s="241"/>
      <c r="AF931" s="241"/>
      <c r="AG931" s="238"/>
      <c r="AH931" s="240"/>
      <c r="AI931" s="241"/>
      <c r="AJ931" s="241"/>
      <c r="AK931" s="241"/>
      <c r="AL931" s="237"/>
      <c r="AM931" s="237"/>
      <c r="AN931" s="237"/>
      <c r="AO931" s="237"/>
      <c r="AP931" s="237"/>
      <c r="AQ931" s="237"/>
      <c r="AR931" s="237"/>
    </row>
    <row r="932">
      <c r="A932" s="228"/>
      <c r="B932" s="228"/>
      <c r="C932" s="228"/>
      <c r="D932" s="228"/>
      <c r="E932" s="228"/>
      <c r="F932" s="228"/>
      <c r="G932" s="228"/>
      <c r="H932" s="241"/>
      <c r="I932" s="228"/>
      <c r="J932" s="236"/>
      <c r="K932" s="228"/>
      <c r="L932" s="228"/>
      <c r="M932" s="238"/>
      <c r="N932" s="228"/>
      <c r="O932" s="235"/>
      <c r="P932" s="236"/>
      <c r="Q932" s="235"/>
      <c r="R932" s="235"/>
      <c r="S932" s="236"/>
      <c r="T932" s="236"/>
      <c r="U932" s="237"/>
      <c r="V932" s="237"/>
      <c r="W932" s="238"/>
      <c r="X932" s="237"/>
      <c r="Y932" s="237"/>
      <c r="Z932" s="237"/>
      <c r="AA932" s="239"/>
      <c r="AB932" s="238"/>
      <c r="AC932" s="238"/>
      <c r="AD932" s="240"/>
      <c r="AE932" s="241"/>
      <c r="AF932" s="241"/>
      <c r="AG932" s="238"/>
      <c r="AH932" s="240"/>
      <c r="AI932" s="241"/>
      <c r="AJ932" s="241"/>
      <c r="AK932" s="241"/>
      <c r="AL932" s="237"/>
      <c r="AM932" s="237"/>
      <c r="AN932" s="237"/>
      <c r="AO932" s="237"/>
      <c r="AP932" s="237"/>
      <c r="AQ932" s="237"/>
      <c r="AR932" s="237"/>
    </row>
    <row r="933">
      <c r="A933" s="228"/>
      <c r="B933" s="228"/>
      <c r="C933" s="228"/>
      <c r="D933" s="228"/>
      <c r="E933" s="228"/>
      <c r="F933" s="228"/>
      <c r="G933" s="228"/>
      <c r="H933" s="241"/>
      <c r="I933" s="228"/>
      <c r="J933" s="236"/>
      <c r="K933" s="228"/>
      <c r="L933" s="228"/>
      <c r="M933" s="238"/>
      <c r="N933" s="228"/>
      <c r="O933" s="235"/>
      <c r="P933" s="236"/>
      <c r="Q933" s="235"/>
      <c r="R933" s="235"/>
      <c r="S933" s="236"/>
      <c r="T933" s="236"/>
      <c r="U933" s="237"/>
      <c r="V933" s="237"/>
      <c r="W933" s="238"/>
      <c r="X933" s="237"/>
      <c r="Y933" s="237"/>
      <c r="Z933" s="237"/>
      <c r="AA933" s="239"/>
      <c r="AB933" s="238"/>
      <c r="AC933" s="238"/>
      <c r="AD933" s="240"/>
      <c r="AE933" s="241"/>
      <c r="AF933" s="241"/>
      <c r="AG933" s="238"/>
      <c r="AH933" s="240"/>
      <c r="AI933" s="241"/>
      <c r="AJ933" s="241"/>
      <c r="AK933" s="241"/>
      <c r="AL933" s="237"/>
      <c r="AM933" s="237"/>
      <c r="AN933" s="237"/>
      <c r="AO933" s="237"/>
      <c r="AP933" s="237"/>
      <c r="AQ933" s="237"/>
      <c r="AR933" s="237"/>
    </row>
    <row r="934">
      <c r="A934" s="228"/>
      <c r="B934" s="228"/>
      <c r="C934" s="228"/>
      <c r="D934" s="228"/>
      <c r="E934" s="228"/>
      <c r="F934" s="228"/>
      <c r="G934" s="228"/>
      <c r="H934" s="241"/>
      <c r="I934" s="228"/>
      <c r="J934" s="236"/>
      <c r="K934" s="228"/>
      <c r="L934" s="228"/>
      <c r="M934" s="238"/>
      <c r="N934" s="228"/>
      <c r="O934" s="235"/>
      <c r="P934" s="236"/>
      <c r="Q934" s="235"/>
      <c r="R934" s="235"/>
      <c r="S934" s="236"/>
      <c r="T934" s="236"/>
      <c r="U934" s="237"/>
      <c r="V934" s="237"/>
      <c r="W934" s="238"/>
      <c r="X934" s="237"/>
      <c r="Y934" s="237"/>
      <c r="Z934" s="237"/>
      <c r="AA934" s="239"/>
      <c r="AB934" s="238"/>
      <c r="AC934" s="238"/>
      <c r="AD934" s="240"/>
      <c r="AE934" s="241"/>
      <c r="AF934" s="241"/>
      <c r="AG934" s="238"/>
      <c r="AH934" s="240"/>
      <c r="AI934" s="241"/>
      <c r="AJ934" s="241"/>
      <c r="AK934" s="241"/>
      <c r="AL934" s="237"/>
      <c r="AM934" s="237"/>
      <c r="AN934" s="237"/>
      <c r="AO934" s="237"/>
      <c r="AP934" s="237"/>
      <c r="AQ934" s="237"/>
      <c r="AR934" s="237"/>
    </row>
    <row r="935">
      <c r="A935" s="228"/>
      <c r="B935" s="228"/>
      <c r="C935" s="228"/>
      <c r="D935" s="228"/>
      <c r="E935" s="228"/>
      <c r="F935" s="228"/>
      <c r="G935" s="228"/>
      <c r="H935" s="241"/>
      <c r="I935" s="228"/>
      <c r="J935" s="236"/>
      <c r="K935" s="228"/>
      <c r="L935" s="228"/>
      <c r="M935" s="238"/>
      <c r="N935" s="228"/>
      <c r="O935" s="235"/>
      <c r="P935" s="236"/>
      <c r="Q935" s="235"/>
      <c r="R935" s="235"/>
      <c r="S935" s="236"/>
      <c r="T935" s="236"/>
      <c r="U935" s="237"/>
      <c r="V935" s="237"/>
      <c r="W935" s="238"/>
      <c r="X935" s="237"/>
      <c r="Y935" s="237"/>
      <c r="Z935" s="237"/>
      <c r="AA935" s="239"/>
      <c r="AB935" s="238"/>
      <c r="AC935" s="238"/>
      <c r="AD935" s="240"/>
      <c r="AE935" s="241"/>
      <c r="AF935" s="241"/>
      <c r="AG935" s="238"/>
      <c r="AH935" s="240"/>
      <c r="AI935" s="241"/>
      <c r="AJ935" s="241"/>
      <c r="AK935" s="241"/>
      <c r="AL935" s="237"/>
      <c r="AM935" s="237"/>
      <c r="AN935" s="237"/>
      <c r="AO935" s="237"/>
      <c r="AP935" s="237"/>
      <c r="AQ935" s="237"/>
      <c r="AR935" s="237"/>
    </row>
    <row r="936">
      <c r="A936" s="228"/>
      <c r="B936" s="228"/>
      <c r="C936" s="228"/>
      <c r="D936" s="228"/>
      <c r="E936" s="228"/>
      <c r="F936" s="228"/>
      <c r="G936" s="228"/>
      <c r="H936" s="241"/>
      <c r="I936" s="228"/>
      <c r="J936" s="236"/>
      <c r="K936" s="228"/>
      <c r="L936" s="228"/>
      <c r="M936" s="238"/>
      <c r="N936" s="228"/>
      <c r="O936" s="235"/>
      <c r="P936" s="236"/>
      <c r="Q936" s="235"/>
      <c r="R936" s="235"/>
      <c r="S936" s="236"/>
      <c r="T936" s="236"/>
      <c r="U936" s="237"/>
      <c r="V936" s="237"/>
      <c r="W936" s="238"/>
      <c r="X936" s="237"/>
      <c r="Y936" s="237"/>
      <c r="Z936" s="237"/>
      <c r="AA936" s="239"/>
      <c r="AB936" s="238"/>
      <c r="AC936" s="238"/>
      <c r="AD936" s="240"/>
      <c r="AE936" s="241"/>
      <c r="AF936" s="241"/>
      <c r="AG936" s="238"/>
      <c r="AH936" s="240"/>
      <c r="AI936" s="241"/>
      <c r="AJ936" s="241"/>
      <c r="AK936" s="241"/>
      <c r="AL936" s="237"/>
      <c r="AM936" s="237"/>
      <c r="AN936" s="237"/>
      <c r="AO936" s="237"/>
      <c r="AP936" s="237"/>
      <c r="AQ936" s="237"/>
      <c r="AR936" s="237"/>
    </row>
    <row r="937">
      <c r="A937" s="228"/>
      <c r="B937" s="228"/>
      <c r="C937" s="228"/>
      <c r="D937" s="228"/>
      <c r="E937" s="228"/>
      <c r="F937" s="228"/>
      <c r="G937" s="228"/>
      <c r="H937" s="241"/>
      <c r="I937" s="228"/>
      <c r="J937" s="236"/>
      <c r="K937" s="228"/>
      <c r="L937" s="228"/>
      <c r="M937" s="238"/>
      <c r="N937" s="228"/>
      <c r="O937" s="235"/>
      <c r="P937" s="236"/>
      <c r="Q937" s="235"/>
      <c r="R937" s="235"/>
      <c r="S937" s="236"/>
      <c r="T937" s="236"/>
      <c r="U937" s="237"/>
      <c r="V937" s="237"/>
      <c r="W937" s="238"/>
      <c r="X937" s="237"/>
      <c r="Y937" s="237"/>
      <c r="Z937" s="237"/>
      <c r="AA937" s="239"/>
      <c r="AB937" s="238"/>
      <c r="AC937" s="238"/>
      <c r="AD937" s="240"/>
      <c r="AE937" s="241"/>
      <c r="AF937" s="241"/>
      <c r="AG937" s="238"/>
      <c r="AH937" s="240"/>
      <c r="AI937" s="241"/>
      <c r="AJ937" s="241"/>
      <c r="AK937" s="241"/>
      <c r="AL937" s="237"/>
      <c r="AM937" s="237"/>
      <c r="AN937" s="237"/>
      <c r="AO937" s="237"/>
      <c r="AP937" s="237"/>
      <c r="AQ937" s="237"/>
      <c r="AR937" s="237"/>
    </row>
    <row r="938">
      <c r="A938" s="228"/>
      <c r="B938" s="228"/>
      <c r="C938" s="228"/>
      <c r="D938" s="228"/>
      <c r="E938" s="228"/>
      <c r="F938" s="228"/>
      <c r="G938" s="228"/>
      <c r="H938" s="241"/>
      <c r="I938" s="228"/>
      <c r="J938" s="236"/>
      <c r="K938" s="228"/>
      <c r="L938" s="228"/>
      <c r="M938" s="238"/>
      <c r="N938" s="228"/>
      <c r="O938" s="235"/>
      <c r="P938" s="236"/>
      <c r="Q938" s="235"/>
      <c r="R938" s="235"/>
      <c r="S938" s="236"/>
      <c r="T938" s="236"/>
      <c r="U938" s="237"/>
      <c r="V938" s="237"/>
      <c r="W938" s="238"/>
      <c r="X938" s="237"/>
      <c r="Y938" s="237"/>
      <c r="Z938" s="237"/>
      <c r="AA938" s="239"/>
      <c r="AB938" s="238"/>
      <c r="AC938" s="238"/>
      <c r="AD938" s="240"/>
      <c r="AE938" s="241"/>
      <c r="AF938" s="241"/>
      <c r="AG938" s="238"/>
      <c r="AH938" s="240"/>
      <c r="AI938" s="241"/>
      <c r="AJ938" s="241"/>
      <c r="AK938" s="241"/>
      <c r="AL938" s="237"/>
      <c r="AM938" s="237"/>
      <c r="AN938" s="237"/>
      <c r="AO938" s="237"/>
      <c r="AP938" s="237"/>
      <c r="AQ938" s="237"/>
      <c r="AR938" s="237"/>
    </row>
    <row r="939">
      <c r="A939" s="228"/>
      <c r="B939" s="228"/>
      <c r="C939" s="228"/>
      <c r="D939" s="228"/>
      <c r="E939" s="228"/>
      <c r="F939" s="228"/>
      <c r="G939" s="228"/>
      <c r="H939" s="241"/>
      <c r="I939" s="228"/>
      <c r="J939" s="236"/>
      <c r="K939" s="228"/>
      <c r="L939" s="228"/>
      <c r="M939" s="238"/>
      <c r="N939" s="228"/>
      <c r="O939" s="235"/>
      <c r="P939" s="236"/>
      <c r="Q939" s="235"/>
      <c r="R939" s="235"/>
      <c r="S939" s="236"/>
      <c r="T939" s="236"/>
      <c r="U939" s="237"/>
      <c r="V939" s="237"/>
      <c r="W939" s="238"/>
      <c r="X939" s="237"/>
      <c r="Y939" s="237"/>
      <c r="Z939" s="237"/>
      <c r="AA939" s="239"/>
      <c r="AB939" s="238"/>
      <c r="AC939" s="238"/>
      <c r="AD939" s="240"/>
      <c r="AE939" s="241"/>
      <c r="AF939" s="241"/>
      <c r="AG939" s="238"/>
      <c r="AH939" s="240"/>
      <c r="AI939" s="241"/>
      <c r="AJ939" s="241"/>
      <c r="AK939" s="241"/>
      <c r="AL939" s="237"/>
      <c r="AM939" s="237"/>
      <c r="AN939" s="237"/>
      <c r="AO939" s="237"/>
      <c r="AP939" s="237"/>
      <c r="AQ939" s="237"/>
      <c r="AR939" s="237"/>
    </row>
    <row r="940">
      <c r="A940" s="228"/>
      <c r="B940" s="228"/>
      <c r="C940" s="228"/>
      <c r="D940" s="228"/>
      <c r="E940" s="228"/>
      <c r="F940" s="228"/>
      <c r="G940" s="228"/>
      <c r="H940" s="241"/>
      <c r="I940" s="228"/>
      <c r="J940" s="236"/>
      <c r="K940" s="228"/>
      <c r="L940" s="228"/>
      <c r="M940" s="238"/>
      <c r="N940" s="228"/>
      <c r="O940" s="235"/>
      <c r="P940" s="236"/>
      <c r="Q940" s="235"/>
      <c r="R940" s="235"/>
      <c r="S940" s="236"/>
      <c r="T940" s="236"/>
      <c r="U940" s="237"/>
      <c r="V940" s="237"/>
      <c r="W940" s="238"/>
      <c r="X940" s="237"/>
      <c r="Y940" s="237"/>
      <c r="Z940" s="237"/>
      <c r="AA940" s="239"/>
      <c r="AB940" s="238"/>
      <c r="AC940" s="238"/>
      <c r="AD940" s="240"/>
      <c r="AE940" s="241"/>
      <c r="AF940" s="241"/>
      <c r="AG940" s="238"/>
      <c r="AH940" s="240"/>
      <c r="AI940" s="241"/>
      <c r="AJ940" s="241"/>
      <c r="AK940" s="241"/>
      <c r="AL940" s="237"/>
      <c r="AM940" s="237"/>
      <c r="AN940" s="237"/>
      <c r="AO940" s="237"/>
      <c r="AP940" s="237"/>
      <c r="AQ940" s="237"/>
      <c r="AR940" s="237"/>
    </row>
    <row r="941">
      <c r="A941" s="228"/>
      <c r="B941" s="228"/>
      <c r="C941" s="228"/>
      <c r="D941" s="228"/>
      <c r="E941" s="228"/>
      <c r="F941" s="228"/>
      <c r="G941" s="228"/>
      <c r="H941" s="241"/>
      <c r="I941" s="228"/>
      <c r="J941" s="236"/>
      <c r="K941" s="228"/>
      <c r="L941" s="228"/>
      <c r="M941" s="238"/>
      <c r="N941" s="228"/>
      <c r="O941" s="235"/>
      <c r="P941" s="236"/>
      <c r="Q941" s="235"/>
      <c r="R941" s="235"/>
      <c r="S941" s="236"/>
      <c r="T941" s="236"/>
      <c r="U941" s="237"/>
      <c r="V941" s="237"/>
      <c r="W941" s="238"/>
      <c r="X941" s="237"/>
      <c r="Y941" s="237"/>
      <c r="Z941" s="237"/>
      <c r="AA941" s="239"/>
      <c r="AB941" s="238"/>
      <c r="AC941" s="238"/>
      <c r="AD941" s="240"/>
      <c r="AE941" s="241"/>
      <c r="AF941" s="241"/>
      <c r="AG941" s="238"/>
      <c r="AH941" s="240"/>
      <c r="AI941" s="241"/>
      <c r="AJ941" s="241"/>
      <c r="AK941" s="241"/>
      <c r="AL941" s="237"/>
      <c r="AM941" s="237"/>
      <c r="AN941" s="237"/>
      <c r="AO941" s="237"/>
      <c r="AP941" s="237"/>
      <c r="AQ941" s="237"/>
      <c r="AR941" s="237"/>
    </row>
    <row r="942">
      <c r="A942" s="228"/>
      <c r="B942" s="228"/>
      <c r="C942" s="228"/>
      <c r="D942" s="228"/>
      <c r="E942" s="228"/>
      <c r="F942" s="228"/>
      <c r="G942" s="228"/>
      <c r="H942" s="241"/>
      <c r="I942" s="228"/>
      <c r="J942" s="236"/>
      <c r="K942" s="228"/>
      <c r="L942" s="228"/>
      <c r="M942" s="238"/>
      <c r="N942" s="228"/>
      <c r="O942" s="235"/>
      <c r="P942" s="236"/>
      <c r="Q942" s="235"/>
      <c r="R942" s="235"/>
      <c r="S942" s="236"/>
      <c r="T942" s="236"/>
      <c r="U942" s="237"/>
      <c r="V942" s="237"/>
      <c r="W942" s="238"/>
      <c r="X942" s="237"/>
      <c r="Y942" s="237"/>
      <c r="Z942" s="237"/>
      <c r="AA942" s="239"/>
      <c r="AB942" s="238"/>
      <c r="AC942" s="238"/>
      <c r="AD942" s="240"/>
      <c r="AE942" s="241"/>
      <c r="AF942" s="241"/>
      <c r="AG942" s="238"/>
      <c r="AH942" s="240"/>
      <c r="AI942" s="241"/>
      <c r="AJ942" s="241"/>
      <c r="AK942" s="241"/>
      <c r="AL942" s="237"/>
      <c r="AM942" s="237"/>
      <c r="AN942" s="237"/>
      <c r="AO942" s="237"/>
      <c r="AP942" s="237"/>
      <c r="AQ942" s="237"/>
      <c r="AR942" s="237"/>
    </row>
    <row r="943">
      <c r="A943" s="228"/>
      <c r="B943" s="228"/>
      <c r="C943" s="228"/>
      <c r="D943" s="228"/>
      <c r="E943" s="228"/>
      <c r="F943" s="228"/>
      <c r="G943" s="228"/>
      <c r="H943" s="241"/>
      <c r="I943" s="228"/>
      <c r="J943" s="236"/>
      <c r="K943" s="228"/>
      <c r="L943" s="228"/>
      <c r="M943" s="238"/>
      <c r="N943" s="228"/>
      <c r="O943" s="235"/>
      <c r="P943" s="236"/>
      <c r="Q943" s="235"/>
      <c r="R943" s="235"/>
      <c r="S943" s="236"/>
      <c r="T943" s="236"/>
      <c r="U943" s="237"/>
      <c r="V943" s="237"/>
      <c r="W943" s="238"/>
      <c r="X943" s="237"/>
      <c r="Y943" s="237"/>
      <c r="Z943" s="237"/>
      <c r="AA943" s="239"/>
      <c r="AB943" s="238"/>
      <c r="AC943" s="238"/>
      <c r="AD943" s="240"/>
      <c r="AE943" s="241"/>
      <c r="AF943" s="241"/>
      <c r="AG943" s="238"/>
      <c r="AH943" s="240"/>
      <c r="AI943" s="241"/>
      <c r="AJ943" s="241"/>
      <c r="AK943" s="241"/>
      <c r="AL943" s="237"/>
      <c r="AM943" s="237"/>
      <c r="AN943" s="237"/>
      <c r="AO943" s="237"/>
      <c r="AP943" s="237"/>
      <c r="AQ943" s="237"/>
      <c r="AR943" s="237"/>
    </row>
    <row r="944">
      <c r="A944" s="228"/>
      <c r="B944" s="228"/>
      <c r="C944" s="228"/>
      <c r="D944" s="228"/>
      <c r="E944" s="228"/>
      <c r="F944" s="228"/>
      <c r="G944" s="228"/>
      <c r="H944" s="241"/>
      <c r="I944" s="228"/>
      <c r="J944" s="236"/>
      <c r="K944" s="228"/>
      <c r="L944" s="228"/>
      <c r="M944" s="238"/>
      <c r="N944" s="228"/>
      <c r="O944" s="235"/>
      <c r="P944" s="236"/>
      <c r="Q944" s="235"/>
      <c r="R944" s="235"/>
      <c r="S944" s="236"/>
      <c r="T944" s="236"/>
      <c r="U944" s="237"/>
      <c r="V944" s="237"/>
      <c r="W944" s="238"/>
      <c r="X944" s="237"/>
      <c r="Y944" s="237"/>
      <c r="Z944" s="237"/>
      <c r="AA944" s="239"/>
      <c r="AB944" s="238"/>
      <c r="AC944" s="238"/>
      <c r="AD944" s="240"/>
      <c r="AE944" s="241"/>
      <c r="AF944" s="241"/>
      <c r="AG944" s="238"/>
      <c r="AH944" s="240"/>
      <c r="AI944" s="241"/>
      <c r="AJ944" s="241"/>
      <c r="AK944" s="241"/>
      <c r="AL944" s="237"/>
      <c r="AM944" s="237"/>
      <c r="AN944" s="237"/>
      <c r="AO944" s="237"/>
      <c r="AP944" s="237"/>
      <c r="AQ944" s="237"/>
      <c r="AR944" s="237"/>
    </row>
    <row r="945">
      <c r="A945" s="228"/>
      <c r="B945" s="228"/>
      <c r="C945" s="228"/>
      <c r="D945" s="228"/>
      <c r="E945" s="228"/>
      <c r="F945" s="228"/>
      <c r="G945" s="228"/>
      <c r="H945" s="241"/>
      <c r="I945" s="228"/>
      <c r="J945" s="236"/>
      <c r="K945" s="228"/>
      <c r="L945" s="228"/>
      <c r="M945" s="238"/>
      <c r="N945" s="228"/>
      <c r="O945" s="235"/>
      <c r="P945" s="236"/>
      <c r="Q945" s="235"/>
      <c r="R945" s="235"/>
      <c r="S945" s="236"/>
      <c r="T945" s="236"/>
      <c r="U945" s="237"/>
      <c r="V945" s="237"/>
      <c r="W945" s="238"/>
      <c r="X945" s="237"/>
      <c r="Y945" s="237"/>
      <c r="Z945" s="237"/>
      <c r="AA945" s="239"/>
      <c r="AB945" s="238"/>
      <c r="AC945" s="238"/>
      <c r="AD945" s="240"/>
      <c r="AE945" s="241"/>
      <c r="AF945" s="241"/>
      <c r="AG945" s="238"/>
      <c r="AH945" s="240"/>
      <c r="AI945" s="241"/>
      <c r="AJ945" s="241"/>
      <c r="AK945" s="241"/>
      <c r="AL945" s="237"/>
      <c r="AM945" s="237"/>
      <c r="AN945" s="237"/>
      <c r="AO945" s="237"/>
      <c r="AP945" s="237"/>
      <c r="AQ945" s="237"/>
      <c r="AR945" s="237"/>
    </row>
    <row r="946">
      <c r="A946" s="228"/>
      <c r="B946" s="228"/>
      <c r="C946" s="228"/>
      <c r="D946" s="228"/>
      <c r="E946" s="228"/>
      <c r="F946" s="228"/>
      <c r="G946" s="228"/>
      <c r="H946" s="241"/>
      <c r="I946" s="228"/>
      <c r="J946" s="236"/>
      <c r="K946" s="228"/>
      <c r="L946" s="228"/>
      <c r="M946" s="238"/>
      <c r="N946" s="228"/>
      <c r="O946" s="235"/>
      <c r="P946" s="236"/>
      <c r="Q946" s="235"/>
      <c r="R946" s="235"/>
      <c r="S946" s="236"/>
      <c r="T946" s="236"/>
      <c r="U946" s="237"/>
      <c r="V946" s="237"/>
      <c r="W946" s="238"/>
      <c r="X946" s="237"/>
      <c r="Y946" s="237"/>
      <c r="Z946" s="237"/>
      <c r="AA946" s="239"/>
      <c r="AB946" s="238"/>
      <c r="AC946" s="238"/>
      <c r="AD946" s="240"/>
      <c r="AE946" s="241"/>
      <c r="AF946" s="241"/>
      <c r="AG946" s="238"/>
      <c r="AH946" s="240"/>
      <c r="AI946" s="241"/>
      <c r="AJ946" s="241"/>
      <c r="AK946" s="241"/>
      <c r="AL946" s="237"/>
      <c r="AM946" s="237"/>
      <c r="AN946" s="237"/>
      <c r="AO946" s="237"/>
      <c r="AP946" s="237"/>
      <c r="AQ946" s="237"/>
      <c r="AR946" s="237"/>
    </row>
    <row r="947">
      <c r="A947" s="228"/>
      <c r="B947" s="228"/>
      <c r="C947" s="228"/>
      <c r="D947" s="228"/>
      <c r="E947" s="228"/>
      <c r="F947" s="228"/>
      <c r="G947" s="228"/>
      <c r="H947" s="241"/>
      <c r="I947" s="228"/>
      <c r="J947" s="236"/>
      <c r="K947" s="228"/>
      <c r="L947" s="228"/>
      <c r="M947" s="238"/>
      <c r="N947" s="228"/>
      <c r="O947" s="235"/>
      <c r="P947" s="236"/>
      <c r="Q947" s="235"/>
      <c r="R947" s="235"/>
      <c r="S947" s="236"/>
      <c r="T947" s="236"/>
      <c r="U947" s="237"/>
      <c r="V947" s="237"/>
      <c r="W947" s="238"/>
      <c r="X947" s="237"/>
      <c r="Y947" s="237"/>
      <c r="Z947" s="237"/>
      <c r="AA947" s="239"/>
      <c r="AB947" s="238"/>
      <c r="AC947" s="238"/>
      <c r="AD947" s="240"/>
      <c r="AE947" s="241"/>
      <c r="AF947" s="241"/>
      <c r="AG947" s="238"/>
      <c r="AH947" s="240"/>
      <c r="AI947" s="241"/>
      <c r="AJ947" s="241"/>
      <c r="AK947" s="241"/>
      <c r="AL947" s="237"/>
      <c r="AM947" s="237"/>
      <c r="AN947" s="237"/>
      <c r="AO947" s="237"/>
      <c r="AP947" s="237"/>
      <c r="AQ947" s="237"/>
      <c r="AR947" s="237"/>
    </row>
    <row r="948">
      <c r="A948" s="228"/>
      <c r="B948" s="228"/>
      <c r="C948" s="228"/>
      <c r="D948" s="228"/>
      <c r="E948" s="228"/>
      <c r="F948" s="228"/>
      <c r="G948" s="228"/>
      <c r="H948" s="241"/>
      <c r="I948" s="228"/>
      <c r="J948" s="236"/>
      <c r="K948" s="228"/>
      <c r="L948" s="228"/>
      <c r="M948" s="238"/>
      <c r="N948" s="228"/>
      <c r="O948" s="235"/>
      <c r="P948" s="236"/>
      <c r="Q948" s="235"/>
      <c r="R948" s="235"/>
      <c r="S948" s="236"/>
      <c r="T948" s="236"/>
      <c r="U948" s="237"/>
      <c r="V948" s="237"/>
      <c r="W948" s="238"/>
      <c r="X948" s="237"/>
      <c r="Y948" s="237"/>
      <c r="Z948" s="237"/>
      <c r="AA948" s="239"/>
      <c r="AB948" s="238"/>
      <c r="AC948" s="238"/>
      <c r="AD948" s="240"/>
      <c r="AE948" s="241"/>
      <c r="AF948" s="241"/>
      <c r="AG948" s="238"/>
      <c r="AH948" s="240"/>
      <c r="AI948" s="241"/>
      <c r="AJ948" s="241"/>
      <c r="AK948" s="241"/>
      <c r="AL948" s="237"/>
      <c r="AM948" s="237"/>
      <c r="AN948" s="237"/>
      <c r="AO948" s="237"/>
      <c r="AP948" s="237"/>
      <c r="AQ948" s="237"/>
      <c r="AR948" s="237"/>
    </row>
    <row r="949">
      <c r="A949" s="228"/>
      <c r="B949" s="228"/>
      <c r="C949" s="228"/>
      <c r="D949" s="228"/>
      <c r="E949" s="228"/>
      <c r="F949" s="228"/>
      <c r="G949" s="228"/>
      <c r="H949" s="241"/>
      <c r="I949" s="228"/>
      <c r="J949" s="236"/>
      <c r="K949" s="228"/>
      <c r="L949" s="228"/>
      <c r="M949" s="238"/>
      <c r="N949" s="228"/>
      <c r="O949" s="235"/>
      <c r="P949" s="236"/>
      <c r="Q949" s="235"/>
      <c r="R949" s="235"/>
      <c r="S949" s="236"/>
      <c r="T949" s="236"/>
      <c r="U949" s="237"/>
      <c r="V949" s="237"/>
      <c r="W949" s="238"/>
      <c r="X949" s="237"/>
      <c r="Y949" s="237"/>
      <c r="Z949" s="237"/>
      <c r="AA949" s="239"/>
      <c r="AB949" s="238"/>
      <c r="AC949" s="238"/>
      <c r="AD949" s="240"/>
      <c r="AE949" s="241"/>
      <c r="AF949" s="241"/>
      <c r="AG949" s="238"/>
      <c r="AH949" s="240"/>
      <c r="AI949" s="241"/>
      <c r="AJ949" s="241"/>
      <c r="AK949" s="241"/>
      <c r="AL949" s="237"/>
      <c r="AM949" s="237"/>
      <c r="AN949" s="237"/>
      <c r="AO949" s="237"/>
      <c r="AP949" s="237"/>
      <c r="AQ949" s="237"/>
      <c r="AR949" s="237"/>
    </row>
    <row r="950">
      <c r="A950" s="228"/>
      <c r="B950" s="228"/>
      <c r="C950" s="228"/>
      <c r="D950" s="228"/>
      <c r="E950" s="228"/>
      <c r="F950" s="228"/>
      <c r="G950" s="228"/>
      <c r="H950" s="241"/>
      <c r="I950" s="228"/>
      <c r="J950" s="236"/>
      <c r="K950" s="228"/>
      <c r="L950" s="228"/>
      <c r="M950" s="238"/>
      <c r="N950" s="228"/>
      <c r="O950" s="235"/>
      <c r="P950" s="236"/>
      <c r="Q950" s="235"/>
      <c r="R950" s="235"/>
      <c r="S950" s="236"/>
      <c r="T950" s="236"/>
      <c r="U950" s="237"/>
      <c r="V950" s="237"/>
      <c r="W950" s="238"/>
      <c r="X950" s="237"/>
      <c r="Y950" s="237"/>
      <c r="Z950" s="237"/>
      <c r="AA950" s="239"/>
      <c r="AB950" s="238"/>
      <c r="AC950" s="238"/>
      <c r="AD950" s="240"/>
      <c r="AE950" s="241"/>
      <c r="AF950" s="241"/>
      <c r="AG950" s="238"/>
      <c r="AH950" s="240"/>
      <c r="AI950" s="241"/>
      <c r="AJ950" s="241"/>
      <c r="AK950" s="241"/>
      <c r="AL950" s="237"/>
      <c r="AM950" s="237"/>
      <c r="AN950" s="237"/>
      <c r="AO950" s="237"/>
      <c r="AP950" s="237"/>
      <c r="AQ950" s="237"/>
      <c r="AR950" s="237"/>
    </row>
    <row r="951">
      <c r="A951" s="228"/>
      <c r="B951" s="228"/>
      <c r="C951" s="228"/>
      <c r="D951" s="228"/>
      <c r="E951" s="228"/>
      <c r="F951" s="228"/>
      <c r="G951" s="228"/>
      <c r="H951" s="241"/>
      <c r="I951" s="228"/>
      <c r="J951" s="236"/>
      <c r="K951" s="228"/>
      <c r="L951" s="228"/>
      <c r="M951" s="238"/>
      <c r="N951" s="228"/>
      <c r="O951" s="235"/>
      <c r="P951" s="236"/>
      <c r="Q951" s="235"/>
      <c r="R951" s="235"/>
      <c r="S951" s="236"/>
      <c r="T951" s="236"/>
      <c r="U951" s="237"/>
      <c r="V951" s="237"/>
      <c r="W951" s="238"/>
      <c r="X951" s="237"/>
      <c r="Y951" s="237"/>
      <c r="Z951" s="237"/>
      <c r="AA951" s="239"/>
      <c r="AB951" s="238"/>
      <c r="AC951" s="238"/>
      <c r="AD951" s="240"/>
      <c r="AE951" s="241"/>
      <c r="AF951" s="241"/>
      <c r="AG951" s="238"/>
      <c r="AH951" s="240"/>
      <c r="AI951" s="241"/>
      <c r="AJ951" s="241"/>
      <c r="AK951" s="241"/>
      <c r="AL951" s="237"/>
      <c r="AM951" s="237"/>
      <c r="AN951" s="237"/>
      <c r="AO951" s="237"/>
      <c r="AP951" s="237"/>
      <c r="AQ951" s="237"/>
      <c r="AR951" s="237"/>
    </row>
    <row r="952">
      <c r="A952" s="228"/>
      <c r="B952" s="228"/>
      <c r="C952" s="228"/>
      <c r="D952" s="228"/>
      <c r="E952" s="228"/>
      <c r="F952" s="228"/>
      <c r="G952" s="228"/>
      <c r="H952" s="241"/>
      <c r="I952" s="228"/>
      <c r="J952" s="236"/>
      <c r="K952" s="228"/>
      <c r="L952" s="228"/>
      <c r="M952" s="238"/>
      <c r="N952" s="228"/>
      <c r="O952" s="235"/>
      <c r="P952" s="236"/>
      <c r="Q952" s="235"/>
      <c r="R952" s="235"/>
      <c r="S952" s="236"/>
      <c r="T952" s="236"/>
      <c r="U952" s="237"/>
      <c r="V952" s="237"/>
      <c r="W952" s="238"/>
      <c r="X952" s="237"/>
      <c r="Y952" s="237"/>
      <c r="Z952" s="237"/>
      <c r="AA952" s="239"/>
      <c r="AB952" s="238"/>
      <c r="AC952" s="238"/>
      <c r="AD952" s="240"/>
      <c r="AE952" s="241"/>
      <c r="AF952" s="241"/>
      <c r="AG952" s="238"/>
      <c r="AH952" s="240"/>
      <c r="AI952" s="241"/>
      <c r="AJ952" s="241"/>
      <c r="AK952" s="241"/>
      <c r="AL952" s="237"/>
      <c r="AM952" s="237"/>
      <c r="AN952" s="237"/>
      <c r="AO952" s="237"/>
      <c r="AP952" s="237"/>
      <c r="AQ952" s="237"/>
      <c r="AR952" s="237"/>
    </row>
    <row r="953">
      <c r="A953" s="228"/>
      <c r="B953" s="228"/>
      <c r="C953" s="228"/>
      <c r="D953" s="228"/>
      <c r="E953" s="228"/>
      <c r="F953" s="228"/>
      <c r="G953" s="228"/>
      <c r="H953" s="241"/>
      <c r="I953" s="228"/>
      <c r="J953" s="236"/>
      <c r="K953" s="228"/>
      <c r="L953" s="228"/>
      <c r="M953" s="238"/>
      <c r="N953" s="228"/>
      <c r="O953" s="235"/>
      <c r="P953" s="236"/>
      <c r="Q953" s="235"/>
      <c r="R953" s="235"/>
      <c r="S953" s="236"/>
      <c r="T953" s="236"/>
      <c r="U953" s="237"/>
      <c r="V953" s="237"/>
      <c r="W953" s="238"/>
      <c r="X953" s="237"/>
      <c r="Y953" s="237"/>
      <c r="Z953" s="237"/>
      <c r="AA953" s="239"/>
      <c r="AB953" s="238"/>
      <c r="AC953" s="238"/>
      <c r="AD953" s="240"/>
      <c r="AE953" s="241"/>
      <c r="AF953" s="241"/>
      <c r="AG953" s="238"/>
      <c r="AH953" s="240"/>
      <c r="AI953" s="241"/>
      <c r="AJ953" s="241"/>
      <c r="AK953" s="241"/>
      <c r="AL953" s="237"/>
      <c r="AM953" s="237"/>
      <c r="AN953" s="237"/>
      <c r="AO953" s="237"/>
      <c r="AP953" s="237"/>
      <c r="AQ953" s="237"/>
      <c r="AR953" s="237"/>
    </row>
    <row r="954">
      <c r="A954" s="228"/>
      <c r="B954" s="228"/>
      <c r="C954" s="228"/>
      <c r="D954" s="228"/>
      <c r="E954" s="228"/>
      <c r="F954" s="228"/>
      <c r="G954" s="228"/>
      <c r="H954" s="241"/>
      <c r="I954" s="228"/>
      <c r="J954" s="236"/>
      <c r="K954" s="228"/>
      <c r="L954" s="228"/>
      <c r="M954" s="238"/>
      <c r="N954" s="228"/>
      <c r="O954" s="235"/>
      <c r="P954" s="236"/>
      <c r="Q954" s="235"/>
      <c r="R954" s="235"/>
      <c r="S954" s="236"/>
      <c r="T954" s="236"/>
      <c r="U954" s="237"/>
      <c r="V954" s="237"/>
      <c r="W954" s="238"/>
      <c r="X954" s="237"/>
      <c r="Y954" s="237"/>
      <c r="Z954" s="237"/>
      <c r="AA954" s="239"/>
      <c r="AB954" s="238"/>
      <c r="AC954" s="238"/>
      <c r="AD954" s="240"/>
      <c r="AE954" s="241"/>
      <c r="AF954" s="241"/>
      <c r="AG954" s="238"/>
      <c r="AH954" s="240"/>
      <c r="AI954" s="241"/>
      <c r="AJ954" s="241"/>
      <c r="AK954" s="241"/>
      <c r="AL954" s="237"/>
      <c r="AM954" s="237"/>
      <c r="AN954" s="237"/>
      <c r="AO954" s="237"/>
      <c r="AP954" s="237"/>
      <c r="AQ954" s="237"/>
      <c r="AR954" s="237"/>
    </row>
    <row r="955">
      <c r="A955" s="228"/>
      <c r="B955" s="228"/>
      <c r="C955" s="228"/>
      <c r="D955" s="228"/>
      <c r="E955" s="228"/>
      <c r="F955" s="228"/>
      <c r="G955" s="228"/>
      <c r="H955" s="241"/>
      <c r="I955" s="228"/>
      <c r="J955" s="236"/>
      <c r="K955" s="228"/>
      <c r="L955" s="228"/>
      <c r="M955" s="238"/>
      <c r="N955" s="228"/>
      <c r="O955" s="235"/>
      <c r="P955" s="236"/>
      <c r="Q955" s="235"/>
      <c r="R955" s="235"/>
      <c r="S955" s="236"/>
      <c r="T955" s="236"/>
      <c r="U955" s="237"/>
      <c r="V955" s="237"/>
      <c r="W955" s="238"/>
      <c r="X955" s="237"/>
      <c r="Y955" s="237"/>
      <c r="Z955" s="237"/>
      <c r="AA955" s="239"/>
      <c r="AB955" s="238"/>
      <c r="AC955" s="238"/>
      <c r="AD955" s="240"/>
      <c r="AE955" s="241"/>
      <c r="AF955" s="241"/>
      <c r="AG955" s="238"/>
      <c r="AH955" s="240"/>
      <c r="AI955" s="241"/>
      <c r="AJ955" s="241"/>
      <c r="AK955" s="241"/>
      <c r="AL955" s="237"/>
      <c r="AM955" s="237"/>
      <c r="AN955" s="237"/>
      <c r="AO955" s="237"/>
      <c r="AP955" s="237"/>
      <c r="AQ955" s="237"/>
      <c r="AR955" s="237"/>
    </row>
    <row r="956">
      <c r="A956" s="228"/>
      <c r="B956" s="228"/>
      <c r="C956" s="228"/>
      <c r="D956" s="228"/>
      <c r="E956" s="228"/>
      <c r="F956" s="228"/>
      <c r="G956" s="228"/>
      <c r="H956" s="241"/>
      <c r="I956" s="228"/>
      <c r="J956" s="236"/>
      <c r="K956" s="228"/>
      <c r="L956" s="228"/>
      <c r="M956" s="238"/>
      <c r="N956" s="228"/>
      <c r="O956" s="235"/>
      <c r="P956" s="236"/>
      <c r="Q956" s="235"/>
      <c r="R956" s="235"/>
      <c r="S956" s="236"/>
      <c r="T956" s="236"/>
      <c r="U956" s="237"/>
      <c r="V956" s="237"/>
      <c r="W956" s="238"/>
      <c r="X956" s="237"/>
      <c r="Y956" s="237"/>
      <c r="Z956" s="237"/>
      <c r="AA956" s="239"/>
      <c r="AB956" s="238"/>
      <c r="AC956" s="238"/>
      <c r="AD956" s="240"/>
      <c r="AE956" s="241"/>
      <c r="AF956" s="241"/>
      <c r="AG956" s="238"/>
      <c r="AH956" s="240"/>
      <c r="AI956" s="241"/>
      <c r="AJ956" s="241"/>
      <c r="AK956" s="241"/>
      <c r="AL956" s="237"/>
      <c r="AM956" s="237"/>
      <c r="AN956" s="237"/>
      <c r="AO956" s="237"/>
      <c r="AP956" s="237"/>
      <c r="AQ956" s="237"/>
      <c r="AR956" s="237"/>
    </row>
    <row r="957">
      <c r="A957" s="228"/>
      <c r="B957" s="228"/>
      <c r="C957" s="228"/>
      <c r="D957" s="228"/>
      <c r="E957" s="228"/>
      <c r="F957" s="228"/>
      <c r="G957" s="228"/>
      <c r="H957" s="241"/>
      <c r="I957" s="228"/>
      <c r="J957" s="236"/>
      <c r="K957" s="228"/>
      <c r="L957" s="228"/>
      <c r="M957" s="238"/>
      <c r="N957" s="228"/>
      <c r="O957" s="235"/>
      <c r="P957" s="236"/>
      <c r="Q957" s="235"/>
      <c r="R957" s="235"/>
      <c r="S957" s="236"/>
      <c r="T957" s="236"/>
      <c r="U957" s="237"/>
      <c r="V957" s="237"/>
      <c r="W957" s="238"/>
      <c r="X957" s="237"/>
      <c r="Y957" s="237"/>
      <c r="Z957" s="237"/>
      <c r="AA957" s="239"/>
      <c r="AB957" s="238"/>
      <c r="AC957" s="238"/>
      <c r="AD957" s="240"/>
      <c r="AE957" s="241"/>
      <c r="AF957" s="241"/>
      <c r="AG957" s="238"/>
      <c r="AH957" s="240"/>
      <c r="AI957" s="241"/>
      <c r="AJ957" s="241"/>
      <c r="AK957" s="241"/>
      <c r="AL957" s="237"/>
      <c r="AM957" s="237"/>
      <c r="AN957" s="237"/>
      <c r="AO957" s="237"/>
      <c r="AP957" s="237"/>
      <c r="AQ957" s="237"/>
      <c r="AR957" s="237"/>
    </row>
    <row r="958">
      <c r="A958" s="517"/>
      <c r="B958" s="517"/>
      <c r="C958" s="517"/>
      <c r="D958" s="517"/>
      <c r="E958" s="517"/>
      <c r="F958" s="517"/>
      <c r="G958" s="517"/>
      <c r="H958" s="518"/>
      <c r="I958" s="517"/>
      <c r="J958" s="519"/>
      <c r="K958" s="517"/>
      <c r="L958" s="517"/>
      <c r="M958" s="238"/>
      <c r="N958" s="517"/>
      <c r="O958" s="520"/>
      <c r="P958" s="519"/>
      <c r="Q958" s="520"/>
      <c r="R958" s="520"/>
      <c r="S958" s="519"/>
      <c r="T958" s="519"/>
      <c r="U958" s="521"/>
      <c r="V958" s="521"/>
      <c r="W958" s="238"/>
      <c r="X958" s="521"/>
      <c r="Y958" s="521"/>
      <c r="Z958" s="521"/>
      <c r="AA958" s="522"/>
      <c r="AB958" s="238"/>
      <c r="AC958" s="523"/>
      <c r="AD958" s="524"/>
      <c r="AE958" s="518"/>
      <c r="AF958" s="518"/>
      <c r="AG958" s="238"/>
      <c r="AH958" s="524"/>
      <c r="AI958" s="518"/>
      <c r="AJ958" s="518"/>
      <c r="AK958" s="518"/>
      <c r="AL958" s="521"/>
      <c r="AM958" s="521"/>
      <c r="AN958" s="521"/>
      <c r="AO958" s="521"/>
      <c r="AP958" s="521"/>
      <c r="AQ958" s="521"/>
      <c r="AR958" s="521"/>
    </row>
    <row r="959">
      <c r="A959" s="517"/>
      <c r="B959" s="517"/>
      <c r="C959" s="517"/>
      <c r="D959" s="517"/>
      <c r="E959" s="517"/>
      <c r="F959" s="517"/>
      <c r="G959" s="517"/>
      <c r="H959" s="518"/>
      <c r="I959" s="517"/>
      <c r="J959" s="519"/>
      <c r="K959" s="517"/>
      <c r="L959" s="517"/>
      <c r="M959" s="238"/>
      <c r="N959" s="517"/>
      <c r="O959" s="520"/>
      <c r="P959" s="519"/>
      <c r="Q959" s="520"/>
      <c r="R959" s="520"/>
      <c r="S959" s="519"/>
      <c r="T959" s="519"/>
      <c r="U959" s="521"/>
      <c r="V959" s="521"/>
      <c r="W959" s="238"/>
      <c r="X959" s="521"/>
      <c r="Y959" s="521"/>
      <c r="Z959" s="521"/>
      <c r="AA959" s="522"/>
      <c r="AB959" s="238"/>
      <c r="AC959" s="523"/>
      <c r="AD959" s="524"/>
      <c r="AE959" s="518"/>
      <c r="AF959" s="518"/>
      <c r="AG959" s="238"/>
      <c r="AH959" s="524"/>
      <c r="AI959" s="518"/>
      <c r="AJ959" s="518"/>
      <c r="AK959" s="518"/>
      <c r="AL959" s="521"/>
      <c r="AM959" s="521"/>
      <c r="AN959" s="521"/>
      <c r="AO959" s="521"/>
      <c r="AP959" s="521"/>
      <c r="AQ959" s="521"/>
      <c r="AR959" s="521"/>
    </row>
    <row r="960">
      <c r="A960" s="517"/>
      <c r="B960" s="517"/>
      <c r="C960" s="517"/>
      <c r="D960" s="517"/>
      <c r="E960" s="517"/>
      <c r="F960" s="517"/>
      <c r="G960" s="517"/>
      <c r="H960" s="518"/>
      <c r="I960" s="517"/>
      <c r="J960" s="519"/>
      <c r="K960" s="517"/>
      <c r="L960" s="517"/>
      <c r="M960" s="238"/>
      <c r="N960" s="517"/>
      <c r="O960" s="520"/>
      <c r="P960" s="519"/>
      <c r="Q960" s="520"/>
      <c r="R960" s="520"/>
      <c r="S960" s="519"/>
      <c r="T960" s="519"/>
      <c r="U960" s="521"/>
      <c r="V960" s="521"/>
      <c r="W960" s="238"/>
      <c r="X960" s="521"/>
      <c r="Y960" s="521"/>
      <c r="Z960" s="521"/>
      <c r="AA960" s="522"/>
      <c r="AB960" s="238"/>
      <c r="AC960" s="523"/>
      <c r="AD960" s="524"/>
      <c r="AE960" s="518"/>
      <c r="AF960" s="518"/>
      <c r="AG960" s="238"/>
      <c r="AH960" s="524"/>
      <c r="AI960" s="518"/>
      <c r="AJ960" s="518"/>
      <c r="AK960" s="518"/>
      <c r="AL960" s="521"/>
      <c r="AM960" s="521"/>
      <c r="AN960" s="521"/>
      <c r="AO960" s="521"/>
      <c r="AP960" s="521"/>
      <c r="AQ960" s="521"/>
      <c r="AR960" s="521"/>
    </row>
    <row r="961">
      <c r="A961" s="517"/>
      <c r="B961" s="517"/>
      <c r="C961" s="517"/>
      <c r="D961" s="517"/>
      <c r="E961" s="517"/>
      <c r="F961" s="517"/>
      <c r="G961" s="517"/>
      <c r="H961" s="518"/>
      <c r="I961" s="517"/>
      <c r="J961" s="519"/>
      <c r="K961" s="517"/>
      <c r="L961" s="517"/>
      <c r="M961" s="238"/>
      <c r="N961" s="517"/>
      <c r="O961" s="520"/>
      <c r="P961" s="519"/>
      <c r="Q961" s="520"/>
      <c r="R961" s="520"/>
      <c r="S961" s="519"/>
      <c r="T961" s="519"/>
      <c r="U961" s="521"/>
      <c r="V961" s="521"/>
      <c r="W961" s="238"/>
      <c r="X961" s="521"/>
      <c r="Y961" s="521"/>
      <c r="Z961" s="521"/>
      <c r="AA961" s="522"/>
      <c r="AB961" s="238"/>
      <c r="AC961" s="523"/>
      <c r="AD961" s="524"/>
      <c r="AE961" s="518"/>
      <c r="AF961" s="518"/>
      <c r="AG961" s="238"/>
      <c r="AH961" s="524"/>
      <c r="AI961" s="518"/>
      <c r="AJ961" s="518"/>
      <c r="AK961" s="518"/>
      <c r="AL961" s="521"/>
      <c r="AM961" s="521"/>
      <c r="AN961" s="521"/>
      <c r="AO961" s="521"/>
      <c r="AP961" s="521"/>
      <c r="AQ961" s="521"/>
      <c r="AR961" s="521"/>
    </row>
    <row r="962">
      <c r="A962" s="517"/>
      <c r="B962" s="517"/>
      <c r="C962" s="517"/>
      <c r="D962" s="517"/>
      <c r="E962" s="517"/>
      <c r="F962" s="517"/>
      <c r="G962" s="517"/>
      <c r="H962" s="518"/>
      <c r="I962" s="517"/>
      <c r="J962" s="519"/>
      <c r="K962" s="517"/>
      <c r="L962" s="517"/>
      <c r="M962" s="238"/>
      <c r="N962" s="517"/>
      <c r="O962" s="520"/>
      <c r="P962" s="519"/>
      <c r="Q962" s="520"/>
      <c r="R962" s="520"/>
      <c r="S962" s="519"/>
      <c r="T962" s="519"/>
      <c r="U962" s="521"/>
      <c r="V962" s="521"/>
      <c r="W962" s="238"/>
      <c r="X962" s="521"/>
      <c r="Y962" s="521"/>
      <c r="Z962" s="521"/>
      <c r="AA962" s="522"/>
      <c r="AB962" s="238"/>
      <c r="AC962" s="523"/>
      <c r="AD962" s="524"/>
      <c r="AE962" s="518"/>
      <c r="AF962" s="518"/>
      <c r="AG962" s="238"/>
      <c r="AH962" s="524"/>
      <c r="AI962" s="518"/>
      <c r="AJ962" s="518"/>
      <c r="AK962" s="518"/>
      <c r="AL962" s="521"/>
      <c r="AM962" s="521"/>
      <c r="AN962" s="521"/>
      <c r="AO962" s="521"/>
      <c r="AP962" s="521"/>
      <c r="AQ962" s="521"/>
      <c r="AR962" s="521"/>
    </row>
    <row r="963">
      <c r="A963" s="517"/>
      <c r="B963" s="517"/>
      <c r="C963" s="517"/>
      <c r="D963" s="517"/>
      <c r="E963" s="517"/>
      <c r="F963" s="517"/>
      <c r="G963" s="517"/>
      <c r="H963" s="518"/>
      <c r="I963" s="517"/>
      <c r="J963" s="519"/>
      <c r="K963" s="517"/>
      <c r="L963" s="517"/>
      <c r="M963" s="238"/>
      <c r="N963" s="517"/>
      <c r="O963" s="520"/>
      <c r="P963" s="519"/>
      <c r="Q963" s="520"/>
      <c r="R963" s="520"/>
      <c r="S963" s="519"/>
      <c r="T963" s="519"/>
      <c r="U963" s="521"/>
      <c r="V963" s="521"/>
      <c r="W963" s="238"/>
      <c r="X963" s="521"/>
      <c r="Y963" s="521"/>
      <c r="Z963" s="521"/>
      <c r="AA963" s="522"/>
      <c r="AB963" s="238"/>
      <c r="AC963" s="523"/>
      <c r="AD963" s="524"/>
      <c r="AE963" s="518"/>
      <c r="AF963" s="518"/>
      <c r="AG963" s="238"/>
      <c r="AH963" s="524"/>
      <c r="AI963" s="518"/>
      <c r="AJ963" s="518"/>
      <c r="AK963" s="518"/>
      <c r="AL963" s="521"/>
      <c r="AM963" s="521"/>
      <c r="AN963" s="521"/>
      <c r="AO963" s="521"/>
      <c r="AP963" s="521"/>
      <c r="AQ963" s="521"/>
      <c r="AR963" s="521"/>
    </row>
    <row r="964">
      <c r="A964" s="517"/>
      <c r="B964" s="517"/>
      <c r="C964" s="517"/>
      <c r="D964" s="517"/>
      <c r="E964" s="517"/>
      <c r="F964" s="517"/>
      <c r="G964" s="517"/>
      <c r="H964" s="518"/>
      <c r="I964" s="517"/>
      <c r="J964" s="519"/>
      <c r="K964" s="517"/>
      <c r="L964" s="517"/>
      <c r="M964" s="238"/>
      <c r="N964" s="517"/>
      <c r="O964" s="520"/>
      <c r="P964" s="519"/>
      <c r="Q964" s="520"/>
      <c r="R964" s="520"/>
      <c r="S964" s="519"/>
      <c r="T964" s="519"/>
      <c r="U964" s="521"/>
      <c r="V964" s="521"/>
      <c r="W964" s="238"/>
      <c r="X964" s="521"/>
      <c r="Y964" s="521"/>
      <c r="Z964" s="521"/>
      <c r="AA964" s="522"/>
      <c r="AB964" s="238"/>
      <c r="AC964" s="523"/>
      <c r="AD964" s="524"/>
      <c r="AE964" s="518"/>
      <c r="AF964" s="518"/>
      <c r="AG964" s="238"/>
      <c r="AH964" s="524"/>
      <c r="AI964" s="518"/>
      <c r="AJ964" s="518"/>
      <c r="AK964" s="518"/>
      <c r="AL964" s="521"/>
      <c r="AM964" s="521"/>
      <c r="AN964" s="521"/>
      <c r="AO964" s="521"/>
      <c r="AP964" s="521"/>
      <c r="AQ964" s="521"/>
      <c r="AR964" s="521"/>
    </row>
    <row r="965">
      <c r="A965" s="517"/>
      <c r="B965" s="517"/>
      <c r="C965" s="517"/>
      <c r="D965" s="517"/>
      <c r="E965" s="517"/>
      <c r="F965" s="517"/>
      <c r="G965" s="517"/>
      <c r="H965" s="518"/>
      <c r="I965" s="517"/>
      <c r="J965" s="519"/>
      <c r="K965" s="517"/>
      <c r="L965" s="517"/>
      <c r="M965" s="238"/>
      <c r="N965" s="517"/>
      <c r="O965" s="520"/>
      <c r="P965" s="519"/>
      <c r="Q965" s="520"/>
      <c r="R965" s="520"/>
      <c r="S965" s="519"/>
      <c r="T965" s="519"/>
      <c r="U965" s="521"/>
      <c r="V965" s="521"/>
      <c r="W965" s="238"/>
      <c r="X965" s="521"/>
      <c r="Y965" s="521"/>
      <c r="Z965" s="521"/>
      <c r="AA965" s="522"/>
      <c r="AB965" s="238"/>
      <c r="AC965" s="523"/>
      <c r="AD965" s="524"/>
      <c r="AE965" s="518"/>
      <c r="AF965" s="518"/>
      <c r="AG965" s="238"/>
      <c r="AH965" s="524"/>
      <c r="AI965" s="518"/>
      <c r="AJ965" s="518"/>
      <c r="AK965" s="518"/>
      <c r="AL965" s="521"/>
      <c r="AM965" s="521"/>
      <c r="AN965" s="521"/>
      <c r="AO965" s="521"/>
      <c r="AP965" s="521"/>
      <c r="AQ965" s="521"/>
      <c r="AR965" s="521"/>
    </row>
    <row r="966">
      <c r="A966" s="517"/>
      <c r="B966" s="517"/>
      <c r="C966" s="517"/>
      <c r="D966" s="517"/>
      <c r="E966" s="517"/>
      <c r="F966" s="517"/>
      <c r="G966" s="517"/>
      <c r="H966" s="518"/>
      <c r="I966" s="517"/>
      <c r="J966" s="519"/>
      <c r="K966" s="517"/>
      <c r="L966" s="517"/>
      <c r="M966" s="238"/>
      <c r="N966" s="517"/>
      <c r="O966" s="520"/>
      <c r="P966" s="519"/>
      <c r="Q966" s="520"/>
      <c r="R966" s="520"/>
      <c r="S966" s="519"/>
      <c r="T966" s="519"/>
      <c r="U966" s="521"/>
      <c r="V966" s="521"/>
      <c r="W966" s="238"/>
      <c r="X966" s="521"/>
      <c r="Y966" s="521"/>
      <c r="Z966" s="521"/>
      <c r="AA966" s="522"/>
      <c r="AB966" s="238"/>
      <c r="AC966" s="523"/>
      <c r="AD966" s="524"/>
      <c r="AE966" s="518"/>
      <c r="AF966" s="518"/>
      <c r="AG966" s="238"/>
      <c r="AH966" s="524"/>
      <c r="AI966" s="518"/>
      <c r="AJ966" s="518"/>
      <c r="AK966" s="518"/>
      <c r="AL966" s="521"/>
      <c r="AM966" s="521"/>
      <c r="AN966" s="521"/>
      <c r="AO966" s="521"/>
      <c r="AP966" s="521"/>
      <c r="AQ966" s="521"/>
      <c r="AR966" s="521"/>
    </row>
    <row r="967">
      <c r="A967" s="517"/>
      <c r="B967" s="517"/>
      <c r="C967" s="517"/>
      <c r="D967" s="517"/>
      <c r="E967" s="517"/>
      <c r="F967" s="517"/>
      <c r="G967" s="517"/>
      <c r="H967" s="518"/>
      <c r="I967" s="517"/>
      <c r="J967" s="519"/>
      <c r="K967" s="517"/>
      <c r="L967" s="517"/>
      <c r="M967" s="238"/>
      <c r="N967" s="517"/>
      <c r="O967" s="520"/>
      <c r="P967" s="519"/>
      <c r="Q967" s="520"/>
      <c r="R967" s="520"/>
      <c r="S967" s="519"/>
      <c r="T967" s="519"/>
      <c r="U967" s="521"/>
      <c r="V967" s="521"/>
      <c r="W967" s="238"/>
      <c r="X967" s="521"/>
      <c r="Y967" s="521"/>
      <c r="Z967" s="521"/>
      <c r="AA967" s="522"/>
      <c r="AB967" s="238"/>
      <c r="AC967" s="523"/>
      <c r="AD967" s="524"/>
      <c r="AE967" s="518"/>
      <c r="AF967" s="518"/>
      <c r="AG967" s="238"/>
      <c r="AH967" s="524"/>
      <c r="AI967" s="518"/>
      <c r="AJ967" s="518"/>
      <c r="AK967" s="518"/>
      <c r="AL967" s="521"/>
      <c r="AM967" s="521"/>
      <c r="AN967" s="521"/>
      <c r="AO967" s="521"/>
      <c r="AP967" s="521"/>
      <c r="AQ967" s="521"/>
      <c r="AR967" s="521"/>
    </row>
    <row r="968">
      <c r="A968" s="517"/>
      <c r="B968" s="517"/>
      <c r="C968" s="517"/>
      <c r="D968" s="517"/>
      <c r="E968" s="517"/>
      <c r="F968" s="517"/>
      <c r="G968" s="517"/>
      <c r="H968" s="518"/>
      <c r="I968" s="517"/>
      <c r="J968" s="519"/>
      <c r="K968" s="517"/>
      <c r="L968" s="517"/>
      <c r="M968" s="238"/>
      <c r="N968" s="517"/>
      <c r="O968" s="520"/>
      <c r="P968" s="519"/>
      <c r="Q968" s="520"/>
      <c r="R968" s="520"/>
      <c r="S968" s="519"/>
      <c r="T968" s="519"/>
      <c r="U968" s="521"/>
      <c r="V968" s="521"/>
      <c r="W968" s="238"/>
      <c r="X968" s="521"/>
      <c r="Y968" s="521"/>
      <c r="Z968" s="521"/>
      <c r="AA968" s="522"/>
      <c r="AB968" s="238"/>
      <c r="AC968" s="523"/>
      <c r="AD968" s="524"/>
      <c r="AE968" s="518"/>
      <c r="AF968" s="518"/>
      <c r="AG968" s="238"/>
      <c r="AH968" s="524"/>
      <c r="AI968" s="518"/>
      <c r="AJ968" s="518"/>
      <c r="AK968" s="518"/>
      <c r="AL968" s="521"/>
      <c r="AM968" s="521"/>
      <c r="AN968" s="521"/>
      <c r="AO968" s="521"/>
      <c r="AP968" s="521"/>
      <c r="AQ968" s="521"/>
      <c r="AR968" s="521"/>
    </row>
    <row r="969">
      <c r="A969" s="517"/>
      <c r="B969" s="517"/>
      <c r="C969" s="517"/>
      <c r="D969" s="517"/>
      <c r="E969" s="517"/>
      <c r="F969" s="517"/>
      <c r="G969" s="517"/>
      <c r="H969" s="518"/>
      <c r="I969" s="517"/>
      <c r="J969" s="519"/>
      <c r="K969" s="517"/>
      <c r="L969" s="517"/>
      <c r="M969" s="238"/>
      <c r="N969" s="517"/>
      <c r="O969" s="520"/>
      <c r="P969" s="519"/>
      <c r="Q969" s="520"/>
      <c r="R969" s="520"/>
      <c r="S969" s="519"/>
      <c r="T969" s="519"/>
      <c r="U969" s="521"/>
      <c r="V969" s="521"/>
      <c r="W969" s="238"/>
      <c r="X969" s="521"/>
      <c r="Y969" s="521"/>
      <c r="Z969" s="521"/>
      <c r="AA969" s="522"/>
      <c r="AB969" s="238"/>
      <c r="AC969" s="523"/>
      <c r="AD969" s="524"/>
      <c r="AE969" s="518"/>
      <c r="AF969" s="518"/>
      <c r="AG969" s="238"/>
      <c r="AH969" s="524"/>
      <c r="AI969" s="518"/>
      <c r="AJ969" s="518"/>
      <c r="AK969" s="518"/>
      <c r="AL969" s="521"/>
      <c r="AM969" s="521"/>
      <c r="AN969" s="521"/>
      <c r="AO969" s="521"/>
      <c r="AP969" s="521"/>
      <c r="AQ969" s="521"/>
      <c r="AR969" s="521"/>
    </row>
    <row r="970">
      <c r="A970" s="517"/>
      <c r="B970" s="517"/>
      <c r="C970" s="517"/>
      <c r="D970" s="517"/>
      <c r="E970" s="517"/>
      <c r="F970" s="517"/>
      <c r="G970" s="517"/>
      <c r="H970" s="518"/>
      <c r="I970" s="517"/>
      <c r="J970" s="519"/>
      <c r="K970" s="517"/>
      <c r="L970" s="517"/>
      <c r="M970" s="238"/>
      <c r="N970" s="517"/>
      <c r="O970" s="520"/>
      <c r="P970" s="519"/>
      <c r="Q970" s="520"/>
      <c r="R970" s="520"/>
      <c r="S970" s="519"/>
      <c r="T970" s="519"/>
      <c r="U970" s="521"/>
      <c r="V970" s="521"/>
      <c r="W970" s="238"/>
      <c r="X970" s="521"/>
      <c r="Y970" s="521"/>
      <c r="Z970" s="521"/>
      <c r="AA970" s="522"/>
      <c r="AB970" s="238"/>
      <c r="AC970" s="523"/>
      <c r="AD970" s="524"/>
      <c r="AE970" s="518"/>
      <c r="AF970" s="518"/>
      <c r="AG970" s="238"/>
      <c r="AH970" s="524"/>
      <c r="AI970" s="518"/>
      <c r="AJ970" s="518"/>
      <c r="AK970" s="518"/>
      <c r="AL970" s="521"/>
      <c r="AM970" s="521"/>
      <c r="AN970" s="521"/>
      <c r="AO970" s="521"/>
      <c r="AP970" s="521"/>
      <c r="AQ970" s="521"/>
      <c r="AR970" s="521"/>
    </row>
  </sheetData>
  <customSheetViews>
    <customSheetView guid="{58294A64-C2C3-45A6-91F9-B5C5C07A553D}" filter="1" showAutoFilter="1">
      <autoFilter ref="$A$3:$AR$49">
        <filterColumn colId="1">
          <colorFilter dxfId="8"/>
        </filterColumn>
      </autoFilter>
    </customSheetView>
  </customSheetViews>
  <mergeCells count="1">
    <mergeCell ref="C49:H49"/>
  </mergeCells>
  <conditionalFormatting sqref="D6:D12 D18:D23 D25:D29 D31:D34 D36 D38 D40:D43">
    <cfRule type="expression" dxfId="0" priority="1">
      <formula>#REF!=TRUE</formula>
    </cfRule>
  </conditionalFormatting>
  <conditionalFormatting sqref="D6:D12 D18:D23 D25:D29 D31:D34 D36 D38 D40:D43">
    <cfRule type="expression" dxfId="1" priority="2">
      <formula>#REF!=TRUE</formula>
    </cfRule>
  </conditionalFormatting>
  <conditionalFormatting sqref="D22:D23 D29 D32:D36 D41:D42 D46:D47">
    <cfRule type="expression" dxfId="0" priority="3">
      <formula>#REF!=TRUE</formula>
    </cfRule>
  </conditionalFormatting>
  <conditionalFormatting sqref="D22:D23 D29 D32:D36 D41:D42 D46:D47">
    <cfRule type="expression" dxfId="1" priority="4">
      <formula>#REF!=TRUE</formula>
    </cfRule>
  </conditionalFormatting>
  <conditionalFormatting sqref="B1:B970">
    <cfRule type="expression" dxfId="9" priority="5">
      <formula>If(AM3:AM970&lt;&gt;"")</formula>
    </cfRule>
  </conditionalFormatting>
  <conditionalFormatting sqref="A5:AH970">
    <cfRule type="expression" dxfId="10" priority="6">
      <formula>$AH5&lt;&gt;""</formula>
    </cfRule>
  </conditionalFormatting>
  <dataValidations>
    <dataValidation type="list" allowBlank="1" showErrorMessage="1" sqref="G5:G13 G15:G23 G25:G29 G31:G34 G36 G38:G47">
      <formula1>"Hồ Chí Minh,Đồng Nai,Bình Dương,Hải Dương,Hà Nội ,Hải Phòng,Sóc Trăng,Cần Thơ,Mass,Đồng Tháp"</formula1>
    </dataValidation>
    <dataValidation type="list" allowBlank="1" showErrorMessage="1" sqref="M5:M13 M16:M23 M25:M29 M31:M34 M36 M38:M47">
      <formula1>"Đã quay,Đang quay,Đã confirm lịch"</formula1>
    </dataValidation>
    <dataValidation type="list" allowBlank="1" showErrorMessage="1" sqref="E5:E13 E15:E23 E25:E29 E31:E34 E36 E38:E47">
      <formula1>"Nano,Macro,Micro"</formula1>
    </dataValidation>
    <dataValidation type="list" allowBlank="1" showErrorMessage="1" sqref="C5:C13 C15:C23 C25:C29 C31:C34 C36 C38:C47">
      <formula1>"Tiktok,Facebook,Instagram,TikTok &amp; Facebook"</formula1>
    </dataValidation>
  </dataValidations>
  <hyperlinks>
    <hyperlink r:id="rId4" ref="F5"/>
    <hyperlink r:id="rId5" ref="H5"/>
    <hyperlink r:id="rId6" location="gid=771502114" ref="Q5"/>
    <hyperlink r:id="rId7" ref="U5"/>
    <hyperlink r:id="rId8" ref="X5"/>
    <hyperlink r:id="rId9" ref="AA5"/>
    <hyperlink r:id="rId10" ref="AH5"/>
    <hyperlink r:id="rId11" ref="F6"/>
    <hyperlink r:id="rId12" ref="H6"/>
    <hyperlink r:id="rId13" ref="U6"/>
    <hyperlink r:id="rId14" ref="X6"/>
    <hyperlink r:id="rId15" ref="AA6"/>
    <hyperlink r:id="rId16" ref="AH6"/>
    <hyperlink r:id="rId17" ref="F7"/>
    <hyperlink r:id="rId18" ref="H7"/>
    <hyperlink r:id="rId19" ref="U7"/>
    <hyperlink r:id="rId20" ref="X7"/>
    <hyperlink r:id="rId21" ref="AA7"/>
    <hyperlink r:id="rId22" ref="AH7"/>
    <hyperlink r:id="rId23" ref="F8"/>
    <hyperlink r:id="rId24" ref="H8"/>
    <hyperlink r:id="rId25" location="gid=80012582" ref="Q8"/>
    <hyperlink r:id="rId26" ref="U8"/>
    <hyperlink r:id="rId27" ref="X8"/>
    <hyperlink r:id="rId28" ref="AA8"/>
    <hyperlink r:id="rId29" ref="AH8"/>
    <hyperlink r:id="rId30" ref="F9"/>
    <hyperlink r:id="rId31" ref="H9"/>
    <hyperlink r:id="rId32" ref="U9"/>
    <hyperlink r:id="rId33" ref="X9"/>
    <hyperlink r:id="rId34" ref="AA9"/>
    <hyperlink r:id="rId35" ref="AH9"/>
    <hyperlink r:id="rId36" ref="F10"/>
    <hyperlink r:id="rId37" ref="H10"/>
    <hyperlink r:id="rId38" ref="U10"/>
    <hyperlink r:id="rId39" ref="X10"/>
    <hyperlink r:id="rId40" ref="AA10"/>
    <hyperlink r:id="rId41" ref="AH10"/>
    <hyperlink r:id="rId42" ref="F11"/>
    <hyperlink r:id="rId43" ref="H11"/>
    <hyperlink r:id="rId44" location="gid=1937930012" ref="Q11"/>
    <hyperlink r:id="rId45" ref="U11"/>
    <hyperlink r:id="rId46" ref="X11"/>
    <hyperlink r:id="rId47" ref="AA11"/>
    <hyperlink r:id="rId48" ref="F12"/>
    <hyperlink r:id="rId49" ref="H12"/>
    <hyperlink r:id="rId50" location="gid=1633982349" ref="Q12"/>
    <hyperlink r:id="rId51" ref="U12"/>
    <hyperlink r:id="rId52" ref="X12"/>
    <hyperlink r:id="rId53" ref="AA12"/>
    <hyperlink r:id="rId54" ref="H13"/>
    <hyperlink r:id="rId55" location="gid=0" ref="N13"/>
    <hyperlink r:id="rId56" location="gid=1924183939" ref="Q13"/>
    <hyperlink r:id="rId57" ref="U13"/>
    <hyperlink r:id="rId58" ref="X13"/>
    <hyperlink r:id="rId59" ref="F16"/>
    <hyperlink r:id="rId60" ref="H16"/>
    <hyperlink r:id="rId61" location="gid=1550874505" ref="Q16"/>
    <hyperlink r:id="rId62" ref="U16"/>
    <hyperlink r:id="rId63" ref="X16"/>
    <hyperlink r:id="rId64" ref="AA16"/>
    <hyperlink r:id="rId65" ref="F17"/>
    <hyperlink r:id="rId66" ref="H17"/>
    <hyperlink r:id="rId67" location="gid=335140389" ref="Q17"/>
    <hyperlink r:id="rId68" ref="U17"/>
    <hyperlink r:id="rId69" ref="X17"/>
    <hyperlink r:id="rId70" ref="F18"/>
    <hyperlink r:id="rId71" ref="H18"/>
    <hyperlink r:id="rId72" location="gid=137961595" ref="Q18"/>
    <hyperlink r:id="rId73" ref="U18"/>
    <hyperlink r:id="rId74" ref="X18"/>
    <hyperlink r:id="rId75" ref="AA18"/>
    <hyperlink r:id="rId76" ref="F19"/>
    <hyperlink r:id="rId77" ref="H19"/>
    <hyperlink r:id="rId78" location="gid=476608211" ref="Q19"/>
    <hyperlink r:id="rId79" ref="U19"/>
    <hyperlink r:id="rId80" ref="X19"/>
    <hyperlink r:id="rId81" ref="AA19"/>
    <hyperlink r:id="rId82" ref="F20"/>
    <hyperlink r:id="rId83" ref="H20"/>
    <hyperlink r:id="rId84" location="gid=1983410445" ref="Q20"/>
    <hyperlink r:id="rId85" ref="U20"/>
    <hyperlink r:id="rId86" ref="X20"/>
    <hyperlink r:id="rId87" ref="AA20"/>
    <hyperlink r:id="rId88" ref="AH20"/>
    <hyperlink r:id="rId89" ref="F21"/>
    <hyperlink r:id="rId90" ref="H21"/>
    <hyperlink r:id="rId91" ref="U21"/>
    <hyperlink r:id="rId92" ref="X21"/>
    <hyperlink r:id="rId93" ref="AA21"/>
    <hyperlink r:id="rId94" ref="AH21"/>
    <hyperlink r:id="rId95" ref="F22"/>
    <hyperlink r:id="rId96" ref="H22"/>
    <hyperlink r:id="rId97" location="gid=409127678" ref="Q22"/>
    <hyperlink r:id="rId98" ref="U22"/>
    <hyperlink r:id="rId99" ref="X22"/>
    <hyperlink r:id="rId100" ref="AA22"/>
    <hyperlink r:id="rId101" ref="F23"/>
    <hyperlink r:id="rId102" ref="H23"/>
    <hyperlink r:id="rId103" location="gid=1560319503" ref="Q23"/>
    <hyperlink r:id="rId104" ref="U23"/>
    <hyperlink r:id="rId105" ref="X23"/>
    <hyperlink r:id="rId106" ref="AA23"/>
    <hyperlink r:id="rId107" ref="AH23"/>
    <hyperlink r:id="rId108" ref="F25"/>
    <hyperlink r:id="rId109" ref="H25"/>
    <hyperlink r:id="rId110" ref="J25"/>
    <hyperlink r:id="rId111" location="gid=544064614" ref="Q25"/>
    <hyperlink r:id="rId112" ref="U25"/>
    <hyperlink r:id="rId113" ref="X25"/>
    <hyperlink r:id="rId114" ref="F26"/>
    <hyperlink r:id="rId115" ref="H26"/>
    <hyperlink r:id="rId116" ref="J26"/>
    <hyperlink r:id="rId117" ref="U26"/>
    <hyperlink r:id="rId118" ref="X26"/>
    <hyperlink r:id="rId119" ref="AA26"/>
    <hyperlink r:id="rId120" ref="AH26"/>
    <hyperlink r:id="rId121" ref="F27"/>
    <hyperlink r:id="rId122" ref="H27"/>
    <hyperlink r:id="rId123" location="gid=1629455125" ref="Q27"/>
    <hyperlink r:id="rId124" ref="U27"/>
    <hyperlink r:id="rId125" ref="X27"/>
    <hyperlink r:id="rId126" ref="AA27"/>
    <hyperlink r:id="rId127" ref="F28"/>
    <hyperlink r:id="rId128" ref="H28"/>
    <hyperlink r:id="rId129" ref="J28"/>
    <hyperlink r:id="rId130" location="gid=2147041016" ref="Q28"/>
    <hyperlink r:id="rId131" ref="U28"/>
    <hyperlink r:id="rId132" ref="X28"/>
    <hyperlink r:id="rId133" ref="AA28"/>
    <hyperlink r:id="rId134" ref="F29"/>
    <hyperlink r:id="rId135" ref="N29"/>
    <hyperlink r:id="rId136" ref="U29"/>
    <hyperlink r:id="rId137" ref="X29"/>
    <hyperlink r:id="rId138" ref="F31"/>
    <hyperlink r:id="rId139" ref="H31"/>
    <hyperlink r:id="rId140" location="gid=871204788" ref="Q31"/>
    <hyperlink r:id="rId141" ref="U31"/>
    <hyperlink r:id="rId142" ref="X31"/>
    <hyperlink r:id="rId143" ref="F32"/>
    <hyperlink r:id="rId144" ref="H32"/>
    <hyperlink r:id="rId145" ref="J32"/>
    <hyperlink r:id="rId146" location="gid=985365261" ref="Q32"/>
    <hyperlink r:id="rId147" ref="U32"/>
    <hyperlink r:id="rId148" ref="X32"/>
    <hyperlink r:id="rId149" ref="AA32"/>
    <hyperlink r:id="rId150" ref="F33"/>
    <hyperlink r:id="rId151" ref="H33"/>
    <hyperlink r:id="rId152" location="gid=978883368" ref="Q33"/>
    <hyperlink r:id="rId153" ref="U33"/>
    <hyperlink r:id="rId154" ref="X33"/>
    <hyperlink r:id="rId155" ref="AA33"/>
    <hyperlink r:id="rId156" ref="F34"/>
    <hyperlink r:id="rId157" ref="H34"/>
    <hyperlink r:id="rId158" location="gid=587180911" ref="Q34"/>
    <hyperlink r:id="rId159" ref="U34"/>
    <hyperlink r:id="rId160" ref="X34"/>
    <hyperlink r:id="rId161" ref="AA34"/>
    <hyperlink r:id="rId162" ref="AH34"/>
    <hyperlink r:id="rId163" ref="F36"/>
    <hyperlink r:id="rId164" ref="H36"/>
    <hyperlink r:id="rId165" ref="J36"/>
    <hyperlink r:id="rId166" location="gid=0" ref="N36"/>
    <hyperlink r:id="rId167" location="gid=911497265" ref="Q36"/>
    <hyperlink r:id="rId168" ref="U36"/>
    <hyperlink r:id="rId169" ref="X36"/>
    <hyperlink r:id="rId170" ref="F38"/>
    <hyperlink r:id="rId171" ref="U38"/>
    <hyperlink r:id="rId172" ref="X38"/>
    <hyperlink r:id="rId173" ref="AA38"/>
    <hyperlink r:id="rId174" ref="AE38"/>
    <hyperlink r:id="rId175" ref="AH38"/>
    <hyperlink r:id="rId176" ref="F39"/>
    <hyperlink r:id="rId177" ref="U39"/>
    <hyperlink r:id="rId178" ref="X39"/>
    <hyperlink r:id="rId179" ref="AA39"/>
    <hyperlink r:id="rId180" ref="AH39"/>
    <hyperlink r:id="rId181" ref="F40"/>
    <hyperlink r:id="rId182" ref="U40"/>
    <hyperlink r:id="rId183" ref="X40"/>
    <hyperlink r:id="rId184" ref="AA40"/>
    <hyperlink r:id="rId185" ref="AE40"/>
    <hyperlink r:id="rId186" ref="AH40"/>
    <hyperlink r:id="rId187" ref="F41"/>
    <hyperlink r:id="rId188" ref="U41"/>
    <hyperlink r:id="rId189" ref="X41"/>
    <hyperlink r:id="rId190" ref="AA41"/>
    <hyperlink r:id="rId191" ref="AC41"/>
    <hyperlink r:id="rId192" ref="F42"/>
    <hyperlink r:id="rId193" ref="U42"/>
    <hyperlink r:id="rId194" ref="X42"/>
    <hyperlink r:id="rId195" ref="AA42"/>
    <hyperlink r:id="rId196" ref="AH42"/>
    <hyperlink r:id="rId197" ref="F43"/>
    <hyperlink r:id="rId198" location="gid=1999364123" ref="Q43"/>
    <hyperlink r:id="rId199" ref="U43"/>
    <hyperlink r:id="rId200" ref="X43"/>
    <hyperlink r:id="rId201" ref="AA43"/>
    <hyperlink r:id="rId202" ref="F44"/>
    <hyperlink r:id="rId203" ref="U44"/>
    <hyperlink r:id="rId204" ref="X44"/>
    <hyperlink r:id="rId205" ref="AA44"/>
    <hyperlink r:id="rId206" ref="AH44"/>
    <hyperlink r:id="rId207" ref="F45"/>
    <hyperlink r:id="rId208" location="gid=1139038946" ref="Q45"/>
    <hyperlink r:id="rId209" ref="U45"/>
    <hyperlink r:id="rId210" ref="X45"/>
    <hyperlink r:id="rId211" ref="AA45"/>
    <hyperlink r:id="rId212" ref="AH45"/>
    <hyperlink r:id="rId213" ref="F46"/>
    <hyperlink r:id="rId214" location="gid=394600701" ref="T46"/>
    <hyperlink r:id="rId215" ref="U46"/>
    <hyperlink r:id="rId216" ref="X46"/>
    <hyperlink r:id="rId217" ref="AA46"/>
    <hyperlink r:id="rId218" ref="AH46"/>
    <hyperlink r:id="rId219" ref="F47"/>
    <hyperlink r:id="rId220" location="gid=1596471473" ref="Q47"/>
    <hyperlink r:id="rId221" ref="U47"/>
    <hyperlink r:id="rId222" ref="X47"/>
    <hyperlink r:id="rId223" ref="AA47"/>
  </hyperlinks>
  <drawing r:id="rId224"/>
  <legacyDrawing r:id="rId225"/>
  <tableParts count="1">
    <tablePart r:id="rId2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6.0"/>
    <col customWidth="1" min="2" max="2" width="28.0"/>
    <col customWidth="1" min="3" max="3" width="12.0"/>
    <col customWidth="1" min="4" max="4" width="8.0"/>
    <col customWidth="1" min="5" max="5" width="16.13"/>
    <col customWidth="1" min="6" max="6" width="30.0"/>
    <col customWidth="1" min="7" max="7" width="13.0"/>
    <col customWidth="1" min="8" max="8" width="13.88"/>
    <col customWidth="1" min="9" max="9" width="15.0"/>
    <col customWidth="1" min="10" max="11" width="12.0"/>
    <col customWidth="1" min="12" max="12" width="18.0"/>
    <col customWidth="1" min="13" max="13" width="10.0"/>
    <col customWidth="1" min="14" max="14" width="12.0"/>
    <col customWidth="1" min="15" max="15" width="14.0"/>
    <col customWidth="1" min="16" max="26" width="8.88"/>
  </cols>
  <sheetData>
    <row r="1" ht="25.5" customHeight="1">
      <c r="A1" s="525" t="s">
        <v>825</v>
      </c>
      <c r="B1" s="526"/>
      <c r="C1" s="526"/>
      <c r="D1" s="526"/>
      <c r="E1" s="526"/>
      <c r="F1" s="526"/>
      <c r="G1" s="526"/>
      <c r="H1" s="526"/>
      <c r="I1" s="526"/>
      <c r="J1" s="526"/>
      <c r="K1" s="526"/>
      <c r="L1" s="526"/>
      <c r="M1" s="526"/>
      <c r="N1" s="526"/>
      <c r="O1" s="527"/>
    </row>
    <row r="2" ht="19.5" customHeight="1">
      <c r="A2" s="528" t="s">
        <v>826</v>
      </c>
      <c r="B2" s="528" t="s">
        <v>827</v>
      </c>
      <c r="C2" s="528" t="s">
        <v>828</v>
      </c>
      <c r="D2" s="528" t="s">
        <v>21</v>
      </c>
      <c r="E2" s="528" t="s">
        <v>829</v>
      </c>
      <c r="F2" s="529" t="s">
        <v>830</v>
      </c>
      <c r="G2" s="528" t="s">
        <v>831</v>
      </c>
      <c r="H2" s="530" t="s">
        <v>832</v>
      </c>
      <c r="I2" s="531"/>
      <c r="J2" s="530" t="s">
        <v>833</v>
      </c>
      <c r="K2" s="532"/>
      <c r="L2" s="531"/>
      <c r="M2" s="530" t="s">
        <v>834</v>
      </c>
      <c r="N2" s="531"/>
      <c r="O2" s="528" t="s">
        <v>835</v>
      </c>
    </row>
    <row r="3" ht="30.0" customHeight="1">
      <c r="A3" s="533"/>
      <c r="B3" s="533"/>
      <c r="C3" s="533"/>
      <c r="D3" s="533"/>
      <c r="E3" s="533"/>
      <c r="F3" s="533"/>
      <c r="G3" s="533"/>
      <c r="H3" s="534" t="s">
        <v>836</v>
      </c>
      <c r="I3" s="534" t="s">
        <v>837</v>
      </c>
      <c r="J3" s="534" t="s">
        <v>836</v>
      </c>
      <c r="K3" s="534" t="s">
        <v>838</v>
      </c>
      <c r="L3" s="534" t="s">
        <v>839</v>
      </c>
      <c r="M3" s="534" t="s">
        <v>836</v>
      </c>
      <c r="N3" s="534" t="s">
        <v>838</v>
      </c>
      <c r="O3" s="533"/>
    </row>
    <row r="4" ht="21.75" customHeight="1">
      <c r="A4" s="535" t="s">
        <v>35</v>
      </c>
      <c r="B4" s="536"/>
      <c r="C4" s="536"/>
      <c r="D4" s="536"/>
      <c r="E4" s="536"/>
      <c r="F4" s="537" t="str">
        <f>counta(F6:F1001) &amp;"/37"</f>
        <v>18/37</v>
      </c>
      <c r="G4" s="536"/>
      <c r="H4" s="538">
        <f t="shared" ref="H4:K4" si="1">SUM(H5:H48)</f>
        <v>1551500</v>
      </c>
      <c r="I4" s="538">
        <f t="shared" si="1"/>
        <v>82200</v>
      </c>
      <c r="J4" s="538">
        <f t="shared" si="1"/>
        <v>426156</v>
      </c>
      <c r="K4" s="538">
        <f t="shared" si="1"/>
        <v>23229</v>
      </c>
      <c r="L4" s="536"/>
      <c r="M4" s="536"/>
      <c r="N4" s="536"/>
      <c r="O4" s="539"/>
    </row>
    <row r="5" ht="19.5" customHeight="1">
      <c r="A5" s="540">
        <v>1.0</v>
      </c>
      <c r="B5" s="541" t="s">
        <v>37</v>
      </c>
      <c r="C5" s="542" t="s">
        <v>39</v>
      </c>
      <c r="D5" s="543" t="s">
        <v>21</v>
      </c>
      <c r="E5" s="540" t="s">
        <v>38</v>
      </c>
      <c r="F5" s="544" t="s">
        <v>400</v>
      </c>
      <c r="G5" s="545">
        <v>46087.0</v>
      </c>
      <c r="H5" s="542">
        <v>50000.0</v>
      </c>
      <c r="I5" s="542">
        <v>3000.0</v>
      </c>
      <c r="J5" s="546">
        <v>2765.0</v>
      </c>
      <c r="K5" s="546">
        <v>64.0</v>
      </c>
      <c r="L5" s="540"/>
      <c r="M5" s="547">
        <f t="shared" ref="M5:N5" si="2">IFERROR(IF(H5&gt;0,J5/H5,""),"")</f>
        <v>0.0553</v>
      </c>
      <c r="N5" s="547">
        <f t="shared" si="2"/>
        <v>0.02133333333</v>
      </c>
      <c r="O5" s="548">
        <v>46148.0</v>
      </c>
    </row>
    <row r="6" ht="19.5" customHeight="1">
      <c r="A6" s="540">
        <v>2.0</v>
      </c>
      <c r="B6" s="541" t="s">
        <v>48</v>
      </c>
      <c r="C6" s="542" t="s">
        <v>49</v>
      </c>
      <c r="D6" s="543" t="s">
        <v>21</v>
      </c>
      <c r="E6" s="540" t="s">
        <v>38</v>
      </c>
      <c r="F6" s="544" t="s">
        <v>411</v>
      </c>
      <c r="G6" s="549" t="s">
        <v>410</v>
      </c>
      <c r="H6" s="542">
        <v>100000.0</v>
      </c>
      <c r="I6" s="542">
        <v>3000.0</v>
      </c>
      <c r="J6" s="546">
        <v>43497.0</v>
      </c>
      <c r="K6" s="546">
        <v>1204.0</v>
      </c>
      <c r="L6" s="540"/>
      <c r="M6" s="547">
        <f t="shared" ref="M6:N6" si="3">IFERROR(IF(H6&gt;0,J6/H6,""),"")</f>
        <v>0.43497</v>
      </c>
      <c r="N6" s="547">
        <f t="shared" si="3"/>
        <v>0.4013333333</v>
      </c>
      <c r="O6" s="548">
        <v>46148.0</v>
      </c>
    </row>
    <row r="7" ht="19.5" customHeight="1">
      <c r="A7" s="550">
        <v>3.0</v>
      </c>
      <c r="B7" s="551" t="s">
        <v>55</v>
      </c>
      <c r="C7" s="552" t="s">
        <v>56</v>
      </c>
      <c r="D7" s="553" t="s">
        <v>21</v>
      </c>
      <c r="E7" s="550" t="s">
        <v>38</v>
      </c>
      <c r="F7" s="544" t="s">
        <v>840</v>
      </c>
      <c r="G7" s="554">
        <v>46059.0</v>
      </c>
      <c r="H7" s="542">
        <v>130000.0</v>
      </c>
      <c r="I7" s="542">
        <v>4000.0</v>
      </c>
      <c r="J7" s="546">
        <v>70387.0</v>
      </c>
      <c r="K7" s="546">
        <v>1099.0</v>
      </c>
      <c r="L7" s="540"/>
      <c r="M7" s="547">
        <f t="shared" ref="M7:N7" si="4">IFERROR(IF(H7&gt;0,J7/H7,""),"")</f>
        <v>0.5414384615</v>
      </c>
      <c r="N7" s="547">
        <f t="shared" si="4"/>
        <v>0.27475</v>
      </c>
      <c r="O7" s="548">
        <v>46148.0</v>
      </c>
    </row>
    <row r="8" ht="19.5" customHeight="1">
      <c r="A8" s="533"/>
      <c r="B8" s="533"/>
      <c r="C8" s="533"/>
      <c r="D8" s="533"/>
      <c r="E8" s="555" t="s">
        <v>841</v>
      </c>
      <c r="F8" s="556" t="s">
        <v>842</v>
      </c>
      <c r="G8" s="533"/>
      <c r="H8" s="542"/>
      <c r="I8" s="542"/>
      <c r="J8" s="546">
        <v>0.0</v>
      </c>
      <c r="K8" s="546">
        <v>39.0</v>
      </c>
      <c r="L8" s="540"/>
      <c r="M8" s="547"/>
      <c r="N8" s="547"/>
      <c r="O8" s="548">
        <v>46148.0</v>
      </c>
    </row>
    <row r="9" ht="19.5" customHeight="1">
      <c r="A9" s="540">
        <v>4.0</v>
      </c>
      <c r="B9" s="541" t="s">
        <v>61</v>
      </c>
      <c r="C9" s="542" t="s">
        <v>62</v>
      </c>
      <c r="D9" s="543" t="s">
        <v>21</v>
      </c>
      <c r="E9" s="540" t="s">
        <v>38</v>
      </c>
      <c r="F9" s="544" t="s">
        <v>438</v>
      </c>
      <c r="G9" s="549" t="s">
        <v>437</v>
      </c>
      <c r="H9" s="542">
        <v>30000.0</v>
      </c>
      <c r="I9" s="542">
        <v>1200.0</v>
      </c>
      <c r="J9" s="546">
        <v>32589.0</v>
      </c>
      <c r="K9" s="546">
        <v>2502.0</v>
      </c>
      <c r="L9" s="540"/>
      <c r="M9" s="547">
        <f t="shared" ref="M9:N9" si="5">IFERROR(IF(H9&gt;0,J9/H9,""),"")</f>
        <v>1.0863</v>
      </c>
      <c r="N9" s="547">
        <f t="shared" si="5"/>
        <v>2.085</v>
      </c>
      <c r="O9" s="548">
        <v>46148.0</v>
      </c>
    </row>
    <row r="10" ht="19.5" customHeight="1">
      <c r="A10" s="540">
        <v>5.0</v>
      </c>
      <c r="B10" s="541" t="s">
        <v>67</v>
      </c>
      <c r="C10" s="542" t="s">
        <v>68</v>
      </c>
      <c r="D10" s="543" t="s">
        <v>21</v>
      </c>
      <c r="E10" s="540" t="s">
        <v>38</v>
      </c>
      <c r="F10" s="544" t="s">
        <v>451</v>
      </c>
      <c r="G10" s="545">
        <v>46059.0</v>
      </c>
      <c r="H10" s="542">
        <v>50000.0</v>
      </c>
      <c r="I10" s="542">
        <v>3000.0</v>
      </c>
      <c r="J10" s="546">
        <v>17565.0</v>
      </c>
      <c r="K10" s="546">
        <v>1940.0</v>
      </c>
      <c r="L10" s="540"/>
      <c r="M10" s="547">
        <f t="shared" ref="M10:N10" si="6">IFERROR(IF(H10&gt;0,J10/H10,""),"")</f>
        <v>0.3513</v>
      </c>
      <c r="N10" s="547">
        <f t="shared" si="6"/>
        <v>0.6466666667</v>
      </c>
      <c r="O10" s="548">
        <v>46148.0</v>
      </c>
    </row>
    <row r="11" ht="19.5" customHeight="1">
      <c r="A11" s="540">
        <v>6.0</v>
      </c>
      <c r="B11" s="541" t="s">
        <v>74</v>
      </c>
      <c r="C11" s="542" t="s">
        <v>75</v>
      </c>
      <c r="D11" s="543" t="s">
        <v>21</v>
      </c>
      <c r="E11" s="540" t="s">
        <v>38</v>
      </c>
      <c r="F11" s="544" t="s">
        <v>463</v>
      </c>
      <c r="G11" s="549" t="s">
        <v>462</v>
      </c>
      <c r="H11" s="542">
        <v>120000.0</v>
      </c>
      <c r="I11" s="542">
        <v>4500.0</v>
      </c>
      <c r="J11" s="546">
        <v>81088.0</v>
      </c>
      <c r="K11" s="546">
        <v>1195.0</v>
      </c>
      <c r="L11" s="540"/>
      <c r="M11" s="547">
        <f t="shared" ref="M11:N11" si="7">IFERROR(IF(H11&gt;0,J11/H11,""),"")</f>
        <v>0.6757333333</v>
      </c>
      <c r="N11" s="547">
        <f t="shared" si="7"/>
        <v>0.2655555556</v>
      </c>
      <c r="O11" s="548">
        <v>46148.0</v>
      </c>
    </row>
    <row r="12" ht="19.5" customHeight="1">
      <c r="A12" s="540">
        <v>7.0</v>
      </c>
      <c r="B12" s="541" t="s">
        <v>89</v>
      </c>
      <c r="C12" s="542" t="s">
        <v>90</v>
      </c>
      <c r="D12" s="543" t="s">
        <v>21</v>
      </c>
      <c r="E12" s="540" t="s">
        <v>38</v>
      </c>
      <c r="F12" s="557"/>
      <c r="G12" s="540"/>
      <c r="H12" s="542">
        <v>100000.0</v>
      </c>
      <c r="I12" s="542">
        <v>4000.0</v>
      </c>
      <c r="J12" s="542"/>
      <c r="K12" s="542"/>
      <c r="L12" s="540"/>
      <c r="M12" s="547">
        <f t="shared" ref="M12:N12" si="8">IFERROR(IF(H12&gt;0,J12/H12,""),"")</f>
        <v>0</v>
      </c>
      <c r="N12" s="547">
        <f t="shared" si="8"/>
        <v>0</v>
      </c>
      <c r="O12" s="540"/>
    </row>
    <row r="13" ht="19.5" customHeight="1">
      <c r="A13" s="540">
        <v>8.0</v>
      </c>
      <c r="B13" s="541" t="s">
        <v>110</v>
      </c>
      <c r="C13" s="542" t="s">
        <v>111</v>
      </c>
      <c r="D13" s="543" t="s">
        <v>21</v>
      </c>
      <c r="E13" s="540" t="s">
        <v>38</v>
      </c>
      <c r="F13" s="557"/>
      <c r="G13" s="540"/>
      <c r="H13" s="542">
        <v>65000.0</v>
      </c>
      <c r="I13" s="542">
        <v>3000.0</v>
      </c>
      <c r="J13" s="542"/>
      <c r="K13" s="542"/>
      <c r="L13" s="540"/>
      <c r="M13" s="547">
        <f t="shared" ref="M13:N13" si="9">IFERROR(IF(H13&gt;0,J13/H13,""),"")</f>
        <v>0</v>
      </c>
      <c r="N13" s="547">
        <f t="shared" si="9"/>
        <v>0</v>
      </c>
      <c r="O13" s="540"/>
    </row>
    <row r="14" ht="19.5" customHeight="1">
      <c r="A14" s="540">
        <v>9.0</v>
      </c>
      <c r="B14" s="541" t="s">
        <v>102</v>
      </c>
      <c r="C14" s="542" t="s">
        <v>103</v>
      </c>
      <c r="D14" s="543" t="s">
        <v>21</v>
      </c>
      <c r="E14" s="540" t="s">
        <v>38</v>
      </c>
      <c r="F14" s="557"/>
      <c r="G14" s="540"/>
      <c r="H14" s="542">
        <v>65000.0</v>
      </c>
      <c r="I14" s="542">
        <v>3000.0</v>
      </c>
      <c r="J14" s="542"/>
      <c r="K14" s="542"/>
      <c r="L14" s="540"/>
      <c r="M14" s="547">
        <f t="shared" ref="M14:N14" si="10">IFERROR(IF(H14&gt;0,J14/H14,""),"")</f>
        <v>0</v>
      </c>
      <c r="N14" s="547">
        <f t="shared" si="10"/>
        <v>0</v>
      </c>
      <c r="O14" s="540"/>
    </row>
    <row r="15" ht="21.75" customHeight="1">
      <c r="A15" s="535" t="s">
        <v>134</v>
      </c>
      <c r="B15" s="536"/>
      <c r="C15" s="536"/>
      <c r="D15" s="536"/>
      <c r="E15" s="536"/>
      <c r="F15" s="536"/>
      <c r="G15" s="536"/>
      <c r="H15" s="536"/>
      <c r="I15" s="536"/>
      <c r="J15" s="536"/>
      <c r="K15" s="536"/>
      <c r="L15" s="536"/>
      <c r="M15" s="536"/>
      <c r="N15" s="536"/>
      <c r="O15" s="539"/>
    </row>
    <row r="16" ht="18.0" customHeight="1">
      <c r="A16" s="558" t="s">
        <v>843</v>
      </c>
      <c r="B16" s="532"/>
      <c r="C16" s="532"/>
      <c r="D16" s="532"/>
      <c r="E16" s="532"/>
      <c r="F16" s="532"/>
      <c r="G16" s="532"/>
      <c r="H16" s="532"/>
      <c r="I16" s="532"/>
      <c r="J16" s="532"/>
      <c r="K16" s="532"/>
      <c r="L16" s="532"/>
      <c r="M16" s="532"/>
      <c r="N16" s="532"/>
      <c r="O16" s="531"/>
    </row>
    <row r="17" ht="19.5" customHeight="1">
      <c r="A17" s="540">
        <v>10.0</v>
      </c>
      <c r="B17" s="541" t="s">
        <v>137</v>
      </c>
      <c r="C17" s="542" t="s">
        <v>138</v>
      </c>
      <c r="D17" s="543" t="s">
        <v>21</v>
      </c>
      <c r="E17" s="540" t="s">
        <v>38</v>
      </c>
      <c r="F17" s="557"/>
      <c r="G17" s="540"/>
      <c r="H17" s="542">
        <v>30000.0</v>
      </c>
      <c r="I17" s="542">
        <v>2000.0</v>
      </c>
      <c r="J17" s="542"/>
      <c r="K17" s="542"/>
      <c r="L17" s="540"/>
      <c r="M17" s="547">
        <f t="shared" ref="M17:N17" si="11">IFERROR(IF(H17&gt;0,J17/H17,""),"")</f>
        <v>0</v>
      </c>
      <c r="N17" s="547">
        <f t="shared" si="11"/>
        <v>0</v>
      </c>
      <c r="O17" s="540"/>
    </row>
    <row r="18" ht="19.5" customHeight="1">
      <c r="A18" s="540">
        <v>11.0</v>
      </c>
      <c r="B18" s="541" t="s">
        <v>844</v>
      </c>
      <c r="C18" s="542" t="s">
        <v>145</v>
      </c>
      <c r="D18" s="543" t="s">
        <v>21</v>
      </c>
      <c r="E18" s="540" t="s">
        <v>38</v>
      </c>
      <c r="F18" s="557"/>
      <c r="G18" s="540"/>
      <c r="H18" s="542">
        <v>20000.0</v>
      </c>
      <c r="I18" s="542">
        <v>1500.0</v>
      </c>
      <c r="J18" s="542"/>
      <c r="K18" s="542"/>
      <c r="L18" s="540"/>
      <c r="M18" s="547">
        <f t="shared" ref="M18:N18" si="12">IFERROR(IF(H18&gt;0,J18/H18,""),"")</f>
        <v>0</v>
      </c>
      <c r="N18" s="547">
        <f t="shared" si="12"/>
        <v>0</v>
      </c>
      <c r="O18" s="540"/>
    </row>
    <row r="19" ht="19.5" customHeight="1">
      <c r="A19" s="540">
        <v>12.0</v>
      </c>
      <c r="B19" s="541" t="s">
        <v>151</v>
      </c>
      <c r="C19" s="542" t="s">
        <v>152</v>
      </c>
      <c r="D19" s="543" t="s">
        <v>21</v>
      </c>
      <c r="E19" s="540" t="s">
        <v>38</v>
      </c>
      <c r="F19" s="557"/>
      <c r="G19" s="540"/>
      <c r="H19" s="542">
        <v>20000.0</v>
      </c>
      <c r="I19" s="542">
        <v>1500.0</v>
      </c>
      <c r="J19" s="542"/>
      <c r="K19" s="542"/>
      <c r="L19" s="540"/>
      <c r="M19" s="547">
        <f t="shared" ref="M19:N19" si="13">IFERROR(IF(H19&gt;0,J19/H19,""),"")</f>
        <v>0</v>
      </c>
      <c r="N19" s="547">
        <f t="shared" si="13"/>
        <v>0</v>
      </c>
      <c r="O19" s="540"/>
    </row>
    <row r="20" ht="19.5" customHeight="1">
      <c r="A20" s="540">
        <v>13.0</v>
      </c>
      <c r="B20" s="541" t="s">
        <v>163</v>
      </c>
      <c r="C20" s="542" t="s">
        <v>164</v>
      </c>
      <c r="D20" s="543" t="s">
        <v>21</v>
      </c>
      <c r="E20" s="540" t="s">
        <v>38</v>
      </c>
      <c r="F20" s="557"/>
      <c r="G20" s="540"/>
      <c r="H20" s="542">
        <v>20000.0</v>
      </c>
      <c r="I20" s="542">
        <v>1500.0</v>
      </c>
      <c r="J20" s="542"/>
      <c r="K20" s="542"/>
      <c r="L20" s="540"/>
      <c r="M20" s="547">
        <f t="shared" ref="M20:N20" si="14">IFERROR(IF(H20&gt;0,J20/H20,""),"")</f>
        <v>0</v>
      </c>
      <c r="N20" s="547">
        <f t="shared" si="14"/>
        <v>0</v>
      </c>
      <c r="O20" s="540"/>
    </row>
    <row r="21" ht="19.5" customHeight="1">
      <c r="A21" s="540">
        <v>14.0</v>
      </c>
      <c r="B21" s="541" t="s">
        <v>169</v>
      </c>
      <c r="C21" s="542">
        <v>6489.0</v>
      </c>
      <c r="D21" s="543" t="s">
        <v>21</v>
      </c>
      <c r="E21" s="540" t="s">
        <v>38</v>
      </c>
      <c r="F21" s="559" t="s">
        <v>567</v>
      </c>
      <c r="G21" s="560">
        <v>46118.0</v>
      </c>
      <c r="H21" s="542">
        <v>15000.0</v>
      </c>
      <c r="I21" s="542">
        <v>1000.0</v>
      </c>
      <c r="J21" s="546">
        <v>574.0</v>
      </c>
      <c r="K21" s="546">
        <v>12.0</v>
      </c>
      <c r="L21" s="540"/>
      <c r="M21" s="547">
        <f t="shared" ref="M21:N21" si="15">IFERROR(IF(H21&gt;0,J21/H21,""),"")</f>
        <v>0.03826666667</v>
      </c>
      <c r="N21" s="547">
        <f t="shared" si="15"/>
        <v>0.012</v>
      </c>
      <c r="O21" s="548">
        <v>46148.0</v>
      </c>
    </row>
    <row r="22" ht="19.5" customHeight="1">
      <c r="A22" s="540">
        <v>15.0</v>
      </c>
      <c r="B22" s="541" t="s">
        <v>174</v>
      </c>
      <c r="C22" s="542" t="s">
        <v>175</v>
      </c>
      <c r="D22" s="543" t="s">
        <v>21</v>
      </c>
      <c r="E22" s="540" t="s">
        <v>38</v>
      </c>
      <c r="F22" s="544" t="s">
        <v>579</v>
      </c>
      <c r="G22" s="561">
        <v>46059.0</v>
      </c>
      <c r="H22" s="542">
        <v>46000.0</v>
      </c>
      <c r="I22" s="542">
        <v>2000.0</v>
      </c>
      <c r="J22" s="546">
        <v>32001.0</v>
      </c>
      <c r="K22" s="546">
        <v>354.0</v>
      </c>
      <c r="L22" s="540"/>
      <c r="M22" s="547">
        <f t="shared" ref="M22:N22" si="16">IFERROR(IF(H22&gt;0,J22/H22,""),"")</f>
        <v>0.695673913</v>
      </c>
      <c r="N22" s="547">
        <f t="shared" si="16"/>
        <v>0.177</v>
      </c>
      <c r="O22" s="548">
        <v>46148.0</v>
      </c>
    </row>
    <row r="23" ht="19.5" customHeight="1">
      <c r="A23" s="540">
        <v>16.0</v>
      </c>
      <c r="B23" s="541" t="s">
        <v>180</v>
      </c>
      <c r="C23" s="542" t="s">
        <v>181</v>
      </c>
      <c r="D23" s="543" t="s">
        <v>21</v>
      </c>
      <c r="E23" s="540" t="s">
        <v>38</v>
      </c>
      <c r="F23" s="557"/>
      <c r="G23" s="540"/>
      <c r="H23" s="542">
        <v>40500.0</v>
      </c>
      <c r="I23" s="542">
        <v>2000.0</v>
      </c>
      <c r="J23" s="542"/>
      <c r="K23" s="542"/>
      <c r="L23" s="540"/>
      <c r="M23" s="547">
        <f t="shared" ref="M23:N23" si="17">IFERROR(IF(H23&gt;0,J23/H23,""),"")</f>
        <v>0</v>
      </c>
      <c r="N23" s="547">
        <f t="shared" si="17"/>
        <v>0</v>
      </c>
      <c r="O23" s="540"/>
    </row>
    <row r="24" ht="19.5" customHeight="1">
      <c r="A24" s="540">
        <v>17.0</v>
      </c>
      <c r="B24" s="541" t="s">
        <v>187</v>
      </c>
      <c r="C24" s="542" t="s">
        <v>188</v>
      </c>
      <c r="D24" s="543" t="s">
        <v>21</v>
      </c>
      <c r="E24" s="540" t="s">
        <v>38</v>
      </c>
      <c r="F24" s="544" t="s">
        <v>603</v>
      </c>
      <c r="G24" s="549" t="s">
        <v>410</v>
      </c>
      <c r="H24" s="542">
        <v>60000.0</v>
      </c>
      <c r="I24" s="542">
        <v>3000.0</v>
      </c>
      <c r="J24" s="546">
        <v>36124.0</v>
      </c>
      <c r="K24" s="546">
        <v>1048.0</v>
      </c>
      <c r="L24" s="540"/>
      <c r="M24" s="547">
        <f t="shared" ref="M24:N24" si="18">IFERROR(IF(H24&gt;0,J24/H24,""),"")</f>
        <v>0.6020666667</v>
      </c>
      <c r="N24" s="547">
        <f t="shared" si="18"/>
        <v>0.3493333333</v>
      </c>
      <c r="O24" s="548">
        <v>46148.0</v>
      </c>
    </row>
    <row r="25" ht="18.0" customHeight="1">
      <c r="A25" s="558" t="s">
        <v>845</v>
      </c>
      <c r="B25" s="532"/>
      <c r="C25" s="532"/>
      <c r="D25" s="532"/>
      <c r="E25" s="532"/>
      <c r="F25" s="532"/>
      <c r="G25" s="532"/>
      <c r="H25" s="532"/>
      <c r="I25" s="532"/>
      <c r="J25" s="532"/>
      <c r="K25" s="532"/>
      <c r="L25" s="532"/>
      <c r="M25" s="532"/>
      <c r="N25" s="532"/>
      <c r="O25" s="531"/>
    </row>
    <row r="26" ht="19.5" customHeight="1">
      <c r="A26" s="540">
        <v>18.0</v>
      </c>
      <c r="B26" s="541" t="s">
        <v>204</v>
      </c>
      <c r="C26" s="542" t="s">
        <v>205</v>
      </c>
      <c r="D26" s="543" t="s">
        <v>21</v>
      </c>
      <c r="E26" s="540" t="s">
        <v>38</v>
      </c>
      <c r="F26" s="557"/>
      <c r="G26" s="540"/>
      <c r="H26" s="542">
        <v>20000.0</v>
      </c>
      <c r="I26" s="542">
        <v>1500.0</v>
      </c>
      <c r="J26" s="542"/>
      <c r="K26" s="542"/>
      <c r="L26" s="540"/>
      <c r="M26" s="547">
        <f t="shared" ref="M26:N26" si="19">IFERROR(IF(H26&gt;0,J26/H26,""),"")</f>
        <v>0</v>
      </c>
      <c r="N26" s="547">
        <f t="shared" si="19"/>
        <v>0</v>
      </c>
      <c r="O26" s="540"/>
    </row>
    <row r="27" ht="19.5" customHeight="1">
      <c r="A27" s="540">
        <v>19.0</v>
      </c>
      <c r="B27" s="541" t="s">
        <v>211</v>
      </c>
      <c r="C27" s="542">
        <v>45000.0</v>
      </c>
      <c r="D27" s="543" t="s">
        <v>21</v>
      </c>
      <c r="E27" s="540" t="s">
        <v>38</v>
      </c>
      <c r="F27" s="559" t="s">
        <v>623</v>
      </c>
      <c r="G27" s="560">
        <v>46148.0</v>
      </c>
      <c r="H27" s="542">
        <v>20000.0</v>
      </c>
      <c r="I27" s="542">
        <v>1500.0</v>
      </c>
      <c r="J27" s="546">
        <v>38472.0</v>
      </c>
      <c r="K27" s="546">
        <v>2311.0</v>
      </c>
      <c r="L27" s="540"/>
      <c r="M27" s="547">
        <f t="shared" ref="M27:N27" si="20">IFERROR(IF(H27&gt;0,J27/H27,""),"")</f>
        <v>1.9236</v>
      </c>
      <c r="N27" s="547">
        <f t="shared" si="20"/>
        <v>1.540666667</v>
      </c>
      <c r="O27" s="548">
        <v>46148.0</v>
      </c>
    </row>
    <row r="28" ht="19.5" customHeight="1">
      <c r="A28" s="540">
        <v>20.0</v>
      </c>
      <c r="B28" s="541" t="s">
        <v>242</v>
      </c>
      <c r="C28" s="542" t="s">
        <v>243</v>
      </c>
      <c r="D28" s="543" t="s">
        <v>21</v>
      </c>
      <c r="E28" s="540" t="s">
        <v>38</v>
      </c>
      <c r="F28" s="557"/>
      <c r="G28" s="540"/>
      <c r="H28" s="542">
        <v>35000.0</v>
      </c>
      <c r="I28" s="542">
        <v>1500.0</v>
      </c>
      <c r="J28" s="542"/>
      <c r="K28" s="542"/>
      <c r="L28" s="540"/>
      <c r="M28" s="547">
        <f t="shared" ref="M28:N28" si="21">IFERROR(IF(H28&gt;0,J28/H28,""),"")</f>
        <v>0</v>
      </c>
      <c r="N28" s="547">
        <f t="shared" si="21"/>
        <v>0</v>
      </c>
      <c r="O28" s="540"/>
    </row>
    <row r="29" ht="19.5" customHeight="1">
      <c r="A29" s="540">
        <v>21.0</v>
      </c>
      <c r="B29" s="541" t="s">
        <v>254</v>
      </c>
      <c r="C29" s="542" t="s">
        <v>255</v>
      </c>
      <c r="D29" s="543" t="s">
        <v>21</v>
      </c>
      <c r="E29" s="540" t="s">
        <v>38</v>
      </c>
      <c r="F29" s="557"/>
      <c r="G29" s="540"/>
      <c r="H29" s="542">
        <v>30000.0</v>
      </c>
      <c r="I29" s="542">
        <v>1500.0</v>
      </c>
      <c r="J29" s="542"/>
      <c r="K29" s="542"/>
      <c r="L29" s="540"/>
      <c r="M29" s="547">
        <f t="shared" ref="M29:N29" si="22">IFERROR(IF(H29&gt;0,J29/H29,""),"")</f>
        <v>0</v>
      </c>
      <c r="N29" s="547">
        <f t="shared" si="22"/>
        <v>0</v>
      </c>
      <c r="O29" s="540"/>
    </row>
    <row r="30" ht="19.5" customHeight="1">
      <c r="A30" s="540">
        <v>22.0</v>
      </c>
      <c r="B30" s="541" t="s">
        <v>648</v>
      </c>
      <c r="C30" s="542" t="s">
        <v>649</v>
      </c>
      <c r="D30" s="543" t="s">
        <v>21</v>
      </c>
      <c r="E30" s="540" t="s">
        <v>38</v>
      </c>
      <c r="F30" s="557"/>
      <c r="G30" s="540"/>
      <c r="H30" s="542">
        <v>30000.0</v>
      </c>
      <c r="I30" s="542">
        <v>1500.0</v>
      </c>
      <c r="J30" s="542"/>
      <c r="K30" s="542"/>
      <c r="L30" s="540"/>
      <c r="M30" s="547">
        <f t="shared" ref="M30:N30" si="23">IFERROR(IF(H30&gt;0,J30/H30,""),"")</f>
        <v>0</v>
      </c>
      <c r="N30" s="547">
        <f t="shared" si="23"/>
        <v>0</v>
      </c>
      <c r="O30" s="540"/>
    </row>
    <row r="31" ht="18.0" customHeight="1">
      <c r="A31" s="558" t="s">
        <v>846</v>
      </c>
      <c r="B31" s="532"/>
      <c r="C31" s="532"/>
      <c r="D31" s="532"/>
      <c r="E31" s="532"/>
      <c r="F31" s="532"/>
      <c r="G31" s="532"/>
      <c r="H31" s="532"/>
      <c r="I31" s="532"/>
      <c r="J31" s="532"/>
      <c r="K31" s="532"/>
      <c r="L31" s="532"/>
      <c r="M31" s="532"/>
      <c r="N31" s="532"/>
      <c r="O31" s="531"/>
    </row>
    <row r="32" ht="19.5" customHeight="1">
      <c r="A32" s="540">
        <v>23.0</v>
      </c>
      <c r="B32" s="541" t="s">
        <v>272</v>
      </c>
      <c r="C32" s="542" t="s">
        <v>273</v>
      </c>
      <c r="D32" s="543" t="s">
        <v>21</v>
      </c>
      <c r="E32" s="540" t="s">
        <v>38</v>
      </c>
      <c r="F32" s="557"/>
      <c r="G32" s="540"/>
      <c r="H32" s="542">
        <v>40000.0</v>
      </c>
      <c r="I32" s="542">
        <v>2000.0</v>
      </c>
      <c r="J32" s="542"/>
      <c r="K32" s="542"/>
      <c r="L32" s="540"/>
      <c r="M32" s="547">
        <f t="shared" ref="M32:N32" si="24">IFERROR(IF(H32&gt;0,J32/H32,""),"")</f>
        <v>0</v>
      </c>
      <c r="N32" s="547">
        <f t="shared" si="24"/>
        <v>0</v>
      </c>
      <c r="O32" s="540"/>
    </row>
    <row r="33" ht="19.5" customHeight="1">
      <c r="A33" s="540">
        <v>24.0</v>
      </c>
      <c r="B33" s="541" t="s">
        <v>280</v>
      </c>
      <c r="C33" s="542">
        <v>13600.0</v>
      </c>
      <c r="D33" s="543" t="s">
        <v>21</v>
      </c>
      <c r="E33" s="540" t="s">
        <v>38</v>
      </c>
      <c r="F33" s="557"/>
      <c r="G33" s="540"/>
      <c r="H33" s="542">
        <v>25000.0</v>
      </c>
      <c r="I33" s="542">
        <v>1500.0</v>
      </c>
      <c r="J33" s="542"/>
      <c r="K33" s="542"/>
      <c r="L33" s="540"/>
      <c r="M33" s="547">
        <f t="shared" ref="M33:N33" si="25">IFERROR(IF(H33&gt;0,J33/H33,""),"")</f>
        <v>0</v>
      </c>
      <c r="N33" s="547">
        <f t="shared" si="25"/>
        <v>0</v>
      </c>
      <c r="O33" s="540"/>
    </row>
    <row r="34" ht="19.5" customHeight="1">
      <c r="A34" s="540">
        <v>25.0</v>
      </c>
      <c r="B34" s="541" t="s">
        <v>285</v>
      </c>
      <c r="C34" s="542" t="s">
        <v>286</v>
      </c>
      <c r="D34" s="543" t="s">
        <v>21</v>
      </c>
      <c r="E34" s="540" t="s">
        <v>38</v>
      </c>
      <c r="F34" s="557"/>
      <c r="G34" s="540"/>
      <c r="H34" s="542">
        <v>20000.0</v>
      </c>
      <c r="I34" s="542">
        <v>1000.0</v>
      </c>
      <c r="J34" s="542"/>
      <c r="K34" s="542"/>
      <c r="L34" s="540"/>
      <c r="M34" s="547">
        <f t="shared" ref="M34:N34" si="26">IFERROR(IF(H34&gt;0,J34/H34,""),"")</f>
        <v>0</v>
      </c>
      <c r="N34" s="547">
        <f t="shared" si="26"/>
        <v>0</v>
      </c>
      <c r="O34" s="540"/>
    </row>
    <row r="35" ht="19.5" customHeight="1">
      <c r="A35" s="540">
        <v>26.0</v>
      </c>
      <c r="B35" s="541" t="s">
        <v>291</v>
      </c>
      <c r="C35" s="542" t="s">
        <v>292</v>
      </c>
      <c r="D35" s="543" t="s">
        <v>21</v>
      </c>
      <c r="E35" s="540" t="s">
        <v>38</v>
      </c>
      <c r="F35" s="559" t="s">
        <v>702</v>
      </c>
      <c r="G35" s="560">
        <v>46148.0</v>
      </c>
      <c r="H35" s="542">
        <v>20000.0</v>
      </c>
      <c r="I35" s="542">
        <v>1500.0</v>
      </c>
      <c r="J35" s="546">
        <v>1188.0</v>
      </c>
      <c r="K35" s="546">
        <v>160.0</v>
      </c>
      <c r="L35" s="540"/>
      <c r="M35" s="547">
        <f t="shared" ref="M35:N35" si="27">IFERROR(IF(H35&gt;0,J35/H35,""),"")</f>
        <v>0.0594</v>
      </c>
      <c r="N35" s="547">
        <f t="shared" si="27"/>
        <v>0.1066666667</v>
      </c>
      <c r="O35" s="540"/>
    </row>
    <row r="36" ht="18.0" customHeight="1">
      <c r="A36" s="558" t="s">
        <v>847</v>
      </c>
      <c r="B36" s="532"/>
      <c r="C36" s="532"/>
      <c r="D36" s="532"/>
      <c r="E36" s="532"/>
      <c r="F36" s="532"/>
      <c r="G36" s="532"/>
      <c r="H36" s="532"/>
      <c r="I36" s="532"/>
      <c r="J36" s="532"/>
      <c r="K36" s="532"/>
      <c r="L36" s="532"/>
      <c r="M36" s="532"/>
      <c r="N36" s="532"/>
      <c r="O36" s="531"/>
    </row>
    <row r="37" ht="19.5" customHeight="1">
      <c r="A37" s="540">
        <v>27.0</v>
      </c>
      <c r="B37" s="541" t="s">
        <v>298</v>
      </c>
      <c r="C37" s="542">
        <v>270000.0</v>
      </c>
      <c r="D37" s="543" t="s">
        <v>21</v>
      </c>
      <c r="E37" s="540" t="s">
        <v>38</v>
      </c>
      <c r="F37" s="557"/>
      <c r="G37" s="540"/>
      <c r="H37" s="542">
        <v>30000.0</v>
      </c>
      <c r="I37" s="542">
        <v>2000.0</v>
      </c>
      <c r="J37" s="542"/>
      <c r="K37" s="542"/>
      <c r="L37" s="540"/>
      <c r="M37" s="547">
        <f t="shared" ref="M37:N37" si="28">IFERROR(IF(H37&gt;0,J37/H37,""),"")</f>
        <v>0</v>
      </c>
      <c r="N37" s="547">
        <f t="shared" si="28"/>
        <v>0</v>
      </c>
      <c r="O37" s="540"/>
    </row>
    <row r="38" ht="21.75" customHeight="1">
      <c r="A38" s="535" t="s">
        <v>318</v>
      </c>
      <c r="B38" s="536"/>
      <c r="C38" s="536"/>
      <c r="D38" s="536"/>
      <c r="E38" s="536"/>
      <c r="F38" s="536"/>
      <c r="G38" s="536"/>
      <c r="H38" s="536"/>
      <c r="I38" s="536"/>
      <c r="J38" s="536"/>
      <c r="K38" s="536"/>
      <c r="L38" s="536"/>
      <c r="M38" s="536"/>
      <c r="N38" s="536"/>
      <c r="O38" s="539"/>
    </row>
    <row r="39" ht="19.5" customHeight="1">
      <c r="A39" s="562">
        <v>28.0</v>
      </c>
      <c r="B39" s="563" t="s">
        <v>319</v>
      </c>
      <c r="C39" s="564" t="s">
        <v>321</v>
      </c>
      <c r="D39" s="565" t="s">
        <v>21</v>
      </c>
      <c r="E39" s="562" t="s">
        <v>320</v>
      </c>
      <c r="F39" s="566" t="s">
        <v>723</v>
      </c>
      <c r="G39" s="567">
        <v>46087.0</v>
      </c>
      <c r="H39" s="564">
        <v>0.0</v>
      </c>
      <c r="I39" s="564">
        <v>3000.0</v>
      </c>
      <c r="J39" s="568">
        <v>0.0</v>
      </c>
      <c r="K39" s="568">
        <v>2858.0</v>
      </c>
      <c r="L39" s="562"/>
      <c r="M39" s="569" t="str">
        <f t="shared" ref="M39:N39" si="29">IFERROR(IF(H39&gt;0,J39/H39,""),"")</f>
        <v/>
      </c>
      <c r="N39" s="569">
        <f t="shared" si="29"/>
        <v>0.9526666667</v>
      </c>
      <c r="O39" s="570">
        <v>46148.0</v>
      </c>
    </row>
    <row r="40" ht="19.5" customHeight="1">
      <c r="A40" s="562">
        <v>29.0</v>
      </c>
      <c r="B40" s="563" t="s">
        <v>325</v>
      </c>
      <c r="C40" s="564" t="s">
        <v>326</v>
      </c>
      <c r="D40" s="565" t="s">
        <v>21</v>
      </c>
      <c r="E40" s="562" t="s">
        <v>320</v>
      </c>
      <c r="F40" s="571" t="s">
        <v>733</v>
      </c>
      <c r="G40" s="567">
        <v>46087.0</v>
      </c>
      <c r="H40" s="564">
        <v>0.0</v>
      </c>
      <c r="I40" s="564">
        <v>3000.0</v>
      </c>
      <c r="J40" s="568">
        <v>0.0</v>
      </c>
      <c r="K40" s="568">
        <v>2854.0</v>
      </c>
      <c r="L40" s="562"/>
      <c r="M40" s="569" t="str">
        <f t="shared" ref="M40:N40" si="30">IFERROR(IF(H40&gt;0,J40/H40,""),"")</f>
        <v/>
      </c>
      <c r="N40" s="569">
        <f t="shared" si="30"/>
        <v>0.9513333333</v>
      </c>
      <c r="O40" s="570">
        <v>46148.0</v>
      </c>
    </row>
    <row r="41" ht="19.5" customHeight="1">
      <c r="A41" s="562">
        <v>30.0</v>
      </c>
      <c r="B41" s="563" t="s">
        <v>328</v>
      </c>
      <c r="C41" s="564" t="s">
        <v>329</v>
      </c>
      <c r="D41" s="565" t="s">
        <v>21</v>
      </c>
      <c r="E41" s="562" t="s">
        <v>320</v>
      </c>
      <c r="F41" s="566" t="s">
        <v>743</v>
      </c>
      <c r="G41" s="572">
        <v>46148.0</v>
      </c>
      <c r="H41" s="564">
        <v>0.0</v>
      </c>
      <c r="I41" s="564">
        <v>3000.0</v>
      </c>
      <c r="J41" s="564"/>
      <c r="K41" s="564"/>
      <c r="L41" s="562"/>
      <c r="M41" s="569" t="str">
        <f t="shared" ref="M41:N41" si="31">IFERROR(IF(H41&gt;0,J41/H41,""),"")</f>
        <v/>
      </c>
      <c r="N41" s="569">
        <f t="shared" si="31"/>
        <v>0</v>
      </c>
      <c r="O41" s="562"/>
    </row>
    <row r="42" ht="19.5" customHeight="1">
      <c r="A42" s="562">
        <v>31.0</v>
      </c>
      <c r="B42" s="563" t="s">
        <v>331</v>
      </c>
      <c r="C42" s="564" t="s">
        <v>332</v>
      </c>
      <c r="D42" s="565" t="s">
        <v>21</v>
      </c>
      <c r="E42" s="562" t="s">
        <v>320</v>
      </c>
      <c r="F42" s="573"/>
      <c r="G42" s="562"/>
      <c r="H42" s="564">
        <v>0.0</v>
      </c>
      <c r="I42" s="564">
        <v>3000.0</v>
      </c>
      <c r="J42" s="564"/>
      <c r="K42" s="564"/>
      <c r="L42" s="562"/>
      <c r="M42" s="569" t="str">
        <f t="shared" ref="M42:N42" si="32">IFERROR(IF(H42&gt;0,J42/H42,""),"")</f>
        <v/>
      </c>
      <c r="N42" s="569">
        <f t="shared" si="32"/>
        <v>0</v>
      </c>
      <c r="O42" s="562"/>
    </row>
    <row r="43" ht="19.5" customHeight="1">
      <c r="A43" s="562">
        <v>32.0</v>
      </c>
      <c r="B43" s="563" t="s">
        <v>334</v>
      </c>
      <c r="C43" s="564" t="s">
        <v>335</v>
      </c>
      <c r="D43" s="565" t="s">
        <v>21</v>
      </c>
      <c r="E43" s="562" t="s">
        <v>320</v>
      </c>
      <c r="F43" s="566" t="s">
        <v>759</v>
      </c>
      <c r="G43" s="572">
        <v>46028.0</v>
      </c>
      <c r="H43" s="564">
        <v>0.0</v>
      </c>
      <c r="I43" s="564">
        <v>3000.0</v>
      </c>
      <c r="J43" s="568">
        <v>0.0</v>
      </c>
      <c r="K43" s="568">
        <v>2556.0</v>
      </c>
      <c r="L43" s="562"/>
      <c r="M43" s="569" t="str">
        <f t="shared" ref="M43:N43" si="33">IFERROR(IF(H43&gt;0,J43/H43,""),"")</f>
        <v/>
      </c>
      <c r="N43" s="569">
        <f t="shared" si="33"/>
        <v>0.852</v>
      </c>
      <c r="O43" s="570">
        <v>46148.0</v>
      </c>
    </row>
    <row r="44" ht="19.5" customHeight="1">
      <c r="A44" s="562">
        <v>33.0</v>
      </c>
      <c r="B44" s="563" t="s">
        <v>338</v>
      </c>
      <c r="C44" s="564" t="s">
        <v>339</v>
      </c>
      <c r="D44" s="565" t="s">
        <v>21</v>
      </c>
      <c r="E44" s="562" t="s">
        <v>38</v>
      </c>
      <c r="F44" s="573"/>
      <c r="G44" s="562"/>
      <c r="H44" s="564">
        <v>80000.0</v>
      </c>
      <c r="I44" s="564">
        <v>2000.0</v>
      </c>
      <c r="J44" s="564"/>
      <c r="K44" s="564"/>
      <c r="L44" s="562"/>
      <c r="M44" s="569">
        <f t="shared" ref="M44:N44" si="34">IFERROR(IF(H44&gt;0,J44/H44,""),"")</f>
        <v>0</v>
      </c>
      <c r="N44" s="569">
        <f t="shared" si="34"/>
        <v>0</v>
      </c>
      <c r="O44" s="562"/>
    </row>
    <row r="45" ht="19.5" customHeight="1">
      <c r="A45" s="562">
        <v>34.0</v>
      </c>
      <c r="B45" s="563" t="s">
        <v>342</v>
      </c>
      <c r="C45" s="564" t="s">
        <v>343</v>
      </c>
      <c r="D45" s="565" t="s">
        <v>21</v>
      </c>
      <c r="E45" s="562" t="s">
        <v>38</v>
      </c>
      <c r="F45" s="566" t="s">
        <v>783</v>
      </c>
      <c r="G45" s="574" t="s">
        <v>410</v>
      </c>
      <c r="H45" s="564">
        <v>30000.0</v>
      </c>
      <c r="I45" s="564">
        <v>1500.0</v>
      </c>
      <c r="J45" s="568">
        <v>31774.0</v>
      </c>
      <c r="K45" s="568">
        <v>124.0</v>
      </c>
      <c r="L45" s="562"/>
      <c r="M45" s="569">
        <f t="shared" ref="M45:N45" si="35">IFERROR(IF(H45&gt;0,J45/H45,""),"")</f>
        <v>1.059133333</v>
      </c>
      <c r="N45" s="569">
        <f t="shared" si="35"/>
        <v>0.08266666667</v>
      </c>
      <c r="O45" s="570">
        <v>46148.0</v>
      </c>
    </row>
    <row r="46" ht="19.5" customHeight="1">
      <c r="A46" s="562">
        <v>35.0</v>
      </c>
      <c r="B46" s="563" t="s">
        <v>345</v>
      </c>
      <c r="C46" s="564" t="s">
        <v>346</v>
      </c>
      <c r="D46" s="565" t="s">
        <v>21</v>
      </c>
      <c r="E46" s="562" t="s">
        <v>38</v>
      </c>
      <c r="F46" s="566" t="s">
        <v>799</v>
      </c>
      <c r="G46" s="572">
        <v>46118.0</v>
      </c>
      <c r="H46" s="564">
        <v>80000.0</v>
      </c>
      <c r="I46" s="564">
        <v>1500.0</v>
      </c>
      <c r="J46" s="564"/>
      <c r="K46" s="564"/>
      <c r="L46" s="562"/>
      <c r="M46" s="569">
        <f t="shared" ref="M46:N46" si="36">IFERROR(IF(H46&gt;0,J46/H46,""),"")</f>
        <v>0</v>
      </c>
      <c r="N46" s="569">
        <f t="shared" si="36"/>
        <v>0</v>
      </c>
      <c r="O46" s="562"/>
    </row>
    <row r="47" ht="19.5" customHeight="1">
      <c r="A47" s="562">
        <v>36.0</v>
      </c>
      <c r="B47" s="563" t="s">
        <v>348</v>
      </c>
      <c r="C47" s="564" t="s">
        <v>349</v>
      </c>
      <c r="D47" s="565" t="s">
        <v>21</v>
      </c>
      <c r="E47" s="562" t="s">
        <v>38</v>
      </c>
      <c r="F47" s="566" t="s">
        <v>810</v>
      </c>
      <c r="G47" s="574" t="s">
        <v>462</v>
      </c>
      <c r="H47" s="564">
        <v>50000.0</v>
      </c>
      <c r="I47" s="564">
        <v>1500.0</v>
      </c>
      <c r="J47" s="568">
        <v>38132.0</v>
      </c>
      <c r="K47" s="568">
        <v>2909.0</v>
      </c>
      <c r="L47" s="562"/>
      <c r="M47" s="569">
        <f t="shared" ref="M47:N47" si="37">IFERROR(IF(H47&gt;0,J47/H47,""),"")</f>
        <v>0.76264</v>
      </c>
      <c r="N47" s="569">
        <f t="shared" si="37"/>
        <v>1.939333333</v>
      </c>
      <c r="O47" s="570">
        <v>46148.0</v>
      </c>
    </row>
    <row r="48" ht="19.5" customHeight="1">
      <c r="A48" s="562">
        <v>37.0</v>
      </c>
      <c r="B48" s="563" t="s">
        <v>848</v>
      </c>
      <c r="C48" s="564" t="s">
        <v>352</v>
      </c>
      <c r="D48" s="565" t="s">
        <v>21</v>
      </c>
      <c r="E48" s="562" t="s">
        <v>38</v>
      </c>
      <c r="F48" s="573"/>
      <c r="G48" s="562"/>
      <c r="H48" s="564">
        <v>80000.0</v>
      </c>
      <c r="I48" s="564">
        <v>2000.0</v>
      </c>
      <c r="J48" s="564"/>
      <c r="K48" s="564"/>
      <c r="L48" s="562"/>
      <c r="M48" s="569">
        <f t="shared" ref="M48:N48" si="38">IFERROR(IF(H48&gt;0,J48/H48,""),"")</f>
        <v>0</v>
      </c>
      <c r="N48" s="569">
        <f t="shared" si="38"/>
        <v>0</v>
      </c>
      <c r="O48" s="562"/>
    </row>
    <row r="49" ht="12.75" customHeight="1">
      <c r="F49" s="575"/>
    </row>
    <row r="50" ht="12.75" customHeight="1">
      <c r="F50" s="575"/>
    </row>
    <row r="51" ht="12.75" customHeight="1">
      <c r="F51" s="575"/>
    </row>
    <row r="52" ht="12.75" customHeight="1">
      <c r="F52" s="575"/>
    </row>
    <row r="53" ht="12.75" customHeight="1">
      <c r="F53" s="575"/>
    </row>
    <row r="54" ht="12.75" customHeight="1">
      <c r="F54" s="575"/>
    </row>
    <row r="55" ht="12.75" customHeight="1">
      <c r="F55" s="575"/>
    </row>
    <row r="56" ht="12.75" customHeight="1">
      <c r="F56" s="575"/>
    </row>
    <row r="57" ht="12.75" customHeight="1">
      <c r="F57" s="575"/>
    </row>
    <row r="58" ht="12.75" customHeight="1">
      <c r="F58" s="575"/>
    </row>
    <row r="59" ht="12.75" customHeight="1">
      <c r="F59" s="575"/>
    </row>
    <row r="60" ht="12.75" customHeight="1">
      <c r="F60" s="575"/>
    </row>
    <row r="61" ht="12.75" customHeight="1">
      <c r="F61" s="575"/>
    </row>
    <row r="62" ht="12.75" customHeight="1">
      <c r="F62" s="575"/>
    </row>
    <row r="63" ht="12.75" customHeight="1">
      <c r="F63" s="575"/>
    </row>
    <row r="64" ht="12.75" customHeight="1">
      <c r="F64" s="575"/>
    </row>
    <row r="65" ht="12.75" customHeight="1">
      <c r="F65" s="575"/>
    </row>
    <row r="66" ht="12.75" customHeight="1">
      <c r="F66" s="575"/>
    </row>
    <row r="67" ht="12.75" customHeight="1">
      <c r="F67" s="575"/>
    </row>
    <row r="68" ht="12.75" customHeight="1">
      <c r="F68" s="575"/>
    </row>
    <row r="69" ht="12.75" customHeight="1">
      <c r="F69" s="575"/>
    </row>
    <row r="70" ht="12.75" customHeight="1">
      <c r="F70" s="575"/>
    </row>
    <row r="71" ht="12.75" customHeight="1">
      <c r="F71" s="575"/>
    </row>
    <row r="72" ht="12.75" customHeight="1">
      <c r="F72" s="575"/>
    </row>
    <row r="73" ht="12.75" customHeight="1">
      <c r="F73" s="575"/>
    </row>
    <row r="74" ht="12.75" customHeight="1">
      <c r="F74" s="575"/>
    </row>
    <row r="75" ht="12.75" customHeight="1">
      <c r="F75" s="575"/>
    </row>
    <row r="76" ht="12.75" customHeight="1">
      <c r="F76" s="575"/>
    </row>
    <row r="77" ht="12.75" customHeight="1">
      <c r="F77" s="575"/>
    </row>
    <row r="78" ht="12.75" customHeight="1">
      <c r="F78" s="575"/>
    </row>
    <row r="79" ht="12.75" customHeight="1">
      <c r="F79" s="575"/>
    </row>
    <row r="80" ht="12.75" customHeight="1">
      <c r="F80" s="575"/>
    </row>
    <row r="81" ht="12.75" customHeight="1">
      <c r="F81" s="575"/>
    </row>
    <row r="82" ht="12.75" customHeight="1">
      <c r="F82" s="575"/>
    </row>
    <row r="83" ht="12.75" customHeight="1">
      <c r="F83" s="575"/>
    </row>
    <row r="84" ht="12.75" customHeight="1">
      <c r="F84" s="575"/>
    </row>
    <row r="85" ht="12.75" customHeight="1">
      <c r="F85" s="575"/>
    </row>
    <row r="86" ht="12.75" customHeight="1">
      <c r="F86" s="575"/>
    </row>
    <row r="87" ht="12.75" customHeight="1">
      <c r="F87" s="575"/>
    </row>
    <row r="88" ht="12.75" customHeight="1">
      <c r="F88" s="575"/>
    </row>
    <row r="89" ht="12.75" customHeight="1">
      <c r="F89" s="575"/>
    </row>
    <row r="90" ht="12.75" customHeight="1">
      <c r="F90" s="575"/>
    </row>
    <row r="91" ht="12.75" customHeight="1">
      <c r="F91" s="575"/>
    </row>
    <row r="92" ht="12.75" customHeight="1">
      <c r="F92" s="575"/>
    </row>
    <row r="93" ht="12.75" customHeight="1">
      <c r="F93" s="575"/>
    </row>
    <row r="94" ht="12.75" customHeight="1">
      <c r="F94" s="575"/>
    </row>
    <row r="95" ht="12.75" customHeight="1">
      <c r="F95" s="575"/>
    </row>
    <row r="96" ht="12.75" customHeight="1">
      <c r="F96" s="575"/>
    </row>
    <row r="97" ht="12.75" customHeight="1">
      <c r="F97" s="575"/>
    </row>
    <row r="98" ht="12.75" customHeight="1">
      <c r="F98" s="575"/>
    </row>
    <row r="99" ht="12.75" customHeight="1">
      <c r="F99" s="575"/>
    </row>
    <row r="100" ht="12.75" customHeight="1">
      <c r="F100" s="575"/>
    </row>
    <row r="101" ht="12.75" customHeight="1">
      <c r="F101" s="575"/>
    </row>
    <row r="102" ht="12.75" customHeight="1">
      <c r="F102" s="575"/>
    </row>
    <row r="103" ht="12.75" customHeight="1">
      <c r="F103" s="575"/>
    </row>
    <row r="104" ht="12.75" customHeight="1">
      <c r="F104" s="575"/>
    </row>
    <row r="105" ht="12.75" customHeight="1">
      <c r="F105" s="575"/>
    </row>
    <row r="106" ht="12.75" customHeight="1">
      <c r="F106" s="575"/>
    </row>
    <row r="107" ht="12.75" customHeight="1">
      <c r="F107" s="575"/>
    </row>
    <row r="108" ht="12.75" customHeight="1">
      <c r="F108" s="575"/>
    </row>
    <row r="109" ht="12.75" customHeight="1">
      <c r="F109" s="575"/>
    </row>
    <row r="110" ht="12.75" customHeight="1">
      <c r="F110" s="575"/>
    </row>
    <row r="111" ht="12.75" customHeight="1">
      <c r="F111" s="575"/>
    </row>
    <row r="112" ht="12.75" customHeight="1">
      <c r="F112" s="575"/>
    </row>
    <row r="113" ht="12.75" customHeight="1">
      <c r="F113" s="575"/>
    </row>
    <row r="114" ht="12.75" customHeight="1">
      <c r="F114" s="575"/>
    </row>
    <row r="115" ht="12.75" customHeight="1">
      <c r="F115" s="575"/>
    </row>
    <row r="116" ht="12.75" customHeight="1">
      <c r="F116" s="575"/>
    </row>
    <row r="117" ht="12.75" customHeight="1">
      <c r="F117" s="575"/>
    </row>
    <row r="118" ht="12.75" customHeight="1">
      <c r="F118" s="575"/>
    </row>
    <row r="119" ht="12.75" customHeight="1">
      <c r="F119" s="575"/>
    </row>
    <row r="120" ht="12.75" customHeight="1">
      <c r="F120" s="575"/>
    </row>
    <row r="121" ht="12.75" customHeight="1">
      <c r="F121" s="575"/>
    </row>
    <row r="122" ht="12.75" customHeight="1">
      <c r="F122" s="575"/>
    </row>
    <row r="123" ht="12.75" customHeight="1">
      <c r="F123" s="575"/>
    </row>
    <row r="124" ht="12.75" customHeight="1">
      <c r="F124" s="575"/>
    </row>
    <row r="125" ht="12.75" customHeight="1">
      <c r="F125" s="575"/>
    </row>
    <row r="126" ht="12.75" customHeight="1">
      <c r="F126" s="575"/>
    </row>
    <row r="127" ht="12.75" customHeight="1">
      <c r="F127" s="575"/>
    </row>
    <row r="128" ht="12.75" customHeight="1">
      <c r="F128" s="575"/>
    </row>
    <row r="129" ht="12.75" customHeight="1">
      <c r="F129" s="575"/>
    </row>
    <row r="130" ht="12.75" customHeight="1">
      <c r="F130" s="575"/>
    </row>
    <row r="131" ht="12.75" customHeight="1">
      <c r="F131" s="575"/>
    </row>
    <row r="132" ht="12.75" customHeight="1">
      <c r="F132" s="575"/>
    </row>
    <row r="133" ht="12.75" customHeight="1">
      <c r="F133" s="575"/>
    </row>
    <row r="134" ht="12.75" customHeight="1">
      <c r="F134" s="575"/>
    </row>
    <row r="135" ht="12.75" customHeight="1">
      <c r="F135" s="575"/>
    </row>
    <row r="136" ht="12.75" customHeight="1">
      <c r="F136" s="575"/>
    </row>
    <row r="137" ht="12.75" customHeight="1">
      <c r="F137" s="575"/>
    </row>
    <row r="138" ht="12.75" customHeight="1">
      <c r="F138" s="575"/>
    </row>
    <row r="139" ht="12.75" customHeight="1">
      <c r="F139" s="575"/>
    </row>
    <row r="140" ht="12.75" customHeight="1">
      <c r="F140" s="575"/>
    </row>
    <row r="141" ht="12.75" customHeight="1">
      <c r="F141" s="575"/>
    </row>
    <row r="142" ht="12.75" customHeight="1">
      <c r="F142" s="575"/>
    </row>
    <row r="143" ht="12.75" customHeight="1">
      <c r="F143" s="575"/>
    </row>
    <row r="144" ht="12.75" customHeight="1">
      <c r="F144" s="575"/>
    </row>
    <row r="145" ht="12.75" customHeight="1">
      <c r="F145" s="575"/>
    </row>
    <row r="146" ht="12.75" customHeight="1">
      <c r="F146" s="575"/>
    </row>
    <row r="147" ht="12.75" customHeight="1">
      <c r="F147" s="575"/>
    </row>
    <row r="148" ht="12.75" customHeight="1">
      <c r="F148" s="575"/>
    </row>
    <row r="149" ht="12.75" customHeight="1">
      <c r="F149" s="575"/>
    </row>
    <row r="150" ht="12.75" customHeight="1">
      <c r="F150" s="575"/>
    </row>
    <row r="151" ht="12.75" customHeight="1">
      <c r="F151" s="575"/>
    </row>
    <row r="152" ht="12.75" customHeight="1">
      <c r="F152" s="575"/>
    </row>
    <row r="153" ht="12.75" customHeight="1">
      <c r="F153" s="575"/>
    </row>
    <row r="154" ht="12.75" customHeight="1">
      <c r="F154" s="575"/>
    </row>
    <row r="155" ht="12.75" customHeight="1">
      <c r="F155" s="575"/>
    </row>
    <row r="156" ht="12.75" customHeight="1">
      <c r="F156" s="575"/>
    </row>
    <row r="157" ht="12.75" customHeight="1">
      <c r="F157" s="575"/>
    </row>
    <row r="158" ht="12.75" customHeight="1">
      <c r="F158" s="575"/>
    </row>
    <row r="159" ht="12.75" customHeight="1">
      <c r="F159" s="575"/>
    </row>
    <row r="160" ht="12.75" customHeight="1">
      <c r="F160" s="575"/>
    </row>
    <row r="161" ht="12.75" customHeight="1">
      <c r="F161" s="575"/>
    </row>
    <row r="162" ht="12.75" customHeight="1">
      <c r="F162" s="575"/>
    </row>
    <row r="163" ht="12.75" customHeight="1">
      <c r="F163" s="575"/>
    </row>
    <row r="164" ht="12.75" customHeight="1">
      <c r="F164" s="575"/>
    </row>
    <row r="165" ht="12.75" customHeight="1">
      <c r="F165" s="575"/>
    </row>
    <row r="166" ht="12.75" customHeight="1">
      <c r="F166" s="575"/>
    </row>
    <row r="167" ht="12.75" customHeight="1">
      <c r="F167" s="575"/>
    </row>
    <row r="168" ht="12.75" customHeight="1">
      <c r="F168" s="575"/>
    </row>
    <row r="169" ht="12.75" customHeight="1">
      <c r="F169" s="575"/>
    </row>
    <row r="170" ht="12.75" customHeight="1">
      <c r="F170" s="575"/>
    </row>
    <row r="171" ht="12.75" customHeight="1">
      <c r="F171" s="575"/>
    </row>
    <row r="172" ht="12.75" customHeight="1">
      <c r="F172" s="575"/>
    </row>
    <row r="173" ht="12.75" customHeight="1">
      <c r="F173" s="575"/>
    </row>
    <row r="174" ht="12.75" customHeight="1">
      <c r="F174" s="575"/>
    </row>
    <row r="175" ht="12.75" customHeight="1">
      <c r="F175" s="575"/>
    </row>
    <row r="176" ht="12.75" customHeight="1">
      <c r="F176" s="575"/>
    </row>
    <row r="177" ht="12.75" customHeight="1">
      <c r="F177" s="575"/>
    </row>
    <row r="178" ht="12.75" customHeight="1">
      <c r="F178" s="575"/>
    </row>
    <row r="179" ht="12.75" customHeight="1">
      <c r="F179" s="575"/>
    </row>
    <row r="180" ht="12.75" customHeight="1">
      <c r="F180" s="575"/>
    </row>
    <row r="181" ht="12.75" customHeight="1">
      <c r="F181" s="575"/>
    </row>
    <row r="182" ht="12.75" customHeight="1">
      <c r="F182" s="575"/>
    </row>
    <row r="183" ht="12.75" customHeight="1">
      <c r="F183" s="575"/>
    </row>
    <row r="184" ht="12.75" customHeight="1">
      <c r="F184" s="575"/>
    </row>
    <row r="185" ht="12.75" customHeight="1">
      <c r="F185" s="575"/>
    </row>
    <row r="186" ht="12.75" customHeight="1">
      <c r="F186" s="575"/>
    </row>
    <row r="187" ht="12.75" customHeight="1">
      <c r="F187" s="575"/>
    </row>
    <row r="188" ht="12.75" customHeight="1">
      <c r="F188" s="575"/>
    </row>
    <row r="189" ht="12.75" customHeight="1">
      <c r="F189" s="575"/>
    </row>
    <row r="190" ht="12.75" customHeight="1">
      <c r="F190" s="575"/>
    </row>
    <row r="191" ht="12.75" customHeight="1">
      <c r="F191" s="575"/>
    </row>
    <row r="192" ht="12.75" customHeight="1">
      <c r="F192" s="575"/>
    </row>
    <row r="193" ht="12.75" customHeight="1">
      <c r="F193" s="575"/>
    </row>
    <row r="194" ht="12.75" customHeight="1">
      <c r="F194" s="575"/>
    </row>
    <row r="195" ht="12.75" customHeight="1">
      <c r="F195" s="575"/>
    </row>
    <row r="196" ht="12.75" customHeight="1">
      <c r="F196" s="575"/>
    </row>
    <row r="197" ht="12.75" customHeight="1">
      <c r="F197" s="575"/>
    </row>
    <row r="198" ht="12.75" customHeight="1">
      <c r="F198" s="575"/>
    </row>
    <row r="199" ht="12.75" customHeight="1">
      <c r="F199" s="575"/>
    </row>
    <row r="200" ht="12.75" customHeight="1">
      <c r="F200" s="575"/>
    </row>
    <row r="201" ht="12.75" customHeight="1">
      <c r="F201" s="575"/>
    </row>
    <row r="202" ht="12.75" customHeight="1">
      <c r="F202" s="575"/>
    </row>
    <row r="203" ht="12.75" customHeight="1">
      <c r="F203" s="575"/>
    </row>
    <row r="204" ht="12.75" customHeight="1">
      <c r="F204" s="575"/>
    </row>
    <row r="205" ht="12.75" customHeight="1">
      <c r="F205" s="575"/>
    </row>
    <row r="206" ht="12.75" customHeight="1">
      <c r="F206" s="575"/>
    </row>
    <row r="207" ht="12.75" customHeight="1">
      <c r="F207" s="575"/>
    </row>
    <row r="208" ht="12.75" customHeight="1">
      <c r="F208" s="575"/>
    </row>
    <row r="209" ht="12.75" customHeight="1">
      <c r="F209" s="575"/>
    </row>
    <row r="210" ht="12.75" customHeight="1">
      <c r="F210" s="575"/>
    </row>
    <row r="211" ht="12.75" customHeight="1">
      <c r="F211" s="575"/>
    </row>
    <row r="212" ht="12.75" customHeight="1">
      <c r="F212" s="575"/>
    </row>
    <row r="213" ht="12.75" customHeight="1">
      <c r="F213" s="575"/>
    </row>
    <row r="214" ht="12.75" customHeight="1">
      <c r="F214" s="575"/>
    </row>
    <row r="215" ht="12.75" customHeight="1">
      <c r="F215" s="575"/>
    </row>
    <row r="216" ht="12.75" customHeight="1">
      <c r="F216" s="575"/>
    </row>
    <row r="217" ht="12.75" customHeight="1">
      <c r="F217" s="575"/>
    </row>
    <row r="218" ht="12.75" customHeight="1">
      <c r="F218" s="575"/>
    </row>
    <row r="219" ht="12.75" customHeight="1">
      <c r="F219" s="575"/>
    </row>
    <row r="220" ht="12.75" customHeight="1">
      <c r="F220" s="575"/>
    </row>
    <row r="221" ht="12.75" customHeight="1">
      <c r="F221" s="575"/>
    </row>
    <row r="222" ht="12.75" customHeight="1">
      <c r="F222" s="575"/>
    </row>
    <row r="223" ht="12.75" customHeight="1">
      <c r="F223" s="575"/>
    </row>
    <row r="224" ht="12.75" customHeight="1">
      <c r="F224" s="575"/>
    </row>
    <row r="225" ht="12.75" customHeight="1">
      <c r="F225" s="575"/>
    </row>
    <row r="226" ht="12.75" customHeight="1">
      <c r="F226" s="575"/>
    </row>
    <row r="227" ht="12.75" customHeight="1">
      <c r="F227" s="575"/>
    </row>
    <row r="228" ht="12.75" customHeight="1">
      <c r="F228" s="575"/>
    </row>
    <row r="229" ht="12.75" customHeight="1">
      <c r="F229" s="575"/>
    </row>
    <row r="230" ht="12.75" customHeight="1">
      <c r="F230" s="575"/>
    </row>
    <row r="231" ht="12.75" customHeight="1">
      <c r="F231" s="575"/>
    </row>
    <row r="232" ht="12.75" customHeight="1">
      <c r="F232" s="575"/>
    </row>
    <row r="233" ht="12.75" customHeight="1">
      <c r="F233" s="575"/>
    </row>
    <row r="234" ht="12.75" customHeight="1">
      <c r="F234" s="575"/>
    </row>
    <row r="235" ht="12.75" customHeight="1">
      <c r="F235" s="575"/>
    </row>
    <row r="236" ht="12.75" customHeight="1">
      <c r="F236" s="575"/>
    </row>
    <row r="237" ht="12.75" customHeight="1">
      <c r="F237" s="575"/>
    </row>
    <row r="238" ht="12.75" customHeight="1">
      <c r="F238" s="575"/>
    </row>
    <row r="239" ht="12.75" customHeight="1">
      <c r="F239" s="575"/>
    </row>
    <row r="240" ht="12.75" customHeight="1">
      <c r="F240" s="575"/>
    </row>
    <row r="241" ht="12.75" customHeight="1">
      <c r="F241" s="575"/>
    </row>
    <row r="242" ht="12.75" customHeight="1">
      <c r="F242" s="575"/>
    </row>
    <row r="243" ht="12.75" customHeight="1">
      <c r="F243" s="575"/>
    </row>
    <row r="244" ht="12.75" customHeight="1">
      <c r="F244" s="575"/>
    </row>
    <row r="245" ht="12.75" customHeight="1">
      <c r="F245" s="575"/>
    </row>
    <row r="246" ht="12.75" customHeight="1">
      <c r="F246" s="575"/>
    </row>
    <row r="247" ht="12.75" customHeight="1">
      <c r="F247" s="575"/>
    </row>
    <row r="248" ht="12.75" customHeight="1">
      <c r="F248" s="575"/>
    </row>
    <row r="249" ht="12.75" customHeight="1">
      <c r="F249" s="575"/>
    </row>
    <row r="250" ht="12.75" customHeight="1">
      <c r="F250" s="575"/>
    </row>
    <row r="251" ht="12.75" customHeight="1">
      <c r="F251" s="575"/>
    </row>
    <row r="252" ht="12.75" customHeight="1">
      <c r="F252" s="575"/>
    </row>
    <row r="253" ht="12.75" customHeight="1">
      <c r="F253" s="575"/>
    </row>
    <row r="254" ht="12.75" customHeight="1">
      <c r="F254" s="575"/>
    </row>
    <row r="255" ht="12.75" customHeight="1">
      <c r="F255" s="575"/>
    </row>
    <row r="256" ht="12.75" customHeight="1">
      <c r="F256" s="575"/>
    </row>
    <row r="257" ht="12.75" customHeight="1">
      <c r="F257" s="575"/>
    </row>
    <row r="258" ht="12.75" customHeight="1">
      <c r="F258" s="575"/>
    </row>
    <row r="259" ht="12.75" customHeight="1">
      <c r="F259" s="575"/>
    </row>
    <row r="260" ht="12.75" customHeight="1">
      <c r="F260" s="575"/>
    </row>
    <row r="261" ht="12.75" customHeight="1">
      <c r="F261" s="575"/>
    </row>
    <row r="262" ht="12.75" customHeight="1">
      <c r="F262" s="575"/>
    </row>
    <row r="263" ht="12.75" customHeight="1">
      <c r="F263" s="575"/>
    </row>
    <row r="264" ht="12.75" customHeight="1">
      <c r="F264" s="575"/>
    </row>
    <row r="265" ht="12.75" customHeight="1">
      <c r="F265" s="575"/>
    </row>
    <row r="266" ht="12.75" customHeight="1">
      <c r="F266" s="575"/>
    </row>
    <row r="267" ht="12.75" customHeight="1">
      <c r="F267" s="575"/>
    </row>
    <row r="268" ht="12.75" customHeight="1">
      <c r="F268" s="575"/>
    </row>
    <row r="269" ht="12.75" customHeight="1">
      <c r="F269" s="575"/>
    </row>
    <row r="270" ht="12.75" customHeight="1">
      <c r="F270" s="575"/>
    </row>
    <row r="271" ht="12.75" customHeight="1">
      <c r="F271" s="575"/>
    </row>
    <row r="272" ht="12.75" customHeight="1">
      <c r="F272" s="575"/>
    </row>
    <row r="273" ht="12.75" customHeight="1">
      <c r="F273" s="575"/>
    </row>
    <row r="274" ht="12.75" customHeight="1">
      <c r="F274" s="575"/>
    </row>
    <row r="275" ht="12.75" customHeight="1">
      <c r="F275" s="575"/>
    </row>
    <row r="276" ht="12.75" customHeight="1">
      <c r="F276" s="575"/>
    </row>
    <row r="277" ht="12.75" customHeight="1">
      <c r="F277" s="575"/>
    </row>
    <row r="278" ht="12.75" customHeight="1">
      <c r="F278" s="575"/>
    </row>
    <row r="279" ht="12.75" customHeight="1">
      <c r="F279" s="575"/>
    </row>
    <row r="280" ht="12.75" customHeight="1">
      <c r="F280" s="575"/>
    </row>
    <row r="281" ht="12.75" customHeight="1">
      <c r="F281" s="575"/>
    </row>
    <row r="282" ht="12.75" customHeight="1">
      <c r="F282" s="575"/>
    </row>
    <row r="283" ht="12.75" customHeight="1">
      <c r="F283" s="575"/>
    </row>
    <row r="284" ht="12.75" customHeight="1">
      <c r="F284" s="575"/>
    </row>
    <row r="285" ht="12.75" customHeight="1">
      <c r="F285" s="575"/>
    </row>
    <row r="286" ht="12.75" customHeight="1">
      <c r="F286" s="575"/>
    </row>
    <row r="287" ht="12.75" customHeight="1">
      <c r="F287" s="575"/>
    </row>
    <row r="288" ht="12.75" customHeight="1">
      <c r="F288" s="575"/>
    </row>
    <row r="289" ht="12.75" customHeight="1">
      <c r="F289" s="575"/>
    </row>
    <row r="290" ht="12.75" customHeight="1">
      <c r="F290" s="575"/>
    </row>
    <row r="291" ht="12.75" customHeight="1">
      <c r="F291" s="575"/>
    </row>
    <row r="292" ht="12.75" customHeight="1">
      <c r="F292" s="575"/>
    </row>
    <row r="293" ht="12.75" customHeight="1">
      <c r="F293" s="575"/>
    </row>
    <row r="294" ht="12.75" customHeight="1">
      <c r="F294" s="575"/>
    </row>
    <row r="295" ht="12.75" customHeight="1">
      <c r="F295" s="575"/>
    </row>
    <row r="296" ht="12.75" customHeight="1">
      <c r="F296" s="575"/>
    </row>
    <row r="297" ht="12.75" customHeight="1">
      <c r="F297" s="575"/>
    </row>
    <row r="298" ht="12.75" customHeight="1">
      <c r="F298" s="575"/>
    </row>
    <row r="299" ht="12.75" customHeight="1">
      <c r="F299" s="575"/>
    </row>
    <row r="300" ht="12.75" customHeight="1">
      <c r="F300" s="575"/>
    </row>
    <row r="301" ht="12.75" customHeight="1">
      <c r="F301" s="575"/>
    </row>
    <row r="302" ht="12.75" customHeight="1">
      <c r="F302" s="575"/>
    </row>
    <row r="303" ht="12.75" customHeight="1">
      <c r="F303" s="575"/>
    </row>
    <row r="304" ht="12.75" customHeight="1">
      <c r="F304" s="575"/>
    </row>
    <row r="305" ht="12.75" customHeight="1">
      <c r="F305" s="575"/>
    </row>
    <row r="306" ht="12.75" customHeight="1">
      <c r="F306" s="575"/>
    </row>
    <row r="307" ht="12.75" customHeight="1">
      <c r="F307" s="575"/>
    </row>
    <row r="308" ht="12.75" customHeight="1">
      <c r="F308" s="575"/>
    </row>
    <row r="309" ht="12.75" customHeight="1">
      <c r="F309" s="575"/>
    </row>
    <row r="310" ht="12.75" customHeight="1">
      <c r="F310" s="575"/>
    </row>
    <row r="311" ht="12.75" customHeight="1">
      <c r="F311" s="575"/>
    </row>
    <row r="312" ht="12.75" customHeight="1">
      <c r="F312" s="575"/>
    </row>
    <row r="313" ht="12.75" customHeight="1">
      <c r="F313" s="575"/>
    </row>
    <row r="314" ht="12.75" customHeight="1">
      <c r="F314" s="575"/>
    </row>
    <row r="315" ht="12.75" customHeight="1">
      <c r="F315" s="575"/>
    </row>
    <row r="316" ht="12.75" customHeight="1">
      <c r="F316" s="575"/>
    </row>
    <row r="317" ht="12.75" customHeight="1">
      <c r="F317" s="575"/>
    </row>
    <row r="318" ht="12.75" customHeight="1">
      <c r="F318" s="575"/>
    </row>
    <row r="319" ht="12.75" customHeight="1">
      <c r="F319" s="575"/>
    </row>
    <row r="320" ht="12.75" customHeight="1">
      <c r="F320" s="575"/>
    </row>
    <row r="321" ht="12.75" customHeight="1">
      <c r="F321" s="575"/>
    </row>
    <row r="322" ht="12.75" customHeight="1">
      <c r="F322" s="575"/>
    </row>
    <row r="323" ht="12.75" customHeight="1">
      <c r="F323" s="575"/>
    </row>
    <row r="324" ht="12.75" customHeight="1">
      <c r="F324" s="575"/>
    </row>
    <row r="325" ht="12.75" customHeight="1">
      <c r="F325" s="575"/>
    </row>
    <row r="326" ht="12.75" customHeight="1">
      <c r="F326" s="575"/>
    </row>
    <row r="327" ht="12.75" customHeight="1">
      <c r="F327" s="575"/>
    </row>
    <row r="328" ht="12.75" customHeight="1">
      <c r="F328" s="575"/>
    </row>
    <row r="329" ht="12.75" customHeight="1">
      <c r="F329" s="575"/>
    </row>
    <row r="330" ht="12.75" customHeight="1">
      <c r="F330" s="575"/>
    </row>
    <row r="331" ht="12.75" customHeight="1">
      <c r="F331" s="575"/>
    </row>
    <row r="332" ht="12.75" customHeight="1">
      <c r="F332" s="575"/>
    </row>
    <row r="333" ht="12.75" customHeight="1">
      <c r="F333" s="575"/>
    </row>
    <row r="334" ht="12.75" customHeight="1">
      <c r="F334" s="575"/>
    </row>
    <row r="335" ht="12.75" customHeight="1">
      <c r="F335" s="575"/>
    </row>
    <row r="336" ht="12.75" customHeight="1">
      <c r="F336" s="575"/>
    </row>
    <row r="337" ht="12.75" customHeight="1">
      <c r="F337" s="575"/>
    </row>
    <row r="338" ht="12.75" customHeight="1">
      <c r="F338" s="575"/>
    </row>
    <row r="339" ht="12.75" customHeight="1">
      <c r="F339" s="575"/>
    </row>
    <row r="340" ht="12.75" customHeight="1">
      <c r="F340" s="575"/>
    </row>
    <row r="341" ht="12.75" customHeight="1">
      <c r="F341" s="575"/>
    </row>
    <row r="342" ht="12.75" customHeight="1">
      <c r="F342" s="575"/>
    </row>
    <row r="343" ht="12.75" customHeight="1">
      <c r="F343" s="575"/>
    </row>
    <row r="344" ht="12.75" customHeight="1">
      <c r="F344" s="575"/>
    </row>
    <row r="345" ht="12.75" customHeight="1">
      <c r="F345" s="575"/>
    </row>
    <row r="346" ht="12.75" customHeight="1">
      <c r="F346" s="575"/>
    </row>
    <row r="347" ht="12.75" customHeight="1">
      <c r="F347" s="575"/>
    </row>
    <row r="348" ht="12.75" customHeight="1">
      <c r="F348" s="575"/>
    </row>
    <row r="349" ht="12.75" customHeight="1">
      <c r="F349" s="575"/>
    </row>
    <row r="350" ht="12.75" customHeight="1">
      <c r="F350" s="575"/>
    </row>
    <row r="351" ht="12.75" customHeight="1">
      <c r="F351" s="575"/>
    </row>
    <row r="352" ht="12.75" customHeight="1">
      <c r="F352" s="575"/>
    </row>
    <row r="353" ht="12.75" customHeight="1">
      <c r="F353" s="575"/>
    </row>
    <row r="354" ht="12.75" customHeight="1">
      <c r="F354" s="575"/>
    </row>
    <row r="355" ht="12.75" customHeight="1">
      <c r="F355" s="575"/>
    </row>
    <row r="356" ht="12.75" customHeight="1">
      <c r="F356" s="575"/>
    </row>
    <row r="357" ht="12.75" customHeight="1">
      <c r="F357" s="575"/>
    </row>
    <row r="358" ht="12.75" customHeight="1">
      <c r="F358" s="575"/>
    </row>
    <row r="359" ht="12.75" customHeight="1">
      <c r="F359" s="575"/>
    </row>
    <row r="360" ht="12.75" customHeight="1">
      <c r="F360" s="575"/>
    </row>
    <row r="361" ht="12.75" customHeight="1">
      <c r="F361" s="575"/>
    </row>
    <row r="362" ht="12.75" customHeight="1">
      <c r="F362" s="575"/>
    </row>
    <row r="363" ht="12.75" customHeight="1">
      <c r="F363" s="575"/>
    </row>
    <row r="364" ht="12.75" customHeight="1">
      <c r="F364" s="575"/>
    </row>
    <row r="365" ht="12.75" customHeight="1">
      <c r="F365" s="575"/>
    </row>
    <row r="366" ht="12.75" customHeight="1">
      <c r="F366" s="575"/>
    </row>
    <row r="367" ht="12.75" customHeight="1">
      <c r="F367" s="575"/>
    </row>
    <row r="368" ht="12.75" customHeight="1">
      <c r="F368" s="575"/>
    </row>
    <row r="369" ht="12.75" customHeight="1">
      <c r="F369" s="575"/>
    </row>
    <row r="370" ht="12.75" customHeight="1">
      <c r="F370" s="575"/>
    </row>
    <row r="371" ht="12.75" customHeight="1">
      <c r="F371" s="575"/>
    </row>
    <row r="372" ht="12.75" customHeight="1">
      <c r="F372" s="575"/>
    </row>
    <row r="373" ht="12.75" customHeight="1">
      <c r="F373" s="575"/>
    </row>
    <row r="374" ht="12.75" customHeight="1">
      <c r="F374" s="575"/>
    </row>
    <row r="375" ht="12.75" customHeight="1">
      <c r="F375" s="575"/>
    </row>
    <row r="376" ht="12.75" customHeight="1">
      <c r="F376" s="575"/>
    </row>
    <row r="377" ht="12.75" customHeight="1">
      <c r="F377" s="575"/>
    </row>
    <row r="378" ht="12.75" customHeight="1">
      <c r="F378" s="575"/>
    </row>
    <row r="379" ht="12.75" customHeight="1">
      <c r="F379" s="575"/>
    </row>
    <row r="380" ht="12.75" customHeight="1">
      <c r="F380" s="575"/>
    </row>
    <row r="381" ht="12.75" customHeight="1">
      <c r="F381" s="575"/>
    </row>
    <row r="382" ht="12.75" customHeight="1">
      <c r="F382" s="575"/>
    </row>
    <row r="383" ht="12.75" customHeight="1">
      <c r="F383" s="575"/>
    </row>
    <row r="384" ht="12.75" customHeight="1">
      <c r="F384" s="575"/>
    </row>
    <row r="385" ht="12.75" customHeight="1">
      <c r="F385" s="575"/>
    </row>
    <row r="386" ht="12.75" customHeight="1">
      <c r="F386" s="575"/>
    </row>
    <row r="387" ht="12.75" customHeight="1">
      <c r="F387" s="575"/>
    </row>
    <row r="388" ht="12.75" customHeight="1">
      <c r="F388" s="575"/>
    </row>
    <row r="389" ht="12.75" customHeight="1">
      <c r="F389" s="575"/>
    </row>
    <row r="390" ht="12.75" customHeight="1">
      <c r="F390" s="575"/>
    </row>
    <row r="391" ht="12.75" customHeight="1">
      <c r="F391" s="575"/>
    </row>
    <row r="392" ht="12.75" customHeight="1">
      <c r="F392" s="575"/>
    </row>
    <row r="393" ht="12.75" customHeight="1">
      <c r="F393" s="575"/>
    </row>
    <row r="394" ht="12.75" customHeight="1">
      <c r="F394" s="575"/>
    </row>
    <row r="395" ht="12.75" customHeight="1">
      <c r="F395" s="575"/>
    </row>
    <row r="396" ht="12.75" customHeight="1">
      <c r="F396" s="575"/>
    </row>
    <row r="397" ht="12.75" customHeight="1">
      <c r="F397" s="575"/>
    </row>
    <row r="398" ht="12.75" customHeight="1">
      <c r="F398" s="575"/>
    </row>
    <row r="399" ht="12.75" customHeight="1">
      <c r="F399" s="575"/>
    </row>
    <row r="400" ht="12.75" customHeight="1">
      <c r="F400" s="575"/>
    </row>
    <row r="401" ht="12.75" customHeight="1">
      <c r="F401" s="575"/>
    </row>
    <row r="402" ht="12.75" customHeight="1">
      <c r="F402" s="575"/>
    </row>
    <row r="403" ht="12.75" customHeight="1">
      <c r="F403" s="575"/>
    </row>
    <row r="404" ht="12.75" customHeight="1">
      <c r="F404" s="575"/>
    </row>
    <row r="405" ht="12.75" customHeight="1">
      <c r="F405" s="575"/>
    </row>
    <row r="406" ht="12.75" customHeight="1">
      <c r="F406" s="575"/>
    </row>
    <row r="407" ht="12.75" customHeight="1">
      <c r="F407" s="575"/>
    </row>
    <row r="408" ht="12.75" customHeight="1">
      <c r="F408" s="575"/>
    </row>
    <row r="409" ht="12.75" customHeight="1">
      <c r="F409" s="575"/>
    </row>
    <row r="410" ht="12.75" customHeight="1">
      <c r="F410" s="575"/>
    </row>
    <row r="411" ht="12.75" customHeight="1">
      <c r="F411" s="575"/>
    </row>
    <row r="412" ht="12.75" customHeight="1">
      <c r="F412" s="575"/>
    </row>
    <row r="413" ht="12.75" customHeight="1">
      <c r="F413" s="575"/>
    </row>
    <row r="414" ht="12.75" customHeight="1">
      <c r="F414" s="575"/>
    </row>
    <row r="415" ht="12.75" customHeight="1">
      <c r="F415" s="575"/>
    </row>
    <row r="416" ht="12.75" customHeight="1">
      <c r="F416" s="575"/>
    </row>
    <row r="417" ht="12.75" customHeight="1">
      <c r="F417" s="575"/>
    </row>
    <row r="418" ht="12.75" customHeight="1">
      <c r="F418" s="575"/>
    </row>
    <row r="419" ht="12.75" customHeight="1">
      <c r="F419" s="575"/>
    </row>
    <row r="420" ht="12.75" customHeight="1">
      <c r="F420" s="575"/>
    </row>
    <row r="421" ht="12.75" customHeight="1">
      <c r="F421" s="575"/>
    </row>
    <row r="422" ht="12.75" customHeight="1">
      <c r="F422" s="575"/>
    </row>
    <row r="423" ht="12.75" customHeight="1">
      <c r="F423" s="575"/>
    </row>
    <row r="424" ht="12.75" customHeight="1">
      <c r="F424" s="575"/>
    </row>
    <row r="425" ht="12.75" customHeight="1">
      <c r="F425" s="575"/>
    </row>
    <row r="426" ht="12.75" customHeight="1">
      <c r="F426" s="575"/>
    </row>
    <row r="427" ht="12.75" customHeight="1">
      <c r="F427" s="575"/>
    </row>
    <row r="428" ht="12.75" customHeight="1">
      <c r="F428" s="575"/>
    </row>
    <row r="429" ht="12.75" customHeight="1">
      <c r="F429" s="575"/>
    </row>
    <row r="430" ht="12.75" customHeight="1">
      <c r="F430" s="575"/>
    </row>
    <row r="431" ht="12.75" customHeight="1">
      <c r="F431" s="575"/>
    </row>
    <row r="432" ht="12.75" customHeight="1">
      <c r="F432" s="575"/>
    </row>
    <row r="433" ht="12.75" customHeight="1">
      <c r="F433" s="575"/>
    </row>
    <row r="434" ht="12.75" customHeight="1">
      <c r="F434" s="575"/>
    </row>
    <row r="435" ht="12.75" customHeight="1">
      <c r="F435" s="575"/>
    </row>
    <row r="436" ht="12.75" customHeight="1">
      <c r="F436" s="575"/>
    </row>
    <row r="437" ht="12.75" customHeight="1">
      <c r="F437" s="575"/>
    </row>
    <row r="438" ht="12.75" customHeight="1">
      <c r="F438" s="575"/>
    </row>
    <row r="439" ht="12.75" customHeight="1">
      <c r="F439" s="575"/>
    </row>
    <row r="440" ht="12.75" customHeight="1">
      <c r="F440" s="575"/>
    </row>
    <row r="441" ht="12.75" customHeight="1">
      <c r="F441" s="575"/>
    </row>
    <row r="442" ht="12.75" customHeight="1">
      <c r="F442" s="575"/>
    </row>
    <row r="443" ht="12.75" customHeight="1">
      <c r="F443" s="575"/>
    </row>
    <row r="444" ht="12.75" customHeight="1">
      <c r="F444" s="575"/>
    </row>
    <row r="445" ht="12.75" customHeight="1">
      <c r="F445" s="575"/>
    </row>
    <row r="446" ht="12.75" customHeight="1">
      <c r="F446" s="575"/>
    </row>
    <row r="447" ht="12.75" customHeight="1">
      <c r="F447" s="575"/>
    </row>
    <row r="448" ht="12.75" customHeight="1">
      <c r="F448" s="575"/>
    </row>
    <row r="449" ht="12.75" customHeight="1">
      <c r="F449" s="575"/>
    </row>
    <row r="450" ht="12.75" customHeight="1">
      <c r="F450" s="575"/>
    </row>
    <row r="451" ht="12.75" customHeight="1">
      <c r="F451" s="575"/>
    </row>
    <row r="452" ht="12.75" customHeight="1">
      <c r="F452" s="575"/>
    </row>
    <row r="453" ht="12.75" customHeight="1">
      <c r="F453" s="575"/>
    </row>
    <row r="454" ht="12.75" customHeight="1">
      <c r="F454" s="575"/>
    </row>
    <row r="455" ht="12.75" customHeight="1">
      <c r="F455" s="575"/>
    </row>
    <row r="456" ht="12.75" customHeight="1">
      <c r="F456" s="575"/>
    </row>
    <row r="457" ht="12.75" customHeight="1">
      <c r="F457" s="575"/>
    </row>
    <row r="458" ht="12.75" customHeight="1">
      <c r="F458" s="575"/>
    </row>
    <row r="459" ht="12.75" customHeight="1">
      <c r="F459" s="575"/>
    </row>
    <row r="460" ht="12.75" customHeight="1">
      <c r="F460" s="575"/>
    </row>
    <row r="461" ht="12.75" customHeight="1">
      <c r="F461" s="575"/>
    </row>
    <row r="462" ht="12.75" customHeight="1">
      <c r="F462" s="575"/>
    </row>
    <row r="463" ht="12.75" customHeight="1">
      <c r="F463" s="575"/>
    </row>
    <row r="464" ht="12.75" customHeight="1">
      <c r="F464" s="575"/>
    </row>
    <row r="465" ht="12.75" customHeight="1">
      <c r="F465" s="575"/>
    </row>
    <row r="466" ht="12.75" customHeight="1">
      <c r="F466" s="575"/>
    </row>
    <row r="467" ht="12.75" customHeight="1">
      <c r="F467" s="575"/>
    </row>
    <row r="468" ht="12.75" customHeight="1">
      <c r="F468" s="575"/>
    </row>
    <row r="469" ht="12.75" customHeight="1">
      <c r="F469" s="575"/>
    </row>
    <row r="470" ht="12.75" customHeight="1">
      <c r="F470" s="575"/>
    </row>
    <row r="471" ht="12.75" customHeight="1">
      <c r="F471" s="575"/>
    </row>
    <row r="472" ht="12.75" customHeight="1">
      <c r="F472" s="575"/>
    </row>
    <row r="473" ht="12.75" customHeight="1">
      <c r="F473" s="575"/>
    </row>
    <row r="474" ht="12.75" customHeight="1">
      <c r="F474" s="575"/>
    </row>
    <row r="475" ht="12.75" customHeight="1">
      <c r="F475" s="575"/>
    </row>
    <row r="476" ht="12.75" customHeight="1">
      <c r="F476" s="575"/>
    </row>
    <row r="477" ht="12.75" customHeight="1">
      <c r="F477" s="575"/>
    </row>
    <row r="478" ht="12.75" customHeight="1">
      <c r="F478" s="575"/>
    </row>
    <row r="479" ht="12.75" customHeight="1">
      <c r="F479" s="575"/>
    </row>
    <row r="480" ht="12.75" customHeight="1">
      <c r="F480" s="575"/>
    </row>
    <row r="481" ht="12.75" customHeight="1">
      <c r="F481" s="575"/>
    </row>
    <row r="482" ht="12.75" customHeight="1">
      <c r="F482" s="575"/>
    </row>
    <row r="483" ht="12.75" customHeight="1">
      <c r="F483" s="575"/>
    </row>
    <row r="484" ht="12.75" customHeight="1">
      <c r="F484" s="575"/>
    </row>
    <row r="485" ht="12.75" customHeight="1">
      <c r="F485" s="575"/>
    </row>
    <row r="486" ht="12.75" customHeight="1">
      <c r="F486" s="575"/>
    </row>
    <row r="487" ht="12.75" customHeight="1">
      <c r="F487" s="575"/>
    </row>
    <row r="488" ht="12.75" customHeight="1">
      <c r="F488" s="575"/>
    </row>
    <row r="489" ht="12.75" customHeight="1">
      <c r="F489" s="575"/>
    </row>
    <row r="490" ht="12.75" customHeight="1">
      <c r="F490" s="575"/>
    </row>
    <row r="491" ht="12.75" customHeight="1">
      <c r="F491" s="575"/>
    </row>
    <row r="492" ht="12.75" customHeight="1">
      <c r="F492" s="575"/>
    </row>
    <row r="493" ht="12.75" customHeight="1">
      <c r="F493" s="575"/>
    </row>
    <row r="494" ht="12.75" customHeight="1">
      <c r="F494" s="575"/>
    </row>
    <row r="495" ht="12.75" customHeight="1">
      <c r="F495" s="575"/>
    </row>
    <row r="496" ht="12.75" customHeight="1">
      <c r="F496" s="575"/>
    </row>
    <row r="497" ht="12.75" customHeight="1">
      <c r="F497" s="575"/>
    </row>
    <row r="498" ht="12.75" customHeight="1">
      <c r="F498" s="575"/>
    </row>
    <row r="499" ht="12.75" customHeight="1">
      <c r="F499" s="575"/>
    </row>
    <row r="500" ht="12.75" customHeight="1">
      <c r="F500" s="575"/>
    </row>
    <row r="501" ht="12.75" customHeight="1">
      <c r="F501" s="575"/>
    </row>
    <row r="502" ht="12.75" customHeight="1">
      <c r="F502" s="575"/>
    </row>
    <row r="503" ht="12.75" customHeight="1">
      <c r="F503" s="575"/>
    </row>
    <row r="504" ht="12.75" customHeight="1">
      <c r="F504" s="575"/>
    </row>
    <row r="505" ht="12.75" customHeight="1">
      <c r="F505" s="575"/>
    </row>
    <row r="506" ht="12.75" customHeight="1">
      <c r="F506" s="575"/>
    </row>
    <row r="507" ht="12.75" customHeight="1">
      <c r="F507" s="575"/>
    </row>
    <row r="508" ht="12.75" customHeight="1">
      <c r="F508" s="575"/>
    </row>
    <row r="509" ht="12.75" customHeight="1">
      <c r="F509" s="575"/>
    </row>
    <row r="510" ht="12.75" customHeight="1">
      <c r="F510" s="575"/>
    </row>
    <row r="511" ht="12.75" customHeight="1">
      <c r="F511" s="575"/>
    </row>
    <row r="512" ht="12.75" customHeight="1">
      <c r="F512" s="575"/>
    </row>
    <row r="513" ht="12.75" customHeight="1">
      <c r="F513" s="575"/>
    </row>
    <row r="514" ht="12.75" customHeight="1">
      <c r="F514" s="575"/>
    </row>
    <row r="515" ht="12.75" customHeight="1">
      <c r="F515" s="575"/>
    </row>
    <row r="516" ht="12.75" customHeight="1">
      <c r="F516" s="575"/>
    </row>
    <row r="517" ht="12.75" customHeight="1">
      <c r="F517" s="575"/>
    </row>
    <row r="518" ht="12.75" customHeight="1">
      <c r="F518" s="575"/>
    </row>
    <row r="519" ht="12.75" customHeight="1">
      <c r="F519" s="575"/>
    </row>
    <row r="520" ht="12.75" customHeight="1">
      <c r="F520" s="575"/>
    </row>
    <row r="521" ht="12.75" customHeight="1">
      <c r="F521" s="575"/>
    </row>
    <row r="522" ht="12.75" customHeight="1">
      <c r="F522" s="575"/>
    </row>
    <row r="523" ht="12.75" customHeight="1">
      <c r="F523" s="575"/>
    </row>
    <row r="524" ht="12.75" customHeight="1">
      <c r="F524" s="575"/>
    </row>
    <row r="525" ht="12.75" customHeight="1">
      <c r="F525" s="575"/>
    </row>
    <row r="526" ht="12.75" customHeight="1">
      <c r="F526" s="575"/>
    </row>
    <row r="527" ht="12.75" customHeight="1">
      <c r="F527" s="575"/>
    </row>
    <row r="528" ht="12.75" customHeight="1">
      <c r="F528" s="575"/>
    </row>
    <row r="529" ht="12.75" customHeight="1">
      <c r="F529" s="575"/>
    </row>
    <row r="530" ht="12.75" customHeight="1">
      <c r="F530" s="575"/>
    </row>
    <row r="531" ht="12.75" customHeight="1">
      <c r="F531" s="575"/>
    </row>
    <row r="532" ht="12.75" customHeight="1">
      <c r="F532" s="575"/>
    </row>
    <row r="533" ht="12.75" customHeight="1">
      <c r="F533" s="575"/>
    </row>
    <row r="534" ht="12.75" customHeight="1">
      <c r="F534" s="575"/>
    </row>
    <row r="535" ht="12.75" customHeight="1">
      <c r="F535" s="575"/>
    </row>
    <row r="536" ht="12.75" customHeight="1">
      <c r="F536" s="575"/>
    </row>
    <row r="537" ht="12.75" customHeight="1">
      <c r="F537" s="575"/>
    </row>
    <row r="538" ht="12.75" customHeight="1">
      <c r="F538" s="575"/>
    </row>
    <row r="539" ht="12.75" customHeight="1">
      <c r="F539" s="575"/>
    </row>
    <row r="540" ht="12.75" customHeight="1">
      <c r="F540" s="575"/>
    </row>
    <row r="541" ht="12.75" customHeight="1">
      <c r="F541" s="575"/>
    </row>
    <row r="542" ht="12.75" customHeight="1">
      <c r="F542" s="575"/>
    </row>
    <row r="543" ht="12.75" customHeight="1">
      <c r="F543" s="575"/>
    </row>
    <row r="544" ht="12.75" customHeight="1">
      <c r="F544" s="575"/>
    </row>
    <row r="545" ht="12.75" customHeight="1">
      <c r="F545" s="575"/>
    </row>
    <row r="546" ht="12.75" customHeight="1">
      <c r="F546" s="575"/>
    </row>
    <row r="547" ht="12.75" customHeight="1">
      <c r="F547" s="575"/>
    </row>
    <row r="548" ht="12.75" customHeight="1">
      <c r="F548" s="575"/>
    </row>
    <row r="549" ht="12.75" customHeight="1">
      <c r="F549" s="575"/>
    </row>
    <row r="550" ht="12.75" customHeight="1">
      <c r="F550" s="575"/>
    </row>
    <row r="551" ht="12.75" customHeight="1">
      <c r="F551" s="575"/>
    </row>
    <row r="552" ht="12.75" customHeight="1">
      <c r="F552" s="575"/>
    </row>
    <row r="553" ht="12.75" customHeight="1">
      <c r="F553" s="575"/>
    </row>
    <row r="554" ht="12.75" customHeight="1">
      <c r="F554" s="575"/>
    </row>
    <row r="555" ht="12.75" customHeight="1">
      <c r="F555" s="575"/>
    </row>
    <row r="556" ht="12.75" customHeight="1">
      <c r="F556" s="575"/>
    </row>
    <row r="557" ht="12.75" customHeight="1">
      <c r="F557" s="575"/>
    </row>
    <row r="558" ht="12.75" customHeight="1">
      <c r="F558" s="575"/>
    </row>
    <row r="559" ht="12.75" customHeight="1">
      <c r="F559" s="575"/>
    </row>
    <row r="560" ht="12.75" customHeight="1">
      <c r="F560" s="575"/>
    </row>
    <row r="561" ht="12.75" customHeight="1">
      <c r="F561" s="575"/>
    </row>
    <row r="562" ht="12.75" customHeight="1">
      <c r="F562" s="575"/>
    </row>
    <row r="563" ht="12.75" customHeight="1">
      <c r="F563" s="575"/>
    </row>
    <row r="564" ht="12.75" customHeight="1">
      <c r="F564" s="575"/>
    </row>
    <row r="565" ht="12.75" customHeight="1">
      <c r="F565" s="575"/>
    </row>
    <row r="566" ht="12.75" customHeight="1">
      <c r="F566" s="575"/>
    </row>
    <row r="567" ht="12.75" customHeight="1">
      <c r="F567" s="575"/>
    </row>
    <row r="568" ht="12.75" customHeight="1">
      <c r="F568" s="575"/>
    </row>
    <row r="569" ht="12.75" customHeight="1">
      <c r="F569" s="575"/>
    </row>
    <row r="570" ht="12.75" customHeight="1">
      <c r="F570" s="575"/>
    </row>
    <row r="571" ht="12.75" customHeight="1">
      <c r="F571" s="575"/>
    </row>
    <row r="572" ht="12.75" customHeight="1">
      <c r="F572" s="575"/>
    </row>
    <row r="573" ht="12.75" customHeight="1">
      <c r="F573" s="575"/>
    </row>
    <row r="574" ht="12.75" customHeight="1">
      <c r="F574" s="575"/>
    </row>
    <row r="575" ht="12.75" customHeight="1">
      <c r="F575" s="575"/>
    </row>
    <row r="576" ht="12.75" customHeight="1">
      <c r="F576" s="575"/>
    </row>
    <row r="577" ht="12.75" customHeight="1">
      <c r="F577" s="575"/>
    </row>
    <row r="578" ht="12.75" customHeight="1">
      <c r="F578" s="575"/>
    </row>
    <row r="579" ht="12.75" customHeight="1">
      <c r="F579" s="575"/>
    </row>
    <row r="580" ht="12.75" customHeight="1">
      <c r="F580" s="575"/>
    </row>
    <row r="581" ht="12.75" customHeight="1">
      <c r="F581" s="575"/>
    </row>
    <row r="582" ht="12.75" customHeight="1">
      <c r="F582" s="575"/>
    </row>
    <row r="583" ht="12.75" customHeight="1">
      <c r="F583" s="575"/>
    </row>
    <row r="584" ht="12.75" customHeight="1">
      <c r="F584" s="575"/>
    </row>
    <row r="585" ht="12.75" customHeight="1">
      <c r="F585" s="575"/>
    </row>
    <row r="586" ht="12.75" customHeight="1">
      <c r="F586" s="575"/>
    </row>
    <row r="587" ht="12.75" customHeight="1">
      <c r="F587" s="575"/>
    </row>
    <row r="588" ht="12.75" customHeight="1">
      <c r="F588" s="575"/>
    </row>
    <row r="589" ht="12.75" customHeight="1">
      <c r="F589" s="575"/>
    </row>
    <row r="590" ht="12.75" customHeight="1">
      <c r="F590" s="575"/>
    </row>
    <row r="591" ht="12.75" customHeight="1">
      <c r="F591" s="575"/>
    </row>
    <row r="592" ht="12.75" customHeight="1">
      <c r="F592" s="575"/>
    </row>
    <row r="593" ht="12.75" customHeight="1">
      <c r="F593" s="575"/>
    </row>
    <row r="594" ht="12.75" customHeight="1">
      <c r="F594" s="575"/>
    </row>
    <row r="595" ht="12.75" customHeight="1">
      <c r="F595" s="575"/>
    </row>
    <row r="596" ht="12.75" customHeight="1">
      <c r="F596" s="575"/>
    </row>
    <row r="597" ht="12.75" customHeight="1">
      <c r="F597" s="575"/>
    </row>
    <row r="598" ht="12.75" customHeight="1">
      <c r="F598" s="575"/>
    </row>
    <row r="599" ht="12.75" customHeight="1">
      <c r="F599" s="575"/>
    </row>
    <row r="600" ht="12.75" customHeight="1">
      <c r="F600" s="575"/>
    </row>
    <row r="601" ht="12.75" customHeight="1">
      <c r="F601" s="575"/>
    </row>
    <row r="602" ht="12.75" customHeight="1">
      <c r="F602" s="575"/>
    </row>
    <row r="603" ht="12.75" customHeight="1">
      <c r="F603" s="575"/>
    </row>
    <row r="604" ht="12.75" customHeight="1">
      <c r="F604" s="575"/>
    </row>
    <row r="605" ht="12.75" customHeight="1">
      <c r="F605" s="575"/>
    </row>
    <row r="606" ht="12.75" customHeight="1">
      <c r="F606" s="575"/>
    </row>
    <row r="607" ht="12.75" customHeight="1">
      <c r="F607" s="575"/>
    </row>
    <row r="608" ht="12.75" customHeight="1">
      <c r="F608" s="575"/>
    </row>
    <row r="609" ht="12.75" customHeight="1">
      <c r="F609" s="575"/>
    </row>
    <row r="610" ht="12.75" customHeight="1">
      <c r="F610" s="575"/>
    </row>
    <row r="611" ht="12.75" customHeight="1">
      <c r="F611" s="575"/>
    </row>
    <row r="612" ht="12.75" customHeight="1">
      <c r="F612" s="575"/>
    </row>
    <row r="613" ht="12.75" customHeight="1">
      <c r="F613" s="575"/>
    </row>
    <row r="614" ht="12.75" customHeight="1">
      <c r="F614" s="575"/>
    </row>
    <row r="615" ht="12.75" customHeight="1">
      <c r="F615" s="575"/>
    </row>
    <row r="616" ht="12.75" customHeight="1">
      <c r="F616" s="575"/>
    </row>
    <row r="617" ht="12.75" customHeight="1">
      <c r="F617" s="575"/>
    </row>
    <row r="618" ht="12.75" customHeight="1">
      <c r="F618" s="575"/>
    </row>
    <row r="619" ht="12.75" customHeight="1">
      <c r="F619" s="575"/>
    </row>
    <row r="620" ht="12.75" customHeight="1">
      <c r="F620" s="575"/>
    </row>
    <row r="621" ht="12.75" customHeight="1">
      <c r="F621" s="575"/>
    </row>
    <row r="622" ht="12.75" customHeight="1">
      <c r="F622" s="575"/>
    </row>
    <row r="623" ht="12.75" customHeight="1">
      <c r="F623" s="575"/>
    </row>
    <row r="624" ht="12.75" customHeight="1">
      <c r="F624" s="575"/>
    </row>
    <row r="625" ht="12.75" customHeight="1">
      <c r="F625" s="575"/>
    </row>
    <row r="626" ht="12.75" customHeight="1">
      <c r="F626" s="575"/>
    </row>
    <row r="627" ht="12.75" customHeight="1">
      <c r="F627" s="575"/>
    </row>
    <row r="628" ht="12.75" customHeight="1">
      <c r="F628" s="575"/>
    </row>
    <row r="629" ht="12.75" customHeight="1">
      <c r="F629" s="575"/>
    </row>
    <row r="630" ht="12.75" customHeight="1">
      <c r="F630" s="575"/>
    </row>
    <row r="631" ht="12.75" customHeight="1">
      <c r="F631" s="575"/>
    </row>
    <row r="632" ht="12.75" customHeight="1">
      <c r="F632" s="575"/>
    </row>
    <row r="633" ht="12.75" customHeight="1">
      <c r="F633" s="575"/>
    </row>
    <row r="634" ht="12.75" customHeight="1">
      <c r="F634" s="575"/>
    </row>
    <row r="635" ht="12.75" customHeight="1">
      <c r="F635" s="575"/>
    </row>
    <row r="636" ht="12.75" customHeight="1">
      <c r="F636" s="575"/>
    </row>
    <row r="637" ht="12.75" customHeight="1">
      <c r="F637" s="575"/>
    </row>
    <row r="638" ht="12.75" customHeight="1">
      <c r="F638" s="575"/>
    </row>
    <row r="639" ht="12.75" customHeight="1">
      <c r="F639" s="575"/>
    </row>
    <row r="640" ht="12.75" customHeight="1">
      <c r="F640" s="575"/>
    </row>
    <row r="641" ht="12.75" customHeight="1">
      <c r="F641" s="575"/>
    </row>
    <row r="642" ht="12.75" customHeight="1">
      <c r="F642" s="575"/>
    </row>
    <row r="643" ht="12.75" customHeight="1">
      <c r="F643" s="575"/>
    </row>
    <row r="644" ht="12.75" customHeight="1">
      <c r="F644" s="575"/>
    </row>
    <row r="645" ht="12.75" customHeight="1">
      <c r="F645" s="575"/>
    </row>
    <row r="646" ht="12.75" customHeight="1">
      <c r="F646" s="575"/>
    </row>
    <row r="647" ht="12.75" customHeight="1">
      <c r="F647" s="575"/>
    </row>
    <row r="648" ht="12.75" customHeight="1">
      <c r="F648" s="575"/>
    </row>
    <row r="649" ht="12.75" customHeight="1">
      <c r="F649" s="575"/>
    </row>
    <row r="650" ht="12.75" customHeight="1">
      <c r="F650" s="575"/>
    </row>
    <row r="651" ht="12.75" customHeight="1">
      <c r="F651" s="575"/>
    </row>
    <row r="652" ht="12.75" customHeight="1">
      <c r="F652" s="575"/>
    </row>
    <row r="653" ht="12.75" customHeight="1">
      <c r="F653" s="575"/>
    </row>
    <row r="654" ht="12.75" customHeight="1">
      <c r="F654" s="575"/>
    </row>
    <row r="655" ht="12.75" customHeight="1">
      <c r="F655" s="575"/>
    </row>
    <row r="656" ht="12.75" customHeight="1">
      <c r="F656" s="575"/>
    </row>
    <row r="657" ht="12.75" customHeight="1">
      <c r="F657" s="575"/>
    </row>
    <row r="658" ht="12.75" customHeight="1">
      <c r="F658" s="575"/>
    </row>
    <row r="659" ht="12.75" customHeight="1">
      <c r="F659" s="575"/>
    </row>
    <row r="660" ht="12.75" customHeight="1">
      <c r="F660" s="575"/>
    </row>
    <row r="661" ht="12.75" customHeight="1">
      <c r="F661" s="575"/>
    </row>
    <row r="662" ht="12.75" customHeight="1">
      <c r="F662" s="575"/>
    </row>
    <row r="663" ht="12.75" customHeight="1">
      <c r="F663" s="575"/>
    </row>
    <row r="664" ht="12.75" customHeight="1">
      <c r="F664" s="575"/>
    </row>
    <row r="665" ht="12.75" customHeight="1">
      <c r="F665" s="575"/>
    </row>
    <row r="666" ht="12.75" customHeight="1">
      <c r="F666" s="575"/>
    </row>
    <row r="667" ht="12.75" customHeight="1">
      <c r="F667" s="575"/>
    </row>
    <row r="668" ht="12.75" customHeight="1">
      <c r="F668" s="575"/>
    </row>
    <row r="669" ht="12.75" customHeight="1">
      <c r="F669" s="575"/>
    </row>
    <row r="670" ht="12.75" customHeight="1">
      <c r="F670" s="575"/>
    </row>
    <row r="671" ht="12.75" customHeight="1">
      <c r="F671" s="575"/>
    </row>
    <row r="672" ht="12.75" customHeight="1">
      <c r="F672" s="575"/>
    </row>
    <row r="673" ht="12.75" customHeight="1">
      <c r="F673" s="575"/>
    </row>
    <row r="674" ht="12.75" customHeight="1">
      <c r="F674" s="575"/>
    </row>
    <row r="675" ht="12.75" customHeight="1">
      <c r="F675" s="575"/>
    </row>
    <row r="676" ht="12.75" customHeight="1">
      <c r="F676" s="575"/>
    </row>
    <row r="677" ht="12.75" customHeight="1">
      <c r="F677" s="575"/>
    </row>
    <row r="678" ht="12.75" customHeight="1">
      <c r="F678" s="575"/>
    </row>
    <row r="679" ht="12.75" customHeight="1">
      <c r="F679" s="575"/>
    </row>
    <row r="680" ht="12.75" customHeight="1">
      <c r="F680" s="575"/>
    </row>
    <row r="681" ht="12.75" customHeight="1">
      <c r="F681" s="575"/>
    </row>
    <row r="682" ht="12.75" customHeight="1">
      <c r="F682" s="575"/>
    </row>
    <row r="683" ht="12.75" customHeight="1">
      <c r="F683" s="575"/>
    </row>
    <row r="684" ht="12.75" customHeight="1">
      <c r="F684" s="575"/>
    </row>
    <row r="685" ht="12.75" customHeight="1">
      <c r="F685" s="575"/>
    </row>
    <row r="686" ht="12.75" customHeight="1">
      <c r="F686" s="575"/>
    </row>
    <row r="687" ht="12.75" customHeight="1">
      <c r="F687" s="575"/>
    </row>
    <row r="688" ht="12.75" customHeight="1">
      <c r="F688" s="575"/>
    </row>
    <row r="689" ht="12.75" customHeight="1">
      <c r="F689" s="575"/>
    </row>
    <row r="690" ht="12.75" customHeight="1">
      <c r="F690" s="575"/>
    </row>
    <row r="691" ht="12.75" customHeight="1">
      <c r="F691" s="575"/>
    </row>
    <row r="692" ht="12.75" customHeight="1">
      <c r="F692" s="575"/>
    </row>
    <row r="693" ht="12.75" customHeight="1">
      <c r="F693" s="575"/>
    </row>
    <row r="694" ht="12.75" customHeight="1">
      <c r="F694" s="575"/>
    </row>
    <row r="695" ht="12.75" customHeight="1">
      <c r="F695" s="575"/>
    </row>
    <row r="696" ht="12.75" customHeight="1">
      <c r="F696" s="575"/>
    </row>
    <row r="697" ht="12.75" customHeight="1">
      <c r="F697" s="575"/>
    </row>
    <row r="698" ht="12.75" customHeight="1">
      <c r="F698" s="575"/>
    </row>
    <row r="699" ht="12.75" customHeight="1">
      <c r="F699" s="575"/>
    </row>
    <row r="700" ht="12.75" customHeight="1">
      <c r="F700" s="575"/>
    </row>
    <row r="701" ht="12.75" customHeight="1">
      <c r="F701" s="575"/>
    </row>
    <row r="702" ht="12.75" customHeight="1">
      <c r="F702" s="575"/>
    </row>
    <row r="703" ht="12.75" customHeight="1">
      <c r="F703" s="575"/>
    </row>
    <row r="704" ht="12.75" customHeight="1">
      <c r="F704" s="575"/>
    </row>
    <row r="705" ht="12.75" customHeight="1">
      <c r="F705" s="575"/>
    </row>
    <row r="706" ht="12.75" customHeight="1">
      <c r="F706" s="575"/>
    </row>
    <row r="707" ht="12.75" customHeight="1">
      <c r="F707" s="575"/>
    </row>
    <row r="708" ht="12.75" customHeight="1">
      <c r="F708" s="575"/>
    </row>
    <row r="709" ht="12.75" customHeight="1">
      <c r="F709" s="575"/>
    </row>
    <row r="710" ht="12.75" customHeight="1">
      <c r="F710" s="575"/>
    </row>
    <row r="711" ht="12.75" customHeight="1">
      <c r="F711" s="575"/>
    </row>
    <row r="712" ht="12.75" customHeight="1">
      <c r="F712" s="575"/>
    </row>
    <row r="713" ht="12.75" customHeight="1">
      <c r="F713" s="575"/>
    </row>
    <row r="714" ht="12.75" customHeight="1">
      <c r="F714" s="575"/>
    </row>
    <row r="715" ht="12.75" customHeight="1">
      <c r="F715" s="575"/>
    </row>
    <row r="716" ht="12.75" customHeight="1">
      <c r="F716" s="575"/>
    </row>
    <row r="717" ht="12.75" customHeight="1">
      <c r="F717" s="575"/>
    </row>
    <row r="718" ht="12.75" customHeight="1">
      <c r="F718" s="575"/>
    </row>
    <row r="719" ht="12.75" customHeight="1">
      <c r="F719" s="575"/>
    </row>
    <row r="720" ht="12.75" customHeight="1">
      <c r="F720" s="575"/>
    </row>
    <row r="721" ht="12.75" customHeight="1">
      <c r="F721" s="575"/>
    </row>
    <row r="722" ht="12.75" customHeight="1">
      <c r="F722" s="575"/>
    </row>
    <row r="723" ht="12.75" customHeight="1">
      <c r="F723" s="575"/>
    </row>
    <row r="724" ht="12.75" customHeight="1">
      <c r="F724" s="575"/>
    </row>
    <row r="725" ht="12.75" customHeight="1">
      <c r="F725" s="575"/>
    </row>
    <row r="726" ht="12.75" customHeight="1">
      <c r="F726" s="575"/>
    </row>
    <row r="727" ht="12.75" customHeight="1">
      <c r="F727" s="575"/>
    </row>
    <row r="728" ht="12.75" customHeight="1">
      <c r="F728" s="575"/>
    </row>
    <row r="729" ht="12.75" customHeight="1">
      <c r="F729" s="575"/>
    </row>
    <row r="730" ht="12.75" customHeight="1">
      <c r="F730" s="575"/>
    </row>
    <row r="731" ht="12.75" customHeight="1">
      <c r="F731" s="575"/>
    </row>
    <row r="732" ht="12.75" customHeight="1">
      <c r="F732" s="575"/>
    </row>
    <row r="733" ht="12.75" customHeight="1">
      <c r="F733" s="575"/>
    </row>
    <row r="734" ht="12.75" customHeight="1">
      <c r="F734" s="575"/>
    </row>
    <row r="735" ht="12.75" customHeight="1">
      <c r="F735" s="575"/>
    </row>
    <row r="736" ht="12.75" customHeight="1">
      <c r="F736" s="575"/>
    </row>
    <row r="737" ht="12.75" customHeight="1">
      <c r="F737" s="575"/>
    </row>
    <row r="738" ht="12.75" customHeight="1">
      <c r="F738" s="575"/>
    </row>
    <row r="739" ht="12.75" customHeight="1">
      <c r="F739" s="575"/>
    </row>
    <row r="740" ht="12.75" customHeight="1">
      <c r="F740" s="575"/>
    </row>
    <row r="741" ht="12.75" customHeight="1">
      <c r="F741" s="575"/>
    </row>
    <row r="742" ht="12.75" customHeight="1">
      <c r="F742" s="575"/>
    </row>
    <row r="743" ht="12.75" customHeight="1">
      <c r="F743" s="575"/>
    </row>
    <row r="744" ht="12.75" customHeight="1">
      <c r="F744" s="575"/>
    </row>
    <row r="745" ht="12.75" customHeight="1">
      <c r="F745" s="575"/>
    </row>
    <row r="746" ht="12.75" customHeight="1">
      <c r="F746" s="575"/>
    </row>
    <row r="747" ht="12.75" customHeight="1">
      <c r="F747" s="575"/>
    </row>
    <row r="748" ht="12.75" customHeight="1">
      <c r="F748" s="575"/>
    </row>
    <row r="749" ht="12.75" customHeight="1">
      <c r="F749" s="575"/>
    </row>
    <row r="750" ht="12.75" customHeight="1">
      <c r="F750" s="575"/>
    </row>
    <row r="751" ht="12.75" customHeight="1">
      <c r="F751" s="575"/>
    </row>
    <row r="752" ht="12.75" customHeight="1">
      <c r="F752" s="575"/>
    </row>
    <row r="753" ht="12.75" customHeight="1">
      <c r="F753" s="575"/>
    </row>
    <row r="754" ht="12.75" customHeight="1">
      <c r="F754" s="575"/>
    </row>
    <row r="755" ht="12.75" customHeight="1">
      <c r="F755" s="575"/>
    </row>
    <row r="756" ht="12.75" customHeight="1">
      <c r="F756" s="575"/>
    </row>
    <row r="757" ht="12.75" customHeight="1">
      <c r="F757" s="575"/>
    </row>
    <row r="758" ht="12.75" customHeight="1">
      <c r="F758" s="575"/>
    </row>
    <row r="759" ht="12.75" customHeight="1">
      <c r="F759" s="575"/>
    </row>
    <row r="760" ht="12.75" customHeight="1">
      <c r="F760" s="575"/>
    </row>
    <row r="761" ht="12.75" customHeight="1">
      <c r="F761" s="575"/>
    </row>
    <row r="762" ht="12.75" customHeight="1">
      <c r="F762" s="575"/>
    </row>
    <row r="763" ht="12.75" customHeight="1">
      <c r="F763" s="575"/>
    </row>
    <row r="764" ht="12.75" customHeight="1">
      <c r="F764" s="575"/>
    </row>
    <row r="765" ht="12.75" customHeight="1">
      <c r="F765" s="575"/>
    </row>
    <row r="766" ht="12.75" customHeight="1">
      <c r="F766" s="575"/>
    </row>
    <row r="767" ht="12.75" customHeight="1">
      <c r="F767" s="575"/>
    </row>
    <row r="768" ht="12.75" customHeight="1">
      <c r="F768" s="575"/>
    </row>
    <row r="769" ht="12.75" customHeight="1">
      <c r="F769" s="575"/>
    </row>
    <row r="770" ht="12.75" customHeight="1">
      <c r="F770" s="575"/>
    </row>
    <row r="771" ht="12.75" customHeight="1">
      <c r="F771" s="575"/>
    </row>
    <row r="772" ht="12.75" customHeight="1">
      <c r="F772" s="575"/>
    </row>
    <row r="773" ht="12.75" customHeight="1">
      <c r="F773" s="575"/>
    </row>
    <row r="774" ht="12.75" customHeight="1">
      <c r="F774" s="575"/>
    </row>
    <row r="775" ht="12.75" customHeight="1">
      <c r="F775" s="575"/>
    </row>
    <row r="776" ht="12.75" customHeight="1">
      <c r="F776" s="575"/>
    </row>
    <row r="777" ht="12.75" customHeight="1">
      <c r="F777" s="575"/>
    </row>
    <row r="778" ht="12.75" customHeight="1">
      <c r="F778" s="575"/>
    </row>
    <row r="779" ht="12.75" customHeight="1">
      <c r="F779" s="575"/>
    </row>
    <row r="780" ht="12.75" customHeight="1">
      <c r="F780" s="575"/>
    </row>
    <row r="781" ht="12.75" customHeight="1">
      <c r="F781" s="575"/>
    </row>
    <row r="782" ht="12.75" customHeight="1">
      <c r="F782" s="575"/>
    </row>
    <row r="783" ht="12.75" customHeight="1">
      <c r="F783" s="575"/>
    </row>
    <row r="784" ht="12.75" customHeight="1">
      <c r="F784" s="575"/>
    </row>
    <row r="785" ht="12.75" customHeight="1">
      <c r="F785" s="575"/>
    </row>
    <row r="786" ht="12.75" customHeight="1">
      <c r="F786" s="575"/>
    </row>
    <row r="787" ht="12.75" customHeight="1">
      <c r="F787" s="575"/>
    </row>
    <row r="788" ht="12.75" customHeight="1">
      <c r="F788" s="575"/>
    </row>
    <row r="789" ht="12.75" customHeight="1">
      <c r="F789" s="575"/>
    </row>
    <row r="790" ht="12.75" customHeight="1">
      <c r="F790" s="575"/>
    </row>
    <row r="791" ht="12.75" customHeight="1">
      <c r="F791" s="575"/>
    </row>
    <row r="792" ht="12.75" customHeight="1">
      <c r="F792" s="575"/>
    </row>
    <row r="793" ht="12.75" customHeight="1">
      <c r="F793" s="575"/>
    </row>
    <row r="794" ht="12.75" customHeight="1">
      <c r="F794" s="575"/>
    </row>
    <row r="795" ht="12.75" customHeight="1">
      <c r="F795" s="575"/>
    </row>
    <row r="796" ht="12.75" customHeight="1">
      <c r="F796" s="575"/>
    </row>
    <row r="797" ht="12.75" customHeight="1">
      <c r="F797" s="575"/>
    </row>
    <row r="798" ht="12.75" customHeight="1">
      <c r="F798" s="575"/>
    </row>
    <row r="799" ht="12.75" customHeight="1">
      <c r="F799" s="575"/>
    </row>
    <row r="800" ht="12.75" customHeight="1">
      <c r="F800" s="575"/>
    </row>
    <row r="801" ht="12.75" customHeight="1">
      <c r="F801" s="575"/>
    </row>
    <row r="802" ht="12.75" customHeight="1">
      <c r="F802" s="575"/>
    </row>
    <row r="803" ht="12.75" customHeight="1">
      <c r="F803" s="575"/>
    </row>
    <row r="804" ht="12.75" customHeight="1">
      <c r="F804" s="575"/>
    </row>
    <row r="805" ht="12.75" customHeight="1">
      <c r="F805" s="575"/>
    </row>
    <row r="806" ht="12.75" customHeight="1">
      <c r="F806" s="575"/>
    </row>
    <row r="807" ht="12.75" customHeight="1">
      <c r="F807" s="575"/>
    </row>
    <row r="808" ht="12.75" customHeight="1">
      <c r="F808" s="575"/>
    </row>
    <row r="809" ht="12.75" customHeight="1">
      <c r="F809" s="575"/>
    </row>
    <row r="810" ht="12.75" customHeight="1">
      <c r="F810" s="575"/>
    </row>
    <row r="811" ht="12.75" customHeight="1">
      <c r="F811" s="575"/>
    </row>
    <row r="812" ht="12.75" customHeight="1">
      <c r="F812" s="575"/>
    </row>
    <row r="813" ht="12.75" customHeight="1">
      <c r="F813" s="575"/>
    </row>
    <row r="814" ht="12.75" customHeight="1">
      <c r="F814" s="575"/>
    </row>
    <row r="815" ht="12.75" customHeight="1">
      <c r="F815" s="575"/>
    </row>
    <row r="816" ht="12.75" customHeight="1">
      <c r="F816" s="575"/>
    </row>
    <row r="817" ht="12.75" customHeight="1">
      <c r="F817" s="575"/>
    </row>
    <row r="818" ht="12.75" customHeight="1">
      <c r="F818" s="575"/>
    </row>
    <row r="819" ht="12.75" customHeight="1">
      <c r="F819" s="575"/>
    </row>
    <row r="820" ht="12.75" customHeight="1">
      <c r="F820" s="575"/>
    </row>
    <row r="821" ht="12.75" customHeight="1">
      <c r="F821" s="575"/>
    </row>
    <row r="822" ht="12.75" customHeight="1">
      <c r="F822" s="575"/>
    </row>
    <row r="823" ht="12.75" customHeight="1">
      <c r="F823" s="575"/>
    </row>
    <row r="824" ht="12.75" customHeight="1">
      <c r="F824" s="575"/>
    </row>
    <row r="825" ht="12.75" customHeight="1">
      <c r="F825" s="575"/>
    </row>
    <row r="826" ht="12.75" customHeight="1">
      <c r="F826" s="575"/>
    </row>
    <row r="827" ht="12.75" customHeight="1">
      <c r="F827" s="575"/>
    </row>
    <row r="828" ht="12.75" customHeight="1">
      <c r="F828" s="575"/>
    </row>
    <row r="829" ht="12.75" customHeight="1">
      <c r="F829" s="575"/>
    </row>
    <row r="830" ht="12.75" customHeight="1">
      <c r="F830" s="575"/>
    </row>
    <row r="831" ht="12.75" customHeight="1">
      <c r="F831" s="575"/>
    </row>
    <row r="832" ht="12.75" customHeight="1">
      <c r="F832" s="575"/>
    </row>
    <row r="833" ht="12.75" customHeight="1">
      <c r="F833" s="575"/>
    </row>
    <row r="834" ht="12.75" customHeight="1">
      <c r="F834" s="575"/>
    </row>
    <row r="835" ht="12.75" customHeight="1">
      <c r="F835" s="575"/>
    </row>
    <row r="836" ht="12.75" customHeight="1">
      <c r="F836" s="575"/>
    </row>
    <row r="837" ht="12.75" customHeight="1">
      <c r="F837" s="575"/>
    </row>
    <row r="838" ht="12.75" customHeight="1">
      <c r="F838" s="575"/>
    </row>
    <row r="839" ht="12.75" customHeight="1">
      <c r="F839" s="575"/>
    </row>
    <row r="840" ht="12.75" customHeight="1">
      <c r="F840" s="575"/>
    </row>
    <row r="841" ht="12.75" customHeight="1">
      <c r="F841" s="575"/>
    </row>
    <row r="842" ht="12.75" customHeight="1">
      <c r="F842" s="575"/>
    </row>
    <row r="843" ht="12.75" customHeight="1">
      <c r="F843" s="575"/>
    </row>
    <row r="844" ht="12.75" customHeight="1">
      <c r="F844" s="575"/>
    </row>
    <row r="845" ht="12.75" customHeight="1">
      <c r="F845" s="575"/>
    </row>
    <row r="846" ht="12.75" customHeight="1">
      <c r="F846" s="575"/>
    </row>
    <row r="847" ht="12.75" customHeight="1">
      <c r="F847" s="575"/>
    </row>
    <row r="848" ht="12.75" customHeight="1">
      <c r="F848" s="575"/>
    </row>
    <row r="849" ht="12.75" customHeight="1">
      <c r="F849" s="575"/>
    </row>
    <row r="850" ht="12.75" customHeight="1">
      <c r="F850" s="575"/>
    </row>
    <row r="851" ht="12.75" customHeight="1">
      <c r="F851" s="575"/>
    </row>
    <row r="852" ht="12.75" customHeight="1">
      <c r="F852" s="575"/>
    </row>
    <row r="853" ht="12.75" customHeight="1">
      <c r="F853" s="575"/>
    </row>
    <row r="854" ht="12.75" customHeight="1">
      <c r="F854" s="575"/>
    </row>
    <row r="855" ht="12.75" customHeight="1">
      <c r="F855" s="575"/>
    </row>
    <row r="856" ht="12.75" customHeight="1">
      <c r="F856" s="575"/>
    </row>
    <row r="857" ht="12.75" customHeight="1">
      <c r="F857" s="575"/>
    </row>
    <row r="858" ht="12.75" customHeight="1">
      <c r="F858" s="575"/>
    </row>
    <row r="859" ht="12.75" customHeight="1">
      <c r="F859" s="575"/>
    </row>
    <row r="860" ht="12.75" customHeight="1">
      <c r="F860" s="575"/>
    </row>
    <row r="861" ht="12.75" customHeight="1">
      <c r="F861" s="575"/>
    </row>
    <row r="862" ht="12.75" customHeight="1">
      <c r="F862" s="575"/>
    </row>
    <row r="863" ht="12.75" customHeight="1">
      <c r="F863" s="575"/>
    </row>
    <row r="864" ht="12.75" customHeight="1">
      <c r="F864" s="575"/>
    </row>
    <row r="865" ht="12.75" customHeight="1">
      <c r="F865" s="575"/>
    </row>
    <row r="866" ht="12.75" customHeight="1">
      <c r="F866" s="575"/>
    </row>
    <row r="867" ht="12.75" customHeight="1">
      <c r="F867" s="575"/>
    </row>
    <row r="868" ht="12.75" customHeight="1">
      <c r="F868" s="575"/>
    </row>
    <row r="869" ht="12.75" customHeight="1">
      <c r="F869" s="575"/>
    </row>
    <row r="870" ht="12.75" customHeight="1">
      <c r="F870" s="575"/>
    </row>
    <row r="871" ht="12.75" customHeight="1">
      <c r="F871" s="575"/>
    </row>
    <row r="872" ht="12.75" customHeight="1">
      <c r="F872" s="575"/>
    </row>
    <row r="873" ht="12.75" customHeight="1">
      <c r="F873" s="575"/>
    </row>
    <row r="874" ht="12.75" customHeight="1">
      <c r="F874" s="575"/>
    </row>
    <row r="875" ht="12.75" customHeight="1">
      <c r="F875" s="575"/>
    </row>
    <row r="876" ht="12.75" customHeight="1">
      <c r="F876" s="575"/>
    </row>
    <row r="877" ht="12.75" customHeight="1">
      <c r="F877" s="575"/>
    </row>
    <row r="878" ht="12.75" customHeight="1">
      <c r="F878" s="575"/>
    </row>
    <row r="879" ht="12.75" customHeight="1">
      <c r="F879" s="575"/>
    </row>
    <row r="880" ht="12.75" customHeight="1">
      <c r="F880" s="575"/>
    </row>
    <row r="881" ht="12.75" customHeight="1">
      <c r="F881" s="575"/>
    </row>
    <row r="882" ht="12.75" customHeight="1">
      <c r="F882" s="575"/>
    </row>
    <row r="883" ht="12.75" customHeight="1">
      <c r="F883" s="575"/>
    </row>
    <row r="884" ht="12.75" customHeight="1">
      <c r="F884" s="575"/>
    </row>
    <row r="885" ht="12.75" customHeight="1">
      <c r="F885" s="575"/>
    </row>
    <row r="886" ht="12.75" customHeight="1">
      <c r="F886" s="575"/>
    </row>
    <row r="887" ht="12.75" customHeight="1">
      <c r="F887" s="575"/>
    </row>
    <row r="888" ht="12.75" customHeight="1">
      <c r="F888" s="575"/>
    </row>
    <row r="889" ht="12.75" customHeight="1">
      <c r="F889" s="575"/>
    </row>
    <row r="890" ht="12.75" customHeight="1">
      <c r="F890" s="575"/>
    </row>
    <row r="891" ht="12.75" customHeight="1">
      <c r="F891" s="575"/>
    </row>
    <row r="892" ht="12.75" customHeight="1">
      <c r="F892" s="575"/>
    </row>
    <row r="893" ht="12.75" customHeight="1">
      <c r="F893" s="575"/>
    </row>
    <row r="894" ht="12.75" customHeight="1">
      <c r="F894" s="575"/>
    </row>
    <row r="895" ht="12.75" customHeight="1">
      <c r="F895" s="575"/>
    </row>
    <row r="896" ht="12.75" customHeight="1">
      <c r="F896" s="575"/>
    </row>
    <row r="897" ht="12.75" customHeight="1">
      <c r="F897" s="575"/>
    </row>
    <row r="898" ht="12.75" customHeight="1">
      <c r="F898" s="575"/>
    </row>
    <row r="899" ht="12.75" customHeight="1">
      <c r="F899" s="575"/>
    </row>
    <row r="900" ht="12.75" customHeight="1">
      <c r="F900" s="575"/>
    </row>
    <row r="901" ht="12.75" customHeight="1">
      <c r="F901" s="575"/>
    </row>
    <row r="902" ht="12.75" customHeight="1">
      <c r="F902" s="575"/>
    </row>
    <row r="903" ht="12.75" customHeight="1">
      <c r="F903" s="575"/>
    </row>
    <row r="904" ht="12.75" customHeight="1">
      <c r="F904" s="575"/>
    </row>
    <row r="905" ht="12.75" customHeight="1">
      <c r="F905" s="575"/>
    </row>
    <row r="906" ht="12.75" customHeight="1">
      <c r="F906" s="575"/>
    </row>
    <row r="907" ht="12.75" customHeight="1">
      <c r="F907" s="575"/>
    </row>
    <row r="908" ht="12.75" customHeight="1">
      <c r="F908" s="575"/>
    </row>
    <row r="909" ht="12.75" customHeight="1">
      <c r="F909" s="575"/>
    </row>
    <row r="910" ht="12.75" customHeight="1">
      <c r="F910" s="575"/>
    </row>
    <row r="911" ht="12.75" customHeight="1">
      <c r="F911" s="575"/>
    </row>
    <row r="912" ht="12.75" customHeight="1">
      <c r="F912" s="575"/>
    </row>
    <row r="913" ht="12.75" customHeight="1">
      <c r="F913" s="575"/>
    </row>
    <row r="914" ht="12.75" customHeight="1">
      <c r="F914" s="575"/>
    </row>
    <row r="915" ht="12.75" customHeight="1">
      <c r="F915" s="575"/>
    </row>
    <row r="916" ht="12.75" customHeight="1">
      <c r="F916" s="575"/>
    </row>
    <row r="917" ht="12.75" customHeight="1">
      <c r="F917" s="575"/>
    </row>
    <row r="918" ht="12.75" customHeight="1">
      <c r="F918" s="575"/>
    </row>
    <row r="919" ht="12.75" customHeight="1">
      <c r="F919" s="575"/>
    </row>
    <row r="920" ht="12.75" customHeight="1">
      <c r="F920" s="575"/>
    </row>
    <row r="921" ht="12.75" customHeight="1">
      <c r="F921" s="575"/>
    </row>
    <row r="922" ht="12.75" customHeight="1">
      <c r="F922" s="575"/>
    </row>
    <row r="923" ht="12.75" customHeight="1">
      <c r="F923" s="575"/>
    </row>
    <row r="924" ht="12.75" customHeight="1">
      <c r="F924" s="575"/>
    </row>
    <row r="925" ht="12.75" customHeight="1">
      <c r="F925" s="575"/>
    </row>
    <row r="926" ht="12.75" customHeight="1">
      <c r="F926" s="575"/>
    </row>
    <row r="927" ht="12.75" customHeight="1">
      <c r="F927" s="575"/>
    </row>
    <row r="928" ht="12.75" customHeight="1">
      <c r="F928" s="575"/>
    </row>
    <row r="929" ht="12.75" customHeight="1">
      <c r="F929" s="575"/>
    </row>
    <row r="930" ht="12.75" customHeight="1">
      <c r="F930" s="575"/>
    </row>
    <row r="931" ht="12.75" customHeight="1">
      <c r="F931" s="575"/>
    </row>
    <row r="932" ht="12.75" customHeight="1">
      <c r="F932" s="575"/>
    </row>
    <row r="933" ht="12.75" customHeight="1">
      <c r="F933" s="575"/>
    </row>
    <row r="934" ht="12.75" customHeight="1">
      <c r="F934" s="575"/>
    </row>
    <row r="935" ht="12.75" customHeight="1">
      <c r="F935" s="575"/>
    </row>
    <row r="936" ht="12.75" customHeight="1">
      <c r="F936" s="575"/>
    </row>
    <row r="937" ht="12.75" customHeight="1">
      <c r="F937" s="575"/>
    </row>
    <row r="938" ht="12.75" customHeight="1">
      <c r="F938" s="575"/>
    </row>
    <row r="939" ht="12.75" customHeight="1">
      <c r="F939" s="575"/>
    </row>
    <row r="940" ht="12.75" customHeight="1">
      <c r="F940" s="575"/>
    </row>
    <row r="941" ht="12.75" customHeight="1">
      <c r="F941" s="575"/>
    </row>
    <row r="942" ht="12.75" customHeight="1">
      <c r="F942" s="575"/>
    </row>
    <row r="943" ht="12.75" customHeight="1">
      <c r="F943" s="575"/>
    </row>
    <row r="944" ht="12.75" customHeight="1">
      <c r="F944" s="575"/>
    </row>
    <row r="945" ht="12.75" customHeight="1">
      <c r="F945" s="575"/>
    </row>
    <row r="946" ht="12.75" customHeight="1">
      <c r="F946" s="575"/>
    </row>
    <row r="947" ht="12.75" customHeight="1">
      <c r="F947" s="575"/>
    </row>
    <row r="948" ht="12.75" customHeight="1">
      <c r="F948" s="575"/>
    </row>
    <row r="949" ht="12.75" customHeight="1">
      <c r="F949" s="575"/>
    </row>
    <row r="950" ht="12.75" customHeight="1">
      <c r="F950" s="575"/>
    </row>
    <row r="951" ht="12.75" customHeight="1">
      <c r="F951" s="575"/>
    </row>
    <row r="952" ht="12.75" customHeight="1">
      <c r="F952" s="575"/>
    </row>
    <row r="953" ht="12.75" customHeight="1">
      <c r="F953" s="575"/>
    </row>
    <row r="954" ht="12.75" customHeight="1">
      <c r="F954" s="575"/>
    </row>
    <row r="955" ht="12.75" customHeight="1">
      <c r="F955" s="575"/>
    </row>
    <row r="956" ht="12.75" customHeight="1">
      <c r="F956" s="575"/>
    </row>
    <row r="957" ht="12.75" customHeight="1">
      <c r="F957" s="575"/>
    </row>
    <row r="958" ht="12.75" customHeight="1">
      <c r="F958" s="575"/>
    </row>
    <row r="959" ht="12.75" customHeight="1">
      <c r="F959" s="575"/>
    </row>
    <row r="960" ht="12.75" customHeight="1">
      <c r="F960" s="575"/>
    </row>
    <row r="961" ht="12.75" customHeight="1">
      <c r="F961" s="575"/>
    </row>
    <row r="962" ht="12.75" customHeight="1">
      <c r="F962" s="575"/>
    </row>
    <row r="963" ht="12.75" customHeight="1">
      <c r="F963" s="575"/>
    </row>
    <row r="964" ht="12.75" customHeight="1">
      <c r="F964" s="575"/>
    </row>
    <row r="965" ht="12.75" customHeight="1">
      <c r="F965" s="575"/>
    </row>
    <row r="966" ht="12.75" customHeight="1">
      <c r="F966" s="575"/>
    </row>
    <row r="967" ht="12.75" customHeight="1">
      <c r="F967" s="575"/>
    </row>
    <row r="968" ht="12.75" customHeight="1">
      <c r="F968" s="575"/>
    </row>
    <row r="969" ht="12.75" customHeight="1">
      <c r="F969" s="575"/>
    </row>
    <row r="970" ht="12.75" customHeight="1">
      <c r="F970" s="575"/>
    </row>
    <row r="971" ht="12.75" customHeight="1">
      <c r="F971" s="575"/>
    </row>
    <row r="972" ht="12.75" customHeight="1">
      <c r="F972" s="575"/>
    </row>
    <row r="973" ht="12.75" customHeight="1">
      <c r="F973" s="575"/>
    </row>
    <row r="974" ht="12.75" customHeight="1">
      <c r="F974" s="575"/>
    </row>
    <row r="975" ht="12.75" customHeight="1">
      <c r="F975" s="575"/>
    </row>
    <row r="976" ht="12.75" customHeight="1">
      <c r="F976" s="575"/>
    </row>
    <row r="977" ht="12.75" customHeight="1">
      <c r="F977" s="575"/>
    </row>
    <row r="978" ht="12.75" customHeight="1">
      <c r="F978" s="575"/>
    </row>
    <row r="979" ht="12.75" customHeight="1">
      <c r="F979" s="575"/>
    </row>
    <row r="980" ht="12.75" customHeight="1">
      <c r="F980" s="575"/>
    </row>
    <row r="981" ht="12.75" customHeight="1">
      <c r="F981" s="575"/>
    </row>
    <row r="982" ht="12.75" customHeight="1">
      <c r="F982" s="575"/>
    </row>
    <row r="983" ht="12.75" customHeight="1">
      <c r="F983" s="575"/>
    </row>
    <row r="984" ht="12.75" customHeight="1">
      <c r="F984" s="575"/>
    </row>
    <row r="985" ht="12.75" customHeight="1">
      <c r="F985" s="575"/>
    </row>
    <row r="986" ht="12.75" customHeight="1">
      <c r="F986" s="575"/>
    </row>
    <row r="987" ht="12.75" customHeight="1">
      <c r="F987" s="575"/>
    </row>
    <row r="988" ht="12.75" customHeight="1">
      <c r="F988" s="575"/>
    </row>
    <row r="989" ht="12.75" customHeight="1">
      <c r="F989" s="575"/>
    </row>
    <row r="990" ht="12.75" customHeight="1">
      <c r="F990" s="575"/>
    </row>
    <row r="991" ht="12.75" customHeight="1">
      <c r="F991" s="575"/>
    </row>
    <row r="992" ht="12.75" customHeight="1">
      <c r="F992" s="575"/>
    </row>
    <row r="993" ht="12.75" customHeight="1">
      <c r="F993" s="575"/>
    </row>
    <row r="994" ht="12.75" customHeight="1">
      <c r="F994" s="575"/>
    </row>
    <row r="995" ht="12.75" customHeight="1">
      <c r="F995" s="575"/>
    </row>
    <row r="996" ht="12.75" customHeight="1">
      <c r="F996" s="575"/>
    </row>
    <row r="997" ht="12.75" customHeight="1">
      <c r="F997" s="575"/>
    </row>
    <row r="998" ht="12.75" customHeight="1">
      <c r="F998" s="575"/>
    </row>
    <row r="999" ht="12.75" customHeight="1">
      <c r="F999" s="575"/>
    </row>
    <row r="1000" ht="12.75" customHeight="1">
      <c r="F1000" s="575"/>
    </row>
    <row r="1001" ht="12.75" customHeight="1">
      <c r="F1001" s="575"/>
    </row>
  </sheetData>
  <mergeCells count="21">
    <mergeCell ref="J2:L2"/>
    <mergeCell ref="M2:N2"/>
    <mergeCell ref="A1:O1"/>
    <mergeCell ref="A2:A3"/>
    <mergeCell ref="B2:B3"/>
    <mergeCell ref="C2:C3"/>
    <mergeCell ref="D2:D3"/>
    <mergeCell ref="E2:E3"/>
    <mergeCell ref="F2:F3"/>
    <mergeCell ref="O2:O3"/>
    <mergeCell ref="A16:O16"/>
    <mergeCell ref="A25:O25"/>
    <mergeCell ref="A31:O31"/>
    <mergeCell ref="A36:O36"/>
    <mergeCell ref="G2:G3"/>
    <mergeCell ref="H2:I2"/>
    <mergeCell ref="A7:A8"/>
    <mergeCell ref="B7:B8"/>
    <mergeCell ref="C7:C8"/>
    <mergeCell ref="D7:D8"/>
    <mergeCell ref="G7:G8"/>
  </mergeCells>
  <conditionalFormatting sqref="M1:N1001">
    <cfRule type="cellIs" dxfId="11" priority="1" operator="greaterThanOrEqual">
      <formula>"80%"</formula>
    </cfRule>
  </conditionalFormatting>
  <conditionalFormatting sqref="M1:N1001">
    <cfRule type="cellIs" dxfId="12" priority="2" operator="between">
      <formula>"20%"</formula>
      <formula>"80%"</formula>
    </cfRule>
  </conditionalFormatting>
  <conditionalFormatting sqref="M1:N1001">
    <cfRule type="cellIs" dxfId="9" priority="3" operator="greaterThan">
      <formula>"0%"</formula>
    </cfRule>
  </conditionalFormatting>
  <conditionalFormatting sqref="L21">
    <cfRule type="notContainsBlanks" dxfId="11" priority="4">
      <formula>LEN(TRIM(L21))&gt;0</formula>
    </cfRule>
  </conditionalFormatting>
  <conditionalFormatting sqref="L21">
    <cfRule type="notContainsBlanks" dxfId="11" priority="5">
      <formula>LEN(TRIM(L21))&gt;0</formula>
    </cfRule>
  </conditionalFormatting>
  <hyperlinks>
    <hyperlink r:id="rId1" ref="D5"/>
    <hyperlink r:id="rId2" ref="F5"/>
    <hyperlink r:id="rId3" ref="D6"/>
    <hyperlink r:id="rId4" ref="F6"/>
    <hyperlink r:id="rId5" ref="D7"/>
    <hyperlink r:id="rId6" ref="F7"/>
    <hyperlink r:id="rId7" ref="F8"/>
    <hyperlink r:id="rId8" ref="D9"/>
    <hyperlink r:id="rId9" ref="F9"/>
    <hyperlink r:id="rId10" ref="D10"/>
    <hyperlink r:id="rId11" ref="F10"/>
    <hyperlink r:id="rId12" ref="D11"/>
    <hyperlink r:id="rId13" ref="F11"/>
    <hyperlink r:id="rId14" ref="D12"/>
    <hyperlink r:id="rId15" ref="D13"/>
    <hyperlink r:id="rId16" ref="D14"/>
    <hyperlink r:id="rId17" ref="D17"/>
    <hyperlink r:id="rId18" ref="D18"/>
    <hyperlink r:id="rId19" ref="D19"/>
    <hyperlink r:id="rId20" ref="D20"/>
    <hyperlink r:id="rId21" ref="D21"/>
    <hyperlink r:id="rId22" ref="F21"/>
    <hyperlink r:id="rId23" ref="D22"/>
    <hyperlink r:id="rId24" ref="F22"/>
    <hyperlink r:id="rId25" ref="D23"/>
    <hyperlink r:id="rId26" ref="D24"/>
    <hyperlink r:id="rId27" ref="F24"/>
    <hyperlink r:id="rId28" ref="D26"/>
    <hyperlink r:id="rId29" ref="D27"/>
    <hyperlink r:id="rId30" ref="F27"/>
    <hyperlink r:id="rId31" ref="D28"/>
    <hyperlink r:id="rId32" ref="D29"/>
    <hyperlink r:id="rId33" ref="D30"/>
    <hyperlink r:id="rId34" ref="D32"/>
    <hyperlink r:id="rId35" ref="D33"/>
    <hyperlink r:id="rId36" ref="D34"/>
    <hyperlink r:id="rId37" ref="D35"/>
    <hyperlink r:id="rId38" ref="F35"/>
    <hyperlink r:id="rId39" ref="D37"/>
    <hyperlink r:id="rId40" ref="D39"/>
    <hyperlink r:id="rId41" ref="F39"/>
    <hyperlink r:id="rId42" ref="D40"/>
    <hyperlink r:id="rId43" ref="F40"/>
    <hyperlink r:id="rId44" ref="D41"/>
    <hyperlink r:id="rId45" ref="F41"/>
    <hyperlink r:id="rId46" ref="D42"/>
    <hyperlink r:id="rId47" ref="D43"/>
    <hyperlink r:id="rId48" ref="F43"/>
    <hyperlink r:id="rId49" ref="D44"/>
    <hyperlink r:id="rId50" ref="D45"/>
    <hyperlink r:id="rId51" ref="F45"/>
    <hyperlink r:id="rId52" ref="D46"/>
    <hyperlink r:id="rId53" ref="F46"/>
    <hyperlink r:id="rId54" ref="D47"/>
    <hyperlink r:id="rId55" ref="F47"/>
    <hyperlink r:id="rId56" ref="D48"/>
  </hyperlinks>
  <printOptions/>
  <pageMargins bottom="1.0" footer="0.0" header="0.0" left="0.75" right="0.75" top="1.0"/>
  <pageSetup orientation="landscape"/>
  <drawing r:id="rId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13"/>
  </cols>
  <sheetData>
    <row r="1" ht="29.25" customHeight="1">
      <c r="A1" s="576" t="s">
        <v>849</v>
      </c>
    </row>
    <row r="2" ht="193.5" customHeight="1">
      <c r="A2" s="577" t="s">
        <v>850</v>
      </c>
    </row>
    <row r="3" ht="35.25" customHeight="1">
      <c r="A3" s="578" t="s">
        <v>851</v>
      </c>
    </row>
    <row r="4" ht="262.5" customHeight="1">
      <c r="A4" s="579" t="s">
        <v>852</v>
      </c>
    </row>
  </sheetData>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39.5"/>
    <col customWidth="1" min="3" max="3" width="32.88"/>
    <col customWidth="1" min="4" max="4" width="17.0"/>
    <col customWidth="1" min="5" max="5" width="24.63"/>
  </cols>
  <sheetData>
    <row r="1" outlineLevel="1">
      <c r="A1" s="1" t="s">
        <v>853</v>
      </c>
      <c r="B1" s="2"/>
      <c r="C1" s="2"/>
      <c r="D1" s="3"/>
      <c r="E1" s="2"/>
      <c r="F1" s="4"/>
      <c r="G1" s="2"/>
      <c r="H1" s="2"/>
      <c r="I1" s="2"/>
      <c r="J1" s="2"/>
      <c r="K1" s="5"/>
      <c r="L1" s="6"/>
      <c r="M1" s="6"/>
      <c r="N1" s="6"/>
      <c r="O1" s="6"/>
      <c r="P1" s="6"/>
      <c r="Q1" s="6"/>
      <c r="R1" s="7"/>
      <c r="S1" s="8"/>
      <c r="T1" s="8"/>
      <c r="U1" s="8"/>
      <c r="V1" s="8"/>
      <c r="W1" s="8"/>
      <c r="X1" s="8"/>
      <c r="Y1" s="8"/>
      <c r="Z1" s="580"/>
      <c r="AA1" s="581"/>
      <c r="AB1" s="3"/>
      <c r="AC1" s="3"/>
      <c r="AD1" s="3"/>
      <c r="AE1" s="3"/>
      <c r="AF1" s="3"/>
      <c r="AG1" s="3"/>
      <c r="AH1" s="3"/>
      <c r="AI1" s="3"/>
      <c r="AJ1" s="3"/>
      <c r="AK1" s="3"/>
      <c r="AL1" s="3"/>
      <c r="AM1" s="3"/>
      <c r="AN1" s="3"/>
      <c r="AO1" s="9"/>
      <c r="AP1" s="9"/>
      <c r="AQ1" s="9"/>
      <c r="AR1" s="9"/>
    </row>
    <row r="2">
      <c r="A2" s="582" t="s">
        <v>854</v>
      </c>
      <c r="B2" s="583"/>
      <c r="C2" s="583"/>
      <c r="D2" s="583"/>
      <c r="E2" s="583"/>
      <c r="F2" s="583"/>
      <c r="G2" s="584"/>
      <c r="H2" s="585"/>
      <c r="I2" s="585"/>
      <c r="J2" s="586"/>
      <c r="K2" s="586"/>
      <c r="L2" s="586"/>
      <c r="M2" s="586"/>
      <c r="N2" s="586"/>
      <c r="O2" s="586"/>
      <c r="P2" s="586"/>
      <c r="Q2" s="586"/>
      <c r="R2" s="586"/>
      <c r="S2" s="586"/>
      <c r="T2" s="586"/>
      <c r="U2" s="586"/>
      <c r="V2" s="586"/>
      <c r="W2" s="586"/>
      <c r="X2" s="586"/>
      <c r="Y2" s="586"/>
      <c r="Z2" s="586"/>
      <c r="AA2" s="586"/>
      <c r="AB2" s="586"/>
      <c r="AC2" s="586"/>
      <c r="AD2" s="586"/>
      <c r="AE2" s="586"/>
      <c r="AF2" s="586"/>
      <c r="AG2" s="586"/>
      <c r="AH2" s="586"/>
      <c r="AI2" s="586"/>
      <c r="AJ2" s="586"/>
      <c r="AK2" s="586"/>
      <c r="AL2" s="586"/>
      <c r="AM2" s="586"/>
      <c r="AN2" s="586"/>
      <c r="AO2" s="586"/>
      <c r="AP2" s="586"/>
      <c r="AQ2" s="586"/>
      <c r="AR2" s="586"/>
    </row>
    <row r="3">
      <c r="A3" s="587" t="s">
        <v>826</v>
      </c>
      <c r="B3" s="588" t="s">
        <v>855</v>
      </c>
      <c r="C3" s="587" t="s">
        <v>856</v>
      </c>
      <c r="D3" s="587" t="s">
        <v>857</v>
      </c>
      <c r="E3" s="589" t="s">
        <v>858</v>
      </c>
      <c r="F3" s="589" t="s">
        <v>859</v>
      </c>
      <c r="G3" s="589" t="s">
        <v>860</v>
      </c>
      <c r="H3" s="585"/>
      <c r="I3" s="585"/>
      <c r="J3" s="590"/>
      <c r="K3" s="591"/>
      <c r="L3" s="591"/>
      <c r="M3" s="591"/>
      <c r="N3" s="591"/>
      <c r="O3" s="591"/>
      <c r="P3" s="591"/>
      <c r="Q3" s="591"/>
      <c r="R3" s="591"/>
      <c r="S3" s="591"/>
      <c r="T3" s="591"/>
      <c r="U3" s="591"/>
      <c r="V3" s="591"/>
      <c r="W3" s="591"/>
      <c r="X3" s="591"/>
      <c r="Y3" s="591"/>
      <c r="Z3" s="591"/>
      <c r="AA3" s="591"/>
      <c r="AB3" s="586"/>
      <c r="AC3" s="586"/>
      <c r="AD3" s="586"/>
      <c r="AE3" s="586"/>
      <c r="AF3" s="586"/>
      <c r="AG3" s="586"/>
      <c r="AH3" s="586"/>
      <c r="AI3" s="586"/>
      <c r="AJ3" s="586"/>
      <c r="AK3" s="586"/>
      <c r="AL3" s="586"/>
      <c r="AM3" s="586"/>
      <c r="AN3" s="586"/>
      <c r="AO3" s="586"/>
      <c r="AP3" s="586"/>
      <c r="AQ3" s="586"/>
      <c r="AR3" s="586"/>
    </row>
    <row r="4">
      <c r="A4" s="592"/>
      <c r="B4" s="593" t="s">
        <v>861</v>
      </c>
      <c r="C4" s="592"/>
      <c r="D4" s="592"/>
      <c r="E4" s="594"/>
      <c r="F4" s="595"/>
      <c r="G4" s="595"/>
      <c r="H4" s="585"/>
      <c r="I4" s="585"/>
      <c r="J4" s="590"/>
      <c r="K4" s="591"/>
      <c r="L4" s="591"/>
      <c r="M4" s="591"/>
      <c r="N4" s="591"/>
      <c r="O4" s="591"/>
      <c r="P4" s="591"/>
      <c r="Q4" s="591"/>
      <c r="R4" s="591"/>
      <c r="S4" s="591"/>
      <c r="T4" s="591"/>
      <c r="U4" s="591"/>
      <c r="V4" s="591"/>
      <c r="W4" s="591"/>
      <c r="X4" s="591"/>
      <c r="Y4" s="591"/>
      <c r="Z4" s="591"/>
      <c r="AA4" s="591"/>
      <c r="AB4" s="586"/>
      <c r="AC4" s="586"/>
      <c r="AD4" s="586"/>
      <c r="AE4" s="586"/>
      <c r="AF4" s="586"/>
      <c r="AG4" s="586"/>
      <c r="AH4" s="586"/>
      <c r="AI4" s="586"/>
      <c r="AJ4" s="586"/>
      <c r="AK4" s="586"/>
      <c r="AL4" s="586"/>
      <c r="AM4" s="586"/>
      <c r="AN4" s="586"/>
      <c r="AO4" s="586"/>
      <c r="AP4" s="586"/>
      <c r="AQ4" s="586"/>
      <c r="AR4" s="586"/>
    </row>
    <row r="5">
      <c r="A5" s="596"/>
      <c r="B5" s="597" t="s">
        <v>862</v>
      </c>
      <c r="C5" s="598"/>
      <c r="D5" s="596"/>
      <c r="E5" s="599"/>
      <c r="F5" s="600"/>
      <c r="G5" s="596"/>
      <c r="H5" s="585"/>
      <c r="I5" s="585"/>
      <c r="J5" s="590"/>
      <c r="K5" s="591"/>
      <c r="L5" s="591"/>
      <c r="M5" s="591"/>
      <c r="N5" s="591"/>
      <c r="O5" s="591"/>
      <c r="P5" s="591"/>
      <c r="Q5" s="591"/>
      <c r="R5" s="591"/>
      <c r="S5" s="591"/>
      <c r="T5" s="591"/>
      <c r="U5" s="591"/>
      <c r="V5" s="591"/>
      <c r="W5" s="591"/>
      <c r="X5" s="591"/>
      <c r="Y5" s="591"/>
      <c r="Z5" s="591"/>
      <c r="AA5" s="591"/>
      <c r="AB5" s="586"/>
      <c r="AC5" s="586"/>
      <c r="AD5" s="586"/>
      <c r="AE5" s="586"/>
      <c r="AF5" s="586"/>
      <c r="AG5" s="586"/>
      <c r="AH5" s="586"/>
      <c r="AI5" s="586"/>
      <c r="AJ5" s="586"/>
      <c r="AK5" s="586"/>
      <c r="AL5" s="586"/>
      <c r="AM5" s="586"/>
      <c r="AN5" s="586"/>
      <c r="AO5" s="586"/>
      <c r="AP5" s="586"/>
      <c r="AQ5" s="586"/>
      <c r="AR5" s="586"/>
    </row>
    <row r="6">
      <c r="A6" s="598"/>
      <c r="B6" s="601" t="s">
        <v>863</v>
      </c>
      <c r="C6" s="602" t="s">
        <v>864</v>
      </c>
      <c r="D6" s="603"/>
      <c r="E6" s="604"/>
      <c r="F6" s="604"/>
      <c r="G6" s="605" t="s">
        <v>865</v>
      </c>
      <c r="H6" s="585"/>
      <c r="I6" s="606"/>
      <c r="J6" s="590"/>
      <c r="K6" s="591"/>
      <c r="L6" s="591"/>
      <c r="M6" s="591"/>
      <c r="N6" s="591"/>
      <c r="O6" s="591"/>
      <c r="P6" s="591"/>
      <c r="Q6" s="591"/>
      <c r="R6" s="591"/>
      <c r="S6" s="591"/>
      <c r="T6" s="591"/>
      <c r="U6" s="591"/>
      <c r="V6" s="591"/>
      <c r="W6" s="591"/>
      <c r="X6" s="591"/>
      <c r="Y6" s="591"/>
      <c r="Z6" s="591"/>
      <c r="AA6" s="591"/>
      <c r="AB6" s="586"/>
      <c r="AC6" s="586"/>
      <c r="AD6" s="586"/>
      <c r="AE6" s="586"/>
      <c r="AF6" s="586"/>
      <c r="AG6" s="586"/>
      <c r="AH6" s="586"/>
      <c r="AI6" s="586"/>
      <c r="AJ6" s="586"/>
      <c r="AK6" s="586"/>
      <c r="AL6" s="586"/>
      <c r="AM6" s="586"/>
      <c r="AN6" s="586"/>
      <c r="AO6" s="586"/>
      <c r="AP6" s="586"/>
      <c r="AQ6" s="586"/>
      <c r="AR6" s="586"/>
    </row>
    <row r="7">
      <c r="A7" s="598"/>
      <c r="B7" s="601" t="s">
        <v>866</v>
      </c>
      <c r="C7" s="602" t="s">
        <v>867</v>
      </c>
      <c r="D7" s="603"/>
      <c r="E7" s="604"/>
      <c r="F7" s="604"/>
      <c r="G7" s="605" t="s">
        <v>865</v>
      </c>
      <c r="H7" s="585"/>
      <c r="I7" s="606"/>
      <c r="J7" s="590"/>
      <c r="K7" s="591"/>
      <c r="L7" s="591"/>
      <c r="M7" s="591"/>
      <c r="N7" s="591"/>
      <c r="O7" s="591"/>
      <c r="P7" s="591"/>
      <c r="Q7" s="591"/>
      <c r="R7" s="591"/>
      <c r="S7" s="591"/>
      <c r="T7" s="591"/>
      <c r="U7" s="591"/>
      <c r="V7" s="591"/>
      <c r="W7" s="591"/>
      <c r="X7" s="591"/>
      <c r="Y7" s="591"/>
      <c r="Z7" s="591"/>
      <c r="AA7" s="591"/>
      <c r="AB7" s="586"/>
      <c r="AC7" s="586"/>
      <c r="AD7" s="586"/>
      <c r="AE7" s="586"/>
      <c r="AF7" s="586"/>
      <c r="AG7" s="586"/>
      <c r="AH7" s="586"/>
      <c r="AI7" s="586"/>
      <c r="AJ7" s="586"/>
      <c r="AK7" s="586"/>
      <c r="AL7" s="586"/>
      <c r="AM7" s="586"/>
      <c r="AN7" s="586"/>
      <c r="AO7" s="586"/>
      <c r="AP7" s="586"/>
      <c r="AQ7" s="586"/>
      <c r="AR7" s="586"/>
    </row>
    <row r="8">
      <c r="A8" s="598"/>
      <c r="B8" s="607" t="s">
        <v>868</v>
      </c>
      <c r="C8" s="602" t="s">
        <v>867</v>
      </c>
      <c r="D8" s="603"/>
      <c r="E8" s="604"/>
      <c r="F8" s="604"/>
      <c r="G8" s="608" t="s">
        <v>865</v>
      </c>
      <c r="H8" s="585"/>
      <c r="I8" s="606"/>
      <c r="J8" s="590"/>
      <c r="K8" s="591"/>
      <c r="L8" s="591"/>
      <c r="M8" s="591"/>
      <c r="N8" s="591"/>
      <c r="O8" s="591"/>
      <c r="P8" s="591"/>
      <c r="Q8" s="591"/>
      <c r="R8" s="591"/>
      <c r="S8" s="591"/>
      <c r="T8" s="591"/>
      <c r="U8" s="591"/>
      <c r="V8" s="591"/>
      <c r="W8" s="591"/>
      <c r="X8" s="591"/>
      <c r="Y8" s="591"/>
      <c r="Z8" s="591"/>
      <c r="AA8" s="591"/>
      <c r="AB8" s="586"/>
      <c r="AC8" s="586"/>
      <c r="AD8" s="586"/>
      <c r="AE8" s="586"/>
      <c r="AF8" s="586"/>
      <c r="AG8" s="586"/>
      <c r="AH8" s="586"/>
      <c r="AI8" s="586"/>
      <c r="AJ8" s="586"/>
      <c r="AK8" s="586"/>
      <c r="AL8" s="586"/>
      <c r="AM8" s="586"/>
      <c r="AN8" s="586"/>
      <c r="AO8" s="586"/>
      <c r="AP8" s="586"/>
      <c r="AQ8" s="586"/>
      <c r="AR8" s="586"/>
    </row>
    <row r="9">
      <c r="A9" s="598"/>
      <c r="B9" s="601" t="s">
        <v>869</v>
      </c>
      <c r="C9" s="602" t="s">
        <v>864</v>
      </c>
      <c r="D9" s="603"/>
      <c r="E9" s="609">
        <v>46147.0</v>
      </c>
      <c r="F9" s="609">
        <v>46147.0</v>
      </c>
      <c r="G9" s="608" t="s">
        <v>865</v>
      </c>
      <c r="H9" s="585"/>
      <c r="I9" s="606"/>
      <c r="J9" s="590"/>
      <c r="K9" s="591"/>
      <c r="L9" s="591"/>
      <c r="M9" s="591"/>
      <c r="N9" s="591"/>
      <c r="O9" s="591"/>
      <c r="P9" s="591"/>
      <c r="Q9" s="591"/>
      <c r="R9" s="591"/>
      <c r="S9" s="591"/>
      <c r="T9" s="591"/>
      <c r="U9" s="591"/>
      <c r="V9" s="591"/>
      <c r="W9" s="591"/>
      <c r="X9" s="591"/>
      <c r="Y9" s="591"/>
      <c r="Z9" s="591"/>
      <c r="AA9" s="591"/>
      <c r="AB9" s="586"/>
      <c r="AC9" s="586"/>
      <c r="AD9" s="586"/>
      <c r="AE9" s="586"/>
      <c r="AF9" s="586"/>
      <c r="AG9" s="586"/>
      <c r="AH9" s="586"/>
      <c r="AI9" s="586"/>
      <c r="AJ9" s="586"/>
      <c r="AK9" s="586"/>
      <c r="AL9" s="586"/>
      <c r="AM9" s="586"/>
      <c r="AN9" s="586"/>
      <c r="AO9" s="586"/>
      <c r="AP9" s="586"/>
      <c r="AQ9" s="586"/>
      <c r="AR9" s="586"/>
    </row>
    <row r="10">
      <c r="A10" s="598"/>
      <c r="B10" s="601" t="s">
        <v>870</v>
      </c>
      <c r="C10" s="602" t="s">
        <v>867</v>
      </c>
      <c r="D10" s="603"/>
      <c r="E10" s="609">
        <v>46147.0</v>
      </c>
      <c r="F10" s="609">
        <v>46147.0</v>
      </c>
      <c r="G10" s="608" t="s">
        <v>865</v>
      </c>
      <c r="H10" s="585"/>
      <c r="I10" s="606"/>
      <c r="J10" s="590"/>
      <c r="K10" s="591"/>
      <c r="L10" s="591"/>
      <c r="M10" s="591"/>
      <c r="N10" s="591"/>
      <c r="O10" s="591"/>
      <c r="P10" s="591"/>
      <c r="Q10" s="591"/>
      <c r="R10" s="591"/>
      <c r="S10" s="591"/>
      <c r="T10" s="591"/>
      <c r="U10" s="591"/>
      <c r="V10" s="591"/>
      <c r="W10" s="591"/>
      <c r="X10" s="591"/>
      <c r="Y10" s="591"/>
      <c r="Z10" s="591"/>
      <c r="AA10" s="591"/>
      <c r="AB10" s="586"/>
      <c r="AC10" s="586"/>
      <c r="AD10" s="586"/>
      <c r="AE10" s="586"/>
      <c r="AF10" s="586"/>
      <c r="AG10" s="586"/>
      <c r="AH10" s="586"/>
      <c r="AI10" s="586"/>
      <c r="AJ10" s="586"/>
      <c r="AK10" s="586"/>
      <c r="AL10" s="586"/>
      <c r="AM10" s="586"/>
      <c r="AN10" s="586"/>
      <c r="AO10" s="586"/>
      <c r="AP10" s="586"/>
      <c r="AQ10" s="586"/>
      <c r="AR10" s="586"/>
    </row>
    <row r="11">
      <c r="A11" s="598"/>
      <c r="B11" s="601" t="s">
        <v>871</v>
      </c>
      <c r="C11" s="602" t="s">
        <v>864</v>
      </c>
      <c r="D11" s="603"/>
      <c r="E11" s="609">
        <v>46146.0</v>
      </c>
      <c r="F11" s="609">
        <v>46148.0</v>
      </c>
      <c r="G11" s="605" t="s">
        <v>872</v>
      </c>
      <c r="H11" s="585"/>
      <c r="I11" s="606"/>
      <c r="J11" s="590"/>
      <c r="K11" s="591"/>
      <c r="L11" s="591"/>
      <c r="M11" s="591"/>
      <c r="N11" s="591"/>
      <c r="O11" s="591"/>
      <c r="P11" s="591"/>
      <c r="Q11" s="591"/>
      <c r="R11" s="591"/>
      <c r="S11" s="591"/>
      <c r="T11" s="591"/>
      <c r="U11" s="591"/>
      <c r="V11" s="591"/>
      <c r="W11" s="591"/>
      <c r="X11" s="591"/>
      <c r="Y11" s="591"/>
      <c r="Z11" s="591"/>
      <c r="AA11" s="591"/>
      <c r="AB11" s="586"/>
      <c r="AC11" s="586"/>
      <c r="AD11" s="586"/>
      <c r="AE11" s="586"/>
      <c r="AF11" s="586"/>
      <c r="AG11" s="586"/>
      <c r="AH11" s="586"/>
      <c r="AI11" s="586"/>
      <c r="AJ11" s="586"/>
      <c r="AK11" s="586"/>
      <c r="AL11" s="586"/>
      <c r="AM11" s="586"/>
      <c r="AN11" s="586"/>
      <c r="AO11" s="586"/>
      <c r="AP11" s="586"/>
      <c r="AQ11" s="586"/>
      <c r="AR11" s="586"/>
    </row>
    <row r="12">
      <c r="A12" s="598"/>
      <c r="B12" s="601" t="s">
        <v>873</v>
      </c>
      <c r="C12" s="602" t="s">
        <v>864</v>
      </c>
      <c r="D12" s="603"/>
      <c r="E12" s="609">
        <v>46147.0</v>
      </c>
      <c r="F12" s="609">
        <v>46148.0</v>
      </c>
      <c r="G12" s="605" t="s">
        <v>872</v>
      </c>
      <c r="H12" s="585"/>
      <c r="I12" s="606"/>
      <c r="J12" s="590"/>
      <c r="K12" s="591"/>
      <c r="L12" s="591"/>
      <c r="M12" s="591"/>
      <c r="N12" s="591"/>
      <c r="O12" s="591"/>
      <c r="P12" s="591"/>
      <c r="Q12" s="591"/>
      <c r="R12" s="591"/>
      <c r="S12" s="591"/>
      <c r="T12" s="591"/>
      <c r="U12" s="591"/>
      <c r="V12" s="591"/>
      <c r="W12" s="591"/>
      <c r="X12" s="591"/>
      <c r="Y12" s="591"/>
      <c r="Z12" s="591"/>
      <c r="AA12" s="591"/>
      <c r="AB12" s="586"/>
      <c r="AC12" s="586"/>
      <c r="AD12" s="586"/>
      <c r="AE12" s="586"/>
      <c r="AF12" s="586"/>
      <c r="AG12" s="586"/>
      <c r="AH12" s="586"/>
      <c r="AI12" s="586"/>
      <c r="AJ12" s="586"/>
      <c r="AK12" s="586"/>
      <c r="AL12" s="586"/>
      <c r="AM12" s="586"/>
      <c r="AN12" s="586"/>
      <c r="AO12" s="586"/>
      <c r="AP12" s="586"/>
      <c r="AQ12" s="586"/>
      <c r="AR12" s="586"/>
    </row>
    <row r="13">
      <c r="A13" s="596"/>
      <c r="B13" s="597" t="s">
        <v>874</v>
      </c>
      <c r="C13" s="598"/>
      <c r="D13" s="596"/>
      <c r="E13" s="599"/>
      <c r="F13" s="599"/>
      <c r="G13" s="596"/>
      <c r="H13" s="585"/>
      <c r="I13" s="606"/>
      <c r="J13" s="590"/>
      <c r="K13" s="591"/>
      <c r="L13" s="591"/>
      <c r="M13" s="591"/>
      <c r="N13" s="591"/>
      <c r="O13" s="591"/>
      <c r="P13" s="591"/>
      <c r="Q13" s="591"/>
      <c r="R13" s="591"/>
      <c r="S13" s="591"/>
      <c r="T13" s="591"/>
      <c r="U13" s="591"/>
      <c r="V13" s="591"/>
      <c r="W13" s="591"/>
      <c r="X13" s="591"/>
      <c r="Y13" s="591"/>
      <c r="Z13" s="591"/>
      <c r="AA13" s="591"/>
      <c r="AB13" s="586"/>
      <c r="AC13" s="586"/>
      <c r="AD13" s="586"/>
      <c r="AE13" s="586"/>
      <c r="AF13" s="586"/>
      <c r="AG13" s="586"/>
      <c r="AH13" s="586"/>
      <c r="AI13" s="586"/>
      <c r="AJ13" s="586"/>
      <c r="AK13" s="586"/>
      <c r="AL13" s="586"/>
      <c r="AM13" s="586"/>
      <c r="AN13" s="586"/>
      <c r="AO13" s="586"/>
      <c r="AP13" s="586"/>
      <c r="AQ13" s="586"/>
      <c r="AR13" s="586"/>
    </row>
    <row r="14">
      <c r="A14" s="598"/>
      <c r="B14" s="601" t="s">
        <v>875</v>
      </c>
      <c r="C14" s="602" t="s">
        <v>864</v>
      </c>
      <c r="D14" s="603"/>
      <c r="E14" s="609">
        <v>46148.0</v>
      </c>
      <c r="F14" s="609">
        <v>46155.0</v>
      </c>
      <c r="G14" s="598"/>
      <c r="H14" s="585"/>
      <c r="I14" s="606"/>
      <c r="J14" s="590"/>
      <c r="K14" s="591"/>
      <c r="L14" s="591"/>
      <c r="M14" s="591"/>
      <c r="N14" s="591"/>
      <c r="O14" s="591"/>
      <c r="P14" s="591"/>
      <c r="Q14" s="591"/>
      <c r="R14" s="591"/>
      <c r="S14" s="591"/>
      <c r="T14" s="591"/>
      <c r="U14" s="591"/>
      <c r="V14" s="591"/>
      <c r="W14" s="591"/>
      <c r="X14" s="591"/>
      <c r="Y14" s="591"/>
      <c r="Z14" s="591"/>
      <c r="AA14" s="591"/>
      <c r="AB14" s="586"/>
      <c r="AC14" s="586"/>
      <c r="AD14" s="586"/>
      <c r="AE14" s="586"/>
      <c r="AF14" s="586"/>
      <c r="AG14" s="586"/>
      <c r="AH14" s="586"/>
      <c r="AI14" s="586"/>
      <c r="AJ14" s="586"/>
      <c r="AK14" s="586"/>
      <c r="AL14" s="586"/>
      <c r="AM14" s="586"/>
      <c r="AN14" s="586"/>
      <c r="AO14" s="586"/>
      <c r="AP14" s="586"/>
      <c r="AQ14" s="586"/>
      <c r="AR14" s="586"/>
    </row>
    <row r="15">
      <c r="A15" s="598"/>
      <c r="B15" s="601" t="s">
        <v>876</v>
      </c>
      <c r="C15" s="602" t="s">
        <v>867</v>
      </c>
      <c r="D15" s="603"/>
      <c r="E15" s="609">
        <v>46148.0</v>
      </c>
      <c r="F15" s="609">
        <v>46155.0</v>
      </c>
      <c r="G15" s="598"/>
      <c r="H15" s="585"/>
      <c r="I15" s="606"/>
      <c r="J15" s="590"/>
      <c r="K15" s="591"/>
      <c r="L15" s="591"/>
      <c r="M15" s="591"/>
      <c r="N15" s="591"/>
      <c r="O15" s="591"/>
      <c r="P15" s="591"/>
      <c r="Q15" s="591"/>
      <c r="R15" s="591"/>
      <c r="S15" s="591"/>
      <c r="T15" s="591"/>
      <c r="U15" s="591"/>
      <c r="V15" s="591"/>
      <c r="W15" s="591"/>
      <c r="X15" s="591"/>
      <c r="Y15" s="591"/>
      <c r="Z15" s="591"/>
      <c r="AA15" s="591"/>
      <c r="AB15" s="586"/>
      <c r="AC15" s="586"/>
      <c r="AD15" s="586"/>
      <c r="AE15" s="586"/>
      <c r="AF15" s="586"/>
      <c r="AG15" s="586"/>
      <c r="AH15" s="586"/>
      <c r="AI15" s="586"/>
      <c r="AJ15" s="586"/>
      <c r="AK15" s="586"/>
      <c r="AL15" s="586"/>
      <c r="AM15" s="586"/>
      <c r="AN15" s="586"/>
      <c r="AO15" s="586"/>
      <c r="AP15" s="586"/>
      <c r="AQ15" s="586"/>
      <c r="AR15" s="586"/>
    </row>
    <row r="16">
      <c r="A16" s="596"/>
      <c r="B16" s="597" t="s">
        <v>877</v>
      </c>
      <c r="C16" s="596"/>
      <c r="D16" s="596"/>
      <c r="E16" s="599"/>
      <c r="F16" s="599"/>
      <c r="G16" s="596"/>
      <c r="H16" s="585"/>
      <c r="I16" s="585"/>
      <c r="J16" s="590"/>
      <c r="K16" s="591"/>
      <c r="L16" s="591"/>
      <c r="M16" s="591"/>
      <c r="N16" s="591"/>
      <c r="O16" s="591"/>
      <c r="P16" s="591"/>
      <c r="Q16" s="591"/>
      <c r="R16" s="591"/>
      <c r="S16" s="591"/>
      <c r="T16" s="591"/>
      <c r="U16" s="591"/>
      <c r="V16" s="591"/>
      <c r="W16" s="591"/>
      <c r="X16" s="591"/>
      <c r="Y16" s="591"/>
      <c r="Z16" s="591"/>
      <c r="AA16" s="591"/>
      <c r="AB16" s="586"/>
      <c r="AC16" s="586"/>
      <c r="AD16" s="586"/>
      <c r="AE16" s="586"/>
      <c r="AF16" s="586"/>
      <c r="AG16" s="586"/>
      <c r="AH16" s="586"/>
      <c r="AI16" s="586"/>
      <c r="AJ16" s="586"/>
      <c r="AK16" s="586"/>
      <c r="AL16" s="586"/>
      <c r="AM16" s="586"/>
      <c r="AN16" s="586"/>
      <c r="AO16" s="586"/>
      <c r="AP16" s="586"/>
      <c r="AQ16" s="586"/>
      <c r="AR16" s="586"/>
    </row>
    <row r="17">
      <c r="A17" s="598"/>
      <c r="B17" s="610" t="s">
        <v>878</v>
      </c>
      <c r="C17" s="602" t="s">
        <v>867</v>
      </c>
      <c r="D17" s="603"/>
      <c r="E17" s="609">
        <v>46156.0</v>
      </c>
      <c r="F17" s="609">
        <v>46158.0</v>
      </c>
      <c r="G17" s="598"/>
      <c r="H17" s="585"/>
      <c r="I17" s="585"/>
      <c r="J17" s="590"/>
      <c r="K17" s="591"/>
      <c r="L17" s="591"/>
      <c r="M17" s="591"/>
      <c r="N17" s="591"/>
      <c r="O17" s="591"/>
      <c r="P17" s="591"/>
      <c r="Q17" s="591"/>
      <c r="R17" s="591"/>
      <c r="S17" s="591"/>
      <c r="T17" s="591"/>
      <c r="U17" s="591"/>
      <c r="V17" s="591"/>
      <c r="W17" s="591"/>
      <c r="X17" s="591"/>
      <c r="Y17" s="591"/>
      <c r="Z17" s="591"/>
      <c r="AA17" s="591"/>
      <c r="AB17" s="586"/>
      <c r="AC17" s="586"/>
      <c r="AD17" s="586"/>
      <c r="AE17" s="586"/>
      <c r="AF17" s="586"/>
      <c r="AG17" s="586"/>
      <c r="AH17" s="586"/>
      <c r="AI17" s="586"/>
      <c r="AJ17" s="586"/>
      <c r="AK17" s="586"/>
      <c r="AL17" s="586"/>
      <c r="AM17" s="586"/>
      <c r="AN17" s="586"/>
      <c r="AO17" s="586"/>
      <c r="AP17" s="586"/>
      <c r="AQ17" s="586"/>
      <c r="AR17" s="586"/>
    </row>
    <row r="18">
      <c r="A18" s="598"/>
      <c r="B18" s="601" t="s">
        <v>879</v>
      </c>
      <c r="C18" s="602" t="s">
        <v>864</v>
      </c>
      <c r="D18" s="603"/>
      <c r="E18" s="609">
        <v>46158.0</v>
      </c>
      <c r="F18" s="609">
        <v>46163.0</v>
      </c>
      <c r="G18" s="598"/>
      <c r="H18" s="585"/>
      <c r="I18" s="585"/>
      <c r="J18" s="590"/>
      <c r="K18" s="591"/>
      <c r="L18" s="591"/>
      <c r="M18" s="591"/>
      <c r="N18" s="591"/>
      <c r="O18" s="591"/>
      <c r="P18" s="591"/>
      <c r="Q18" s="591"/>
      <c r="R18" s="591"/>
      <c r="S18" s="591"/>
      <c r="T18" s="591"/>
      <c r="U18" s="591"/>
      <c r="V18" s="591"/>
      <c r="W18" s="591"/>
      <c r="X18" s="591"/>
      <c r="Y18" s="591"/>
      <c r="Z18" s="591"/>
      <c r="AA18" s="591"/>
      <c r="AB18" s="586"/>
      <c r="AC18" s="586"/>
      <c r="AD18" s="586"/>
      <c r="AE18" s="586"/>
      <c r="AF18" s="586"/>
      <c r="AG18" s="586"/>
      <c r="AH18" s="586"/>
      <c r="AI18" s="586"/>
      <c r="AJ18" s="586"/>
      <c r="AK18" s="586"/>
      <c r="AL18" s="586"/>
      <c r="AM18" s="586"/>
      <c r="AN18" s="586"/>
      <c r="AO18" s="586"/>
      <c r="AP18" s="586"/>
      <c r="AQ18" s="586"/>
      <c r="AR18" s="586"/>
    </row>
    <row r="19">
      <c r="A19" s="598"/>
      <c r="B19" s="601" t="s">
        <v>880</v>
      </c>
      <c r="C19" s="602" t="s">
        <v>867</v>
      </c>
      <c r="D19" s="603"/>
      <c r="E19" s="609">
        <v>46163.0</v>
      </c>
      <c r="F19" s="609">
        <v>46203.0</v>
      </c>
      <c r="G19" s="598"/>
      <c r="H19" s="585"/>
      <c r="I19" s="585"/>
      <c r="J19" s="590"/>
      <c r="K19" s="591"/>
      <c r="L19" s="591"/>
      <c r="M19" s="591"/>
      <c r="N19" s="591"/>
      <c r="O19" s="591"/>
      <c r="P19" s="591"/>
      <c r="Q19" s="591"/>
      <c r="R19" s="591"/>
      <c r="S19" s="591"/>
      <c r="T19" s="591"/>
      <c r="U19" s="591"/>
      <c r="V19" s="591"/>
      <c r="W19" s="591"/>
      <c r="X19" s="591"/>
      <c r="Y19" s="591"/>
      <c r="Z19" s="591"/>
      <c r="AA19" s="591"/>
      <c r="AB19" s="586"/>
      <c r="AC19" s="586"/>
      <c r="AD19" s="586"/>
      <c r="AE19" s="586"/>
      <c r="AF19" s="586"/>
      <c r="AG19" s="586"/>
      <c r="AH19" s="586"/>
      <c r="AI19" s="586"/>
      <c r="AJ19" s="586"/>
      <c r="AK19" s="586"/>
      <c r="AL19" s="586"/>
      <c r="AM19" s="586"/>
      <c r="AN19" s="586"/>
      <c r="AO19" s="586"/>
      <c r="AP19" s="586"/>
      <c r="AQ19" s="586"/>
      <c r="AR19" s="586"/>
    </row>
    <row r="20">
      <c r="A20" s="585"/>
      <c r="B20" s="585"/>
      <c r="C20" s="585"/>
      <c r="D20" s="585"/>
      <c r="E20" s="585"/>
      <c r="F20" s="585"/>
      <c r="G20" s="585"/>
      <c r="H20" s="585"/>
      <c r="I20" s="585"/>
      <c r="J20" s="585"/>
      <c r="K20" s="585"/>
      <c r="L20" s="585"/>
      <c r="M20" s="585"/>
      <c r="N20" s="585"/>
      <c r="O20" s="585"/>
      <c r="P20" s="585"/>
      <c r="Q20" s="585"/>
      <c r="R20" s="585"/>
      <c r="S20" s="585"/>
      <c r="T20" s="585"/>
      <c r="U20" s="585"/>
      <c r="V20" s="585"/>
      <c r="W20" s="585"/>
      <c r="X20" s="585"/>
      <c r="Y20" s="585"/>
      <c r="Z20" s="585"/>
      <c r="AA20" s="585"/>
      <c r="AB20" s="585"/>
      <c r="AC20" s="585"/>
      <c r="AD20" s="585"/>
      <c r="AE20" s="585"/>
      <c r="AF20" s="585"/>
      <c r="AG20" s="585"/>
      <c r="AH20" s="585"/>
      <c r="AI20" s="585"/>
      <c r="AJ20" s="585"/>
      <c r="AK20" s="585"/>
      <c r="AL20" s="585"/>
      <c r="AM20" s="585"/>
      <c r="AN20" s="585"/>
      <c r="AO20" s="585"/>
      <c r="AP20" s="585"/>
      <c r="AQ20" s="585"/>
      <c r="AR20" s="585"/>
    </row>
    <row r="21">
      <c r="A21" s="585"/>
      <c r="B21" s="585"/>
      <c r="C21" s="585"/>
      <c r="D21" s="585"/>
      <c r="E21" s="585"/>
      <c r="F21" s="585"/>
      <c r="G21" s="585"/>
      <c r="H21" s="585"/>
      <c r="I21" s="585"/>
      <c r="J21" s="585"/>
      <c r="K21" s="585"/>
      <c r="L21" s="585"/>
      <c r="M21" s="585"/>
      <c r="N21" s="585"/>
      <c r="O21" s="585"/>
      <c r="P21" s="585"/>
      <c r="Q21" s="585"/>
      <c r="R21" s="585"/>
      <c r="S21" s="585"/>
      <c r="T21" s="585"/>
      <c r="U21" s="585"/>
      <c r="V21" s="585"/>
      <c r="W21" s="585"/>
      <c r="X21" s="585"/>
      <c r="Y21" s="585"/>
      <c r="Z21" s="585"/>
      <c r="AA21" s="585"/>
      <c r="AB21" s="585"/>
      <c r="AC21" s="585"/>
      <c r="AD21" s="585"/>
      <c r="AE21" s="585"/>
      <c r="AF21" s="585"/>
      <c r="AG21" s="585"/>
      <c r="AH21" s="585"/>
      <c r="AI21" s="585"/>
      <c r="AJ21" s="585"/>
      <c r="AK21" s="585"/>
      <c r="AL21" s="585"/>
      <c r="AM21" s="585"/>
      <c r="AN21" s="585"/>
      <c r="AO21" s="585"/>
      <c r="AP21" s="585"/>
      <c r="AQ21" s="585"/>
      <c r="AR21" s="585"/>
    </row>
    <row r="22">
      <c r="A22" s="582" t="str">
        <f>IFERROR(__xludf.DUMMYFUNCTION("IMPORTRANGE(""https://docs.google.com/spreadsheets/d/1vaepmEWZwQPcFnJybT7zJVCFQxsVk_MSW_pJStnUg6U/edit?gid=401671460#gid=401671460"",""'Overall Workplan'!A1:G534"")"),"EXECUTION")</f>
        <v>EXECUTION</v>
      </c>
      <c r="B22" s="583"/>
      <c r="C22" s="583"/>
      <c r="D22" s="583"/>
      <c r="E22" s="583"/>
      <c r="F22" s="583"/>
      <c r="G22" s="584"/>
      <c r="H22" s="585"/>
      <c r="I22" s="585"/>
      <c r="J22" s="585"/>
      <c r="K22" s="585"/>
      <c r="L22" s="585"/>
      <c r="M22" s="585"/>
      <c r="N22" s="585"/>
      <c r="O22" s="585"/>
      <c r="P22" s="585"/>
      <c r="Q22" s="585"/>
      <c r="R22" s="585"/>
      <c r="S22" s="585"/>
      <c r="T22" s="585"/>
      <c r="U22" s="585"/>
      <c r="V22" s="585"/>
      <c r="W22" s="585"/>
      <c r="X22" s="585"/>
      <c r="Y22" s="585"/>
      <c r="Z22" s="585"/>
      <c r="AA22" s="585"/>
      <c r="AB22" s="585"/>
      <c r="AC22" s="585"/>
      <c r="AD22" s="585"/>
      <c r="AE22" s="585"/>
      <c r="AF22" s="585"/>
      <c r="AG22" s="585"/>
      <c r="AH22" s="585"/>
      <c r="AI22" s="585"/>
      <c r="AJ22" s="585"/>
      <c r="AK22" s="585"/>
      <c r="AL22" s="585"/>
      <c r="AM22" s="585"/>
      <c r="AN22" s="585"/>
      <c r="AO22" s="585"/>
      <c r="AP22" s="585"/>
      <c r="AQ22" s="585"/>
      <c r="AR22" s="585"/>
    </row>
    <row r="23">
      <c r="A23" s="587" t="str">
        <f>IFERROR(__xludf.DUMMYFUNCTION("""COMPUTED_VALUE"""),"STT")</f>
        <v>STT</v>
      </c>
      <c r="B23" s="588" t="str">
        <f>IFERROR(__xludf.DUMMYFUNCTION("""COMPUTED_VALUE"""),"ITEM")</f>
        <v>ITEM</v>
      </c>
      <c r="C23" s="611" t="str">
        <f>IFERROR(__xludf.DUMMYFUNCTION("""COMPUTED_VALUE"""),"NOTE")</f>
        <v>NOTE</v>
      </c>
      <c r="D23" s="587" t="str">
        <f>IFERROR(__xludf.DUMMYFUNCTION("""COMPUTED_VALUE"""),"PIC")</f>
        <v>PIC</v>
      </c>
      <c r="E23" s="589" t="str">
        <f>IFERROR(__xludf.DUMMYFUNCTION("""COMPUTED_VALUE"""),"STATUS")</f>
        <v>STATUS</v>
      </c>
      <c r="F23" s="589" t="str">
        <f>IFERROR(__xludf.DUMMYFUNCTION("""COMPUTED_VALUE"""),"START DATE")</f>
        <v>START DATE</v>
      </c>
      <c r="G23" s="589" t="str">
        <f>IFERROR(__xludf.DUMMYFUNCTION("""COMPUTED_VALUE"""),"END DATE")</f>
        <v>END DATE</v>
      </c>
      <c r="H23" s="585"/>
      <c r="I23" s="585"/>
      <c r="J23" s="585"/>
      <c r="K23" s="585"/>
      <c r="L23" s="585"/>
      <c r="M23" s="585"/>
      <c r="N23" s="585"/>
      <c r="O23" s="585"/>
      <c r="P23" s="585"/>
      <c r="Q23" s="585"/>
      <c r="R23" s="585"/>
      <c r="S23" s="585"/>
      <c r="T23" s="585"/>
      <c r="U23" s="585"/>
      <c r="V23" s="585"/>
      <c r="W23" s="585"/>
      <c r="X23" s="585"/>
      <c r="Y23" s="585"/>
      <c r="Z23" s="585"/>
      <c r="AA23" s="585"/>
      <c r="AB23" s="585"/>
      <c r="AC23" s="585"/>
      <c r="AD23" s="585"/>
      <c r="AE23" s="585"/>
      <c r="AF23" s="585"/>
      <c r="AG23" s="585"/>
      <c r="AH23" s="585"/>
      <c r="AI23" s="585"/>
      <c r="AJ23" s="585"/>
      <c r="AK23" s="585"/>
      <c r="AL23" s="585"/>
      <c r="AM23" s="585"/>
      <c r="AN23" s="585"/>
      <c r="AO23" s="585"/>
      <c r="AP23" s="585"/>
      <c r="AQ23" s="585"/>
      <c r="AR23" s="585"/>
    </row>
    <row r="24">
      <c r="A24" s="612" t="str">
        <f>IFERROR(__xludf.DUMMYFUNCTION("""COMPUTED_VALUE"""),"9")</f>
        <v>9</v>
      </c>
      <c r="B24" s="613" t="str">
        <f>IFERROR(__xludf.DUMMYFUNCTION("""COMPUTED_VALUE"""),"FOODY REVIEWER")</f>
        <v>FOODY REVIEWER</v>
      </c>
      <c r="C24" s="614"/>
      <c r="D24" s="614"/>
      <c r="E24" s="614"/>
      <c r="F24" s="614"/>
      <c r="G24" s="614"/>
      <c r="H24" s="585"/>
      <c r="I24" s="585"/>
      <c r="J24" s="585"/>
      <c r="K24" s="585"/>
      <c r="L24" s="585"/>
      <c r="M24" s="585"/>
      <c r="N24" s="585"/>
      <c r="O24" s="585"/>
      <c r="P24" s="585"/>
      <c r="Q24" s="585"/>
      <c r="R24" s="585"/>
      <c r="S24" s="585"/>
      <c r="T24" s="585"/>
      <c r="U24" s="585"/>
      <c r="V24" s="585"/>
      <c r="W24" s="585"/>
      <c r="X24" s="585"/>
      <c r="Y24" s="585"/>
      <c r="Z24" s="585"/>
      <c r="AA24" s="585"/>
      <c r="AB24" s="585"/>
      <c r="AC24" s="585"/>
      <c r="AD24" s="585"/>
      <c r="AE24" s="585"/>
      <c r="AF24" s="585"/>
      <c r="AG24" s="585"/>
      <c r="AH24" s="585"/>
      <c r="AI24" s="585"/>
      <c r="AJ24" s="585"/>
      <c r="AK24" s="585"/>
      <c r="AL24" s="585"/>
      <c r="AM24" s="585"/>
      <c r="AN24" s="585"/>
      <c r="AO24" s="585"/>
      <c r="AP24" s="585"/>
      <c r="AQ24" s="585"/>
      <c r="AR24" s="585"/>
    </row>
    <row r="25">
      <c r="A25" s="615">
        <f>IFERROR(__xludf.DUMMYFUNCTION("""COMPUTED_VALUE"""),1.0)</f>
        <v>1</v>
      </c>
      <c r="B25" s="616" t="str">
        <f>IFERROR(__xludf.DUMMYFUNCTION("""COMPUTED_VALUE"""),"Thắng Lợi")</f>
        <v>Thắng Lợi</v>
      </c>
      <c r="C25" s="617"/>
      <c r="D25" s="618"/>
      <c r="E25" s="619"/>
      <c r="F25" s="619"/>
      <c r="G25" s="619"/>
      <c r="H25" s="585"/>
      <c r="I25" s="585"/>
      <c r="J25" s="620" t="s">
        <v>881</v>
      </c>
      <c r="K25" s="585"/>
      <c r="L25" s="585"/>
      <c r="M25" s="585"/>
      <c r="N25" s="585"/>
      <c r="O25" s="585"/>
      <c r="P25" s="585"/>
      <c r="Q25" s="585"/>
      <c r="R25" s="585"/>
      <c r="S25" s="585"/>
      <c r="T25" s="585"/>
      <c r="U25" s="585"/>
      <c r="V25" s="585"/>
      <c r="W25" s="585"/>
      <c r="X25" s="585"/>
      <c r="Y25" s="585"/>
      <c r="Z25" s="585"/>
      <c r="AA25" s="585"/>
      <c r="AB25" s="585"/>
      <c r="AC25" s="585"/>
      <c r="AD25" s="585"/>
      <c r="AE25" s="585"/>
      <c r="AF25" s="585"/>
      <c r="AG25" s="585"/>
      <c r="AH25" s="585"/>
      <c r="AI25" s="585"/>
      <c r="AJ25" s="585"/>
      <c r="AK25" s="585"/>
      <c r="AL25" s="585"/>
      <c r="AM25" s="585"/>
      <c r="AN25" s="585"/>
      <c r="AO25" s="585"/>
      <c r="AP25" s="585"/>
      <c r="AQ25" s="585"/>
      <c r="AR25" s="585"/>
    </row>
    <row r="26">
      <c r="A26" s="621"/>
      <c r="B26" s="622" t="str">
        <f>IFERROR(__xludf.DUMMYFUNCTION("""COMPUTED_VALUE"""),"Briefing cho Influencer")</f>
        <v>Briefing cho Influencer</v>
      </c>
      <c r="C26" s="623"/>
      <c r="D26" s="602" t="str">
        <f>IFERROR(__xludf.DUMMYFUNCTION("""COMPUTED_VALUE"""),"PMAX")</f>
        <v>PMAX</v>
      </c>
      <c r="E26" s="624" t="str">
        <f>IFERROR(__xludf.DUMMYFUNCTION("""COMPUTED_VALUE"""),"Not start yet")</f>
        <v>Not start yet</v>
      </c>
      <c r="F26" s="609">
        <f>IFERROR(__xludf.DUMMYFUNCTION("""COMPUTED_VALUE"""),46147.0)</f>
        <v>46147</v>
      </c>
      <c r="G26" s="609">
        <f>IFERROR(__xludf.DUMMYFUNCTION("""COMPUTED_VALUE"""),46148.0)</f>
        <v>46148</v>
      </c>
      <c r="H26" s="585"/>
      <c r="I26" s="625"/>
      <c r="J26" s="626" t="s">
        <v>882</v>
      </c>
      <c r="K26" s="585"/>
      <c r="L26" s="585"/>
      <c r="M26" s="585"/>
      <c r="N26" s="585"/>
      <c r="O26" s="585"/>
      <c r="P26" s="585"/>
      <c r="Q26" s="585"/>
      <c r="R26" s="585"/>
      <c r="S26" s="585"/>
      <c r="T26" s="585"/>
      <c r="U26" s="585"/>
      <c r="V26" s="585"/>
      <c r="W26" s="585"/>
      <c r="X26" s="585"/>
      <c r="Y26" s="585"/>
      <c r="Z26" s="585"/>
      <c r="AA26" s="585"/>
      <c r="AB26" s="585"/>
      <c r="AC26" s="585"/>
      <c r="AD26" s="585"/>
      <c r="AE26" s="585"/>
      <c r="AF26" s="585"/>
      <c r="AG26" s="585"/>
      <c r="AH26" s="585"/>
      <c r="AI26" s="585"/>
      <c r="AJ26" s="585"/>
      <c r="AK26" s="585"/>
      <c r="AL26" s="585"/>
      <c r="AM26" s="585"/>
      <c r="AN26" s="585"/>
      <c r="AO26" s="585"/>
      <c r="AP26" s="585"/>
      <c r="AQ26" s="585"/>
      <c r="AR26" s="585"/>
    </row>
    <row r="27">
      <c r="A27" s="621"/>
      <c r="B27" s="627" t="str">
        <f>IFERROR(__xludf.DUMMYFUNCTION("""COMPUTED_VALUE"""),"Script R1 + Outfits")</f>
        <v>Script R1 + Outfits</v>
      </c>
      <c r="C27" s="628"/>
      <c r="D27" s="602" t="str">
        <f>IFERROR(__xludf.DUMMYFUNCTION("""COMPUTED_VALUE"""),"PMAX")</f>
        <v>PMAX</v>
      </c>
      <c r="E27" s="624" t="str">
        <f>IFERROR(__xludf.DUMMYFUNCTION("""COMPUTED_VALUE"""),"Not start yet")</f>
        <v>Not start yet</v>
      </c>
      <c r="F27" s="609">
        <f>IFERROR(__xludf.DUMMYFUNCTION("""COMPUTED_VALUE"""),46148.0)</f>
        <v>46148</v>
      </c>
      <c r="G27" s="609">
        <f>IFERROR(__xludf.DUMMYFUNCTION("""COMPUTED_VALUE"""),46150.0)</f>
        <v>46150</v>
      </c>
      <c r="H27" s="585"/>
      <c r="I27" s="629">
        <v>1.0</v>
      </c>
      <c r="J27" s="630" t="s">
        <v>883</v>
      </c>
      <c r="K27" s="585"/>
      <c r="L27" s="585"/>
      <c r="M27" s="585"/>
      <c r="N27" s="585"/>
      <c r="O27" s="585"/>
      <c r="P27" s="585"/>
      <c r="Q27" s="585"/>
      <c r="R27" s="585"/>
      <c r="S27" s="585"/>
      <c r="T27" s="585"/>
      <c r="U27" s="585"/>
      <c r="V27" s="585"/>
      <c r="W27" s="585"/>
      <c r="X27" s="585"/>
      <c r="Y27" s="585"/>
      <c r="Z27" s="585"/>
      <c r="AA27" s="585"/>
      <c r="AB27" s="585"/>
      <c r="AC27" s="585"/>
      <c r="AD27" s="585"/>
      <c r="AE27" s="585"/>
      <c r="AF27" s="585"/>
      <c r="AG27" s="585"/>
      <c r="AH27" s="585"/>
      <c r="AI27" s="585"/>
      <c r="AJ27" s="585"/>
      <c r="AK27" s="585"/>
      <c r="AL27" s="585"/>
      <c r="AM27" s="585"/>
      <c r="AN27" s="585"/>
      <c r="AO27" s="585"/>
      <c r="AP27" s="585"/>
      <c r="AQ27" s="585"/>
      <c r="AR27" s="585"/>
    </row>
    <row r="28">
      <c r="A28" s="621"/>
      <c r="B28" s="627" t="str">
        <f>IFERROR(__xludf.DUMMYFUNCTION("""COMPUTED_VALUE"""),"Feedback Script R1 + outfits")</f>
        <v>Feedback Script R1 + outfits</v>
      </c>
      <c r="C28" s="628"/>
      <c r="D28" s="602" t="str">
        <f>IFERROR(__xludf.DUMMYFUNCTION("""COMPUTED_VALUE"""),"BRAND")</f>
        <v>BRAND</v>
      </c>
      <c r="E28" s="624" t="str">
        <f>IFERROR(__xludf.DUMMYFUNCTION("""COMPUTED_VALUE"""),"Not start yet")</f>
        <v>Not start yet</v>
      </c>
      <c r="F28" s="609">
        <f>IFERROR(__xludf.DUMMYFUNCTION("""COMPUTED_VALUE"""),46150.0)</f>
        <v>46150</v>
      </c>
      <c r="G28" s="609">
        <f>IFERROR(__xludf.DUMMYFUNCTION("""COMPUTED_VALUE"""),46150.0)</f>
        <v>46150</v>
      </c>
      <c r="H28" s="585"/>
      <c r="I28" s="625"/>
      <c r="J28" s="630" t="s">
        <v>884</v>
      </c>
      <c r="K28" s="585"/>
      <c r="L28" s="585"/>
      <c r="M28" s="585"/>
      <c r="N28" s="585"/>
      <c r="O28" s="585"/>
      <c r="P28" s="585"/>
      <c r="Q28" s="585"/>
      <c r="R28" s="585"/>
      <c r="S28" s="585"/>
      <c r="T28" s="585"/>
      <c r="U28" s="585"/>
      <c r="V28" s="585"/>
      <c r="W28" s="585"/>
      <c r="X28" s="585"/>
      <c r="Y28" s="585"/>
      <c r="Z28" s="585"/>
      <c r="AA28" s="585"/>
      <c r="AB28" s="585"/>
      <c r="AC28" s="585"/>
      <c r="AD28" s="585"/>
      <c r="AE28" s="585"/>
      <c r="AF28" s="585"/>
      <c r="AG28" s="585"/>
      <c r="AH28" s="585"/>
      <c r="AI28" s="585"/>
      <c r="AJ28" s="585"/>
      <c r="AK28" s="585"/>
      <c r="AL28" s="585"/>
      <c r="AM28" s="585"/>
      <c r="AN28" s="585"/>
      <c r="AO28" s="585"/>
      <c r="AP28" s="585"/>
      <c r="AQ28" s="585"/>
      <c r="AR28" s="585"/>
    </row>
    <row r="29">
      <c r="A29" s="621"/>
      <c r="B29" s="631" t="str">
        <f>IFERROR(__xludf.DUMMYFUNCTION("""COMPUTED_VALUE"""),"Script R2")</f>
        <v>Script R2</v>
      </c>
      <c r="C29" s="628"/>
      <c r="D29" s="632" t="str">
        <f>IFERROR(__xludf.DUMMYFUNCTION("""COMPUTED_VALUE"""),"PMAX")</f>
        <v>PMAX</v>
      </c>
      <c r="E29" s="624" t="str">
        <f>IFERROR(__xludf.DUMMYFUNCTION("""COMPUTED_VALUE"""),"Not start yet")</f>
        <v>Not start yet</v>
      </c>
      <c r="F29" s="609">
        <f>IFERROR(__xludf.DUMMYFUNCTION("""COMPUTED_VALUE"""),46151.0)</f>
        <v>46151</v>
      </c>
      <c r="G29" s="609">
        <f>IFERROR(__xludf.DUMMYFUNCTION("""COMPUTED_VALUE"""),46152.0)</f>
        <v>46152</v>
      </c>
      <c r="H29" s="585"/>
      <c r="I29" s="625"/>
      <c r="J29" s="630"/>
      <c r="K29" s="585"/>
      <c r="L29" s="585"/>
      <c r="M29" s="585"/>
      <c r="N29" s="585"/>
      <c r="O29" s="585"/>
      <c r="P29" s="585"/>
      <c r="Q29" s="585"/>
      <c r="R29" s="585"/>
      <c r="S29" s="585"/>
      <c r="T29" s="585"/>
      <c r="U29" s="585"/>
      <c r="V29" s="585"/>
      <c r="W29" s="585"/>
      <c r="X29" s="585"/>
      <c r="Y29" s="585"/>
      <c r="Z29" s="585"/>
      <c r="AA29" s="585"/>
      <c r="AB29" s="585"/>
      <c r="AC29" s="585"/>
      <c r="AD29" s="585"/>
      <c r="AE29" s="585"/>
      <c r="AF29" s="585"/>
      <c r="AG29" s="585"/>
      <c r="AH29" s="585"/>
      <c r="AI29" s="585"/>
      <c r="AJ29" s="585"/>
      <c r="AK29" s="585"/>
      <c r="AL29" s="585"/>
      <c r="AM29" s="585"/>
      <c r="AN29" s="585"/>
      <c r="AO29" s="585"/>
      <c r="AP29" s="585"/>
      <c r="AQ29" s="585"/>
      <c r="AR29" s="585"/>
    </row>
    <row r="30">
      <c r="A30" s="621"/>
      <c r="B30" s="631" t="str">
        <f>IFERROR(__xludf.DUMMYFUNCTION("""COMPUTED_VALUE"""),"Feedback Script R2")</f>
        <v>Feedback Script R2</v>
      </c>
      <c r="C30" s="628"/>
      <c r="D30" s="632" t="str">
        <f>IFERROR(__xludf.DUMMYFUNCTION("""COMPUTED_VALUE"""),"BRAND")</f>
        <v>BRAND</v>
      </c>
      <c r="E30" s="624" t="str">
        <f>IFERROR(__xludf.DUMMYFUNCTION("""COMPUTED_VALUE"""),"Not start yet")</f>
        <v>Not start yet</v>
      </c>
      <c r="F30" s="609">
        <f>IFERROR(__xludf.DUMMYFUNCTION("""COMPUTED_VALUE"""),46153.0)</f>
        <v>46153</v>
      </c>
      <c r="G30" s="609">
        <f>IFERROR(__xludf.DUMMYFUNCTION("""COMPUTED_VALUE"""),46153.0)</f>
        <v>46153</v>
      </c>
      <c r="H30" s="585"/>
      <c r="I30" s="625"/>
      <c r="J30" s="630"/>
      <c r="K30" s="585"/>
      <c r="L30" s="585"/>
      <c r="M30" s="585"/>
      <c r="N30" s="585"/>
      <c r="O30" s="585"/>
      <c r="P30" s="585"/>
      <c r="Q30" s="585"/>
      <c r="R30" s="585"/>
      <c r="S30" s="585"/>
      <c r="T30" s="585"/>
      <c r="U30" s="585"/>
      <c r="V30" s="585"/>
      <c r="W30" s="585"/>
      <c r="X30" s="585"/>
      <c r="Y30" s="585"/>
      <c r="Z30" s="585"/>
      <c r="AA30" s="585"/>
      <c r="AB30" s="585"/>
      <c r="AC30" s="585"/>
      <c r="AD30" s="585"/>
      <c r="AE30" s="585"/>
      <c r="AF30" s="585"/>
      <c r="AG30" s="585"/>
      <c r="AH30" s="585"/>
      <c r="AI30" s="585"/>
      <c r="AJ30" s="585"/>
      <c r="AK30" s="585"/>
      <c r="AL30" s="585"/>
      <c r="AM30" s="585"/>
      <c r="AN30" s="585"/>
      <c r="AO30" s="585"/>
      <c r="AP30" s="585"/>
      <c r="AQ30" s="585"/>
      <c r="AR30" s="585"/>
    </row>
    <row r="31">
      <c r="A31" s="621"/>
      <c r="B31" s="627" t="str">
        <f>IFERROR(__xludf.DUMMYFUNCTION("""COMPUTED_VALUE"""),"Finalize scripts + outfits")</f>
        <v>Finalize scripts + outfits</v>
      </c>
      <c r="C31" s="628"/>
      <c r="D31" s="602" t="str">
        <f>IFERROR(__xludf.DUMMYFUNCTION("""COMPUTED_VALUE"""),"PMAX-BRAND")</f>
        <v>PMAX-BRAND</v>
      </c>
      <c r="E31" s="624" t="str">
        <f>IFERROR(__xludf.DUMMYFUNCTION("""COMPUTED_VALUE"""),"Not start yet")</f>
        <v>Not start yet</v>
      </c>
      <c r="F31" s="609">
        <f>IFERROR(__xludf.DUMMYFUNCTION("""COMPUTED_VALUE"""),46153.0)</f>
        <v>46153</v>
      </c>
      <c r="G31" s="609">
        <f>IFERROR(__xludf.DUMMYFUNCTION("""COMPUTED_VALUE"""),46153.0)</f>
        <v>46153</v>
      </c>
      <c r="H31" s="585"/>
      <c r="I31" s="629">
        <v>1.0</v>
      </c>
      <c r="J31" s="630" t="s">
        <v>885</v>
      </c>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row>
    <row r="32">
      <c r="A32" s="621"/>
      <c r="B32" s="627" t="str">
        <f>IFERROR(__xludf.DUMMYFUNCTION("""COMPUTED_VALUE"""),"Đi quay tại site")</f>
        <v>Đi quay tại site</v>
      </c>
      <c r="C32" s="628"/>
      <c r="D32" s="602" t="str">
        <f>IFERROR(__xludf.DUMMYFUNCTION("""COMPUTED_VALUE"""),"PMAX")</f>
        <v>PMAX</v>
      </c>
      <c r="E32" s="624" t="str">
        <f>IFERROR(__xludf.DUMMYFUNCTION("""COMPUTED_VALUE"""),"Not start yet")</f>
        <v>Not start yet</v>
      </c>
      <c r="F32" s="609">
        <f>IFERROR(__xludf.DUMMYFUNCTION("""COMPUTED_VALUE"""),46154.0)</f>
        <v>46154</v>
      </c>
      <c r="G32" s="609">
        <f>IFERROR(__xludf.DUMMYFUNCTION("""COMPUTED_VALUE"""),46156.0)</f>
        <v>46156</v>
      </c>
      <c r="H32" s="585"/>
      <c r="I32" s="629">
        <v>2.0</v>
      </c>
      <c r="J32" s="62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row>
    <row r="33">
      <c r="A33" s="621"/>
      <c r="B33" s="633" t="str">
        <f>IFERROR(__xludf.DUMMYFUNCTION("""COMPUTED_VALUE"""),"Demo R1")</f>
        <v>Demo R1</v>
      </c>
      <c r="C33" s="628"/>
      <c r="D33" s="602" t="str">
        <f>IFERROR(__xludf.DUMMYFUNCTION("""COMPUTED_VALUE"""),"PMAX")</f>
        <v>PMAX</v>
      </c>
      <c r="E33" s="624" t="str">
        <f>IFERROR(__xludf.DUMMYFUNCTION("""COMPUTED_VALUE"""),"Not start yet")</f>
        <v>Not start yet</v>
      </c>
      <c r="F33" s="609">
        <f>IFERROR(__xludf.DUMMYFUNCTION("""COMPUTED_VALUE"""),46156.0)</f>
        <v>46156</v>
      </c>
      <c r="G33" s="609">
        <f>IFERROR(__xludf.DUMMYFUNCTION("""COMPUTED_VALUE"""),46159.0)</f>
        <v>46159</v>
      </c>
      <c r="H33" s="585"/>
      <c r="I33" s="629">
        <v>4.0</v>
      </c>
      <c r="J33" s="630" t="s">
        <v>886</v>
      </c>
      <c r="K33" s="585"/>
      <c r="L33" s="585"/>
      <c r="M33" s="585"/>
      <c r="N33" s="585"/>
      <c r="O33" s="585"/>
      <c r="P33" s="585"/>
      <c r="Q33" s="585"/>
      <c r="R33" s="585"/>
      <c r="S33" s="585"/>
      <c r="T33" s="585"/>
      <c r="U33" s="585"/>
      <c r="V33" s="585"/>
      <c r="W33" s="585"/>
      <c r="X33" s="585"/>
      <c r="Y33" s="585"/>
      <c r="Z33" s="585"/>
      <c r="AA33" s="585"/>
      <c r="AB33" s="585"/>
      <c r="AC33" s="585"/>
      <c r="AD33" s="585"/>
      <c r="AE33" s="585"/>
      <c r="AF33" s="585"/>
      <c r="AG33" s="585"/>
      <c r="AH33" s="585"/>
      <c r="AI33" s="585"/>
      <c r="AJ33" s="585"/>
      <c r="AK33" s="585"/>
      <c r="AL33" s="585"/>
      <c r="AM33" s="585"/>
      <c r="AN33" s="585"/>
      <c r="AO33" s="585"/>
      <c r="AP33" s="585"/>
      <c r="AQ33" s="585"/>
      <c r="AR33" s="585"/>
    </row>
    <row r="34">
      <c r="A34" s="621"/>
      <c r="B34" s="627" t="str">
        <f>IFERROR(__xludf.DUMMYFUNCTION("""COMPUTED_VALUE"""),"Feedback demo R1")</f>
        <v>Feedback demo R1</v>
      </c>
      <c r="C34" s="628"/>
      <c r="D34" s="602" t="str">
        <f>IFERROR(__xludf.DUMMYFUNCTION("""COMPUTED_VALUE"""),"BRAND")</f>
        <v>BRAND</v>
      </c>
      <c r="E34" s="624" t="str">
        <f>IFERROR(__xludf.DUMMYFUNCTION("""COMPUTED_VALUE"""),"Not start yet")</f>
        <v>Not start yet</v>
      </c>
      <c r="F34" s="609">
        <f>IFERROR(__xludf.DUMMYFUNCTION("""COMPUTED_VALUE"""),46160.0)</f>
        <v>46160</v>
      </c>
      <c r="G34" s="609">
        <f>IFERROR(__xludf.DUMMYFUNCTION("""COMPUTED_VALUE"""),46160.0)</f>
        <v>46160</v>
      </c>
      <c r="H34" s="585"/>
      <c r="I34" s="625"/>
      <c r="J34" s="630" t="s">
        <v>887</v>
      </c>
      <c r="K34" s="585"/>
      <c r="L34" s="585"/>
      <c r="M34" s="585"/>
      <c r="N34" s="585"/>
      <c r="O34" s="585"/>
      <c r="P34" s="585"/>
      <c r="Q34" s="585"/>
      <c r="R34" s="585"/>
      <c r="S34" s="585"/>
      <c r="T34" s="585"/>
      <c r="U34" s="585"/>
      <c r="V34" s="585"/>
      <c r="W34" s="585"/>
      <c r="X34" s="585"/>
      <c r="Y34" s="585"/>
      <c r="Z34" s="585"/>
      <c r="AA34" s="585"/>
      <c r="AB34" s="585"/>
      <c r="AC34" s="585"/>
      <c r="AD34" s="585"/>
      <c r="AE34" s="585"/>
      <c r="AF34" s="585"/>
      <c r="AG34" s="585"/>
      <c r="AH34" s="585"/>
      <c r="AI34" s="585"/>
      <c r="AJ34" s="585"/>
      <c r="AK34" s="585"/>
      <c r="AL34" s="585"/>
      <c r="AM34" s="585"/>
      <c r="AN34" s="585"/>
      <c r="AO34" s="585"/>
      <c r="AP34" s="585"/>
      <c r="AQ34" s="585"/>
      <c r="AR34" s="585"/>
    </row>
    <row r="35">
      <c r="A35" s="621"/>
      <c r="B35" s="633" t="str">
        <f>IFERROR(__xludf.DUMMYFUNCTION("""COMPUTED_VALUE"""),"Demo R2")</f>
        <v>Demo R2</v>
      </c>
      <c r="C35" s="628"/>
      <c r="D35" s="602" t="str">
        <f>IFERROR(__xludf.DUMMYFUNCTION("""COMPUTED_VALUE"""),"PMAX")</f>
        <v>PMAX</v>
      </c>
      <c r="E35" s="624" t="str">
        <f>IFERROR(__xludf.DUMMYFUNCTION("""COMPUTED_VALUE"""),"Not start yet")</f>
        <v>Not start yet</v>
      </c>
      <c r="F35" s="609">
        <f>IFERROR(__xludf.DUMMYFUNCTION("""COMPUTED_VALUE"""),46161.0)</f>
        <v>46161</v>
      </c>
      <c r="G35" s="609">
        <f>IFERROR(__xludf.DUMMYFUNCTION("""COMPUTED_VALUE"""),46163.0)</f>
        <v>46163</v>
      </c>
      <c r="H35" s="585"/>
      <c r="I35" s="625"/>
      <c r="J35" s="625"/>
      <c r="K35" s="585"/>
      <c r="L35" s="585"/>
      <c r="M35" s="585"/>
      <c r="N35" s="585"/>
      <c r="O35" s="585"/>
      <c r="P35" s="585"/>
      <c r="Q35" s="585"/>
      <c r="R35" s="585"/>
      <c r="S35" s="585"/>
      <c r="T35" s="585"/>
      <c r="U35" s="585"/>
      <c r="V35" s="585"/>
      <c r="W35" s="585"/>
      <c r="X35" s="585"/>
      <c r="Y35" s="585"/>
      <c r="Z35" s="585"/>
      <c r="AA35" s="585"/>
      <c r="AB35" s="585"/>
      <c r="AC35" s="585"/>
      <c r="AD35" s="585"/>
      <c r="AE35" s="585"/>
      <c r="AF35" s="585"/>
      <c r="AG35" s="585"/>
      <c r="AH35" s="585"/>
      <c r="AI35" s="585"/>
      <c r="AJ35" s="585"/>
      <c r="AK35" s="585"/>
      <c r="AL35" s="585"/>
      <c r="AM35" s="585"/>
      <c r="AN35" s="585"/>
      <c r="AO35" s="585"/>
      <c r="AP35" s="585"/>
      <c r="AQ35" s="585"/>
      <c r="AR35" s="585"/>
    </row>
    <row r="36">
      <c r="A36" s="621"/>
      <c r="B36" s="627" t="str">
        <f>IFERROR(__xludf.DUMMYFUNCTION("""COMPUTED_VALUE"""),"Feedback demo R2")</f>
        <v>Feedback demo R2</v>
      </c>
      <c r="C36" s="628"/>
      <c r="D36" s="602" t="str">
        <f>IFERROR(__xludf.DUMMYFUNCTION("""COMPUTED_VALUE"""),"BRAND")</f>
        <v>BRAND</v>
      </c>
      <c r="E36" s="624" t="str">
        <f>IFERROR(__xludf.DUMMYFUNCTION("""COMPUTED_VALUE"""),"Not start yet")</f>
        <v>Not start yet</v>
      </c>
      <c r="F36" s="609">
        <f>IFERROR(__xludf.DUMMYFUNCTION("""COMPUTED_VALUE"""),46164.0)</f>
        <v>46164</v>
      </c>
      <c r="G36" s="609">
        <f>IFERROR(__xludf.DUMMYFUNCTION("""COMPUTED_VALUE"""),46164.0)</f>
        <v>46164</v>
      </c>
      <c r="H36" s="585"/>
      <c r="I36" s="625"/>
      <c r="J36" s="625"/>
      <c r="K36" s="585"/>
      <c r="L36" s="585"/>
      <c r="M36" s="585"/>
      <c r="N36" s="585"/>
      <c r="O36" s="585"/>
      <c r="P36" s="585"/>
      <c r="Q36" s="585"/>
      <c r="R36" s="585"/>
      <c r="S36" s="585"/>
      <c r="T36" s="585"/>
      <c r="U36" s="585"/>
      <c r="V36" s="585"/>
      <c r="W36" s="585"/>
      <c r="X36" s="585"/>
      <c r="Y36" s="585"/>
      <c r="Z36" s="585"/>
      <c r="AA36" s="585"/>
      <c r="AB36" s="585"/>
      <c r="AC36" s="585"/>
      <c r="AD36" s="585"/>
      <c r="AE36" s="585"/>
      <c r="AF36" s="585"/>
      <c r="AG36" s="585"/>
      <c r="AH36" s="585"/>
      <c r="AI36" s="585"/>
      <c r="AJ36" s="585"/>
      <c r="AK36" s="585"/>
      <c r="AL36" s="585"/>
      <c r="AM36" s="585"/>
      <c r="AN36" s="585"/>
      <c r="AO36" s="585"/>
      <c r="AP36" s="585"/>
      <c r="AQ36" s="585"/>
      <c r="AR36" s="585"/>
    </row>
    <row r="37">
      <c r="A37" s="621"/>
      <c r="B37" s="627" t="str">
        <f>IFERROR(__xludf.DUMMYFUNCTION("""COMPUTED_VALUE"""),"Finalize demo")</f>
        <v>Finalize demo</v>
      </c>
      <c r="C37" s="628"/>
      <c r="D37" s="602" t="str">
        <f>IFERROR(__xludf.DUMMYFUNCTION("""COMPUTED_VALUE"""),"PMAX")</f>
        <v>PMAX</v>
      </c>
      <c r="E37" s="624" t="str">
        <f>IFERROR(__xludf.DUMMYFUNCTION("""COMPUTED_VALUE"""),"Not start yet")</f>
        <v>Not start yet</v>
      </c>
      <c r="F37" s="609">
        <f>IFERROR(__xludf.DUMMYFUNCTION("""COMPUTED_VALUE"""),46164.0)</f>
        <v>46164</v>
      </c>
      <c r="G37" s="609">
        <f>IFERROR(__xludf.DUMMYFUNCTION("""COMPUTED_VALUE"""),46164.0)</f>
        <v>46164</v>
      </c>
      <c r="H37" s="585"/>
      <c r="I37" s="629">
        <v>1.0</v>
      </c>
      <c r="J37" s="630" t="s">
        <v>888</v>
      </c>
      <c r="K37" s="585"/>
      <c r="L37" s="585"/>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row>
    <row r="38">
      <c r="A38" s="621"/>
      <c r="B38" s="634" t="str">
        <f>IFERROR(__xludf.DUMMYFUNCTION("""COMPUTED_VALUE"""),"Air")</f>
        <v>Air</v>
      </c>
      <c r="C38" s="26"/>
      <c r="D38" s="602" t="str">
        <f>IFERROR(__xludf.DUMMYFUNCTION("""COMPUTED_VALUE"""),"PMAX")</f>
        <v>PMAX</v>
      </c>
      <c r="E38" s="624" t="str">
        <f>IFERROR(__xludf.DUMMYFUNCTION("""COMPUTED_VALUE"""),"Not start yet")</f>
        <v>Not start yet</v>
      </c>
      <c r="F38" s="635" t="str">
        <f>IFERROR(__xludf.DUMMYFUNCTION("""COMPUTED_VALUE"""),"TBU")</f>
        <v>TBU</v>
      </c>
      <c r="G38" s="632" t="str">
        <f>IFERROR(__xludf.DUMMYFUNCTION("""COMPUTED_VALUE"""),"TBU")</f>
        <v>TBU</v>
      </c>
      <c r="H38" s="585"/>
      <c r="I38" s="636">
        <v>1.0</v>
      </c>
      <c r="J38" s="585"/>
      <c r="K38" s="585"/>
      <c r="L38" s="585"/>
      <c r="M38" s="585"/>
      <c r="N38" s="585"/>
      <c r="O38" s="585"/>
      <c r="P38" s="585"/>
      <c r="Q38" s="585"/>
      <c r="R38" s="585"/>
      <c r="S38" s="585"/>
      <c r="T38" s="585"/>
      <c r="U38" s="585"/>
      <c r="V38" s="585"/>
      <c r="W38" s="585"/>
      <c r="X38" s="585"/>
      <c r="Y38" s="585"/>
      <c r="Z38" s="585"/>
      <c r="AA38" s="585"/>
      <c r="AB38" s="585"/>
      <c r="AC38" s="585"/>
      <c r="AD38" s="585"/>
      <c r="AE38" s="585"/>
      <c r="AF38" s="585"/>
      <c r="AG38" s="585"/>
      <c r="AH38" s="585"/>
      <c r="AI38" s="585"/>
      <c r="AJ38" s="585"/>
      <c r="AK38" s="585"/>
      <c r="AL38" s="585"/>
      <c r="AM38" s="585"/>
      <c r="AN38" s="585"/>
      <c r="AO38" s="585"/>
      <c r="AP38" s="585"/>
      <c r="AQ38" s="585"/>
      <c r="AR38" s="585"/>
    </row>
    <row r="39">
      <c r="A39" s="637">
        <f>IFERROR(__xludf.DUMMYFUNCTION("""COMPUTED_VALUE"""),2.0)</f>
        <v>2</v>
      </c>
      <c r="B39" s="616" t="str">
        <f>IFERROR(__xludf.DUMMYFUNCTION("""COMPUTED_VALUE"""),"Lulu Review")</f>
        <v>Lulu Review</v>
      </c>
      <c r="C39" s="617"/>
      <c r="D39" s="618"/>
      <c r="E39" s="619"/>
      <c r="F39" s="619"/>
      <c r="G39" s="619"/>
      <c r="H39" s="585"/>
      <c r="I39" s="585"/>
      <c r="J39" s="585"/>
      <c r="K39" s="585"/>
      <c r="L39" s="585"/>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row>
    <row r="40">
      <c r="A40" s="621"/>
      <c r="B40" s="622" t="str">
        <f>IFERROR(__xludf.DUMMYFUNCTION("""COMPUTED_VALUE"""),"Briefing cho Influencer")</f>
        <v>Briefing cho Influencer</v>
      </c>
      <c r="C40" s="623"/>
      <c r="D40" s="602" t="str">
        <f>IFERROR(__xludf.DUMMYFUNCTION("""COMPUTED_VALUE"""),"PMAX")</f>
        <v>PMAX</v>
      </c>
      <c r="E40" s="624" t="str">
        <f>IFERROR(__xludf.DUMMYFUNCTION("""COMPUTED_VALUE"""),"Done")</f>
        <v>Done</v>
      </c>
      <c r="F40" s="609" t="str">
        <f>IFERROR(__xludf.DUMMYFUNCTION("""COMPUTED_VALUE"""),"Thứ 3. 5/ 5")</f>
        <v>Thứ 3. 5/ 5</v>
      </c>
      <c r="G40" s="609" t="str">
        <f>IFERROR(__xludf.DUMMYFUNCTION("""COMPUTED_VALUE"""),"Thứ 4. 6/ 5")</f>
        <v>Thứ 4. 6/ 5</v>
      </c>
      <c r="H40" s="585"/>
      <c r="I40" s="625"/>
      <c r="J40" s="626" t="s">
        <v>882</v>
      </c>
      <c r="K40" s="585"/>
      <c r="L40" s="585"/>
      <c r="M40" s="585"/>
      <c r="N40" s="585"/>
      <c r="O40" s="585"/>
      <c r="P40" s="585"/>
      <c r="Q40" s="585"/>
      <c r="R40" s="585"/>
      <c r="S40" s="585"/>
      <c r="T40" s="585"/>
      <c r="U40" s="585"/>
      <c r="V40" s="585"/>
      <c r="W40" s="585"/>
      <c r="X40" s="585"/>
      <c r="Y40" s="585"/>
      <c r="Z40" s="585"/>
      <c r="AA40" s="585"/>
      <c r="AB40" s="585"/>
      <c r="AC40" s="585"/>
      <c r="AD40" s="585"/>
      <c r="AE40" s="585"/>
      <c r="AF40" s="585"/>
      <c r="AG40" s="585"/>
      <c r="AH40" s="585"/>
      <c r="AI40" s="585"/>
      <c r="AJ40" s="585"/>
      <c r="AK40" s="585"/>
      <c r="AL40" s="585"/>
      <c r="AM40" s="585"/>
      <c r="AN40" s="585"/>
      <c r="AO40" s="585"/>
      <c r="AP40" s="585"/>
      <c r="AQ40" s="585"/>
      <c r="AR40" s="585"/>
    </row>
    <row r="41">
      <c r="A41" s="621"/>
      <c r="B41" s="627" t="str">
        <f>IFERROR(__xludf.DUMMYFUNCTION("""COMPUTED_VALUE"""),"Script R1 + Outfits")</f>
        <v>Script R1 + Outfits</v>
      </c>
      <c r="C41" s="628"/>
      <c r="D41" s="602" t="str">
        <f>IFERROR(__xludf.DUMMYFUNCTION("""COMPUTED_VALUE"""),"PMAX")</f>
        <v>PMAX</v>
      </c>
      <c r="E41" s="624" t="str">
        <f>IFERROR(__xludf.DUMMYFUNCTION("""COMPUTED_VALUE"""),"Done")</f>
        <v>Done</v>
      </c>
      <c r="F41" s="609" t="str">
        <f>IFERROR(__xludf.DUMMYFUNCTION("""COMPUTED_VALUE"""),"Thứ 4. 6/ 5")</f>
        <v>Thứ 4. 6/ 5</v>
      </c>
      <c r="G41" s="609" t="str">
        <f>IFERROR(__xludf.DUMMYFUNCTION("""COMPUTED_VALUE"""),"Thứ 6. 8/ 5")</f>
        <v>Thứ 6. 8/ 5</v>
      </c>
      <c r="H41" s="585"/>
      <c r="I41" s="629">
        <v>1.0</v>
      </c>
      <c r="J41" s="630" t="s">
        <v>883</v>
      </c>
      <c r="K41" s="585"/>
      <c r="L41" s="585"/>
      <c r="M41" s="585"/>
      <c r="N41" s="585"/>
      <c r="O41" s="585"/>
      <c r="P41" s="585"/>
      <c r="Q41" s="585"/>
      <c r="R41" s="585"/>
      <c r="S41" s="585"/>
      <c r="T41" s="585"/>
      <c r="U41" s="585"/>
      <c r="V41" s="585"/>
      <c r="W41" s="585"/>
      <c r="X41" s="585"/>
      <c r="Y41" s="585"/>
      <c r="Z41" s="585"/>
      <c r="AA41" s="585"/>
      <c r="AB41" s="585"/>
      <c r="AC41" s="585"/>
      <c r="AD41" s="585"/>
      <c r="AE41" s="585"/>
      <c r="AF41" s="585"/>
      <c r="AG41" s="585"/>
      <c r="AH41" s="585"/>
      <c r="AI41" s="585"/>
      <c r="AJ41" s="585"/>
      <c r="AK41" s="585"/>
      <c r="AL41" s="585"/>
      <c r="AM41" s="585"/>
      <c r="AN41" s="585"/>
      <c r="AO41" s="585"/>
      <c r="AP41" s="585"/>
      <c r="AQ41" s="585"/>
      <c r="AR41" s="585"/>
    </row>
    <row r="42">
      <c r="A42" s="621"/>
      <c r="B42" s="627" t="str">
        <f>IFERROR(__xludf.DUMMYFUNCTION("""COMPUTED_VALUE"""),"Feedback Script R1 + outfits")</f>
        <v>Feedback Script R1 + outfits</v>
      </c>
      <c r="C42" s="628"/>
      <c r="D42" s="602" t="str">
        <f>IFERROR(__xludf.DUMMYFUNCTION("""COMPUTED_VALUE"""),"BRAND")</f>
        <v>BRAND</v>
      </c>
      <c r="E42" s="624" t="str">
        <f>IFERROR(__xludf.DUMMYFUNCTION("""COMPUTED_VALUE"""),"On going")</f>
        <v>On going</v>
      </c>
      <c r="F42" s="609" t="str">
        <f>IFERROR(__xludf.DUMMYFUNCTION("""COMPUTED_VALUE"""),"Thứ 6. 8/ 5")</f>
        <v>Thứ 6. 8/ 5</v>
      </c>
      <c r="G42" s="609" t="str">
        <f>IFERROR(__xludf.DUMMYFUNCTION("""COMPUTED_VALUE"""),"Thứ 6. 8/ 5")</f>
        <v>Thứ 6. 8/ 5</v>
      </c>
      <c r="H42" s="585"/>
      <c r="I42" s="625"/>
      <c r="J42" s="630" t="s">
        <v>884</v>
      </c>
      <c r="K42" s="585"/>
      <c r="L42" s="585"/>
      <c r="M42" s="585"/>
      <c r="N42" s="585"/>
      <c r="O42" s="585"/>
      <c r="P42" s="585"/>
      <c r="Q42" s="585"/>
      <c r="R42" s="585"/>
      <c r="S42" s="585"/>
      <c r="T42" s="585"/>
      <c r="U42" s="585"/>
      <c r="V42" s="585"/>
      <c r="W42" s="585"/>
      <c r="X42" s="585"/>
      <c r="Y42" s="585"/>
      <c r="Z42" s="585"/>
      <c r="AA42" s="585"/>
      <c r="AB42" s="585"/>
      <c r="AC42" s="585"/>
      <c r="AD42" s="585"/>
      <c r="AE42" s="585"/>
      <c r="AF42" s="585"/>
      <c r="AG42" s="585"/>
      <c r="AH42" s="585"/>
      <c r="AI42" s="585"/>
      <c r="AJ42" s="585"/>
      <c r="AK42" s="585"/>
      <c r="AL42" s="585"/>
      <c r="AM42" s="585"/>
      <c r="AN42" s="585"/>
      <c r="AO42" s="585"/>
      <c r="AP42" s="585"/>
      <c r="AQ42" s="585"/>
      <c r="AR42" s="585"/>
    </row>
    <row r="43">
      <c r="A43" s="621"/>
      <c r="B43" s="631" t="str">
        <f>IFERROR(__xludf.DUMMYFUNCTION("""COMPUTED_VALUE"""),"Script R2")</f>
        <v>Script R2</v>
      </c>
      <c r="C43" s="628"/>
      <c r="D43" s="632" t="str">
        <f>IFERROR(__xludf.DUMMYFUNCTION("""COMPUTED_VALUE"""),"PMAX")</f>
        <v>PMAX</v>
      </c>
      <c r="E43" s="624" t="str">
        <f>IFERROR(__xludf.DUMMYFUNCTION("""COMPUTED_VALUE"""),"Not start yet")</f>
        <v>Not start yet</v>
      </c>
      <c r="F43" s="609" t="str">
        <f>IFERROR(__xludf.DUMMYFUNCTION("""COMPUTED_VALUE"""),"Thứ 7. 9/ 5")</f>
        <v>Thứ 7. 9/ 5</v>
      </c>
      <c r="G43" s="609" t="str">
        <f>IFERROR(__xludf.DUMMYFUNCTION("""COMPUTED_VALUE"""),"CN. 10/ 5")</f>
        <v>CN. 10/ 5</v>
      </c>
      <c r="H43" s="585"/>
      <c r="I43" s="625"/>
      <c r="J43" s="630"/>
      <c r="K43" s="585"/>
      <c r="L43" s="585"/>
      <c r="M43" s="585"/>
      <c r="N43" s="585"/>
      <c r="O43" s="585"/>
      <c r="P43" s="585"/>
      <c r="Q43" s="585"/>
      <c r="R43" s="585"/>
      <c r="S43" s="585"/>
      <c r="T43" s="585"/>
      <c r="U43" s="585"/>
      <c r="V43" s="585"/>
      <c r="W43" s="585"/>
      <c r="X43" s="585"/>
      <c r="Y43" s="585"/>
      <c r="Z43" s="585"/>
      <c r="AA43" s="585"/>
      <c r="AB43" s="585"/>
      <c r="AC43" s="585"/>
      <c r="AD43" s="585"/>
      <c r="AE43" s="585"/>
      <c r="AF43" s="585"/>
      <c r="AG43" s="585"/>
      <c r="AH43" s="585"/>
      <c r="AI43" s="585"/>
      <c r="AJ43" s="585"/>
      <c r="AK43" s="585"/>
      <c r="AL43" s="585"/>
      <c r="AM43" s="585"/>
      <c r="AN43" s="585"/>
      <c r="AO43" s="585"/>
      <c r="AP43" s="585"/>
      <c r="AQ43" s="585"/>
      <c r="AR43" s="585"/>
    </row>
    <row r="44">
      <c r="A44" s="621"/>
      <c r="B44" s="631" t="str">
        <f>IFERROR(__xludf.DUMMYFUNCTION("""COMPUTED_VALUE"""),"Feedback Script R2")</f>
        <v>Feedback Script R2</v>
      </c>
      <c r="C44" s="628"/>
      <c r="D44" s="632" t="str">
        <f>IFERROR(__xludf.DUMMYFUNCTION("""COMPUTED_VALUE"""),"BRAND")</f>
        <v>BRAND</v>
      </c>
      <c r="E44" s="624" t="str">
        <f>IFERROR(__xludf.DUMMYFUNCTION("""COMPUTED_VALUE"""),"Not start yet")</f>
        <v>Not start yet</v>
      </c>
      <c r="F44" s="609" t="str">
        <f>IFERROR(__xludf.DUMMYFUNCTION("""COMPUTED_VALUE"""),"Thứ 2. 11/ 5")</f>
        <v>Thứ 2. 11/ 5</v>
      </c>
      <c r="G44" s="609" t="str">
        <f>IFERROR(__xludf.DUMMYFUNCTION("""COMPUTED_VALUE"""),"Thứ 2. 11/ 5")</f>
        <v>Thứ 2. 11/ 5</v>
      </c>
      <c r="H44" s="585"/>
      <c r="I44" s="625"/>
      <c r="J44" s="630"/>
      <c r="K44" s="585"/>
      <c r="L44" s="585"/>
      <c r="M44" s="585"/>
      <c r="N44" s="585"/>
      <c r="O44" s="585"/>
      <c r="P44" s="585"/>
      <c r="Q44" s="585"/>
      <c r="R44" s="585"/>
      <c r="S44" s="585"/>
      <c r="T44" s="585"/>
      <c r="U44" s="585"/>
      <c r="V44" s="585"/>
      <c r="W44" s="585"/>
      <c r="X44" s="585"/>
      <c r="Y44" s="585"/>
      <c r="Z44" s="585"/>
      <c r="AA44" s="585"/>
      <c r="AB44" s="585"/>
      <c r="AC44" s="585"/>
      <c r="AD44" s="585"/>
      <c r="AE44" s="585"/>
      <c r="AF44" s="585"/>
      <c r="AG44" s="585"/>
      <c r="AH44" s="585"/>
      <c r="AI44" s="585"/>
      <c r="AJ44" s="585"/>
      <c r="AK44" s="585"/>
      <c r="AL44" s="585"/>
      <c r="AM44" s="585"/>
      <c r="AN44" s="585"/>
      <c r="AO44" s="585"/>
      <c r="AP44" s="585"/>
      <c r="AQ44" s="585"/>
      <c r="AR44" s="585"/>
    </row>
    <row r="45">
      <c r="A45" s="621"/>
      <c r="B45" s="627" t="str">
        <f>IFERROR(__xludf.DUMMYFUNCTION("""COMPUTED_VALUE"""),"Finalize scripts + outfits")</f>
        <v>Finalize scripts + outfits</v>
      </c>
      <c r="C45" s="628"/>
      <c r="D45" s="602" t="str">
        <f>IFERROR(__xludf.DUMMYFUNCTION("""COMPUTED_VALUE"""),"PMAX-BRAND")</f>
        <v>PMAX-BRAND</v>
      </c>
      <c r="E45" s="624" t="str">
        <f>IFERROR(__xludf.DUMMYFUNCTION("""COMPUTED_VALUE"""),"Not start yet")</f>
        <v>Not start yet</v>
      </c>
      <c r="F45" s="609" t="str">
        <f>IFERROR(__xludf.DUMMYFUNCTION("""COMPUTED_VALUE"""),"Thứ 2. 11/ 5")</f>
        <v>Thứ 2. 11/ 5</v>
      </c>
      <c r="G45" s="609" t="str">
        <f>IFERROR(__xludf.DUMMYFUNCTION("""COMPUTED_VALUE"""),"Thứ 2. 11/ 5")</f>
        <v>Thứ 2. 11/ 5</v>
      </c>
      <c r="H45" s="585"/>
      <c r="I45" s="629">
        <v>1.0</v>
      </c>
      <c r="J45" s="630" t="s">
        <v>885</v>
      </c>
      <c r="K45" s="585"/>
      <c r="L45" s="585"/>
      <c r="M45" s="585"/>
      <c r="N45" s="585"/>
      <c r="O45" s="585"/>
      <c r="P45" s="585"/>
      <c r="Q45" s="585"/>
      <c r="R45" s="585"/>
      <c r="S45" s="585"/>
      <c r="T45" s="585"/>
      <c r="U45" s="585"/>
      <c r="V45" s="585"/>
      <c r="W45" s="585"/>
      <c r="X45" s="585"/>
      <c r="Y45" s="585"/>
      <c r="Z45" s="585"/>
      <c r="AA45" s="585"/>
      <c r="AB45" s="585"/>
      <c r="AC45" s="585"/>
      <c r="AD45" s="585"/>
      <c r="AE45" s="585"/>
      <c r="AF45" s="585"/>
      <c r="AG45" s="585"/>
      <c r="AH45" s="585"/>
      <c r="AI45" s="585"/>
      <c r="AJ45" s="585"/>
      <c r="AK45" s="585"/>
      <c r="AL45" s="585"/>
      <c r="AM45" s="585"/>
      <c r="AN45" s="585"/>
      <c r="AO45" s="585"/>
      <c r="AP45" s="585"/>
      <c r="AQ45" s="585"/>
      <c r="AR45" s="585"/>
    </row>
    <row r="46">
      <c r="A46" s="621"/>
      <c r="B46" s="627" t="str">
        <f>IFERROR(__xludf.DUMMYFUNCTION("""COMPUTED_VALUE"""),"Đi quay tại site")</f>
        <v>Đi quay tại site</v>
      </c>
      <c r="C46" s="628"/>
      <c r="D46" s="602" t="str">
        <f>IFERROR(__xludf.DUMMYFUNCTION("""COMPUTED_VALUE"""),"PMAX")</f>
        <v>PMAX</v>
      </c>
      <c r="E46" s="624" t="str">
        <f>IFERROR(__xludf.DUMMYFUNCTION("""COMPUTED_VALUE"""),"Not start yet")</f>
        <v>Not start yet</v>
      </c>
      <c r="F46" s="609" t="str">
        <f>IFERROR(__xludf.DUMMYFUNCTION("""COMPUTED_VALUE"""),"Thứ 3. 12/ 5")</f>
        <v>Thứ 3. 12/ 5</v>
      </c>
      <c r="G46" s="609" t="str">
        <f>IFERROR(__xludf.DUMMYFUNCTION("""COMPUTED_VALUE"""),"Thứ 5. 14/ 5")</f>
        <v>Thứ 5. 14/ 5</v>
      </c>
      <c r="H46" s="585"/>
      <c r="I46" s="629">
        <v>2.0</v>
      </c>
      <c r="J46" s="625"/>
      <c r="K46" s="585"/>
      <c r="L46" s="585"/>
      <c r="M46" s="585"/>
      <c r="N46" s="585"/>
      <c r="O46" s="585"/>
      <c r="P46" s="585"/>
      <c r="Q46" s="585"/>
      <c r="R46" s="585"/>
      <c r="S46" s="585"/>
      <c r="T46" s="585"/>
      <c r="U46" s="585"/>
      <c r="V46" s="585"/>
      <c r="W46" s="585"/>
      <c r="X46" s="585"/>
      <c r="Y46" s="585"/>
      <c r="Z46" s="585"/>
      <c r="AA46" s="585"/>
      <c r="AB46" s="585"/>
      <c r="AC46" s="585"/>
      <c r="AD46" s="585"/>
      <c r="AE46" s="585"/>
      <c r="AF46" s="585"/>
      <c r="AG46" s="585"/>
      <c r="AH46" s="585"/>
      <c r="AI46" s="585"/>
      <c r="AJ46" s="585"/>
      <c r="AK46" s="585"/>
      <c r="AL46" s="585"/>
      <c r="AM46" s="585"/>
      <c r="AN46" s="585"/>
      <c r="AO46" s="585"/>
      <c r="AP46" s="585"/>
      <c r="AQ46" s="585"/>
      <c r="AR46" s="585"/>
    </row>
    <row r="47">
      <c r="A47" s="621"/>
      <c r="B47" s="633" t="str">
        <f>IFERROR(__xludf.DUMMYFUNCTION("""COMPUTED_VALUE"""),"Demo R1")</f>
        <v>Demo R1</v>
      </c>
      <c r="C47" s="628"/>
      <c r="D47" s="602" t="str">
        <f>IFERROR(__xludf.DUMMYFUNCTION("""COMPUTED_VALUE"""),"PMAX")</f>
        <v>PMAX</v>
      </c>
      <c r="E47" s="624" t="str">
        <f>IFERROR(__xludf.DUMMYFUNCTION("""COMPUTED_VALUE"""),"Not start yet")</f>
        <v>Not start yet</v>
      </c>
      <c r="F47" s="609" t="str">
        <f>IFERROR(__xludf.DUMMYFUNCTION("""COMPUTED_VALUE"""),"Thứ 6. 15/ 5")</f>
        <v>Thứ 6. 15/ 5</v>
      </c>
      <c r="G47" s="609" t="str">
        <f>IFERROR(__xludf.DUMMYFUNCTION("""COMPUTED_VALUE"""),"CN. 17/ 5")</f>
        <v>CN. 17/ 5</v>
      </c>
      <c r="H47" s="585"/>
      <c r="I47" s="629">
        <v>4.0</v>
      </c>
      <c r="J47" s="630" t="s">
        <v>886</v>
      </c>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row>
    <row r="48">
      <c r="A48" s="621"/>
      <c r="B48" s="627" t="str">
        <f>IFERROR(__xludf.DUMMYFUNCTION("""COMPUTED_VALUE"""),"Feedback demo R1")</f>
        <v>Feedback demo R1</v>
      </c>
      <c r="C48" s="628"/>
      <c r="D48" s="602" t="str">
        <f>IFERROR(__xludf.DUMMYFUNCTION("""COMPUTED_VALUE"""),"BRAND")</f>
        <v>BRAND</v>
      </c>
      <c r="E48" s="624" t="str">
        <f>IFERROR(__xludf.DUMMYFUNCTION("""COMPUTED_VALUE"""),"Not start yet")</f>
        <v>Not start yet</v>
      </c>
      <c r="F48" s="609" t="str">
        <f>IFERROR(__xludf.DUMMYFUNCTION("""COMPUTED_VALUE"""),"Thứ 2. 18/ 5")</f>
        <v>Thứ 2. 18/ 5</v>
      </c>
      <c r="G48" s="609" t="str">
        <f>IFERROR(__xludf.DUMMYFUNCTION("""COMPUTED_VALUE"""),"Thứ 2. 18/ 5")</f>
        <v>Thứ 2. 18/ 5</v>
      </c>
      <c r="H48" s="585"/>
      <c r="I48" s="625"/>
      <c r="J48" s="630" t="s">
        <v>887</v>
      </c>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5"/>
      <c r="AJ48" s="585"/>
      <c r="AK48" s="585"/>
      <c r="AL48" s="585"/>
      <c r="AM48" s="585"/>
      <c r="AN48" s="585"/>
      <c r="AO48" s="585"/>
      <c r="AP48" s="585"/>
      <c r="AQ48" s="585"/>
      <c r="AR48" s="585"/>
    </row>
    <row r="49">
      <c r="A49" s="621"/>
      <c r="B49" s="633" t="str">
        <f>IFERROR(__xludf.DUMMYFUNCTION("""COMPUTED_VALUE"""),"Demo R2")</f>
        <v>Demo R2</v>
      </c>
      <c r="C49" s="628"/>
      <c r="D49" s="602" t="str">
        <f>IFERROR(__xludf.DUMMYFUNCTION("""COMPUTED_VALUE"""),"PMAX")</f>
        <v>PMAX</v>
      </c>
      <c r="E49" s="624" t="str">
        <f>IFERROR(__xludf.DUMMYFUNCTION("""COMPUTED_VALUE"""),"Not start yet")</f>
        <v>Not start yet</v>
      </c>
      <c r="F49" s="609" t="str">
        <f>IFERROR(__xludf.DUMMYFUNCTION("""COMPUTED_VALUE"""),"Thứ 3. 19/ 5")</f>
        <v>Thứ 3. 19/ 5</v>
      </c>
      <c r="G49" s="609" t="str">
        <f>IFERROR(__xludf.DUMMYFUNCTION("""COMPUTED_VALUE"""),"Thứ 5. 21/ 5")</f>
        <v>Thứ 5. 21/ 5</v>
      </c>
      <c r="H49" s="585"/>
      <c r="I49" s="625"/>
      <c r="J49" s="625"/>
      <c r="K49" s="585"/>
      <c r="L49" s="585"/>
      <c r="M49" s="585"/>
      <c r="N49" s="585"/>
      <c r="O49" s="585"/>
      <c r="P49" s="585"/>
      <c r="Q49" s="585"/>
      <c r="R49" s="585"/>
      <c r="S49" s="585"/>
      <c r="T49" s="585"/>
      <c r="U49" s="585"/>
      <c r="V49" s="585"/>
      <c r="W49" s="585"/>
      <c r="X49" s="585"/>
      <c r="Y49" s="585"/>
      <c r="Z49" s="585"/>
      <c r="AA49" s="585"/>
      <c r="AB49" s="585"/>
      <c r="AC49" s="585"/>
      <c r="AD49" s="585"/>
      <c r="AE49" s="585"/>
      <c r="AF49" s="585"/>
      <c r="AG49" s="585"/>
      <c r="AH49" s="585"/>
      <c r="AI49" s="585"/>
      <c r="AJ49" s="585"/>
      <c r="AK49" s="585"/>
      <c r="AL49" s="585"/>
      <c r="AM49" s="585"/>
      <c r="AN49" s="585"/>
      <c r="AO49" s="585"/>
      <c r="AP49" s="585"/>
      <c r="AQ49" s="585"/>
      <c r="AR49" s="585"/>
    </row>
    <row r="50">
      <c r="A50" s="621"/>
      <c r="B50" s="627" t="str">
        <f>IFERROR(__xludf.DUMMYFUNCTION("""COMPUTED_VALUE"""),"Feedback demo R2")</f>
        <v>Feedback demo R2</v>
      </c>
      <c r="C50" s="628"/>
      <c r="D50" s="602" t="str">
        <f>IFERROR(__xludf.DUMMYFUNCTION("""COMPUTED_VALUE"""),"BRAND")</f>
        <v>BRAND</v>
      </c>
      <c r="E50" s="624" t="str">
        <f>IFERROR(__xludf.DUMMYFUNCTION("""COMPUTED_VALUE"""),"Not start yet")</f>
        <v>Not start yet</v>
      </c>
      <c r="F50" s="609" t="str">
        <f>IFERROR(__xludf.DUMMYFUNCTION("""COMPUTED_VALUE"""),"Thứ 6. 22/ 5")</f>
        <v>Thứ 6. 22/ 5</v>
      </c>
      <c r="G50" s="609" t="str">
        <f>IFERROR(__xludf.DUMMYFUNCTION("""COMPUTED_VALUE"""),"Thứ 6. 22/ 5")</f>
        <v>Thứ 6. 22/ 5</v>
      </c>
      <c r="H50" s="585"/>
      <c r="I50" s="625"/>
      <c r="J50" s="625"/>
      <c r="K50" s="585"/>
      <c r="L50" s="585"/>
      <c r="M50" s="585"/>
      <c r="N50" s="585"/>
      <c r="O50" s="585"/>
      <c r="P50" s="585"/>
      <c r="Q50" s="585"/>
      <c r="R50" s="585"/>
      <c r="S50" s="585"/>
      <c r="T50" s="585"/>
      <c r="U50" s="585"/>
      <c r="V50" s="585"/>
      <c r="W50" s="585"/>
      <c r="X50" s="585"/>
      <c r="Y50" s="585"/>
      <c r="Z50" s="585"/>
      <c r="AA50" s="585"/>
      <c r="AB50" s="585"/>
      <c r="AC50" s="585"/>
      <c r="AD50" s="585"/>
      <c r="AE50" s="585"/>
      <c r="AF50" s="585"/>
      <c r="AG50" s="585"/>
      <c r="AH50" s="585"/>
      <c r="AI50" s="585"/>
      <c r="AJ50" s="585"/>
      <c r="AK50" s="585"/>
      <c r="AL50" s="585"/>
      <c r="AM50" s="585"/>
      <c r="AN50" s="585"/>
      <c r="AO50" s="585"/>
      <c r="AP50" s="585"/>
      <c r="AQ50" s="585"/>
      <c r="AR50" s="585"/>
    </row>
    <row r="51">
      <c r="A51" s="621"/>
      <c r="B51" s="627" t="str">
        <f>IFERROR(__xludf.DUMMYFUNCTION("""COMPUTED_VALUE"""),"Finalize demo")</f>
        <v>Finalize demo</v>
      </c>
      <c r="C51" s="628"/>
      <c r="D51" s="602" t="str">
        <f>IFERROR(__xludf.DUMMYFUNCTION("""COMPUTED_VALUE"""),"PMAX")</f>
        <v>PMAX</v>
      </c>
      <c r="E51" s="624" t="str">
        <f>IFERROR(__xludf.DUMMYFUNCTION("""COMPUTED_VALUE"""),"Not start yet")</f>
        <v>Not start yet</v>
      </c>
      <c r="F51" s="609" t="str">
        <f>IFERROR(__xludf.DUMMYFUNCTION("""COMPUTED_VALUE"""),"Thứ 6. 22/ 5")</f>
        <v>Thứ 6. 22/ 5</v>
      </c>
      <c r="G51" s="609" t="str">
        <f>IFERROR(__xludf.DUMMYFUNCTION("""COMPUTED_VALUE"""),"Thứ 6. 22/ 5")</f>
        <v>Thứ 6. 22/ 5</v>
      </c>
      <c r="H51" s="585"/>
      <c r="I51" s="629">
        <v>1.0</v>
      </c>
      <c r="J51" s="630" t="s">
        <v>888</v>
      </c>
      <c r="K51" s="585"/>
      <c r="L51" s="585"/>
      <c r="M51" s="585"/>
      <c r="N51" s="585"/>
      <c r="O51" s="585"/>
      <c r="P51" s="585"/>
      <c r="Q51" s="585"/>
      <c r="R51" s="585"/>
      <c r="S51" s="585"/>
      <c r="T51" s="585"/>
      <c r="U51" s="585"/>
      <c r="V51" s="585"/>
      <c r="W51" s="585"/>
      <c r="X51" s="585"/>
      <c r="Y51" s="585"/>
      <c r="Z51" s="585"/>
      <c r="AA51" s="585"/>
      <c r="AB51" s="585"/>
      <c r="AC51" s="585"/>
      <c r="AD51" s="585"/>
      <c r="AE51" s="585"/>
      <c r="AF51" s="585"/>
      <c r="AG51" s="585"/>
      <c r="AH51" s="585"/>
      <c r="AI51" s="585"/>
      <c r="AJ51" s="585"/>
      <c r="AK51" s="585"/>
      <c r="AL51" s="585"/>
      <c r="AM51" s="585"/>
      <c r="AN51" s="585"/>
      <c r="AO51" s="585"/>
      <c r="AP51" s="585"/>
      <c r="AQ51" s="585"/>
      <c r="AR51" s="585"/>
    </row>
    <row r="52">
      <c r="A52" s="621"/>
      <c r="B52" s="634" t="str">
        <f>IFERROR(__xludf.DUMMYFUNCTION("""COMPUTED_VALUE"""),"Air")</f>
        <v>Air</v>
      </c>
      <c r="C52" s="26"/>
      <c r="D52" s="602" t="str">
        <f>IFERROR(__xludf.DUMMYFUNCTION("""COMPUTED_VALUE"""),"PMAX")</f>
        <v>PMAX</v>
      </c>
      <c r="E52" s="624" t="str">
        <f>IFERROR(__xludf.DUMMYFUNCTION("""COMPUTED_VALUE"""),"Not start yet")</f>
        <v>Not start yet</v>
      </c>
      <c r="F52" s="609" t="str">
        <f>IFERROR(__xludf.DUMMYFUNCTION("""COMPUTED_VALUE"""),"TBU")</f>
        <v>TBU</v>
      </c>
      <c r="G52" s="638" t="str">
        <f>IFERROR(__xludf.DUMMYFUNCTION("""COMPUTED_VALUE"""),"TBU")</f>
        <v>TBU</v>
      </c>
      <c r="H52" s="585"/>
      <c r="I52" s="636">
        <v>1.0</v>
      </c>
      <c r="J52" s="585"/>
      <c r="K52" s="585"/>
      <c r="L52" s="585"/>
      <c r="M52" s="585"/>
      <c r="N52" s="585"/>
      <c r="O52" s="585"/>
      <c r="P52" s="585"/>
      <c r="Q52" s="585"/>
      <c r="R52" s="585"/>
      <c r="S52" s="585"/>
      <c r="T52" s="585"/>
      <c r="U52" s="585"/>
      <c r="V52" s="585"/>
      <c r="W52" s="585"/>
      <c r="X52" s="585"/>
      <c r="Y52" s="585"/>
      <c r="Z52" s="585"/>
      <c r="AA52" s="585"/>
      <c r="AB52" s="585"/>
      <c r="AC52" s="585"/>
      <c r="AD52" s="585"/>
      <c r="AE52" s="585"/>
      <c r="AF52" s="585"/>
      <c r="AG52" s="585"/>
      <c r="AH52" s="585"/>
      <c r="AI52" s="585"/>
      <c r="AJ52" s="585"/>
      <c r="AK52" s="585"/>
      <c r="AL52" s="585"/>
      <c r="AM52" s="585"/>
      <c r="AN52" s="585"/>
      <c r="AO52" s="585"/>
      <c r="AP52" s="585"/>
      <c r="AQ52" s="585"/>
      <c r="AR52" s="585"/>
    </row>
    <row r="53">
      <c r="A53" s="637">
        <f>IFERROR(__xludf.DUMMYFUNCTION("""COMPUTED_VALUE"""),3.0)</f>
        <v>3</v>
      </c>
      <c r="B53" s="616" t="str">
        <f>IFERROR(__xludf.DUMMYFUNCTION("""COMPUTED_VALUE"""),"Hello Lập Đây")</f>
        <v>Hello Lập Đây</v>
      </c>
      <c r="C53" s="617"/>
      <c r="D53" s="618"/>
      <c r="E53" s="619"/>
      <c r="F53" s="619"/>
      <c r="G53" s="619"/>
      <c r="H53" s="585"/>
      <c r="I53" s="585"/>
      <c r="J53" s="585"/>
      <c r="K53" s="585"/>
      <c r="L53" s="585"/>
      <c r="M53" s="585"/>
      <c r="N53" s="585"/>
      <c r="O53" s="585"/>
      <c r="P53" s="585"/>
      <c r="Q53" s="585"/>
      <c r="R53" s="585"/>
      <c r="S53" s="585"/>
      <c r="T53" s="585"/>
      <c r="U53" s="585"/>
      <c r="V53" s="585"/>
      <c r="W53" s="585"/>
      <c r="X53" s="585"/>
      <c r="Y53" s="585"/>
      <c r="Z53" s="585"/>
      <c r="AA53" s="585"/>
      <c r="AB53" s="585"/>
      <c r="AC53" s="585"/>
      <c r="AD53" s="585"/>
      <c r="AE53" s="585"/>
      <c r="AF53" s="585"/>
      <c r="AG53" s="585"/>
      <c r="AH53" s="585"/>
      <c r="AI53" s="585"/>
      <c r="AJ53" s="585"/>
      <c r="AK53" s="585"/>
      <c r="AL53" s="585"/>
      <c r="AM53" s="585"/>
      <c r="AN53" s="585"/>
      <c r="AO53" s="585"/>
      <c r="AP53" s="585"/>
      <c r="AQ53" s="585"/>
      <c r="AR53" s="585"/>
    </row>
    <row r="54">
      <c r="A54" s="621"/>
      <c r="B54" s="622" t="str">
        <f>IFERROR(__xludf.DUMMYFUNCTION("""COMPUTED_VALUE"""),"Briefing cho Influencer")</f>
        <v>Briefing cho Influencer</v>
      </c>
      <c r="C54" s="623"/>
      <c r="D54" s="602" t="str">
        <f>IFERROR(__xludf.DUMMYFUNCTION("""COMPUTED_VALUE"""),"PMAX")</f>
        <v>PMAX</v>
      </c>
      <c r="E54" s="624" t="str">
        <f>IFERROR(__xludf.DUMMYFUNCTION("""COMPUTED_VALUE"""),"Done")</f>
        <v>Done</v>
      </c>
      <c r="F54" s="604">
        <f>IFERROR(__xludf.DUMMYFUNCTION("""COMPUTED_VALUE"""),46147.0)</f>
        <v>46147</v>
      </c>
      <c r="G54" s="639">
        <f>IFERROR(__xludf.DUMMYFUNCTION("""COMPUTED_VALUE"""),46148.0)</f>
        <v>46148</v>
      </c>
      <c r="H54" s="585"/>
      <c r="I54" s="625"/>
      <c r="J54" s="626" t="s">
        <v>882</v>
      </c>
      <c r="K54" s="585"/>
      <c r="L54" s="585"/>
      <c r="M54" s="585"/>
      <c r="N54" s="585"/>
      <c r="O54" s="585"/>
      <c r="P54" s="585"/>
      <c r="Q54" s="585"/>
      <c r="R54" s="585"/>
      <c r="S54" s="585"/>
      <c r="T54" s="585"/>
      <c r="U54" s="585"/>
      <c r="V54" s="585"/>
      <c r="W54" s="585"/>
      <c r="X54" s="585"/>
      <c r="Y54" s="585"/>
      <c r="Z54" s="585"/>
      <c r="AA54" s="585"/>
      <c r="AB54" s="585"/>
      <c r="AC54" s="585"/>
      <c r="AD54" s="585"/>
      <c r="AE54" s="585"/>
      <c r="AF54" s="585"/>
      <c r="AG54" s="585"/>
      <c r="AH54" s="585"/>
      <c r="AI54" s="585"/>
      <c r="AJ54" s="585"/>
      <c r="AK54" s="585"/>
      <c r="AL54" s="585"/>
      <c r="AM54" s="585"/>
      <c r="AN54" s="585"/>
      <c r="AO54" s="585"/>
      <c r="AP54" s="585"/>
      <c r="AQ54" s="585"/>
      <c r="AR54" s="585"/>
    </row>
    <row r="55">
      <c r="A55" s="621"/>
      <c r="B55" s="627" t="str">
        <f>IFERROR(__xludf.DUMMYFUNCTION("""COMPUTED_VALUE"""),"Script R1 + Outfits")</f>
        <v>Script R1 + Outfits</v>
      </c>
      <c r="C55" s="628"/>
      <c r="D55" s="602" t="str">
        <f>IFERROR(__xludf.DUMMYFUNCTION("""COMPUTED_VALUE"""),"PMAX")</f>
        <v>PMAX</v>
      </c>
      <c r="E55" s="624" t="str">
        <f>IFERROR(__xludf.DUMMYFUNCTION("""COMPUTED_VALUE"""),"Done")</f>
        <v>Done</v>
      </c>
      <c r="F55" s="604">
        <f>IFERROR(__xludf.DUMMYFUNCTION("""COMPUTED_VALUE"""),46150.0)</f>
        <v>46150</v>
      </c>
      <c r="G55" s="639">
        <f>IFERROR(__xludf.DUMMYFUNCTION("""COMPUTED_VALUE"""),46150.0)</f>
        <v>46150</v>
      </c>
      <c r="H55" s="585"/>
      <c r="I55" s="629">
        <v>1.0</v>
      </c>
      <c r="J55" s="630" t="s">
        <v>883</v>
      </c>
      <c r="K55" s="585"/>
      <c r="L55" s="585"/>
      <c r="M55" s="585"/>
      <c r="N55" s="585"/>
      <c r="O55" s="585"/>
      <c r="P55" s="585"/>
      <c r="Q55" s="585"/>
      <c r="R55" s="585"/>
      <c r="S55" s="585"/>
      <c r="T55" s="585"/>
      <c r="U55" s="585"/>
      <c r="V55" s="585"/>
      <c r="W55" s="585"/>
      <c r="X55" s="585"/>
      <c r="Y55" s="585"/>
      <c r="Z55" s="585"/>
      <c r="AA55" s="585"/>
      <c r="AB55" s="585"/>
      <c r="AC55" s="585"/>
      <c r="AD55" s="585"/>
      <c r="AE55" s="585"/>
      <c r="AF55" s="585"/>
      <c r="AG55" s="585"/>
      <c r="AH55" s="585"/>
      <c r="AI55" s="585"/>
      <c r="AJ55" s="585"/>
      <c r="AK55" s="585"/>
      <c r="AL55" s="585"/>
      <c r="AM55" s="585"/>
      <c r="AN55" s="585"/>
      <c r="AO55" s="585"/>
      <c r="AP55" s="585"/>
      <c r="AQ55" s="585"/>
      <c r="AR55" s="585"/>
    </row>
    <row r="56">
      <c r="A56" s="621"/>
      <c r="B56" s="627" t="str">
        <f>IFERROR(__xludf.DUMMYFUNCTION("""COMPUTED_VALUE"""),"Feedback Script R1 + outfits")</f>
        <v>Feedback Script R1 + outfits</v>
      </c>
      <c r="C56" s="628"/>
      <c r="D56" s="602" t="str">
        <f>IFERROR(__xludf.DUMMYFUNCTION("""COMPUTED_VALUE"""),"BRAND")</f>
        <v>BRAND</v>
      </c>
      <c r="E56" s="624" t="str">
        <f>IFERROR(__xludf.DUMMYFUNCTION("""COMPUTED_VALUE"""),"Not start yet")</f>
        <v>Not start yet</v>
      </c>
      <c r="F56" s="604">
        <f>IFERROR(__xludf.DUMMYFUNCTION("""COMPUTED_VALUE"""),46151.0)</f>
        <v>46151</v>
      </c>
      <c r="G56" s="639">
        <f>IFERROR(__xludf.DUMMYFUNCTION("""COMPUTED_VALUE"""),46152.0)</f>
        <v>46152</v>
      </c>
      <c r="H56" s="585"/>
      <c r="I56" s="625"/>
      <c r="J56" s="630" t="s">
        <v>884</v>
      </c>
      <c r="K56" s="585"/>
      <c r="L56" s="585"/>
      <c r="M56" s="585"/>
      <c r="N56" s="585"/>
      <c r="O56" s="585"/>
      <c r="P56" s="585"/>
      <c r="Q56" s="585"/>
      <c r="R56" s="585"/>
      <c r="S56" s="585"/>
      <c r="T56" s="585"/>
      <c r="U56" s="585"/>
      <c r="V56" s="585"/>
      <c r="W56" s="585"/>
      <c r="X56" s="585"/>
      <c r="Y56" s="585"/>
      <c r="Z56" s="585"/>
      <c r="AA56" s="585"/>
      <c r="AB56" s="585"/>
      <c r="AC56" s="585"/>
      <c r="AD56" s="585"/>
      <c r="AE56" s="585"/>
      <c r="AF56" s="585"/>
      <c r="AG56" s="585"/>
      <c r="AH56" s="585"/>
      <c r="AI56" s="585"/>
      <c r="AJ56" s="585"/>
      <c r="AK56" s="585"/>
      <c r="AL56" s="585"/>
      <c r="AM56" s="585"/>
      <c r="AN56" s="585"/>
      <c r="AO56" s="585"/>
      <c r="AP56" s="585"/>
      <c r="AQ56" s="585"/>
      <c r="AR56" s="585"/>
    </row>
    <row r="57">
      <c r="A57" s="621"/>
      <c r="B57" s="631" t="str">
        <f>IFERROR(__xludf.DUMMYFUNCTION("""COMPUTED_VALUE"""),"Script R2")</f>
        <v>Script R2</v>
      </c>
      <c r="C57" s="628"/>
      <c r="D57" s="632" t="str">
        <f>IFERROR(__xludf.DUMMYFUNCTION("""COMPUTED_VALUE"""),"PMAX")</f>
        <v>PMAX</v>
      </c>
      <c r="E57" s="624" t="str">
        <f>IFERROR(__xludf.DUMMYFUNCTION("""COMPUTED_VALUE"""),"Not start yet")</f>
        <v>Not start yet</v>
      </c>
      <c r="F57" s="604">
        <f>IFERROR(__xludf.DUMMYFUNCTION("""COMPUTED_VALUE"""),46153.0)</f>
        <v>46153</v>
      </c>
      <c r="G57" s="639">
        <f>IFERROR(__xludf.DUMMYFUNCTION("""COMPUTED_VALUE"""),46153.0)</f>
        <v>46153</v>
      </c>
      <c r="H57" s="585"/>
      <c r="I57" s="625"/>
      <c r="J57" s="630"/>
      <c r="K57" s="585"/>
      <c r="L57" s="585"/>
      <c r="M57" s="585"/>
      <c r="N57" s="585"/>
      <c r="O57" s="585"/>
      <c r="P57" s="585"/>
      <c r="Q57" s="585"/>
      <c r="R57" s="585"/>
      <c r="S57" s="585"/>
      <c r="T57" s="585"/>
      <c r="U57" s="585"/>
      <c r="V57" s="585"/>
      <c r="W57" s="585"/>
      <c r="X57" s="585"/>
      <c r="Y57" s="585"/>
      <c r="Z57" s="585"/>
      <c r="AA57" s="585"/>
      <c r="AB57" s="585"/>
      <c r="AC57" s="585"/>
      <c r="AD57" s="585"/>
      <c r="AE57" s="585"/>
      <c r="AF57" s="585"/>
      <c r="AG57" s="585"/>
      <c r="AH57" s="585"/>
      <c r="AI57" s="585"/>
      <c r="AJ57" s="585"/>
      <c r="AK57" s="585"/>
      <c r="AL57" s="585"/>
      <c r="AM57" s="585"/>
      <c r="AN57" s="585"/>
      <c r="AO57" s="585"/>
      <c r="AP57" s="585"/>
      <c r="AQ57" s="585"/>
      <c r="AR57" s="585"/>
    </row>
    <row r="58">
      <c r="A58" s="621"/>
      <c r="B58" s="631" t="str">
        <f>IFERROR(__xludf.DUMMYFUNCTION("""COMPUTED_VALUE"""),"Feedback Script R2")</f>
        <v>Feedback Script R2</v>
      </c>
      <c r="C58" s="628"/>
      <c r="D58" s="632" t="str">
        <f>IFERROR(__xludf.DUMMYFUNCTION("""COMPUTED_VALUE"""),"BRAND")</f>
        <v>BRAND</v>
      </c>
      <c r="E58" s="624" t="str">
        <f>IFERROR(__xludf.DUMMYFUNCTION("""COMPUTED_VALUE"""),"Not start yet")</f>
        <v>Not start yet</v>
      </c>
      <c r="F58" s="604">
        <f>IFERROR(__xludf.DUMMYFUNCTION("""COMPUTED_VALUE"""),46153.0)</f>
        <v>46153</v>
      </c>
      <c r="G58" s="639">
        <f>IFERROR(__xludf.DUMMYFUNCTION("""COMPUTED_VALUE"""),46153.0)</f>
        <v>46153</v>
      </c>
      <c r="H58" s="585"/>
      <c r="I58" s="625"/>
      <c r="J58" s="630"/>
      <c r="K58" s="585"/>
      <c r="L58" s="585"/>
      <c r="M58" s="585"/>
      <c r="N58" s="585"/>
      <c r="O58" s="585"/>
      <c r="P58" s="585"/>
      <c r="Q58" s="585"/>
      <c r="R58" s="585"/>
      <c r="S58" s="585"/>
      <c r="T58" s="585"/>
      <c r="U58" s="585"/>
      <c r="V58" s="585"/>
      <c r="W58" s="585"/>
      <c r="X58" s="585"/>
      <c r="Y58" s="585"/>
      <c r="Z58" s="585"/>
      <c r="AA58" s="585"/>
      <c r="AB58" s="585"/>
      <c r="AC58" s="585"/>
      <c r="AD58" s="585"/>
      <c r="AE58" s="585"/>
      <c r="AF58" s="585"/>
      <c r="AG58" s="585"/>
      <c r="AH58" s="585"/>
      <c r="AI58" s="585"/>
      <c r="AJ58" s="585"/>
      <c r="AK58" s="585"/>
      <c r="AL58" s="585"/>
      <c r="AM58" s="585"/>
      <c r="AN58" s="585"/>
      <c r="AO58" s="585"/>
      <c r="AP58" s="585"/>
      <c r="AQ58" s="585"/>
      <c r="AR58" s="585"/>
    </row>
    <row r="59">
      <c r="A59" s="621"/>
      <c r="B59" s="627" t="str">
        <f>IFERROR(__xludf.DUMMYFUNCTION("""COMPUTED_VALUE"""),"Finalize scripts + outfits")</f>
        <v>Finalize scripts + outfits</v>
      </c>
      <c r="C59" s="628"/>
      <c r="D59" s="602" t="str">
        <f>IFERROR(__xludf.DUMMYFUNCTION("""COMPUTED_VALUE"""),"PMAX-BRAND")</f>
        <v>PMAX-BRAND</v>
      </c>
      <c r="E59" s="624" t="str">
        <f>IFERROR(__xludf.DUMMYFUNCTION("""COMPUTED_VALUE"""),"Not start yet")</f>
        <v>Not start yet</v>
      </c>
      <c r="F59" s="604">
        <f>IFERROR(__xludf.DUMMYFUNCTION("""COMPUTED_VALUE"""),46154.0)</f>
        <v>46154</v>
      </c>
      <c r="G59" s="639">
        <f>IFERROR(__xludf.DUMMYFUNCTION("""COMPUTED_VALUE"""),46154.0)</f>
        <v>46154</v>
      </c>
      <c r="H59" s="585"/>
      <c r="I59" s="629">
        <v>1.0</v>
      </c>
      <c r="J59" s="630" t="s">
        <v>885</v>
      </c>
      <c r="K59" s="585"/>
      <c r="L59" s="585"/>
      <c r="M59" s="585"/>
      <c r="N59" s="585"/>
      <c r="O59" s="585"/>
      <c r="P59" s="585"/>
      <c r="Q59" s="585"/>
      <c r="R59" s="585"/>
      <c r="S59" s="585"/>
      <c r="T59" s="585"/>
      <c r="U59" s="585"/>
      <c r="V59" s="585"/>
      <c r="W59" s="585"/>
      <c r="X59" s="585"/>
      <c r="Y59" s="585"/>
      <c r="Z59" s="585"/>
      <c r="AA59" s="585"/>
      <c r="AB59" s="585"/>
      <c r="AC59" s="585"/>
      <c r="AD59" s="585"/>
      <c r="AE59" s="585"/>
      <c r="AF59" s="585"/>
      <c r="AG59" s="585"/>
      <c r="AH59" s="585"/>
      <c r="AI59" s="585"/>
      <c r="AJ59" s="585"/>
      <c r="AK59" s="585"/>
      <c r="AL59" s="585"/>
      <c r="AM59" s="585"/>
      <c r="AN59" s="585"/>
      <c r="AO59" s="585"/>
      <c r="AP59" s="585"/>
      <c r="AQ59" s="585"/>
      <c r="AR59" s="585"/>
    </row>
    <row r="60">
      <c r="A60" s="621"/>
      <c r="B60" s="627" t="str">
        <f>IFERROR(__xludf.DUMMYFUNCTION("""COMPUTED_VALUE"""),"Đi quay tại site")</f>
        <v>Đi quay tại site</v>
      </c>
      <c r="C60" s="628"/>
      <c r="D60" s="602" t="str">
        <f>IFERROR(__xludf.DUMMYFUNCTION("""COMPUTED_VALUE"""),"PMAX")</f>
        <v>PMAX</v>
      </c>
      <c r="E60" s="624" t="str">
        <f>IFERROR(__xludf.DUMMYFUNCTION("""COMPUTED_VALUE"""),"Not start yet")</f>
        <v>Not start yet</v>
      </c>
      <c r="F60" s="604">
        <f>IFERROR(__xludf.DUMMYFUNCTION("""COMPUTED_VALUE"""),46154.0)</f>
        <v>46154</v>
      </c>
      <c r="G60" s="639">
        <f>IFERROR(__xludf.DUMMYFUNCTION("""COMPUTED_VALUE"""),46154.0)</f>
        <v>46154</v>
      </c>
      <c r="H60" s="585"/>
      <c r="I60" s="629">
        <v>2.0</v>
      </c>
      <c r="J60" s="625"/>
      <c r="K60" s="585"/>
      <c r="L60" s="585"/>
      <c r="M60" s="585"/>
      <c r="N60" s="585"/>
      <c r="O60" s="585"/>
      <c r="P60" s="585"/>
      <c r="Q60" s="585"/>
      <c r="R60" s="585"/>
      <c r="S60" s="585"/>
      <c r="T60" s="585"/>
      <c r="U60" s="585"/>
      <c r="V60" s="585"/>
      <c r="W60" s="585"/>
      <c r="X60" s="585"/>
      <c r="Y60" s="585"/>
      <c r="Z60" s="585"/>
      <c r="AA60" s="585"/>
      <c r="AB60" s="585"/>
      <c r="AC60" s="585"/>
      <c r="AD60" s="585"/>
      <c r="AE60" s="585"/>
      <c r="AF60" s="585"/>
      <c r="AG60" s="585"/>
      <c r="AH60" s="585"/>
      <c r="AI60" s="585"/>
      <c r="AJ60" s="585"/>
      <c r="AK60" s="585"/>
      <c r="AL60" s="585"/>
      <c r="AM60" s="585"/>
      <c r="AN60" s="585"/>
      <c r="AO60" s="585"/>
      <c r="AP60" s="585"/>
      <c r="AQ60" s="585"/>
      <c r="AR60" s="585"/>
    </row>
    <row r="61">
      <c r="A61" s="621"/>
      <c r="B61" s="633" t="str">
        <f>IFERROR(__xludf.DUMMYFUNCTION("""COMPUTED_VALUE"""),"Demo R1")</f>
        <v>Demo R1</v>
      </c>
      <c r="C61" s="628"/>
      <c r="D61" s="602" t="str">
        <f>IFERROR(__xludf.DUMMYFUNCTION("""COMPUTED_VALUE"""),"PMAX")</f>
        <v>PMAX</v>
      </c>
      <c r="E61" s="624" t="str">
        <f>IFERROR(__xludf.DUMMYFUNCTION("""COMPUTED_VALUE"""),"Not start yet")</f>
        <v>Not start yet</v>
      </c>
      <c r="F61" s="604">
        <f>IFERROR(__xludf.DUMMYFUNCTION("""COMPUTED_VALUE"""),46159.0)</f>
        <v>46159</v>
      </c>
      <c r="G61" s="639">
        <f>IFERROR(__xludf.DUMMYFUNCTION("""COMPUTED_VALUE"""),46159.0)</f>
        <v>46159</v>
      </c>
      <c r="H61" s="585"/>
      <c r="I61" s="629">
        <v>4.0</v>
      </c>
      <c r="J61" s="630" t="s">
        <v>886</v>
      </c>
      <c r="K61" s="585"/>
      <c r="L61" s="585"/>
      <c r="M61" s="585"/>
      <c r="N61" s="585"/>
      <c r="O61" s="585"/>
      <c r="P61" s="585"/>
      <c r="Q61" s="585"/>
      <c r="R61" s="585"/>
      <c r="S61" s="585"/>
      <c r="T61" s="585"/>
      <c r="U61" s="585"/>
      <c r="V61" s="585"/>
      <c r="W61" s="585"/>
      <c r="X61" s="585"/>
      <c r="Y61" s="585"/>
      <c r="Z61" s="585"/>
      <c r="AA61" s="585"/>
      <c r="AB61" s="585"/>
      <c r="AC61" s="585"/>
      <c r="AD61" s="585"/>
      <c r="AE61" s="585"/>
      <c r="AF61" s="585"/>
      <c r="AG61" s="585"/>
      <c r="AH61" s="585"/>
      <c r="AI61" s="585"/>
      <c r="AJ61" s="585"/>
      <c r="AK61" s="585"/>
      <c r="AL61" s="585"/>
      <c r="AM61" s="585"/>
      <c r="AN61" s="585"/>
      <c r="AO61" s="585"/>
      <c r="AP61" s="585"/>
      <c r="AQ61" s="585"/>
      <c r="AR61" s="585"/>
    </row>
    <row r="62">
      <c r="A62" s="621"/>
      <c r="B62" s="627" t="str">
        <f>IFERROR(__xludf.DUMMYFUNCTION("""COMPUTED_VALUE"""),"Feedback demo R1")</f>
        <v>Feedback demo R1</v>
      </c>
      <c r="C62" s="628"/>
      <c r="D62" s="602" t="str">
        <f>IFERROR(__xludf.DUMMYFUNCTION("""COMPUTED_VALUE"""),"BRAND")</f>
        <v>BRAND</v>
      </c>
      <c r="E62" s="624" t="str">
        <f>IFERROR(__xludf.DUMMYFUNCTION("""COMPUTED_VALUE"""),"Not start yet")</f>
        <v>Not start yet</v>
      </c>
      <c r="F62" s="604">
        <f>IFERROR(__xludf.DUMMYFUNCTION("""COMPUTED_VALUE"""),46160.0)</f>
        <v>46160</v>
      </c>
      <c r="G62" s="639">
        <f>IFERROR(__xludf.DUMMYFUNCTION("""COMPUTED_VALUE"""),46160.0)</f>
        <v>46160</v>
      </c>
      <c r="H62" s="585"/>
      <c r="I62" s="625"/>
      <c r="J62" s="630" t="s">
        <v>887</v>
      </c>
      <c r="K62" s="585"/>
      <c r="L62" s="585"/>
      <c r="M62" s="585"/>
      <c r="N62" s="585"/>
      <c r="O62" s="585"/>
      <c r="P62" s="585"/>
      <c r="Q62" s="585"/>
      <c r="R62" s="585"/>
      <c r="S62" s="585"/>
      <c r="T62" s="585"/>
      <c r="U62" s="585"/>
      <c r="V62" s="585"/>
      <c r="W62" s="585"/>
      <c r="X62" s="585"/>
      <c r="Y62" s="585"/>
      <c r="Z62" s="585"/>
      <c r="AA62" s="585"/>
      <c r="AB62" s="585"/>
      <c r="AC62" s="585"/>
      <c r="AD62" s="585"/>
      <c r="AE62" s="585"/>
      <c r="AF62" s="585"/>
      <c r="AG62" s="585"/>
      <c r="AH62" s="585"/>
      <c r="AI62" s="585"/>
      <c r="AJ62" s="585"/>
      <c r="AK62" s="585"/>
      <c r="AL62" s="585"/>
      <c r="AM62" s="585"/>
      <c r="AN62" s="585"/>
      <c r="AO62" s="585"/>
      <c r="AP62" s="585"/>
      <c r="AQ62" s="585"/>
      <c r="AR62" s="585"/>
    </row>
    <row r="63">
      <c r="A63" s="621"/>
      <c r="B63" s="633" t="str">
        <f>IFERROR(__xludf.DUMMYFUNCTION("""COMPUTED_VALUE"""),"Demo R2")</f>
        <v>Demo R2</v>
      </c>
      <c r="C63" s="628"/>
      <c r="D63" s="602" t="str">
        <f>IFERROR(__xludf.DUMMYFUNCTION("""COMPUTED_VALUE"""),"PMAX")</f>
        <v>PMAX</v>
      </c>
      <c r="E63" s="624" t="str">
        <f>IFERROR(__xludf.DUMMYFUNCTION("""COMPUTED_VALUE"""),"Not start yet")</f>
        <v>Not start yet</v>
      </c>
      <c r="F63" s="604">
        <f>IFERROR(__xludf.DUMMYFUNCTION("""COMPUTED_VALUE"""),46162.0)</f>
        <v>46162</v>
      </c>
      <c r="G63" s="639">
        <f>IFERROR(__xludf.DUMMYFUNCTION("""COMPUTED_VALUE"""),46162.0)</f>
        <v>46162</v>
      </c>
      <c r="H63" s="585"/>
      <c r="I63" s="625"/>
      <c r="J63" s="625"/>
      <c r="K63" s="585"/>
      <c r="L63" s="585"/>
      <c r="M63" s="585"/>
      <c r="N63" s="585"/>
      <c r="O63" s="585"/>
      <c r="P63" s="585"/>
      <c r="Q63" s="585"/>
      <c r="R63" s="585"/>
      <c r="S63" s="585"/>
      <c r="T63" s="585"/>
      <c r="U63" s="585"/>
      <c r="V63" s="585"/>
      <c r="W63" s="585"/>
      <c r="X63" s="585"/>
      <c r="Y63" s="585"/>
      <c r="Z63" s="585"/>
      <c r="AA63" s="585"/>
      <c r="AB63" s="585"/>
      <c r="AC63" s="585"/>
      <c r="AD63" s="585"/>
      <c r="AE63" s="585"/>
      <c r="AF63" s="585"/>
      <c r="AG63" s="585"/>
      <c r="AH63" s="585"/>
      <c r="AI63" s="585"/>
      <c r="AJ63" s="585"/>
      <c r="AK63" s="585"/>
      <c r="AL63" s="585"/>
      <c r="AM63" s="585"/>
      <c r="AN63" s="585"/>
      <c r="AO63" s="585"/>
      <c r="AP63" s="585"/>
      <c r="AQ63" s="585"/>
      <c r="AR63" s="585"/>
    </row>
    <row r="64">
      <c r="A64" s="621"/>
      <c r="B64" s="627" t="str">
        <f>IFERROR(__xludf.DUMMYFUNCTION("""COMPUTED_VALUE"""),"Feedback demo R2")</f>
        <v>Feedback demo R2</v>
      </c>
      <c r="C64" s="628"/>
      <c r="D64" s="602" t="str">
        <f>IFERROR(__xludf.DUMMYFUNCTION("""COMPUTED_VALUE"""),"BRAND")</f>
        <v>BRAND</v>
      </c>
      <c r="E64" s="624" t="str">
        <f>IFERROR(__xludf.DUMMYFUNCTION("""COMPUTED_VALUE"""),"Not start yet")</f>
        <v>Not start yet</v>
      </c>
      <c r="F64" s="604">
        <f>IFERROR(__xludf.DUMMYFUNCTION("""COMPUTED_VALUE"""),46163.0)</f>
        <v>46163</v>
      </c>
      <c r="G64" s="639">
        <f>IFERROR(__xludf.DUMMYFUNCTION("""COMPUTED_VALUE"""),46163.0)</f>
        <v>46163</v>
      </c>
      <c r="H64" s="585"/>
      <c r="I64" s="625"/>
      <c r="J64" s="625"/>
      <c r="K64" s="585"/>
      <c r="L64" s="585"/>
      <c r="M64" s="585"/>
      <c r="N64" s="585"/>
      <c r="O64" s="585"/>
      <c r="P64" s="585"/>
      <c r="Q64" s="585"/>
      <c r="R64" s="585"/>
      <c r="S64" s="585"/>
      <c r="T64" s="585"/>
      <c r="U64" s="585"/>
      <c r="V64" s="585"/>
      <c r="W64" s="585"/>
      <c r="X64" s="585"/>
      <c r="Y64" s="585"/>
      <c r="Z64" s="585"/>
      <c r="AA64" s="585"/>
      <c r="AB64" s="585"/>
      <c r="AC64" s="585"/>
      <c r="AD64" s="585"/>
      <c r="AE64" s="585"/>
      <c r="AF64" s="585"/>
      <c r="AG64" s="585"/>
      <c r="AH64" s="585"/>
      <c r="AI64" s="585"/>
      <c r="AJ64" s="585"/>
      <c r="AK64" s="585"/>
      <c r="AL64" s="585"/>
      <c r="AM64" s="585"/>
      <c r="AN64" s="585"/>
      <c r="AO64" s="585"/>
      <c r="AP64" s="585"/>
      <c r="AQ64" s="585"/>
      <c r="AR64" s="585"/>
    </row>
    <row r="65">
      <c r="A65" s="621"/>
      <c r="B65" s="627" t="str">
        <f>IFERROR(__xludf.DUMMYFUNCTION("""COMPUTED_VALUE"""),"Finalize demo")</f>
        <v>Finalize demo</v>
      </c>
      <c r="C65" s="628"/>
      <c r="D65" s="602" t="str">
        <f>IFERROR(__xludf.DUMMYFUNCTION("""COMPUTED_VALUE"""),"PMAX")</f>
        <v>PMAX</v>
      </c>
      <c r="E65" s="624" t="str">
        <f>IFERROR(__xludf.DUMMYFUNCTION("""COMPUTED_VALUE"""),"Not start yet")</f>
        <v>Not start yet</v>
      </c>
      <c r="F65" s="604">
        <f>IFERROR(__xludf.DUMMYFUNCTION("""COMPUTED_VALUE"""),46164.0)</f>
        <v>46164</v>
      </c>
      <c r="G65" s="639">
        <f>IFERROR(__xludf.DUMMYFUNCTION("""COMPUTED_VALUE"""),46165.0)</f>
        <v>46165</v>
      </c>
      <c r="H65" s="585"/>
      <c r="I65" s="629">
        <v>1.0</v>
      </c>
      <c r="J65" s="630" t="s">
        <v>888</v>
      </c>
      <c r="K65" s="585"/>
      <c r="L65" s="585"/>
      <c r="M65" s="585"/>
      <c r="N65" s="585"/>
      <c r="O65" s="585"/>
      <c r="P65" s="585"/>
      <c r="Q65" s="585"/>
      <c r="R65" s="585"/>
      <c r="S65" s="585"/>
      <c r="T65" s="585"/>
      <c r="U65" s="585"/>
      <c r="V65" s="585"/>
      <c r="W65" s="585"/>
      <c r="X65" s="585"/>
      <c r="Y65" s="585"/>
      <c r="Z65" s="585"/>
      <c r="AA65" s="585"/>
      <c r="AB65" s="585"/>
      <c r="AC65" s="585"/>
      <c r="AD65" s="585"/>
      <c r="AE65" s="585"/>
      <c r="AF65" s="585"/>
      <c r="AG65" s="585"/>
      <c r="AH65" s="585"/>
      <c r="AI65" s="585"/>
      <c r="AJ65" s="585"/>
      <c r="AK65" s="585"/>
      <c r="AL65" s="585"/>
      <c r="AM65" s="585"/>
      <c r="AN65" s="585"/>
      <c r="AO65" s="585"/>
      <c r="AP65" s="585"/>
      <c r="AQ65" s="585"/>
      <c r="AR65" s="585"/>
    </row>
    <row r="66">
      <c r="A66" s="621"/>
      <c r="B66" s="634" t="str">
        <f>IFERROR(__xludf.DUMMYFUNCTION("""COMPUTED_VALUE"""),"Air")</f>
        <v>Air</v>
      </c>
      <c r="C66" s="26"/>
      <c r="D66" s="602" t="str">
        <f>IFERROR(__xludf.DUMMYFUNCTION("""COMPUTED_VALUE"""),"PMAX")</f>
        <v>PMAX</v>
      </c>
      <c r="E66" s="624" t="str">
        <f>IFERROR(__xludf.DUMMYFUNCTION("""COMPUTED_VALUE"""),"Not start yet")</f>
        <v>Not start yet</v>
      </c>
      <c r="F66" s="604" t="str">
        <f>IFERROR(__xludf.DUMMYFUNCTION("""COMPUTED_VALUE"""),"TBU")</f>
        <v>TBU</v>
      </c>
      <c r="G66" s="639" t="str">
        <f>IFERROR(__xludf.DUMMYFUNCTION("""COMPUTED_VALUE"""),"TBU")</f>
        <v>TBU</v>
      </c>
      <c r="H66" s="585"/>
      <c r="I66" s="636">
        <v>1.0</v>
      </c>
      <c r="J66" s="585"/>
      <c r="K66" s="585"/>
      <c r="L66" s="585"/>
      <c r="M66" s="585"/>
      <c r="N66" s="585"/>
      <c r="O66" s="585"/>
      <c r="P66" s="585"/>
      <c r="Q66" s="585"/>
      <c r="R66" s="585"/>
      <c r="S66" s="585"/>
      <c r="T66" s="585"/>
      <c r="U66" s="585"/>
      <c r="V66" s="585"/>
      <c r="W66" s="585"/>
      <c r="X66" s="585"/>
      <c r="Y66" s="585"/>
      <c r="Z66" s="585"/>
      <c r="AA66" s="585"/>
      <c r="AB66" s="585"/>
      <c r="AC66" s="585"/>
      <c r="AD66" s="585"/>
      <c r="AE66" s="585"/>
      <c r="AF66" s="585"/>
      <c r="AG66" s="585"/>
      <c r="AH66" s="585"/>
      <c r="AI66" s="585"/>
      <c r="AJ66" s="585"/>
      <c r="AK66" s="585"/>
      <c r="AL66" s="585"/>
      <c r="AM66" s="585"/>
      <c r="AN66" s="585"/>
      <c r="AO66" s="585"/>
      <c r="AP66" s="585"/>
      <c r="AQ66" s="585"/>
      <c r="AR66" s="585"/>
    </row>
    <row r="67">
      <c r="A67" s="637">
        <f>IFERROR(__xludf.DUMMYFUNCTION("""COMPUTED_VALUE"""),4.0)</f>
        <v>4</v>
      </c>
      <c r="B67" s="616" t="str">
        <f>IFERROR(__xludf.DUMMYFUNCTION("""COMPUTED_VALUE"""),"Huyền Nhi")</f>
        <v>Huyền Nhi</v>
      </c>
      <c r="C67" s="617"/>
      <c r="D67" s="618"/>
      <c r="E67" s="619"/>
      <c r="F67" s="619"/>
      <c r="G67" s="619"/>
      <c r="H67" s="585"/>
      <c r="I67" s="585"/>
      <c r="J67" s="585"/>
      <c r="K67" s="585"/>
      <c r="L67" s="585"/>
      <c r="M67" s="585"/>
      <c r="N67" s="585"/>
      <c r="O67" s="585"/>
      <c r="P67" s="585"/>
      <c r="Q67" s="585"/>
      <c r="R67" s="585"/>
      <c r="S67" s="585"/>
      <c r="T67" s="585"/>
      <c r="U67" s="585"/>
      <c r="V67" s="585"/>
      <c r="W67" s="585"/>
      <c r="X67" s="585"/>
      <c r="Y67" s="585"/>
      <c r="Z67" s="585"/>
      <c r="AA67" s="585"/>
      <c r="AB67" s="585"/>
      <c r="AC67" s="585"/>
      <c r="AD67" s="585"/>
      <c r="AE67" s="585"/>
      <c r="AF67" s="585"/>
      <c r="AG67" s="585"/>
      <c r="AH67" s="585"/>
      <c r="AI67" s="585"/>
      <c r="AJ67" s="585"/>
      <c r="AK67" s="585"/>
      <c r="AL67" s="585"/>
      <c r="AM67" s="585"/>
      <c r="AN67" s="585"/>
      <c r="AO67" s="585"/>
      <c r="AP67" s="585"/>
      <c r="AQ67" s="585"/>
      <c r="AR67" s="585"/>
    </row>
    <row r="68">
      <c r="A68" s="621"/>
      <c r="B68" s="622" t="str">
        <f>IFERROR(__xludf.DUMMYFUNCTION("""COMPUTED_VALUE"""),"Briefing cho Influencer")</f>
        <v>Briefing cho Influencer</v>
      </c>
      <c r="C68" s="623"/>
      <c r="D68" s="602" t="str">
        <f>IFERROR(__xludf.DUMMYFUNCTION("""COMPUTED_VALUE"""),"PMAX")</f>
        <v>PMAX</v>
      </c>
      <c r="E68" s="624" t="str">
        <f>IFERROR(__xludf.DUMMYFUNCTION("""COMPUTED_VALUE"""),"Done")</f>
        <v>Done</v>
      </c>
      <c r="F68" s="604" t="str">
        <f>IFERROR(__xludf.DUMMYFUNCTION("""COMPUTED_VALUE"""),"Thứ 3. 5/ 5")</f>
        <v>Thứ 3. 5/ 5</v>
      </c>
      <c r="G68" s="639" t="str">
        <f>IFERROR(__xludf.DUMMYFUNCTION("""COMPUTED_VALUE"""),"Thứ 4. 6/ 5")</f>
        <v>Thứ 4. 6/ 5</v>
      </c>
      <c r="H68" s="585"/>
      <c r="I68" s="625"/>
      <c r="J68" s="626" t="s">
        <v>882</v>
      </c>
      <c r="K68" s="585"/>
      <c r="L68" s="585"/>
      <c r="M68" s="585"/>
      <c r="N68" s="585"/>
      <c r="O68" s="585"/>
      <c r="P68" s="585"/>
      <c r="Q68" s="585"/>
      <c r="R68" s="585"/>
      <c r="S68" s="585"/>
      <c r="T68" s="585"/>
      <c r="U68" s="585"/>
      <c r="V68" s="585"/>
      <c r="W68" s="585"/>
      <c r="X68" s="585"/>
      <c r="Y68" s="585"/>
      <c r="Z68" s="585"/>
      <c r="AA68" s="585"/>
      <c r="AB68" s="585"/>
      <c r="AC68" s="585"/>
      <c r="AD68" s="585"/>
      <c r="AE68" s="585"/>
      <c r="AF68" s="585"/>
      <c r="AG68" s="585"/>
      <c r="AH68" s="585"/>
      <c r="AI68" s="585"/>
      <c r="AJ68" s="585"/>
      <c r="AK68" s="585"/>
      <c r="AL68" s="585"/>
      <c r="AM68" s="585"/>
      <c r="AN68" s="585"/>
      <c r="AO68" s="585"/>
      <c r="AP68" s="585"/>
      <c r="AQ68" s="585"/>
      <c r="AR68" s="585"/>
    </row>
    <row r="69">
      <c r="A69" s="621"/>
      <c r="B69" s="627" t="str">
        <f>IFERROR(__xludf.DUMMYFUNCTION("""COMPUTED_VALUE"""),"Script R1 + Outfits")</f>
        <v>Script R1 + Outfits</v>
      </c>
      <c r="C69" s="628"/>
      <c r="D69" s="602" t="str">
        <f>IFERROR(__xludf.DUMMYFUNCTION("""COMPUTED_VALUE"""),"PMAX")</f>
        <v>PMAX</v>
      </c>
      <c r="E69" s="624" t="str">
        <f>IFERROR(__xludf.DUMMYFUNCTION("""COMPUTED_VALUE"""),"Done")</f>
        <v>Done</v>
      </c>
      <c r="F69" s="604" t="str">
        <f>IFERROR(__xludf.DUMMYFUNCTION("""COMPUTED_VALUE"""),"Thứ 6. 8/ 5")</f>
        <v>Thứ 6. 8/ 5</v>
      </c>
      <c r="G69" s="639" t="str">
        <f>IFERROR(__xludf.DUMMYFUNCTION("""COMPUTED_VALUE"""),"Thứ 6. 8/ 5")</f>
        <v>Thứ 6. 8/ 5</v>
      </c>
      <c r="H69" s="585"/>
      <c r="I69" s="629">
        <v>1.0</v>
      </c>
      <c r="J69" s="630" t="s">
        <v>883</v>
      </c>
      <c r="K69" s="585"/>
      <c r="L69" s="585"/>
      <c r="M69" s="585"/>
      <c r="N69" s="585"/>
      <c r="O69" s="585"/>
      <c r="P69" s="585"/>
      <c r="Q69" s="585"/>
      <c r="R69" s="585"/>
      <c r="S69" s="585"/>
      <c r="T69" s="585"/>
      <c r="U69" s="585"/>
      <c r="V69" s="585"/>
      <c r="W69" s="585"/>
      <c r="X69" s="585"/>
      <c r="Y69" s="585"/>
      <c r="Z69" s="585"/>
      <c r="AA69" s="585"/>
      <c r="AB69" s="585"/>
      <c r="AC69" s="585"/>
      <c r="AD69" s="585"/>
      <c r="AE69" s="585"/>
      <c r="AF69" s="585"/>
      <c r="AG69" s="585"/>
      <c r="AH69" s="585"/>
      <c r="AI69" s="585"/>
      <c r="AJ69" s="585"/>
      <c r="AK69" s="585"/>
      <c r="AL69" s="585"/>
      <c r="AM69" s="585"/>
      <c r="AN69" s="585"/>
      <c r="AO69" s="585"/>
      <c r="AP69" s="585"/>
      <c r="AQ69" s="585"/>
      <c r="AR69" s="585"/>
    </row>
    <row r="70">
      <c r="A70" s="621"/>
      <c r="B70" s="627" t="str">
        <f>IFERROR(__xludf.DUMMYFUNCTION("""COMPUTED_VALUE"""),"Feedback Script R1 + outfits")</f>
        <v>Feedback Script R1 + outfits</v>
      </c>
      <c r="C70" s="628"/>
      <c r="D70" s="602" t="str">
        <f>IFERROR(__xludf.DUMMYFUNCTION("""COMPUTED_VALUE"""),"BRAND")</f>
        <v>BRAND</v>
      </c>
      <c r="E70" s="624" t="str">
        <f>IFERROR(__xludf.DUMMYFUNCTION("""COMPUTED_VALUE"""),"Not start yet")</f>
        <v>Not start yet</v>
      </c>
      <c r="F70" s="604" t="str">
        <f>IFERROR(__xludf.DUMMYFUNCTION("""COMPUTED_VALUE"""),"Thứ 6. 8/ 5")</f>
        <v>Thứ 6. 8/ 5</v>
      </c>
      <c r="G70" s="639" t="str">
        <f>IFERROR(__xludf.DUMMYFUNCTION("""COMPUTED_VALUE"""),"Thứ 6. 8/ 5")</f>
        <v>Thứ 6. 8/ 5</v>
      </c>
      <c r="H70" s="585"/>
      <c r="I70" s="625"/>
      <c r="J70" s="630" t="s">
        <v>884</v>
      </c>
      <c r="K70" s="585"/>
      <c r="L70" s="585"/>
      <c r="M70" s="585"/>
      <c r="N70" s="585"/>
      <c r="O70" s="585"/>
      <c r="P70" s="585"/>
      <c r="Q70" s="585"/>
      <c r="R70" s="585"/>
      <c r="S70" s="585"/>
      <c r="T70" s="585"/>
      <c r="U70" s="585"/>
      <c r="V70" s="585"/>
      <c r="W70" s="585"/>
      <c r="X70" s="585"/>
      <c r="Y70" s="585"/>
      <c r="Z70" s="585"/>
      <c r="AA70" s="585"/>
      <c r="AB70" s="585"/>
      <c r="AC70" s="585"/>
      <c r="AD70" s="585"/>
      <c r="AE70" s="585"/>
      <c r="AF70" s="585"/>
      <c r="AG70" s="585"/>
      <c r="AH70" s="585"/>
      <c r="AI70" s="585"/>
      <c r="AJ70" s="585"/>
      <c r="AK70" s="585"/>
      <c r="AL70" s="585"/>
      <c r="AM70" s="585"/>
      <c r="AN70" s="585"/>
      <c r="AO70" s="585"/>
      <c r="AP70" s="585"/>
      <c r="AQ70" s="585"/>
      <c r="AR70" s="585"/>
    </row>
    <row r="71">
      <c r="A71" s="621"/>
      <c r="B71" s="631" t="str">
        <f>IFERROR(__xludf.DUMMYFUNCTION("""COMPUTED_VALUE"""),"Script R2")</f>
        <v>Script R2</v>
      </c>
      <c r="C71" s="628"/>
      <c r="D71" s="632" t="str">
        <f>IFERROR(__xludf.DUMMYFUNCTION("""COMPUTED_VALUE"""),"PMAX")</f>
        <v>PMAX</v>
      </c>
      <c r="E71" s="624" t="str">
        <f>IFERROR(__xludf.DUMMYFUNCTION("""COMPUTED_VALUE"""),"Not start yet")</f>
        <v>Not start yet</v>
      </c>
      <c r="F71" s="604" t="str">
        <f>IFERROR(__xludf.DUMMYFUNCTION("""COMPUTED_VALUE"""),"Thứ 7. 9/ 5")</f>
        <v>Thứ 7. 9/ 5</v>
      </c>
      <c r="G71" s="639" t="str">
        <f>IFERROR(__xludf.DUMMYFUNCTION("""COMPUTED_VALUE"""),"CN. 10/ 5")</f>
        <v>CN. 10/ 5</v>
      </c>
      <c r="H71" s="585"/>
      <c r="I71" s="625"/>
      <c r="J71" s="630"/>
      <c r="K71" s="585"/>
      <c r="L71" s="585"/>
      <c r="M71" s="585"/>
      <c r="N71" s="585"/>
      <c r="O71" s="585"/>
      <c r="P71" s="585"/>
      <c r="Q71" s="585"/>
      <c r="R71" s="585"/>
      <c r="S71" s="585"/>
      <c r="T71" s="585"/>
      <c r="U71" s="585"/>
      <c r="V71" s="585"/>
      <c r="W71" s="585"/>
      <c r="X71" s="585"/>
      <c r="Y71" s="585"/>
      <c r="Z71" s="585"/>
      <c r="AA71" s="585"/>
      <c r="AB71" s="585"/>
      <c r="AC71" s="585"/>
      <c r="AD71" s="585"/>
      <c r="AE71" s="585"/>
      <c r="AF71" s="585"/>
      <c r="AG71" s="585"/>
      <c r="AH71" s="585"/>
      <c r="AI71" s="585"/>
      <c r="AJ71" s="585"/>
      <c r="AK71" s="585"/>
      <c r="AL71" s="585"/>
      <c r="AM71" s="585"/>
      <c r="AN71" s="585"/>
      <c r="AO71" s="585"/>
      <c r="AP71" s="585"/>
      <c r="AQ71" s="585"/>
      <c r="AR71" s="585"/>
    </row>
    <row r="72">
      <c r="A72" s="621"/>
      <c r="B72" s="631" t="str">
        <f>IFERROR(__xludf.DUMMYFUNCTION("""COMPUTED_VALUE"""),"Feedback Script R2")</f>
        <v>Feedback Script R2</v>
      </c>
      <c r="C72" s="628"/>
      <c r="D72" s="632" t="str">
        <f>IFERROR(__xludf.DUMMYFUNCTION("""COMPUTED_VALUE"""),"BRAND")</f>
        <v>BRAND</v>
      </c>
      <c r="E72" s="624" t="str">
        <f>IFERROR(__xludf.DUMMYFUNCTION("""COMPUTED_VALUE"""),"Not start yet")</f>
        <v>Not start yet</v>
      </c>
      <c r="F72" s="604" t="str">
        <f>IFERROR(__xludf.DUMMYFUNCTION("""COMPUTED_VALUE"""),"Thứ 2. 11/ 5")</f>
        <v>Thứ 2. 11/ 5</v>
      </c>
      <c r="G72" s="639" t="str">
        <f>IFERROR(__xludf.DUMMYFUNCTION("""COMPUTED_VALUE"""),"Thứ 2. 11/ 5")</f>
        <v>Thứ 2. 11/ 5</v>
      </c>
      <c r="H72" s="585"/>
      <c r="I72" s="625"/>
      <c r="J72" s="630"/>
      <c r="K72" s="585"/>
      <c r="L72" s="585"/>
      <c r="M72" s="585"/>
      <c r="N72" s="585"/>
      <c r="O72" s="585"/>
      <c r="P72" s="585"/>
      <c r="Q72" s="585"/>
      <c r="R72" s="585"/>
      <c r="S72" s="585"/>
      <c r="T72" s="585"/>
      <c r="U72" s="585"/>
      <c r="V72" s="585"/>
      <c r="W72" s="585"/>
      <c r="X72" s="585"/>
      <c r="Y72" s="585"/>
      <c r="Z72" s="585"/>
      <c r="AA72" s="585"/>
      <c r="AB72" s="585"/>
      <c r="AC72" s="585"/>
      <c r="AD72" s="585"/>
      <c r="AE72" s="585"/>
      <c r="AF72" s="585"/>
      <c r="AG72" s="585"/>
      <c r="AH72" s="585"/>
      <c r="AI72" s="585"/>
      <c r="AJ72" s="585"/>
      <c r="AK72" s="585"/>
      <c r="AL72" s="585"/>
      <c r="AM72" s="585"/>
      <c r="AN72" s="585"/>
      <c r="AO72" s="585"/>
      <c r="AP72" s="585"/>
      <c r="AQ72" s="585"/>
      <c r="AR72" s="585"/>
    </row>
    <row r="73">
      <c r="A73" s="621"/>
      <c r="B73" s="627" t="str">
        <f>IFERROR(__xludf.DUMMYFUNCTION("""COMPUTED_VALUE"""),"Finalize scripts + outfits")</f>
        <v>Finalize scripts + outfits</v>
      </c>
      <c r="C73" s="628"/>
      <c r="D73" s="602" t="str">
        <f>IFERROR(__xludf.DUMMYFUNCTION("""COMPUTED_VALUE"""),"PMAX-BRAND")</f>
        <v>PMAX-BRAND</v>
      </c>
      <c r="E73" s="624" t="str">
        <f>IFERROR(__xludf.DUMMYFUNCTION("""COMPUTED_VALUE"""),"Not start yet")</f>
        <v>Not start yet</v>
      </c>
      <c r="F73" s="604" t="str">
        <f>IFERROR(__xludf.DUMMYFUNCTION("""COMPUTED_VALUE"""),"Thứ 2. 11/ 5")</f>
        <v>Thứ 2. 11/ 5</v>
      </c>
      <c r="G73" s="639" t="str">
        <f>IFERROR(__xludf.DUMMYFUNCTION("""COMPUTED_VALUE"""),"Thứ 2. 11/ 5")</f>
        <v>Thứ 2. 11/ 5</v>
      </c>
      <c r="H73" s="585"/>
      <c r="I73" s="629">
        <v>1.0</v>
      </c>
      <c r="J73" s="630" t="s">
        <v>885</v>
      </c>
      <c r="K73" s="585"/>
      <c r="L73" s="585"/>
      <c r="M73" s="585"/>
      <c r="N73" s="585"/>
      <c r="O73" s="585"/>
      <c r="P73" s="585"/>
      <c r="Q73" s="585"/>
      <c r="R73" s="585"/>
      <c r="S73" s="585"/>
      <c r="T73" s="585"/>
      <c r="U73" s="585"/>
      <c r="V73" s="585"/>
      <c r="W73" s="585"/>
      <c r="X73" s="585"/>
      <c r="Y73" s="585"/>
      <c r="Z73" s="585"/>
      <c r="AA73" s="585"/>
      <c r="AB73" s="585"/>
      <c r="AC73" s="585"/>
      <c r="AD73" s="585"/>
      <c r="AE73" s="585"/>
      <c r="AF73" s="585"/>
      <c r="AG73" s="585"/>
      <c r="AH73" s="585"/>
      <c r="AI73" s="585"/>
      <c r="AJ73" s="585"/>
      <c r="AK73" s="585"/>
      <c r="AL73" s="585"/>
      <c r="AM73" s="585"/>
      <c r="AN73" s="585"/>
      <c r="AO73" s="585"/>
      <c r="AP73" s="585"/>
      <c r="AQ73" s="585"/>
      <c r="AR73" s="585"/>
    </row>
    <row r="74">
      <c r="A74" s="621"/>
      <c r="B74" s="627" t="str">
        <f>IFERROR(__xludf.DUMMYFUNCTION("""COMPUTED_VALUE"""),"Đi quay tại site")</f>
        <v>Đi quay tại site</v>
      </c>
      <c r="C74" s="628"/>
      <c r="D74" s="602" t="str">
        <f>IFERROR(__xludf.DUMMYFUNCTION("""COMPUTED_VALUE"""),"PMAX")</f>
        <v>PMAX</v>
      </c>
      <c r="E74" s="624" t="str">
        <f>IFERROR(__xludf.DUMMYFUNCTION("""COMPUTED_VALUE"""),"Not start yet")</f>
        <v>Not start yet</v>
      </c>
      <c r="F74" s="604" t="str">
        <f>IFERROR(__xludf.DUMMYFUNCTION("""COMPUTED_VALUE"""),"Thứ 5. 14/ 5")</f>
        <v>Thứ 5. 14/ 5</v>
      </c>
      <c r="G74" s="639" t="str">
        <f>IFERROR(__xludf.DUMMYFUNCTION("""COMPUTED_VALUE"""),"Thứ 5. 14/ 5")</f>
        <v>Thứ 5. 14/ 5</v>
      </c>
      <c r="H74" s="585"/>
      <c r="I74" s="629">
        <v>2.0</v>
      </c>
      <c r="J74" s="625"/>
      <c r="K74" s="585"/>
      <c r="L74" s="585"/>
      <c r="M74" s="585"/>
      <c r="N74" s="585"/>
      <c r="O74" s="585"/>
      <c r="P74" s="585"/>
      <c r="Q74" s="585"/>
      <c r="R74" s="585"/>
      <c r="S74" s="585"/>
      <c r="T74" s="585"/>
      <c r="U74" s="585"/>
      <c r="V74" s="585"/>
      <c r="W74" s="585"/>
      <c r="X74" s="585"/>
      <c r="Y74" s="585"/>
      <c r="Z74" s="585"/>
      <c r="AA74" s="585"/>
      <c r="AB74" s="585"/>
      <c r="AC74" s="585"/>
      <c r="AD74" s="585"/>
      <c r="AE74" s="585"/>
      <c r="AF74" s="585"/>
      <c r="AG74" s="585"/>
      <c r="AH74" s="585"/>
      <c r="AI74" s="585"/>
      <c r="AJ74" s="585"/>
      <c r="AK74" s="585"/>
      <c r="AL74" s="585"/>
      <c r="AM74" s="585"/>
      <c r="AN74" s="585"/>
      <c r="AO74" s="585"/>
      <c r="AP74" s="585"/>
      <c r="AQ74" s="585"/>
      <c r="AR74" s="585"/>
    </row>
    <row r="75">
      <c r="A75" s="621"/>
      <c r="B75" s="633" t="str">
        <f>IFERROR(__xludf.DUMMYFUNCTION("""COMPUTED_VALUE"""),"Demo R1")</f>
        <v>Demo R1</v>
      </c>
      <c r="C75" s="628"/>
      <c r="D75" s="602" t="str">
        <f>IFERROR(__xludf.DUMMYFUNCTION("""COMPUTED_VALUE"""),"PMAX")</f>
        <v>PMAX</v>
      </c>
      <c r="E75" s="624" t="str">
        <f>IFERROR(__xludf.DUMMYFUNCTION("""COMPUTED_VALUE"""),"Not start yet")</f>
        <v>Not start yet</v>
      </c>
      <c r="F75" s="604" t="str">
        <f>IFERROR(__xludf.DUMMYFUNCTION("""COMPUTED_VALUE"""),"Thứ 7. 16/ 5")</f>
        <v>Thứ 7. 16/ 5</v>
      </c>
      <c r="G75" s="639" t="str">
        <f>IFERROR(__xludf.DUMMYFUNCTION("""COMPUTED_VALUE"""),"CN. 17/ 5")</f>
        <v>CN. 17/ 5</v>
      </c>
      <c r="H75" s="585"/>
      <c r="I75" s="629">
        <v>4.0</v>
      </c>
      <c r="J75" s="630" t="s">
        <v>886</v>
      </c>
      <c r="K75" s="585"/>
      <c r="L75" s="585"/>
      <c r="M75" s="585"/>
      <c r="N75" s="585"/>
      <c r="O75" s="585"/>
      <c r="P75" s="585"/>
      <c r="Q75" s="585"/>
      <c r="R75" s="585"/>
      <c r="S75" s="585"/>
      <c r="T75" s="585"/>
      <c r="U75" s="585"/>
      <c r="V75" s="585"/>
      <c r="W75" s="585"/>
      <c r="X75" s="585"/>
      <c r="Y75" s="585"/>
      <c r="Z75" s="585"/>
      <c r="AA75" s="585"/>
      <c r="AB75" s="585"/>
      <c r="AC75" s="585"/>
      <c r="AD75" s="585"/>
      <c r="AE75" s="585"/>
      <c r="AF75" s="585"/>
      <c r="AG75" s="585"/>
      <c r="AH75" s="585"/>
      <c r="AI75" s="585"/>
      <c r="AJ75" s="585"/>
      <c r="AK75" s="585"/>
      <c r="AL75" s="585"/>
      <c r="AM75" s="585"/>
      <c r="AN75" s="585"/>
      <c r="AO75" s="585"/>
      <c r="AP75" s="585"/>
      <c r="AQ75" s="585"/>
      <c r="AR75" s="585"/>
    </row>
    <row r="76">
      <c r="A76" s="621"/>
      <c r="B76" s="627" t="str">
        <f>IFERROR(__xludf.DUMMYFUNCTION("""COMPUTED_VALUE"""),"Feedback demo R1")</f>
        <v>Feedback demo R1</v>
      </c>
      <c r="C76" s="628"/>
      <c r="D76" s="602" t="str">
        <f>IFERROR(__xludf.DUMMYFUNCTION("""COMPUTED_VALUE"""),"BRAND")</f>
        <v>BRAND</v>
      </c>
      <c r="E76" s="624" t="str">
        <f>IFERROR(__xludf.DUMMYFUNCTION("""COMPUTED_VALUE"""),"Not start yet")</f>
        <v>Not start yet</v>
      </c>
      <c r="F76" s="604" t="str">
        <f>IFERROR(__xludf.DUMMYFUNCTION("""COMPUTED_VALUE"""),"Thứ 2. 18/ 5")</f>
        <v>Thứ 2. 18/ 5</v>
      </c>
      <c r="G76" s="639" t="str">
        <f>IFERROR(__xludf.DUMMYFUNCTION("""COMPUTED_VALUE"""),"Thứ 2. 18/ 5")</f>
        <v>Thứ 2. 18/ 5</v>
      </c>
      <c r="H76" s="585"/>
      <c r="I76" s="625"/>
      <c r="J76" s="630" t="s">
        <v>887</v>
      </c>
      <c r="K76" s="585"/>
      <c r="L76" s="585"/>
      <c r="M76" s="585"/>
      <c r="N76" s="585"/>
      <c r="O76" s="585"/>
      <c r="P76" s="585"/>
      <c r="Q76" s="585"/>
      <c r="R76" s="585"/>
      <c r="S76" s="585"/>
      <c r="T76" s="585"/>
      <c r="U76" s="585"/>
      <c r="V76" s="585"/>
      <c r="W76" s="585"/>
      <c r="X76" s="585"/>
      <c r="Y76" s="585"/>
      <c r="Z76" s="585"/>
      <c r="AA76" s="585"/>
      <c r="AB76" s="585"/>
      <c r="AC76" s="585"/>
      <c r="AD76" s="585"/>
      <c r="AE76" s="585"/>
      <c r="AF76" s="585"/>
      <c r="AG76" s="585"/>
      <c r="AH76" s="585"/>
      <c r="AI76" s="585"/>
      <c r="AJ76" s="585"/>
      <c r="AK76" s="585"/>
      <c r="AL76" s="585"/>
      <c r="AM76" s="585"/>
      <c r="AN76" s="585"/>
      <c r="AO76" s="585"/>
      <c r="AP76" s="585"/>
      <c r="AQ76" s="585"/>
      <c r="AR76" s="585"/>
    </row>
    <row r="77">
      <c r="A77" s="621"/>
      <c r="B77" s="633" t="str">
        <f>IFERROR(__xludf.DUMMYFUNCTION("""COMPUTED_VALUE"""),"Demo R2")</f>
        <v>Demo R2</v>
      </c>
      <c r="C77" s="628"/>
      <c r="D77" s="602" t="str">
        <f>IFERROR(__xludf.DUMMYFUNCTION("""COMPUTED_VALUE"""),"PMAX")</f>
        <v>PMAX</v>
      </c>
      <c r="E77" s="624" t="str">
        <f>IFERROR(__xludf.DUMMYFUNCTION("""COMPUTED_VALUE"""),"Not start yet")</f>
        <v>Not start yet</v>
      </c>
      <c r="F77" s="604" t="str">
        <f>IFERROR(__xludf.DUMMYFUNCTION("""COMPUTED_VALUE"""),"Thứ 3. 19/ 5")</f>
        <v>Thứ 3. 19/ 5</v>
      </c>
      <c r="G77" s="639" t="str">
        <f>IFERROR(__xludf.DUMMYFUNCTION("""COMPUTED_VALUE"""),"Thứ 5. 21/ 5")</f>
        <v>Thứ 5. 21/ 5</v>
      </c>
      <c r="H77" s="585"/>
      <c r="I77" s="625"/>
      <c r="J77" s="625"/>
      <c r="K77" s="585"/>
      <c r="L77" s="585"/>
      <c r="M77" s="585"/>
      <c r="N77" s="585"/>
      <c r="O77" s="585"/>
      <c r="P77" s="585"/>
      <c r="Q77" s="585"/>
      <c r="R77" s="585"/>
      <c r="S77" s="585"/>
      <c r="T77" s="585"/>
      <c r="U77" s="585"/>
      <c r="V77" s="585"/>
      <c r="W77" s="585"/>
      <c r="X77" s="585"/>
      <c r="Y77" s="585"/>
      <c r="Z77" s="585"/>
      <c r="AA77" s="585"/>
      <c r="AB77" s="585"/>
      <c r="AC77" s="585"/>
      <c r="AD77" s="585"/>
      <c r="AE77" s="585"/>
      <c r="AF77" s="585"/>
      <c r="AG77" s="585"/>
      <c r="AH77" s="585"/>
      <c r="AI77" s="585"/>
      <c r="AJ77" s="585"/>
      <c r="AK77" s="585"/>
      <c r="AL77" s="585"/>
      <c r="AM77" s="585"/>
      <c r="AN77" s="585"/>
      <c r="AO77" s="585"/>
      <c r="AP77" s="585"/>
      <c r="AQ77" s="585"/>
      <c r="AR77" s="585"/>
    </row>
    <row r="78">
      <c r="A78" s="621"/>
      <c r="B78" s="627" t="str">
        <f>IFERROR(__xludf.DUMMYFUNCTION("""COMPUTED_VALUE"""),"Feedback demo R2")</f>
        <v>Feedback demo R2</v>
      </c>
      <c r="C78" s="628"/>
      <c r="D78" s="602" t="str">
        <f>IFERROR(__xludf.DUMMYFUNCTION("""COMPUTED_VALUE"""),"BRAND")</f>
        <v>BRAND</v>
      </c>
      <c r="E78" s="624" t="str">
        <f>IFERROR(__xludf.DUMMYFUNCTION("""COMPUTED_VALUE"""),"Not start yet")</f>
        <v>Not start yet</v>
      </c>
      <c r="F78" s="604" t="str">
        <f>IFERROR(__xludf.DUMMYFUNCTION("""COMPUTED_VALUE"""),"Thứ 6. 22/ 5")</f>
        <v>Thứ 6. 22/ 5</v>
      </c>
      <c r="G78" s="639" t="str">
        <f>IFERROR(__xludf.DUMMYFUNCTION("""COMPUTED_VALUE"""),"Thứ 6. 22/ 5")</f>
        <v>Thứ 6. 22/ 5</v>
      </c>
      <c r="H78" s="585"/>
      <c r="I78" s="625"/>
      <c r="J78" s="625"/>
      <c r="K78" s="585"/>
      <c r="L78" s="585"/>
      <c r="M78" s="585"/>
      <c r="N78" s="585"/>
      <c r="O78" s="585"/>
      <c r="P78" s="585"/>
      <c r="Q78" s="585"/>
      <c r="R78" s="585"/>
      <c r="S78" s="585"/>
      <c r="T78" s="585"/>
      <c r="U78" s="585"/>
      <c r="V78" s="585"/>
      <c r="W78" s="585"/>
      <c r="X78" s="585"/>
      <c r="Y78" s="585"/>
      <c r="Z78" s="585"/>
      <c r="AA78" s="585"/>
      <c r="AB78" s="585"/>
      <c r="AC78" s="585"/>
      <c r="AD78" s="585"/>
      <c r="AE78" s="585"/>
      <c r="AF78" s="585"/>
      <c r="AG78" s="585"/>
      <c r="AH78" s="585"/>
      <c r="AI78" s="585"/>
      <c r="AJ78" s="585"/>
      <c r="AK78" s="585"/>
      <c r="AL78" s="585"/>
      <c r="AM78" s="585"/>
      <c r="AN78" s="585"/>
      <c r="AO78" s="585"/>
      <c r="AP78" s="585"/>
      <c r="AQ78" s="585"/>
      <c r="AR78" s="585"/>
    </row>
    <row r="79">
      <c r="A79" s="621"/>
      <c r="B79" s="627" t="str">
        <f>IFERROR(__xludf.DUMMYFUNCTION("""COMPUTED_VALUE"""),"Finalize demo")</f>
        <v>Finalize demo</v>
      </c>
      <c r="C79" s="628"/>
      <c r="D79" s="602" t="str">
        <f>IFERROR(__xludf.DUMMYFUNCTION("""COMPUTED_VALUE"""),"PMAX")</f>
        <v>PMAX</v>
      </c>
      <c r="E79" s="624" t="str">
        <f>IFERROR(__xludf.DUMMYFUNCTION("""COMPUTED_VALUE"""),"Not start yet")</f>
        <v>Not start yet</v>
      </c>
      <c r="F79" s="604" t="str">
        <f>IFERROR(__xludf.DUMMYFUNCTION("""COMPUTED_VALUE"""),"Thứ 6. 22/ 5")</f>
        <v>Thứ 6. 22/ 5</v>
      </c>
      <c r="G79" s="639" t="str">
        <f>IFERROR(__xludf.DUMMYFUNCTION("""COMPUTED_VALUE"""),"Thứ 6. 22/ 5")</f>
        <v>Thứ 6. 22/ 5</v>
      </c>
      <c r="H79" s="585"/>
      <c r="I79" s="629">
        <v>1.0</v>
      </c>
      <c r="J79" s="630" t="s">
        <v>888</v>
      </c>
      <c r="K79" s="585"/>
      <c r="L79" s="585"/>
      <c r="M79" s="585"/>
      <c r="N79" s="585"/>
      <c r="O79" s="585"/>
      <c r="P79" s="585"/>
      <c r="Q79" s="585"/>
      <c r="R79" s="585"/>
      <c r="S79" s="585"/>
      <c r="T79" s="585"/>
      <c r="U79" s="585"/>
      <c r="V79" s="585"/>
      <c r="W79" s="585"/>
      <c r="X79" s="585"/>
      <c r="Y79" s="585"/>
      <c r="Z79" s="585"/>
      <c r="AA79" s="585"/>
      <c r="AB79" s="585"/>
      <c r="AC79" s="585"/>
      <c r="AD79" s="585"/>
      <c r="AE79" s="585"/>
      <c r="AF79" s="585"/>
      <c r="AG79" s="585"/>
      <c r="AH79" s="585"/>
      <c r="AI79" s="585"/>
      <c r="AJ79" s="585"/>
      <c r="AK79" s="585"/>
      <c r="AL79" s="585"/>
      <c r="AM79" s="585"/>
      <c r="AN79" s="585"/>
      <c r="AO79" s="585"/>
      <c r="AP79" s="585"/>
      <c r="AQ79" s="585"/>
      <c r="AR79" s="585"/>
    </row>
    <row r="80">
      <c r="A80" s="621"/>
      <c r="B80" s="634" t="str">
        <f>IFERROR(__xludf.DUMMYFUNCTION("""COMPUTED_VALUE"""),"Air")</f>
        <v>Air</v>
      </c>
      <c r="C80" s="26"/>
      <c r="D80" s="602" t="str">
        <f>IFERROR(__xludf.DUMMYFUNCTION("""COMPUTED_VALUE"""),"PMAX")</f>
        <v>PMAX</v>
      </c>
      <c r="E80" s="624" t="str">
        <f>IFERROR(__xludf.DUMMYFUNCTION("""COMPUTED_VALUE"""),"Not start yet")</f>
        <v>Not start yet</v>
      </c>
      <c r="F80" s="604" t="str">
        <f>IFERROR(__xludf.DUMMYFUNCTION("""COMPUTED_VALUE"""),"TBU")</f>
        <v>TBU</v>
      </c>
      <c r="G80" s="639" t="str">
        <f>IFERROR(__xludf.DUMMYFUNCTION("""COMPUTED_VALUE"""),"TBU")</f>
        <v>TBU</v>
      </c>
      <c r="H80" s="585"/>
      <c r="I80" s="636">
        <v>1.0</v>
      </c>
      <c r="J80" s="585"/>
      <c r="K80" s="585"/>
      <c r="L80" s="585"/>
      <c r="M80" s="585"/>
      <c r="N80" s="585"/>
      <c r="O80" s="585"/>
      <c r="P80" s="585"/>
      <c r="Q80" s="585"/>
      <c r="R80" s="585"/>
      <c r="S80" s="585"/>
      <c r="T80" s="585"/>
      <c r="U80" s="585"/>
      <c r="V80" s="585"/>
      <c r="W80" s="585"/>
      <c r="X80" s="585"/>
      <c r="Y80" s="585"/>
      <c r="Z80" s="585"/>
      <c r="AA80" s="585"/>
      <c r="AB80" s="585"/>
      <c r="AC80" s="585"/>
      <c r="AD80" s="585"/>
      <c r="AE80" s="585"/>
      <c r="AF80" s="585"/>
      <c r="AG80" s="585"/>
      <c r="AH80" s="585"/>
      <c r="AI80" s="585"/>
      <c r="AJ80" s="585"/>
      <c r="AK80" s="585"/>
      <c r="AL80" s="585"/>
      <c r="AM80" s="585"/>
      <c r="AN80" s="585"/>
      <c r="AO80" s="585"/>
      <c r="AP80" s="585"/>
      <c r="AQ80" s="585"/>
      <c r="AR80" s="585"/>
    </row>
    <row r="81">
      <c r="A81" s="637">
        <f>IFERROR(__xludf.DUMMYFUNCTION("""COMPUTED_VALUE"""),5.0)</f>
        <v>5</v>
      </c>
      <c r="B81" s="616" t="str">
        <f>IFERROR(__xludf.DUMMYFUNCTION("""COMPUTED_VALUE"""),"Thư Bonny")</f>
        <v>Thư Bonny</v>
      </c>
      <c r="C81" s="617"/>
      <c r="D81" s="618"/>
      <c r="E81" s="619"/>
      <c r="F81" s="619"/>
      <c r="G81" s="619"/>
      <c r="H81" s="585"/>
      <c r="I81" s="585"/>
      <c r="J81" s="585"/>
      <c r="K81" s="585"/>
      <c r="L81" s="585"/>
      <c r="M81" s="585"/>
      <c r="N81" s="585"/>
      <c r="O81" s="585"/>
      <c r="P81" s="585"/>
      <c r="Q81" s="585"/>
      <c r="R81" s="585"/>
      <c r="S81" s="585"/>
      <c r="T81" s="585"/>
      <c r="U81" s="585"/>
      <c r="V81" s="585"/>
      <c r="W81" s="585"/>
      <c r="X81" s="585"/>
      <c r="Y81" s="585"/>
      <c r="Z81" s="585"/>
      <c r="AA81" s="585"/>
      <c r="AB81" s="585"/>
      <c r="AC81" s="585"/>
      <c r="AD81" s="585"/>
      <c r="AE81" s="585"/>
      <c r="AF81" s="585"/>
      <c r="AG81" s="585"/>
      <c r="AH81" s="585"/>
      <c r="AI81" s="585"/>
      <c r="AJ81" s="585"/>
      <c r="AK81" s="585"/>
      <c r="AL81" s="585"/>
      <c r="AM81" s="585"/>
      <c r="AN81" s="585"/>
      <c r="AO81" s="585"/>
      <c r="AP81" s="585"/>
      <c r="AQ81" s="585"/>
      <c r="AR81" s="585"/>
    </row>
    <row r="82">
      <c r="A82" s="621"/>
      <c r="B82" s="622" t="str">
        <f>IFERROR(__xludf.DUMMYFUNCTION("""COMPUTED_VALUE"""),"Briefing cho Influencer")</f>
        <v>Briefing cho Influencer</v>
      </c>
      <c r="C82" s="623"/>
      <c r="D82" s="602" t="str">
        <f>IFERROR(__xludf.DUMMYFUNCTION("""COMPUTED_VALUE"""),"PMAX")</f>
        <v>PMAX</v>
      </c>
      <c r="E82" s="624" t="str">
        <f>IFERROR(__xludf.DUMMYFUNCTION("""COMPUTED_VALUE"""),"Done")</f>
        <v>Done</v>
      </c>
      <c r="F82" s="609" t="str">
        <f>IFERROR(__xludf.DUMMYFUNCTION("""COMPUTED_VALUE"""),"Thứ 3. 5/ 5")</f>
        <v>Thứ 3. 5/ 5</v>
      </c>
      <c r="G82" s="609" t="str">
        <f>IFERROR(__xludf.DUMMYFUNCTION("""COMPUTED_VALUE"""),"Thứ 4. 6/ 5")</f>
        <v>Thứ 4. 6/ 5</v>
      </c>
      <c r="H82" s="585"/>
      <c r="I82" s="625"/>
      <c r="J82" s="626" t="s">
        <v>882</v>
      </c>
      <c r="K82" s="585"/>
      <c r="L82" s="585"/>
      <c r="M82" s="585"/>
      <c r="N82" s="585"/>
      <c r="O82" s="585"/>
      <c r="P82" s="585"/>
      <c r="Q82" s="585"/>
      <c r="R82" s="585"/>
      <c r="S82" s="585"/>
      <c r="T82" s="585"/>
      <c r="U82" s="585"/>
      <c r="V82" s="585"/>
      <c r="W82" s="585"/>
      <c r="X82" s="585"/>
      <c r="Y82" s="585"/>
      <c r="Z82" s="585"/>
      <c r="AA82" s="585"/>
      <c r="AB82" s="585"/>
      <c r="AC82" s="585"/>
      <c r="AD82" s="585"/>
      <c r="AE82" s="585"/>
      <c r="AF82" s="585"/>
      <c r="AG82" s="585"/>
      <c r="AH82" s="585"/>
      <c r="AI82" s="585"/>
      <c r="AJ82" s="585"/>
      <c r="AK82" s="585"/>
      <c r="AL82" s="585"/>
      <c r="AM82" s="585"/>
      <c r="AN82" s="585"/>
      <c r="AO82" s="585"/>
      <c r="AP82" s="585"/>
      <c r="AQ82" s="585"/>
      <c r="AR82" s="585"/>
    </row>
    <row r="83">
      <c r="A83" s="621"/>
      <c r="B83" s="627" t="str">
        <f>IFERROR(__xludf.DUMMYFUNCTION("""COMPUTED_VALUE"""),"Script R1 + Outfits")</f>
        <v>Script R1 + Outfits</v>
      </c>
      <c r="C83" s="628"/>
      <c r="D83" s="602" t="str">
        <f>IFERROR(__xludf.DUMMYFUNCTION("""COMPUTED_VALUE"""),"PMAX")</f>
        <v>PMAX</v>
      </c>
      <c r="E83" s="624" t="str">
        <f>IFERROR(__xludf.DUMMYFUNCTION("""COMPUTED_VALUE"""),"Done")</f>
        <v>Done</v>
      </c>
      <c r="F83" s="609" t="str">
        <f>IFERROR(__xludf.DUMMYFUNCTION("""COMPUTED_VALUE"""),"Thứ 4. 6/ 5")</f>
        <v>Thứ 4. 6/ 5</v>
      </c>
      <c r="G83" s="609" t="str">
        <f>IFERROR(__xludf.DUMMYFUNCTION("""COMPUTED_VALUE"""),"Thứ 6. 8/ 5")</f>
        <v>Thứ 6. 8/ 5</v>
      </c>
      <c r="H83" s="585"/>
      <c r="I83" s="629">
        <v>1.0</v>
      </c>
      <c r="J83" s="630" t="s">
        <v>883</v>
      </c>
      <c r="K83" s="585"/>
      <c r="L83" s="585"/>
      <c r="M83" s="585"/>
      <c r="N83" s="585"/>
      <c r="O83" s="585"/>
      <c r="P83" s="585"/>
      <c r="Q83" s="585"/>
      <c r="R83" s="585"/>
      <c r="S83" s="585"/>
      <c r="T83" s="585"/>
      <c r="U83" s="585"/>
      <c r="V83" s="585"/>
      <c r="W83" s="585"/>
      <c r="X83" s="585"/>
      <c r="Y83" s="585"/>
      <c r="Z83" s="585"/>
      <c r="AA83" s="585"/>
      <c r="AB83" s="585"/>
      <c r="AC83" s="585"/>
      <c r="AD83" s="585"/>
      <c r="AE83" s="585"/>
      <c r="AF83" s="585"/>
      <c r="AG83" s="585"/>
      <c r="AH83" s="585"/>
      <c r="AI83" s="585"/>
      <c r="AJ83" s="585"/>
      <c r="AK83" s="585"/>
      <c r="AL83" s="585"/>
      <c r="AM83" s="585"/>
      <c r="AN83" s="585"/>
      <c r="AO83" s="585"/>
      <c r="AP83" s="585"/>
      <c r="AQ83" s="585"/>
      <c r="AR83" s="585"/>
    </row>
    <row r="84">
      <c r="A84" s="621"/>
      <c r="B84" s="627" t="str">
        <f>IFERROR(__xludf.DUMMYFUNCTION("""COMPUTED_VALUE"""),"Feedback Script R1 + outfits")</f>
        <v>Feedback Script R1 + outfits</v>
      </c>
      <c r="C84" s="628"/>
      <c r="D84" s="602" t="str">
        <f>IFERROR(__xludf.DUMMYFUNCTION("""COMPUTED_VALUE"""),"BRAND")</f>
        <v>BRAND</v>
      </c>
      <c r="E84" s="624" t="str">
        <f>IFERROR(__xludf.DUMMYFUNCTION("""COMPUTED_VALUE"""),"Not start yet")</f>
        <v>Not start yet</v>
      </c>
      <c r="F84" s="609" t="str">
        <f>IFERROR(__xludf.DUMMYFUNCTION("""COMPUTED_VALUE"""),"Thứ 6. 8/ 5")</f>
        <v>Thứ 6. 8/ 5</v>
      </c>
      <c r="G84" s="609" t="str">
        <f>IFERROR(__xludf.DUMMYFUNCTION("""COMPUTED_VALUE"""),"Thứ 6. 8/ 5")</f>
        <v>Thứ 6. 8/ 5</v>
      </c>
      <c r="H84" s="585"/>
      <c r="I84" s="625"/>
      <c r="J84" s="630" t="s">
        <v>884</v>
      </c>
      <c r="K84" s="585"/>
      <c r="L84" s="585"/>
      <c r="M84" s="585"/>
      <c r="N84" s="585"/>
      <c r="O84" s="585"/>
      <c r="P84" s="585"/>
      <c r="Q84" s="585"/>
      <c r="R84" s="585"/>
      <c r="S84" s="585"/>
      <c r="T84" s="585"/>
      <c r="U84" s="585"/>
      <c r="V84" s="585"/>
      <c r="W84" s="585"/>
      <c r="X84" s="585"/>
      <c r="Y84" s="585"/>
      <c r="Z84" s="585"/>
      <c r="AA84" s="585"/>
      <c r="AB84" s="585"/>
      <c r="AC84" s="585"/>
      <c r="AD84" s="585"/>
      <c r="AE84" s="585"/>
      <c r="AF84" s="585"/>
      <c r="AG84" s="585"/>
      <c r="AH84" s="585"/>
      <c r="AI84" s="585"/>
      <c r="AJ84" s="585"/>
      <c r="AK84" s="585"/>
      <c r="AL84" s="585"/>
      <c r="AM84" s="585"/>
      <c r="AN84" s="585"/>
      <c r="AO84" s="585"/>
      <c r="AP84" s="585"/>
      <c r="AQ84" s="585"/>
      <c r="AR84" s="585"/>
    </row>
    <row r="85">
      <c r="A85" s="621"/>
      <c r="B85" s="631" t="str">
        <f>IFERROR(__xludf.DUMMYFUNCTION("""COMPUTED_VALUE"""),"Script R2")</f>
        <v>Script R2</v>
      </c>
      <c r="C85" s="628"/>
      <c r="D85" s="632" t="str">
        <f>IFERROR(__xludf.DUMMYFUNCTION("""COMPUTED_VALUE"""),"PMAX")</f>
        <v>PMAX</v>
      </c>
      <c r="E85" s="624" t="str">
        <f>IFERROR(__xludf.DUMMYFUNCTION("""COMPUTED_VALUE"""),"Not start yet")</f>
        <v>Not start yet</v>
      </c>
      <c r="F85" s="609" t="str">
        <f>IFERROR(__xludf.DUMMYFUNCTION("""COMPUTED_VALUE"""),"Thứ 7. 9/ 5")</f>
        <v>Thứ 7. 9/ 5</v>
      </c>
      <c r="G85" s="609" t="str">
        <f>IFERROR(__xludf.DUMMYFUNCTION("""COMPUTED_VALUE"""),"CN. 10/ 5")</f>
        <v>CN. 10/ 5</v>
      </c>
      <c r="H85" s="585"/>
      <c r="I85" s="625"/>
      <c r="J85" s="630"/>
      <c r="K85" s="585"/>
      <c r="L85" s="585"/>
      <c r="M85" s="585"/>
      <c r="N85" s="585"/>
      <c r="O85" s="585"/>
      <c r="P85" s="585"/>
      <c r="Q85" s="585"/>
      <c r="R85" s="585"/>
      <c r="S85" s="585"/>
      <c r="T85" s="585"/>
      <c r="U85" s="585"/>
      <c r="V85" s="585"/>
      <c r="W85" s="585"/>
      <c r="X85" s="585"/>
      <c r="Y85" s="585"/>
      <c r="Z85" s="585"/>
      <c r="AA85" s="585"/>
      <c r="AB85" s="585"/>
      <c r="AC85" s="585"/>
      <c r="AD85" s="585"/>
      <c r="AE85" s="585"/>
      <c r="AF85" s="585"/>
      <c r="AG85" s="585"/>
      <c r="AH85" s="585"/>
      <c r="AI85" s="585"/>
      <c r="AJ85" s="585"/>
      <c r="AK85" s="585"/>
      <c r="AL85" s="585"/>
      <c r="AM85" s="585"/>
      <c r="AN85" s="585"/>
      <c r="AO85" s="585"/>
      <c r="AP85" s="585"/>
      <c r="AQ85" s="585"/>
      <c r="AR85" s="585"/>
    </row>
    <row r="86">
      <c r="A86" s="621"/>
      <c r="B86" s="631" t="str">
        <f>IFERROR(__xludf.DUMMYFUNCTION("""COMPUTED_VALUE"""),"Feedback Script R2")</f>
        <v>Feedback Script R2</v>
      </c>
      <c r="C86" s="628"/>
      <c r="D86" s="632" t="str">
        <f>IFERROR(__xludf.DUMMYFUNCTION("""COMPUTED_VALUE"""),"BRAND")</f>
        <v>BRAND</v>
      </c>
      <c r="E86" s="624" t="str">
        <f>IFERROR(__xludf.DUMMYFUNCTION("""COMPUTED_VALUE"""),"Not start yet")</f>
        <v>Not start yet</v>
      </c>
      <c r="F86" s="609" t="str">
        <f>IFERROR(__xludf.DUMMYFUNCTION("""COMPUTED_VALUE"""),"Thứ 2. 11/ 5")</f>
        <v>Thứ 2. 11/ 5</v>
      </c>
      <c r="G86" s="609" t="str">
        <f>IFERROR(__xludf.DUMMYFUNCTION("""COMPUTED_VALUE"""),"Thứ 2. 11/ 5")</f>
        <v>Thứ 2. 11/ 5</v>
      </c>
      <c r="H86" s="585"/>
      <c r="I86" s="625"/>
      <c r="J86" s="630"/>
      <c r="K86" s="585"/>
      <c r="L86" s="585"/>
      <c r="M86" s="585"/>
      <c r="N86" s="585"/>
      <c r="O86" s="585"/>
      <c r="P86" s="585"/>
      <c r="Q86" s="585"/>
      <c r="R86" s="585"/>
      <c r="S86" s="585"/>
      <c r="T86" s="585"/>
      <c r="U86" s="585"/>
      <c r="V86" s="585"/>
      <c r="W86" s="585"/>
      <c r="X86" s="585"/>
      <c r="Y86" s="585"/>
      <c r="Z86" s="585"/>
      <c r="AA86" s="585"/>
      <c r="AB86" s="585"/>
      <c r="AC86" s="585"/>
      <c r="AD86" s="585"/>
      <c r="AE86" s="585"/>
      <c r="AF86" s="585"/>
      <c r="AG86" s="585"/>
      <c r="AH86" s="585"/>
      <c r="AI86" s="585"/>
      <c r="AJ86" s="585"/>
      <c r="AK86" s="585"/>
      <c r="AL86" s="585"/>
      <c r="AM86" s="585"/>
      <c r="AN86" s="585"/>
      <c r="AO86" s="585"/>
      <c r="AP86" s="585"/>
      <c r="AQ86" s="585"/>
      <c r="AR86" s="585"/>
    </row>
    <row r="87">
      <c r="A87" s="621"/>
      <c r="B87" s="627" t="str">
        <f>IFERROR(__xludf.DUMMYFUNCTION("""COMPUTED_VALUE"""),"Finalize scripts + outfits")</f>
        <v>Finalize scripts + outfits</v>
      </c>
      <c r="C87" s="628"/>
      <c r="D87" s="602" t="str">
        <f>IFERROR(__xludf.DUMMYFUNCTION("""COMPUTED_VALUE"""),"PMAX-BRAND")</f>
        <v>PMAX-BRAND</v>
      </c>
      <c r="E87" s="624" t="str">
        <f>IFERROR(__xludf.DUMMYFUNCTION("""COMPUTED_VALUE"""),"Not start yet")</f>
        <v>Not start yet</v>
      </c>
      <c r="F87" s="609" t="str">
        <f>IFERROR(__xludf.DUMMYFUNCTION("""COMPUTED_VALUE"""),"Thứ 2. 11/ 5")</f>
        <v>Thứ 2. 11/ 5</v>
      </c>
      <c r="G87" s="609" t="str">
        <f>IFERROR(__xludf.DUMMYFUNCTION("""COMPUTED_VALUE"""),"Thứ 2. 11/ 5")</f>
        <v>Thứ 2. 11/ 5</v>
      </c>
      <c r="H87" s="585"/>
      <c r="I87" s="629">
        <v>1.0</v>
      </c>
      <c r="J87" s="630" t="s">
        <v>885</v>
      </c>
      <c r="K87" s="585"/>
      <c r="L87" s="585"/>
      <c r="M87" s="585"/>
      <c r="N87" s="585"/>
      <c r="O87" s="585"/>
      <c r="P87" s="585"/>
      <c r="Q87" s="585"/>
      <c r="R87" s="585"/>
      <c r="S87" s="585"/>
      <c r="T87" s="585"/>
      <c r="U87" s="585"/>
      <c r="V87" s="585"/>
      <c r="W87" s="585"/>
      <c r="X87" s="585"/>
      <c r="Y87" s="585"/>
      <c r="Z87" s="585"/>
      <c r="AA87" s="585"/>
      <c r="AB87" s="585"/>
      <c r="AC87" s="585"/>
      <c r="AD87" s="585"/>
      <c r="AE87" s="585"/>
      <c r="AF87" s="585"/>
      <c r="AG87" s="585"/>
      <c r="AH87" s="585"/>
      <c r="AI87" s="585"/>
      <c r="AJ87" s="585"/>
      <c r="AK87" s="585"/>
      <c r="AL87" s="585"/>
      <c r="AM87" s="585"/>
      <c r="AN87" s="585"/>
      <c r="AO87" s="585"/>
      <c r="AP87" s="585"/>
      <c r="AQ87" s="585"/>
      <c r="AR87" s="585"/>
    </row>
    <row r="88">
      <c r="A88" s="621"/>
      <c r="B88" s="627" t="str">
        <f>IFERROR(__xludf.DUMMYFUNCTION("""COMPUTED_VALUE"""),"Đi quay tại site")</f>
        <v>Đi quay tại site</v>
      </c>
      <c r="C88" s="628"/>
      <c r="D88" s="602" t="str">
        <f>IFERROR(__xludf.DUMMYFUNCTION("""COMPUTED_VALUE"""),"PMAX")</f>
        <v>PMAX</v>
      </c>
      <c r="E88" s="624" t="str">
        <f>IFERROR(__xludf.DUMMYFUNCTION("""COMPUTED_VALUE"""),"Not start yet")</f>
        <v>Not start yet</v>
      </c>
      <c r="F88" s="609" t="str">
        <f>IFERROR(__xludf.DUMMYFUNCTION("""COMPUTED_VALUE"""),"Thứ 2. 11/ 5")</f>
        <v>Thứ 2. 11/ 5</v>
      </c>
      <c r="G88" s="609" t="str">
        <f>IFERROR(__xludf.DUMMYFUNCTION("""COMPUTED_VALUE"""),"Thứ 5. 14/ 5")</f>
        <v>Thứ 5. 14/ 5</v>
      </c>
      <c r="H88" s="585"/>
      <c r="I88" s="629">
        <v>2.0</v>
      </c>
      <c r="J88" s="625"/>
      <c r="K88" s="585"/>
      <c r="L88" s="585"/>
      <c r="M88" s="585"/>
      <c r="N88" s="585"/>
      <c r="O88" s="585"/>
      <c r="P88" s="585"/>
      <c r="Q88" s="585"/>
      <c r="R88" s="585"/>
      <c r="S88" s="585"/>
      <c r="T88" s="585"/>
      <c r="U88" s="585"/>
      <c r="V88" s="585"/>
      <c r="W88" s="585"/>
      <c r="X88" s="585"/>
      <c r="Y88" s="585"/>
      <c r="Z88" s="585"/>
      <c r="AA88" s="585"/>
      <c r="AB88" s="585"/>
      <c r="AC88" s="585"/>
      <c r="AD88" s="585"/>
      <c r="AE88" s="585"/>
      <c r="AF88" s="585"/>
      <c r="AG88" s="585"/>
      <c r="AH88" s="585"/>
      <c r="AI88" s="585"/>
      <c r="AJ88" s="585"/>
      <c r="AK88" s="585"/>
      <c r="AL88" s="585"/>
      <c r="AM88" s="585"/>
      <c r="AN88" s="585"/>
      <c r="AO88" s="585"/>
      <c r="AP88" s="585"/>
      <c r="AQ88" s="585"/>
      <c r="AR88" s="585"/>
    </row>
    <row r="89">
      <c r="A89" s="621"/>
      <c r="B89" s="633" t="str">
        <f>IFERROR(__xludf.DUMMYFUNCTION("""COMPUTED_VALUE"""),"Demo R1")</f>
        <v>Demo R1</v>
      </c>
      <c r="C89" s="628"/>
      <c r="D89" s="602" t="str">
        <f>IFERROR(__xludf.DUMMYFUNCTION("""COMPUTED_VALUE"""),"PMAX")</f>
        <v>PMAX</v>
      </c>
      <c r="E89" s="624" t="str">
        <f>IFERROR(__xludf.DUMMYFUNCTION("""COMPUTED_VALUE"""),"Not start yet")</f>
        <v>Not start yet</v>
      </c>
      <c r="F89" s="609" t="str">
        <f>IFERROR(__xludf.DUMMYFUNCTION("""COMPUTED_VALUE"""),"Thứ 5. 14/ 5")</f>
        <v>Thứ 5. 14/ 5</v>
      </c>
      <c r="G89" s="609" t="str">
        <f>IFERROR(__xludf.DUMMYFUNCTION("""COMPUTED_VALUE"""),"CN. 17/ 5")</f>
        <v>CN. 17/ 5</v>
      </c>
      <c r="H89" s="585"/>
      <c r="I89" s="629">
        <v>4.0</v>
      </c>
      <c r="J89" s="630" t="s">
        <v>886</v>
      </c>
      <c r="K89" s="585"/>
      <c r="L89" s="585"/>
      <c r="M89" s="585"/>
      <c r="N89" s="585"/>
      <c r="O89" s="585"/>
      <c r="P89" s="585"/>
      <c r="Q89" s="585"/>
      <c r="R89" s="585"/>
      <c r="S89" s="585"/>
      <c r="T89" s="585"/>
      <c r="U89" s="585"/>
      <c r="V89" s="585"/>
      <c r="W89" s="585"/>
      <c r="X89" s="585"/>
      <c r="Y89" s="585"/>
      <c r="Z89" s="585"/>
      <c r="AA89" s="585"/>
      <c r="AB89" s="585"/>
      <c r="AC89" s="585"/>
      <c r="AD89" s="585"/>
      <c r="AE89" s="585"/>
      <c r="AF89" s="585"/>
      <c r="AG89" s="585"/>
      <c r="AH89" s="585"/>
      <c r="AI89" s="585"/>
      <c r="AJ89" s="585"/>
      <c r="AK89" s="585"/>
      <c r="AL89" s="585"/>
      <c r="AM89" s="585"/>
      <c r="AN89" s="585"/>
      <c r="AO89" s="585"/>
      <c r="AP89" s="585"/>
      <c r="AQ89" s="585"/>
      <c r="AR89" s="585"/>
    </row>
    <row r="90">
      <c r="A90" s="621"/>
      <c r="B90" s="627" t="str">
        <f>IFERROR(__xludf.DUMMYFUNCTION("""COMPUTED_VALUE"""),"Feedback demo R1")</f>
        <v>Feedback demo R1</v>
      </c>
      <c r="C90" s="628"/>
      <c r="D90" s="602" t="str">
        <f>IFERROR(__xludf.DUMMYFUNCTION("""COMPUTED_VALUE"""),"BRAND")</f>
        <v>BRAND</v>
      </c>
      <c r="E90" s="624" t="str">
        <f>IFERROR(__xludf.DUMMYFUNCTION("""COMPUTED_VALUE"""),"Not start yet")</f>
        <v>Not start yet</v>
      </c>
      <c r="F90" s="609" t="str">
        <f>IFERROR(__xludf.DUMMYFUNCTION("""COMPUTED_VALUE"""),"Thứ 2. 18/ 5")</f>
        <v>Thứ 2. 18/ 5</v>
      </c>
      <c r="G90" s="609" t="str">
        <f>IFERROR(__xludf.DUMMYFUNCTION("""COMPUTED_VALUE"""),"Thứ 2. 18/ 5")</f>
        <v>Thứ 2. 18/ 5</v>
      </c>
      <c r="H90" s="585"/>
      <c r="I90" s="625"/>
      <c r="J90" s="630" t="s">
        <v>887</v>
      </c>
      <c r="K90" s="585"/>
      <c r="L90" s="585"/>
      <c r="M90" s="585"/>
      <c r="N90" s="585"/>
      <c r="O90" s="585"/>
      <c r="P90" s="585"/>
      <c r="Q90" s="585"/>
      <c r="R90" s="585"/>
      <c r="S90" s="585"/>
      <c r="T90" s="585"/>
      <c r="U90" s="585"/>
      <c r="V90" s="585"/>
      <c r="W90" s="585"/>
      <c r="X90" s="585"/>
      <c r="Y90" s="585"/>
      <c r="Z90" s="585"/>
      <c r="AA90" s="585"/>
      <c r="AB90" s="585"/>
      <c r="AC90" s="585"/>
      <c r="AD90" s="585"/>
      <c r="AE90" s="585"/>
      <c r="AF90" s="585"/>
      <c r="AG90" s="585"/>
      <c r="AH90" s="585"/>
      <c r="AI90" s="585"/>
      <c r="AJ90" s="585"/>
      <c r="AK90" s="585"/>
      <c r="AL90" s="585"/>
      <c r="AM90" s="585"/>
      <c r="AN90" s="585"/>
      <c r="AO90" s="585"/>
      <c r="AP90" s="585"/>
      <c r="AQ90" s="585"/>
      <c r="AR90" s="585"/>
    </row>
    <row r="91">
      <c r="A91" s="621"/>
      <c r="B91" s="633" t="str">
        <f>IFERROR(__xludf.DUMMYFUNCTION("""COMPUTED_VALUE"""),"Demo R2")</f>
        <v>Demo R2</v>
      </c>
      <c r="C91" s="628"/>
      <c r="D91" s="602" t="str">
        <f>IFERROR(__xludf.DUMMYFUNCTION("""COMPUTED_VALUE"""),"PMAX")</f>
        <v>PMAX</v>
      </c>
      <c r="E91" s="624" t="str">
        <f>IFERROR(__xludf.DUMMYFUNCTION("""COMPUTED_VALUE"""),"Not start yet")</f>
        <v>Not start yet</v>
      </c>
      <c r="F91" s="609" t="str">
        <f>IFERROR(__xludf.DUMMYFUNCTION("""COMPUTED_VALUE"""),"Thứ 3. 19/ 5")</f>
        <v>Thứ 3. 19/ 5</v>
      </c>
      <c r="G91" s="609" t="str">
        <f>IFERROR(__xludf.DUMMYFUNCTION("""COMPUTED_VALUE"""),"Thứ 5. 21/ 5")</f>
        <v>Thứ 5. 21/ 5</v>
      </c>
      <c r="H91" s="585"/>
      <c r="I91" s="625"/>
      <c r="J91" s="625"/>
      <c r="K91" s="585"/>
      <c r="L91" s="585"/>
      <c r="M91" s="585"/>
      <c r="N91" s="585"/>
      <c r="O91" s="585"/>
      <c r="P91" s="585"/>
      <c r="Q91" s="585"/>
      <c r="R91" s="585"/>
      <c r="S91" s="585"/>
      <c r="T91" s="585"/>
      <c r="U91" s="585"/>
      <c r="V91" s="585"/>
      <c r="W91" s="585"/>
      <c r="X91" s="585"/>
      <c r="Y91" s="585"/>
      <c r="Z91" s="585"/>
      <c r="AA91" s="585"/>
      <c r="AB91" s="585"/>
      <c r="AC91" s="585"/>
      <c r="AD91" s="585"/>
      <c r="AE91" s="585"/>
      <c r="AF91" s="585"/>
      <c r="AG91" s="585"/>
      <c r="AH91" s="585"/>
      <c r="AI91" s="585"/>
      <c r="AJ91" s="585"/>
      <c r="AK91" s="585"/>
      <c r="AL91" s="585"/>
      <c r="AM91" s="585"/>
      <c r="AN91" s="585"/>
      <c r="AO91" s="585"/>
      <c r="AP91" s="585"/>
      <c r="AQ91" s="585"/>
      <c r="AR91" s="585"/>
    </row>
    <row r="92">
      <c r="A92" s="621"/>
      <c r="B92" s="627" t="str">
        <f>IFERROR(__xludf.DUMMYFUNCTION("""COMPUTED_VALUE"""),"Feedback demo R2")</f>
        <v>Feedback demo R2</v>
      </c>
      <c r="C92" s="628"/>
      <c r="D92" s="602" t="str">
        <f>IFERROR(__xludf.DUMMYFUNCTION("""COMPUTED_VALUE"""),"BRAND")</f>
        <v>BRAND</v>
      </c>
      <c r="E92" s="624" t="str">
        <f>IFERROR(__xludf.DUMMYFUNCTION("""COMPUTED_VALUE"""),"Not start yet")</f>
        <v>Not start yet</v>
      </c>
      <c r="F92" s="609" t="str">
        <f>IFERROR(__xludf.DUMMYFUNCTION("""COMPUTED_VALUE"""),"Thứ 6. 22/ 5")</f>
        <v>Thứ 6. 22/ 5</v>
      </c>
      <c r="G92" s="609" t="str">
        <f>IFERROR(__xludf.DUMMYFUNCTION("""COMPUTED_VALUE"""),"Thứ 6. 22/ 5")</f>
        <v>Thứ 6. 22/ 5</v>
      </c>
      <c r="H92" s="585"/>
      <c r="I92" s="625"/>
      <c r="J92" s="625"/>
      <c r="K92" s="585"/>
      <c r="L92" s="585"/>
      <c r="M92" s="585"/>
      <c r="N92" s="585"/>
      <c r="O92" s="585"/>
      <c r="P92" s="585"/>
      <c r="Q92" s="585"/>
      <c r="R92" s="585"/>
      <c r="S92" s="585"/>
      <c r="T92" s="585"/>
      <c r="U92" s="585"/>
      <c r="V92" s="585"/>
      <c r="W92" s="585"/>
      <c r="X92" s="585"/>
      <c r="Y92" s="585"/>
      <c r="Z92" s="585"/>
      <c r="AA92" s="585"/>
      <c r="AB92" s="585"/>
      <c r="AC92" s="585"/>
      <c r="AD92" s="585"/>
      <c r="AE92" s="585"/>
      <c r="AF92" s="585"/>
      <c r="AG92" s="585"/>
      <c r="AH92" s="585"/>
      <c r="AI92" s="585"/>
      <c r="AJ92" s="585"/>
      <c r="AK92" s="585"/>
      <c r="AL92" s="585"/>
      <c r="AM92" s="585"/>
      <c r="AN92" s="585"/>
      <c r="AO92" s="585"/>
      <c r="AP92" s="585"/>
      <c r="AQ92" s="585"/>
      <c r="AR92" s="585"/>
    </row>
    <row r="93">
      <c r="A93" s="621"/>
      <c r="B93" s="627" t="str">
        <f>IFERROR(__xludf.DUMMYFUNCTION("""COMPUTED_VALUE"""),"Finalize demo")</f>
        <v>Finalize demo</v>
      </c>
      <c r="C93" s="628"/>
      <c r="D93" s="602" t="str">
        <f>IFERROR(__xludf.DUMMYFUNCTION("""COMPUTED_VALUE"""),"PMAX")</f>
        <v>PMAX</v>
      </c>
      <c r="E93" s="624" t="str">
        <f>IFERROR(__xludf.DUMMYFUNCTION("""COMPUTED_VALUE"""),"Not start yet")</f>
        <v>Not start yet</v>
      </c>
      <c r="F93" s="609" t="str">
        <f>IFERROR(__xludf.DUMMYFUNCTION("""COMPUTED_VALUE"""),"Thứ 6. 22/ 5")</f>
        <v>Thứ 6. 22/ 5</v>
      </c>
      <c r="G93" s="609" t="str">
        <f>IFERROR(__xludf.DUMMYFUNCTION("""COMPUTED_VALUE"""),"Thứ 6. 22/ 5")</f>
        <v>Thứ 6. 22/ 5</v>
      </c>
      <c r="H93" s="585"/>
      <c r="I93" s="629">
        <v>1.0</v>
      </c>
      <c r="J93" s="630" t="s">
        <v>888</v>
      </c>
      <c r="K93" s="585"/>
      <c r="L93" s="585"/>
      <c r="M93" s="585"/>
      <c r="N93" s="585"/>
      <c r="O93" s="585"/>
      <c r="P93" s="585"/>
      <c r="Q93" s="585"/>
      <c r="R93" s="585"/>
      <c r="S93" s="585"/>
      <c r="T93" s="585"/>
      <c r="U93" s="585"/>
      <c r="V93" s="585"/>
      <c r="W93" s="585"/>
      <c r="X93" s="585"/>
      <c r="Y93" s="585"/>
      <c r="Z93" s="585"/>
      <c r="AA93" s="585"/>
      <c r="AB93" s="585"/>
      <c r="AC93" s="585"/>
      <c r="AD93" s="585"/>
      <c r="AE93" s="585"/>
      <c r="AF93" s="585"/>
      <c r="AG93" s="585"/>
      <c r="AH93" s="585"/>
      <c r="AI93" s="585"/>
      <c r="AJ93" s="585"/>
      <c r="AK93" s="585"/>
      <c r="AL93" s="585"/>
      <c r="AM93" s="585"/>
      <c r="AN93" s="585"/>
      <c r="AO93" s="585"/>
      <c r="AP93" s="585"/>
      <c r="AQ93" s="585"/>
      <c r="AR93" s="585"/>
    </row>
    <row r="94">
      <c r="A94" s="621"/>
      <c r="B94" s="634" t="str">
        <f>IFERROR(__xludf.DUMMYFUNCTION("""COMPUTED_VALUE"""),"Air")</f>
        <v>Air</v>
      </c>
      <c r="C94" s="26"/>
      <c r="D94" s="602" t="str">
        <f>IFERROR(__xludf.DUMMYFUNCTION("""COMPUTED_VALUE"""),"PMAX")</f>
        <v>PMAX</v>
      </c>
      <c r="E94" s="624" t="str">
        <f>IFERROR(__xludf.DUMMYFUNCTION("""COMPUTED_VALUE"""),"Not start yet")</f>
        <v>Not start yet</v>
      </c>
      <c r="F94" s="609" t="str">
        <f>IFERROR(__xludf.DUMMYFUNCTION("""COMPUTED_VALUE"""),"TBU")</f>
        <v>TBU</v>
      </c>
      <c r="G94" s="638" t="str">
        <f>IFERROR(__xludf.DUMMYFUNCTION("""COMPUTED_VALUE"""),"TBU")</f>
        <v>TBU</v>
      </c>
      <c r="H94" s="585"/>
      <c r="I94" s="636">
        <v>1.0</v>
      </c>
      <c r="J94" s="585"/>
      <c r="K94" s="585"/>
      <c r="L94" s="585"/>
      <c r="M94" s="585"/>
      <c r="N94" s="585"/>
      <c r="O94" s="585"/>
      <c r="P94" s="585"/>
      <c r="Q94" s="585"/>
      <c r="R94" s="585"/>
      <c r="S94" s="585"/>
      <c r="T94" s="585"/>
      <c r="U94" s="585"/>
      <c r="V94" s="585"/>
      <c r="W94" s="585"/>
      <c r="X94" s="585"/>
      <c r="Y94" s="585"/>
      <c r="Z94" s="585"/>
      <c r="AA94" s="585"/>
      <c r="AB94" s="585"/>
      <c r="AC94" s="585"/>
      <c r="AD94" s="585"/>
      <c r="AE94" s="585"/>
      <c r="AF94" s="585"/>
      <c r="AG94" s="585"/>
      <c r="AH94" s="585"/>
      <c r="AI94" s="585"/>
      <c r="AJ94" s="585"/>
      <c r="AK94" s="585"/>
      <c r="AL94" s="585"/>
      <c r="AM94" s="585"/>
      <c r="AN94" s="585"/>
      <c r="AO94" s="585"/>
      <c r="AP94" s="585"/>
      <c r="AQ94" s="585"/>
      <c r="AR94" s="585"/>
    </row>
    <row r="95">
      <c r="A95" s="637">
        <f>IFERROR(__xludf.DUMMYFUNCTION("""COMPUTED_VALUE"""),6.0)</f>
        <v>6</v>
      </c>
      <c r="B95" s="616" t="str">
        <f>IFERROR(__xludf.DUMMYFUNCTION("""COMPUTED_VALUE"""),"Nuchuu nè")</f>
        <v>Nuchuu nè</v>
      </c>
      <c r="C95" s="617"/>
      <c r="D95" s="618"/>
      <c r="E95" s="619"/>
      <c r="F95" s="619"/>
      <c r="G95" s="619"/>
      <c r="H95" s="585"/>
      <c r="I95" s="585"/>
      <c r="J95" s="585"/>
      <c r="K95" s="585"/>
      <c r="L95" s="585"/>
      <c r="M95" s="585"/>
      <c r="N95" s="585"/>
      <c r="O95" s="585"/>
      <c r="P95" s="585"/>
      <c r="Q95" s="585"/>
      <c r="R95" s="585"/>
      <c r="S95" s="585"/>
      <c r="T95" s="585"/>
      <c r="U95" s="585"/>
      <c r="V95" s="585"/>
      <c r="W95" s="585"/>
      <c r="X95" s="585"/>
      <c r="Y95" s="585"/>
      <c r="Z95" s="585"/>
      <c r="AA95" s="585"/>
      <c r="AB95" s="585"/>
      <c r="AC95" s="585"/>
      <c r="AD95" s="585"/>
      <c r="AE95" s="585"/>
      <c r="AF95" s="585"/>
      <c r="AG95" s="585"/>
      <c r="AH95" s="585"/>
      <c r="AI95" s="585"/>
      <c r="AJ95" s="585"/>
      <c r="AK95" s="585"/>
      <c r="AL95" s="585"/>
      <c r="AM95" s="585"/>
      <c r="AN95" s="585"/>
      <c r="AO95" s="585"/>
      <c r="AP95" s="585"/>
      <c r="AQ95" s="585"/>
      <c r="AR95" s="585"/>
    </row>
    <row r="96">
      <c r="A96" s="621"/>
      <c r="B96" s="622" t="str">
        <f>IFERROR(__xludf.DUMMYFUNCTION("""COMPUTED_VALUE"""),"Briefing cho Influencer")</f>
        <v>Briefing cho Influencer</v>
      </c>
      <c r="C96" s="623"/>
      <c r="D96" s="602" t="str">
        <f>IFERROR(__xludf.DUMMYFUNCTION("""COMPUTED_VALUE"""),"PMAX")</f>
        <v>PMAX</v>
      </c>
      <c r="E96" s="624" t="str">
        <f>IFERROR(__xludf.DUMMYFUNCTION("""COMPUTED_VALUE"""),"Done")</f>
        <v>Done</v>
      </c>
      <c r="F96" s="604">
        <f>IFERROR(__xludf.DUMMYFUNCTION("""COMPUTED_VALUE"""),46147.0)</f>
        <v>46147</v>
      </c>
      <c r="G96" s="639">
        <f>IFERROR(__xludf.DUMMYFUNCTION("""COMPUTED_VALUE"""),46148.0)</f>
        <v>46148</v>
      </c>
      <c r="H96" s="585"/>
      <c r="I96" s="625"/>
      <c r="J96" s="626" t="s">
        <v>882</v>
      </c>
      <c r="K96" s="585"/>
      <c r="L96" s="585"/>
      <c r="M96" s="585"/>
      <c r="N96" s="585"/>
      <c r="O96" s="585"/>
      <c r="P96" s="585"/>
      <c r="Q96" s="585"/>
      <c r="R96" s="585"/>
      <c r="S96" s="585"/>
      <c r="T96" s="585"/>
      <c r="U96" s="585"/>
      <c r="V96" s="585"/>
      <c r="W96" s="585"/>
      <c r="X96" s="585"/>
      <c r="Y96" s="585"/>
      <c r="Z96" s="585"/>
      <c r="AA96" s="585"/>
      <c r="AB96" s="585"/>
      <c r="AC96" s="585"/>
      <c r="AD96" s="585"/>
      <c r="AE96" s="585"/>
      <c r="AF96" s="585"/>
      <c r="AG96" s="585"/>
      <c r="AH96" s="585"/>
      <c r="AI96" s="585"/>
      <c r="AJ96" s="585"/>
      <c r="AK96" s="585"/>
      <c r="AL96" s="585"/>
      <c r="AM96" s="585"/>
      <c r="AN96" s="585"/>
      <c r="AO96" s="585"/>
      <c r="AP96" s="585"/>
      <c r="AQ96" s="585"/>
      <c r="AR96" s="585"/>
    </row>
    <row r="97">
      <c r="A97" s="621"/>
      <c r="B97" s="627" t="str">
        <f>IFERROR(__xludf.DUMMYFUNCTION("""COMPUTED_VALUE"""),"Script R1 + Outfits")</f>
        <v>Script R1 + Outfits</v>
      </c>
      <c r="C97" s="628"/>
      <c r="D97" s="602" t="str">
        <f>IFERROR(__xludf.DUMMYFUNCTION("""COMPUTED_VALUE"""),"PMAX")</f>
        <v>PMAX</v>
      </c>
      <c r="E97" s="624" t="str">
        <f>IFERROR(__xludf.DUMMYFUNCTION("""COMPUTED_VALUE"""),"Done")</f>
        <v>Done</v>
      </c>
      <c r="F97" s="604">
        <f>IFERROR(__xludf.DUMMYFUNCTION("""COMPUTED_VALUE"""),46150.0)</f>
        <v>46150</v>
      </c>
      <c r="G97" s="639">
        <f>IFERROR(__xludf.DUMMYFUNCTION("""COMPUTED_VALUE"""),46150.0)</f>
        <v>46150</v>
      </c>
      <c r="H97" s="585"/>
      <c r="I97" s="629">
        <v>1.0</v>
      </c>
      <c r="J97" s="630" t="s">
        <v>883</v>
      </c>
      <c r="K97" s="585"/>
      <c r="L97" s="585"/>
      <c r="M97" s="585"/>
      <c r="N97" s="585"/>
      <c r="O97" s="585"/>
      <c r="P97" s="585"/>
      <c r="Q97" s="585"/>
      <c r="R97" s="585"/>
      <c r="S97" s="585"/>
      <c r="T97" s="585"/>
      <c r="U97" s="585"/>
      <c r="V97" s="585"/>
      <c r="W97" s="585"/>
      <c r="X97" s="585"/>
      <c r="Y97" s="585"/>
      <c r="Z97" s="585"/>
      <c r="AA97" s="585"/>
      <c r="AB97" s="585"/>
      <c r="AC97" s="585"/>
      <c r="AD97" s="585"/>
      <c r="AE97" s="585"/>
      <c r="AF97" s="585"/>
      <c r="AG97" s="585"/>
      <c r="AH97" s="585"/>
      <c r="AI97" s="585"/>
      <c r="AJ97" s="585"/>
      <c r="AK97" s="585"/>
      <c r="AL97" s="585"/>
      <c r="AM97" s="585"/>
      <c r="AN97" s="585"/>
      <c r="AO97" s="585"/>
      <c r="AP97" s="585"/>
      <c r="AQ97" s="585"/>
      <c r="AR97" s="585"/>
    </row>
    <row r="98">
      <c r="A98" s="621"/>
      <c r="B98" s="627" t="str">
        <f>IFERROR(__xludf.DUMMYFUNCTION("""COMPUTED_VALUE"""),"Feedback Script R1 + outfits")</f>
        <v>Feedback Script R1 + outfits</v>
      </c>
      <c r="C98" s="628"/>
      <c r="D98" s="602" t="str">
        <f>IFERROR(__xludf.DUMMYFUNCTION("""COMPUTED_VALUE"""),"BRAND")</f>
        <v>BRAND</v>
      </c>
      <c r="E98" s="624" t="str">
        <f>IFERROR(__xludf.DUMMYFUNCTION("""COMPUTED_VALUE"""),"Not start yet")</f>
        <v>Not start yet</v>
      </c>
      <c r="F98" s="604">
        <f>IFERROR(__xludf.DUMMYFUNCTION("""COMPUTED_VALUE"""),46151.0)</f>
        <v>46151</v>
      </c>
      <c r="G98" s="639">
        <f>IFERROR(__xludf.DUMMYFUNCTION("""COMPUTED_VALUE"""),46152.0)</f>
        <v>46152</v>
      </c>
      <c r="H98" s="585"/>
      <c r="I98" s="625"/>
      <c r="J98" s="630" t="s">
        <v>884</v>
      </c>
      <c r="K98" s="585"/>
      <c r="L98" s="585"/>
      <c r="M98" s="585"/>
      <c r="N98" s="585"/>
      <c r="O98" s="585"/>
      <c r="P98" s="585"/>
      <c r="Q98" s="585"/>
      <c r="R98" s="585"/>
      <c r="S98" s="585"/>
      <c r="T98" s="585"/>
      <c r="U98" s="585"/>
      <c r="V98" s="585"/>
      <c r="W98" s="585"/>
      <c r="X98" s="585"/>
      <c r="Y98" s="585"/>
      <c r="Z98" s="585"/>
      <c r="AA98" s="585"/>
      <c r="AB98" s="585"/>
      <c r="AC98" s="585"/>
      <c r="AD98" s="585"/>
      <c r="AE98" s="585"/>
      <c r="AF98" s="585"/>
      <c r="AG98" s="585"/>
      <c r="AH98" s="585"/>
      <c r="AI98" s="585"/>
      <c r="AJ98" s="585"/>
      <c r="AK98" s="585"/>
      <c r="AL98" s="585"/>
      <c r="AM98" s="585"/>
      <c r="AN98" s="585"/>
      <c r="AO98" s="585"/>
      <c r="AP98" s="585"/>
      <c r="AQ98" s="585"/>
      <c r="AR98" s="585"/>
    </row>
    <row r="99">
      <c r="A99" s="621"/>
      <c r="B99" s="631" t="str">
        <f>IFERROR(__xludf.DUMMYFUNCTION("""COMPUTED_VALUE"""),"Script R2")</f>
        <v>Script R2</v>
      </c>
      <c r="C99" s="628"/>
      <c r="D99" s="632" t="str">
        <f>IFERROR(__xludf.DUMMYFUNCTION("""COMPUTED_VALUE"""),"PMAX")</f>
        <v>PMAX</v>
      </c>
      <c r="E99" s="624" t="str">
        <f>IFERROR(__xludf.DUMMYFUNCTION("""COMPUTED_VALUE"""),"Not start yet")</f>
        <v>Not start yet</v>
      </c>
      <c r="F99" s="604">
        <f>IFERROR(__xludf.DUMMYFUNCTION("""COMPUTED_VALUE"""),46153.0)</f>
        <v>46153</v>
      </c>
      <c r="G99" s="639">
        <f>IFERROR(__xludf.DUMMYFUNCTION("""COMPUTED_VALUE"""),46153.0)</f>
        <v>46153</v>
      </c>
      <c r="H99" s="585"/>
      <c r="I99" s="625"/>
      <c r="J99" s="630"/>
      <c r="K99" s="585"/>
      <c r="L99" s="585"/>
      <c r="M99" s="585"/>
      <c r="N99" s="585"/>
      <c r="O99" s="585"/>
      <c r="P99" s="585"/>
      <c r="Q99" s="585"/>
      <c r="R99" s="585"/>
      <c r="S99" s="585"/>
      <c r="T99" s="585"/>
      <c r="U99" s="585"/>
      <c r="V99" s="585"/>
      <c r="W99" s="585"/>
      <c r="X99" s="585"/>
      <c r="Y99" s="585"/>
      <c r="Z99" s="585"/>
      <c r="AA99" s="585"/>
      <c r="AB99" s="585"/>
      <c r="AC99" s="585"/>
      <c r="AD99" s="585"/>
      <c r="AE99" s="585"/>
      <c r="AF99" s="585"/>
      <c r="AG99" s="585"/>
      <c r="AH99" s="585"/>
      <c r="AI99" s="585"/>
      <c r="AJ99" s="585"/>
      <c r="AK99" s="585"/>
      <c r="AL99" s="585"/>
      <c r="AM99" s="585"/>
      <c r="AN99" s="585"/>
      <c r="AO99" s="585"/>
      <c r="AP99" s="585"/>
      <c r="AQ99" s="585"/>
      <c r="AR99" s="585"/>
    </row>
    <row r="100">
      <c r="A100" s="621"/>
      <c r="B100" s="631" t="str">
        <f>IFERROR(__xludf.DUMMYFUNCTION("""COMPUTED_VALUE"""),"Feedback Script R2")</f>
        <v>Feedback Script R2</v>
      </c>
      <c r="C100" s="628"/>
      <c r="D100" s="632" t="str">
        <f>IFERROR(__xludf.DUMMYFUNCTION("""COMPUTED_VALUE"""),"BRAND")</f>
        <v>BRAND</v>
      </c>
      <c r="E100" s="624" t="str">
        <f>IFERROR(__xludf.DUMMYFUNCTION("""COMPUTED_VALUE"""),"Not start yet")</f>
        <v>Not start yet</v>
      </c>
      <c r="F100" s="604">
        <f>IFERROR(__xludf.DUMMYFUNCTION("""COMPUTED_VALUE"""),46153.0)</f>
        <v>46153</v>
      </c>
      <c r="G100" s="639">
        <f>IFERROR(__xludf.DUMMYFUNCTION("""COMPUTED_VALUE"""),46153.0)</f>
        <v>46153</v>
      </c>
      <c r="H100" s="585"/>
      <c r="I100" s="625"/>
      <c r="J100" s="630"/>
      <c r="K100" s="585"/>
      <c r="L100" s="585"/>
      <c r="M100" s="585"/>
      <c r="N100" s="585"/>
      <c r="O100" s="585"/>
      <c r="P100" s="585"/>
      <c r="Q100" s="585"/>
      <c r="R100" s="585"/>
      <c r="S100" s="585"/>
      <c r="T100" s="585"/>
      <c r="U100" s="585"/>
      <c r="V100" s="585"/>
      <c r="W100" s="585"/>
      <c r="X100" s="585"/>
      <c r="Y100" s="585"/>
      <c r="Z100" s="585"/>
      <c r="AA100" s="585"/>
      <c r="AB100" s="585"/>
      <c r="AC100" s="585"/>
      <c r="AD100" s="585"/>
      <c r="AE100" s="585"/>
      <c r="AF100" s="585"/>
      <c r="AG100" s="585"/>
      <c r="AH100" s="585"/>
      <c r="AI100" s="585"/>
      <c r="AJ100" s="585"/>
      <c r="AK100" s="585"/>
      <c r="AL100" s="585"/>
      <c r="AM100" s="585"/>
      <c r="AN100" s="585"/>
      <c r="AO100" s="585"/>
      <c r="AP100" s="585"/>
      <c r="AQ100" s="585"/>
      <c r="AR100" s="585"/>
    </row>
    <row r="101">
      <c r="A101" s="621"/>
      <c r="B101" s="627" t="str">
        <f>IFERROR(__xludf.DUMMYFUNCTION("""COMPUTED_VALUE"""),"Finalize scripts + outfits")</f>
        <v>Finalize scripts + outfits</v>
      </c>
      <c r="C101" s="628"/>
      <c r="D101" s="602" t="str">
        <f>IFERROR(__xludf.DUMMYFUNCTION("""COMPUTED_VALUE"""),"PMAX-BRAND")</f>
        <v>PMAX-BRAND</v>
      </c>
      <c r="E101" s="624" t="str">
        <f>IFERROR(__xludf.DUMMYFUNCTION("""COMPUTED_VALUE"""),"Not start yet")</f>
        <v>Not start yet</v>
      </c>
      <c r="F101" s="604">
        <f>IFERROR(__xludf.DUMMYFUNCTION("""COMPUTED_VALUE"""),46153.0)</f>
        <v>46153</v>
      </c>
      <c r="G101" s="639">
        <f>IFERROR(__xludf.DUMMYFUNCTION("""COMPUTED_VALUE"""),46153.0)</f>
        <v>46153</v>
      </c>
      <c r="H101" s="585"/>
      <c r="I101" s="629">
        <v>1.0</v>
      </c>
      <c r="J101" s="630" t="s">
        <v>885</v>
      </c>
      <c r="K101" s="585"/>
      <c r="L101" s="585"/>
      <c r="M101" s="585"/>
      <c r="N101" s="585"/>
      <c r="O101" s="585"/>
      <c r="P101" s="585"/>
      <c r="Q101" s="585"/>
      <c r="R101" s="585"/>
      <c r="S101" s="585"/>
      <c r="T101" s="585"/>
      <c r="U101" s="585"/>
      <c r="V101" s="585"/>
      <c r="W101" s="585"/>
      <c r="X101" s="585"/>
      <c r="Y101" s="585"/>
      <c r="Z101" s="585"/>
      <c r="AA101" s="585"/>
      <c r="AB101" s="585"/>
      <c r="AC101" s="585"/>
      <c r="AD101" s="585"/>
      <c r="AE101" s="585"/>
      <c r="AF101" s="585"/>
      <c r="AG101" s="585"/>
      <c r="AH101" s="585"/>
      <c r="AI101" s="585"/>
      <c r="AJ101" s="585"/>
      <c r="AK101" s="585"/>
      <c r="AL101" s="585"/>
      <c r="AM101" s="585"/>
      <c r="AN101" s="585"/>
      <c r="AO101" s="585"/>
      <c r="AP101" s="585"/>
      <c r="AQ101" s="585"/>
      <c r="AR101" s="585"/>
    </row>
    <row r="102">
      <c r="A102" s="621"/>
      <c r="B102" s="627" t="str">
        <f>IFERROR(__xludf.DUMMYFUNCTION("""COMPUTED_VALUE"""),"Đi quay tại site")</f>
        <v>Đi quay tại site</v>
      </c>
      <c r="C102" s="628"/>
      <c r="D102" s="602" t="str">
        <f>IFERROR(__xludf.DUMMYFUNCTION("""COMPUTED_VALUE"""),"PMAX")</f>
        <v>PMAX</v>
      </c>
      <c r="E102" s="624" t="str">
        <f>IFERROR(__xludf.DUMMYFUNCTION("""COMPUTED_VALUE"""),"Not start yet")</f>
        <v>Not start yet</v>
      </c>
      <c r="F102" s="604">
        <f>IFERROR(__xludf.DUMMYFUNCTION("""COMPUTED_VALUE"""),46155.0)</f>
        <v>46155</v>
      </c>
      <c r="G102" s="639">
        <f>IFERROR(__xludf.DUMMYFUNCTION("""COMPUTED_VALUE"""),46155.0)</f>
        <v>46155</v>
      </c>
      <c r="H102" s="585"/>
      <c r="I102" s="629">
        <v>2.0</v>
      </c>
      <c r="J102" s="625"/>
      <c r="K102" s="585"/>
      <c r="L102" s="585"/>
      <c r="M102" s="585"/>
      <c r="N102" s="585"/>
      <c r="O102" s="585"/>
      <c r="P102" s="585"/>
      <c r="Q102" s="585"/>
      <c r="R102" s="585"/>
      <c r="S102" s="585"/>
      <c r="T102" s="585"/>
      <c r="U102" s="585"/>
      <c r="V102" s="585"/>
      <c r="W102" s="585"/>
      <c r="X102" s="585"/>
      <c r="Y102" s="585"/>
      <c r="Z102" s="585"/>
      <c r="AA102" s="585"/>
      <c r="AB102" s="585"/>
      <c r="AC102" s="585"/>
      <c r="AD102" s="585"/>
      <c r="AE102" s="585"/>
      <c r="AF102" s="585"/>
      <c r="AG102" s="585"/>
      <c r="AH102" s="585"/>
      <c r="AI102" s="585"/>
      <c r="AJ102" s="585"/>
      <c r="AK102" s="585"/>
      <c r="AL102" s="585"/>
      <c r="AM102" s="585"/>
      <c r="AN102" s="585"/>
      <c r="AO102" s="585"/>
      <c r="AP102" s="585"/>
      <c r="AQ102" s="585"/>
      <c r="AR102" s="585"/>
    </row>
    <row r="103">
      <c r="A103" s="621"/>
      <c r="B103" s="633" t="str">
        <f>IFERROR(__xludf.DUMMYFUNCTION("""COMPUTED_VALUE"""),"Demo R1")</f>
        <v>Demo R1</v>
      </c>
      <c r="C103" s="628"/>
      <c r="D103" s="602" t="str">
        <f>IFERROR(__xludf.DUMMYFUNCTION("""COMPUTED_VALUE"""),"PMAX")</f>
        <v>PMAX</v>
      </c>
      <c r="E103" s="624" t="str">
        <f>IFERROR(__xludf.DUMMYFUNCTION("""COMPUTED_VALUE"""),"Not start yet")</f>
        <v>Not start yet</v>
      </c>
      <c r="F103" s="604">
        <f>IFERROR(__xludf.DUMMYFUNCTION("""COMPUTED_VALUE"""),46158.0)</f>
        <v>46158</v>
      </c>
      <c r="G103" s="639">
        <f>IFERROR(__xludf.DUMMYFUNCTION("""COMPUTED_VALUE"""),46158.0)</f>
        <v>46158</v>
      </c>
      <c r="H103" s="585"/>
      <c r="I103" s="629">
        <v>4.0</v>
      </c>
      <c r="J103" s="630" t="s">
        <v>886</v>
      </c>
      <c r="K103" s="585"/>
      <c r="L103" s="585"/>
      <c r="M103" s="585"/>
      <c r="N103" s="585"/>
      <c r="O103" s="585"/>
      <c r="P103" s="585"/>
      <c r="Q103" s="585"/>
      <c r="R103" s="585"/>
      <c r="S103" s="585"/>
      <c r="T103" s="585"/>
      <c r="U103" s="585"/>
      <c r="V103" s="585"/>
      <c r="W103" s="585"/>
      <c r="X103" s="585"/>
      <c r="Y103" s="585"/>
      <c r="Z103" s="585"/>
      <c r="AA103" s="585"/>
      <c r="AB103" s="585"/>
      <c r="AC103" s="585"/>
      <c r="AD103" s="585"/>
      <c r="AE103" s="585"/>
      <c r="AF103" s="585"/>
      <c r="AG103" s="585"/>
      <c r="AH103" s="585"/>
      <c r="AI103" s="585"/>
      <c r="AJ103" s="585"/>
      <c r="AK103" s="585"/>
      <c r="AL103" s="585"/>
      <c r="AM103" s="585"/>
      <c r="AN103" s="585"/>
      <c r="AO103" s="585"/>
      <c r="AP103" s="585"/>
      <c r="AQ103" s="585"/>
      <c r="AR103" s="585"/>
    </row>
    <row r="104">
      <c r="A104" s="621"/>
      <c r="B104" s="627" t="str">
        <f>IFERROR(__xludf.DUMMYFUNCTION("""COMPUTED_VALUE"""),"Feedback demo R1")</f>
        <v>Feedback demo R1</v>
      </c>
      <c r="C104" s="628"/>
      <c r="D104" s="602" t="str">
        <f>IFERROR(__xludf.DUMMYFUNCTION("""COMPUTED_VALUE"""),"BRAND")</f>
        <v>BRAND</v>
      </c>
      <c r="E104" s="624" t="str">
        <f>IFERROR(__xludf.DUMMYFUNCTION("""COMPUTED_VALUE"""),"Not start yet")</f>
        <v>Not start yet</v>
      </c>
      <c r="F104" s="604">
        <f>IFERROR(__xludf.DUMMYFUNCTION("""COMPUTED_VALUE"""),46160.0)</f>
        <v>46160</v>
      </c>
      <c r="G104" s="639">
        <f>IFERROR(__xludf.DUMMYFUNCTION("""COMPUTED_VALUE"""),46160.0)</f>
        <v>46160</v>
      </c>
      <c r="H104" s="585"/>
      <c r="I104" s="625"/>
      <c r="J104" s="630" t="s">
        <v>887</v>
      </c>
      <c r="K104" s="585"/>
      <c r="L104" s="585"/>
      <c r="M104" s="585"/>
      <c r="N104" s="585"/>
      <c r="O104" s="585"/>
      <c r="P104" s="585"/>
      <c r="Q104" s="585"/>
      <c r="R104" s="585"/>
      <c r="S104" s="585"/>
      <c r="T104" s="585"/>
      <c r="U104" s="585"/>
      <c r="V104" s="585"/>
      <c r="W104" s="585"/>
      <c r="X104" s="585"/>
      <c r="Y104" s="585"/>
      <c r="Z104" s="585"/>
      <c r="AA104" s="585"/>
      <c r="AB104" s="585"/>
      <c r="AC104" s="585"/>
      <c r="AD104" s="585"/>
      <c r="AE104" s="585"/>
      <c r="AF104" s="585"/>
      <c r="AG104" s="585"/>
      <c r="AH104" s="585"/>
      <c r="AI104" s="585"/>
      <c r="AJ104" s="585"/>
      <c r="AK104" s="585"/>
      <c r="AL104" s="585"/>
      <c r="AM104" s="585"/>
      <c r="AN104" s="585"/>
      <c r="AO104" s="585"/>
      <c r="AP104" s="585"/>
      <c r="AQ104" s="585"/>
      <c r="AR104" s="585"/>
    </row>
    <row r="105">
      <c r="A105" s="621"/>
      <c r="B105" s="633" t="str">
        <f>IFERROR(__xludf.DUMMYFUNCTION("""COMPUTED_VALUE"""),"Demo R2")</f>
        <v>Demo R2</v>
      </c>
      <c r="C105" s="628"/>
      <c r="D105" s="602" t="str">
        <f>IFERROR(__xludf.DUMMYFUNCTION("""COMPUTED_VALUE"""),"PMAX")</f>
        <v>PMAX</v>
      </c>
      <c r="E105" s="624" t="str">
        <f>IFERROR(__xludf.DUMMYFUNCTION("""COMPUTED_VALUE"""),"Not start yet")</f>
        <v>Not start yet</v>
      </c>
      <c r="F105" s="604">
        <f>IFERROR(__xludf.DUMMYFUNCTION("""COMPUTED_VALUE"""),46162.0)</f>
        <v>46162</v>
      </c>
      <c r="G105" s="639">
        <f>IFERROR(__xludf.DUMMYFUNCTION("""COMPUTED_VALUE"""),46162.0)</f>
        <v>46162</v>
      </c>
      <c r="H105" s="585"/>
      <c r="I105" s="625"/>
      <c r="J105" s="625"/>
      <c r="K105" s="585"/>
      <c r="L105" s="585"/>
      <c r="M105" s="585"/>
      <c r="N105" s="585"/>
      <c r="O105" s="585"/>
      <c r="P105" s="585"/>
      <c r="Q105" s="585"/>
      <c r="R105" s="585"/>
      <c r="S105" s="585"/>
      <c r="T105" s="585"/>
      <c r="U105" s="585"/>
      <c r="V105" s="585"/>
      <c r="W105" s="585"/>
      <c r="X105" s="585"/>
      <c r="Y105" s="585"/>
      <c r="Z105" s="585"/>
      <c r="AA105" s="585"/>
      <c r="AB105" s="585"/>
      <c r="AC105" s="585"/>
      <c r="AD105" s="585"/>
      <c r="AE105" s="585"/>
      <c r="AF105" s="585"/>
      <c r="AG105" s="585"/>
      <c r="AH105" s="585"/>
      <c r="AI105" s="585"/>
      <c r="AJ105" s="585"/>
      <c r="AK105" s="585"/>
      <c r="AL105" s="585"/>
      <c r="AM105" s="585"/>
      <c r="AN105" s="585"/>
      <c r="AO105" s="585"/>
      <c r="AP105" s="585"/>
      <c r="AQ105" s="585"/>
      <c r="AR105" s="585"/>
    </row>
    <row r="106">
      <c r="A106" s="621"/>
      <c r="B106" s="627" t="str">
        <f>IFERROR(__xludf.DUMMYFUNCTION("""COMPUTED_VALUE"""),"Feedback demo R2")</f>
        <v>Feedback demo R2</v>
      </c>
      <c r="C106" s="628"/>
      <c r="D106" s="602" t="str">
        <f>IFERROR(__xludf.DUMMYFUNCTION("""COMPUTED_VALUE"""),"BRAND")</f>
        <v>BRAND</v>
      </c>
      <c r="E106" s="624" t="str">
        <f>IFERROR(__xludf.DUMMYFUNCTION("""COMPUTED_VALUE"""),"Not start yet")</f>
        <v>Not start yet</v>
      </c>
      <c r="F106" s="604">
        <f>IFERROR(__xludf.DUMMYFUNCTION("""COMPUTED_VALUE"""),46163.0)</f>
        <v>46163</v>
      </c>
      <c r="G106" s="639">
        <f>IFERROR(__xludf.DUMMYFUNCTION("""COMPUTED_VALUE"""),46163.0)</f>
        <v>46163</v>
      </c>
      <c r="H106" s="585"/>
      <c r="I106" s="625"/>
      <c r="J106" s="625"/>
      <c r="K106" s="585"/>
      <c r="L106" s="585"/>
      <c r="M106" s="585"/>
      <c r="N106" s="585"/>
      <c r="O106" s="585"/>
      <c r="P106" s="585"/>
      <c r="Q106" s="585"/>
      <c r="R106" s="585"/>
      <c r="S106" s="585"/>
      <c r="T106" s="585"/>
      <c r="U106" s="585"/>
      <c r="V106" s="585"/>
      <c r="W106" s="585"/>
      <c r="X106" s="585"/>
      <c r="Y106" s="585"/>
      <c r="Z106" s="585"/>
      <c r="AA106" s="585"/>
      <c r="AB106" s="585"/>
      <c r="AC106" s="585"/>
      <c r="AD106" s="585"/>
      <c r="AE106" s="585"/>
      <c r="AF106" s="585"/>
      <c r="AG106" s="585"/>
      <c r="AH106" s="585"/>
      <c r="AI106" s="585"/>
      <c r="AJ106" s="585"/>
      <c r="AK106" s="585"/>
      <c r="AL106" s="585"/>
      <c r="AM106" s="585"/>
      <c r="AN106" s="585"/>
      <c r="AO106" s="585"/>
      <c r="AP106" s="585"/>
      <c r="AQ106" s="585"/>
      <c r="AR106" s="585"/>
    </row>
    <row r="107">
      <c r="A107" s="621"/>
      <c r="B107" s="627" t="str">
        <f>IFERROR(__xludf.DUMMYFUNCTION("""COMPUTED_VALUE"""),"Finalize demo")</f>
        <v>Finalize demo</v>
      </c>
      <c r="C107" s="628"/>
      <c r="D107" s="602" t="str">
        <f>IFERROR(__xludf.DUMMYFUNCTION("""COMPUTED_VALUE"""),"PMAX")</f>
        <v>PMAX</v>
      </c>
      <c r="E107" s="624" t="str">
        <f>IFERROR(__xludf.DUMMYFUNCTION("""COMPUTED_VALUE"""),"Not start yet")</f>
        <v>Not start yet</v>
      </c>
      <c r="F107" s="604">
        <f>IFERROR(__xludf.DUMMYFUNCTION("""COMPUTED_VALUE"""),46164.0)</f>
        <v>46164</v>
      </c>
      <c r="G107" s="639">
        <f>IFERROR(__xludf.DUMMYFUNCTION("""COMPUTED_VALUE"""),46165.0)</f>
        <v>46165</v>
      </c>
      <c r="H107" s="585"/>
      <c r="I107" s="629">
        <v>1.0</v>
      </c>
      <c r="J107" s="630" t="s">
        <v>888</v>
      </c>
      <c r="K107" s="585"/>
      <c r="L107" s="585"/>
      <c r="M107" s="585"/>
      <c r="N107" s="585"/>
      <c r="O107" s="585"/>
      <c r="P107" s="585"/>
      <c r="Q107" s="585"/>
      <c r="R107" s="585"/>
      <c r="S107" s="585"/>
      <c r="T107" s="585"/>
      <c r="U107" s="585"/>
      <c r="V107" s="585"/>
      <c r="W107" s="585"/>
      <c r="X107" s="585"/>
      <c r="Y107" s="585"/>
      <c r="Z107" s="585"/>
      <c r="AA107" s="585"/>
      <c r="AB107" s="585"/>
      <c r="AC107" s="585"/>
      <c r="AD107" s="585"/>
      <c r="AE107" s="585"/>
      <c r="AF107" s="585"/>
      <c r="AG107" s="585"/>
      <c r="AH107" s="585"/>
      <c r="AI107" s="585"/>
      <c r="AJ107" s="585"/>
      <c r="AK107" s="585"/>
      <c r="AL107" s="585"/>
      <c r="AM107" s="585"/>
      <c r="AN107" s="585"/>
      <c r="AO107" s="585"/>
      <c r="AP107" s="585"/>
      <c r="AQ107" s="585"/>
      <c r="AR107" s="585"/>
    </row>
    <row r="108">
      <c r="A108" s="640"/>
      <c r="B108" s="634" t="str">
        <f>IFERROR(__xludf.DUMMYFUNCTION("""COMPUTED_VALUE"""),"Air")</f>
        <v>Air</v>
      </c>
      <c r="C108" s="26"/>
      <c r="D108" s="602" t="str">
        <f>IFERROR(__xludf.DUMMYFUNCTION("""COMPUTED_VALUE"""),"PMAX")</f>
        <v>PMAX</v>
      </c>
      <c r="E108" s="624" t="str">
        <f>IFERROR(__xludf.DUMMYFUNCTION("""COMPUTED_VALUE"""),"Not start yet")</f>
        <v>Not start yet</v>
      </c>
      <c r="F108" s="604" t="str">
        <f>IFERROR(__xludf.DUMMYFUNCTION("""COMPUTED_VALUE"""),"TBU")</f>
        <v>TBU</v>
      </c>
      <c r="G108" s="639" t="str">
        <f>IFERROR(__xludf.DUMMYFUNCTION("""COMPUTED_VALUE"""),"TBU")</f>
        <v>TBU</v>
      </c>
      <c r="H108" s="585"/>
      <c r="I108" s="636">
        <v>1.0</v>
      </c>
      <c r="J108" s="585"/>
      <c r="K108" s="585"/>
      <c r="L108" s="585"/>
      <c r="M108" s="585"/>
      <c r="N108" s="585"/>
      <c r="O108" s="585"/>
      <c r="P108" s="585"/>
      <c r="Q108" s="585"/>
      <c r="R108" s="585"/>
      <c r="S108" s="585"/>
      <c r="T108" s="585"/>
      <c r="U108" s="585"/>
      <c r="V108" s="585"/>
      <c r="W108" s="585"/>
      <c r="X108" s="585"/>
      <c r="Y108" s="585"/>
      <c r="Z108" s="585"/>
      <c r="AA108" s="585"/>
      <c r="AB108" s="585"/>
      <c r="AC108" s="585"/>
      <c r="AD108" s="585"/>
      <c r="AE108" s="585"/>
      <c r="AF108" s="585"/>
      <c r="AG108" s="585"/>
      <c r="AH108" s="585"/>
      <c r="AI108" s="585"/>
      <c r="AJ108" s="585"/>
      <c r="AK108" s="585"/>
      <c r="AL108" s="585"/>
      <c r="AM108" s="585"/>
      <c r="AN108" s="585"/>
      <c r="AO108" s="585"/>
      <c r="AP108" s="585"/>
      <c r="AQ108" s="585"/>
      <c r="AR108" s="585"/>
    </row>
    <row r="109">
      <c r="A109" s="637">
        <f>IFERROR(__xludf.DUMMYFUNCTION("""COMPUTED_VALUE"""),7.0)</f>
        <v>7</v>
      </c>
      <c r="B109" s="616" t="str">
        <f>IFERROR(__xludf.DUMMYFUNCTION("""COMPUTED_VALUE"""),"Ăn ngon cùng Puu")</f>
        <v>Ăn ngon cùng Puu</v>
      </c>
      <c r="C109" s="617"/>
      <c r="D109" s="618"/>
      <c r="E109" s="619"/>
      <c r="F109" s="619"/>
      <c r="G109" s="619"/>
      <c r="H109" s="585"/>
      <c r="I109" s="585"/>
      <c r="J109" s="585"/>
      <c r="K109" s="585"/>
      <c r="L109" s="585"/>
      <c r="M109" s="585"/>
      <c r="N109" s="585"/>
      <c r="O109" s="585"/>
      <c r="P109" s="585"/>
      <c r="Q109" s="585"/>
      <c r="R109" s="585"/>
      <c r="S109" s="585"/>
      <c r="T109" s="585"/>
      <c r="U109" s="585"/>
      <c r="V109" s="585"/>
      <c r="W109" s="585"/>
      <c r="X109" s="585"/>
      <c r="Y109" s="585"/>
      <c r="Z109" s="585"/>
      <c r="AA109" s="585"/>
      <c r="AB109" s="585"/>
      <c r="AC109" s="585"/>
      <c r="AD109" s="585"/>
      <c r="AE109" s="585"/>
      <c r="AF109" s="585"/>
      <c r="AG109" s="585"/>
      <c r="AH109" s="585"/>
      <c r="AI109" s="585"/>
      <c r="AJ109" s="585"/>
      <c r="AK109" s="585"/>
      <c r="AL109" s="585"/>
      <c r="AM109" s="585"/>
      <c r="AN109" s="585"/>
      <c r="AO109" s="585"/>
      <c r="AP109" s="585"/>
      <c r="AQ109" s="585"/>
      <c r="AR109" s="585"/>
    </row>
    <row r="110">
      <c r="A110" s="621"/>
      <c r="B110" s="622" t="str">
        <f>IFERROR(__xludf.DUMMYFUNCTION("""COMPUTED_VALUE"""),"Briefing cho Influencer")</f>
        <v>Briefing cho Influencer</v>
      </c>
      <c r="C110" s="623"/>
      <c r="D110" s="602" t="str">
        <f>IFERROR(__xludf.DUMMYFUNCTION("""COMPUTED_VALUE"""),"PMAX")</f>
        <v>PMAX</v>
      </c>
      <c r="E110" s="624" t="str">
        <f>IFERROR(__xludf.DUMMYFUNCTION("""COMPUTED_VALUE"""),"Not start yet")</f>
        <v>Not start yet</v>
      </c>
      <c r="F110" s="604">
        <f>IFERROR(__xludf.DUMMYFUNCTION("""COMPUTED_VALUE"""),46147.0)</f>
        <v>46147</v>
      </c>
      <c r="G110" s="639">
        <f>IFERROR(__xludf.DUMMYFUNCTION("""COMPUTED_VALUE"""),46148.0)</f>
        <v>46148</v>
      </c>
      <c r="H110" s="585"/>
      <c r="I110" s="625"/>
      <c r="J110" s="626" t="s">
        <v>882</v>
      </c>
      <c r="K110" s="585"/>
      <c r="L110" s="585"/>
      <c r="M110" s="585"/>
      <c r="N110" s="585"/>
      <c r="O110" s="585"/>
      <c r="P110" s="585"/>
      <c r="Q110" s="585"/>
      <c r="R110" s="585"/>
      <c r="S110" s="585"/>
      <c r="T110" s="585"/>
      <c r="U110" s="585"/>
      <c r="V110" s="585"/>
      <c r="W110" s="585"/>
      <c r="X110" s="585"/>
      <c r="Y110" s="585"/>
      <c r="Z110" s="585"/>
      <c r="AA110" s="585"/>
      <c r="AB110" s="585"/>
      <c r="AC110" s="585"/>
      <c r="AD110" s="585"/>
      <c r="AE110" s="585"/>
      <c r="AF110" s="585"/>
      <c r="AG110" s="585"/>
      <c r="AH110" s="585"/>
      <c r="AI110" s="585"/>
      <c r="AJ110" s="585"/>
      <c r="AK110" s="585"/>
      <c r="AL110" s="585"/>
      <c r="AM110" s="585"/>
      <c r="AN110" s="585"/>
      <c r="AO110" s="585"/>
      <c r="AP110" s="585"/>
      <c r="AQ110" s="585"/>
      <c r="AR110" s="585"/>
    </row>
    <row r="111">
      <c r="A111" s="621"/>
      <c r="B111" s="627" t="str">
        <f>IFERROR(__xludf.DUMMYFUNCTION("""COMPUTED_VALUE"""),"Script R1 + Outfits")</f>
        <v>Script R1 + Outfits</v>
      </c>
      <c r="C111" s="628"/>
      <c r="D111" s="602" t="str">
        <f>IFERROR(__xludf.DUMMYFUNCTION("""COMPUTED_VALUE"""),"PMAX")</f>
        <v>PMAX</v>
      </c>
      <c r="E111" s="624" t="str">
        <f>IFERROR(__xludf.DUMMYFUNCTION("""COMPUTED_VALUE"""),"Not start yet")</f>
        <v>Not start yet</v>
      </c>
      <c r="F111" s="604">
        <f>IFERROR(__xludf.DUMMYFUNCTION("""COMPUTED_VALUE"""),46148.0)</f>
        <v>46148</v>
      </c>
      <c r="G111" s="639">
        <f>IFERROR(__xludf.DUMMYFUNCTION("""COMPUTED_VALUE"""),46150.0)</f>
        <v>46150</v>
      </c>
      <c r="H111" s="585"/>
      <c r="I111" s="629">
        <v>1.0</v>
      </c>
      <c r="J111" s="630" t="s">
        <v>883</v>
      </c>
      <c r="K111" s="585"/>
      <c r="L111" s="585"/>
      <c r="M111" s="585"/>
      <c r="N111" s="585"/>
      <c r="O111" s="585"/>
      <c r="P111" s="585"/>
      <c r="Q111" s="585"/>
      <c r="R111" s="585"/>
      <c r="S111" s="585"/>
      <c r="T111" s="585"/>
      <c r="U111" s="585"/>
      <c r="V111" s="585"/>
      <c r="W111" s="585"/>
      <c r="X111" s="585"/>
      <c r="Y111" s="585"/>
      <c r="Z111" s="585"/>
      <c r="AA111" s="585"/>
      <c r="AB111" s="585"/>
      <c r="AC111" s="585"/>
      <c r="AD111" s="585"/>
      <c r="AE111" s="585"/>
      <c r="AF111" s="585"/>
      <c r="AG111" s="585"/>
      <c r="AH111" s="585"/>
      <c r="AI111" s="585"/>
      <c r="AJ111" s="585"/>
      <c r="AK111" s="585"/>
      <c r="AL111" s="585"/>
      <c r="AM111" s="585"/>
      <c r="AN111" s="585"/>
      <c r="AO111" s="585"/>
      <c r="AP111" s="585"/>
      <c r="AQ111" s="585"/>
      <c r="AR111" s="585"/>
    </row>
    <row r="112">
      <c r="A112" s="621"/>
      <c r="B112" s="627" t="str">
        <f>IFERROR(__xludf.DUMMYFUNCTION("""COMPUTED_VALUE"""),"Feedback Script R1 + outfits")</f>
        <v>Feedback Script R1 + outfits</v>
      </c>
      <c r="C112" s="628"/>
      <c r="D112" s="602" t="str">
        <f>IFERROR(__xludf.DUMMYFUNCTION("""COMPUTED_VALUE"""),"BRAND")</f>
        <v>BRAND</v>
      </c>
      <c r="E112" s="624" t="str">
        <f>IFERROR(__xludf.DUMMYFUNCTION("""COMPUTED_VALUE"""),"Not start yet")</f>
        <v>Not start yet</v>
      </c>
      <c r="F112" s="604">
        <f>IFERROR(__xludf.DUMMYFUNCTION("""COMPUTED_VALUE"""),46150.0)</f>
        <v>46150</v>
      </c>
      <c r="G112" s="639">
        <f>IFERROR(__xludf.DUMMYFUNCTION("""COMPUTED_VALUE"""),46150.0)</f>
        <v>46150</v>
      </c>
      <c r="H112" s="585"/>
      <c r="I112" s="625"/>
      <c r="J112" s="630" t="s">
        <v>884</v>
      </c>
      <c r="K112" s="585"/>
      <c r="L112" s="585"/>
      <c r="M112" s="585"/>
      <c r="N112" s="585"/>
      <c r="O112" s="585"/>
      <c r="P112" s="585"/>
      <c r="Q112" s="585"/>
      <c r="R112" s="585"/>
      <c r="S112" s="585"/>
      <c r="T112" s="585"/>
      <c r="U112" s="585"/>
      <c r="V112" s="585"/>
      <c r="W112" s="585"/>
      <c r="X112" s="585"/>
      <c r="Y112" s="585"/>
      <c r="Z112" s="585"/>
      <c r="AA112" s="585"/>
      <c r="AB112" s="585"/>
      <c r="AC112" s="585"/>
      <c r="AD112" s="585"/>
      <c r="AE112" s="585"/>
      <c r="AF112" s="585"/>
      <c r="AG112" s="585"/>
      <c r="AH112" s="585"/>
      <c r="AI112" s="585"/>
      <c r="AJ112" s="585"/>
      <c r="AK112" s="585"/>
      <c r="AL112" s="585"/>
      <c r="AM112" s="585"/>
      <c r="AN112" s="585"/>
      <c r="AO112" s="585"/>
      <c r="AP112" s="585"/>
      <c r="AQ112" s="585"/>
      <c r="AR112" s="585"/>
    </row>
    <row r="113">
      <c r="A113" s="621"/>
      <c r="B113" s="631" t="str">
        <f>IFERROR(__xludf.DUMMYFUNCTION("""COMPUTED_VALUE"""),"Script R2")</f>
        <v>Script R2</v>
      </c>
      <c r="C113" s="628"/>
      <c r="D113" s="632" t="str">
        <f>IFERROR(__xludf.DUMMYFUNCTION("""COMPUTED_VALUE"""),"PMAX")</f>
        <v>PMAX</v>
      </c>
      <c r="E113" s="624" t="str">
        <f>IFERROR(__xludf.DUMMYFUNCTION("""COMPUTED_VALUE"""),"Not start yet")</f>
        <v>Not start yet</v>
      </c>
      <c r="F113" s="604">
        <f>IFERROR(__xludf.DUMMYFUNCTION("""COMPUTED_VALUE"""),46151.0)</f>
        <v>46151</v>
      </c>
      <c r="G113" s="639">
        <f>IFERROR(__xludf.DUMMYFUNCTION("""COMPUTED_VALUE"""),46152.0)</f>
        <v>46152</v>
      </c>
      <c r="H113" s="585"/>
      <c r="I113" s="625"/>
      <c r="J113" s="630"/>
      <c r="K113" s="585"/>
      <c r="L113" s="585"/>
      <c r="M113" s="585"/>
      <c r="N113" s="585"/>
      <c r="O113" s="585"/>
      <c r="P113" s="585"/>
      <c r="Q113" s="585"/>
      <c r="R113" s="585"/>
      <c r="S113" s="585"/>
      <c r="T113" s="585"/>
      <c r="U113" s="585"/>
      <c r="V113" s="585"/>
      <c r="W113" s="585"/>
      <c r="X113" s="585"/>
      <c r="Y113" s="585"/>
      <c r="Z113" s="585"/>
      <c r="AA113" s="585"/>
      <c r="AB113" s="585"/>
      <c r="AC113" s="585"/>
      <c r="AD113" s="585"/>
      <c r="AE113" s="585"/>
      <c r="AF113" s="585"/>
      <c r="AG113" s="585"/>
      <c r="AH113" s="585"/>
      <c r="AI113" s="585"/>
      <c r="AJ113" s="585"/>
      <c r="AK113" s="585"/>
      <c r="AL113" s="585"/>
      <c r="AM113" s="585"/>
      <c r="AN113" s="585"/>
      <c r="AO113" s="585"/>
      <c r="AP113" s="585"/>
      <c r="AQ113" s="585"/>
      <c r="AR113" s="585"/>
    </row>
    <row r="114">
      <c r="A114" s="621"/>
      <c r="B114" s="631" t="str">
        <f>IFERROR(__xludf.DUMMYFUNCTION("""COMPUTED_VALUE"""),"Feedback Script R2")</f>
        <v>Feedback Script R2</v>
      </c>
      <c r="C114" s="628"/>
      <c r="D114" s="632" t="str">
        <f>IFERROR(__xludf.DUMMYFUNCTION("""COMPUTED_VALUE"""),"BRAND")</f>
        <v>BRAND</v>
      </c>
      <c r="E114" s="624" t="str">
        <f>IFERROR(__xludf.DUMMYFUNCTION("""COMPUTED_VALUE"""),"Not start yet")</f>
        <v>Not start yet</v>
      </c>
      <c r="F114" s="604">
        <f>IFERROR(__xludf.DUMMYFUNCTION("""COMPUTED_VALUE"""),46153.0)</f>
        <v>46153</v>
      </c>
      <c r="G114" s="639">
        <f>IFERROR(__xludf.DUMMYFUNCTION("""COMPUTED_VALUE"""),46153.0)</f>
        <v>46153</v>
      </c>
      <c r="H114" s="585"/>
      <c r="I114" s="625"/>
      <c r="J114" s="630"/>
      <c r="K114" s="585"/>
      <c r="L114" s="585"/>
      <c r="M114" s="585"/>
      <c r="N114" s="585"/>
      <c r="O114" s="585"/>
      <c r="P114" s="585"/>
      <c r="Q114" s="585"/>
      <c r="R114" s="585"/>
      <c r="S114" s="585"/>
      <c r="T114" s="585"/>
      <c r="U114" s="585"/>
      <c r="V114" s="585"/>
      <c r="W114" s="585"/>
      <c r="X114" s="585"/>
      <c r="Y114" s="585"/>
      <c r="Z114" s="585"/>
      <c r="AA114" s="585"/>
      <c r="AB114" s="585"/>
      <c r="AC114" s="585"/>
      <c r="AD114" s="585"/>
      <c r="AE114" s="585"/>
      <c r="AF114" s="585"/>
      <c r="AG114" s="585"/>
      <c r="AH114" s="585"/>
      <c r="AI114" s="585"/>
      <c r="AJ114" s="585"/>
      <c r="AK114" s="585"/>
      <c r="AL114" s="585"/>
      <c r="AM114" s="585"/>
      <c r="AN114" s="585"/>
      <c r="AO114" s="585"/>
      <c r="AP114" s="585"/>
      <c r="AQ114" s="585"/>
      <c r="AR114" s="585"/>
    </row>
    <row r="115">
      <c r="A115" s="621"/>
      <c r="B115" s="627" t="str">
        <f>IFERROR(__xludf.DUMMYFUNCTION("""COMPUTED_VALUE"""),"Finalize scripts + outfits")</f>
        <v>Finalize scripts + outfits</v>
      </c>
      <c r="C115" s="628"/>
      <c r="D115" s="602" t="str">
        <f>IFERROR(__xludf.DUMMYFUNCTION("""COMPUTED_VALUE"""),"PMAX-BRAND")</f>
        <v>PMAX-BRAND</v>
      </c>
      <c r="E115" s="624" t="str">
        <f>IFERROR(__xludf.DUMMYFUNCTION("""COMPUTED_VALUE"""),"Not start yet")</f>
        <v>Not start yet</v>
      </c>
      <c r="F115" s="604">
        <f>IFERROR(__xludf.DUMMYFUNCTION("""COMPUTED_VALUE"""),46153.0)</f>
        <v>46153</v>
      </c>
      <c r="G115" s="639">
        <f>IFERROR(__xludf.DUMMYFUNCTION("""COMPUTED_VALUE"""),46153.0)</f>
        <v>46153</v>
      </c>
      <c r="H115" s="585"/>
      <c r="I115" s="629">
        <v>1.0</v>
      </c>
      <c r="J115" s="630" t="s">
        <v>885</v>
      </c>
      <c r="K115" s="585"/>
      <c r="L115" s="585"/>
      <c r="M115" s="585"/>
      <c r="N115" s="585"/>
      <c r="O115" s="585"/>
      <c r="P115" s="585"/>
      <c r="Q115" s="585"/>
      <c r="R115" s="585"/>
      <c r="S115" s="585"/>
      <c r="T115" s="585"/>
      <c r="U115" s="585"/>
      <c r="V115" s="585"/>
      <c r="W115" s="585"/>
      <c r="X115" s="585"/>
      <c r="Y115" s="585"/>
      <c r="Z115" s="585"/>
      <c r="AA115" s="585"/>
      <c r="AB115" s="585"/>
      <c r="AC115" s="585"/>
      <c r="AD115" s="585"/>
      <c r="AE115" s="585"/>
      <c r="AF115" s="585"/>
      <c r="AG115" s="585"/>
      <c r="AH115" s="585"/>
      <c r="AI115" s="585"/>
      <c r="AJ115" s="585"/>
      <c r="AK115" s="585"/>
      <c r="AL115" s="585"/>
      <c r="AM115" s="585"/>
      <c r="AN115" s="585"/>
      <c r="AO115" s="585"/>
      <c r="AP115" s="585"/>
      <c r="AQ115" s="585"/>
      <c r="AR115" s="585"/>
    </row>
    <row r="116">
      <c r="A116" s="621"/>
      <c r="B116" s="627" t="str">
        <f>IFERROR(__xludf.DUMMYFUNCTION("""COMPUTED_VALUE"""),"Đi quay tại site")</f>
        <v>Đi quay tại site</v>
      </c>
      <c r="C116" s="628"/>
      <c r="D116" s="602" t="str">
        <f>IFERROR(__xludf.DUMMYFUNCTION("""COMPUTED_VALUE"""),"PMAX")</f>
        <v>PMAX</v>
      </c>
      <c r="E116" s="624" t="str">
        <f>IFERROR(__xludf.DUMMYFUNCTION("""COMPUTED_VALUE"""),"Not start yet")</f>
        <v>Not start yet</v>
      </c>
      <c r="F116" s="604">
        <f>IFERROR(__xludf.DUMMYFUNCTION("""COMPUTED_VALUE"""),46154.0)</f>
        <v>46154</v>
      </c>
      <c r="G116" s="639">
        <f>IFERROR(__xludf.DUMMYFUNCTION("""COMPUTED_VALUE"""),46156.0)</f>
        <v>46156</v>
      </c>
      <c r="H116" s="585"/>
      <c r="I116" s="629">
        <v>2.0</v>
      </c>
      <c r="J116" s="625"/>
      <c r="K116" s="585"/>
      <c r="L116" s="585"/>
      <c r="M116" s="585"/>
      <c r="N116" s="585"/>
      <c r="O116" s="585"/>
      <c r="P116" s="585"/>
      <c r="Q116" s="585"/>
      <c r="R116" s="585"/>
      <c r="S116" s="585"/>
      <c r="T116" s="585"/>
      <c r="U116" s="585"/>
      <c r="V116" s="585"/>
      <c r="W116" s="585"/>
      <c r="X116" s="585"/>
      <c r="Y116" s="585"/>
      <c r="Z116" s="585"/>
      <c r="AA116" s="585"/>
      <c r="AB116" s="585"/>
      <c r="AC116" s="585"/>
      <c r="AD116" s="585"/>
      <c r="AE116" s="585"/>
      <c r="AF116" s="585"/>
      <c r="AG116" s="585"/>
      <c r="AH116" s="585"/>
      <c r="AI116" s="585"/>
      <c r="AJ116" s="585"/>
      <c r="AK116" s="585"/>
      <c r="AL116" s="585"/>
      <c r="AM116" s="585"/>
      <c r="AN116" s="585"/>
      <c r="AO116" s="585"/>
      <c r="AP116" s="585"/>
      <c r="AQ116" s="585"/>
      <c r="AR116" s="585"/>
    </row>
    <row r="117">
      <c r="A117" s="621"/>
      <c r="B117" s="633" t="str">
        <f>IFERROR(__xludf.DUMMYFUNCTION("""COMPUTED_VALUE"""),"Demo R1")</f>
        <v>Demo R1</v>
      </c>
      <c r="C117" s="628"/>
      <c r="D117" s="602" t="str">
        <f>IFERROR(__xludf.DUMMYFUNCTION("""COMPUTED_VALUE"""),"PMAX")</f>
        <v>PMAX</v>
      </c>
      <c r="E117" s="624" t="str">
        <f>IFERROR(__xludf.DUMMYFUNCTION("""COMPUTED_VALUE"""),"Not start yet")</f>
        <v>Not start yet</v>
      </c>
      <c r="F117" s="604">
        <f>IFERROR(__xludf.DUMMYFUNCTION("""COMPUTED_VALUE"""),46156.0)</f>
        <v>46156</v>
      </c>
      <c r="G117" s="639">
        <f>IFERROR(__xludf.DUMMYFUNCTION("""COMPUTED_VALUE"""),46159.0)</f>
        <v>46159</v>
      </c>
      <c r="H117" s="585"/>
      <c r="I117" s="629">
        <v>4.0</v>
      </c>
      <c r="J117" s="630" t="s">
        <v>886</v>
      </c>
      <c r="K117" s="585"/>
      <c r="L117" s="585"/>
      <c r="M117" s="585"/>
      <c r="N117" s="585"/>
      <c r="O117" s="585"/>
      <c r="P117" s="585"/>
      <c r="Q117" s="585"/>
      <c r="R117" s="585"/>
      <c r="S117" s="585"/>
      <c r="T117" s="585"/>
      <c r="U117" s="585"/>
      <c r="V117" s="585"/>
      <c r="W117" s="585"/>
      <c r="X117" s="585"/>
      <c r="Y117" s="585"/>
      <c r="Z117" s="585"/>
      <c r="AA117" s="585"/>
      <c r="AB117" s="585"/>
      <c r="AC117" s="585"/>
      <c r="AD117" s="585"/>
      <c r="AE117" s="585"/>
      <c r="AF117" s="585"/>
      <c r="AG117" s="585"/>
      <c r="AH117" s="585"/>
      <c r="AI117" s="585"/>
      <c r="AJ117" s="585"/>
      <c r="AK117" s="585"/>
      <c r="AL117" s="585"/>
      <c r="AM117" s="585"/>
      <c r="AN117" s="585"/>
      <c r="AO117" s="585"/>
      <c r="AP117" s="585"/>
      <c r="AQ117" s="585"/>
      <c r="AR117" s="585"/>
    </row>
    <row r="118">
      <c r="A118" s="621"/>
      <c r="B118" s="627" t="str">
        <f>IFERROR(__xludf.DUMMYFUNCTION("""COMPUTED_VALUE"""),"Feedback demo R1")</f>
        <v>Feedback demo R1</v>
      </c>
      <c r="C118" s="628"/>
      <c r="D118" s="602" t="str">
        <f>IFERROR(__xludf.DUMMYFUNCTION("""COMPUTED_VALUE"""),"BRAND")</f>
        <v>BRAND</v>
      </c>
      <c r="E118" s="624" t="str">
        <f>IFERROR(__xludf.DUMMYFUNCTION("""COMPUTED_VALUE"""),"Not start yet")</f>
        <v>Not start yet</v>
      </c>
      <c r="F118" s="604">
        <f>IFERROR(__xludf.DUMMYFUNCTION("""COMPUTED_VALUE"""),46160.0)</f>
        <v>46160</v>
      </c>
      <c r="G118" s="639">
        <f>IFERROR(__xludf.DUMMYFUNCTION("""COMPUTED_VALUE"""),46160.0)</f>
        <v>46160</v>
      </c>
      <c r="H118" s="585"/>
      <c r="I118" s="625"/>
      <c r="J118" s="630" t="s">
        <v>887</v>
      </c>
      <c r="K118" s="585"/>
      <c r="L118" s="585"/>
      <c r="M118" s="585"/>
      <c r="N118" s="585"/>
      <c r="O118" s="585"/>
      <c r="P118" s="585"/>
      <c r="Q118" s="585"/>
      <c r="R118" s="585"/>
      <c r="S118" s="585"/>
      <c r="T118" s="585"/>
      <c r="U118" s="585"/>
      <c r="V118" s="585"/>
      <c r="W118" s="585"/>
      <c r="X118" s="585"/>
      <c r="Y118" s="585"/>
      <c r="Z118" s="585"/>
      <c r="AA118" s="585"/>
      <c r="AB118" s="585"/>
      <c r="AC118" s="585"/>
      <c r="AD118" s="585"/>
      <c r="AE118" s="585"/>
      <c r="AF118" s="585"/>
      <c r="AG118" s="585"/>
      <c r="AH118" s="585"/>
      <c r="AI118" s="585"/>
      <c r="AJ118" s="585"/>
      <c r="AK118" s="585"/>
      <c r="AL118" s="585"/>
      <c r="AM118" s="585"/>
      <c r="AN118" s="585"/>
      <c r="AO118" s="585"/>
      <c r="AP118" s="585"/>
      <c r="AQ118" s="585"/>
      <c r="AR118" s="585"/>
    </row>
    <row r="119">
      <c r="A119" s="621"/>
      <c r="B119" s="633" t="str">
        <f>IFERROR(__xludf.DUMMYFUNCTION("""COMPUTED_VALUE"""),"Demo R2")</f>
        <v>Demo R2</v>
      </c>
      <c r="C119" s="628"/>
      <c r="D119" s="602" t="str">
        <f>IFERROR(__xludf.DUMMYFUNCTION("""COMPUTED_VALUE"""),"PMAX")</f>
        <v>PMAX</v>
      </c>
      <c r="E119" s="624" t="str">
        <f>IFERROR(__xludf.DUMMYFUNCTION("""COMPUTED_VALUE"""),"Not start yet")</f>
        <v>Not start yet</v>
      </c>
      <c r="F119" s="604">
        <f>IFERROR(__xludf.DUMMYFUNCTION("""COMPUTED_VALUE"""),46161.0)</f>
        <v>46161</v>
      </c>
      <c r="G119" s="639">
        <f>IFERROR(__xludf.DUMMYFUNCTION("""COMPUTED_VALUE"""),46163.0)</f>
        <v>46163</v>
      </c>
      <c r="H119" s="585"/>
      <c r="I119" s="625"/>
      <c r="J119" s="625"/>
      <c r="K119" s="585"/>
      <c r="L119" s="585"/>
      <c r="M119" s="585"/>
      <c r="N119" s="585"/>
      <c r="O119" s="585"/>
      <c r="P119" s="585"/>
      <c r="Q119" s="585"/>
      <c r="R119" s="585"/>
      <c r="S119" s="585"/>
      <c r="T119" s="585"/>
      <c r="U119" s="585"/>
      <c r="V119" s="585"/>
      <c r="W119" s="585"/>
      <c r="X119" s="585"/>
      <c r="Y119" s="585"/>
      <c r="Z119" s="585"/>
      <c r="AA119" s="585"/>
      <c r="AB119" s="585"/>
      <c r="AC119" s="585"/>
      <c r="AD119" s="585"/>
      <c r="AE119" s="585"/>
      <c r="AF119" s="585"/>
      <c r="AG119" s="585"/>
      <c r="AH119" s="585"/>
      <c r="AI119" s="585"/>
      <c r="AJ119" s="585"/>
      <c r="AK119" s="585"/>
      <c r="AL119" s="585"/>
      <c r="AM119" s="585"/>
      <c r="AN119" s="585"/>
      <c r="AO119" s="585"/>
      <c r="AP119" s="585"/>
      <c r="AQ119" s="585"/>
      <c r="AR119" s="585"/>
    </row>
    <row r="120">
      <c r="A120" s="621"/>
      <c r="B120" s="627" t="str">
        <f>IFERROR(__xludf.DUMMYFUNCTION("""COMPUTED_VALUE"""),"Feedback demo R2")</f>
        <v>Feedback demo R2</v>
      </c>
      <c r="C120" s="628"/>
      <c r="D120" s="602" t="str">
        <f>IFERROR(__xludf.DUMMYFUNCTION("""COMPUTED_VALUE"""),"BRAND")</f>
        <v>BRAND</v>
      </c>
      <c r="E120" s="624" t="str">
        <f>IFERROR(__xludf.DUMMYFUNCTION("""COMPUTED_VALUE"""),"Not start yet")</f>
        <v>Not start yet</v>
      </c>
      <c r="F120" s="604">
        <f>IFERROR(__xludf.DUMMYFUNCTION("""COMPUTED_VALUE"""),46164.0)</f>
        <v>46164</v>
      </c>
      <c r="G120" s="639">
        <f>IFERROR(__xludf.DUMMYFUNCTION("""COMPUTED_VALUE"""),46164.0)</f>
        <v>46164</v>
      </c>
      <c r="H120" s="585"/>
      <c r="I120" s="625"/>
      <c r="J120" s="625"/>
      <c r="K120" s="585"/>
      <c r="L120" s="585"/>
      <c r="M120" s="585"/>
      <c r="N120" s="585"/>
      <c r="O120" s="585"/>
      <c r="P120" s="585"/>
      <c r="Q120" s="585"/>
      <c r="R120" s="585"/>
      <c r="S120" s="585"/>
      <c r="T120" s="585"/>
      <c r="U120" s="585"/>
      <c r="V120" s="585"/>
      <c r="W120" s="585"/>
      <c r="X120" s="585"/>
      <c r="Y120" s="585"/>
      <c r="Z120" s="585"/>
      <c r="AA120" s="585"/>
      <c r="AB120" s="585"/>
      <c r="AC120" s="585"/>
      <c r="AD120" s="585"/>
      <c r="AE120" s="585"/>
      <c r="AF120" s="585"/>
      <c r="AG120" s="585"/>
      <c r="AH120" s="585"/>
      <c r="AI120" s="585"/>
      <c r="AJ120" s="585"/>
      <c r="AK120" s="585"/>
      <c r="AL120" s="585"/>
      <c r="AM120" s="585"/>
      <c r="AN120" s="585"/>
      <c r="AO120" s="585"/>
      <c r="AP120" s="585"/>
      <c r="AQ120" s="585"/>
      <c r="AR120" s="585"/>
    </row>
    <row r="121">
      <c r="A121" s="621"/>
      <c r="B121" s="627" t="str">
        <f>IFERROR(__xludf.DUMMYFUNCTION("""COMPUTED_VALUE"""),"Finalize demo")</f>
        <v>Finalize demo</v>
      </c>
      <c r="C121" s="628"/>
      <c r="D121" s="602" t="str">
        <f>IFERROR(__xludf.DUMMYFUNCTION("""COMPUTED_VALUE"""),"PMAX")</f>
        <v>PMAX</v>
      </c>
      <c r="E121" s="624" t="str">
        <f>IFERROR(__xludf.DUMMYFUNCTION("""COMPUTED_VALUE"""),"Not start yet")</f>
        <v>Not start yet</v>
      </c>
      <c r="F121" s="604">
        <f>IFERROR(__xludf.DUMMYFUNCTION("""COMPUTED_VALUE"""),46164.0)</f>
        <v>46164</v>
      </c>
      <c r="G121" s="639">
        <f>IFERROR(__xludf.DUMMYFUNCTION("""COMPUTED_VALUE"""),46164.0)</f>
        <v>46164</v>
      </c>
      <c r="H121" s="585"/>
      <c r="I121" s="629">
        <v>1.0</v>
      </c>
      <c r="J121" s="630" t="s">
        <v>888</v>
      </c>
      <c r="K121" s="585"/>
      <c r="L121" s="585"/>
      <c r="M121" s="585"/>
      <c r="N121" s="585"/>
      <c r="O121" s="585"/>
      <c r="P121" s="585"/>
      <c r="Q121" s="585"/>
      <c r="R121" s="585"/>
      <c r="S121" s="585"/>
      <c r="T121" s="585"/>
      <c r="U121" s="585"/>
      <c r="V121" s="585"/>
      <c r="W121" s="585"/>
      <c r="X121" s="585"/>
      <c r="Y121" s="585"/>
      <c r="Z121" s="585"/>
      <c r="AA121" s="585"/>
      <c r="AB121" s="585"/>
      <c r="AC121" s="585"/>
      <c r="AD121" s="585"/>
      <c r="AE121" s="585"/>
      <c r="AF121" s="585"/>
      <c r="AG121" s="585"/>
      <c r="AH121" s="585"/>
      <c r="AI121" s="585"/>
      <c r="AJ121" s="585"/>
      <c r="AK121" s="585"/>
      <c r="AL121" s="585"/>
      <c r="AM121" s="585"/>
      <c r="AN121" s="585"/>
      <c r="AO121" s="585"/>
      <c r="AP121" s="585"/>
      <c r="AQ121" s="585"/>
      <c r="AR121" s="585"/>
    </row>
    <row r="122">
      <c r="A122" s="621"/>
      <c r="B122" s="634" t="str">
        <f>IFERROR(__xludf.DUMMYFUNCTION("""COMPUTED_VALUE"""),"Air")</f>
        <v>Air</v>
      </c>
      <c r="C122" s="26"/>
      <c r="D122" s="602" t="str">
        <f>IFERROR(__xludf.DUMMYFUNCTION("""COMPUTED_VALUE"""),"PMAX")</f>
        <v>PMAX</v>
      </c>
      <c r="E122" s="624" t="str">
        <f>IFERROR(__xludf.DUMMYFUNCTION("""COMPUTED_VALUE"""),"Not start yet")</f>
        <v>Not start yet</v>
      </c>
      <c r="F122" s="604" t="str">
        <f>IFERROR(__xludf.DUMMYFUNCTION("""COMPUTED_VALUE"""),"TBU")</f>
        <v>TBU</v>
      </c>
      <c r="G122" s="639" t="str">
        <f>IFERROR(__xludf.DUMMYFUNCTION("""COMPUTED_VALUE"""),"TBU")</f>
        <v>TBU</v>
      </c>
      <c r="H122" s="585"/>
      <c r="I122" s="636">
        <v>1.0</v>
      </c>
      <c r="J122" s="585"/>
      <c r="K122" s="585"/>
      <c r="L122" s="585"/>
      <c r="M122" s="585"/>
      <c r="N122" s="585"/>
      <c r="O122" s="585"/>
      <c r="P122" s="585"/>
      <c r="Q122" s="585"/>
      <c r="R122" s="585"/>
      <c r="S122" s="585"/>
      <c r="T122" s="585"/>
      <c r="U122" s="585"/>
      <c r="V122" s="585"/>
      <c r="W122" s="585"/>
      <c r="X122" s="585"/>
      <c r="Y122" s="585"/>
      <c r="Z122" s="585"/>
      <c r="AA122" s="585"/>
      <c r="AB122" s="585"/>
      <c r="AC122" s="585"/>
      <c r="AD122" s="585"/>
      <c r="AE122" s="585"/>
      <c r="AF122" s="585"/>
      <c r="AG122" s="585"/>
      <c r="AH122" s="585"/>
      <c r="AI122" s="585"/>
      <c r="AJ122" s="585"/>
      <c r="AK122" s="585"/>
      <c r="AL122" s="585"/>
      <c r="AM122" s="585"/>
      <c r="AN122" s="585"/>
      <c r="AO122" s="585"/>
      <c r="AP122" s="585"/>
      <c r="AQ122" s="585"/>
      <c r="AR122" s="585"/>
    </row>
    <row r="123">
      <c r="A123" s="637">
        <f>IFERROR(__xludf.DUMMYFUNCTION("""COMPUTED_VALUE"""),8.0)</f>
        <v>8</v>
      </c>
      <c r="B123" s="616" t="str">
        <f>IFERROR(__xludf.DUMMYFUNCTION("""COMPUTED_VALUE"""),"Đi Ăn Chưa 🍪")</f>
        <v>Đi Ăn Chưa 🍪</v>
      </c>
      <c r="C123" s="617"/>
      <c r="D123" s="618"/>
      <c r="E123" s="619"/>
      <c r="F123" s="619"/>
      <c r="G123" s="619"/>
      <c r="H123" s="585"/>
      <c r="I123" s="585"/>
      <c r="J123" s="585"/>
      <c r="K123" s="585"/>
      <c r="L123" s="585"/>
      <c r="M123" s="585"/>
      <c r="N123" s="585"/>
      <c r="O123" s="585"/>
      <c r="P123" s="585"/>
      <c r="Q123" s="585"/>
      <c r="R123" s="585"/>
      <c r="S123" s="585"/>
      <c r="T123" s="585"/>
      <c r="U123" s="585"/>
      <c r="V123" s="585"/>
      <c r="W123" s="585"/>
      <c r="X123" s="585"/>
      <c r="Y123" s="585"/>
      <c r="Z123" s="585"/>
      <c r="AA123" s="585"/>
      <c r="AB123" s="585"/>
      <c r="AC123" s="585"/>
      <c r="AD123" s="585"/>
      <c r="AE123" s="585"/>
      <c r="AF123" s="585"/>
      <c r="AG123" s="585"/>
      <c r="AH123" s="585"/>
      <c r="AI123" s="585"/>
      <c r="AJ123" s="585"/>
      <c r="AK123" s="585"/>
      <c r="AL123" s="585"/>
      <c r="AM123" s="585"/>
      <c r="AN123" s="585"/>
      <c r="AO123" s="585"/>
      <c r="AP123" s="585"/>
      <c r="AQ123" s="585"/>
      <c r="AR123" s="585"/>
    </row>
    <row r="124">
      <c r="A124" s="621"/>
      <c r="B124" s="622" t="str">
        <f>IFERROR(__xludf.DUMMYFUNCTION("""COMPUTED_VALUE"""),"Briefing cho Influencer")</f>
        <v>Briefing cho Influencer</v>
      </c>
      <c r="C124" s="623"/>
      <c r="D124" s="602" t="str">
        <f>IFERROR(__xludf.DUMMYFUNCTION("""COMPUTED_VALUE"""),"PMAX")</f>
        <v>PMAX</v>
      </c>
      <c r="E124" s="624" t="str">
        <f>IFERROR(__xludf.DUMMYFUNCTION("""COMPUTED_VALUE"""),"Not start yet")</f>
        <v>Not start yet</v>
      </c>
      <c r="F124" s="604">
        <f>IFERROR(__xludf.DUMMYFUNCTION("""COMPUTED_VALUE"""),46147.0)</f>
        <v>46147</v>
      </c>
      <c r="G124" s="639">
        <f>IFERROR(__xludf.DUMMYFUNCTION("""COMPUTED_VALUE"""),46148.0)</f>
        <v>46148</v>
      </c>
      <c r="H124" s="585"/>
      <c r="I124" s="625"/>
      <c r="J124" s="626" t="s">
        <v>882</v>
      </c>
      <c r="K124" s="585"/>
      <c r="L124" s="585"/>
      <c r="M124" s="585"/>
      <c r="N124" s="585"/>
      <c r="O124" s="585"/>
      <c r="P124" s="585"/>
      <c r="Q124" s="585"/>
      <c r="R124" s="585"/>
      <c r="S124" s="585"/>
      <c r="T124" s="585"/>
      <c r="U124" s="585"/>
      <c r="V124" s="585"/>
      <c r="W124" s="585"/>
      <c r="X124" s="585"/>
      <c r="Y124" s="585"/>
      <c r="Z124" s="585"/>
      <c r="AA124" s="585"/>
      <c r="AB124" s="585"/>
      <c r="AC124" s="585"/>
      <c r="AD124" s="585"/>
      <c r="AE124" s="585"/>
      <c r="AF124" s="585"/>
      <c r="AG124" s="585"/>
      <c r="AH124" s="585"/>
      <c r="AI124" s="585"/>
      <c r="AJ124" s="585"/>
      <c r="AK124" s="585"/>
      <c r="AL124" s="585"/>
      <c r="AM124" s="585"/>
      <c r="AN124" s="585"/>
      <c r="AO124" s="585"/>
      <c r="AP124" s="585"/>
      <c r="AQ124" s="585"/>
      <c r="AR124" s="585"/>
    </row>
    <row r="125">
      <c r="A125" s="621"/>
      <c r="B125" s="627" t="str">
        <f>IFERROR(__xludf.DUMMYFUNCTION("""COMPUTED_VALUE"""),"Script R1 + Outfits")</f>
        <v>Script R1 + Outfits</v>
      </c>
      <c r="C125" s="628"/>
      <c r="D125" s="602" t="str">
        <f>IFERROR(__xludf.DUMMYFUNCTION("""COMPUTED_VALUE"""),"PMAX")</f>
        <v>PMAX</v>
      </c>
      <c r="E125" s="624" t="str">
        <f>IFERROR(__xludf.DUMMYFUNCTION("""COMPUTED_VALUE"""),"Not start yet")</f>
        <v>Not start yet</v>
      </c>
      <c r="F125" s="604">
        <f>IFERROR(__xludf.DUMMYFUNCTION("""COMPUTED_VALUE"""),46148.0)</f>
        <v>46148</v>
      </c>
      <c r="G125" s="639">
        <f>IFERROR(__xludf.DUMMYFUNCTION("""COMPUTED_VALUE"""),46150.0)</f>
        <v>46150</v>
      </c>
      <c r="H125" s="585"/>
      <c r="I125" s="629">
        <v>1.0</v>
      </c>
      <c r="J125" s="630" t="s">
        <v>883</v>
      </c>
      <c r="K125" s="585"/>
      <c r="L125" s="585"/>
      <c r="M125" s="585"/>
      <c r="N125" s="585"/>
      <c r="O125" s="585"/>
      <c r="P125" s="585"/>
      <c r="Q125" s="585"/>
      <c r="R125" s="585"/>
      <c r="S125" s="585"/>
      <c r="T125" s="585"/>
      <c r="U125" s="585"/>
      <c r="V125" s="585"/>
      <c r="W125" s="585"/>
      <c r="X125" s="585"/>
      <c r="Y125" s="585"/>
      <c r="Z125" s="585"/>
      <c r="AA125" s="585"/>
      <c r="AB125" s="585"/>
      <c r="AC125" s="585"/>
      <c r="AD125" s="585"/>
      <c r="AE125" s="585"/>
      <c r="AF125" s="585"/>
      <c r="AG125" s="585"/>
      <c r="AH125" s="585"/>
      <c r="AI125" s="585"/>
      <c r="AJ125" s="585"/>
      <c r="AK125" s="585"/>
      <c r="AL125" s="585"/>
      <c r="AM125" s="585"/>
      <c r="AN125" s="585"/>
      <c r="AO125" s="585"/>
      <c r="AP125" s="585"/>
      <c r="AQ125" s="585"/>
      <c r="AR125" s="585"/>
    </row>
    <row r="126">
      <c r="A126" s="621"/>
      <c r="B126" s="627" t="str">
        <f>IFERROR(__xludf.DUMMYFUNCTION("""COMPUTED_VALUE"""),"Feedback Script R1 + outfits")</f>
        <v>Feedback Script R1 + outfits</v>
      </c>
      <c r="C126" s="628"/>
      <c r="D126" s="602" t="str">
        <f>IFERROR(__xludf.DUMMYFUNCTION("""COMPUTED_VALUE"""),"BRAND")</f>
        <v>BRAND</v>
      </c>
      <c r="E126" s="624" t="str">
        <f>IFERROR(__xludf.DUMMYFUNCTION("""COMPUTED_VALUE"""),"Not start yet")</f>
        <v>Not start yet</v>
      </c>
      <c r="F126" s="604">
        <f>IFERROR(__xludf.DUMMYFUNCTION("""COMPUTED_VALUE"""),46150.0)</f>
        <v>46150</v>
      </c>
      <c r="G126" s="639">
        <f>IFERROR(__xludf.DUMMYFUNCTION("""COMPUTED_VALUE"""),46150.0)</f>
        <v>46150</v>
      </c>
      <c r="H126" s="585"/>
      <c r="I126" s="625"/>
      <c r="J126" s="630" t="s">
        <v>884</v>
      </c>
      <c r="K126" s="585"/>
      <c r="L126" s="585"/>
      <c r="M126" s="585"/>
      <c r="N126" s="585"/>
      <c r="O126" s="585"/>
      <c r="P126" s="585"/>
      <c r="Q126" s="585"/>
      <c r="R126" s="585"/>
      <c r="S126" s="585"/>
      <c r="T126" s="585"/>
      <c r="U126" s="585"/>
      <c r="V126" s="585"/>
      <c r="W126" s="585"/>
      <c r="X126" s="585"/>
      <c r="Y126" s="585"/>
      <c r="Z126" s="585"/>
      <c r="AA126" s="585"/>
      <c r="AB126" s="585"/>
      <c r="AC126" s="585"/>
      <c r="AD126" s="585"/>
      <c r="AE126" s="585"/>
      <c r="AF126" s="585"/>
      <c r="AG126" s="585"/>
      <c r="AH126" s="585"/>
      <c r="AI126" s="585"/>
      <c r="AJ126" s="585"/>
      <c r="AK126" s="585"/>
      <c r="AL126" s="585"/>
      <c r="AM126" s="585"/>
      <c r="AN126" s="585"/>
      <c r="AO126" s="585"/>
      <c r="AP126" s="585"/>
      <c r="AQ126" s="585"/>
      <c r="AR126" s="585"/>
    </row>
    <row r="127">
      <c r="A127" s="621"/>
      <c r="B127" s="631" t="str">
        <f>IFERROR(__xludf.DUMMYFUNCTION("""COMPUTED_VALUE"""),"Script R2")</f>
        <v>Script R2</v>
      </c>
      <c r="C127" s="628"/>
      <c r="D127" s="632" t="str">
        <f>IFERROR(__xludf.DUMMYFUNCTION("""COMPUTED_VALUE"""),"PMAX")</f>
        <v>PMAX</v>
      </c>
      <c r="E127" s="624" t="str">
        <f>IFERROR(__xludf.DUMMYFUNCTION("""COMPUTED_VALUE"""),"Not start yet")</f>
        <v>Not start yet</v>
      </c>
      <c r="F127" s="604">
        <f>IFERROR(__xludf.DUMMYFUNCTION("""COMPUTED_VALUE"""),46151.0)</f>
        <v>46151</v>
      </c>
      <c r="G127" s="639">
        <f>IFERROR(__xludf.DUMMYFUNCTION("""COMPUTED_VALUE"""),46152.0)</f>
        <v>46152</v>
      </c>
      <c r="H127" s="585"/>
      <c r="I127" s="625"/>
      <c r="J127" s="630"/>
      <c r="K127" s="585"/>
      <c r="L127" s="585"/>
      <c r="M127" s="585"/>
      <c r="N127" s="585"/>
      <c r="O127" s="585"/>
      <c r="P127" s="585"/>
      <c r="Q127" s="585"/>
      <c r="R127" s="585"/>
      <c r="S127" s="585"/>
      <c r="T127" s="585"/>
      <c r="U127" s="585"/>
      <c r="V127" s="585"/>
      <c r="W127" s="585"/>
      <c r="X127" s="585"/>
      <c r="Y127" s="585"/>
      <c r="Z127" s="585"/>
      <c r="AA127" s="585"/>
      <c r="AB127" s="585"/>
      <c r="AC127" s="585"/>
      <c r="AD127" s="585"/>
      <c r="AE127" s="585"/>
      <c r="AF127" s="585"/>
      <c r="AG127" s="585"/>
      <c r="AH127" s="585"/>
      <c r="AI127" s="585"/>
      <c r="AJ127" s="585"/>
      <c r="AK127" s="585"/>
      <c r="AL127" s="585"/>
      <c r="AM127" s="585"/>
      <c r="AN127" s="585"/>
      <c r="AO127" s="585"/>
      <c r="AP127" s="585"/>
      <c r="AQ127" s="585"/>
      <c r="AR127" s="585"/>
    </row>
    <row r="128">
      <c r="A128" s="621"/>
      <c r="B128" s="631" t="str">
        <f>IFERROR(__xludf.DUMMYFUNCTION("""COMPUTED_VALUE"""),"Feedback Script R2")</f>
        <v>Feedback Script R2</v>
      </c>
      <c r="C128" s="628"/>
      <c r="D128" s="632" t="str">
        <f>IFERROR(__xludf.DUMMYFUNCTION("""COMPUTED_VALUE"""),"BRAND")</f>
        <v>BRAND</v>
      </c>
      <c r="E128" s="624" t="str">
        <f>IFERROR(__xludf.DUMMYFUNCTION("""COMPUTED_VALUE"""),"Not start yet")</f>
        <v>Not start yet</v>
      </c>
      <c r="F128" s="604">
        <f>IFERROR(__xludf.DUMMYFUNCTION("""COMPUTED_VALUE"""),46153.0)</f>
        <v>46153</v>
      </c>
      <c r="G128" s="639">
        <f>IFERROR(__xludf.DUMMYFUNCTION("""COMPUTED_VALUE"""),46153.0)</f>
        <v>46153</v>
      </c>
      <c r="H128" s="585"/>
      <c r="I128" s="625"/>
      <c r="J128" s="630"/>
      <c r="K128" s="585"/>
      <c r="L128" s="585"/>
      <c r="M128" s="585"/>
      <c r="N128" s="585"/>
      <c r="O128" s="585"/>
      <c r="P128" s="585"/>
      <c r="Q128" s="585"/>
      <c r="R128" s="585"/>
      <c r="S128" s="585"/>
      <c r="T128" s="585"/>
      <c r="U128" s="585"/>
      <c r="V128" s="585"/>
      <c r="W128" s="585"/>
      <c r="X128" s="585"/>
      <c r="Y128" s="585"/>
      <c r="Z128" s="585"/>
      <c r="AA128" s="585"/>
      <c r="AB128" s="585"/>
      <c r="AC128" s="585"/>
      <c r="AD128" s="585"/>
      <c r="AE128" s="585"/>
      <c r="AF128" s="585"/>
      <c r="AG128" s="585"/>
      <c r="AH128" s="585"/>
      <c r="AI128" s="585"/>
      <c r="AJ128" s="585"/>
      <c r="AK128" s="585"/>
      <c r="AL128" s="585"/>
      <c r="AM128" s="585"/>
      <c r="AN128" s="585"/>
      <c r="AO128" s="585"/>
      <c r="AP128" s="585"/>
      <c r="AQ128" s="585"/>
      <c r="AR128" s="585"/>
    </row>
    <row r="129">
      <c r="A129" s="621"/>
      <c r="B129" s="627" t="str">
        <f>IFERROR(__xludf.DUMMYFUNCTION("""COMPUTED_VALUE"""),"Finalize scripts + outfits")</f>
        <v>Finalize scripts + outfits</v>
      </c>
      <c r="C129" s="628"/>
      <c r="D129" s="602" t="str">
        <f>IFERROR(__xludf.DUMMYFUNCTION("""COMPUTED_VALUE"""),"PMAX-BRAND")</f>
        <v>PMAX-BRAND</v>
      </c>
      <c r="E129" s="624" t="str">
        <f>IFERROR(__xludf.DUMMYFUNCTION("""COMPUTED_VALUE"""),"Not start yet")</f>
        <v>Not start yet</v>
      </c>
      <c r="F129" s="604">
        <f>IFERROR(__xludf.DUMMYFUNCTION("""COMPUTED_VALUE"""),46153.0)</f>
        <v>46153</v>
      </c>
      <c r="G129" s="639">
        <f>IFERROR(__xludf.DUMMYFUNCTION("""COMPUTED_VALUE"""),46153.0)</f>
        <v>46153</v>
      </c>
      <c r="H129" s="585"/>
      <c r="I129" s="629">
        <v>1.0</v>
      </c>
      <c r="J129" s="630" t="s">
        <v>885</v>
      </c>
      <c r="K129" s="585"/>
      <c r="L129" s="585"/>
      <c r="M129" s="585"/>
      <c r="N129" s="585"/>
      <c r="O129" s="585"/>
      <c r="P129" s="585"/>
      <c r="Q129" s="585"/>
      <c r="R129" s="585"/>
      <c r="S129" s="585"/>
      <c r="T129" s="585"/>
      <c r="U129" s="585"/>
      <c r="V129" s="585"/>
      <c r="W129" s="585"/>
      <c r="X129" s="585"/>
      <c r="Y129" s="585"/>
      <c r="Z129" s="585"/>
      <c r="AA129" s="585"/>
      <c r="AB129" s="585"/>
      <c r="AC129" s="585"/>
      <c r="AD129" s="585"/>
      <c r="AE129" s="585"/>
      <c r="AF129" s="585"/>
      <c r="AG129" s="585"/>
      <c r="AH129" s="585"/>
      <c r="AI129" s="585"/>
      <c r="AJ129" s="585"/>
      <c r="AK129" s="585"/>
      <c r="AL129" s="585"/>
      <c r="AM129" s="585"/>
      <c r="AN129" s="585"/>
      <c r="AO129" s="585"/>
      <c r="AP129" s="585"/>
      <c r="AQ129" s="585"/>
      <c r="AR129" s="585"/>
    </row>
    <row r="130">
      <c r="A130" s="621"/>
      <c r="B130" s="627" t="str">
        <f>IFERROR(__xludf.DUMMYFUNCTION("""COMPUTED_VALUE"""),"Đi quay tại site")</f>
        <v>Đi quay tại site</v>
      </c>
      <c r="C130" s="628"/>
      <c r="D130" s="602" t="str">
        <f>IFERROR(__xludf.DUMMYFUNCTION("""COMPUTED_VALUE"""),"PMAX")</f>
        <v>PMAX</v>
      </c>
      <c r="E130" s="624" t="str">
        <f>IFERROR(__xludf.DUMMYFUNCTION("""COMPUTED_VALUE"""),"Not start yet")</f>
        <v>Not start yet</v>
      </c>
      <c r="F130" s="604">
        <f>IFERROR(__xludf.DUMMYFUNCTION("""COMPUTED_VALUE"""),46154.0)</f>
        <v>46154</v>
      </c>
      <c r="G130" s="639">
        <f>IFERROR(__xludf.DUMMYFUNCTION("""COMPUTED_VALUE"""),46156.0)</f>
        <v>46156</v>
      </c>
      <c r="H130" s="585"/>
      <c r="I130" s="629">
        <v>2.0</v>
      </c>
      <c r="J130" s="625"/>
      <c r="K130" s="585"/>
      <c r="L130" s="585"/>
      <c r="M130" s="585"/>
      <c r="N130" s="585"/>
      <c r="O130" s="585"/>
      <c r="P130" s="585"/>
      <c r="Q130" s="585"/>
      <c r="R130" s="585"/>
      <c r="S130" s="585"/>
      <c r="T130" s="585"/>
      <c r="U130" s="585"/>
      <c r="V130" s="585"/>
      <c r="W130" s="585"/>
      <c r="X130" s="585"/>
      <c r="Y130" s="585"/>
      <c r="Z130" s="585"/>
      <c r="AA130" s="585"/>
      <c r="AB130" s="585"/>
      <c r="AC130" s="585"/>
      <c r="AD130" s="585"/>
      <c r="AE130" s="585"/>
      <c r="AF130" s="585"/>
      <c r="AG130" s="585"/>
      <c r="AH130" s="585"/>
      <c r="AI130" s="585"/>
      <c r="AJ130" s="585"/>
      <c r="AK130" s="585"/>
      <c r="AL130" s="585"/>
      <c r="AM130" s="585"/>
      <c r="AN130" s="585"/>
      <c r="AO130" s="585"/>
      <c r="AP130" s="585"/>
      <c r="AQ130" s="585"/>
      <c r="AR130" s="585"/>
    </row>
    <row r="131">
      <c r="A131" s="621"/>
      <c r="B131" s="633" t="str">
        <f>IFERROR(__xludf.DUMMYFUNCTION("""COMPUTED_VALUE"""),"Demo R1")</f>
        <v>Demo R1</v>
      </c>
      <c r="C131" s="628"/>
      <c r="D131" s="602" t="str">
        <f>IFERROR(__xludf.DUMMYFUNCTION("""COMPUTED_VALUE"""),"PMAX")</f>
        <v>PMAX</v>
      </c>
      <c r="E131" s="624" t="str">
        <f>IFERROR(__xludf.DUMMYFUNCTION("""COMPUTED_VALUE"""),"Not start yet")</f>
        <v>Not start yet</v>
      </c>
      <c r="F131" s="604">
        <f>IFERROR(__xludf.DUMMYFUNCTION("""COMPUTED_VALUE"""),46157.0)</f>
        <v>46157</v>
      </c>
      <c r="G131" s="639">
        <f>IFERROR(__xludf.DUMMYFUNCTION("""COMPUTED_VALUE"""),46159.0)</f>
        <v>46159</v>
      </c>
      <c r="H131" s="585"/>
      <c r="I131" s="629">
        <v>4.0</v>
      </c>
      <c r="J131" s="630" t="s">
        <v>886</v>
      </c>
      <c r="K131" s="585"/>
      <c r="L131" s="585"/>
      <c r="M131" s="585"/>
      <c r="N131" s="585"/>
      <c r="O131" s="585"/>
      <c r="P131" s="585"/>
      <c r="Q131" s="585"/>
      <c r="R131" s="585"/>
      <c r="S131" s="585"/>
      <c r="T131" s="585"/>
      <c r="U131" s="585"/>
      <c r="V131" s="585"/>
      <c r="W131" s="585"/>
      <c r="X131" s="585"/>
      <c r="Y131" s="585"/>
      <c r="Z131" s="585"/>
      <c r="AA131" s="585"/>
      <c r="AB131" s="585"/>
      <c r="AC131" s="585"/>
      <c r="AD131" s="585"/>
      <c r="AE131" s="585"/>
      <c r="AF131" s="585"/>
      <c r="AG131" s="585"/>
      <c r="AH131" s="585"/>
      <c r="AI131" s="585"/>
      <c r="AJ131" s="585"/>
      <c r="AK131" s="585"/>
      <c r="AL131" s="585"/>
      <c r="AM131" s="585"/>
      <c r="AN131" s="585"/>
      <c r="AO131" s="585"/>
      <c r="AP131" s="585"/>
      <c r="AQ131" s="585"/>
      <c r="AR131" s="585"/>
    </row>
    <row r="132">
      <c r="A132" s="621"/>
      <c r="B132" s="627" t="str">
        <f>IFERROR(__xludf.DUMMYFUNCTION("""COMPUTED_VALUE"""),"Feedback demo R1")</f>
        <v>Feedback demo R1</v>
      </c>
      <c r="C132" s="628"/>
      <c r="D132" s="602" t="str">
        <f>IFERROR(__xludf.DUMMYFUNCTION("""COMPUTED_VALUE"""),"BRAND")</f>
        <v>BRAND</v>
      </c>
      <c r="E132" s="624" t="str">
        <f>IFERROR(__xludf.DUMMYFUNCTION("""COMPUTED_VALUE"""),"Not start yet")</f>
        <v>Not start yet</v>
      </c>
      <c r="F132" s="604">
        <f>IFERROR(__xludf.DUMMYFUNCTION("""COMPUTED_VALUE"""),46160.0)</f>
        <v>46160</v>
      </c>
      <c r="G132" s="639">
        <f>IFERROR(__xludf.DUMMYFUNCTION("""COMPUTED_VALUE"""),46160.0)</f>
        <v>46160</v>
      </c>
      <c r="H132" s="585"/>
      <c r="I132" s="625"/>
      <c r="J132" s="630" t="s">
        <v>887</v>
      </c>
      <c r="K132" s="585"/>
      <c r="L132" s="585"/>
      <c r="M132" s="585"/>
      <c r="N132" s="585"/>
      <c r="O132" s="585"/>
      <c r="P132" s="585"/>
      <c r="Q132" s="585"/>
      <c r="R132" s="585"/>
      <c r="S132" s="585"/>
      <c r="T132" s="585"/>
      <c r="U132" s="585"/>
      <c r="V132" s="585"/>
      <c r="W132" s="585"/>
      <c r="X132" s="585"/>
      <c r="Y132" s="585"/>
      <c r="Z132" s="585"/>
      <c r="AA132" s="585"/>
      <c r="AB132" s="585"/>
      <c r="AC132" s="585"/>
      <c r="AD132" s="585"/>
      <c r="AE132" s="585"/>
      <c r="AF132" s="585"/>
      <c r="AG132" s="585"/>
      <c r="AH132" s="585"/>
      <c r="AI132" s="585"/>
      <c r="AJ132" s="585"/>
      <c r="AK132" s="585"/>
      <c r="AL132" s="585"/>
      <c r="AM132" s="585"/>
      <c r="AN132" s="585"/>
      <c r="AO132" s="585"/>
      <c r="AP132" s="585"/>
      <c r="AQ132" s="585"/>
      <c r="AR132" s="585"/>
    </row>
    <row r="133">
      <c r="A133" s="621"/>
      <c r="B133" s="633" t="str">
        <f>IFERROR(__xludf.DUMMYFUNCTION("""COMPUTED_VALUE"""),"Demo R2")</f>
        <v>Demo R2</v>
      </c>
      <c r="C133" s="628"/>
      <c r="D133" s="602" t="str">
        <f>IFERROR(__xludf.DUMMYFUNCTION("""COMPUTED_VALUE"""),"PMAX")</f>
        <v>PMAX</v>
      </c>
      <c r="E133" s="624" t="str">
        <f>IFERROR(__xludf.DUMMYFUNCTION("""COMPUTED_VALUE"""),"Not start yet")</f>
        <v>Not start yet</v>
      </c>
      <c r="F133" s="604">
        <f>IFERROR(__xludf.DUMMYFUNCTION("""COMPUTED_VALUE"""),46161.0)</f>
        <v>46161</v>
      </c>
      <c r="G133" s="639">
        <f>IFERROR(__xludf.DUMMYFUNCTION("""COMPUTED_VALUE"""),46163.0)</f>
        <v>46163</v>
      </c>
      <c r="H133" s="585"/>
      <c r="I133" s="625"/>
      <c r="J133" s="625"/>
      <c r="K133" s="585"/>
      <c r="L133" s="585"/>
      <c r="M133" s="585"/>
      <c r="N133" s="585"/>
      <c r="O133" s="585"/>
      <c r="P133" s="585"/>
      <c r="Q133" s="585"/>
      <c r="R133" s="585"/>
      <c r="S133" s="585"/>
      <c r="T133" s="585"/>
      <c r="U133" s="585"/>
      <c r="V133" s="585"/>
      <c r="W133" s="585"/>
      <c r="X133" s="585"/>
      <c r="Y133" s="585"/>
      <c r="Z133" s="585"/>
      <c r="AA133" s="585"/>
      <c r="AB133" s="585"/>
      <c r="AC133" s="585"/>
      <c r="AD133" s="585"/>
      <c r="AE133" s="585"/>
      <c r="AF133" s="585"/>
      <c r="AG133" s="585"/>
      <c r="AH133" s="585"/>
      <c r="AI133" s="585"/>
      <c r="AJ133" s="585"/>
      <c r="AK133" s="585"/>
      <c r="AL133" s="585"/>
      <c r="AM133" s="585"/>
      <c r="AN133" s="585"/>
      <c r="AO133" s="585"/>
      <c r="AP133" s="585"/>
      <c r="AQ133" s="585"/>
      <c r="AR133" s="585"/>
    </row>
    <row r="134">
      <c r="A134" s="621"/>
      <c r="B134" s="627" t="str">
        <f>IFERROR(__xludf.DUMMYFUNCTION("""COMPUTED_VALUE"""),"Feedback demo R2")</f>
        <v>Feedback demo R2</v>
      </c>
      <c r="C134" s="628"/>
      <c r="D134" s="602" t="str">
        <f>IFERROR(__xludf.DUMMYFUNCTION("""COMPUTED_VALUE"""),"BRAND")</f>
        <v>BRAND</v>
      </c>
      <c r="E134" s="624" t="str">
        <f>IFERROR(__xludf.DUMMYFUNCTION("""COMPUTED_VALUE"""),"Not start yet")</f>
        <v>Not start yet</v>
      </c>
      <c r="F134" s="604">
        <f>IFERROR(__xludf.DUMMYFUNCTION("""COMPUTED_VALUE"""),46164.0)</f>
        <v>46164</v>
      </c>
      <c r="G134" s="639">
        <f>IFERROR(__xludf.DUMMYFUNCTION("""COMPUTED_VALUE"""),46164.0)</f>
        <v>46164</v>
      </c>
      <c r="H134" s="585"/>
      <c r="I134" s="625"/>
      <c r="J134" s="625"/>
      <c r="K134" s="585"/>
      <c r="L134" s="585"/>
      <c r="M134" s="585"/>
      <c r="N134" s="585"/>
      <c r="O134" s="585"/>
      <c r="P134" s="585"/>
      <c r="Q134" s="585"/>
      <c r="R134" s="585"/>
      <c r="S134" s="585"/>
      <c r="T134" s="585"/>
      <c r="U134" s="585"/>
      <c r="V134" s="585"/>
      <c r="W134" s="585"/>
      <c r="X134" s="585"/>
      <c r="Y134" s="585"/>
      <c r="Z134" s="585"/>
      <c r="AA134" s="585"/>
      <c r="AB134" s="585"/>
      <c r="AC134" s="585"/>
      <c r="AD134" s="585"/>
      <c r="AE134" s="585"/>
      <c r="AF134" s="585"/>
      <c r="AG134" s="585"/>
      <c r="AH134" s="585"/>
      <c r="AI134" s="585"/>
      <c r="AJ134" s="585"/>
      <c r="AK134" s="585"/>
      <c r="AL134" s="585"/>
      <c r="AM134" s="585"/>
      <c r="AN134" s="585"/>
      <c r="AO134" s="585"/>
      <c r="AP134" s="585"/>
      <c r="AQ134" s="585"/>
      <c r="AR134" s="585"/>
    </row>
    <row r="135">
      <c r="A135" s="621"/>
      <c r="B135" s="627" t="str">
        <f>IFERROR(__xludf.DUMMYFUNCTION("""COMPUTED_VALUE"""),"Finalize demo")</f>
        <v>Finalize demo</v>
      </c>
      <c r="C135" s="628"/>
      <c r="D135" s="602" t="str">
        <f>IFERROR(__xludf.DUMMYFUNCTION("""COMPUTED_VALUE"""),"PMAX")</f>
        <v>PMAX</v>
      </c>
      <c r="E135" s="624" t="str">
        <f>IFERROR(__xludf.DUMMYFUNCTION("""COMPUTED_VALUE"""),"Not start yet")</f>
        <v>Not start yet</v>
      </c>
      <c r="F135" s="604">
        <f>IFERROR(__xludf.DUMMYFUNCTION("""COMPUTED_VALUE"""),46164.0)</f>
        <v>46164</v>
      </c>
      <c r="G135" s="639">
        <f>IFERROR(__xludf.DUMMYFUNCTION("""COMPUTED_VALUE"""),46164.0)</f>
        <v>46164</v>
      </c>
      <c r="H135" s="585"/>
      <c r="I135" s="629">
        <v>1.0</v>
      </c>
      <c r="J135" s="630" t="s">
        <v>888</v>
      </c>
      <c r="K135" s="585"/>
      <c r="L135" s="585"/>
      <c r="M135" s="585"/>
      <c r="N135" s="585"/>
      <c r="O135" s="585"/>
      <c r="P135" s="585"/>
      <c r="Q135" s="585"/>
      <c r="R135" s="585"/>
      <c r="S135" s="585"/>
      <c r="T135" s="585"/>
      <c r="U135" s="585"/>
      <c r="V135" s="585"/>
      <c r="W135" s="585"/>
      <c r="X135" s="585"/>
      <c r="Y135" s="585"/>
      <c r="Z135" s="585"/>
      <c r="AA135" s="585"/>
      <c r="AB135" s="585"/>
      <c r="AC135" s="585"/>
      <c r="AD135" s="585"/>
      <c r="AE135" s="585"/>
      <c r="AF135" s="585"/>
      <c r="AG135" s="585"/>
      <c r="AH135" s="585"/>
      <c r="AI135" s="585"/>
      <c r="AJ135" s="585"/>
      <c r="AK135" s="585"/>
      <c r="AL135" s="585"/>
      <c r="AM135" s="585"/>
      <c r="AN135" s="585"/>
      <c r="AO135" s="585"/>
      <c r="AP135" s="585"/>
      <c r="AQ135" s="585"/>
      <c r="AR135" s="585"/>
    </row>
    <row r="136">
      <c r="A136" s="640"/>
      <c r="B136" s="634" t="str">
        <f>IFERROR(__xludf.DUMMYFUNCTION("""COMPUTED_VALUE"""),"Air")</f>
        <v>Air</v>
      </c>
      <c r="C136" s="26"/>
      <c r="D136" s="602" t="str">
        <f>IFERROR(__xludf.DUMMYFUNCTION("""COMPUTED_VALUE"""),"PMAX")</f>
        <v>PMAX</v>
      </c>
      <c r="E136" s="624" t="str">
        <f>IFERROR(__xludf.DUMMYFUNCTION("""COMPUTED_VALUE"""),"Not start yet")</f>
        <v>Not start yet</v>
      </c>
      <c r="F136" s="604" t="str">
        <f>IFERROR(__xludf.DUMMYFUNCTION("""COMPUTED_VALUE"""),"TBU")</f>
        <v>TBU</v>
      </c>
      <c r="G136" s="639" t="str">
        <f>IFERROR(__xludf.DUMMYFUNCTION("""COMPUTED_VALUE"""),"TBU")</f>
        <v>TBU</v>
      </c>
      <c r="H136" s="585"/>
      <c r="I136" s="636">
        <v>1.0</v>
      </c>
      <c r="J136" s="585"/>
      <c r="K136" s="585"/>
      <c r="L136" s="585"/>
      <c r="M136" s="585"/>
      <c r="N136" s="585"/>
      <c r="O136" s="585"/>
      <c r="P136" s="585"/>
      <c r="Q136" s="585"/>
      <c r="R136" s="585"/>
      <c r="S136" s="585"/>
      <c r="T136" s="585"/>
      <c r="U136" s="585"/>
      <c r="V136" s="585"/>
      <c r="W136" s="585"/>
      <c r="X136" s="585"/>
      <c r="Y136" s="585"/>
      <c r="Z136" s="585"/>
      <c r="AA136" s="585"/>
      <c r="AB136" s="585"/>
      <c r="AC136" s="585"/>
      <c r="AD136" s="585"/>
      <c r="AE136" s="585"/>
      <c r="AF136" s="585"/>
      <c r="AG136" s="585"/>
      <c r="AH136" s="585"/>
      <c r="AI136" s="585"/>
      <c r="AJ136" s="585"/>
      <c r="AK136" s="585"/>
      <c r="AL136" s="585"/>
      <c r="AM136" s="585"/>
      <c r="AN136" s="585"/>
      <c r="AO136" s="585"/>
      <c r="AP136" s="585"/>
      <c r="AQ136" s="585"/>
      <c r="AR136" s="585"/>
    </row>
    <row r="137">
      <c r="A137" s="637">
        <f>IFERROR(__xludf.DUMMYFUNCTION("""COMPUTED_VALUE"""),9.0)</f>
        <v>9</v>
      </c>
      <c r="B137" s="616" t="str">
        <f>IFERROR(__xludf.DUMMYFUNCTION("""COMPUTED_VALUE"""),"A dinosaur in the kitchen")</f>
        <v>A dinosaur in the kitchen</v>
      </c>
      <c r="C137" s="617"/>
      <c r="D137" s="618"/>
      <c r="E137" s="619"/>
      <c r="F137" s="619"/>
      <c r="G137" s="619"/>
      <c r="H137" s="585"/>
      <c r="I137" s="585"/>
      <c r="J137" s="585"/>
      <c r="K137" s="585"/>
      <c r="L137" s="585"/>
      <c r="M137" s="585"/>
      <c r="N137" s="585"/>
      <c r="O137" s="585"/>
      <c r="P137" s="585"/>
      <c r="Q137" s="585"/>
      <c r="R137" s="585"/>
      <c r="S137" s="585"/>
      <c r="T137" s="585"/>
      <c r="U137" s="585"/>
      <c r="V137" s="585"/>
      <c r="W137" s="585"/>
      <c r="X137" s="585"/>
      <c r="Y137" s="585"/>
      <c r="Z137" s="585"/>
      <c r="AA137" s="585"/>
      <c r="AB137" s="585"/>
      <c r="AC137" s="585"/>
      <c r="AD137" s="585"/>
      <c r="AE137" s="585"/>
      <c r="AF137" s="585"/>
      <c r="AG137" s="585"/>
      <c r="AH137" s="585"/>
      <c r="AI137" s="585"/>
      <c r="AJ137" s="585"/>
      <c r="AK137" s="585"/>
      <c r="AL137" s="585"/>
      <c r="AM137" s="585"/>
      <c r="AN137" s="585"/>
      <c r="AO137" s="585"/>
      <c r="AP137" s="585"/>
      <c r="AQ137" s="585"/>
      <c r="AR137" s="585"/>
    </row>
    <row r="138">
      <c r="A138" s="621"/>
      <c r="B138" s="622" t="str">
        <f>IFERROR(__xludf.DUMMYFUNCTION("""COMPUTED_VALUE"""),"Briefing cho Influencer")</f>
        <v>Briefing cho Influencer</v>
      </c>
      <c r="C138" s="623"/>
      <c r="D138" s="602" t="str">
        <f>IFERROR(__xludf.DUMMYFUNCTION("""COMPUTED_VALUE"""),"PMAX")</f>
        <v>PMAX</v>
      </c>
      <c r="E138" s="624" t="str">
        <f>IFERROR(__xludf.DUMMYFUNCTION("""COMPUTED_VALUE"""),"Not start yet")</f>
        <v>Not start yet</v>
      </c>
      <c r="F138" s="604">
        <f>IFERROR(__xludf.DUMMYFUNCTION("""COMPUTED_VALUE"""),46147.0)</f>
        <v>46147</v>
      </c>
      <c r="G138" s="639">
        <f>IFERROR(__xludf.DUMMYFUNCTION("""COMPUTED_VALUE"""),46148.0)</f>
        <v>46148</v>
      </c>
      <c r="H138" s="585"/>
      <c r="I138" s="625"/>
      <c r="J138" s="626" t="s">
        <v>882</v>
      </c>
      <c r="K138" s="585"/>
      <c r="L138" s="585"/>
      <c r="M138" s="585"/>
      <c r="N138" s="585"/>
      <c r="O138" s="585"/>
      <c r="P138" s="585"/>
      <c r="Q138" s="585"/>
      <c r="R138" s="585"/>
      <c r="S138" s="585"/>
      <c r="T138" s="585"/>
      <c r="U138" s="585"/>
      <c r="V138" s="585"/>
      <c r="W138" s="585"/>
      <c r="X138" s="585"/>
      <c r="Y138" s="585"/>
      <c r="Z138" s="585"/>
      <c r="AA138" s="585"/>
      <c r="AB138" s="585"/>
      <c r="AC138" s="585"/>
      <c r="AD138" s="585"/>
      <c r="AE138" s="585"/>
      <c r="AF138" s="585"/>
      <c r="AG138" s="585"/>
      <c r="AH138" s="585"/>
      <c r="AI138" s="585"/>
      <c r="AJ138" s="585"/>
      <c r="AK138" s="585"/>
      <c r="AL138" s="585"/>
      <c r="AM138" s="585"/>
      <c r="AN138" s="585"/>
      <c r="AO138" s="585"/>
      <c r="AP138" s="585"/>
      <c r="AQ138" s="585"/>
      <c r="AR138" s="585"/>
    </row>
    <row r="139">
      <c r="A139" s="621"/>
      <c r="B139" s="627" t="str">
        <f>IFERROR(__xludf.DUMMYFUNCTION("""COMPUTED_VALUE"""),"Script R1 + Outfits")</f>
        <v>Script R1 + Outfits</v>
      </c>
      <c r="C139" s="628"/>
      <c r="D139" s="602" t="str">
        <f>IFERROR(__xludf.DUMMYFUNCTION("""COMPUTED_VALUE"""),"PMAX")</f>
        <v>PMAX</v>
      </c>
      <c r="E139" s="624" t="str">
        <f>IFERROR(__xludf.DUMMYFUNCTION("""COMPUTED_VALUE"""),"Not start yet")</f>
        <v>Not start yet</v>
      </c>
      <c r="F139" s="604">
        <f>IFERROR(__xludf.DUMMYFUNCTION("""COMPUTED_VALUE"""),46150.0)</f>
        <v>46150</v>
      </c>
      <c r="G139" s="639">
        <f>IFERROR(__xludf.DUMMYFUNCTION("""COMPUTED_VALUE"""),46150.0)</f>
        <v>46150</v>
      </c>
      <c r="H139" s="585"/>
      <c r="I139" s="629">
        <v>1.0</v>
      </c>
      <c r="J139" s="630" t="s">
        <v>883</v>
      </c>
      <c r="K139" s="585"/>
      <c r="L139" s="585"/>
      <c r="M139" s="585"/>
      <c r="N139" s="585"/>
      <c r="O139" s="585"/>
      <c r="P139" s="585"/>
      <c r="Q139" s="585"/>
      <c r="R139" s="585"/>
      <c r="S139" s="585"/>
      <c r="T139" s="585"/>
      <c r="U139" s="585"/>
      <c r="V139" s="585"/>
      <c r="W139" s="585"/>
      <c r="X139" s="585"/>
      <c r="Y139" s="585"/>
      <c r="Z139" s="585"/>
      <c r="AA139" s="585"/>
      <c r="AB139" s="585"/>
      <c r="AC139" s="585"/>
      <c r="AD139" s="585"/>
      <c r="AE139" s="585"/>
      <c r="AF139" s="585"/>
      <c r="AG139" s="585"/>
      <c r="AH139" s="585"/>
      <c r="AI139" s="585"/>
      <c r="AJ139" s="585"/>
      <c r="AK139" s="585"/>
      <c r="AL139" s="585"/>
      <c r="AM139" s="585"/>
      <c r="AN139" s="585"/>
      <c r="AO139" s="585"/>
      <c r="AP139" s="585"/>
      <c r="AQ139" s="585"/>
      <c r="AR139" s="585"/>
    </row>
    <row r="140">
      <c r="A140" s="621"/>
      <c r="B140" s="627" t="str">
        <f>IFERROR(__xludf.DUMMYFUNCTION("""COMPUTED_VALUE"""),"Feedback Script R1 + outfits")</f>
        <v>Feedback Script R1 + outfits</v>
      </c>
      <c r="C140" s="628"/>
      <c r="D140" s="602" t="str">
        <f>IFERROR(__xludf.DUMMYFUNCTION("""COMPUTED_VALUE"""),"BRAND")</f>
        <v>BRAND</v>
      </c>
      <c r="E140" s="624" t="str">
        <f>IFERROR(__xludf.DUMMYFUNCTION("""COMPUTED_VALUE"""),"Not start yet")</f>
        <v>Not start yet</v>
      </c>
      <c r="F140" s="604">
        <f>IFERROR(__xludf.DUMMYFUNCTION("""COMPUTED_VALUE"""),46150.0)</f>
        <v>46150</v>
      </c>
      <c r="G140" s="639">
        <f>IFERROR(__xludf.DUMMYFUNCTION("""COMPUTED_VALUE"""),46150.0)</f>
        <v>46150</v>
      </c>
      <c r="H140" s="585"/>
      <c r="I140" s="625"/>
      <c r="J140" s="630" t="s">
        <v>884</v>
      </c>
      <c r="K140" s="585"/>
      <c r="L140" s="585"/>
      <c r="M140" s="585"/>
      <c r="N140" s="585"/>
      <c r="O140" s="585"/>
      <c r="P140" s="585"/>
      <c r="Q140" s="585"/>
      <c r="R140" s="585"/>
      <c r="S140" s="585"/>
      <c r="T140" s="585"/>
      <c r="U140" s="585"/>
      <c r="V140" s="585"/>
      <c r="W140" s="585"/>
      <c r="X140" s="585"/>
      <c r="Y140" s="585"/>
      <c r="Z140" s="585"/>
      <c r="AA140" s="585"/>
      <c r="AB140" s="585"/>
      <c r="AC140" s="585"/>
      <c r="AD140" s="585"/>
      <c r="AE140" s="585"/>
      <c r="AF140" s="585"/>
      <c r="AG140" s="585"/>
      <c r="AH140" s="585"/>
      <c r="AI140" s="585"/>
      <c r="AJ140" s="585"/>
      <c r="AK140" s="585"/>
      <c r="AL140" s="585"/>
      <c r="AM140" s="585"/>
      <c r="AN140" s="585"/>
      <c r="AO140" s="585"/>
      <c r="AP140" s="585"/>
      <c r="AQ140" s="585"/>
      <c r="AR140" s="585"/>
    </row>
    <row r="141">
      <c r="A141" s="621"/>
      <c r="B141" s="631" t="str">
        <f>IFERROR(__xludf.DUMMYFUNCTION("""COMPUTED_VALUE"""),"Script R2")</f>
        <v>Script R2</v>
      </c>
      <c r="C141" s="628"/>
      <c r="D141" s="632" t="str">
        <f>IFERROR(__xludf.DUMMYFUNCTION("""COMPUTED_VALUE"""),"PMAX")</f>
        <v>PMAX</v>
      </c>
      <c r="E141" s="624" t="str">
        <f>IFERROR(__xludf.DUMMYFUNCTION("""COMPUTED_VALUE"""),"Not start yet")</f>
        <v>Not start yet</v>
      </c>
      <c r="F141" s="604">
        <f>IFERROR(__xludf.DUMMYFUNCTION("""COMPUTED_VALUE"""),46151.0)</f>
        <v>46151</v>
      </c>
      <c r="G141" s="639">
        <f>IFERROR(__xludf.DUMMYFUNCTION("""COMPUTED_VALUE"""),46152.0)</f>
        <v>46152</v>
      </c>
      <c r="H141" s="585"/>
      <c r="I141" s="625"/>
      <c r="J141" s="630"/>
      <c r="K141" s="585"/>
      <c r="L141" s="585"/>
      <c r="M141" s="585"/>
      <c r="N141" s="585"/>
      <c r="O141" s="585"/>
      <c r="P141" s="585"/>
      <c r="Q141" s="585"/>
      <c r="R141" s="585"/>
      <c r="S141" s="585"/>
      <c r="T141" s="585"/>
      <c r="U141" s="585"/>
      <c r="V141" s="585"/>
      <c r="W141" s="585"/>
      <c r="X141" s="585"/>
      <c r="Y141" s="585"/>
      <c r="Z141" s="585"/>
      <c r="AA141" s="585"/>
      <c r="AB141" s="585"/>
      <c r="AC141" s="585"/>
      <c r="AD141" s="585"/>
      <c r="AE141" s="585"/>
      <c r="AF141" s="585"/>
      <c r="AG141" s="585"/>
      <c r="AH141" s="585"/>
      <c r="AI141" s="585"/>
      <c r="AJ141" s="585"/>
      <c r="AK141" s="585"/>
      <c r="AL141" s="585"/>
      <c r="AM141" s="585"/>
      <c r="AN141" s="585"/>
      <c r="AO141" s="585"/>
      <c r="AP141" s="585"/>
      <c r="AQ141" s="585"/>
      <c r="AR141" s="585"/>
    </row>
    <row r="142">
      <c r="A142" s="621"/>
      <c r="B142" s="631" t="str">
        <f>IFERROR(__xludf.DUMMYFUNCTION("""COMPUTED_VALUE"""),"Feedback Script R2")</f>
        <v>Feedback Script R2</v>
      </c>
      <c r="C142" s="628"/>
      <c r="D142" s="632" t="str">
        <f>IFERROR(__xludf.DUMMYFUNCTION("""COMPUTED_VALUE"""),"BRAND")</f>
        <v>BRAND</v>
      </c>
      <c r="E142" s="624" t="str">
        <f>IFERROR(__xludf.DUMMYFUNCTION("""COMPUTED_VALUE"""),"Not start yet")</f>
        <v>Not start yet</v>
      </c>
      <c r="F142" s="604">
        <f>IFERROR(__xludf.DUMMYFUNCTION("""COMPUTED_VALUE"""),46153.0)</f>
        <v>46153</v>
      </c>
      <c r="G142" s="639">
        <f>IFERROR(__xludf.DUMMYFUNCTION("""COMPUTED_VALUE"""),46153.0)</f>
        <v>46153</v>
      </c>
      <c r="H142" s="585"/>
      <c r="I142" s="625"/>
      <c r="J142" s="630"/>
      <c r="K142" s="585"/>
      <c r="L142" s="585"/>
      <c r="M142" s="585"/>
      <c r="N142" s="585"/>
      <c r="O142" s="585"/>
      <c r="P142" s="585"/>
      <c r="Q142" s="585"/>
      <c r="R142" s="585"/>
      <c r="S142" s="585"/>
      <c r="T142" s="585"/>
      <c r="U142" s="585"/>
      <c r="V142" s="585"/>
      <c r="W142" s="585"/>
      <c r="X142" s="585"/>
      <c r="Y142" s="585"/>
      <c r="Z142" s="585"/>
      <c r="AA142" s="585"/>
      <c r="AB142" s="585"/>
      <c r="AC142" s="585"/>
      <c r="AD142" s="585"/>
      <c r="AE142" s="585"/>
      <c r="AF142" s="585"/>
      <c r="AG142" s="585"/>
      <c r="AH142" s="585"/>
      <c r="AI142" s="585"/>
      <c r="AJ142" s="585"/>
      <c r="AK142" s="585"/>
      <c r="AL142" s="585"/>
      <c r="AM142" s="585"/>
      <c r="AN142" s="585"/>
      <c r="AO142" s="585"/>
      <c r="AP142" s="585"/>
      <c r="AQ142" s="585"/>
      <c r="AR142" s="585"/>
    </row>
    <row r="143">
      <c r="A143" s="621"/>
      <c r="B143" s="627" t="str">
        <f>IFERROR(__xludf.DUMMYFUNCTION("""COMPUTED_VALUE"""),"Finalize scripts + outfits")</f>
        <v>Finalize scripts + outfits</v>
      </c>
      <c r="C143" s="628"/>
      <c r="D143" s="602" t="str">
        <f>IFERROR(__xludf.DUMMYFUNCTION("""COMPUTED_VALUE"""),"PMAX-BRAND")</f>
        <v>PMAX-BRAND</v>
      </c>
      <c r="E143" s="624" t="str">
        <f>IFERROR(__xludf.DUMMYFUNCTION("""COMPUTED_VALUE"""),"Not start yet")</f>
        <v>Not start yet</v>
      </c>
      <c r="F143" s="604">
        <f>IFERROR(__xludf.DUMMYFUNCTION("""COMPUTED_VALUE"""),46153.0)</f>
        <v>46153</v>
      </c>
      <c r="G143" s="639">
        <f>IFERROR(__xludf.DUMMYFUNCTION("""COMPUTED_VALUE"""),46153.0)</f>
        <v>46153</v>
      </c>
      <c r="H143" s="585"/>
      <c r="I143" s="629">
        <v>1.0</v>
      </c>
      <c r="J143" s="630" t="s">
        <v>885</v>
      </c>
      <c r="K143" s="585"/>
      <c r="L143" s="585"/>
      <c r="M143" s="585"/>
      <c r="N143" s="585"/>
      <c r="O143" s="585"/>
      <c r="P143" s="585"/>
      <c r="Q143" s="585"/>
      <c r="R143" s="585"/>
      <c r="S143" s="585"/>
      <c r="T143" s="585"/>
      <c r="U143" s="585"/>
      <c r="V143" s="585"/>
      <c r="W143" s="585"/>
      <c r="X143" s="585"/>
      <c r="Y143" s="585"/>
      <c r="Z143" s="585"/>
      <c r="AA143" s="585"/>
      <c r="AB143" s="585"/>
      <c r="AC143" s="585"/>
      <c r="AD143" s="585"/>
      <c r="AE143" s="585"/>
      <c r="AF143" s="585"/>
      <c r="AG143" s="585"/>
      <c r="AH143" s="585"/>
      <c r="AI143" s="585"/>
      <c r="AJ143" s="585"/>
      <c r="AK143" s="585"/>
      <c r="AL143" s="585"/>
      <c r="AM143" s="585"/>
      <c r="AN143" s="585"/>
      <c r="AO143" s="585"/>
      <c r="AP143" s="585"/>
      <c r="AQ143" s="585"/>
      <c r="AR143" s="585"/>
    </row>
    <row r="144">
      <c r="A144" s="621"/>
      <c r="B144" s="627" t="str">
        <f>IFERROR(__xludf.DUMMYFUNCTION("""COMPUTED_VALUE"""),"Đi quay tại site")</f>
        <v>Đi quay tại site</v>
      </c>
      <c r="C144" s="628"/>
      <c r="D144" s="602" t="str">
        <f>IFERROR(__xludf.DUMMYFUNCTION("""COMPUTED_VALUE"""),"PMAX")</f>
        <v>PMAX</v>
      </c>
      <c r="E144" s="624" t="str">
        <f>IFERROR(__xludf.DUMMYFUNCTION("""COMPUTED_VALUE"""),"Not start yet")</f>
        <v>Not start yet</v>
      </c>
      <c r="F144" s="604">
        <f>IFERROR(__xludf.DUMMYFUNCTION("""COMPUTED_VALUE"""),46156.0)</f>
        <v>46156</v>
      </c>
      <c r="G144" s="639">
        <f>IFERROR(__xludf.DUMMYFUNCTION("""COMPUTED_VALUE"""),46156.0)</f>
        <v>46156</v>
      </c>
      <c r="H144" s="585"/>
      <c r="I144" s="629">
        <v>2.0</v>
      </c>
      <c r="J144" s="625"/>
      <c r="K144" s="585"/>
      <c r="L144" s="585"/>
      <c r="M144" s="585"/>
      <c r="N144" s="585"/>
      <c r="O144" s="585"/>
      <c r="P144" s="585"/>
      <c r="Q144" s="585"/>
      <c r="R144" s="585"/>
      <c r="S144" s="585"/>
      <c r="T144" s="585"/>
      <c r="U144" s="585"/>
      <c r="V144" s="585"/>
      <c r="W144" s="585"/>
      <c r="X144" s="585"/>
      <c r="Y144" s="585"/>
      <c r="Z144" s="585"/>
      <c r="AA144" s="585"/>
      <c r="AB144" s="585"/>
      <c r="AC144" s="585"/>
      <c r="AD144" s="585"/>
      <c r="AE144" s="585"/>
      <c r="AF144" s="585"/>
      <c r="AG144" s="585"/>
      <c r="AH144" s="585"/>
      <c r="AI144" s="585"/>
      <c r="AJ144" s="585"/>
      <c r="AK144" s="585"/>
      <c r="AL144" s="585"/>
      <c r="AM144" s="585"/>
      <c r="AN144" s="585"/>
      <c r="AO144" s="585"/>
      <c r="AP144" s="585"/>
      <c r="AQ144" s="585"/>
      <c r="AR144" s="585"/>
    </row>
    <row r="145">
      <c r="A145" s="621"/>
      <c r="B145" s="633" t="str">
        <f>IFERROR(__xludf.DUMMYFUNCTION("""COMPUTED_VALUE"""),"Demo R1")</f>
        <v>Demo R1</v>
      </c>
      <c r="C145" s="628"/>
      <c r="D145" s="602" t="str">
        <f>IFERROR(__xludf.DUMMYFUNCTION("""COMPUTED_VALUE"""),"PMAX")</f>
        <v>PMAX</v>
      </c>
      <c r="E145" s="624" t="str">
        <f>IFERROR(__xludf.DUMMYFUNCTION("""COMPUTED_VALUE"""),"Not start yet")</f>
        <v>Not start yet</v>
      </c>
      <c r="F145" s="604">
        <f>IFERROR(__xludf.DUMMYFUNCTION("""COMPUTED_VALUE"""),46158.0)</f>
        <v>46158</v>
      </c>
      <c r="G145" s="639">
        <f>IFERROR(__xludf.DUMMYFUNCTION("""COMPUTED_VALUE"""),46159.0)</f>
        <v>46159</v>
      </c>
      <c r="H145" s="585"/>
      <c r="I145" s="629">
        <v>4.0</v>
      </c>
      <c r="J145" s="630" t="s">
        <v>886</v>
      </c>
      <c r="K145" s="585"/>
      <c r="L145" s="585"/>
      <c r="M145" s="585"/>
      <c r="N145" s="585"/>
      <c r="O145" s="585"/>
      <c r="P145" s="585"/>
      <c r="Q145" s="585"/>
      <c r="R145" s="585"/>
      <c r="S145" s="585"/>
      <c r="T145" s="585"/>
      <c r="U145" s="585"/>
      <c r="V145" s="585"/>
      <c r="W145" s="585"/>
      <c r="X145" s="585"/>
      <c r="Y145" s="585"/>
      <c r="Z145" s="585"/>
      <c r="AA145" s="585"/>
      <c r="AB145" s="585"/>
      <c r="AC145" s="585"/>
      <c r="AD145" s="585"/>
      <c r="AE145" s="585"/>
      <c r="AF145" s="585"/>
      <c r="AG145" s="585"/>
      <c r="AH145" s="585"/>
      <c r="AI145" s="585"/>
      <c r="AJ145" s="585"/>
      <c r="AK145" s="585"/>
      <c r="AL145" s="585"/>
      <c r="AM145" s="585"/>
      <c r="AN145" s="585"/>
      <c r="AO145" s="585"/>
      <c r="AP145" s="585"/>
      <c r="AQ145" s="585"/>
      <c r="AR145" s="585"/>
    </row>
    <row r="146">
      <c r="A146" s="621"/>
      <c r="B146" s="627" t="str">
        <f>IFERROR(__xludf.DUMMYFUNCTION("""COMPUTED_VALUE"""),"Feedback demo R1")</f>
        <v>Feedback demo R1</v>
      </c>
      <c r="C146" s="628"/>
      <c r="D146" s="602" t="str">
        <f>IFERROR(__xludf.DUMMYFUNCTION("""COMPUTED_VALUE"""),"BRAND")</f>
        <v>BRAND</v>
      </c>
      <c r="E146" s="624" t="str">
        <f>IFERROR(__xludf.DUMMYFUNCTION("""COMPUTED_VALUE"""),"Not start yet")</f>
        <v>Not start yet</v>
      </c>
      <c r="F146" s="604">
        <f>IFERROR(__xludf.DUMMYFUNCTION("""COMPUTED_VALUE"""),46160.0)</f>
        <v>46160</v>
      </c>
      <c r="G146" s="639">
        <f>IFERROR(__xludf.DUMMYFUNCTION("""COMPUTED_VALUE"""),46160.0)</f>
        <v>46160</v>
      </c>
      <c r="H146" s="585"/>
      <c r="I146" s="625"/>
      <c r="J146" s="630" t="s">
        <v>887</v>
      </c>
      <c r="K146" s="585"/>
      <c r="L146" s="585"/>
      <c r="M146" s="585"/>
      <c r="N146" s="585"/>
      <c r="O146" s="585"/>
      <c r="P146" s="585"/>
      <c r="Q146" s="585"/>
      <c r="R146" s="585"/>
      <c r="S146" s="585"/>
      <c r="T146" s="585"/>
      <c r="U146" s="585"/>
      <c r="V146" s="585"/>
      <c r="W146" s="585"/>
      <c r="X146" s="585"/>
      <c r="Y146" s="585"/>
      <c r="Z146" s="585"/>
      <c r="AA146" s="585"/>
      <c r="AB146" s="585"/>
      <c r="AC146" s="585"/>
      <c r="AD146" s="585"/>
      <c r="AE146" s="585"/>
      <c r="AF146" s="585"/>
      <c r="AG146" s="585"/>
      <c r="AH146" s="585"/>
      <c r="AI146" s="585"/>
      <c r="AJ146" s="585"/>
      <c r="AK146" s="585"/>
      <c r="AL146" s="585"/>
      <c r="AM146" s="585"/>
      <c r="AN146" s="585"/>
      <c r="AO146" s="585"/>
      <c r="AP146" s="585"/>
      <c r="AQ146" s="585"/>
      <c r="AR146" s="585"/>
    </row>
    <row r="147">
      <c r="A147" s="621"/>
      <c r="B147" s="633" t="str">
        <f>IFERROR(__xludf.DUMMYFUNCTION("""COMPUTED_VALUE"""),"Demo R2")</f>
        <v>Demo R2</v>
      </c>
      <c r="C147" s="628"/>
      <c r="D147" s="602" t="str">
        <f>IFERROR(__xludf.DUMMYFUNCTION("""COMPUTED_VALUE"""),"PMAX")</f>
        <v>PMAX</v>
      </c>
      <c r="E147" s="624" t="str">
        <f>IFERROR(__xludf.DUMMYFUNCTION("""COMPUTED_VALUE"""),"Not start yet")</f>
        <v>Not start yet</v>
      </c>
      <c r="F147" s="604">
        <f>IFERROR(__xludf.DUMMYFUNCTION("""COMPUTED_VALUE"""),46161.0)</f>
        <v>46161</v>
      </c>
      <c r="G147" s="639">
        <f>IFERROR(__xludf.DUMMYFUNCTION("""COMPUTED_VALUE"""),46163.0)</f>
        <v>46163</v>
      </c>
      <c r="H147" s="585"/>
      <c r="I147" s="625"/>
      <c r="J147" s="625"/>
      <c r="K147" s="585"/>
      <c r="L147" s="585"/>
      <c r="M147" s="585"/>
      <c r="N147" s="585"/>
      <c r="O147" s="585"/>
      <c r="P147" s="585"/>
      <c r="Q147" s="585"/>
      <c r="R147" s="585"/>
      <c r="S147" s="585"/>
      <c r="T147" s="585"/>
      <c r="U147" s="585"/>
      <c r="V147" s="585"/>
      <c r="W147" s="585"/>
      <c r="X147" s="585"/>
      <c r="Y147" s="585"/>
      <c r="Z147" s="585"/>
      <c r="AA147" s="585"/>
      <c r="AB147" s="585"/>
      <c r="AC147" s="585"/>
      <c r="AD147" s="585"/>
      <c r="AE147" s="585"/>
      <c r="AF147" s="585"/>
      <c r="AG147" s="585"/>
      <c r="AH147" s="585"/>
      <c r="AI147" s="585"/>
      <c r="AJ147" s="585"/>
      <c r="AK147" s="585"/>
      <c r="AL147" s="585"/>
      <c r="AM147" s="585"/>
      <c r="AN147" s="585"/>
      <c r="AO147" s="585"/>
      <c r="AP147" s="585"/>
      <c r="AQ147" s="585"/>
      <c r="AR147" s="585"/>
    </row>
    <row r="148">
      <c r="A148" s="621"/>
      <c r="B148" s="627" t="str">
        <f>IFERROR(__xludf.DUMMYFUNCTION("""COMPUTED_VALUE"""),"Feedback demo R2")</f>
        <v>Feedback demo R2</v>
      </c>
      <c r="C148" s="628"/>
      <c r="D148" s="602" t="str">
        <f>IFERROR(__xludf.DUMMYFUNCTION("""COMPUTED_VALUE"""),"BRAND")</f>
        <v>BRAND</v>
      </c>
      <c r="E148" s="624" t="str">
        <f>IFERROR(__xludf.DUMMYFUNCTION("""COMPUTED_VALUE"""),"Not start yet")</f>
        <v>Not start yet</v>
      </c>
      <c r="F148" s="604">
        <f>IFERROR(__xludf.DUMMYFUNCTION("""COMPUTED_VALUE"""),46164.0)</f>
        <v>46164</v>
      </c>
      <c r="G148" s="639">
        <f>IFERROR(__xludf.DUMMYFUNCTION("""COMPUTED_VALUE"""),46164.0)</f>
        <v>46164</v>
      </c>
      <c r="H148" s="585"/>
      <c r="I148" s="625"/>
      <c r="J148" s="625"/>
      <c r="K148" s="585"/>
      <c r="L148" s="585"/>
      <c r="M148" s="585"/>
      <c r="N148" s="585"/>
      <c r="O148" s="585"/>
      <c r="P148" s="585"/>
      <c r="Q148" s="585"/>
      <c r="R148" s="585"/>
      <c r="S148" s="585"/>
      <c r="T148" s="585"/>
      <c r="U148" s="585"/>
      <c r="V148" s="585"/>
      <c r="W148" s="585"/>
      <c r="X148" s="585"/>
      <c r="Y148" s="585"/>
      <c r="Z148" s="585"/>
      <c r="AA148" s="585"/>
      <c r="AB148" s="585"/>
      <c r="AC148" s="585"/>
      <c r="AD148" s="585"/>
      <c r="AE148" s="585"/>
      <c r="AF148" s="585"/>
      <c r="AG148" s="585"/>
      <c r="AH148" s="585"/>
      <c r="AI148" s="585"/>
      <c r="AJ148" s="585"/>
      <c r="AK148" s="585"/>
      <c r="AL148" s="585"/>
      <c r="AM148" s="585"/>
      <c r="AN148" s="585"/>
      <c r="AO148" s="585"/>
      <c r="AP148" s="585"/>
      <c r="AQ148" s="585"/>
      <c r="AR148" s="585"/>
    </row>
    <row r="149">
      <c r="A149" s="621"/>
      <c r="B149" s="627" t="str">
        <f>IFERROR(__xludf.DUMMYFUNCTION("""COMPUTED_VALUE"""),"Finalize demo")</f>
        <v>Finalize demo</v>
      </c>
      <c r="C149" s="628"/>
      <c r="D149" s="602" t="str">
        <f>IFERROR(__xludf.DUMMYFUNCTION("""COMPUTED_VALUE"""),"PMAX")</f>
        <v>PMAX</v>
      </c>
      <c r="E149" s="624" t="str">
        <f>IFERROR(__xludf.DUMMYFUNCTION("""COMPUTED_VALUE"""),"Not start yet")</f>
        <v>Not start yet</v>
      </c>
      <c r="F149" s="604">
        <f>IFERROR(__xludf.DUMMYFUNCTION("""COMPUTED_VALUE"""),46164.0)</f>
        <v>46164</v>
      </c>
      <c r="G149" s="639">
        <f>IFERROR(__xludf.DUMMYFUNCTION("""COMPUTED_VALUE"""),46164.0)</f>
        <v>46164</v>
      </c>
      <c r="H149" s="585"/>
      <c r="I149" s="629">
        <v>1.0</v>
      </c>
      <c r="J149" s="630" t="s">
        <v>888</v>
      </c>
      <c r="K149" s="585"/>
      <c r="L149" s="585"/>
      <c r="M149" s="585"/>
      <c r="N149" s="585"/>
      <c r="O149" s="585"/>
      <c r="P149" s="585"/>
      <c r="Q149" s="585"/>
      <c r="R149" s="585"/>
      <c r="S149" s="585"/>
      <c r="T149" s="585"/>
      <c r="U149" s="585"/>
      <c r="V149" s="585"/>
      <c r="W149" s="585"/>
      <c r="X149" s="585"/>
      <c r="Y149" s="585"/>
      <c r="Z149" s="585"/>
      <c r="AA149" s="585"/>
      <c r="AB149" s="585"/>
      <c r="AC149" s="585"/>
      <c r="AD149" s="585"/>
      <c r="AE149" s="585"/>
      <c r="AF149" s="585"/>
      <c r="AG149" s="585"/>
      <c r="AH149" s="585"/>
      <c r="AI149" s="585"/>
      <c r="AJ149" s="585"/>
      <c r="AK149" s="585"/>
      <c r="AL149" s="585"/>
      <c r="AM149" s="585"/>
      <c r="AN149" s="585"/>
      <c r="AO149" s="585"/>
      <c r="AP149" s="585"/>
      <c r="AQ149" s="585"/>
      <c r="AR149" s="585"/>
    </row>
    <row r="150">
      <c r="A150" s="621"/>
      <c r="B150" s="634" t="str">
        <f>IFERROR(__xludf.DUMMYFUNCTION("""COMPUTED_VALUE"""),"Air")</f>
        <v>Air</v>
      </c>
      <c r="C150" s="26"/>
      <c r="D150" s="602" t="str">
        <f>IFERROR(__xludf.DUMMYFUNCTION("""COMPUTED_VALUE"""),"PMAX")</f>
        <v>PMAX</v>
      </c>
      <c r="E150" s="624" t="str">
        <f>IFERROR(__xludf.DUMMYFUNCTION("""COMPUTED_VALUE"""),"Not start yet")</f>
        <v>Not start yet</v>
      </c>
      <c r="F150" s="604" t="str">
        <f>IFERROR(__xludf.DUMMYFUNCTION("""COMPUTED_VALUE"""),"TBU")</f>
        <v>TBU</v>
      </c>
      <c r="G150" s="639" t="str">
        <f>IFERROR(__xludf.DUMMYFUNCTION("""COMPUTED_VALUE"""),"TBU")</f>
        <v>TBU</v>
      </c>
      <c r="H150" s="585"/>
      <c r="I150" s="636">
        <v>1.0</v>
      </c>
      <c r="J150" s="585"/>
      <c r="K150" s="585"/>
      <c r="L150" s="585"/>
      <c r="M150" s="585"/>
      <c r="N150" s="585"/>
      <c r="O150" s="585"/>
      <c r="P150" s="585"/>
      <c r="Q150" s="585"/>
      <c r="R150" s="585"/>
      <c r="S150" s="585"/>
      <c r="T150" s="585"/>
      <c r="U150" s="585"/>
      <c r="V150" s="585"/>
      <c r="W150" s="585"/>
      <c r="X150" s="585"/>
      <c r="Y150" s="585"/>
      <c r="Z150" s="585"/>
      <c r="AA150" s="585"/>
      <c r="AB150" s="585"/>
      <c r="AC150" s="585"/>
      <c r="AD150" s="585"/>
      <c r="AE150" s="585"/>
      <c r="AF150" s="585"/>
      <c r="AG150" s="585"/>
      <c r="AH150" s="585"/>
      <c r="AI150" s="585"/>
      <c r="AJ150" s="585"/>
      <c r="AK150" s="585"/>
      <c r="AL150" s="585"/>
      <c r="AM150" s="585"/>
      <c r="AN150" s="585"/>
      <c r="AO150" s="585"/>
      <c r="AP150" s="585"/>
      <c r="AQ150" s="585"/>
      <c r="AR150" s="585"/>
    </row>
    <row r="151">
      <c r="A151" s="641" t="str">
        <f>IFERROR(__xludf.DUMMYFUNCTION("""COMPUTED_VALUE"""),"18")</f>
        <v>18</v>
      </c>
      <c r="B151" s="613" t="str">
        <f>IFERROR(__xludf.DUMMYFUNCTION("""COMPUTED_VALUE"""),"FOODY UGC	")</f>
        <v>FOODY UGC	</v>
      </c>
      <c r="C151" s="614"/>
      <c r="D151" s="614"/>
      <c r="E151" s="614"/>
      <c r="F151" s="614"/>
      <c r="G151" s="614"/>
      <c r="H151" s="585"/>
      <c r="I151" s="585"/>
      <c r="J151" s="585"/>
      <c r="K151" s="585"/>
      <c r="L151" s="585"/>
      <c r="M151" s="585"/>
      <c r="N151" s="585"/>
      <c r="O151" s="585"/>
      <c r="P151" s="585"/>
      <c r="Q151" s="585"/>
      <c r="R151" s="585"/>
      <c r="S151" s="585"/>
      <c r="T151" s="585"/>
      <c r="U151" s="585"/>
      <c r="V151" s="585"/>
      <c r="W151" s="585"/>
      <c r="X151" s="585"/>
      <c r="Y151" s="585"/>
      <c r="Z151" s="585"/>
      <c r="AA151" s="585"/>
      <c r="AB151" s="585"/>
      <c r="AC151" s="585"/>
      <c r="AD151" s="585"/>
      <c r="AE151" s="585"/>
      <c r="AF151" s="585"/>
      <c r="AG151" s="585"/>
      <c r="AH151" s="585"/>
      <c r="AI151" s="585"/>
      <c r="AJ151" s="585"/>
      <c r="AK151" s="585"/>
      <c r="AL151" s="585"/>
      <c r="AM151" s="585"/>
      <c r="AN151" s="585"/>
      <c r="AO151" s="585"/>
      <c r="AP151" s="585"/>
      <c r="AQ151" s="585"/>
      <c r="AR151" s="585"/>
    </row>
    <row r="152">
      <c r="A152" s="642"/>
      <c r="B152" s="643" t="str">
        <f>IFERROR(__xludf.DUMMYFUNCTION("""COMPUTED_VALUE"""),"TPHCM")</f>
        <v>TPHCM</v>
      </c>
      <c r="C152" s="642"/>
      <c r="D152" s="642"/>
      <c r="E152" s="642"/>
      <c r="F152" s="642"/>
      <c r="G152" s="642"/>
    </row>
    <row r="153">
      <c r="A153" s="637">
        <f>IFERROR(__xludf.DUMMYFUNCTION("""COMPUTED_VALUE"""),10.0)</f>
        <v>10</v>
      </c>
      <c r="B153" s="616" t="str">
        <f>IFERROR(__xludf.DUMMYFUNCTION("""COMPUTED_VALUE"""),"Nhà Mây")</f>
        <v>Nhà Mây</v>
      </c>
      <c r="C153" s="617"/>
      <c r="D153" s="618"/>
      <c r="E153" s="619"/>
      <c r="F153" s="619"/>
      <c r="G153" s="619"/>
      <c r="H153" s="585"/>
      <c r="I153" s="585"/>
      <c r="J153" s="585"/>
      <c r="K153" s="585"/>
      <c r="L153" s="585"/>
      <c r="M153" s="585"/>
      <c r="N153" s="585"/>
      <c r="O153" s="585"/>
      <c r="P153" s="585"/>
      <c r="Q153" s="585"/>
      <c r="R153" s="585"/>
      <c r="S153" s="585"/>
      <c r="T153" s="585"/>
      <c r="U153" s="585"/>
      <c r="V153" s="585"/>
      <c r="W153" s="585"/>
      <c r="X153" s="585"/>
      <c r="Y153" s="585"/>
      <c r="Z153" s="585"/>
      <c r="AA153" s="585"/>
      <c r="AB153" s="585"/>
      <c r="AC153" s="585"/>
      <c r="AD153" s="585"/>
      <c r="AE153" s="585"/>
      <c r="AF153" s="585"/>
      <c r="AG153" s="585"/>
      <c r="AH153" s="585"/>
      <c r="AI153" s="585"/>
      <c r="AJ153" s="585"/>
      <c r="AK153" s="585"/>
      <c r="AL153" s="585"/>
      <c r="AM153" s="585"/>
      <c r="AN153" s="585"/>
      <c r="AO153" s="585"/>
      <c r="AP153" s="585"/>
      <c r="AQ153" s="585"/>
      <c r="AR153" s="585"/>
    </row>
    <row r="154">
      <c r="A154" s="621"/>
      <c r="B154" s="622" t="str">
        <f>IFERROR(__xludf.DUMMYFUNCTION("""COMPUTED_VALUE"""),"Briefing cho Influencer")</f>
        <v>Briefing cho Influencer</v>
      </c>
      <c r="C154" s="623"/>
      <c r="D154" s="602" t="str">
        <f>IFERROR(__xludf.DUMMYFUNCTION("""COMPUTED_VALUE"""),"PMAX")</f>
        <v>PMAX</v>
      </c>
      <c r="E154" s="624" t="str">
        <f>IFERROR(__xludf.DUMMYFUNCTION("""COMPUTED_VALUE"""),"Not start yet")</f>
        <v>Not start yet</v>
      </c>
      <c r="F154" s="604">
        <f>IFERROR(__xludf.DUMMYFUNCTION("""COMPUTED_VALUE"""),46147.0)</f>
        <v>46147</v>
      </c>
      <c r="G154" s="639">
        <f>IFERROR(__xludf.DUMMYFUNCTION("""COMPUTED_VALUE"""),46148.0)</f>
        <v>46148</v>
      </c>
      <c r="H154" s="585"/>
      <c r="I154" s="625"/>
      <c r="J154" s="626" t="s">
        <v>882</v>
      </c>
      <c r="K154" s="585"/>
      <c r="L154" s="585"/>
      <c r="M154" s="585"/>
      <c r="N154" s="585"/>
      <c r="O154" s="585"/>
      <c r="P154" s="585"/>
      <c r="Q154" s="585"/>
      <c r="R154" s="585"/>
      <c r="S154" s="585"/>
      <c r="T154" s="585"/>
      <c r="U154" s="585"/>
      <c r="V154" s="585"/>
      <c r="W154" s="585"/>
      <c r="X154" s="585"/>
      <c r="Y154" s="585"/>
      <c r="Z154" s="585"/>
      <c r="AA154" s="585"/>
      <c r="AB154" s="585"/>
      <c r="AC154" s="585"/>
      <c r="AD154" s="585"/>
      <c r="AE154" s="585"/>
      <c r="AF154" s="585"/>
      <c r="AG154" s="585"/>
      <c r="AH154" s="585"/>
      <c r="AI154" s="585"/>
      <c r="AJ154" s="585"/>
      <c r="AK154" s="585"/>
      <c r="AL154" s="585"/>
      <c r="AM154" s="585"/>
      <c r="AN154" s="585"/>
      <c r="AO154" s="585"/>
      <c r="AP154" s="585"/>
      <c r="AQ154" s="585"/>
      <c r="AR154" s="585"/>
    </row>
    <row r="155">
      <c r="A155" s="621"/>
      <c r="B155" s="627" t="str">
        <f>IFERROR(__xludf.DUMMYFUNCTION("""COMPUTED_VALUE"""),"Script R1 + Outfits")</f>
        <v>Script R1 + Outfits</v>
      </c>
      <c r="C155" s="628"/>
      <c r="D155" s="602" t="str">
        <f>IFERROR(__xludf.DUMMYFUNCTION("""COMPUTED_VALUE"""),"PMAX")</f>
        <v>PMAX</v>
      </c>
      <c r="E155" s="624" t="str">
        <f>IFERROR(__xludf.DUMMYFUNCTION("""COMPUTED_VALUE"""),"Not start yet")</f>
        <v>Not start yet</v>
      </c>
      <c r="F155" s="604">
        <f>IFERROR(__xludf.DUMMYFUNCTION("""COMPUTED_VALUE"""),46148.0)</f>
        <v>46148</v>
      </c>
      <c r="G155" s="639">
        <f>IFERROR(__xludf.DUMMYFUNCTION("""COMPUTED_VALUE"""),46150.0)</f>
        <v>46150</v>
      </c>
      <c r="H155" s="585"/>
      <c r="I155" s="629">
        <v>1.0</v>
      </c>
      <c r="J155" s="630" t="s">
        <v>883</v>
      </c>
      <c r="K155" s="585"/>
      <c r="L155" s="585"/>
      <c r="M155" s="585"/>
      <c r="N155" s="585"/>
      <c r="O155" s="585"/>
      <c r="P155" s="585"/>
      <c r="Q155" s="585"/>
      <c r="R155" s="585"/>
      <c r="S155" s="585"/>
      <c r="T155" s="585"/>
      <c r="U155" s="585"/>
      <c r="V155" s="585"/>
      <c r="W155" s="585"/>
      <c r="X155" s="585"/>
      <c r="Y155" s="585"/>
      <c r="Z155" s="585"/>
      <c r="AA155" s="585"/>
      <c r="AB155" s="585"/>
      <c r="AC155" s="585"/>
      <c r="AD155" s="585"/>
      <c r="AE155" s="585"/>
      <c r="AF155" s="585"/>
      <c r="AG155" s="585"/>
      <c r="AH155" s="585"/>
      <c r="AI155" s="585"/>
      <c r="AJ155" s="585"/>
      <c r="AK155" s="585"/>
      <c r="AL155" s="585"/>
      <c r="AM155" s="585"/>
      <c r="AN155" s="585"/>
      <c r="AO155" s="585"/>
      <c r="AP155" s="585"/>
      <c r="AQ155" s="585"/>
      <c r="AR155" s="585"/>
    </row>
    <row r="156">
      <c r="A156" s="621"/>
      <c r="B156" s="627" t="str">
        <f>IFERROR(__xludf.DUMMYFUNCTION("""COMPUTED_VALUE"""),"Feedback Script R1 + outfits")</f>
        <v>Feedback Script R1 + outfits</v>
      </c>
      <c r="C156" s="628"/>
      <c r="D156" s="602" t="str">
        <f>IFERROR(__xludf.DUMMYFUNCTION("""COMPUTED_VALUE"""),"BRAND")</f>
        <v>BRAND</v>
      </c>
      <c r="E156" s="624" t="str">
        <f>IFERROR(__xludf.DUMMYFUNCTION("""COMPUTED_VALUE"""),"Not start yet")</f>
        <v>Not start yet</v>
      </c>
      <c r="F156" s="604">
        <f>IFERROR(__xludf.DUMMYFUNCTION("""COMPUTED_VALUE"""),46150.0)</f>
        <v>46150</v>
      </c>
      <c r="G156" s="639">
        <f>IFERROR(__xludf.DUMMYFUNCTION("""COMPUTED_VALUE"""),46150.0)</f>
        <v>46150</v>
      </c>
      <c r="H156" s="585"/>
      <c r="I156" s="625"/>
      <c r="J156" s="630" t="s">
        <v>884</v>
      </c>
      <c r="K156" s="585"/>
      <c r="L156" s="585"/>
      <c r="M156" s="585"/>
      <c r="N156" s="585"/>
      <c r="O156" s="585"/>
      <c r="P156" s="585"/>
      <c r="Q156" s="585"/>
      <c r="R156" s="585"/>
      <c r="S156" s="585"/>
      <c r="T156" s="585"/>
      <c r="U156" s="585"/>
      <c r="V156" s="585"/>
      <c r="W156" s="585"/>
      <c r="X156" s="585"/>
      <c r="Y156" s="585"/>
      <c r="Z156" s="585"/>
      <c r="AA156" s="585"/>
      <c r="AB156" s="585"/>
      <c r="AC156" s="585"/>
      <c r="AD156" s="585"/>
      <c r="AE156" s="585"/>
      <c r="AF156" s="585"/>
      <c r="AG156" s="585"/>
      <c r="AH156" s="585"/>
      <c r="AI156" s="585"/>
      <c r="AJ156" s="585"/>
      <c r="AK156" s="585"/>
      <c r="AL156" s="585"/>
      <c r="AM156" s="585"/>
      <c r="AN156" s="585"/>
      <c r="AO156" s="585"/>
      <c r="AP156" s="585"/>
      <c r="AQ156" s="585"/>
      <c r="AR156" s="585"/>
    </row>
    <row r="157">
      <c r="A157" s="621"/>
      <c r="B157" s="631" t="str">
        <f>IFERROR(__xludf.DUMMYFUNCTION("""COMPUTED_VALUE"""),"Script R2")</f>
        <v>Script R2</v>
      </c>
      <c r="C157" s="628"/>
      <c r="D157" s="632" t="str">
        <f>IFERROR(__xludf.DUMMYFUNCTION("""COMPUTED_VALUE"""),"PMAX")</f>
        <v>PMAX</v>
      </c>
      <c r="E157" s="624" t="str">
        <f>IFERROR(__xludf.DUMMYFUNCTION("""COMPUTED_VALUE"""),"Not start yet")</f>
        <v>Not start yet</v>
      </c>
      <c r="F157" s="604">
        <f>IFERROR(__xludf.DUMMYFUNCTION("""COMPUTED_VALUE"""),46151.0)</f>
        <v>46151</v>
      </c>
      <c r="G157" s="639">
        <f>IFERROR(__xludf.DUMMYFUNCTION("""COMPUTED_VALUE"""),46152.0)</f>
        <v>46152</v>
      </c>
      <c r="H157" s="585"/>
      <c r="I157" s="625"/>
      <c r="J157" s="630"/>
      <c r="K157" s="585"/>
      <c r="L157" s="585"/>
      <c r="M157" s="585"/>
      <c r="N157" s="585"/>
      <c r="O157" s="585"/>
      <c r="P157" s="585"/>
      <c r="Q157" s="585"/>
      <c r="R157" s="585"/>
      <c r="S157" s="585"/>
      <c r="T157" s="585"/>
      <c r="U157" s="585"/>
      <c r="V157" s="585"/>
      <c r="W157" s="585"/>
      <c r="X157" s="585"/>
      <c r="Y157" s="585"/>
      <c r="Z157" s="585"/>
      <c r="AA157" s="585"/>
      <c r="AB157" s="585"/>
      <c r="AC157" s="585"/>
      <c r="AD157" s="585"/>
      <c r="AE157" s="585"/>
      <c r="AF157" s="585"/>
      <c r="AG157" s="585"/>
      <c r="AH157" s="585"/>
      <c r="AI157" s="585"/>
      <c r="AJ157" s="585"/>
      <c r="AK157" s="585"/>
      <c r="AL157" s="585"/>
      <c r="AM157" s="585"/>
      <c r="AN157" s="585"/>
      <c r="AO157" s="585"/>
      <c r="AP157" s="585"/>
      <c r="AQ157" s="585"/>
      <c r="AR157" s="585"/>
    </row>
    <row r="158">
      <c r="A158" s="621"/>
      <c r="B158" s="631" t="str">
        <f>IFERROR(__xludf.DUMMYFUNCTION("""COMPUTED_VALUE"""),"Feedback Script R2")</f>
        <v>Feedback Script R2</v>
      </c>
      <c r="C158" s="628"/>
      <c r="D158" s="632" t="str">
        <f>IFERROR(__xludf.DUMMYFUNCTION("""COMPUTED_VALUE"""),"BRAND")</f>
        <v>BRAND</v>
      </c>
      <c r="E158" s="624" t="str">
        <f>IFERROR(__xludf.DUMMYFUNCTION("""COMPUTED_VALUE"""),"Not start yet")</f>
        <v>Not start yet</v>
      </c>
      <c r="F158" s="604">
        <f>IFERROR(__xludf.DUMMYFUNCTION("""COMPUTED_VALUE"""),46153.0)</f>
        <v>46153</v>
      </c>
      <c r="G158" s="639">
        <f>IFERROR(__xludf.DUMMYFUNCTION("""COMPUTED_VALUE"""),46153.0)</f>
        <v>46153</v>
      </c>
      <c r="H158" s="585"/>
      <c r="I158" s="625"/>
      <c r="J158" s="630"/>
      <c r="K158" s="585"/>
      <c r="L158" s="585"/>
      <c r="M158" s="585"/>
      <c r="N158" s="585"/>
      <c r="O158" s="585"/>
      <c r="P158" s="585"/>
      <c r="Q158" s="585"/>
      <c r="R158" s="585"/>
      <c r="S158" s="585"/>
      <c r="T158" s="585"/>
      <c r="U158" s="585"/>
      <c r="V158" s="585"/>
      <c r="W158" s="585"/>
      <c r="X158" s="585"/>
      <c r="Y158" s="585"/>
      <c r="Z158" s="585"/>
      <c r="AA158" s="585"/>
      <c r="AB158" s="585"/>
      <c r="AC158" s="585"/>
      <c r="AD158" s="585"/>
      <c r="AE158" s="585"/>
      <c r="AF158" s="585"/>
      <c r="AG158" s="585"/>
      <c r="AH158" s="585"/>
      <c r="AI158" s="585"/>
      <c r="AJ158" s="585"/>
      <c r="AK158" s="585"/>
      <c r="AL158" s="585"/>
      <c r="AM158" s="585"/>
      <c r="AN158" s="585"/>
      <c r="AO158" s="585"/>
      <c r="AP158" s="585"/>
      <c r="AQ158" s="585"/>
      <c r="AR158" s="585"/>
    </row>
    <row r="159">
      <c r="A159" s="621"/>
      <c r="B159" s="627" t="str">
        <f>IFERROR(__xludf.DUMMYFUNCTION("""COMPUTED_VALUE"""),"Finalize scripts + outfits")</f>
        <v>Finalize scripts + outfits</v>
      </c>
      <c r="C159" s="628"/>
      <c r="D159" s="602" t="str">
        <f>IFERROR(__xludf.DUMMYFUNCTION("""COMPUTED_VALUE"""),"PMAX-BRAND")</f>
        <v>PMAX-BRAND</v>
      </c>
      <c r="E159" s="624" t="str">
        <f>IFERROR(__xludf.DUMMYFUNCTION("""COMPUTED_VALUE"""),"Not start yet")</f>
        <v>Not start yet</v>
      </c>
      <c r="F159" s="604">
        <f>IFERROR(__xludf.DUMMYFUNCTION("""COMPUTED_VALUE"""),46153.0)</f>
        <v>46153</v>
      </c>
      <c r="G159" s="639">
        <f>IFERROR(__xludf.DUMMYFUNCTION("""COMPUTED_VALUE"""),46153.0)</f>
        <v>46153</v>
      </c>
      <c r="H159" s="585"/>
      <c r="I159" s="629">
        <v>1.0</v>
      </c>
      <c r="J159" s="630" t="s">
        <v>885</v>
      </c>
      <c r="K159" s="585"/>
      <c r="L159" s="585"/>
      <c r="M159" s="585"/>
      <c r="N159" s="585"/>
      <c r="O159" s="585"/>
      <c r="P159" s="585"/>
      <c r="Q159" s="585"/>
      <c r="R159" s="585"/>
      <c r="S159" s="585"/>
      <c r="T159" s="585"/>
      <c r="U159" s="585"/>
      <c r="V159" s="585"/>
      <c r="W159" s="585"/>
      <c r="X159" s="585"/>
      <c r="Y159" s="585"/>
      <c r="Z159" s="585"/>
      <c r="AA159" s="585"/>
      <c r="AB159" s="585"/>
      <c r="AC159" s="585"/>
      <c r="AD159" s="585"/>
      <c r="AE159" s="585"/>
      <c r="AF159" s="585"/>
      <c r="AG159" s="585"/>
      <c r="AH159" s="585"/>
      <c r="AI159" s="585"/>
      <c r="AJ159" s="585"/>
      <c r="AK159" s="585"/>
      <c r="AL159" s="585"/>
      <c r="AM159" s="585"/>
      <c r="AN159" s="585"/>
      <c r="AO159" s="585"/>
      <c r="AP159" s="585"/>
      <c r="AQ159" s="585"/>
      <c r="AR159" s="585"/>
    </row>
    <row r="160">
      <c r="A160" s="621"/>
      <c r="B160" s="627" t="str">
        <f>IFERROR(__xludf.DUMMYFUNCTION("""COMPUTED_VALUE"""),"Đi quay tại site")</f>
        <v>Đi quay tại site</v>
      </c>
      <c r="C160" s="628"/>
      <c r="D160" s="602" t="str">
        <f>IFERROR(__xludf.DUMMYFUNCTION("""COMPUTED_VALUE"""),"PMAX")</f>
        <v>PMAX</v>
      </c>
      <c r="E160" s="624" t="str">
        <f>IFERROR(__xludf.DUMMYFUNCTION("""COMPUTED_VALUE"""),"Not start yet")</f>
        <v>Not start yet</v>
      </c>
      <c r="F160" s="604">
        <f>IFERROR(__xludf.DUMMYFUNCTION("""COMPUTED_VALUE"""),46154.0)</f>
        <v>46154</v>
      </c>
      <c r="G160" s="639">
        <f>IFERROR(__xludf.DUMMYFUNCTION("""COMPUTED_VALUE"""),46156.0)</f>
        <v>46156</v>
      </c>
      <c r="H160" s="585"/>
      <c r="I160" s="629">
        <v>2.0</v>
      </c>
      <c r="J160" s="625"/>
      <c r="K160" s="585"/>
      <c r="L160" s="585"/>
      <c r="M160" s="585"/>
      <c r="N160" s="585"/>
      <c r="O160" s="585"/>
      <c r="P160" s="585"/>
      <c r="Q160" s="585"/>
      <c r="R160" s="585"/>
      <c r="S160" s="585"/>
      <c r="T160" s="585"/>
      <c r="U160" s="585"/>
      <c r="V160" s="585"/>
      <c r="W160" s="585"/>
      <c r="X160" s="585"/>
      <c r="Y160" s="585"/>
      <c r="Z160" s="585"/>
      <c r="AA160" s="585"/>
      <c r="AB160" s="585"/>
      <c r="AC160" s="585"/>
      <c r="AD160" s="585"/>
      <c r="AE160" s="585"/>
      <c r="AF160" s="585"/>
      <c r="AG160" s="585"/>
      <c r="AH160" s="585"/>
      <c r="AI160" s="585"/>
      <c r="AJ160" s="585"/>
      <c r="AK160" s="585"/>
      <c r="AL160" s="585"/>
      <c r="AM160" s="585"/>
      <c r="AN160" s="585"/>
      <c r="AO160" s="585"/>
      <c r="AP160" s="585"/>
      <c r="AQ160" s="585"/>
      <c r="AR160" s="585"/>
    </row>
    <row r="161">
      <c r="A161" s="621"/>
      <c r="B161" s="633" t="str">
        <f>IFERROR(__xludf.DUMMYFUNCTION("""COMPUTED_VALUE"""),"Demo R1")</f>
        <v>Demo R1</v>
      </c>
      <c r="C161" s="628"/>
      <c r="D161" s="602" t="str">
        <f>IFERROR(__xludf.DUMMYFUNCTION("""COMPUTED_VALUE"""),"PMAX")</f>
        <v>PMAX</v>
      </c>
      <c r="E161" s="624" t="str">
        <f>IFERROR(__xludf.DUMMYFUNCTION("""COMPUTED_VALUE"""),"Not start yet")</f>
        <v>Not start yet</v>
      </c>
      <c r="F161" s="604">
        <f>IFERROR(__xludf.DUMMYFUNCTION("""COMPUTED_VALUE"""),46156.0)</f>
        <v>46156</v>
      </c>
      <c r="G161" s="639">
        <f>IFERROR(__xludf.DUMMYFUNCTION("""COMPUTED_VALUE"""),46159.0)</f>
        <v>46159</v>
      </c>
      <c r="H161" s="585"/>
      <c r="I161" s="629">
        <v>4.0</v>
      </c>
      <c r="J161" s="630" t="s">
        <v>886</v>
      </c>
      <c r="K161" s="585"/>
      <c r="L161" s="585"/>
      <c r="M161" s="585"/>
      <c r="N161" s="585"/>
      <c r="O161" s="585"/>
      <c r="P161" s="585"/>
      <c r="Q161" s="585"/>
      <c r="R161" s="585"/>
      <c r="S161" s="585"/>
      <c r="T161" s="585"/>
      <c r="U161" s="585"/>
      <c r="V161" s="585"/>
      <c r="W161" s="585"/>
      <c r="X161" s="585"/>
      <c r="Y161" s="585"/>
      <c r="Z161" s="585"/>
      <c r="AA161" s="585"/>
      <c r="AB161" s="585"/>
      <c r="AC161" s="585"/>
      <c r="AD161" s="585"/>
      <c r="AE161" s="585"/>
      <c r="AF161" s="585"/>
      <c r="AG161" s="585"/>
      <c r="AH161" s="585"/>
      <c r="AI161" s="585"/>
      <c r="AJ161" s="585"/>
      <c r="AK161" s="585"/>
      <c r="AL161" s="585"/>
      <c r="AM161" s="585"/>
      <c r="AN161" s="585"/>
      <c r="AO161" s="585"/>
      <c r="AP161" s="585"/>
      <c r="AQ161" s="585"/>
      <c r="AR161" s="585"/>
    </row>
    <row r="162">
      <c r="A162" s="621"/>
      <c r="B162" s="627" t="str">
        <f>IFERROR(__xludf.DUMMYFUNCTION("""COMPUTED_VALUE"""),"Feedback demo R1")</f>
        <v>Feedback demo R1</v>
      </c>
      <c r="C162" s="628"/>
      <c r="D162" s="602" t="str">
        <f>IFERROR(__xludf.DUMMYFUNCTION("""COMPUTED_VALUE"""),"BRAND")</f>
        <v>BRAND</v>
      </c>
      <c r="E162" s="624" t="str">
        <f>IFERROR(__xludf.DUMMYFUNCTION("""COMPUTED_VALUE"""),"Not start yet")</f>
        <v>Not start yet</v>
      </c>
      <c r="F162" s="604">
        <f>IFERROR(__xludf.DUMMYFUNCTION("""COMPUTED_VALUE"""),46160.0)</f>
        <v>46160</v>
      </c>
      <c r="G162" s="639">
        <f>IFERROR(__xludf.DUMMYFUNCTION("""COMPUTED_VALUE"""),46160.0)</f>
        <v>46160</v>
      </c>
      <c r="H162" s="585"/>
      <c r="I162" s="625"/>
      <c r="J162" s="630" t="s">
        <v>887</v>
      </c>
      <c r="K162" s="585"/>
      <c r="L162" s="585"/>
      <c r="M162" s="585"/>
      <c r="N162" s="585"/>
      <c r="O162" s="585"/>
      <c r="P162" s="585"/>
      <c r="Q162" s="585"/>
      <c r="R162" s="585"/>
      <c r="S162" s="585"/>
      <c r="T162" s="585"/>
      <c r="U162" s="585"/>
      <c r="V162" s="585"/>
      <c r="W162" s="585"/>
      <c r="X162" s="585"/>
      <c r="Y162" s="585"/>
      <c r="Z162" s="585"/>
      <c r="AA162" s="585"/>
      <c r="AB162" s="585"/>
      <c r="AC162" s="585"/>
      <c r="AD162" s="585"/>
      <c r="AE162" s="585"/>
      <c r="AF162" s="585"/>
      <c r="AG162" s="585"/>
      <c r="AH162" s="585"/>
      <c r="AI162" s="585"/>
      <c r="AJ162" s="585"/>
      <c r="AK162" s="585"/>
      <c r="AL162" s="585"/>
      <c r="AM162" s="585"/>
      <c r="AN162" s="585"/>
      <c r="AO162" s="585"/>
      <c r="AP162" s="585"/>
      <c r="AQ162" s="585"/>
      <c r="AR162" s="585"/>
    </row>
    <row r="163">
      <c r="A163" s="621"/>
      <c r="B163" s="633" t="str">
        <f>IFERROR(__xludf.DUMMYFUNCTION("""COMPUTED_VALUE"""),"Demo R2")</f>
        <v>Demo R2</v>
      </c>
      <c r="C163" s="628"/>
      <c r="D163" s="602" t="str">
        <f>IFERROR(__xludf.DUMMYFUNCTION("""COMPUTED_VALUE"""),"PMAX")</f>
        <v>PMAX</v>
      </c>
      <c r="E163" s="624" t="str">
        <f>IFERROR(__xludf.DUMMYFUNCTION("""COMPUTED_VALUE"""),"Not start yet")</f>
        <v>Not start yet</v>
      </c>
      <c r="F163" s="604">
        <f>IFERROR(__xludf.DUMMYFUNCTION("""COMPUTED_VALUE"""),46161.0)</f>
        <v>46161</v>
      </c>
      <c r="G163" s="639">
        <f>IFERROR(__xludf.DUMMYFUNCTION("""COMPUTED_VALUE"""),46163.0)</f>
        <v>46163</v>
      </c>
      <c r="H163" s="585"/>
      <c r="I163" s="625"/>
      <c r="J163" s="625"/>
      <c r="K163" s="585"/>
      <c r="L163" s="585"/>
      <c r="M163" s="585"/>
      <c r="N163" s="585"/>
      <c r="O163" s="585"/>
      <c r="P163" s="585"/>
      <c r="Q163" s="585"/>
      <c r="R163" s="585"/>
      <c r="S163" s="585"/>
      <c r="T163" s="585"/>
      <c r="U163" s="585"/>
      <c r="V163" s="585"/>
      <c r="W163" s="585"/>
      <c r="X163" s="585"/>
      <c r="Y163" s="585"/>
      <c r="Z163" s="585"/>
      <c r="AA163" s="585"/>
      <c r="AB163" s="585"/>
      <c r="AC163" s="585"/>
      <c r="AD163" s="585"/>
      <c r="AE163" s="585"/>
      <c r="AF163" s="585"/>
      <c r="AG163" s="585"/>
      <c r="AH163" s="585"/>
      <c r="AI163" s="585"/>
      <c r="AJ163" s="585"/>
      <c r="AK163" s="585"/>
      <c r="AL163" s="585"/>
      <c r="AM163" s="585"/>
      <c r="AN163" s="585"/>
      <c r="AO163" s="585"/>
      <c r="AP163" s="585"/>
      <c r="AQ163" s="585"/>
      <c r="AR163" s="585"/>
    </row>
    <row r="164">
      <c r="A164" s="621"/>
      <c r="B164" s="627" t="str">
        <f>IFERROR(__xludf.DUMMYFUNCTION("""COMPUTED_VALUE"""),"Feedback demo R2")</f>
        <v>Feedback demo R2</v>
      </c>
      <c r="C164" s="628"/>
      <c r="D164" s="602" t="str">
        <f>IFERROR(__xludf.DUMMYFUNCTION("""COMPUTED_VALUE"""),"BRAND")</f>
        <v>BRAND</v>
      </c>
      <c r="E164" s="624" t="str">
        <f>IFERROR(__xludf.DUMMYFUNCTION("""COMPUTED_VALUE"""),"Not start yet")</f>
        <v>Not start yet</v>
      </c>
      <c r="F164" s="604">
        <f>IFERROR(__xludf.DUMMYFUNCTION("""COMPUTED_VALUE"""),46164.0)</f>
        <v>46164</v>
      </c>
      <c r="G164" s="639">
        <f>IFERROR(__xludf.DUMMYFUNCTION("""COMPUTED_VALUE"""),46164.0)</f>
        <v>46164</v>
      </c>
      <c r="H164" s="585"/>
      <c r="I164" s="625"/>
      <c r="J164" s="625"/>
      <c r="K164" s="585"/>
      <c r="L164" s="585"/>
      <c r="M164" s="585"/>
      <c r="N164" s="585"/>
      <c r="O164" s="585"/>
      <c r="P164" s="585"/>
      <c r="Q164" s="585"/>
      <c r="R164" s="585"/>
      <c r="S164" s="585"/>
      <c r="T164" s="585"/>
      <c r="U164" s="585"/>
      <c r="V164" s="585"/>
      <c r="W164" s="585"/>
      <c r="X164" s="585"/>
      <c r="Y164" s="585"/>
      <c r="Z164" s="585"/>
      <c r="AA164" s="585"/>
      <c r="AB164" s="585"/>
      <c r="AC164" s="585"/>
      <c r="AD164" s="585"/>
      <c r="AE164" s="585"/>
      <c r="AF164" s="585"/>
      <c r="AG164" s="585"/>
      <c r="AH164" s="585"/>
      <c r="AI164" s="585"/>
      <c r="AJ164" s="585"/>
      <c r="AK164" s="585"/>
      <c r="AL164" s="585"/>
      <c r="AM164" s="585"/>
      <c r="AN164" s="585"/>
      <c r="AO164" s="585"/>
      <c r="AP164" s="585"/>
      <c r="AQ164" s="585"/>
      <c r="AR164" s="585"/>
    </row>
    <row r="165">
      <c r="A165" s="621"/>
      <c r="B165" s="627" t="str">
        <f>IFERROR(__xludf.DUMMYFUNCTION("""COMPUTED_VALUE"""),"Finalize demo")</f>
        <v>Finalize demo</v>
      </c>
      <c r="C165" s="628"/>
      <c r="D165" s="602" t="str">
        <f>IFERROR(__xludf.DUMMYFUNCTION("""COMPUTED_VALUE"""),"PMAX")</f>
        <v>PMAX</v>
      </c>
      <c r="E165" s="624" t="str">
        <f>IFERROR(__xludf.DUMMYFUNCTION("""COMPUTED_VALUE"""),"Not start yet")</f>
        <v>Not start yet</v>
      </c>
      <c r="F165" s="604">
        <f>IFERROR(__xludf.DUMMYFUNCTION("""COMPUTED_VALUE"""),46164.0)</f>
        <v>46164</v>
      </c>
      <c r="G165" s="639">
        <f>IFERROR(__xludf.DUMMYFUNCTION("""COMPUTED_VALUE"""),46164.0)</f>
        <v>46164</v>
      </c>
      <c r="H165" s="585"/>
      <c r="I165" s="629">
        <v>1.0</v>
      </c>
      <c r="J165" s="630" t="s">
        <v>888</v>
      </c>
      <c r="K165" s="585"/>
      <c r="L165" s="585"/>
      <c r="M165" s="585"/>
      <c r="N165" s="585"/>
      <c r="O165" s="585"/>
      <c r="P165" s="585"/>
      <c r="Q165" s="585"/>
      <c r="R165" s="585"/>
      <c r="S165" s="585"/>
      <c r="T165" s="585"/>
      <c r="U165" s="585"/>
      <c r="V165" s="585"/>
      <c r="W165" s="585"/>
      <c r="X165" s="585"/>
      <c r="Y165" s="585"/>
      <c r="Z165" s="585"/>
      <c r="AA165" s="585"/>
      <c r="AB165" s="585"/>
      <c r="AC165" s="585"/>
      <c r="AD165" s="585"/>
      <c r="AE165" s="585"/>
      <c r="AF165" s="585"/>
      <c r="AG165" s="585"/>
      <c r="AH165" s="585"/>
      <c r="AI165" s="585"/>
      <c r="AJ165" s="585"/>
      <c r="AK165" s="585"/>
      <c r="AL165" s="585"/>
      <c r="AM165" s="585"/>
      <c r="AN165" s="585"/>
      <c r="AO165" s="585"/>
      <c r="AP165" s="585"/>
      <c r="AQ165" s="585"/>
      <c r="AR165" s="585"/>
    </row>
    <row r="166">
      <c r="A166" s="621"/>
      <c r="B166" s="634" t="str">
        <f>IFERROR(__xludf.DUMMYFUNCTION("""COMPUTED_VALUE"""),"Air")</f>
        <v>Air</v>
      </c>
      <c r="C166" s="26"/>
      <c r="D166" s="602" t="str">
        <f>IFERROR(__xludf.DUMMYFUNCTION("""COMPUTED_VALUE"""),"PMAX")</f>
        <v>PMAX</v>
      </c>
      <c r="E166" s="624" t="str">
        <f>IFERROR(__xludf.DUMMYFUNCTION("""COMPUTED_VALUE"""),"Not start yet")</f>
        <v>Not start yet</v>
      </c>
      <c r="F166" s="604" t="str">
        <f>IFERROR(__xludf.DUMMYFUNCTION("""COMPUTED_VALUE"""),"TBU")</f>
        <v>TBU</v>
      </c>
      <c r="G166" s="639" t="str">
        <f>IFERROR(__xludf.DUMMYFUNCTION("""COMPUTED_VALUE"""),"TBU")</f>
        <v>TBU</v>
      </c>
      <c r="H166" s="585"/>
      <c r="I166" s="636">
        <v>1.0</v>
      </c>
      <c r="J166" s="585"/>
      <c r="K166" s="585"/>
      <c r="L166" s="585"/>
      <c r="M166" s="585"/>
      <c r="N166" s="585"/>
      <c r="O166" s="585"/>
      <c r="P166" s="585"/>
      <c r="Q166" s="585"/>
      <c r="R166" s="585"/>
      <c r="S166" s="585"/>
      <c r="T166" s="585"/>
      <c r="U166" s="585"/>
      <c r="V166" s="585"/>
      <c r="W166" s="585"/>
      <c r="X166" s="585"/>
      <c r="Y166" s="585"/>
      <c r="Z166" s="585"/>
      <c r="AA166" s="585"/>
      <c r="AB166" s="585"/>
      <c r="AC166" s="585"/>
      <c r="AD166" s="585"/>
      <c r="AE166" s="585"/>
      <c r="AF166" s="585"/>
      <c r="AG166" s="585"/>
      <c r="AH166" s="585"/>
      <c r="AI166" s="585"/>
      <c r="AJ166" s="585"/>
      <c r="AK166" s="585"/>
      <c r="AL166" s="585"/>
      <c r="AM166" s="585"/>
      <c r="AN166" s="585"/>
      <c r="AO166" s="585"/>
      <c r="AP166" s="585"/>
      <c r="AQ166" s="585"/>
      <c r="AR166" s="585"/>
    </row>
    <row r="167">
      <c r="A167" s="637">
        <f>IFERROR(__xludf.DUMMYFUNCTION("""COMPUTED_VALUE"""),11.0)</f>
        <v>11</v>
      </c>
      <c r="B167" s="616" t="str">
        <f>IFERROR(__xludf.DUMMYFUNCTION("""COMPUTED_VALUE"""),"Đi chill cùng Phương phiêu")</f>
        <v>Đi chill cùng Phương phiêu</v>
      </c>
      <c r="C167" s="617"/>
      <c r="D167" s="618"/>
      <c r="E167" s="619"/>
      <c r="F167" s="619"/>
      <c r="G167" s="619"/>
      <c r="H167" s="585"/>
      <c r="I167" s="585"/>
      <c r="J167" s="585"/>
      <c r="K167" s="585"/>
      <c r="L167" s="585"/>
      <c r="M167" s="585"/>
      <c r="N167" s="585"/>
      <c r="O167" s="585"/>
      <c r="P167" s="585"/>
      <c r="Q167" s="585"/>
      <c r="R167" s="585"/>
      <c r="S167" s="585"/>
      <c r="T167" s="585"/>
      <c r="U167" s="585"/>
      <c r="V167" s="585"/>
      <c r="W167" s="585"/>
      <c r="X167" s="585"/>
      <c r="Y167" s="585"/>
      <c r="Z167" s="585"/>
      <c r="AA167" s="585"/>
      <c r="AB167" s="585"/>
      <c r="AC167" s="585"/>
      <c r="AD167" s="585"/>
      <c r="AE167" s="585"/>
      <c r="AF167" s="585"/>
      <c r="AG167" s="585"/>
      <c r="AH167" s="585"/>
      <c r="AI167" s="585"/>
      <c r="AJ167" s="585"/>
      <c r="AK167" s="585"/>
      <c r="AL167" s="585"/>
      <c r="AM167" s="585"/>
      <c r="AN167" s="585"/>
      <c r="AO167" s="585"/>
      <c r="AP167" s="585"/>
      <c r="AQ167" s="585"/>
      <c r="AR167" s="585"/>
    </row>
    <row r="168">
      <c r="A168" s="621"/>
      <c r="B168" s="622" t="str">
        <f>IFERROR(__xludf.DUMMYFUNCTION("""COMPUTED_VALUE"""),"Briefing cho Influencer")</f>
        <v>Briefing cho Influencer</v>
      </c>
      <c r="C168" s="623"/>
      <c r="D168" s="602" t="str">
        <f>IFERROR(__xludf.DUMMYFUNCTION("""COMPUTED_VALUE"""),"PMAX")</f>
        <v>PMAX</v>
      </c>
      <c r="E168" s="624" t="str">
        <f>IFERROR(__xludf.DUMMYFUNCTION("""COMPUTED_VALUE"""),"Not start yet")</f>
        <v>Not start yet</v>
      </c>
      <c r="F168" s="604">
        <f>IFERROR(__xludf.DUMMYFUNCTION("""COMPUTED_VALUE"""),46147.0)</f>
        <v>46147</v>
      </c>
      <c r="G168" s="639">
        <f>IFERROR(__xludf.DUMMYFUNCTION("""COMPUTED_VALUE"""),46148.0)</f>
        <v>46148</v>
      </c>
      <c r="H168" s="585"/>
      <c r="I168" s="625"/>
      <c r="J168" s="626" t="s">
        <v>882</v>
      </c>
      <c r="K168" s="585"/>
      <c r="L168" s="585"/>
      <c r="M168" s="585"/>
      <c r="N168" s="585"/>
      <c r="O168" s="585"/>
      <c r="P168" s="585"/>
      <c r="Q168" s="585"/>
      <c r="R168" s="585"/>
      <c r="S168" s="585"/>
      <c r="T168" s="585"/>
      <c r="U168" s="585"/>
      <c r="V168" s="585"/>
      <c r="W168" s="585"/>
      <c r="X168" s="585"/>
      <c r="Y168" s="585"/>
      <c r="Z168" s="585"/>
      <c r="AA168" s="585"/>
      <c r="AB168" s="585"/>
      <c r="AC168" s="585"/>
      <c r="AD168" s="585"/>
      <c r="AE168" s="585"/>
      <c r="AF168" s="585"/>
      <c r="AG168" s="585"/>
      <c r="AH168" s="585"/>
      <c r="AI168" s="585"/>
      <c r="AJ168" s="585"/>
      <c r="AK168" s="585"/>
      <c r="AL168" s="585"/>
      <c r="AM168" s="585"/>
      <c r="AN168" s="585"/>
      <c r="AO168" s="585"/>
      <c r="AP168" s="585"/>
      <c r="AQ168" s="585"/>
      <c r="AR168" s="585"/>
    </row>
    <row r="169">
      <c r="A169" s="621"/>
      <c r="B169" s="627" t="str">
        <f>IFERROR(__xludf.DUMMYFUNCTION("""COMPUTED_VALUE"""),"Script R1 + Outfits")</f>
        <v>Script R1 + Outfits</v>
      </c>
      <c r="C169" s="628"/>
      <c r="D169" s="602" t="str">
        <f>IFERROR(__xludf.DUMMYFUNCTION("""COMPUTED_VALUE"""),"PMAX")</f>
        <v>PMAX</v>
      </c>
      <c r="E169" s="624" t="str">
        <f>IFERROR(__xludf.DUMMYFUNCTION("""COMPUTED_VALUE"""),"Not start yet")</f>
        <v>Not start yet</v>
      </c>
      <c r="F169" s="604">
        <f>IFERROR(__xludf.DUMMYFUNCTION("""COMPUTED_VALUE"""),46148.0)</f>
        <v>46148</v>
      </c>
      <c r="G169" s="639">
        <f>IFERROR(__xludf.DUMMYFUNCTION("""COMPUTED_VALUE"""),46150.0)</f>
        <v>46150</v>
      </c>
      <c r="H169" s="585"/>
      <c r="I169" s="629">
        <v>1.0</v>
      </c>
      <c r="J169" s="630" t="s">
        <v>883</v>
      </c>
      <c r="K169" s="585"/>
      <c r="L169" s="585"/>
      <c r="M169" s="585"/>
      <c r="N169" s="585"/>
      <c r="O169" s="585"/>
      <c r="P169" s="585"/>
      <c r="Q169" s="585"/>
      <c r="R169" s="585"/>
      <c r="S169" s="585"/>
      <c r="T169" s="585"/>
      <c r="U169" s="585"/>
      <c r="V169" s="585"/>
      <c r="W169" s="585"/>
      <c r="X169" s="585"/>
      <c r="Y169" s="585"/>
      <c r="Z169" s="585"/>
      <c r="AA169" s="585"/>
      <c r="AB169" s="585"/>
      <c r="AC169" s="585"/>
      <c r="AD169" s="585"/>
      <c r="AE169" s="585"/>
      <c r="AF169" s="585"/>
      <c r="AG169" s="585"/>
      <c r="AH169" s="585"/>
      <c r="AI169" s="585"/>
      <c r="AJ169" s="585"/>
      <c r="AK169" s="585"/>
      <c r="AL169" s="585"/>
      <c r="AM169" s="585"/>
      <c r="AN169" s="585"/>
      <c r="AO169" s="585"/>
      <c r="AP169" s="585"/>
      <c r="AQ169" s="585"/>
      <c r="AR169" s="585"/>
    </row>
    <row r="170">
      <c r="A170" s="621"/>
      <c r="B170" s="627" t="str">
        <f>IFERROR(__xludf.DUMMYFUNCTION("""COMPUTED_VALUE"""),"Feedback Script R1 + outfits")</f>
        <v>Feedback Script R1 + outfits</v>
      </c>
      <c r="C170" s="628"/>
      <c r="D170" s="602" t="str">
        <f>IFERROR(__xludf.DUMMYFUNCTION("""COMPUTED_VALUE"""),"BRAND")</f>
        <v>BRAND</v>
      </c>
      <c r="E170" s="624" t="str">
        <f>IFERROR(__xludf.DUMMYFUNCTION("""COMPUTED_VALUE"""),"Not start yet")</f>
        <v>Not start yet</v>
      </c>
      <c r="F170" s="604">
        <f>IFERROR(__xludf.DUMMYFUNCTION("""COMPUTED_VALUE"""),46150.0)</f>
        <v>46150</v>
      </c>
      <c r="G170" s="639">
        <f>IFERROR(__xludf.DUMMYFUNCTION("""COMPUTED_VALUE"""),46150.0)</f>
        <v>46150</v>
      </c>
      <c r="H170" s="585"/>
      <c r="I170" s="625"/>
      <c r="J170" s="630" t="s">
        <v>884</v>
      </c>
      <c r="K170" s="585"/>
      <c r="L170" s="585"/>
      <c r="M170" s="585"/>
      <c r="N170" s="585"/>
      <c r="O170" s="585"/>
      <c r="P170" s="585"/>
      <c r="Q170" s="585"/>
      <c r="R170" s="585"/>
      <c r="S170" s="585"/>
      <c r="T170" s="585"/>
      <c r="U170" s="585"/>
      <c r="V170" s="585"/>
      <c r="W170" s="585"/>
      <c r="X170" s="585"/>
      <c r="Y170" s="585"/>
      <c r="Z170" s="585"/>
      <c r="AA170" s="585"/>
      <c r="AB170" s="585"/>
      <c r="AC170" s="585"/>
      <c r="AD170" s="585"/>
      <c r="AE170" s="585"/>
      <c r="AF170" s="585"/>
      <c r="AG170" s="585"/>
      <c r="AH170" s="585"/>
      <c r="AI170" s="585"/>
      <c r="AJ170" s="585"/>
      <c r="AK170" s="585"/>
      <c r="AL170" s="585"/>
      <c r="AM170" s="585"/>
      <c r="AN170" s="585"/>
      <c r="AO170" s="585"/>
      <c r="AP170" s="585"/>
      <c r="AQ170" s="585"/>
      <c r="AR170" s="585"/>
    </row>
    <row r="171">
      <c r="A171" s="621"/>
      <c r="B171" s="631" t="str">
        <f>IFERROR(__xludf.DUMMYFUNCTION("""COMPUTED_VALUE"""),"Script R2")</f>
        <v>Script R2</v>
      </c>
      <c r="C171" s="628"/>
      <c r="D171" s="632" t="str">
        <f>IFERROR(__xludf.DUMMYFUNCTION("""COMPUTED_VALUE"""),"PMAX")</f>
        <v>PMAX</v>
      </c>
      <c r="E171" s="624" t="str">
        <f>IFERROR(__xludf.DUMMYFUNCTION("""COMPUTED_VALUE"""),"Not start yet")</f>
        <v>Not start yet</v>
      </c>
      <c r="F171" s="604">
        <f>IFERROR(__xludf.DUMMYFUNCTION("""COMPUTED_VALUE"""),46151.0)</f>
        <v>46151</v>
      </c>
      <c r="G171" s="639">
        <f>IFERROR(__xludf.DUMMYFUNCTION("""COMPUTED_VALUE"""),46152.0)</f>
        <v>46152</v>
      </c>
      <c r="H171" s="585"/>
      <c r="I171" s="625"/>
      <c r="J171" s="630"/>
      <c r="K171" s="585"/>
      <c r="L171" s="585"/>
      <c r="M171" s="585"/>
      <c r="N171" s="585"/>
      <c r="O171" s="585"/>
      <c r="P171" s="585"/>
      <c r="Q171" s="585"/>
      <c r="R171" s="585"/>
      <c r="S171" s="585"/>
      <c r="T171" s="585"/>
      <c r="U171" s="585"/>
      <c r="V171" s="585"/>
      <c r="W171" s="585"/>
      <c r="X171" s="585"/>
      <c r="Y171" s="585"/>
      <c r="Z171" s="585"/>
      <c r="AA171" s="585"/>
      <c r="AB171" s="585"/>
      <c r="AC171" s="585"/>
      <c r="AD171" s="585"/>
      <c r="AE171" s="585"/>
      <c r="AF171" s="585"/>
      <c r="AG171" s="585"/>
      <c r="AH171" s="585"/>
      <c r="AI171" s="585"/>
      <c r="AJ171" s="585"/>
      <c r="AK171" s="585"/>
      <c r="AL171" s="585"/>
      <c r="AM171" s="585"/>
      <c r="AN171" s="585"/>
      <c r="AO171" s="585"/>
      <c r="AP171" s="585"/>
      <c r="AQ171" s="585"/>
      <c r="AR171" s="585"/>
    </row>
    <row r="172">
      <c r="A172" s="621"/>
      <c r="B172" s="631" t="str">
        <f>IFERROR(__xludf.DUMMYFUNCTION("""COMPUTED_VALUE"""),"Feedback Script R2")</f>
        <v>Feedback Script R2</v>
      </c>
      <c r="C172" s="628"/>
      <c r="D172" s="632" t="str">
        <f>IFERROR(__xludf.DUMMYFUNCTION("""COMPUTED_VALUE"""),"BRAND")</f>
        <v>BRAND</v>
      </c>
      <c r="E172" s="624" t="str">
        <f>IFERROR(__xludf.DUMMYFUNCTION("""COMPUTED_VALUE"""),"Not start yet")</f>
        <v>Not start yet</v>
      </c>
      <c r="F172" s="604">
        <f>IFERROR(__xludf.DUMMYFUNCTION("""COMPUTED_VALUE"""),46153.0)</f>
        <v>46153</v>
      </c>
      <c r="G172" s="639">
        <f>IFERROR(__xludf.DUMMYFUNCTION("""COMPUTED_VALUE"""),46153.0)</f>
        <v>46153</v>
      </c>
      <c r="H172" s="585"/>
      <c r="I172" s="625"/>
      <c r="J172" s="630"/>
      <c r="K172" s="585"/>
      <c r="L172" s="585"/>
      <c r="M172" s="585"/>
      <c r="N172" s="585"/>
      <c r="O172" s="585"/>
      <c r="P172" s="585"/>
      <c r="Q172" s="585"/>
      <c r="R172" s="585"/>
      <c r="S172" s="585"/>
      <c r="T172" s="585"/>
      <c r="U172" s="585"/>
      <c r="V172" s="585"/>
      <c r="W172" s="585"/>
      <c r="X172" s="585"/>
      <c r="Y172" s="585"/>
      <c r="Z172" s="585"/>
      <c r="AA172" s="585"/>
      <c r="AB172" s="585"/>
      <c r="AC172" s="585"/>
      <c r="AD172" s="585"/>
      <c r="AE172" s="585"/>
      <c r="AF172" s="585"/>
      <c r="AG172" s="585"/>
      <c r="AH172" s="585"/>
      <c r="AI172" s="585"/>
      <c r="AJ172" s="585"/>
      <c r="AK172" s="585"/>
      <c r="AL172" s="585"/>
      <c r="AM172" s="585"/>
      <c r="AN172" s="585"/>
      <c r="AO172" s="585"/>
      <c r="AP172" s="585"/>
      <c r="AQ172" s="585"/>
      <c r="AR172" s="585"/>
    </row>
    <row r="173">
      <c r="A173" s="621"/>
      <c r="B173" s="627" t="str">
        <f>IFERROR(__xludf.DUMMYFUNCTION("""COMPUTED_VALUE"""),"Finalize scripts + outfits")</f>
        <v>Finalize scripts + outfits</v>
      </c>
      <c r="C173" s="628"/>
      <c r="D173" s="602" t="str">
        <f>IFERROR(__xludf.DUMMYFUNCTION("""COMPUTED_VALUE"""),"PMAX-BRAND")</f>
        <v>PMAX-BRAND</v>
      </c>
      <c r="E173" s="624" t="str">
        <f>IFERROR(__xludf.DUMMYFUNCTION("""COMPUTED_VALUE"""),"Not start yet")</f>
        <v>Not start yet</v>
      </c>
      <c r="F173" s="604">
        <f>IFERROR(__xludf.DUMMYFUNCTION("""COMPUTED_VALUE"""),46153.0)</f>
        <v>46153</v>
      </c>
      <c r="G173" s="639">
        <f>IFERROR(__xludf.DUMMYFUNCTION("""COMPUTED_VALUE"""),46153.0)</f>
        <v>46153</v>
      </c>
      <c r="H173" s="585"/>
      <c r="I173" s="629">
        <v>1.0</v>
      </c>
      <c r="J173" s="630" t="s">
        <v>885</v>
      </c>
      <c r="K173" s="585"/>
      <c r="L173" s="585"/>
      <c r="M173" s="585"/>
      <c r="N173" s="585"/>
      <c r="O173" s="585"/>
      <c r="P173" s="585"/>
      <c r="Q173" s="585"/>
      <c r="R173" s="585"/>
      <c r="S173" s="585"/>
      <c r="T173" s="585"/>
      <c r="U173" s="585"/>
      <c r="V173" s="585"/>
      <c r="W173" s="585"/>
      <c r="X173" s="585"/>
      <c r="Y173" s="585"/>
      <c r="Z173" s="585"/>
      <c r="AA173" s="585"/>
      <c r="AB173" s="585"/>
      <c r="AC173" s="585"/>
      <c r="AD173" s="585"/>
      <c r="AE173" s="585"/>
      <c r="AF173" s="585"/>
      <c r="AG173" s="585"/>
      <c r="AH173" s="585"/>
      <c r="AI173" s="585"/>
      <c r="AJ173" s="585"/>
      <c r="AK173" s="585"/>
      <c r="AL173" s="585"/>
      <c r="AM173" s="585"/>
      <c r="AN173" s="585"/>
      <c r="AO173" s="585"/>
      <c r="AP173" s="585"/>
      <c r="AQ173" s="585"/>
      <c r="AR173" s="585"/>
    </row>
    <row r="174">
      <c r="A174" s="621"/>
      <c r="B174" s="627" t="str">
        <f>IFERROR(__xludf.DUMMYFUNCTION("""COMPUTED_VALUE"""),"Đi quay tại site")</f>
        <v>Đi quay tại site</v>
      </c>
      <c r="C174" s="628"/>
      <c r="D174" s="602" t="str">
        <f>IFERROR(__xludf.DUMMYFUNCTION("""COMPUTED_VALUE"""),"PMAX")</f>
        <v>PMAX</v>
      </c>
      <c r="E174" s="624" t="str">
        <f>IFERROR(__xludf.DUMMYFUNCTION("""COMPUTED_VALUE"""),"Not start yet")</f>
        <v>Not start yet</v>
      </c>
      <c r="F174" s="604">
        <f>IFERROR(__xludf.DUMMYFUNCTION("""COMPUTED_VALUE"""),46154.0)</f>
        <v>46154</v>
      </c>
      <c r="G174" s="639">
        <f>IFERROR(__xludf.DUMMYFUNCTION("""COMPUTED_VALUE"""),46156.0)</f>
        <v>46156</v>
      </c>
      <c r="H174" s="585"/>
      <c r="I174" s="629">
        <v>2.0</v>
      </c>
      <c r="J174" s="625"/>
      <c r="K174" s="585"/>
      <c r="L174" s="585"/>
      <c r="M174" s="585"/>
      <c r="N174" s="585"/>
      <c r="O174" s="585"/>
      <c r="P174" s="585"/>
      <c r="Q174" s="585"/>
      <c r="R174" s="585"/>
      <c r="S174" s="585"/>
      <c r="T174" s="585"/>
      <c r="U174" s="585"/>
      <c r="V174" s="585"/>
      <c r="W174" s="585"/>
      <c r="X174" s="585"/>
      <c r="Y174" s="585"/>
      <c r="Z174" s="585"/>
      <c r="AA174" s="585"/>
      <c r="AB174" s="585"/>
      <c r="AC174" s="585"/>
      <c r="AD174" s="585"/>
      <c r="AE174" s="585"/>
      <c r="AF174" s="585"/>
      <c r="AG174" s="585"/>
      <c r="AH174" s="585"/>
      <c r="AI174" s="585"/>
      <c r="AJ174" s="585"/>
      <c r="AK174" s="585"/>
      <c r="AL174" s="585"/>
      <c r="AM174" s="585"/>
      <c r="AN174" s="585"/>
      <c r="AO174" s="585"/>
      <c r="AP174" s="585"/>
      <c r="AQ174" s="585"/>
      <c r="AR174" s="585"/>
    </row>
    <row r="175">
      <c r="A175" s="621"/>
      <c r="B175" s="633" t="str">
        <f>IFERROR(__xludf.DUMMYFUNCTION("""COMPUTED_VALUE"""),"Demo R1")</f>
        <v>Demo R1</v>
      </c>
      <c r="C175" s="628"/>
      <c r="D175" s="602" t="str">
        <f>IFERROR(__xludf.DUMMYFUNCTION("""COMPUTED_VALUE"""),"PMAX")</f>
        <v>PMAX</v>
      </c>
      <c r="E175" s="624" t="str">
        <f>IFERROR(__xludf.DUMMYFUNCTION("""COMPUTED_VALUE"""),"Not start yet")</f>
        <v>Not start yet</v>
      </c>
      <c r="F175" s="604">
        <f>IFERROR(__xludf.DUMMYFUNCTION("""COMPUTED_VALUE"""),46156.0)</f>
        <v>46156</v>
      </c>
      <c r="G175" s="639">
        <f>IFERROR(__xludf.DUMMYFUNCTION("""COMPUTED_VALUE"""),46159.0)</f>
        <v>46159</v>
      </c>
      <c r="H175" s="585"/>
      <c r="I175" s="629">
        <v>4.0</v>
      </c>
      <c r="J175" s="630" t="s">
        <v>886</v>
      </c>
      <c r="K175" s="585"/>
      <c r="L175" s="585"/>
      <c r="M175" s="585"/>
      <c r="N175" s="585"/>
      <c r="O175" s="585"/>
      <c r="P175" s="585"/>
      <c r="Q175" s="585"/>
      <c r="R175" s="585"/>
      <c r="S175" s="585"/>
      <c r="T175" s="585"/>
      <c r="U175" s="585"/>
      <c r="V175" s="585"/>
      <c r="W175" s="585"/>
      <c r="X175" s="585"/>
      <c r="Y175" s="585"/>
      <c r="Z175" s="585"/>
      <c r="AA175" s="585"/>
      <c r="AB175" s="585"/>
      <c r="AC175" s="585"/>
      <c r="AD175" s="585"/>
      <c r="AE175" s="585"/>
      <c r="AF175" s="585"/>
      <c r="AG175" s="585"/>
      <c r="AH175" s="585"/>
      <c r="AI175" s="585"/>
      <c r="AJ175" s="585"/>
      <c r="AK175" s="585"/>
      <c r="AL175" s="585"/>
      <c r="AM175" s="585"/>
      <c r="AN175" s="585"/>
      <c r="AO175" s="585"/>
      <c r="AP175" s="585"/>
      <c r="AQ175" s="585"/>
      <c r="AR175" s="585"/>
    </row>
    <row r="176">
      <c r="A176" s="621"/>
      <c r="B176" s="627" t="str">
        <f>IFERROR(__xludf.DUMMYFUNCTION("""COMPUTED_VALUE"""),"Feedback demo R1")</f>
        <v>Feedback demo R1</v>
      </c>
      <c r="C176" s="628"/>
      <c r="D176" s="602" t="str">
        <f>IFERROR(__xludf.DUMMYFUNCTION("""COMPUTED_VALUE"""),"BRAND")</f>
        <v>BRAND</v>
      </c>
      <c r="E176" s="624" t="str">
        <f>IFERROR(__xludf.DUMMYFUNCTION("""COMPUTED_VALUE"""),"Not start yet")</f>
        <v>Not start yet</v>
      </c>
      <c r="F176" s="604">
        <f>IFERROR(__xludf.DUMMYFUNCTION("""COMPUTED_VALUE"""),46160.0)</f>
        <v>46160</v>
      </c>
      <c r="G176" s="639">
        <f>IFERROR(__xludf.DUMMYFUNCTION("""COMPUTED_VALUE"""),46160.0)</f>
        <v>46160</v>
      </c>
      <c r="H176" s="585"/>
      <c r="I176" s="625"/>
      <c r="J176" s="630" t="s">
        <v>887</v>
      </c>
      <c r="K176" s="585"/>
      <c r="L176" s="585"/>
      <c r="M176" s="585"/>
      <c r="N176" s="585"/>
      <c r="O176" s="585"/>
      <c r="P176" s="585"/>
      <c r="Q176" s="585"/>
      <c r="R176" s="585"/>
      <c r="S176" s="585"/>
      <c r="T176" s="585"/>
      <c r="U176" s="585"/>
      <c r="V176" s="585"/>
      <c r="W176" s="585"/>
      <c r="X176" s="585"/>
      <c r="Y176" s="585"/>
      <c r="Z176" s="585"/>
      <c r="AA176" s="585"/>
      <c r="AB176" s="585"/>
      <c r="AC176" s="585"/>
      <c r="AD176" s="585"/>
      <c r="AE176" s="585"/>
      <c r="AF176" s="585"/>
      <c r="AG176" s="585"/>
      <c r="AH176" s="585"/>
      <c r="AI176" s="585"/>
      <c r="AJ176" s="585"/>
      <c r="AK176" s="585"/>
      <c r="AL176" s="585"/>
      <c r="AM176" s="585"/>
      <c r="AN176" s="585"/>
      <c r="AO176" s="585"/>
      <c r="AP176" s="585"/>
      <c r="AQ176" s="585"/>
      <c r="AR176" s="585"/>
    </row>
    <row r="177">
      <c r="A177" s="621"/>
      <c r="B177" s="633" t="str">
        <f>IFERROR(__xludf.DUMMYFUNCTION("""COMPUTED_VALUE"""),"Demo R2")</f>
        <v>Demo R2</v>
      </c>
      <c r="C177" s="628"/>
      <c r="D177" s="602" t="str">
        <f>IFERROR(__xludf.DUMMYFUNCTION("""COMPUTED_VALUE"""),"PMAX")</f>
        <v>PMAX</v>
      </c>
      <c r="E177" s="624" t="str">
        <f>IFERROR(__xludf.DUMMYFUNCTION("""COMPUTED_VALUE"""),"Not start yet")</f>
        <v>Not start yet</v>
      </c>
      <c r="F177" s="604">
        <f>IFERROR(__xludf.DUMMYFUNCTION("""COMPUTED_VALUE"""),46161.0)</f>
        <v>46161</v>
      </c>
      <c r="G177" s="639">
        <f>IFERROR(__xludf.DUMMYFUNCTION("""COMPUTED_VALUE"""),46163.0)</f>
        <v>46163</v>
      </c>
      <c r="H177" s="585"/>
      <c r="I177" s="625"/>
      <c r="J177" s="625"/>
      <c r="K177" s="585"/>
      <c r="L177" s="585"/>
      <c r="M177" s="585"/>
      <c r="N177" s="585"/>
      <c r="O177" s="585"/>
      <c r="P177" s="585"/>
      <c r="Q177" s="585"/>
      <c r="R177" s="585"/>
      <c r="S177" s="585"/>
      <c r="T177" s="585"/>
      <c r="U177" s="585"/>
      <c r="V177" s="585"/>
      <c r="W177" s="585"/>
      <c r="X177" s="585"/>
      <c r="Y177" s="585"/>
      <c r="Z177" s="585"/>
      <c r="AA177" s="585"/>
      <c r="AB177" s="585"/>
      <c r="AC177" s="585"/>
      <c r="AD177" s="585"/>
      <c r="AE177" s="585"/>
      <c r="AF177" s="585"/>
      <c r="AG177" s="585"/>
      <c r="AH177" s="585"/>
      <c r="AI177" s="585"/>
      <c r="AJ177" s="585"/>
      <c r="AK177" s="585"/>
      <c r="AL177" s="585"/>
      <c r="AM177" s="585"/>
      <c r="AN177" s="585"/>
      <c r="AO177" s="585"/>
      <c r="AP177" s="585"/>
      <c r="AQ177" s="585"/>
      <c r="AR177" s="585"/>
    </row>
    <row r="178">
      <c r="A178" s="621"/>
      <c r="B178" s="627" t="str">
        <f>IFERROR(__xludf.DUMMYFUNCTION("""COMPUTED_VALUE"""),"Feedback demo R2")</f>
        <v>Feedback demo R2</v>
      </c>
      <c r="C178" s="628"/>
      <c r="D178" s="602" t="str">
        <f>IFERROR(__xludf.DUMMYFUNCTION("""COMPUTED_VALUE"""),"BRAND")</f>
        <v>BRAND</v>
      </c>
      <c r="E178" s="624" t="str">
        <f>IFERROR(__xludf.DUMMYFUNCTION("""COMPUTED_VALUE"""),"Not start yet")</f>
        <v>Not start yet</v>
      </c>
      <c r="F178" s="604">
        <f>IFERROR(__xludf.DUMMYFUNCTION("""COMPUTED_VALUE"""),46164.0)</f>
        <v>46164</v>
      </c>
      <c r="G178" s="639">
        <f>IFERROR(__xludf.DUMMYFUNCTION("""COMPUTED_VALUE"""),46164.0)</f>
        <v>46164</v>
      </c>
      <c r="H178" s="585"/>
      <c r="I178" s="625"/>
      <c r="J178" s="625"/>
      <c r="K178" s="585"/>
      <c r="L178" s="585"/>
      <c r="M178" s="585"/>
      <c r="N178" s="585"/>
      <c r="O178" s="585"/>
      <c r="P178" s="585"/>
      <c r="Q178" s="585"/>
      <c r="R178" s="585"/>
      <c r="S178" s="585"/>
      <c r="T178" s="585"/>
      <c r="U178" s="585"/>
      <c r="V178" s="585"/>
      <c r="W178" s="585"/>
      <c r="X178" s="585"/>
      <c r="Y178" s="585"/>
      <c r="Z178" s="585"/>
      <c r="AA178" s="585"/>
      <c r="AB178" s="585"/>
      <c r="AC178" s="585"/>
      <c r="AD178" s="585"/>
      <c r="AE178" s="585"/>
      <c r="AF178" s="585"/>
      <c r="AG178" s="585"/>
      <c r="AH178" s="585"/>
      <c r="AI178" s="585"/>
      <c r="AJ178" s="585"/>
      <c r="AK178" s="585"/>
      <c r="AL178" s="585"/>
      <c r="AM178" s="585"/>
      <c r="AN178" s="585"/>
      <c r="AO178" s="585"/>
      <c r="AP178" s="585"/>
      <c r="AQ178" s="585"/>
      <c r="AR178" s="585"/>
    </row>
    <row r="179">
      <c r="A179" s="621"/>
      <c r="B179" s="627" t="str">
        <f>IFERROR(__xludf.DUMMYFUNCTION("""COMPUTED_VALUE"""),"Finalize demo")</f>
        <v>Finalize demo</v>
      </c>
      <c r="C179" s="628"/>
      <c r="D179" s="602" t="str">
        <f>IFERROR(__xludf.DUMMYFUNCTION("""COMPUTED_VALUE"""),"PMAX")</f>
        <v>PMAX</v>
      </c>
      <c r="E179" s="624" t="str">
        <f>IFERROR(__xludf.DUMMYFUNCTION("""COMPUTED_VALUE"""),"Not start yet")</f>
        <v>Not start yet</v>
      </c>
      <c r="F179" s="604">
        <f>IFERROR(__xludf.DUMMYFUNCTION("""COMPUTED_VALUE"""),46164.0)</f>
        <v>46164</v>
      </c>
      <c r="G179" s="639">
        <f>IFERROR(__xludf.DUMMYFUNCTION("""COMPUTED_VALUE"""),46164.0)</f>
        <v>46164</v>
      </c>
      <c r="H179" s="585"/>
      <c r="I179" s="629">
        <v>1.0</v>
      </c>
      <c r="J179" s="630" t="s">
        <v>888</v>
      </c>
      <c r="K179" s="585"/>
      <c r="L179" s="585"/>
      <c r="M179" s="585"/>
      <c r="N179" s="585"/>
      <c r="O179" s="585"/>
      <c r="P179" s="585"/>
      <c r="Q179" s="585"/>
      <c r="R179" s="585"/>
      <c r="S179" s="585"/>
      <c r="T179" s="585"/>
      <c r="U179" s="585"/>
      <c r="V179" s="585"/>
      <c r="W179" s="585"/>
      <c r="X179" s="585"/>
      <c r="Y179" s="585"/>
      <c r="Z179" s="585"/>
      <c r="AA179" s="585"/>
      <c r="AB179" s="585"/>
      <c r="AC179" s="585"/>
      <c r="AD179" s="585"/>
      <c r="AE179" s="585"/>
      <c r="AF179" s="585"/>
      <c r="AG179" s="585"/>
      <c r="AH179" s="585"/>
      <c r="AI179" s="585"/>
      <c r="AJ179" s="585"/>
      <c r="AK179" s="585"/>
      <c r="AL179" s="585"/>
      <c r="AM179" s="585"/>
      <c r="AN179" s="585"/>
      <c r="AO179" s="585"/>
      <c r="AP179" s="585"/>
      <c r="AQ179" s="585"/>
      <c r="AR179" s="585"/>
    </row>
    <row r="180">
      <c r="A180" s="621"/>
      <c r="B180" s="634" t="str">
        <f>IFERROR(__xludf.DUMMYFUNCTION("""COMPUTED_VALUE"""),"Air")</f>
        <v>Air</v>
      </c>
      <c r="C180" s="26"/>
      <c r="D180" s="602" t="str">
        <f>IFERROR(__xludf.DUMMYFUNCTION("""COMPUTED_VALUE"""),"PMAX")</f>
        <v>PMAX</v>
      </c>
      <c r="E180" s="624" t="str">
        <f>IFERROR(__xludf.DUMMYFUNCTION("""COMPUTED_VALUE"""),"Not start yet")</f>
        <v>Not start yet</v>
      </c>
      <c r="F180" s="604" t="str">
        <f>IFERROR(__xludf.DUMMYFUNCTION("""COMPUTED_VALUE"""),"TBU")</f>
        <v>TBU</v>
      </c>
      <c r="G180" s="639" t="str">
        <f>IFERROR(__xludf.DUMMYFUNCTION("""COMPUTED_VALUE"""),"TBU")</f>
        <v>TBU</v>
      </c>
      <c r="H180" s="585"/>
      <c r="I180" s="636">
        <v>1.0</v>
      </c>
      <c r="J180" s="585"/>
      <c r="K180" s="585"/>
      <c r="L180" s="585"/>
      <c r="M180" s="585"/>
      <c r="N180" s="585"/>
      <c r="O180" s="585"/>
      <c r="P180" s="585"/>
      <c r="Q180" s="585"/>
      <c r="R180" s="585"/>
      <c r="S180" s="585"/>
      <c r="T180" s="585"/>
      <c r="U180" s="585"/>
      <c r="V180" s="585"/>
      <c r="W180" s="585"/>
      <c r="X180" s="585"/>
      <c r="Y180" s="585"/>
      <c r="Z180" s="585"/>
      <c r="AA180" s="585"/>
      <c r="AB180" s="585"/>
      <c r="AC180" s="585"/>
      <c r="AD180" s="585"/>
      <c r="AE180" s="585"/>
      <c r="AF180" s="585"/>
      <c r="AG180" s="585"/>
      <c r="AH180" s="585"/>
      <c r="AI180" s="585"/>
      <c r="AJ180" s="585"/>
      <c r="AK180" s="585"/>
      <c r="AL180" s="585"/>
      <c r="AM180" s="585"/>
      <c r="AN180" s="585"/>
      <c r="AO180" s="585"/>
      <c r="AP180" s="585"/>
      <c r="AQ180" s="585"/>
      <c r="AR180" s="585"/>
    </row>
    <row r="181">
      <c r="A181" s="637">
        <f>IFERROR(__xludf.DUMMYFUNCTION("""COMPUTED_VALUE"""),12.0)</f>
        <v>12</v>
      </c>
      <c r="B181" s="616" t="str">
        <f>IFERROR(__xludf.DUMMYFUNCTION("""COMPUTED_VALUE"""),"🍊𝐕 𝐈 𝐓 𝐀 𝐌 𝐈 𝐍 𝐂🍊")</f>
        <v>🍊𝐕 𝐈 𝐓 𝐀 𝐌 𝐈 𝐍 𝐂🍊</v>
      </c>
      <c r="C181" s="617"/>
      <c r="D181" s="618"/>
      <c r="E181" s="619"/>
      <c r="F181" s="619"/>
      <c r="G181" s="619"/>
      <c r="H181" s="585"/>
      <c r="I181" s="585"/>
      <c r="J181" s="585"/>
      <c r="K181" s="585"/>
      <c r="L181" s="585"/>
      <c r="M181" s="585"/>
      <c r="N181" s="585"/>
      <c r="O181" s="585"/>
      <c r="P181" s="585"/>
      <c r="Q181" s="585"/>
      <c r="R181" s="585"/>
      <c r="S181" s="585"/>
      <c r="T181" s="585"/>
      <c r="U181" s="585"/>
      <c r="V181" s="585"/>
      <c r="W181" s="585"/>
      <c r="X181" s="585"/>
      <c r="Y181" s="585"/>
      <c r="Z181" s="585"/>
      <c r="AA181" s="585"/>
      <c r="AB181" s="585"/>
      <c r="AC181" s="585"/>
      <c r="AD181" s="585"/>
      <c r="AE181" s="585"/>
      <c r="AF181" s="585"/>
      <c r="AG181" s="585"/>
      <c r="AH181" s="585"/>
      <c r="AI181" s="585"/>
      <c r="AJ181" s="585"/>
      <c r="AK181" s="585"/>
      <c r="AL181" s="585"/>
      <c r="AM181" s="585"/>
      <c r="AN181" s="585"/>
      <c r="AO181" s="585"/>
      <c r="AP181" s="585"/>
      <c r="AQ181" s="585"/>
      <c r="AR181" s="585"/>
    </row>
    <row r="182">
      <c r="A182" s="621"/>
      <c r="B182" s="622" t="str">
        <f>IFERROR(__xludf.DUMMYFUNCTION("""COMPUTED_VALUE"""),"Briefing cho Influencer")</f>
        <v>Briefing cho Influencer</v>
      </c>
      <c r="C182" s="623"/>
      <c r="D182" s="602" t="str">
        <f>IFERROR(__xludf.DUMMYFUNCTION("""COMPUTED_VALUE"""),"PMAX")</f>
        <v>PMAX</v>
      </c>
      <c r="E182" s="624" t="str">
        <f>IFERROR(__xludf.DUMMYFUNCTION("""COMPUTED_VALUE"""),"Not start yet")</f>
        <v>Not start yet</v>
      </c>
      <c r="F182" s="604">
        <f>IFERROR(__xludf.DUMMYFUNCTION("""COMPUTED_VALUE"""),46147.0)</f>
        <v>46147</v>
      </c>
      <c r="G182" s="639">
        <f>IFERROR(__xludf.DUMMYFUNCTION("""COMPUTED_VALUE"""),46148.0)</f>
        <v>46148</v>
      </c>
      <c r="H182" s="585"/>
      <c r="I182" s="625"/>
      <c r="J182" s="626" t="s">
        <v>882</v>
      </c>
      <c r="K182" s="585"/>
      <c r="L182" s="585"/>
      <c r="M182" s="585"/>
      <c r="N182" s="585"/>
      <c r="O182" s="585"/>
      <c r="P182" s="585"/>
      <c r="Q182" s="585"/>
      <c r="R182" s="585"/>
      <c r="S182" s="585"/>
      <c r="T182" s="585"/>
      <c r="U182" s="585"/>
      <c r="V182" s="585"/>
      <c r="W182" s="585"/>
      <c r="X182" s="585"/>
      <c r="Y182" s="585"/>
      <c r="Z182" s="585"/>
      <c r="AA182" s="585"/>
      <c r="AB182" s="585"/>
      <c r="AC182" s="585"/>
      <c r="AD182" s="585"/>
      <c r="AE182" s="585"/>
      <c r="AF182" s="585"/>
      <c r="AG182" s="585"/>
      <c r="AH182" s="585"/>
      <c r="AI182" s="585"/>
      <c r="AJ182" s="585"/>
      <c r="AK182" s="585"/>
      <c r="AL182" s="585"/>
      <c r="AM182" s="585"/>
      <c r="AN182" s="585"/>
      <c r="AO182" s="585"/>
      <c r="AP182" s="585"/>
      <c r="AQ182" s="585"/>
      <c r="AR182" s="585"/>
    </row>
    <row r="183">
      <c r="A183" s="621"/>
      <c r="B183" s="627" t="str">
        <f>IFERROR(__xludf.DUMMYFUNCTION("""COMPUTED_VALUE"""),"Script R1 + Outfits")</f>
        <v>Script R1 + Outfits</v>
      </c>
      <c r="C183" s="628"/>
      <c r="D183" s="602" t="str">
        <f>IFERROR(__xludf.DUMMYFUNCTION("""COMPUTED_VALUE"""),"PMAX")</f>
        <v>PMAX</v>
      </c>
      <c r="E183" s="624" t="str">
        <f>IFERROR(__xludf.DUMMYFUNCTION("""COMPUTED_VALUE"""),"Not start yet")</f>
        <v>Not start yet</v>
      </c>
      <c r="F183" s="604">
        <f>IFERROR(__xludf.DUMMYFUNCTION("""COMPUTED_VALUE"""),46148.0)</f>
        <v>46148</v>
      </c>
      <c r="G183" s="639">
        <f>IFERROR(__xludf.DUMMYFUNCTION("""COMPUTED_VALUE"""),46150.0)</f>
        <v>46150</v>
      </c>
      <c r="H183" s="585"/>
      <c r="I183" s="629">
        <v>1.0</v>
      </c>
      <c r="J183" s="630" t="s">
        <v>883</v>
      </c>
      <c r="K183" s="585"/>
      <c r="L183" s="585"/>
      <c r="M183" s="585"/>
      <c r="N183" s="585"/>
      <c r="O183" s="585"/>
      <c r="P183" s="585"/>
      <c r="Q183" s="585"/>
      <c r="R183" s="585"/>
      <c r="S183" s="585"/>
      <c r="T183" s="585"/>
      <c r="U183" s="585"/>
      <c r="V183" s="585"/>
      <c r="W183" s="585"/>
      <c r="X183" s="585"/>
      <c r="Y183" s="585"/>
      <c r="Z183" s="585"/>
      <c r="AA183" s="585"/>
      <c r="AB183" s="585"/>
      <c r="AC183" s="585"/>
      <c r="AD183" s="585"/>
      <c r="AE183" s="585"/>
      <c r="AF183" s="585"/>
      <c r="AG183" s="585"/>
      <c r="AH183" s="585"/>
      <c r="AI183" s="585"/>
      <c r="AJ183" s="585"/>
      <c r="AK183" s="585"/>
      <c r="AL183" s="585"/>
      <c r="AM183" s="585"/>
      <c r="AN183" s="585"/>
      <c r="AO183" s="585"/>
      <c r="AP183" s="585"/>
      <c r="AQ183" s="585"/>
      <c r="AR183" s="585"/>
    </row>
    <row r="184">
      <c r="A184" s="621"/>
      <c r="B184" s="627" t="str">
        <f>IFERROR(__xludf.DUMMYFUNCTION("""COMPUTED_VALUE"""),"Feedback Script R1 + outfits")</f>
        <v>Feedback Script R1 + outfits</v>
      </c>
      <c r="C184" s="628"/>
      <c r="D184" s="602" t="str">
        <f>IFERROR(__xludf.DUMMYFUNCTION("""COMPUTED_VALUE"""),"BRAND")</f>
        <v>BRAND</v>
      </c>
      <c r="E184" s="624" t="str">
        <f>IFERROR(__xludf.DUMMYFUNCTION("""COMPUTED_VALUE"""),"Not start yet")</f>
        <v>Not start yet</v>
      </c>
      <c r="F184" s="604">
        <f>IFERROR(__xludf.DUMMYFUNCTION("""COMPUTED_VALUE"""),46150.0)</f>
        <v>46150</v>
      </c>
      <c r="G184" s="639">
        <f>IFERROR(__xludf.DUMMYFUNCTION("""COMPUTED_VALUE"""),46150.0)</f>
        <v>46150</v>
      </c>
      <c r="H184" s="585"/>
      <c r="I184" s="625"/>
      <c r="J184" s="630" t="s">
        <v>884</v>
      </c>
      <c r="K184" s="585"/>
      <c r="L184" s="585"/>
      <c r="M184" s="585"/>
      <c r="N184" s="585"/>
      <c r="O184" s="585"/>
      <c r="P184" s="585"/>
      <c r="Q184" s="585"/>
      <c r="R184" s="585"/>
      <c r="S184" s="585"/>
      <c r="T184" s="585"/>
      <c r="U184" s="585"/>
      <c r="V184" s="585"/>
      <c r="W184" s="585"/>
      <c r="X184" s="585"/>
      <c r="Y184" s="585"/>
      <c r="Z184" s="585"/>
      <c r="AA184" s="585"/>
      <c r="AB184" s="585"/>
      <c r="AC184" s="585"/>
      <c r="AD184" s="585"/>
      <c r="AE184" s="585"/>
      <c r="AF184" s="585"/>
      <c r="AG184" s="585"/>
      <c r="AH184" s="585"/>
      <c r="AI184" s="585"/>
      <c r="AJ184" s="585"/>
      <c r="AK184" s="585"/>
      <c r="AL184" s="585"/>
      <c r="AM184" s="585"/>
      <c r="AN184" s="585"/>
      <c r="AO184" s="585"/>
      <c r="AP184" s="585"/>
      <c r="AQ184" s="585"/>
      <c r="AR184" s="585"/>
    </row>
    <row r="185">
      <c r="A185" s="621"/>
      <c r="B185" s="631" t="str">
        <f>IFERROR(__xludf.DUMMYFUNCTION("""COMPUTED_VALUE"""),"Script R2")</f>
        <v>Script R2</v>
      </c>
      <c r="C185" s="628"/>
      <c r="D185" s="632" t="str">
        <f>IFERROR(__xludf.DUMMYFUNCTION("""COMPUTED_VALUE"""),"PMAX")</f>
        <v>PMAX</v>
      </c>
      <c r="E185" s="624" t="str">
        <f>IFERROR(__xludf.DUMMYFUNCTION("""COMPUTED_VALUE"""),"Not start yet")</f>
        <v>Not start yet</v>
      </c>
      <c r="F185" s="604">
        <f>IFERROR(__xludf.DUMMYFUNCTION("""COMPUTED_VALUE"""),46151.0)</f>
        <v>46151</v>
      </c>
      <c r="G185" s="639">
        <f>IFERROR(__xludf.DUMMYFUNCTION("""COMPUTED_VALUE"""),46152.0)</f>
        <v>46152</v>
      </c>
      <c r="H185" s="585"/>
      <c r="I185" s="625"/>
      <c r="J185" s="630"/>
      <c r="K185" s="585"/>
      <c r="L185" s="585"/>
      <c r="M185" s="585"/>
      <c r="N185" s="585"/>
      <c r="O185" s="585"/>
      <c r="P185" s="585"/>
      <c r="Q185" s="585"/>
      <c r="R185" s="585"/>
      <c r="S185" s="585"/>
      <c r="T185" s="585"/>
      <c r="U185" s="585"/>
      <c r="V185" s="585"/>
      <c r="W185" s="585"/>
      <c r="X185" s="585"/>
      <c r="Y185" s="585"/>
      <c r="Z185" s="585"/>
      <c r="AA185" s="585"/>
      <c r="AB185" s="585"/>
      <c r="AC185" s="585"/>
      <c r="AD185" s="585"/>
      <c r="AE185" s="585"/>
      <c r="AF185" s="585"/>
      <c r="AG185" s="585"/>
      <c r="AH185" s="585"/>
      <c r="AI185" s="585"/>
      <c r="AJ185" s="585"/>
      <c r="AK185" s="585"/>
      <c r="AL185" s="585"/>
      <c r="AM185" s="585"/>
      <c r="AN185" s="585"/>
      <c r="AO185" s="585"/>
      <c r="AP185" s="585"/>
      <c r="AQ185" s="585"/>
      <c r="AR185" s="585"/>
    </row>
    <row r="186">
      <c r="A186" s="621"/>
      <c r="B186" s="631" t="str">
        <f>IFERROR(__xludf.DUMMYFUNCTION("""COMPUTED_VALUE"""),"Feedback Script R2")</f>
        <v>Feedback Script R2</v>
      </c>
      <c r="C186" s="628"/>
      <c r="D186" s="632" t="str">
        <f>IFERROR(__xludf.DUMMYFUNCTION("""COMPUTED_VALUE"""),"BRAND")</f>
        <v>BRAND</v>
      </c>
      <c r="E186" s="624" t="str">
        <f>IFERROR(__xludf.DUMMYFUNCTION("""COMPUTED_VALUE"""),"Not start yet")</f>
        <v>Not start yet</v>
      </c>
      <c r="F186" s="604">
        <f>IFERROR(__xludf.DUMMYFUNCTION("""COMPUTED_VALUE"""),46153.0)</f>
        <v>46153</v>
      </c>
      <c r="G186" s="639">
        <f>IFERROR(__xludf.DUMMYFUNCTION("""COMPUTED_VALUE"""),46153.0)</f>
        <v>46153</v>
      </c>
      <c r="H186" s="585"/>
      <c r="I186" s="625"/>
      <c r="J186" s="630"/>
      <c r="K186" s="585"/>
      <c r="L186" s="585"/>
      <c r="M186" s="585"/>
      <c r="N186" s="585"/>
      <c r="O186" s="585"/>
      <c r="P186" s="585"/>
      <c r="Q186" s="585"/>
      <c r="R186" s="585"/>
      <c r="S186" s="585"/>
      <c r="T186" s="585"/>
      <c r="U186" s="585"/>
      <c r="V186" s="585"/>
      <c r="W186" s="585"/>
      <c r="X186" s="585"/>
      <c r="Y186" s="585"/>
      <c r="Z186" s="585"/>
      <c r="AA186" s="585"/>
      <c r="AB186" s="585"/>
      <c r="AC186" s="585"/>
      <c r="AD186" s="585"/>
      <c r="AE186" s="585"/>
      <c r="AF186" s="585"/>
      <c r="AG186" s="585"/>
      <c r="AH186" s="585"/>
      <c r="AI186" s="585"/>
      <c r="AJ186" s="585"/>
      <c r="AK186" s="585"/>
      <c r="AL186" s="585"/>
      <c r="AM186" s="585"/>
      <c r="AN186" s="585"/>
      <c r="AO186" s="585"/>
      <c r="AP186" s="585"/>
      <c r="AQ186" s="585"/>
      <c r="AR186" s="585"/>
    </row>
    <row r="187">
      <c r="A187" s="621"/>
      <c r="B187" s="627" t="str">
        <f>IFERROR(__xludf.DUMMYFUNCTION("""COMPUTED_VALUE"""),"Finalize scripts + outfits")</f>
        <v>Finalize scripts + outfits</v>
      </c>
      <c r="C187" s="628"/>
      <c r="D187" s="602" t="str">
        <f>IFERROR(__xludf.DUMMYFUNCTION("""COMPUTED_VALUE"""),"PMAX-BRAND")</f>
        <v>PMAX-BRAND</v>
      </c>
      <c r="E187" s="624" t="str">
        <f>IFERROR(__xludf.DUMMYFUNCTION("""COMPUTED_VALUE"""),"Not start yet")</f>
        <v>Not start yet</v>
      </c>
      <c r="F187" s="604">
        <f>IFERROR(__xludf.DUMMYFUNCTION("""COMPUTED_VALUE"""),46153.0)</f>
        <v>46153</v>
      </c>
      <c r="G187" s="639">
        <f>IFERROR(__xludf.DUMMYFUNCTION("""COMPUTED_VALUE"""),46153.0)</f>
        <v>46153</v>
      </c>
      <c r="H187" s="585"/>
      <c r="I187" s="629">
        <v>1.0</v>
      </c>
      <c r="J187" s="630" t="s">
        <v>885</v>
      </c>
      <c r="K187" s="585"/>
      <c r="L187" s="585"/>
      <c r="M187" s="585"/>
      <c r="N187" s="585"/>
      <c r="O187" s="585"/>
      <c r="P187" s="585"/>
      <c r="Q187" s="585"/>
      <c r="R187" s="585"/>
      <c r="S187" s="585"/>
      <c r="T187" s="585"/>
      <c r="U187" s="585"/>
      <c r="V187" s="585"/>
      <c r="W187" s="585"/>
      <c r="X187" s="585"/>
      <c r="Y187" s="585"/>
      <c r="Z187" s="585"/>
      <c r="AA187" s="585"/>
      <c r="AB187" s="585"/>
      <c r="AC187" s="585"/>
      <c r="AD187" s="585"/>
      <c r="AE187" s="585"/>
      <c r="AF187" s="585"/>
      <c r="AG187" s="585"/>
      <c r="AH187" s="585"/>
      <c r="AI187" s="585"/>
      <c r="AJ187" s="585"/>
      <c r="AK187" s="585"/>
      <c r="AL187" s="585"/>
      <c r="AM187" s="585"/>
      <c r="AN187" s="585"/>
      <c r="AO187" s="585"/>
      <c r="AP187" s="585"/>
      <c r="AQ187" s="585"/>
      <c r="AR187" s="585"/>
    </row>
    <row r="188">
      <c r="A188" s="621"/>
      <c r="B188" s="627" t="str">
        <f>IFERROR(__xludf.DUMMYFUNCTION("""COMPUTED_VALUE"""),"Đi quay tại site")</f>
        <v>Đi quay tại site</v>
      </c>
      <c r="C188" s="628"/>
      <c r="D188" s="602" t="str">
        <f>IFERROR(__xludf.DUMMYFUNCTION("""COMPUTED_VALUE"""),"PMAX")</f>
        <v>PMAX</v>
      </c>
      <c r="E188" s="624" t="str">
        <f>IFERROR(__xludf.DUMMYFUNCTION("""COMPUTED_VALUE"""),"Not start yet")</f>
        <v>Not start yet</v>
      </c>
      <c r="F188" s="604">
        <f>IFERROR(__xludf.DUMMYFUNCTION("""COMPUTED_VALUE"""),46154.0)</f>
        <v>46154</v>
      </c>
      <c r="G188" s="639">
        <f>IFERROR(__xludf.DUMMYFUNCTION("""COMPUTED_VALUE"""),46156.0)</f>
        <v>46156</v>
      </c>
      <c r="H188" s="585"/>
      <c r="I188" s="629">
        <v>2.0</v>
      </c>
      <c r="J188" s="625"/>
      <c r="K188" s="585"/>
      <c r="L188" s="585"/>
      <c r="M188" s="585"/>
      <c r="N188" s="585"/>
      <c r="O188" s="585"/>
      <c r="P188" s="585"/>
      <c r="Q188" s="585"/>
      <c r="R188" s="585"/>
      <c r="S188" s="585"/>
      <c r="T188" s="585"/>
      <c r="U188" s="585"/>
      <c r="V188" s="585"/>
      <c r="W188" s="585"/>
      <c r="X188" s="585"/>
      <c r="Y188" s="585"/>
      <c r="Z188" s="585"/>
      <c r="AA188" s="585"/>
      <c r="AB188" s="585"/>
      <c r="AC188" s="585"/>
      <c r="AD188" s="585"/>
      <c r="AE188" s="585"/>
      <c r="AF188" s="585"/>
      <c r="AG188" s="585"/>
      <c r="AH188" s="585"/>
      <c r="AI188" s="585"/>
      <c r="AJ188" s="585"/>
      <c r="AK188" s="585"/>
      <c r="AL188" s="585"/>
      <c r="AM188" s="585"/>
      <c r="AN188" s="585"/>
      <c r="AO188" s="585"/>
      <c r="AP188" s="585"/>
      <c r="AQ188" s="585"/>
      <c r="AR188" s="585"/>
    </row>
    <row r="189">
      <c r="A189" s="621"/>
      <c r="B189" s="633" t="str">
        <f>IFERROR(__xludf.DUMMYFUNCTION("""COMPUTED_VALUE"""),"Demo R1")</f>
        <v>Demo R1</v>
      </c>
      <c r="C189" s="628"/>
      <c r="D189" s="602" t="str">
        <f>IFERROR(__xludf.DUMMYFUNCTION("""COMPUTED_VALUE"""),"PMAX")</f>
        <v>PMAX</v>
      </c>
      <c r="E189" s="624" t="str">
        <f>IFERROR(__xludf.DUMMYFUNCTION("""COMPUTED_VALUE"""),"Not start yet")</f>
        <v>Not start yet</v>
      </c>
      <c r="F189" s="604">
        <f>IFERROR(__xludf.DUMMYFUNCTION("""COMPUTED_VALUE"""),46156.0)</f>
        <v>46156</v>
      </c>
      <c r="G189" s="639">
        <f>IFERROR(__xludf.DUMMYFUNCTION("""COMPUTED_VALUE"""),46159.0)</f>
        <v>46159</v>
      </c>
      <c r="H189" s="585"/>
      <c r="I189" s="629">
        <v>4.0</v>
      </c>
      <c r="J189" s="630" t="s">
        <v>886</v>
      </c>
      <c r="K189" s="585"/>
      <c r="L189" s="585"/>
      <c r="M189" s="585"/>
      <c r="N189" s="585"/>
      <c r="O189" s="585"/>
      <c r="P189" s="585"/>
      <c r="Q189" s="585"/>
      <c r="R189" s="585"/>
      <c r="S189" s="585"/>
      <c r="T189" s="585"/>
      <c r="U189" s="585"/>
      <c r="V189" s="585"/>
      <c r="W189" s="585"/>
      <c r="X189" s="585"/>
      <c r="Y189" s="585"/>
      <c r="Z189" s="585"/>
      <c r="AA189" s="585"/>
      <c r="AB189" s="585"/>
      <c r="AC189" s="585"/>
      <c r="AD189" s="585"/>
      <c r="AE189" s="585"/>
      <c r="AF189" s="585"/>
      <c r="AG189" s="585"/>
      <c r="AH189" s="585"/>
      <c r="AI189" s="585"/>
      <c r="AJ189" s="585"/>
      <c r="AK189" s="585"/>
      <c r="AL189" s="585"/>
      <c r="AM189" s="585"/>
      <c r="AN189" s="585"/>
      <c r="AO189" s="585"/>
      <c r="AP189" s="585"/>
      <c r="AQ189" s="585"/>
      <c r="AR189" s="585"/>
    </row>
    <row r="190">
      <c r="A190" s="621"/>
      <c r="B190" s="627" t="str">
        <f>IFERROR(__xludf.DUMMYFUNCTION("""COMPUTED_VALUE"""),"Feedback demo R1")</f>
        <v>Feedback demo R1</v>
      </c>
      <c r="C190" s="628"/>
      <c r="D190" s="602" t="str">
        <f>IFERROR(__xludf.DUMMYFUNCTION("""COMPUTED_VALUE"""),"BRAND")</f>
        <v>BRAND</v>
      </c>
      <c r="E190" s="624" t="str">
        <f>IFERROR(__xludf.DUMMYFUNCTION("""COMPUTED_VALUE"""),"Not start yet")</f>
        <v>Not start yet</v>
      </c>
      <c r="F190" s="604">
        <f>IFERROR(__xludf.DUMMYFUNCTION("""COMPUTED_VALUE"""),46160.0)</f>
        <v>46160</v>
      </c>
      <c r="G190" s="639">
        <f>IFERROR(__xludf.DUMMYFUNCTION("""COMPUTED_VALUE"""),46160.0)</f>
        <v>46160</v>
      </c>
      <c r="H190" s="585"/>
      <c r="I190" s="625"/>
      <c r="J190" s="630" t="s">
        <v>887</v>
      </c>
      <c r="K190" s="585"/>
      <c r="L190" s="585"/>
      <c r="M190" s="585"/>
      <c r="N190" s="585"/>
      <c r="O190" s="585"/>
      <c r="P190" s="585"/>
      <c r="Q190" s="585"/>
      <c r="R190" s="585"/>
      <c r="S190" s="585"/>
      <c r="T190" s="585"/>
      <c r="U190" s="585"/>
      <c r="V190" s="585"/>
      <c r="W190" s="585"/>
      <c r="X190" s="585"/>
      <c r="Y190" s="585"/>
      <c r="Z190" s="585"/>
      <c r="AA190" s="585"/>
      <c r="AB190" s="585"/>
      <c r="AC190" s="585"/>
      <c r="AD190" s="585"/>
      <c r="AE190" s="585"/>
      <c r="AF190" s="585"/>
      <c r="AG190" s="585"/>
      <c r="AH190" s="585"/>
      <c r="AI190" s="585"/>
      <c r="AJ190" s="585"/>
      <c r="AK190" s="585"/>
      <c r="AL190" s="585"/>
      <c r="AM190" s="585"/>
      <c r="AN190" s="585"/>
      <c r="AO190" s="585"/>
      <c r="AP190" s="585"/>
      <c r="AQ190" s="585"/>
      <c r="AR190" s="585"/>
    </row>
    <row r="191">
      <c r="A191" s="621"/>
      <c r="B191" s="633" t="str">
        <f>IFERROR(__xludf.DUMMYFUNCTION("""COMPUTED_VALUE"""),"Demo R2")</f>
        <v>Demo R2</v>
      </c>
      <c r="C191" s="628"/>
      <c r="D191" s="602" t="str">
        <f>IFERROR(__xludf.DUMMYFUNCTION("""COMPUTED_VALUE"""),"PMAX")</f>
        <v>PMAX</v>
      </c>
      <c r="E191" s="624" t="str">
        <f>IFERROR(__xludf.DUMMYFUNCTION("""COMPUTED_VALUE"""),"Not start yet")</f>
        <v>Not start yet</v>
      </c>
      <c r="F191" s="604">
        <f>IFERROR(__xludf.DUMMYFUNCTION("""COMPUTED_VALUE"""),46161.0)</f>
        <v>46161</v>
      </c>
      <c r="G191" s="639">
        <f>IFERROR(__xludf.DUMMYFUNCTION("""COMPUTED_VALUE"""),46163.0)</f>
        <v>46163</v>
      </c>
      <c r="H191" s="585"/>
      <c r="I191" s="625"/>
      <c r="J191" s="625"/>
      <c r="K191" s="585"/>
      <c r="L191" s="585"/>
      <c r="M191" s="585"/>
      <c r="N191" s="585"/>
      <c r="O191" s="585"/>
      <c r="P191" s="585"/>
      <c r="Q191" s="585"/>
      <c r="R191" s="585"/>
      <c r="S191" s="585"/>
      <c r="T191" s="585"/>
      <c r="U191" s="585"/>
      <c r="V191" s="585"/>
      <c r="W191" s="585"/>
      <c r="X191" s="585"/>
      <c r="Y191" s="585"/>
      <c r="Z191" s="585"/>
      <c r="AA191" s="585"/>
      <c r="AB191" s="585"/>
      <c r="AC191" s="585"/>
      <c r="AD191" s="585"/>
      <c r="AE191" s="585"/>
      <c r="AF191" s="585"/>
      <c r="AG191" s="585"/>
      <c r="AH191" s="585"/>
      <c r="AI191" s="585"/>
      <c r="AJ191" s="585"/>
      <c r="AK191" s="585"/>
      <c r="AL191" s="585"/>
      <c r="AM191" s="585"/>
      <c r="AN191" s="585"/>
      <c r="AO191" s="585"/>
      <c r="AP191" s="585"/>
      <c r="AQ191" s="585"/>
      <c r="AR191" s="585"/>
    </row>
    <row r="192">
      <c r="A192" s="621"/>
      <c r="B192" s="627" t="str">
        <f>IFERROR(__xludf.DUMMYFUNCTION("""COMPUTED_VALUE"""),"Feedback demo R2")</f>
        <v>Feedback demo R2</v>
      </c>
      <c r="C192" s="628"/>
      <c r="D192" s="602" t="str">
        <f>IFERROR(__xludf.DUMMYFUNCTION("""COMPUTED_VALUE"""),"BRAND")</f>
        <v>BRAND</v>
      </c>
      <c r="E192" s="624" t="str">
        <f>IFERROR(__xludf.DUMMYFUNCTION("""COMPUTED_VALUE"""),"Not start yet")</f>
        <v>Not start yet</v>
      </c>
      <c r="F192" s="604">
        <f>IFERROR(__xludf.DUMMYFUNCTION("""COMPUTED_VALUE"""),46164.0)</f>
        <v>46164</v>
      </c>
      <c r="G192" s="639">
        <f>IFERROR(__xludf.DUMMYFUNCTION("""COMPUTED_VALUE"""),46164.0)</f>
        <v>46164</v>
      </c>
      <c r="H192" s="585"/>
      <c r="I192" s="625"/>
      <c r="J192" s="625"/>
      <c r="K192" s="585"/>
      <c r="L192" s="585"/>
      <c r="M192" s="585"/>
      <c r="N192" s="585"/>
      <c r="O192" s="585"/>
      <c r="P192" s="585"/>
      <c r="Q192" s="585"/>
      <c r="R192" s="585"/>
      <c r="S192" s="585"/>
      <c r="T192" s="585"/>
      <c r="U192" s="585"/>
      <c r="V192" s="585"/>
      <c r="W192" s="585"/>
      <c r="X192" s="585"/>
      <c r="Y192" s="585"/>
      <c r="Z192" s="585"/>
      <c r="AA192" s="585"/>
      <c r="AB192" s="585"/>
      <c r="AC192" s="585"/>
      <c r="AD192" s="585"/>
      <c r="AE192" s="585"/>
      <c r="AF192" s="585"/>
      <c r="AG192" s="585"/>
      <c r="AH192" s="585"/>
      <c r="AI192" s="585"/>
      <c r="AJ192" s="585"/>
      <c r="AK192" s="585"/>
      <c r="AL192" s="585"/>
      <c r="AM192" s="585"/>
      <c r="AN192" s="585"/>
      <c r="AO192" s="585"/>
      <c r="AP192" s="585"/>
      <c r="AQ192" s="585"/>
      <c r="AR192" s="585"/>
    </row>
    <row r="193">
      <c r="A193" s="621"/>
      <c r="B193" s="627" t="str">
        <f>IFERROR(__xludf.DUMMYFUNCTION("""COMPUTED_VALUE"""),"Finalize demo")</f>
        <v>Finalize demo</v>
      </c>
      <c r="C193" s="628"/>
      <c r="D193" s="602" t="str">
        <f>IFERROR(__xludf.DUMMYFUNCTION("""COMPUTED_VALUE"""),"PMAX")</f>
        <v>PMAX</v>
      </c>
      <c r="E193" s="624" t="str">
        <f>IFERROR(__xludf.DUMMYFUNCTION("""COMPUTED_VALUE"""),"Not start yet")</f>
        <v>Not start yet</v>
      </c>
      <c r="F193" s="604">
        <f>IFERROR(__xludf.DUMMYFUNCTION("""COMPUTED_VALUE"""),46164.0)</f>
        <v>46164</v>
      </c>
      <c r="G193" s="639">
        <f>IFERROR(__xludf.DUMMYFUNCTION("""COMPUTED_VALUE"""),46164.0)</f>
        <v>46164</v>
      </c>
      <c r="H193" s="585"/>
      <c r="I193" s="629">
        <v>1.0</v>
      </c>
      <c r="J193" s="630" t="s">
        <v>888</v>
      </c>
      <c r="K193" s="585"/>
      <c r="L193" s="585"/>
      <c r="M193" s="585"/>
      <c r="N193" s="585"/>
      <c r="O193" s="585"/>
      <c r="P193" s="585"/>
      <c r="Q193" s="585"/>
      <c r="R193" s="585"/>
      <c r="S193" s="585"/>
      <c r="T193" s="585"/>
      <c r="U193" s="585"/>
      <c r="V193" s="585"/>
      <c r="W193" s="585"/>
      <c r="X193" s="585"/>
      <c r="Y193" s="585"/>
      <c r="Z193" s="585"/>
      <c r="AA193" s="585"/>
      <c r="AB193" s="585"/>
      <c r="AC193" s="585"/>
      <c r="AD193" s="585"/>
      <c r="AE193" s="585"/>
      <c r="AF193" s="585"/>
      <c r="AG193" s="585"/>
      <c r="AH193" s="585"/>
      <c r="AI193" s="585"/>
      <c r="AJ193" s="585"/>
      <c r="AK193" s="585"/>
      <c r="AL193" s="585"/>
      <c r="AM193" s="585"/>
      <c r="AN193" s="585"/>
      <c r="AO193" s="585"/>
      <c r="AP193" s="585"/>
      <c r="AQ193" s="585"/>
      <c r="AR193" s="585"/>
    </row>
    <row r="194">
      <c r="A194" s="621"/>
      <c r="B194" s="634" t="str">
        <f>IFERROR(__xludf.DUMMYFUNCTION("""COMPUTED_VALUE"""),"Air")</f>
        <v>Air</v>
      </c>
      <c r="C194" s="26"/>
      <c r="D194" s="602" t="str">
        <f>IFERROR(__xludf.DUMMYFUNCTION("""COMPUTED_VALUE"""),"PMAX")</f>
        <v>PMAX</v>
      </c>
      <c r="E194" s="624" t="str">
        <f>IFERROR(__xludf.DUMMYFUNCTION("""COMPUTED_VALUE"""),"Not start yet")</f>
        <v>Not start yet</v>
      </c>
      <c r="F194" s="604" t="str">
        <f>IFERROR(__xludf.DUMMYFUNCTION("""COMPUTED_VALUE"""),"TBU")</f>
        <v>TBU</v>
      </c>
      <c r="G194" s="639" t="str">
        <f>IFERROR(__xludf.DUMMYFUNCTION("""COMPUTED_VALUE"""),"TBU")</f>
        <v>TBU</v>
      </c>
      <c r="H194" s="585"/>
      <c r="I194" s="636">
        <v>1.0</v>
      </c>
      <c r="J194" s="585"/>
      <c r="K194" s="585"/>
      <c r="L194" s="585"/>
      <c r="M194" s="585"/>
      <c r="N194" s="585"/>
      <c r="O194" s="585"/>
      <c r="P194" s="585"/>
      <c r="Q194" s="585"/>
      <c r="R194" s="585"/>
      <c r="S194" s="585"/>
      <c r="T194" s="585"/>
      <c r="U194" s="585"/>
      <c r="V194" s="585"/>
      <c r="W194" s="585"/>
      <c r="X194" s="585"/>
      <c r="Y194" s="585"/>
      <c r="Z194" s="585"/>
      <c r="AA194" s="585"/>
      <c r="AB194" s="585"/>
      <c r="AC194" s="585"/>
      <c r="AD194" s="585"/>
      <c r="AE194" s="585"/>
      <c r="AF194" s="585"/>
      <c r="AG194" s="585"/>
      <c r="AH194" s="585"/>
      <c r="AI194" s="585"/>
      <c r="AJ194" s="585"/>
      <c r="AK194" s="585"/>
      <c r="AL194" s="585"/>
      <c r="AM194" s="585"/>
      <c r="AN194" s="585"/>
      <c r="AO194" s="585"/>
      <c r="AP194" s="585"/>
      <c r="AQ194" s="585"/>
      <c r="AR194" s="585"/>
    </row>
    <row r="195">
      <c r="A195" s="637">
        <f>IFERROR(__xludf.DUMMYFUNCTION("""COMPUTED_VALUE"""),13.0)</f>
        <v>13</v>
      </c>
      <c r="B195" s="616" t="str">
        <f>IFERROR(__xludf.DUMMYFUNCTION("""COMPUTED_VALUE"""),"Chu Cao Food")</f>
        <v>Chu Cao Food</v>
      </c>
      <c r="C195" s="617"/>
      <c r="D195" s="618"/>
      <c r="E195" s="619"/>
      <c r="F195" s="619"/>
      <c r="G195" s="619"/>
      <c r="H195" s="585"/>
      <c r="I195" s="585"/>
      <c r="J195" s="585"/>
      <c r="K195" s="585"/>
      <c r="L195" s="585"/>
      <c r="M195" s="585"/>
      <c r="N195" s="585"/>
      <c r="O195" s="585"/>
      <c r="P195" s="585"/>
      <c r="Q195" s="585"/>
      <c r="R195" s="585"/>
      <c r="S195" s="585"/>
      <c r="T195" s="585"/>
      <c r="U195" s="585"/>
      <c r="V195" s="585"/>
      <c r="W195" s="585"/>
      <c r="X195" s="585"/>
      <c r="Y195" s="585"/>
      <c r="Z195" s="585"/>
      <c r="AA195" s="585"/>
      <c r="AB195" s="585"/>
      <c r="AC195" s="585"/>
      <c r="AD195" s="585"/>
      <c r="AE195" s="585"/>
      <c r="AF195" s="585"/>
      <c r="AG195" s="585"/>
      <c r="AH195" s="585"/>
      <c r="AI195" s="585"/>
      <c r="AJ195" s="585"/>
      <c r="AK195" s="585"/>
      <c r="AL195" s="585"/>
      <c r="AM195" s="585"/>
      <c r="AN195" s="585"/>
      <c r="AO195" s="585"/>
      <c r="AP195" s="585"/>
      <c r="AQ195" s="585"/>
      <c r="AR195" s="585"/>
    </row>
    <row r="196">
      <c r="A196" s="621"/>
      <c r="B196" s="622" t="str">
        <f>IFERROR(__xludf.DUMMYFUNCTION("""COMPUTED_VALUE"""),"Briefing cho Influencer")</f>
        <v>Briefing cho Influencer</v>
      </c>
      <c r="C196" s="623"/>
      <c r="D196" s="602" t="str">
        <f>IFERROR(__xludf.DUMMYFUNCTION("""COMPUTED_VALUE"""),"PMAX")</f>
        <v>PMAX</v>
      </c>
      <c r="E196" s="624" t="str">
        <f>IFERROR(__xludf.DUMMYFUNCTION("""COMPUTED_VALUE"""),"Not start yet")</f>
        <v>Not start yet</v>
      </c>
      <c r="F196" s="604">
        <f>IFERROR(__xludf.DUMMYFUNCTION("""COMPUTED_VALUE"""),46147.0)</f>
        <v>46147</v>
      </c>
      <c r="G196" s="639">
        <f>IFERROR(__xludf.DUMMYFUNCTION("""COMPUTED_VALUE"""),46148.0)</f>
        <v>46148</v>
      </c>
      <c r="H196" s="585"/>
      <c r="I196" s="625"/>
      <c r="J196" s="626" t="s">
        <v>882</v>
      </c>
      <c r="K196" s="585"/>
      <c r="L196" s="585"/>
      <c r="M196" s="585"/>
      <c r="N196" s="585"/>
      <c r="O196" s="585"/>
      <c r="P196" s="585"/>
      <c r="Q196" s="585"/>
      <c r="R196" s="585"/>
      <c r="S196" s="585"/>
      <c r="T196" s="585"/>
      <c r="U196" s="585"/>
      <c r="V196" s="585"/>
      <c r="W196" s="585"/>
      <c r="X196" s="585"/>
      <c r="Y196" s="585"/>
      <c r="Z196" s="585"/>
      <c r="AA196" s="585"/>
      <c r="AB196" s="585"/>
      <c r="AC196" s="585"/>
      <c r="AD196" s="585"/>
      <c r="AE196" s="585"/>
      <c r="AF196" s="585"/>
      <c r="AG196" s="585"/>
      <c r="AH196" s="585"/>
      <c r="AI196" s="585"/>
      <c r="AJ196" s="585"/>
      <c r="AK196" s="585"/>
      <c r="AL196" s="585"/>
      <c r="AM196" s="585"/>
      <c r="AN196" s="585"/>
      <c r="AO196" s="585"/>
      <c r="AP196" s="585"/>
      <c r="AQ196" s="585"/>
      <c r="AR196" s="585"/>
    </row>
    <row r="197">
      <c r="A197" s="621"/>
      <c r="B197" s="627" t="str">
        <f>IFERROR(__xludf.DUMMYFUNCTION("""COMPUTED_VALUE"""),"Script R1 + Outfits")</f>
        <v>Script R1 + Outfits</v>
      </c>
      <c r="C197" s="628"/>
      <c r="D197" s="602" t="str">
        <f>IFERROR(__xludf.DUMMYFUNCTION("""COMPUTED_VALUE"""),"PMAX")</f>
        <v>PMAX</v>
      </c>
      <c r="E197" s="624" t="str">
        <f>IFERROR(__xludf.DUMMYFUNCTION("""COMPUTED_VALUE"""),"Not start yet")</f>
        <v>Not start yet</v>
      </c>
      <c r="F197" s="604">
        <f>IFERROR(__xludf.DUMMYFUNCTION("""COMPUTED_VALUE"""),46148.0)</f>
        <v>46148</v>
      </c>
      <c r="G197" s="639">
        <f>IFERROR(__xludf.DUMMYFUNCTION("""COMPUTED_VALUE"""),46150.0)</f>
        <v>46150</v>
      </c>
      <c r="H197" s="585"/>
      <c r="I197" s="629">
        <v>1.0</v>
      </c>
      <c r="J197" s="630" t="s">
        <v>883</v>
      </c>
      <c r="K197" s="585"/>
      <c r="L197" s="585"/>
      <c r="M197" s="585"/>
      <c r="N197" s="585"/>
      <c r="O197" s="585"/>
      <c r="P197" s="585"/>
      <c r="Q197" s="585"/>
      <c r="R197" s="585"/>
      <c r="S197" s="585"/>
      <c r="T197" s="585"/>
      <c r="U197" s="585"/>
      <c r="V197" s="585"/>
      <c r="W197" s="585"/>
      <c r="X197" s="585"/>
      <c r="Y197" s="585"/>
      <c r="Z197" s="585"/>
      <c r="AA197" s="585"/>
      <c r="AB197" s="585"/>
      <c r="AC197" s="585"/>
      <c r="AD197" s="585"/>
      <c r="AE197" s="585"/>
      <c r="AF197" s="585"/>
      <c r="AG197" s="585"/>
      <c r="AH197" s="585"/>
      <c r="AI197" s="585"/>
      <c r="AJ197" s="585"/>
      <c r="AK197" s="585"/>
      <c r="AL197" s="585"/>
      <c r="AM197" s="585"/>
      <c r="AN197" s="585"/>
      <c r="AO197" s="585"/>
      <c r="AP197" s="585"/>
      <c r="AQ197" s="585"/>
      <c r="AR197" s="585"/>
    </row>
    <row r="198">
      <c r="A198" s="621"/>
      <c r="B198" s="627" t="str">
        <f>IFERROR(__xludf.DUMMYFUNCTION("""COMPUTED_VALUE"""),"Feedback Script R1 + outfits")</f>
        <v>Feedback Script R1 + outfits</v>
      </c>
      <c r="C198" s="628"/>
      <c r="D198" s="602" t="str">
        <f>IFERROR(__xludf.DUMMYFUNCTION("""COMPUTED_VALUE"""),"BRAND")</f>
        <v>BRAND</v>
      </c>
      <c r="E198" s="624" t="str">
        <f>IFERROR(__xludf.DUMMYFUNCTION("""COMPUTED_VALUE"""),"Not start yet")</f>
        <v>Not start yet</v>
      </c>
      <c r="F198" s="604">
        <f>IFERROR(__xludf.DUMMYFUNCTION("""COMPUTED_VALUE"""),46150.0)</f>
        <v>46150</v>
      </c>
      <c r="G198" s="639">
        <f>IFERROR(__xludf.DUMMYFUNCTION("""COMPUTED_VALUE"""),46150.0)</f>
        <v>46150</v>
      </c>
      <c r="H198" s="585"/>
      <c r="I198" s="625"/>
      <c r="J198" s="630" t="s">
        <v>884</v>
      </c>
      <c r="K198" s="585"/>
      <c r="L198" s="585"/>
      <c r="M198" s="585"/>
      <c r="N198" s="585"/>
      <c r="O198" s="585"/>
      <c r="P198" s="585"/>
      <c r="Q198" s="585"/>
      <c r="R198" s="585"/>
      <c r="S198" s="585"/>
      <c r="T198" s="585"/>
      <c r="U198" s="585"/>
      <c r="V198" s="585"/>
      <c r="W198" s="585"/>
      <c r="X198" s="585"/>
      <c r="Y198" s="585"/>
      <c r="Z198" s="585"/>
      <c r="AA198" s="585"/>
      <c r="AB198" s="585"/>
      <c r="AC198" s="585"/>
      <c r="AD198" s="585"/>
      <c r="AE198" s="585"/>
      <c r="AF198" s="585"/>
      <c r="AG198" s="585"/>
      <c r="AH198" s="585"/>
      <c r="AI198" s="585"/>
      <c r="AJ198" s="585"/>
      <c r="AK198" s="585"/>
      <c r="AL198" s="585"/>
      <c r="AM198" s="585"/>
      <c r="AN198" s="585"/>
      <c r="AO198" s="585"/>
      <c r="AP198" s="585"/>
      <c r="AQ198" s="585"/>
      <c r="AR198" s="585"/>
    </row>
    <row r="199">
      <c r="A199" s="621"/>
      <c r="B199" s="631" t="str">
        <f>IFERROR(__xludf.DUMMYFUNCTION("""COMPUTED_VALUE"""),"Script R2")</f>
        <v>Script R2</v>
      </c>
      <c r="C199" s="628"/>
      <c r="D199" s="632" t="str">
        <f>IFERROR(__xludf.DUMMYFUNCTION("""COMPUTED_VALUE"""),"PMAX")</f>
        <v>PMAX</v>
      </c>
      <c r="E199" s="624" t="str">
        <f>IFERROR(__xludf.DUMMYFUNCTION("""COMPUTED_VALUE"""),"Not start yet")</f>
        <v>Not start yet</v>
      </c>
      <c r="F199" s="604">
        <f>IFERROR(__xludf.DUMMYFUNCTION("""COMPUTED_VALUE"""),46151.0)</f>
        <v>46151</v>
      </c>
      <c r="G199" s="639">
        <f>IFERROR(__xludf.DUMMYFUNCTION("""COMPUTED_VALUE"""),46152.0)</f>
        <v>46152</v>
      </c>
      <c r="H199" s="585"/>
      <c r="I199" s="625"/>
      <c r="J199" s="630"/>
      <c r="K199" s="585"/>
      <c r="L199" s="585"/>
      <c r="M199" s="585"/>
      <c r="N199" s="585"/>
      <c r="O199" s="585"/>
      <c r="P199" s="585"/>
      <c r="Q199" s="585"/>
      <c r="R199" s="585"/>
      <c r="S199" s="585"/>
      <c r="T199" s="585"/>
      <c r="U199" s="585"/>
      <c r="V199" s="585"/>
      <c r="W199" s="585"/>
      <c r="X199" s="585"/>
      <c r="Y199" s="585"/>
      <c r="Z199" s="585"/>
      <c r="AA199" s="585"/>
      <c r="AB199" s="585"/>
      <c r="AC199" s="585"/>
      <c r="AD199" s="585"/>
      <c r="AE199" s="585"/>
      <c r="AF199" s="585"/>
      <c r="AG199" s="585"/>
      <c r="AH199" s="585"/>
      <c r="AI199" s="585"/>
      <c r="AJ199" s="585"/>
      <c r="AK199" s="585"/>
      <c r="AL199" s="585"/>
      <c r="AM199" s="585"/>
      <c r="AN199" s="585"/>
      <c r="AO199" s="585"/>
      <c r="AP199" s="585"/>
      <c r="AQ199" s="585"/>
      <c r="AR199" s="585"/>
    </row>
    <row r="200">
      <c r="A200" s="621"/>
      <c r="B200" s="631" t="str">
        <f>IFERROR(__xludf.DUMMYFUNCTION("""COMPUTED_VALUE"""),"Feedback Script R2")</f>
        <v>Feedback Script R2</v>
      </c>
      <c r="C200" s="628"/>
      <c r="D200" s="632" t="str">
        <f>IFERROR(__xludf.DUMMYFUNCTION("""COMPUTED_VALUE"""),"BRAND")</f>
        <v>BRAND</v>
      </c>
      <c r="E200" s="624" t="str">
        <f>IFERROR(__xludf.DUMMYFUNCTION("""COMPUTED_VALUE"""),"Not start yet")</f>
        <v>Not start yet</v>
      </c>
      <c r="F200" s="604">
        <f>IFERROR(__xludf.DUMMYFUNCTION("""COMPUTED_VALUE"""),46153.0)</f>
        <v>46153</v>
      </c>
      <c r="G200" s="639">
        <f>IFERROR(__xludf.DUMMYFUNCTION("""COMPUTED_VALUE"""),46153.0)</f>
        <v>46153</v>
      </c>
      <c r="H200" s="585"/>
      <c r="I200" s="625"/>
      <c r="J200" s="630"/>
      <c r="K200" s="585"/>
      <c r="L200" s="585"/>
      <c r="M200" s="585"/>
      <c r="N200" s="585"/>
      <c r="O200" s="585"/>
      <c r="P200" s="585"/>
      <c r="Q200" s="585"/>
      <c r="R200" s="585"/>
      <c r="S200" s="585"/>
      <c r="T200" s="585"/>
      <c r="U200" s="585"/>
      <c r="V200" s="585"/>
      <c r="W200" s="585"/>
      <c r="X200" s="585"/>
      <c r="Y200" s="585"/>
      <c r="Z200" s="585"/>
      <c r="AA200" s="585"/>
      <c r="AB200" s="585"/>
      <c r="AC200" s="585"/>
      <c r="AD200" s="585"/>
      <c r="AE200" s="585"/>
      <c r="AF200" s="585"/>
      <c r="AG200" s="585"/>
      <c r="AH200" s="585"/>
      <c r="AI200" s="585"/>
      <c r="AJ200" s="585"/>
      <c r="AK200" s="585"/>
      <c r="AL200" s="585"/>
      <c r="AM200" s="585"/>
      <c r="AN200" s="585"/>
      <c r="AO200" s="585"/>
      <c r="AP200" s="585"/>
      <c r="AQ200" s="585"/>
      <c r="AR200" s="585"/>
    </row>
    <row r="201">
      <c r="A201" s="621"/>
      <c r="B201" s="627" t="str">
        <f>IFERROR(__xludf.DUMMYFUNCTION("""COMPUTED_VALUE"""),"Finalize scripts + outfits")</f>
        <v>Finalize scripts + outfits</v>
      </c>
      <c r="C201" s="628"/>
      <c r="D201" s="602" t="str">
        <f>IFERROR(__xludf.DUMMYFUNCTION("""COMPUTED_VALUE"""),"PMAX-BRAND")</f>
        <v>PMAX-BRAND</v>
      </c>
      <c r="E201" s="624" t="str">
        <f>IFERROR(__xludf.DUMMYFUNCTION("""COMPUTED_VALUE"""),"Not start yet")</f>
        <v>Not start yet</v>
      </c>
      <c r="F201" s="604">
        <f>IFERROR(__xludf.DUMMYFUNCTION("""COMPUTED_VALUE"""),46153.0)</f>
        <v>46153</v>
      </c>
      <c r="G201" s="639">
        <f>IFERROR(__xludf.DUMMYFUNCTION("""COMPUTED_VALUE"""),46153.0)</f>
        <v>46153</v>
      </c>
      <c r="H201" s="585"/>
      <c r="I201" s="629">
        <v>1.0</v>
      </c>
      <c r="J201" s="630" t="s">
        <v>885</v>
      </c>
      <c r="K201" s="585"/>
      <c r="L201" s="585"/>
      <c r="M201" s="585"/>
      <c r="N201" s="585"/>
      <c r="O201" s="585"/>
      <c r="P201" s="585"/>
      <c r="Q201" s="585"/>
      <c r="R201" s="585"/>
      <c r="S201" s="585"/>
      <c r="T201" s="585"/>
      <c r="U201" s="585"/>
      <c r="V201" s="585"/>
      <c r="W201" s="585"/>
      <c r="X201" s="585"/>
      <c r="Y201" s="585"/>
      <c r="Z201" s="585"/>
      <c r="AA201" s="585"/>
      <c r="AB201" s="585"/>
      <c r="AC201" s="585"/>
      <c r="AD201" s="585"/>
      <c r="AE201" s="585"/>
      <c r="AF201" s="585"/>
      <c r="AG201" s="585"/>
      <c r="AH201" s="585"/>
      <c r="AI201" s="585"/>
      <c r="AJ201" s="585"/>
      <c r="AK201" s="585"/>
      <c r="AL201" s="585"/>
      <c r="AM201" s="585"/>
      <c r="AN201" s="585"/>
      <c r="AO201" s="585"/>
      <c r="AP201" s="585"/>
      <c r="AQ201" s="585"/>
      <c r="AR201" s="585"/>
    </row>
    <row r="202">
      <c r="A202" s="621"/>
      <c r="B202" s="627" t="str">
        <f>IFERROR(__xludf.DUMMYFUNCTION("""COMPUTED_VALUE"""),"Đi quay tại site")</f>
        <v>Đi quay tại site</v>
      </c>
      <c r="C202" s="628"/>
      <c r="D202" s="602" t="str">
        <f>IFERROR(__xludf.DUMMYFUNCTION("""COMPUTED_VALUE"""),"PMAX")</f>
        <v>PMAX</v>
      </c>
      <c r="E202" s="624" t="str">
        <f>IFERROR(__xludf.DUMMYFUNCTION("""COMPUTED_VALUE"""),"Not start yet")</f>
        <v>Not start yet</v>
      </c>
      <c r="F202" s="604">
        <f>IFERROR(__xludf.DUMMYFUNCTION("""COMPUTED_VALUE"""),46154.0)</f>
        <v>46154</v>
      </c>
      <c r="G202" s="639">
        <f>IFERROR(__xludf.DUMMYFUNCTION("""COMPUTED_VALUE"""),46156.0)</f>
        <v>46156</v>
      </c>
      <c r="H202" s="585"/>
      <c r="I202" s="629">
        <v>2.0</v>
      </c>
      <c r="J202" s="625"/>
      <c r="K202" s="585"/>
      <c r="L202" s="585"/>
      <c r="M202" s="585"/>
      <c r="N202" s="585"/>
      <c r="O202" s="585"/>
      <c r="P202" s="585"/>
      <c r="Q202" s="585"/>
      <c r="R202" s="585"/>
      <c r="S202" s="585"/>
      <c r="T202" s="585"/>
      <c r="U202" s="585"/>
      <c r="V202" s="585"/>
      <c r="W202" s="585"/>
      <c r="X202" s="585"/>
      <c r="Y202" s="585"/>
      <c r="Z202" s="585"/>
      <c r="AA202" s="585"/>
      <c r="AB202" s="585"/>
      <c r="AC202" s="585"/>
      <c r="AD202" s="585"/>
      <c r="AE202" s="585"/>
      <c r="AF202" s="585"/>
      <c r="AG202" s="585"/>
      <c r="AH202" s="585"/>
      <c r="AI202" s="585"/>
      <c r="AJ202" s="585"/>
      <c r="AK202" s="585"/>
      <c r="AL202" s="585"/>
      <c r="AM202" s="585"/>
      <c r="AN202" s="585"/>
      <c r="AO202" s="585"/>
      <c r="AP202" s="585"/>
      <c r="AQ202" s="585"/>
      <c r="AR202" s="585"/>
    </row>
    <row r="203">
      <c r="A203" s="621"/>
      <c r="B203" s="633" t="str">
        <f>IFERROR(__xludf.DUMMYFUNCTION("""COMPUTED_VALUE"""),"Demo R1")</f>
        <v>Demo R1</v>
      </c>
      <c r="C203" s="628"/>
      <c r="D203" s="602" t="str">
        <f>IFERROR(__xludf.DUMMYFUNCTION("""COMPUTED_VALUE"""),"PMAX")</f>
        <v>PMAX</v>
      </c>
      <c r="E203" s="624" t="str">
        <f>IFERROR(__xludf.DUMMYFUNCTION("""COMPUTED_VALUE"""),"Not start yet")</f>
        <v>Not start yet</v>
      </c>
      <c r="F203" s="604">
        <f>IFERROR(__xludf.DUMMYFUNCTION("""COMPUTED_VALUE"""),46156.0)</f>
        <v>46156</v>
      </c>
      <c r="G203" s="639">
        <f>IFERROR(__xludf.DUMMYFUNCTION("""COMPUTED_VALUE"""),46159.0)</f>
        <v>46159</v>
      </c>
      <c r="H203" s="585"/>
      <c r="I203" s="629">
        <v>4.0</v>
      </c>
      <c r="J203" s="630" t="s">
        <v>886</v>
      </c>
      <c r="K203" s="585"/>
      <c r="L203" s="585"/>
      <c r="M203" s="585"/>
      <c r="N203" s="585"/>
      <c r="O203" s="585"/>
      <c r="P203" s="585"/>
      <c r="Q203" s="585"/>
      <c r="R203" s="585"/>
      <c r="S203" s="585"/>
      <c r="T203" s="585"/>
      <c r="U203" s="585"/>
      <c r="V203" s="585"/>
      <c r="W203" s="585"/>
      <c r="X203" s="585"/>
      <c r="Y203" s="585"/>
      <c r="Z203" s="585"/>
      <c r="AA203" s="585"/>
      <c r="AB203" s="585"/>
      <c r="AC203" s="585"/>
      <c r="AD203" s="585"/>
      <c r="AE203" s="585"/>
      <c r="AF203" s="585"/>
      <c r="AG203" s="585"/>
      <c r="AH203" s="585"/>
      <c r="AI203" s="585"/>
      <c r="AJ203" s="585"/>
      <c r="AK203" s="585"/>
      <c r="AL203" s="585"/>
      <c r="AM203" s="585"/>
      <c r="AN203" s="585"/>
      <c r="AO203" s="585"/>
      <c r="AP203" s="585"/>
      <c r="AQ203" s="585"/>
      <c r="AR203" s="585"/>
    </row>
    <row r="204">
      <c r="A204" s="621"/>
      <c r="B204" s="627" t="str">
        <f>IFERROR(__xludf.DUMMYFUNCTION("""COMPUTED_VALUE"""),"Feedback demo R1")</f>
        <v>Feedback demo R1</v>
      </c>
      <c r="C204" s="628"/>
      <c r="D204" s="602" t="str">
        <f>IFERROR(__xludf.DUMMYFUNCTION("""COMPUTED_VALUE"""),"BRAND")</f>
        <v>BRAND</v>
      </c>
      <c r="E204" s="624" t="str">
        <f>IFERROR(__xludf.DUMMYFUNCTION("""COMPUTED_VALUE"""),"Not start yet")</f>
        <v>Not start yet</v>
      </c>
      <c r="F204" s="604">
        <f>IFERROR(__xludf.DUMMYFUNCTION("""COMPUTED_VALUE"""),46160.0)</f>
        <v>46160</v>
      </c>
      <c r="G204" s="639">
        <f>IFERROR(__xludf.DUMMYFUNCTION("""COMPUTED_VALUE"""),46160.0)</f>
        <v>46160</v>
      </c>
      <c r="H204" s="585"/>
      <c r="I204" s="625"/>
      <c r="J204" s="630" t="s">
        <v>887</v>
      </c>
      <c r="K204" s="585"/>
      <c r="L204" s="585"/>
      <c r="M204" s="585"/>
      <c r="N204" s="585"/>
      <c r="O204" s="585"/>
      <c r="P204" s="585"/>
      <c r="Q204" s="585"/>
      <c r="R204" s="585"/>
      <c r="S204" s="585"/>
      <c r="T204" s="585"/>
      <c r="U204" s="585"/>
      <c r="V204" s="585"/>
      <c r="W204" s="585"/>
      <c r="X204" s="585"/>
      <c r="Y204" s="585"/>
      <c r="Z204" s="585"/>
      <c r="AA204" s="585"/>
      <c r="AB204" s="585"/>
      <c r="AC204" s="585"/>
      <c r="AD204" s="585"/>
      <c r="AE204" s="585"/>
      <c r="AF204" s="585"/>
      <c r="AG204" s="585"/>
      <c r="AH204" s="585"/>
      <c r="AI204" s="585"/>
      <c r="AJ204" s="585"/>
      <c r="AK204" s="585"/>
      <c r="AL204" s="585"/>
      <c r="AM204" s="585"/>
      <c r="AN204" s="585"/>
      <c r="AO204" s="585"/>
      <c r="AP204" s="585"/>
      <c r="AQ204" s="585"/>
      <c r="AR204" s="585"/>
    </row>
    <row r="205">
      <c r="A205" s="621"/>
      <c r="B205" s="633" t="str">
        <f>IFERROR(__xludf.DUMMYFUNCTION("""COMPUTED_VALUE"""),"Demo R2")</f>
        <v>Demo R2</v>
      </c>
      <c r="C205" s="628"/>
      <c r="D205" s="602" t="str">
        <f>IFERROR(__xludf.DUMMYFUNCTION("""COMPUTED_VALUE"""),"PMAX")</f>
        <v>PMAX</v>
      </c>
      <c r="E205" s="624" t="str">
        <f>IFERROR(__xludf.DUMMYFUNCTION("""COMPUTED_VALUE"""),"Not start yet")</f>
        <v>Not start yet</v>
      </c>
      <c r="F205" s="604">
        <f>IFERROR(__xludf.DUMMYFUNCTION("""COMPUTED_VALUE"""),46161.0)</f>
        <v>46161</v>
      </c>
      <c r="G205" s="639">
        <f>IFERROR(__xludf.DUMMYFUNCTION("""COMPUTED_VALUE"""),46163.0)</f>
        <v>46163</v>
      </c>
      <c r="H205" s="585"/>
      <c r="I205" s="625"/>
      <c r="J205" s="625"/>
      <c r="K205" s="585"/>
      <c r="L205" s="585"/>
      <c r="M205" s="585"/>
      <c r="N205" s="585"/>
      <c r="O205" s="585"/>
      <c r="P205" s="585"/>
      <c r="Q205" s="585"/>
      <c r="R205" s="585"/>
      <c r="S205" s="585"/>
      <c r="T205" s="585"/>
      <c r="U205" s="585"/>
      <c r="V205" s="585"/>
      <c r="W205" s="585"/>
      <c r="X205" s="585"/>
      <c r="Y205" s="585"/>
      <c r="Z205" s="585"/>
      <c r="AA205" s="585"/>
      <c r="AB205" s="585"/>
      <c r="AC205" s="585"/>
      <c r="AD205" s="585"/>
      <c r="AE205" s="585"/>
      <c r="AF205" s="585"/>
      <c r="AG205" s="585"/>
      <c r="AH205" s="585"/>
      <c r="AI205" s="585"/>
      <c r="AJ205" s="585"/>
      <c r="AK205" s="585"/>
      <c r="AL205" s="585"/>
      <c r="AM205" s="585"/>
      <c r="AN205" s="585"/>
      <c r="AO205" s="585"/>
      <c r="AP205" s="585"/>
      <c r="AQ205" s="585"/>
      <c r="AR205" s="585"/>
    </row>
    <row r="206">
      <c r="A206" s="621"/>
      <c r="B206" s="627" t="str">
        <f>IFERROR(__xludf.DUMMYFUNCTION("""COMPUTED_VALUE"""),"Feedback demo R2")</f>
        <v>Feedback demo R2</v>
      </c>
      <c r="C206" s="628"/>
      <c r="D206" s="602" t="str">
        <f>IFERROR(__xludf.DUMMYFUNCTION("""COMPUTED_VALUE"""),"BRAND")</f>
        <v>BRAND</v>
      </c>
      <c r="E206" s="624" t="str">
        <f>IFERROR(__xludf.DUMMYFUNCTION("""COMPUTED_VALUE"""),"Not start yet")</f>
        <v>Not start yet</v>
      </c>
      <c r="F206" s="604">
        <f>IFERROR(__xludf.DUMMYFUNCTION("""COMPUTED_VALUE"""),46164.0)</f>
        <v>46164</v>
      </c>
      <c r="G206" s="639">
        <f>IFERROR(__xludf.DUMMYFUNCTION("""COMPUTED_VALUE"""),46164.0)</f>
        <v>46164</v>
      </c>
      <c r="H206" s="585"/>
      <c r="I206" s="625"/>
      <c r="J206" s="625"/>
      <c r="K206" s="585"/>
      <c r="L206" s="585"/>
      <c r="M206" s="585"/>
      <c r="N206" s="585"/>
      <c r="O206" s="585"/>
      <c r="P206" s="585"/>
      <c r="Q206" s="585"/>
      <c r="R206" s="585"/>
      <c r="S206" s="585"/>
      <c r="T206" s="585"/>
      <c r="U206" s="585"/>
      <c r="V206" s="585"/>
      <c r="W206" s="585"/>
      <c r="X206" s="585"/>
      <c r="Y206" s="585"/>
      <c r="Z206" s="585"/>
      <c r="AA206" s="585"/>
      <c r="AB206" s="585"/>
      <c r="AC206" s="585"/>
      <c r="AD206" s="585"/>
      <c r="AE206" s="585"/>
      <c r="AF206" s="585"/>
      <c r="AG206" s="585"/>
      <c r="AH206" s="585"/>
      <c r="AI206" s="585"/>
      <c r="AJ206" s="585"/>
      <c r="AK206" s="585"/>
      <c r="AL206" s="585"/>
      <c r="AM206" s="585"/>
      <c r="AN206" s="585"/>
      <c r="AO206" s="585"/>
      <c r="AP206" s="585"/>
      <c r="AQ206" s="585"/>
      <c r="AR206" s="585"/>
    </row>
    <row r="207">
      <c r="A207" s="621"/>
      <c r="B207" s="627" t="str">
        <f>IFERROR(__xludf.DUMMYFUNCTION("""COMPUTED_VALUE"""),"Finalize demo")</f>
        <v>Finalize demo</v>
      </c>
      <c r="C207" s="628"/>
      <c r="D207" s="602" t="str">
        <f>IFERROR(__xludf.DUMMYFUNCTION("""COMPUTED_VALUE"""),"PMAX")</f>
        <v>PMAX</v>
      </c>
      <c r="E207" s="624" t="str">
        <f>IFERROR(__xludf.DUMMYFUNCTION("""COMPUTED_VALUE"""),"Not start yet")</f>
        <v>Not start yet</v>
      </c>
      <c r="F207" s="604">
        <f>IFERROR(__xludf.DUMMYFUNCTION("""COMPUTED_VALUE"""),46164.0)</f>
        <v>46164</v>
      </c>
      <c r="G207" s="639">
        <f>IFERROR(__xludf.DUMMYFUNCTION("""COMPUTED_VALUE"""),46164.0)</f>
        <v>46164</v>
      </c>
      <c r="H207" s="585"/>
      <c r="I207" s="629">
        <v>1.0</v>
      </c>
      <c r="J207" s="630" t="s">
        <v>888</v>
      </c>
      <c r="K207" s="585"/>
      <c r="L207" s="585"/>
      <c r="M207" s="585"/>
      <c r="N207" s="585"/>
      <c r="O207" s="585"/>
      <c r="P207" s="585"/>
      <c r="Q207" s="585"/>
      <c r="R207" s="585"/>
      <c r="S207" s="585"/>
      <c r="T207" s="585"/>
      <c r="U207" s="585"/>
      <c r="V207" s="585"/>
      <c r="W207" s="585"/>
      <c r="X207" s="585"/>
      <c r="Y207" s="585"/>
      <c r="Z207" s="585"/>
      <c r="AA207" s="585"/>
      <c r="AB207" s="585"/>
      <c r="AC207" s="585"/>
      <c r="AD207" s="585"/>
      <c r="AE207" s="585"/>
      <c r="AF207" s="585"/>
      <c r="AG207" s="585"/>
      <c r="AH207" s="585"/>
      <c r="AI207" s="585"/>
      <c r="AJ207" s="585"/>
      <c r="AK207" s="585"/>
      <c r="AL207" s="585"/>
      <c r="AM207" s="585"/>
      <c r="AN207" s="585"/>
      <c r="AO207" s="585"/>
      <c r="AP207" s="585"/>
      <c r="AQ207" s="585"/>
      <c r="AR207" s="585"/>
    </row>
    <row r="208">
      <c r="A208" s="621"/>
      <c r="B208" s="634" t="str">
        <f>IFERROR(__xludf.DUMMYFUNCTION("""COMPUTED_VALUE"""),"Air")</f>
        <v>Air</v>
      </c>
      <c r="C208" s="26"/>
      <c r="D208" s="602" t="str">
        <f>IFERROR(__xludf.DUMMYFUNCTION("""COMPUTED_VALUE"""),"PMAX")</f>
        <v>PMAX</v>
      </c>
      <c r="E208" s="624" t="str">
        <f>IFERROR(__xludf.DUMMYFUNCTION("""COMPUTED_VALUE"""),"Not start yet")</f>
        <v>Not start yet</v>
      </c>
      <c r="F208" s="604" t="str">
        <f>IFERROR(__xludf.DUMMYFUNCTION("""COMPUTED_VALUE"""),"TBU")</f>
        <v>TBU</v>
      </c>
      <c r="G208" s="639" t="str">
        <f>IFERROR(__xludf.DUMMYFUNCTION("""COMPUTED_VALUE"""),"TBU")</f>
        <v>TBU</v>
      </c>
      <c r="H208" s="585"/>
      <c r="I208" s="636">
        <v>1.0</v>
      </c>
      <c r="J208" s="585"/>
      <c r="K208" s="585"/>
      <c r="L208" s="585"/>
      <c r="M208" s="585"/>
      <c r="N208" s="585"/>
      <c r="O208" s="585"/>
      <c r="P208" s="585"/>
      <c r="Q208" s="585"/>
      <c r="R208" s="585"/>
      <c r="S208" s="585"/>
      <c r="T208" s="585"/>
      <c r="U208" s="585"/>
      <c r="V208" s="585"/>
      <c r="W208" s="585"/>
      <c r="X208" s="585"/>
      <c r="Y208" s="585"/>
      <c r="Z208" s="585"/>
      <c r="AA208" s="585"/>
      <c r="AB208" s="585"/>
      <c r="AC208" s="585"/>
      <c r="AD208" s="585"/>
      <c r="AE208" s="585"/>
      <c r="AF208" s="585"/>
      <c r="AG208" s="585"/>
      <c r="AH208" s="585"/>
      <c r="AI208" s="585"/>
      <c r="AJ208" s="585"/>
      <c r="AK208" s="585"/>
      <c r="AL208" s="585"/>
      <c r="AM208" s="585"/>
      <c r="AN208" s="585"/>
      <c r="AO208" s="585"/>
      <c r="AP208" s="585"/>
      <c r="AQ208" s="585"/>
      <c r="AR208" s="585"/>
    </row>
    <row r="209">
      <c r="A209" s="637">
        <f>IFERROR(__xludf.DUMMYFUNCTION("""COMPUTED_VALUE"""),14.0)</f>
        <v>14</v>
      </c>
      <c r="B209" s="616" t="str">
        <f>IFERROR(__xludf.DUMMYFUNCTION("""COMPUTED_VALUE"""),"Hi Ân nè")</f>
        <v>Hi Ân nè</v>
      </c>
      <c r="C209" s="617"/>
      <c r="D209" s="618"/>
      <c r="E209" s="619"/>
      <c r="F209" s="619"/>
      <c r="G209" s="619"/>
      <c r="H209" s="585"/>
      <c r="I209" s="585"/>
      <c r="J209" s="585"/>
      <c r="K209" s="585"/>
      <c r="L209" s="585"/>
      <c r="M209" s="585"/>
      <c r="N209" s="585"/>
      <c r="O209" s="585"/>
      <c r="P209" s="585"/>
      <c r="Q209" s="585"/>
      <c r="R209" s="585"/>
      <c r="S209" s="585"/>
      <c r="T209" s="585"/>
      <c r="U209" s="585"/>
      <c r="V209" s="585"/>
      <c r="W209" s="585"/>
      <c r="X209" s="585"/>
      <c r="Y209" s="585"/>
      <c r="Z209" s="585"/>
      <c r="AA209" s="585"/>
      <c r="AB209" s="585"/>
      <c r="AC209" s="585"/>
      <c r="AD209" s="585"/>
      <c r="AE209" s="585"/>
      <c r="AF209" s="585"/>
      <c r="AG209" s="585"/>
      <c r="AH209" s="585"/>
      <c r="AI209" s="585"/>
      <c r="AJ209" s="585"/>
      <c r="AK209" s="585"/>
      <c r="AL209" s="585"/>
      <c r="AM209" s="585"/>
      <c r="AN209" s="585"/>
      <c r="AO209" s="585"/>
      <c r="AP209" s="585"/>
      <c r="AQ209" s="585"/>
      <c r="AR209" s="585"/>
    </row>
    <row r="210">
      <c r="A210" s="621"/>
      <c r="B210" s="622" t="str">
        <f>IFERROR(__xludf.DUMMYFUNCTION("""COMPUTED_VALUE"""),"Briefing cho Influencer")</f>
        <v>Briefing cho Influencer</v>
      </c>
      <c r="C210" s="623"/>
      <c r="D210" s="602" t="str">
        <f>IFERROR(__xludf.DUMMYFUNCTION("""COMPUTED_VALUE"""),"PMAX")</f>
        <v>PMAX</v>
      </c>
      <c r="E210" s="624" t="str">
        <f>IFERROR(__xludf.DUMMYFUNCTION("""COMPUTED_VALUE"""),"Not start yet")</f>
        <v>Not start yet</v>
      </c>
      <c r="F210" s="604">
        <f>IFERROR(__xludf.DUMMYFUNCTION("""COMPUTED_VALUE"""),46147.0)</f>
        <v>46147</v>
      </c>
      <c r="G210" s="639">
        <f>IFERROR(__xludf.DUMMYFUNCTION("""COMPUTED_VALUE"""),46148.0)</f>
        <v>46148</v>
      </c>
      <c r="H210" s="585"/>
      <c r="I210" s="625"/>
      <c r="J210" s="626" t="s">
        <v>882</v>
      </c>
      <c r="K210" s="585"/>
      <c r="L210" s="585"/>
      <c r="M210" s="585"/>
      <c r="N210" s="585"/>
      <c r="O210" s="585"/>
      <c r="P210" s="585"/>
      <c r="Q210" s="585"/>
      <c r="R210" s="585"/>
      <c r="S210" s="585"/>
      <c r="T210" s="585"/>
      <c r="U210" s="585"/>
      <c r="V210" s="585"/>
      <c r="W210" s="585"/>
      <c r="X210" s="585"/>
      <c r="Y210" s="585"/>
      <c r="Z210" s="585"/>
      <c r="AA210" s="585"/>
      <c r="AB210" s="585"/>
      <c r="AC210" s="585"/>
      <c r="AD210" s="585"/>
      <c r="AE210" s="585"/>
      <c r="AF210" s="585"/>
      <c r="AG210" s="585"/>
      <c r="AH210" s="585"/>
      <c r="AI210" s="585"/>
      <c r="AJ210" s="585"/>
      <c r="AK210" s="585"/>
      <c r="AL210" s="585"/>
      <c r="AM210" s="585"/>
      <c r="AN210" s="585"/>
      <c r="AO210" s="585"/>
      <c r="AP210" s="585"/>
      <c r="AQ210" s="585"/>
      <c r="AR210" s="585"/>
    </row>
    <row r="211">
      <c r="A211" s="621"/>
      <c r="B211" s="627" t="str">
        <f>IFERROR(__xludf.DUMMYFUNCTION("""COMPUTED_VALUE"""),"Script R1 + Outfits")</f>
        <v>Script R1 + Outfits</v>
      </c>
      <c r="C211" s="628"/>
      <c r="D211" s="602" t="str">
        <f>IFERROR(__xludf.DUMMYFUNCTION("""COMPUTED_VALUE"""),"PMAX")</f>
        <v>PMAX</v>
      </c>
      <c r="E211" s="624" t="str">
        <f>IFERROR(__xludf.DUMMYFUNCTION("""COMPUTED_VALUE"""),"Not start yet")</f>
        <v>Not start yet</v>
      </c>
      <c r="F211" s="604">
        <f>IFERROR(__xludf.DUMMYFUNCTION("""COMPUTED_VALUE"""),46148.0)</f>
        <v>46148</v>
      </c>
      <c r="G211" s="639">
        <f>IFERROR(__xludf.DUMMYFUNCTION("""COMPUTED_VALUE"""),46150.0)</f>
        <v>46150</v>
      </c>
      <c r="H211" s="585"/>
      <c r="I211" s="629">
        <v>1.0</v>
      </c>
      <c r="J211" s="630" t="s">
        <v>883</v>
      </c>
      <c r="K211" s="585"/>
      <c r="L211" s="585"/>
      <c r="M211" s="585"/>
      <c r="N211" s="585"/>
      <c r="O211" s="585"/>
      <c r="P211" s="585"/>
      <c r="Q211" s="585"/>
      <c r="R211" s="585"/>
      <c r="S211" s="585"/>
      <c r="T211" s="585"/>
      <c r="U211" s="585"/>
      <c r="V211" s="585"/>
      <c r="W211" s="585"/>
      <c r="X211" s="585"/>
      <c r="Y211" s="585"/>
      <c r="Z211" s="585"/>
      <c r="AA211" s="585"/>
      <c r="AB211" s="585"/>
      <c r="AC211" s="585"/>
      <c r="AD211" s="585"/>
      <c r="AE211" s="585"/>
      <c r="AF211" s="585"/>
      <c r="AG211" s="585"/>
      <c r="AH211" s="585"/>
      <c r="AI211" s="585"/>
      <c r="AJ211" s="585"/>
      <c r="AK211" s="585"/>
      <c r="AL211" s="585"/>
      <c r="AM211" s="585"/>
      <c r="AN211" s="585"/>
      <c r="AO211" s="585"/>
      <c r="AP211" s="585"/>
      <c r="AQ211" s="585"/>
      <c r="AR211" s="585"/>
    </row>
    <row r="212">
      <c r="A212" s="621"/>
      <c r="B212" s="627" t="str">
        <f>IFERROR(__xludf.DUMMYFUNCTION("""COMPUTED_VALUE"""),"Feedback Script R1 + outfits")</f>
        <v>Feedback Script R1 + outfits</v>
      </c>
      <c r="C212" s="628"/>
      <c r="D212" s="602" t="str">
        <f>IFERROR(__xludf.DUMMYFUNCTION("""COMPUTED_VALUE"""),"BRAND")</f>
        <v>BRAND</v>
      </c>
      <c r="E212" s="624" t="str">
        <f>IFERROR(__xludf.DUMMYFUNCTION("""COMPUTED_VALUE"""),"Not start yet")</f>
        <v>Not start yet</v>
      </c>
      <c r="F212" s="604">
        <f>IFERROR(__xludf.DUMMYFUNCTION("""COMPUTED_VALUE"""),46150.0)</f>
        <v>46150</v>
      </c>
      <c r="G212" s="639">
        <f>IFERROR(__xludf.DUMMYFUNCTION("""COMPUTED_VALUE"""),46150.0)</f>
        <v>46150</v>
      </c>
      <c r="H212" s="585"/>
      <c r="I212" s="625"/>
      <c r="J212" s="630" t="s">
        <v>884</v>
      </c>
      <c r="K212" s="585"/>
      <c r="L212" s="585"/>
      <c r="M212" s="585"/>
      <c r="N212" s="585"/>
      <c r="O212" s="585"/>
      <c r="P212" s="585"/>
      <c r="Q212" s="585"/>
      <c r="R212" s="585"/>
      <c r="S212" s="585"/>
      <c r="T212" s="585"/>
      <c r="U212" s="585"/>
      <c r="V212" s="585"/>
      <c r="W212" s="585"/>
      <c r="X212" s="585"/>
      <c r="Y212" s="585"/>
      <c r="Z212" s="585"/>
      <c r="AA212" s="585"/>
      <c r="AB212" s="585"/>
      <c r="AC212" s="585"/>
      <c r="AD212" s="585"/>
      <c r="AE212" s="585"/>
      <c r="AF212" s="585"/>
      <c r="AG212" s="585"/>
      <c r="AH212" s="585"/>
      <c r="AI212" s="585"/>
      <c r="AJ212" s="585"/>
      <c r="AK212" s="585"/>
      <c r="AL212" s="585"/>
      <c r="AM212" s="585"/>
      <c r="AN212" s="585"/>
      <c r="AO212" s="585"/>
      <c r="AP212" s="585"/>
      <c r="AQ212" s="585"/>
      <c r="AR212" s="585"/>
    </row>
    <row r="213">
      <c r="A213" s="621"/>
      <c r="B213" s="631" t="str">
        <f>IFERROR(__xludf.DUMMYFUNCTION("""COMPUTED_VALUE"""),"Script R2")</f>
        <v>Script R2</v>
      </c>
      <c r="C213" s="628"/>
      <c r="D213" s="632" t="str">
        <f>IFERROR(__xludf.DUMMYFUNCTION("""COMPUTED_VALUE"""),"PMAX")</f>
        <v>PMAX</v>
      </c>
      <c r="E213" s="624" t="str">
        <f>IFERROR(__xludf.DUMMYFUNCTION("""COMPUTED_VALUE"""),"Not start yet")</f>
        <v>Not start yet</v>
      </c>
      <c r="F213" s="604">
        <f>IFERROR(__xludf.DUMMYFUNCTION("""COMPUTED_VALUE"""),46151.0)</f>
        <v>46151</v>
      </c>
      <c r="G213" s="639">
        <f>IFERROR(__xludf.DUMMYFUNCTION("""COMPUTED_VALUE"""),46152.0)</f>
        <v>46152</v>
      </c>
      <c r="H213" s="585"/>
      <c r="I213" s="625"/>
      <c r="J213" s="630"/>
      <c r="K213" s="585"/>
      <c r="L213" s="585"/>
      <c r="M213" s="585"/>
      <c r="N213" s="585"/>
      <c r="O213" s="585"/>
      <c r="P213" s="585"/>
      <c r="Q213" s="585"/>
      <c r="R213" s="585"/>
      <c r="S213" s="585"/>
      <c r="T213" s="585"/>
      <c r="U213" s="585"/>
      <c r="V213" s="585"/>
      <c r="W213" s="585"/>
      <c r="X213" s="585"/>
      <c r="Y213" s="585"/>
      <c r="Z213" s="585"/>
      <c r="AA213" s="585"/>
      <c r="AB213" s="585"/>
      <c r="AC213" s="585"/>
      <c r="AD213" s="585"/>
      <c r="AE213" s="585"/>
      <c r="AF213" s="585"/>
      <c r="AG213" s="585"/>
      <c r="AH213" s="585"/>
      <c r="AI213" s="585"/>
      <c r="AJ213" s="585"/>
      <c r="AK213" s="585"/>
      <c r="AL213" s="585"/>
      <c r="AM213" s="585"/>
      <c r="AN213" s="585"/>
      <c r="AO213" s="585"/>
      <c r="AP213" s="585"/>
      <c r="AQ213" s="585"/>
      <c r="AR213" s="585"/>
    </row>
    <row r="214">
      <c r="A214" s="621"/>
      <c r="B214" s="631" t="str">
        <f>IFERROR(__xludf.DUMMYFUNCTION("""COMPUTED_VALUE"""),"Feedback Script R2")</f>
        <v>Feedback Script R2</v>
      </c>
      <c r="C214" s="628"/>
      <c r="D214" s="632" t="str">
        <f>IFERROR(__xludf.DUMMYFUNCTION("""COMPUTED_VALUE"""),"BRAND")</f>
        <v>BRAND</v>
      </c>
      <c r="E214" s="624" t="str">
        <f>IFERROR(__xludf.DUMMYFUNCTION("""COMPUTED_VALUE"""),"Not start yet")</f>
        <v>Not start yet</v>
      </c>
      <c r="F214" s="604">
        <f>IFERROR(__xludf.DUMMYFUNCTION("""COMPUTED_VALUE"""),46153.0)</f>
        <v>46153</v>
      </c>
      <c r="G214" s="639">
        <f>IFERROR(__xludf.DUMMYFUNCTION("""COMPUTED_VALUE"""),46153.0)</f>
        <v>46153</v>
      </c>
      <c r="H214" s="585"/>
      <c r="I214" s="625"/>
      <c r="J214" s="630"/>
      <c r="K214" s="585"/>
      <c r="L214" s="585"/>
      <c r="M214" s="585"/>
      <c r="N214" s="585"/>
      <c r="O214" s="585"/>
      <c r="P214" s="585"/>
      <c r="Q214" s="585"/>
      <c r="R214" s="585"/>
      <c r="S214" s="585"/>
      <c r="T214" s="585"/>
      <c r="U214" s="585"/>
      <c r="V214" s="585"/>
      <c r="W214" s="585"/>
      <c r="X214" s="585"/>
      <c r="Y214" s="585"/>
      <c r="Z214" s="585"/>
      <c r="AA214" s="585"/>
      <c r="AB214" s="585"/>
      <c r="AC214" s="585"/>
      <c r="AD214" s="585"/>
      <c r="AE214" s="585"/>
      <c r="AF214" s="585"/>
      <c r="AG214" s="585"/>
      <c r="AH214" s="585"/>
      <c r="AI214" s="585"/>
      <c r="AJ214" s="585"/>
      <c r="AK214" s="585"/>
      <c r="AL214" s="585"/>
      <c r="AM214" s="585"/>
      <c r="AN214" s="585"/>
      <c r="AO214" s="585"/>
      <c r="AP214" s="585"/>
      <c r="AQ214" s="585"/>
      <c r="AR214" s="585"/>
    </row>
    <row r="215">
      <c r="A215" s="621"/>
      <c r="B215" s="627" t="str">
        <f>IFERROR(__xludf.DUMMYFUNCTION("""COMPUTED_VALUE"""),"Finalize scripts + outfits")</f>
        <v>Finalize scripts + outfits</v>
      </c>
      <c r="C215" s="628"/>
      <c r="D215" s="602" t="str">
        <f>IFERROR(__xludf.DUMMYFUNCTION("""COMPUTED_VALUE"""),"PMAX-BRAND")</f>
        <v>PMAX-BRAND</v>
      </c>
      <c r="E215" s="624" t="str">
        <f>IFERROR(__xludf.DUMMYFUNCTION("""COMPUTED_VALUE"""),"Not start yet")</f>
        <v>Not start yet</v>
      </c>
      <c r="F215" s="604">
        <f>IFERROR(__xludf.DUMMYFUNCTION("""COMPUTED_VALUE"""),46153.0)</f>
        <v>46153</v>
      </c>
      <c r="G215" s="639">
        <f>IFERROR(__xludf.DUMMYFUNCTION("""COMPUTED_VALUE"""),46153.0)</f>
        <v>46153</v>
      </c>
      <c r="H215" s="585"/>
      <c r="I215" s="629">
        <v>1.0</v>
      </c>
      <c r="J215" s="630" t="s">
        <v>885</v>
      </c>
      <c r="K215" s="585"/>
      <c r="L215" s="585"/>
      <c r="M215" s="585"/>
      <c r="N215" s="585"/>
      <c r="O215" s="585"/>
      <c r="P215" s="585"/>
      <c r="Q215" s="585"/>
      <c r="R215" s="585"/>
      <c r="S215" s="585"/>
      <c r="T215" s="585"/>
      <c r="U215" s="585"/>
      <c r="V215" s="585"/>
      <c r="W215" s="585"/>
      <c r="X215" s="585"/>
      <c r="Y215" s="585"/>
      <c r="Z215" s="585"/>
      <c r="AA215" s="585"/>
      <c r="AB215" s="585"/>
      <c r="AC215" s="585"/>
      <c r="AD215" s="585"/>
      <c r="AE215" s="585"/>
      <c r="AF215" s="585"/>
      <c r="AG215" s="585"/>
      <c r="AH215" s="585"/>
      <c r="AI215" s="585"/>
      <c r="AJ215" s="585"/>
      <c r="AK215" s="585"/>
      <c r="AL215" s="585"/>
      <c r="AM215" s="585"/>
      <c r="AN215" s="585"/>
      <c r="AO215" s="585"/>
      <c r="AP215" s="585"/>
      <c r="AQ215" s="585"/>
      <c r="AR215" s="585"/>
    </row>
    <row r="216">
      <c r="A216" s="621"/>
      <c r="B216" s="627" t="str">
        <f>IFERROR(__xludf.DUMMYFUNCTION("""COMPUTED_VALUE"""),"Đi quay tại site")</f>
        <v>Đi quay tại site</v>
      </c>
      <c r="C216" s="628"/>
      <c r="D216" s="602" t="str">
        <f>IFERROR(__xludf.DUMMYFUNCTION("""COMPUTED_VALUE"""),"PMAX")</f>
        <v>PMAX</v>
      </c>
      <c r="E216" s="624" t="str">
        <f>IFERROR(__xludf.DUMMYFUNCTION("""COMPUTED_VALUE"""),"Not start yet")</f>
        <v>Not start yet</v>
      </c>
      <c r="F216" s="604">
        <f>IFERROR(__xludf.DUMMYFUNCTION("""COMPUTED_VALUE"""),46154.0)</f>
        <v>46154</v>
      </c>
      <c r="G216" s="639">
        <f>IFERROR(__xludf.DUMMYFUNCTION("""COMPUTED_VALUE"""),46156.0)</f>
        <v>46156</v>
      </c>
      <c r="H216" s="585"/>
      <c r="I216" s="629">
        <v>2.0</v>
      </c>
      <c r="J216" s="625"/>
      <c r="K216" s="585"/>
      <c r="L216" s="585"/>
      <c r="M216" s="585"/>
      <c r="N216" s="585"/>
      <c r="O216" s="585"/>
      <c r="P216" s="585"/>
      <c r="Q216" s="585"/>
      <c r="R216" s="585"/>
      <c r="S216" s="585"/>
      <c r="T216" s="585"/>
      <c r="U216" s="585"/>
      <c r="V216" s="585"/>
      <c r="W216" s="585"/>
      <c r="X216" s="585"/>
      <c r="Y216" s="585"/>
      <c r="Z216" s="585"/>
      <c r="AA216" s="585"/>
      <c r="AB216" s="585"/>
      <c r="AC216" s="585"/>
      <c r="AD216" s="585"/>
      <c r="AE216" s="585"/>
      <c r="AF216" s="585"/>
      <c r="AG216" s="585"/>
      <c r="AH216" s="585"/>
      <c r="AI216" s="585"/>
      <c r="AJ216" s="585"/>
      <c r="AK216" s="585"/>
      <c r="AL216" s="585"/>
      <c r="AM216" s="585"/>
      <c r="AN216" s="585"/>
      <c r="AO216" s="585"/>
      <c r="AP216" s="585"/>
      <c r="AQ216" s="585"/>
      <c r="AR216" s="585"/>
    </row>
    <row r="217">
      <c r="A217" s="621"/>
      <c r="B217" s="633" t="str">
        <f>IFERROR(__xludf.DUMMYFUNCTION("""COMPUTED_VALUE"""),"Demo R1")</f>
        <v>Demo R1</v>
      </c>
      <c r="C217" s="628"/>
      <c r="D217" s="602" t="str">
        <f>IFERROR(__xludf.DUMMYFUNCTION("""COMPUTED_VALUE"""),"PMAX")</f>
        <v>PMAX</v>
      </c>
      <c r="E217" s="624" t="str">
        <f>IFERROR(__xludf.DUMMYFUNCTION("""COMPUTED_VALUE"""),"Not start yet")</f>
        <v>Not start yet</v>
      </c>
      <c r="F217" s="604">
        <f>IFERROR(__xludf.DUMMYFUNCTION("""COMPUTED_VALUE"""),46156.0)</f>
        <v>46156</v>
      </c>
      <c r="G217" s="639">
        <f>IFERROR(__xludf.DUMMYFUNCTION("""COMPUTED_VALUE"""),46159.0)</f>
        <v>46159</v>
      </c>
      <c r="H217" s="585"/>
      <c r="I217" s="629">
        <v>4.0</v>
      </c>
      <c r="J217" s="630" t="s">
        <v>886</v>
      </c>
      <c r="K217" s="585"/>
      <c r="L217" s="585"/>
      <c r="M217" s="585"/>
      <c r="N217" s="585"/>
      <c r="O217" s="585"/>
      <c r="P217" s="585"/>
      <c r="Q217" s="585"/>
      <c r="R217" s="585"/>
      <c r="S217" s="585"/>
      <c r="T217" s="585"/>
      <c r="U217" s="585"/>
      <c r="V217" s="585"/>
      <c r="W217" s="585"/>
      <c r="X217" s="585"/>
      <c r="Y217" s="585"/>
      <c r="Z217" s="585"/>
      <c r="AA217" s="585"/>
      <c r="AB217" s="585"/>
      <c r="AC217" s="585"/>
      <c r="AD217" s="585"/>
      <c r="AE217" s="585"/>
      <c r="AF217" s="585"/>
      <c r="AG217" s="585"/>
      <c r="AH217" s="585"/>
      <c r="AI217" s="585"/>
      <c r="AJ217" s="585"/>
      <c r="AK217" s="585"/>
      <c r="AL217" s="585"/>
      <c r="AM217" s="585"/>
      <c r="AN217" s="585"/>
      <c r="AO217" s="585"/>
      <c r="AP217" s="585"/>
      <c r="AQ217" s="585"/>
      <c r="AR217" s="585"/>
    </row>
    <row r="218">
      <c r="A218" s="621"/>
      <c r="B218" s="627" t="str">
        <f>IFERROR(__xludf.DUMMYFUNCTION("""COMPUTED_VALUE"""),"Feedback demo R1")</f>
        <v>Feedback demo R1</v>
      </c>
      <c r="C218" s="628"/>
      <c r="D218" s="602" t="str">
        <f>IFERROR(__xludf.DUMMYFUNCTION("""COMPUTED_VALUE"""),"BRAND")</f>
        <v>BRAND</v>
      </c>
      <c r="E218" s="624" t="str">
        <f>IFERROR(__xludf.DUMMYFUNCTION("""COMPUTED_VALUE"""),"Not start yet")</f>
        <v>Not start yet</v>
      </c>
      <c r="F218" s="604">
        <f>IFERROR(__xludf.DUMMYFUNCTION("""COMPUTED_VALUE"""),46160.0)</f>
        <v>46160</v>
      </c>
      <c r="G218" s="639">
        <f>IFERROR(__xludf.DUMMYFUNCTION("""COMPUTED_VALUE"""),46160.0)</f>
        <v>46160</v>
      </c>
      <c r="H218" s="585"/>
      <c r="I218" s="625"/>
      <c r="J218" s="630" t="s">
        <v>887</v>
      </c>
      <c r="K218" s="585"/>
      <c r="L218" s="585"/>
      <c r="M218" s="585"/>
      <c r="N218" s="585"/>
      <c r="O218" s="585"/>
      <c r="P218" s="585"/>
      <c r="Q218" s="585"/>
      <c r="R218" s="585"/>
      <c r="S218" s="585"/>
      <c r="T218" s="585"/>
      <c r="U218" s="585"/>
      <c r="V218" s="585"/>
      <c r="W218" s="585"/>
      <c r="X218" s="585"/>
      <c r="Y218" s="585"/>
      <c r="Z218" s="585"/>
      <c r="AA218" s="585"/>
      <c r="AB218" s="585"/>
      <c r="AC218" s="585"/>
      <c r="AD218" s="585"/>
      <c r="AE218" s="585"/>
      <c r="AF218" s="585"/>
      <c r="AG218" s="585"/>
      <c r="AH218" s="585"/>
      <c r="AI218" s="585"/>
      <c r="AJ218" s="585"/>
      <c r="AK218" s="585"/>
      <c r="AL218" s="585"/>
      <c r="AM218" s="585"/>
      <c r="AN218" s="585"/>
      <c r="AO218" s="585"/>
      <c r="AP218" s="585"/>
      <c r="AQ218" s="585"/>
      <c r="AR218" s="585"/>
    </row>
    <row r="219">
      <c r="A219" s="621"/>
      <c r="B219" s="633" t="str">
        <f>IFERROR(__xludf.DUMMYFUNCTION("""COMPUTED_VALUE"""),"Demo R2")</f>
        <v>Demo R2</v>
      </c>
      <c r="C219" s="628"/>
      <c r="D219" s="602" t="str">
        <f>IFERROR(__xludf.DUMMYFUNCTION("""COMPUTED_VALUE"""),"PMAX")</f>
        <v>PMAX</v>
      </c>
      <c r="E219" s="624" t="str">
        <f>IFERROR(__xludf.DUMMYFUNCTION("""COMPUTED_VALUE"""),"Not start yet")</f>
        <v>Not start yet</v>
      </c>
      <c r="F219" s="604">
        <f>IFERROR(__xludf.DUMMYFUNCTION("""COMPUTED_VALUE"""),46161.0)</f>
        <v>46161</v>
      </c>
      <c r="G219" s="639">
        <f>IFERROR(__xludf.DUMMYFUNCTION("""COMPUTED_VALUE"""),46163.0)</f>
        <v>46163</v>
      </c>
      <c r="H219" s="585"/>
      <c r="I219" s="625"/>
      <c r="J219" s="625"/>
      <c r="K219" s="585"/>
      <c r="L219" s="585"/>
      <c r="M219" s="585"/>
      <c r="N219" s="585"/>
      <c r="O219" s="585"/>
      <c r="P219" s="585"/>
      <c r="Q219" s="585"/>
      <c r="R219" s="585"/>
      <c r="S219" s="585"/>
      <c r="T219" s="585"/>
      <c r="U219" s="585"/>
      <c r="V219" s="585"/>
      <c r="W219" s="585"/>
      <c r="X219" s="585"/>
      <c r="Y219" s="585"/>
      <c r="Z219" s="585"/>
      <c r="AA219" s="585"/>
      <c r="AB219" s="585"/>
      <c r="AC219" s="585"/>
      <c r="AD219" s="585"/>
      <c r="AE219" s="585"/>
      <c r="AF219" s="585"/>
      <c r="AG219" s="585"/>
      <c r="AH219" s="585"/>
      <c r="AI219" s="585"/>
      <c r="AJ219" s="585"/>
      <c r="AK219" s="585"/>
      <c r="AL219" s="585"/>
      <c r="AM219" s="585"/>
      <c r="AN219" s="585"/>
      <c r="AO219" s="585"/>
      <c r="AP219" s="585"/>
      <c r="AQ219" s="585"/>
      <c r="AR219" s="585"/>
    </row>
    <row r="220">
      <c r="A220" s="621"/>
      <c r="B220" s="627" t="str">
        <f>IFERROR(__xludf.DUMMYFUNCTION("""COMPUTED_VALUE"""),"Feedback demo R2")</f>
        <v>Feedback demo R2</v>
      </c>
      <c r="C220" s="628"/>
      <c r="D220" s="602" t="str">
        <f>IFERROR(__xludf.DUMMYFUNCTION("""COMPUTED_VALUE"""),"BRAND")</f>
        <v>BRAND</v>
      </c>
      <c r="E220" s="624" t="str">
        <f>IFERROR(__xludf.DUMMYFUNCTION("""COMPUTED_VALUE"""),"Not start yet")</f>
        <v>Not start yet</v>
      </c>
      <c r="F220" s="604">
        <f>IFERROR(__xludf.DUMMYFUNCTION("""COMPUTED_VALUE"""),46164.0)</f>
        <v>46164</v>
      </c>
      <c r="G220" s="639">
        <f>IFERROR(__xludf.DUMMYFUNCTION("""COMPUTED_VALUE"""),46164.0)</f>
        <v>46164</v>
      </c>
      <c r="H220" s="585"/>
      <c r="I220" s="625"/>
      <c r="J220" s="625"/>
      <c r="K220" s="585"/>
      <c r="L220" s="585"/>
      <c r="M220" s="585"/>
      <c r="N220" s="585"/>
      <c r="O220" s="585"/>
      <c r="P220" s="585"/>
      <c r="Q220" s="585"/>
      <c r="R220" s="585"/>
      <c r="S220" s="585"/>
      <c r="T220" s="585"/>
      <c r="U220" s="585"/>
      <c r="V220" s="585"/>
      <c r="W220" s="585"/>
      <c r="X220" s="585"/>
      <c r="Y220" s="585"/>
      <c r="Z220" s="585"/>
      <c r="AA220" s="585"/>
      <c r="AB220" s="585"/>
      <c r="AC220" s="585"/>
      <c r="AD220" s="585"/>
      <c r="AE220" s="585"/>
      <c r="AF220" s="585"/>
      <c r="AG220" s="585"/>
      <c r="AH220" s="585"/>
      <c r="AI220" s="585"/>
      <c r="AJ220" s="585"/>
      <c r="AK220" s="585"/>
      <c r="AL220" s="585"/>
      <c r="AM220" s="585"/>
      <c r="AN220" s="585"/>
      <c r="AO220" s="585"/>
      <c r="AP220" s="585"/>
      <c r="AQ220" s="585"/>
      <c r="AR220" s="585"/>
    </row>
    <row r="221">
      <c r="A221" s="621"/>
      <c r="B221" s="627" t="str">
        <f>IFERROR(__xludf.DUMMYFUNCTION("""COMPUTED_VALUE"""),"Finalize demo")</f>
        <v>Finalize demo</v>
      </c>
      <c r="C221" s="628"/>
      <c r="D221" s="602" t="str">
        <f>IFERROR(__xludf.DUMMYFUNCTION("""COMPUTED_VALUE"""),"PMAX")</f>
        <v>PMAX</v>
      </c>
      <c r="E221" s="624" t="str">
        <f>IFERROR(__xludf.DUMMYFUNCTION("""COMPUTED_VALUE"""),"Not start yet")</f>
        <v>Not start yet</v>
      </c>
      <c r="F221" s="604">
        <f>IFERROR(__xludf.DUMMYFUNCTION("""COMPUTED_VALUE"""),46164.0)</f>
        <v>46164</v>
      </c>
      <c r="G221" s="639">
        <f>IFERROR(__xludf.DUMMYFUNCTION("""COMPUTED_VALUE"""),46164.0)</f>
        <v>46164</v>
      </c>
      <c r="H221" s="585"/>
      <c r="I221" s="629">
        <v>1.0</v>
      </c>
      <c r="J221" s="630" t="s">
        <v>888</v>
      </c>
      <c r="K221" s="585"/>
      <c r="L221" s="585"/>
      <c r="M221" s="585"/>
      <c r="N221" s="585"/>
      <c r="O221" s="585"/>
      <c r="P221" s="585"/>
      <c r="Q221" s="585"/>
      <c r="R221" s="585"/>
      <c r="S221" s="585"/>
      <c r="T221" s="585"/>
      <c r="U221" s="585"/>
      <c r="V221" s="585"/>
      <c r="W221" s="585"/>
      <c r="X221" s="585"/>
      <c r="Y221" s="585"/>
      <c r="Z221" s="585"/>
      <c r="AA221" s="585"/>
      <c r="AB221" s="585"/>
      <c r="AC221" s="585"/>
      <c r="AD221" s="585"/>
      <c r="AE221" s="585"/>
      <c r="AF221" s="585"/>
      <c r="AG221" s="585"/>
      <c r="AH221" s="585"/>
      <c r="AI221" s="585"/>
      <c r="AJ221" s="585"/>
      <c r="AK221" s="585"/>
      <c r="AL221" s="585"/>
      <c r="AM221" s="585"/>
      <c r="AN221" s="585"/>
      <c r="AO221" s="585"/>
      <c r="AP221" s="585"/>
      <c r="AQ221" s="585"/>
      <c r="AR221" s="585"/>
    </row>
    <row r="222">
      <c r="A222" s="621"/>
      <c r="B222" s="634" t="str">
        <f>IFERROR(__xludf.DUMMYFUNCTION("""COMPUTED_VALUE"""),"Air")</f>
        <v>Air</v>
      </c>
      <c r="C222" s="26"/>
      <c r="D222" s="602" t="str">
        <f>IFERROR(__xludf.DUMMYFUNCTION("""COMPUTED_VALUE"""),"PMAX")</f>
        <v>PMAX</v>
      </c>
      <c r="E222" s="624" t="str">
        <f>IFERROR(__xludf.DUMMYFUNCTION("""COMPUTED_VALUE"""),"Not start yet")</f>
        <v>Not start yet</v>
      </c>
      <c r="F222" s="604" t="str">
        <f>IFERROR(__xludf.DUMMYFUNCTION("""COMPUTED_VALUE"""),"TBU")</f>
        <v>TBU</v>
      </c>
      <c r="G222" s="639" t="str">
        <f>IFERROR(__xludf.DUMMYFUNCTION("""COMPUTED_VALUE"""),"TBU")</f>
        <v>TBU</v>
      </c>
      <c r="H222" s="585"/>
      <c r="I222" s="636">
        <v>1.0</v>
      </c>
      <c r="J222" s="585"/>
      <c r="K222" s="585"/>
      <c r="L222" s="585"/>
      <c r="M222" s="585"/>
      <c r="N222" s="585"/>
      <c r="O222" s="585"/>
      <c r="P222" s="585"/>
      <c r="Q222" s="585"/>
      <c r="R222" s="585"/>
      <c r="S222" s="585"/>
      <c r="T222" s="585"/>
      <c r="U222" s="585"/>
      <c r="V222" s="585"/>
      <c r="W222" s="585"/>
      <c r="X222" s="585"/>
      <c r="Y222" s="585"/>
      <c r="Z222" s="585"/>
      <c r="AA222" s="585"/>
      <c r="AB222" s="585"/>
      <c r="AC222" s="585"/>
      <c r="AD222" s="585"/>
      <c r="AE222" s="585"/>
      <c r="AF222" s="585"/>
      <c r="AG222" s="585"/>
      <c r="AH222" s="585"/>
      <c r="AI222" s="585"/>
      <c r="AJ222" s="585"/>
      <c r="AK222" s="585"/>
      <c r="AL222" s="585"/>
      <c r="AM222" s="585"/>
      <c r="AN222" s="585"/>
      <c r="AO222" s="585"/>
      <c r="AP222" s="585"/>
      <c r="AQ222" s="585"/>
      <c r="AR222" s="585"/>
    </row>
    <row r="223">
      <c r="A223" s="637">
        <f>IFERROR(__xludf.DUMMYFUNCTION("""COMPUTED_VALUE"""),15.0)</f>
        <v>15</v>
      </c>
      <c r="B223" s="616" t="str">
        <f>IFERROR(__xludf.DUMMYFUNCTION("""COMPUTED_VALUE"""),"vuvicungyuhi")</f>
        <v>vuvicungyuhi</v>
      </c>
      <c r="C223" s="617"/>
      <c r="D223" s="618"/>
      <c r="E223" s="619"/>
      <c r="F223" s="619"/>
      <c r="G223" s="619"/>
      <c r="H223" s="585"/>
      <c r="I223" s="585"/>
      <c r="J223" s="585"/>
      <c r="K223" s="585"/>
      <c r="L223" s="585"/>
      <c r="M223" s="585"/>
      <c r="N223" s="585"/>
      <c r="O223" s="585"/>
      <c r="P223" s="585"/>
      <c r="Q223" s="585"/>
      <c r="R223" s="585"/>
      <c r="S223" s="585"/>
      <c r="T223" s="585"/>
      <c r="U223" s="585"/>
      <c r="V223" s="585"/>
      <c r="W223" s="585"/>
      <c r="X223" s="585"/>
      <c r="Y223" s="585"/>
      <c r="Z223" s="585"/>
      <c r="AA223" s="585"/>
      <c r="AB223" s="585"/>
      <c r="AC223" s="585"/>
      <c r="AD223" s="585"/>
      <c r="AE223" s="585"/>
      <c r="AF223" s="585"/>
      <c r="AG223" s="585"/>
      <c r="AH223" s="585"/>
      <c r="AI223" s="585"/>
      <c r="AJ223" s="585"/>
      <c r="AK223" s="585"/>
      <c r="AL223" s="585"/>
      <c r="AM223" s="585"/>
      <c r="AN223" s="585"/>
      <c r="AO223" s="585"/>
      <c r="AP223" s="585"/>
      <c r="AQ223" s="585"/>
      <c r="AR223" s="585"/>
    </row>
    <row r="224">
      <c r="A224" s="621"/>
      <c r="B224" s="622" t="str">
        <f>IFERROR(__xludf.DUMMYFUNCTION("""COMPUTED_VALUE"""),"Briefing cho Influencer")</f>
        <v>Briefing cho Influencer</v>
      </c>
      <c r="C224" s="623"/>
      <c r="D224" s="602" t="str">
        <f>IFERROR(__xludf.DUMMYFUNCTION("""COMPUTED_VALUE"""),"PMAX")</f>
        <v>PMAX</v>
      </c>
      <c r="E224" s="624" t="str">
        <f>IFERROR(__xludf.DUMMYFUNCTION("""COMPUTED_VALUE"""),"Not start yet")</f>
        <v>Not start yet</v>
      </c>
      <c r="F224" s="604">
        <f>IFERROR(__xludf.DUMMYFUNCTION("""COMPUTED_VALUE"""),46147.0)</f>
        <v>46147</v>
      </c>
      <c r="G224" s="639">
        <f>IFERROR(__xludf.DUMMYFUNCTION("""COMPUTED_VALUE"""),46148.0)</f>
        <v>46148</v>
      </c>
      <c r="H224" s="585"/>
      <c r="I224" s="625"/>
      <c r="J224" s="626" t="s">
        <v>882</v>
      </c>
      <c r="K224" s="585"/>
      <c r="L224" s="585"/>
      <c r="M224" s="585"/>
      <c r="N224" s="585"/>
      <c r="O224" s="585"/>
      <c r="P224" s="585"/>
      <c r="Q224" s="585"/>
      <c r="R224" s="585"/>
      <c r="S224" s="585"/>
      <c r="T224" s="585"/>
      <c r="U224" s="585"/>
      <c r="V224" s="585"/>
      <c r="W224" s="585"/>
      <c r="X224" s="585"/>
      <c r="Y224" s="585"/>
      <c r="Z224" s="585"/>
      <c r="AA224" s="585"/>
      <c r="AB224" s="585"/>
      <c r="AC224" s="585"/>
      <c r="AD224" s="585"/>
      <c r="AE224" s="585"/>
      <c r="AF224" s="585"/>
      <c r="AG224" s="585"/>
      <c r="AH224" s="585"/>
      <c r="AI224" s="585"/>
      <c r="AJ224" s="585"/>
      <c r="AK224" s="585"/>
      <c r="AL224" s="585"/>
      <c r="AM224" s="585"/>
      <c r="AN224" s="585"/>
      <c r="AO224" s="585"/>
      <c r="AP224" s="585"/>
      <c r="AQ224" s="585"/>
      <c r="AR224" s="585"/>
    </row>
    <row r="225">
      <c r="A225" s="621"/>
      <c r="B225" s="627" t="str">
        <f>IFERROR(__xludf.DUMMYFUNCTION("""COMPUTED_VALUE"""),"Script R1 + Outfits")</f>
        <v>Script R1 + Outfits</v>
      </c>
      <c r="C225" s="628"/>
      <c r="D225" s="602" t="str">
        <f>IFERROR(__xludf.DUMMYFUNCTION("""COMPUTED_VALUE"""),"PMAX")</f>
        <v>PMAX</v>
      </c>
      <c r="E225" s="624" t="str">
        <f>IFERROR(__xludf.DUMMYFUNCTION("""COMPUTED_VALUE"""),"Not start yet")</f>
        <v>Not start yet</v>
      </c>
      <c r="F225" s="604">
        <f>IFERROR(__xludf.DUMMYFUNCTION("""COMPUTED_VALUE"""),46148.0)</f>
        <v>46148</v>
      </c>
      <c r="G225" s="639">
        <f>IFERROR(__xludf.DUMMYFUNCTION("""COMPUTED_VALUE"""),46150.0)</f>
        <v>46150</v>
      </c>
      <c r="H225" s="585"/>
      <c r="I225" s="629">
        <v>1.0</v>
      </c>
      <c r="J225" s="630" t="s">
        <v>883</v>
      </c>
      <c r="K225" s="585"/>
      <c r="L225" s="585"/>
      <c r="M225" s="585"/>
      <c r="N225" s="585"/>
      <c r="O225" s="585"/>
      <c r="P225" s="585"/>
      <c r="Q225" s="585"/>
      <c r="R225" s="585"/>
      <c r="S225" s="585"/>
      <c r="T225" s="585"/>
      <c r="U225" s="585"/>
      <c r="V225" s="585"/>
      <c r="W225" s="585"/>
      <c r="X225" s="585"/>
      <c r="Y225" s="585"/>
      <c r="Z225" s="585"/>
      <c r="AA225" s="585"/>
      <c r="AB225" s="585"/>
      <c r="AC225" s="585"/>
      <c r="AD225" s="585"/>
      <c r="AE225" s="585"/>
      <c r="AF225" s="585"/>
      <c r="AG225" s="585"/>
      <c r="AH225" s="585"/>
      <c r="AI225" s="585"/>
      <c r="AJ225" s="585"/>
      <c r="AK225" s="585"/>
      <c r="AL225" s="585"/>
      <c r="AM225" s="585"/>
      <c r="AN225" s="585"/>
      <c r="AO225" s="585"/>
      <c r="AP225" s="585"/>
      <c r="AQ225" s="585"/>
      <c r="AR225" s="585"/>
    </row>
    <row r="226">
      <c r="A226" s="621"/>
      <c r="B226" s="627" t="str">
        <f>IFERROR(__xludf.DUMMYFUNCTION("""COMPUTED_VALUE"""),"Feedback Script R1 + outfits")</f>
        <v>Feedback Script R1 + outfits</v>
      </c>
      <c r="C226" s="628"/>
      <c r="D226" s="602" t="str">
        <f>IFERROR(__xludf.DUMMYFUNCTION("""COMPUTED_VALUE"""),"BRAND")</f>
        <v>BRAND</v>
      </c>
      <c r="E226" s="624" t="str">
        <f>IFERROR(__xludf.DUMMYFUNCTION("""COMPUTED_VALUE"""),"Not start yet")</f>
        <v>Not start yet</v>
      </c>
      <c r="F226" s="604">
        <f>IFERROR(__xludf.DUMMYFUNCTION("""COMPUTED_VALUE"""),46150.0)</f>
        <v>46150</v>
      </c>
      <c r="G226" s="639">
        <f>IFERROR(__xludf.DUMMYFUNCTION("""COMPUTED_VALUE"""),46150.0)</f>
        <v>46150</v>
      </c>
      <c r="H226" s="585"/>
      <c r="I226" s="625"/>
      <c r="J226" s="630" t="s">
        <v>884</v>
      </c>
      <c r="K226" s="585"/>
      <c r="L226" s="585"/>
      <c r="M226" s="585"/>
      <c r="N226" s="585"/>
      <c r="O226" s="585"/>
      <c r="P226" s="585"/>
      <c r="Q226" s="585"/>
      <c r="R226" s="585"/>
      <c r="S226" s="585"/>
      <c r="T226" s="585"/>
      <c r="U226" s="585"/>
      <c r="V226" s="585"/>
      <c r="W226" s="585"/>
      <c r="X226" s="585"/>
      <c r="Y226" s="585"/>
      <c r="Z226" s="585"/>
      <c r="AA226" s="585"/>
      <c r="AB226" s="585"/>
      <c r="AC226" s="585"/>
      <c r="AD226" s="585"/>
      <c r="AE226" s="585"/>
      <c r="AF226" s="585"/>
      <c r="AG226" s="585"/>
      <c r="AH226" s="585"/>
      <c r="AI226" s="585"/>
      <c r="AJ226" s="585"/>
      <c r="AK226" s="585"/>
      <c r="AL226" s="585"/>
      <c r="AM226" s="585"/>
      <c r="AN226" s="585"/>
      <c r="AO226" s="585"/>
      <c r="AP226" s="585"/>
      <c r="AQ226" s="585"/>
      <c r="AR226" s="585"/>
    </row>
    <row r="227">
      <c r="A227" s="621"/>
      <c r="B227" s="631" t="str">
        <f>IFERROR(__xludf.DUMMYFUNCTION("""COMPUTED_VALUE"""),"Script R2")</f>
        <v>Script R2</v>
      </c>
      <c r="C227" s="628"/>
      <c r="D227" s="632" t="str">
        <f>IFERROR(__xludf.DUMMYFUNCTION("""COMPUTED_VALUE"""),"PMAX")</f>
        <v>PMAX</v>
      </c>
      <c r="E227" s="624" t="str">
        <f>IFERROR(__xludf.DUMMYFUNCTION("""COMPUTED_VALUE"""),"Not start yet")</f>
        <v>Not start yet</v>
      </c>
      <c r="F227" s="604">
        <f>IFERROR(__xludf.DUMMYFUNCTION("""COMPUTED_VALUE"""),46151.0)</f>
        <v>46151</v>
      </c>
      <c r="G227" s="639">
        <f>IFERROR(__xludf.DUMMYFUNCTION("""COMPUTED_VALUE"""),46152.0)</f>
        <v>46152</v>
      </c>
      <c r="H227" s="585"/>
      <c r="I227" s="625"/>
      <c r="J227" s="630"/>
      <c r="K227" s="585"/>
      <c r="L227" s="585"/>
      <c r="M227" s="585"/>
      <c r="N227" s="585"/>
      <c r="O227" s="585"/>
      <c r="P227" s="585"/>
      <c r="Q227" s="585"/>
      <c r="R227" s="585"/>
      <c r="S227" s="585"/>
      <c r="T227" s="585"/>
      <c r="U227" s="585"/>
      <c r="V227" s="585"/>
      <c r="W227" s="585"/>
      <c r="X227" s="585"/>
      <c r="Y227" s="585"/>
      <c r="Z227" s="585"/>
      <c r="AA227" s="585"/>
      <c r="AB227" s="585"/>
      <c r="AC227" s="585"/>
      <c r="AD227" s="585"/>
      <c r="AE227" s="585"/>
      <c r="AF227" s="585"/>
      <c r="AG227" s="585"/>
      <c r="AH227" s="585"/>
      <c r="AI227" s="585"/>
      <c r="AJ227" s="585"/>
      <c r="AK227" s="585"/>
      <c r="AL227" s="585"/>
      <c r="AM227" s="585"/>
      <c r="AN227" s="585"/>
      <c r="AO227" s="585"/>
      <c r="AP227" s="585"/>
      <c r="AQ227" s="585"/>
      <c r="AR227" s="585"/>
    </row>
    <row r="228">
      <c r="A228" s="621"/>
      <c r="B228" s="631" t="str">
        <f>IFERROR(__xludf.DUMMYFUNCTION("""COMPUTED_VALUE"""),"Feedback Script R2")</f>
        <v>Feedback Script R2</v>
      </c>
      <c r="C228" s="628"/>
      <c r="D228" s="632" t="str">
        <f>IFERROR(__xludf.DUMMYFUNCTION("""COMPUTED_VALUE"""),"BRAND")</f>
        <v>BRAND</v>
      </c>
      <c r="E228" s="624" t="str">
        <f>IFERROR(__xludf.DUMMYFUNCTION("""COMPUTED_VALUE"""),"Not start yet")</f>
        <v>Not start yet</v>
      </c>
      <c r="F228" s="604">
        <f>IFERROR(__xludf.DUMMYFUNCTION("""COMPUTED_VALUE"""),46153.0)</f>
        <v>46153</v>
      </c>
      <c r="G228" s="639">
        <f>IFERROR(__xludf.DUMMYFUNCTION("""COMPUTED_VALUE"""),46153.0)</f>
        <v>46153</v>
      </c>
      <c r="H228" s="585"/>
      <c r="I228" s="625"/>
      <c r="J228" s="630"/>
      <c r="K228" s="585"/>
      <c r="L228" s="585"/>
      <c r="M228" s="585"/>
      <c r="N228" s="585"/>
      <c r="O228" s="585"/>
      <c r="P228" s="585"/>
      <c r="Q228" s="585"/>
      <c r="R228" s="585"/>
      <c r="S228" s="585"/>
      <c r="T228" s="585"/>
      <c r="U228" s="585"/>
      <c r="V228" s="585"/>
      <c r="W228" s="585"/>
      <c r="X228" s="585"/>
      <c r="Y228" s="585"/>
      <c r="Z228" s="585"/>
      <c r="AA228" s="585"/>
      <c r="AB228" s="585"/>
      <c r="AC228" s="585"/>
      <c r="AD228" s="585"/>
      <c r="AE228" s="585"/>
      <c r="AF228" s="585"/>
      <c r="AG228" s="585"/>
      <c r="AH228" s="585"/>
      <c r="AI228" s="585"/>
      <c r="AJ228" s="585"/>
      <c r="AK228" s="585"/>
      <c r="AL228" s="585"/>
      <c r="AM228" s="585"/>
      <c r="AN228" s="585"/>
      <c r="AO228" s="585"/>
      <c r="AP228" s="585"/>
      <c r="AQ228" s="585"/>
      <c r="AR228" s="585"/>
    </row>
    <row r="229">
      <c r="A229" s="621"/>
      <c r="B229" s="627" t="str">
        <f>IFERROR(__xludf.DUMMYFUNCTION("""COMPUTED_VALUE"""),"Finalize scripts + outfits")</f>
        <v>Finalize scripts + outfits</v>
      </c>
      <c r="C229" s="628"/>
      <c r="D229" s="602" t="str">
        <f>IFERROR(__xludf.DUMMYFUNCTION("""COMPUTED_VALUE"""),"PMAX-BRAND")</f>
        <v>PMAX-BRAND</v>
      </c>
      <c r="E229" s="624" t="str">
        <f>IFERROR(__xludf.DUMMYFUNCTION("""COMPUTED_VALUE"""),"Not start yet")</f>
        <v>Not start yet</v>
      </c>
      <c r="F229" s="604">
        <f>IFERROR(__xludf.DUMMYFUNCTION("""COMPUTED_VALUE"""),46153.0)</f>
        <v>46153</v>
      </c>
      <c r="G229" s="639">
        <f>IFERROR(__xludf.DUMMYFUNCTION("""COMPUTED_VALUE"""),46153.0)</f>
        <v>46153</v>
      </c>
      <c r="H229" s="585"/>
      <c r="I229" s="629">
        <v>1.0</v>
      </c>
      <c r="J229" s="630" t="s">
        <v>885</v>
      </c>
      <c r="K229" s="585"/>
      <c r="L229" s="585"/>
      <c r="M229" s="585"/>
      <c r="N229" s="585"/>
      <c r="O229" s="585"/>
      <c r="P229" s="585"/>
      <c r="Q229" s="585"/>
      <c r="R229" s="585"/>
      <c r="S229" s="585"/>
      <c r="T229" s="585"/>
      <c r="U229" s="585"/>
      <c r="V229" s="585"/>
      <c r="W229" s="585"/>
      <c r="X229" s="585"/>
      <c r="Y229" s="585"/>
      <c r="Z229" s="585"/>
      <c r="AA229" s="585"/>
      <c r="AB229" s="585"/>
      <c r="AC229" s="585"/>
      <c r="AD229" s="585"/>
      <c r="AE229" s="585"/>
      <c r="AF229" s="585"/>
      <c r="AG229" s="585"/>
      <c r="AH229" s="585"/>
      <c r="AI229" s="585"/>
      <c r="AJ229" s="585"/>
      <c r="AK229" s="585"/>
      <c r="AL229" s="585"/>
      <c r="AM229" s="585"/>
      <c r="AN229" s="585"/>
      <c r="AO229" s="585"/>
      <c r="AP229" s="585"/>
      <c r="AQ229" s="585"/>
      <c r="AR229" s="585"/>
    </row>
    <row r="230">
      <c r="A230" s="621"/>
      <c r="B230" s="627" t="str">
        <f>IFERROR(__xludf.DUMMYFUNCTION("""COMPUTED_VALUE"""),"Đi quay tại site")</f>
        <v>Đi quay tại site</v>
      </c>
      <c r="C230" s="628"/>
      <c r="D230" s="602" t="str">
        <f>IFERROR(__xludf.DUMMYFUNCTION("""COMPUTED_VALUE"""),"PMAX")</f>
        <v>PMAX</v>
      </c>
      <c r="E230" s="624" t="str">
        <f>IFERROR(__xludf.DUMMYFUNCTION("""COMPUTED_VALUE"""),"Not start yet")</f>
        <v>Not start yet</v>
      </c>
      <c r="F230" s="604">
        <f>IFERROR(__xludf.DUMMYFUNCTION("""COMPUTED_VALUE"""),46153.0)</f>
        <v>46153</v>
      </c>
      <c r="G230" s="639">
        <f>IFERROR(__xludf.DUMMYFUNCTION("""COMPUTED_VALUE"""),46156.0)</f>
        <v>46156</v>
      </c>
      <c r="H230" s="585"/>
      <c r="I230" s="629">
        <v>2.0</v>
      </c>
      <c r="J230" s="625"/>
      <c r="K230" s="585"/>
      <c r="L230" s="585"/>
      <c r="M230" s="585"/>
      <c r="N230" s="585"/>
      <c r="O230" s="585"/>
      <c r="P230" s="585"/>
      <c r="Q230" s="585"/>
      <c r="R230" s="585"/>
      <c r="S230" s="585"/>
      <c r="T230" s="585"/>
      <c r="U230" s="585"/>
      <c r="V230" s="585"/>
      <c r="W230" s="585"/>
      <c r="X230" s="585"/>
      <c r="Y230" s="585"/>
      <c r="Z230" s="585"/>
      <c r="AA230" s="585"/>
      <c r="AB230" s="585"/>
      <c r="AC230" s="585"/>
      <c r="AD230" s="585"/>
      <c r="AE230" s="585"/>
      <c r="AF230" s="585"/>
      <c r="AG230" s="585"/>
      <c r="AH230" s="585"/>
      <c r="AI230" s="585"/>
      <c r="AJ230" s="585"/>
      <c r="AK230" s="585"/>
      <c r="AL230" s="585"/>
      <c r="AM230" s="585"/>
      <c r="AN230" s="585"/>
      <c r="AO230" s="585"/>
      <c r="AP230" s="585"/>
      <c r="AQ230" s="585"/>
      <c r="AR230" s="585"/>
    </row>
    <row r="231">
      <c r="A231" s="621"/>
      <c r="B231" s="633" t="str">
        <f>IFERROR(__xludf.DUMMYFUNCTION("""COMPUTED_VALUE"""),"Demo R1")</f>
        <v>Demo R1</v>
      </c>
      <c r="C231" s="628"/>
      <c r="D231" s="602" t="str">
        <f>IFERROR(__xludf.DUMMYFUNCTION("""COMPUTED_VALUE"""),"PMAX")</f>
        <v>PMAX</v>
      </c>
      <c r="E231" s="624" t="str">
        <f>IFERROR(__xludf.DUMMYFUNCTION("""COMPUTED_VALUE"""),"Not start yet")</f>
        <v>Not start yet</v>
      </c>
      <c r="F231" s="604">
        <f>IFERROR(__xludf.DUMMYFUNCTION("""COMPUTED_VALUE"""),46156.0)</f>
        <v>46156</v>
      </c>
      <c r="G231" s="639">
        <f>IFERROR(__xludf.DUMMYFUNCTION("""COMPUTED_VALUE"""),46159.0)</f>
        <v>46159</v>
      </c>
      <c r="H231" s="585"/>
      <c r="I231" s="629">
        <v>4.0</v>
      </c>
      <c r="J231" s="630" t="s">
        <v>886</v>
      </c>
      <c r="K231" s="585"/>
      <c r="L231" s="585"/>
      <c r="M231" s="585"/>
      <c r="N231" s="585"/>
      <c r="O231" s="585"/>
      <c r="P231" s="585"/>
      <c r="Q231" s="585"/>
      <c r="R231" s="585"/>
      <c r="S231" s="585"/>
      <c r="T231" s="585"/>
      <c r="U231" s="585"/>
      <c r="V231" s="585"/>
      <c r="W231" s="585"/>
      <c r="X231" s="585"/>
      <c r="Y231" s="585"/>
      <c r="Z231" s="585"/>
      <c r="AA231" s="585"/>
      <c r="AB231" s="585"/>
      <c r="AC231" s="585"/>
      <c r="AD231" s="585"/>
      <c r="AE231" s="585"/>
      <c r="AF231" s="585"/>
      <c r="AG231" s="585"/>
      <c r="AH231" s="585"/>
      <c r="AI231" s="585"/>
      <c r="AJ231" s="585"/>
      <c r="AK231" s="585"/>
      <c r="AL231" s="585"/>
      <c r="AM231" s="585"/>
      <c r="AN231" s="585"/>
      <c r="AO231" s="585"/>
      <c r="AP231" s="585"/>
      <c r="AQ231" s="585"/>
      <c r="AR231" s="585"/>
    </row>
    <row r="232">
      <c r="A232" s="621"/>
      <c r="B232" s="627" t="str">
        <f>IFERROR(__xludf.DUMMYFUNCTION("""COMPUTED_VALUE"""),"Feedback demo R1")</f>
        <v>Feedback demo R1</v>
      </c>
      <c r="C232" s="628"/>
      <c r="D232" s="602" t="str">
        <f>IFERROR(__xludf.DUMMYFUNCTION("""COMPUTED_VALUE"""),"BRAND")</f>
        <v>BRAND</v>
      </c>
      <c r="E232" s="624" t="str">
        <f>IFERROR(__xludf.DUMMYFUNCTION("""COMPUTED_VALUE"""),"Not start yet")</f>
        <v>Not start yet</v>
      </c>
      <c r="F232" s="604">
        <f>IFERROR(__xludf.DUMMYFUNCTION("""COMPUTED_VALUE"""),46160.0)</f>
        <v>46160</v>
      </c>
      <c r="G232" s="639">
        <f>IFERROR(__xludf.DUMMYFUNCTION("""COMPUTED_VALUE"""),46160.0)</f>
        <v>46160</v>
      </c>
      <c r="H232" s="585"/>
      <c r="I232" s="625"/>
      <c r="J232" s="630" t="s">
        <v>887</v>
      </c>
      <c r="K232" s="585"/>
      <c r="L232" s="585"/>
      <c r="M232" s="585"/>
      <c r="N232" s="585"/>
      <c r="O232" s="585"/>
      <c r="P232" s="585"/>
      <c r="Q232" s="585"/>
      <c r="R232" s="585"/>
      <c r="S232" s="585"/>
      <c r="T232" s="585"/>
      <c r="U232" s="585"/>
      <c r="V232" s="585"/>
      <c r="W232" s="585"/>
      <c r="X232" s="585"/>
      <c r="Y232" s="585"/>
      <c r="Z232" s="585"/>
      <c r="AA232" s="585"/>
      <c r="AB232" s="585"/>
      <c r="AC232" s="585"/>
      <c r="AD232" s="585"/>
      <c r="AE232" s="585"/>
      <c r="AF232" s="585"/>
      <c r="AG232" s="585"/>
      <c r="AH232" s="585"/>
      <c r="AI232" s="585"/>
      <c r="AJ232" s="585"/>
      <c r="AK232" s="585"/>
      <c r="AL232" s="585"/>
      <c r="AM232" s="585"/>
      <c r="AN232" s="585"/>
      <c r="AO232" s="585"/>
      <c r="AP232" s="585"/>
      <c r="AQ232" s="585"/>
      <c r="AR232" s="585"/>
    </row>
    <row r="233">
      <c r="A233" s="621"/>
      <c r="B233" s="633" t="str">
        <f>IFERROR(__xludf.DUMMYFUNCTION("""COMPUTED_VALUE"""),"Demo R2")</f>
        <v>Demo R2</v>
      </c>
      <c r="C233" s="628"/>
      <c r="D233" s="602" t="str">
        <f>IFERROR(__xludf.DUMMYFUNCTION("""COMPUTED_VALUE"""),"PMAX")</f>
        <v>PMAX</v>
      </c>
      <c r="E233" s="624" t="str">
        <f>IFERROR(__xludf.DUMMYFUNCTION("""COMPUTED_VALUE"""),"Not start yet")</f>
        <v>Not start yet</v>
      </c>
      <c r="F233" s="604">
        <f>IFERROR(__xludf.DUMMYFUNCTION("""COMPUTED_VALUE"""),46161.0)</f>
        <v>46161</v>
      </c>
      <c r="G233" s="639">
        <f>IFERROR(__xludf.DUMMYFUNCTION("""COMPUTED_VALUE"""),46163.0)</f>
        <v>46163</v>
      </c>
      <c r="H233" s="585"/>
      <c r="I233" s="625"/>
      <c r="J233" s="625"/>
      <c r="K233" s="585"/>
      <c r="L233" s="585"/>
      <c r="M233" s="585"/>
      <c r="N233" s="585"/>
      <c r="O233" s="585"/>
      <c r="P233" s="585"/>
      <c r="Q233" s="585"/>
      <c r="R233" s="585"/>
      <c r="S233" s="585"/>
      <c r="T233" s="585"/>
      <c r="U233" s="585"/>
      <c r="V233" s="585"/>
      <c r="W233" s="585"/>
      <c r="X233" s="585"/>
      <c r="Y233" s="585"/>
      <c r="Z233" s="585"/>
      <c r="AA233" s="585"/>
      <c r="AB233" s="585"/>
      <c r="AC233" s="585"/>
      <c r="AD233" s="585"/>
      <c r="AE233" s="585"/>
      <c r="AF233" s="585"/>
      <c r="AG233" s="585"/>
      <c r="AH233" s="585"/>
      <c r="AI233" s="585"/>
      <c r="AJ233" s="585"/>
      <c r="AK233" s="585"/>
      <c r="AL233" s="585"/>
      <c r="AM233" s="585"/>
      <c r="AN233" s="585"/>
      <c r="AO233" s="585"/>
      <c r="AP233" s="585"/>
      <c r="AQ233" s="585"/>
      <c r="AR233" s="585"/>
    </row>
    <row r="234">
      <c r="A234" s="621"/>
      <c r="B234" s="627" t="str">
        <f>IFERROR(__xludf.DUMMYFUNCTION("""COMPUTED_VALUE"""),"Feedback demo R2")</f>
        <v>Feedback demo R2</v>
      </c>
      <c r="C234" s="628"/>
      <c r="D234" s="602" t="str">
        <f>IFERROR(__xludf.DUMMYFUNCTION("""COMPUTED_VALUE"""),"BRAND")</f>
        <v>BRAND</v>
      </c>
      <c r="E234" s="624" t="str">
        <f>IFERROR(__xludf.DUMMYFUNCTION("""COMPUTED_VALUE"""),"Not start yet")</f>
        <v>Not start yet</v>
      </c>
      <c r="F234" s="604">
        <f>IFERROR(__xludf.DUMMYFUNCTION("""COMPUTED_VALUE"""),46164.0)</f>
        <v>46164</v>
      </c>
      <c r="G234" s="639">
        <f>IFERROR(__xludf.DUMMYFUNCTION("""COMPUTED_VALUE"""),46164.0)</f>
        <v>46164</v>
      </c>
      <c r="H234" s="585"/>
      <c r="I234" s="625"/>
      <c r="J234" s="625"/>
      <c r="K234" s="585"/>
      <c r="L234" s="585"/>
      <c r="M234" s="585"/>
      <c r="N234" s="585"/>
      <c r="O234" s="585"/>
      <c r="P234" s="585"/>
      <c r="Q234" s="585"/>
      <c r="R234" s="585"/>
      <c r="S234" s="585"/>
      <c r="T234" s="585"/>
      <c r="U234" s="585"/>
      <c r="V234" s="585"/>
      <c r="W234" s="585"/>
      <c r="X234" s="585"/>
      <c r="Y234" s="585"/>
      <c r="Z234" s="585"/>
      <c r="AA234" s="585"/>
      <c r="AB234" s="585"/>
      <c r="AC234" s="585"/>
      <c r="AD234" s="585"/>
      <c r="AE234" s="585"/>
      <c r="AF234" s="585"/>
      <c r="AG234" s="585"/>
      <c r="AH234" s="585"/>
      <c r="AI234" s="585"/>
      <c r="AJ234" s="585"/>
      <c r="AK234" s="585"/>
      <c r="AL234" s="585"/>
      <c r="AM234" s="585"/>
      <c r="AN234" s="585"/>
      <c r="AO234" s="585"/>
      <c r="AP234" s="585"/>
      <c r="AQ234" s="585"/>
      <c r="AR234" s="585"/>
    </row>
    <row r="235">
      <c r="A235" s="621"/>
      <c r="B235" s="627" t="str">
        <f>IFERROR(__xludf.DUMMYFUNCTION("""COMPUTED_VALUE"""),"Finalize demo")</f>
        <v>Finalize demo</v>
      </c>
      <c r="C235" s="628"/>
      <c r="D235" s="602" t="str">
        <f>IFERROR(__xludf.DUMMYFUNCTION("""COMPUTED_VALUE"""),"PMAX")</f>
        <v>PMAX</v>
      </c>
      <c r="E235" s="624" t="str">
        <f>IFERROR(__xludf.DUMMYFUNCTION("""COMPUTED_VALUE"""),"Not start yet")</f>
        <v>Not start yet</v>
      </c>
      <c r="F235" s="604">
        <f>IFERROR(__xludf.DUMMYFUNCTION("""COMPUTED_VALUE"""),46164.0)</f>
        <v>46164</v>
      </c>
      <c r="G235" s="639">
        <f>IFERROR(__xludf.DUMMYFUNCTION("""COMPUTED_VALUE"""),46164.0)</f>
        <v>46164</v>
      </c>
      <c r="H235" s="585"/>
      <c r="I235" s="629">
        <v>1.0</v>
      </c>
      <c r="J235" s="630" t="s">
        <v>888</v>
      </c>
      <c r="K235" s="585"/>
      <c r="L235" s="585"/>
      <c r="M235" s="585"/>
      <c r="N235" s="585"/>
      <c r="O235" s="585"/>
      <c r="P235" s="585"/>
      <c r="Q235" s="585"/>
      <c r="R235" s="585"/>
      <c r="S235" s="585"/>
      <c r="T235" s="585"/>
      <c r="U235" s="585"/>
      <c r="V235" s="585"/>
      <c r="W235" s="585"/>
      <c r="X235" s="585"/>
      <c r="Y235" s="585"/>
      <c r="Z235" s="585"/>
      <c r="AA235" s="585"/>
      <c r="AB235" s="585"/>
      <c r="AC235" s="585"/>
      <c r="AD235" s="585"/>
      <c r="AE235" s="585"/>
      <c r="AF235" s="585"/>
      <c r="AG235" s="585"/>
      <c r="AH235" s="585"/>
      <c r="AI235" s="585"/>
      <c r="AJ235" s="585"/>
      <c r="AK235" s="585"/>
      <c r="AL235" s="585"/>
      <c r="AM235" s="585"/>
      <c r="AN235" s="585"/>
      <c r="AO235" s="585"/>
      <c r="AP235" s="585"/>
      <c r="AQ235" s="585"/>
      <c r="AR235" s="585"/>
    </row>
    <row r="236">
      <c r="A236" s="621"/>
      <c r="B236" s="634" t="str">
        <f>IFERROR(__xludf.DUMMYFUNCTION("""COMPUTED_VALUE"""),"Air")</f>
        <v>Air</v>
      </c>
      <c r="C236" s="26"/>
      <c r="D236" s="602" t="str">
        <f>IFERROR(__xludf.DUMMYFUNCTION("""COMPUTED_VALUE"""),"PMAX")</f>
        <v>PMAX</v>
      </c>
      <c r="E236" s="624" t="str">
        <f>IFERROR(__xludf.DUMMYFUNCTION("""COMPUTED_VALUE"""),"Not start yet")</f>
        <v>Not start yet</v>
      </c>
      <c r="F236" s="604" t="str">
        <f>IFERROR(__xludf.DUMMYFUNCTION("""COMPUTED_VALUE"""),"TBU")</f>
        <v>TBU</v>
      </c>
      <c r="G236" s="639" t="str">
        <f>IFERROR(__xludf.DUMMYFUNCTION("""COMPUTED_VALUE"""),"TBU")</f>
        <v>TBU</v>
      </c>
      <c r="H236" s="585"/>
      <c r="I236" s="636">
        <v>1.0</v>
      </c>
      <c r="J236" s="585"/>
      <c r="K236" s="585"/>
      <c r="L236" s="585"/>
      <c r="M236" s="585"/>
      <c r="N236" s="585"/>
      <c r="O236" s="585"/>
      <c r="P236" s="585"/>
      <c r="Q236" s="585"/>
      <c r="R236" s="585"/>
      <c r="S236" s="585"/>
      <c r="T236" s="585"/>
      <c r="U236" s="585"/>
      <c r="V236" s="585"/>
      <c r="W236" s="585"/>
      <c r="X236" s="585"/>
      <c r="Y236" s="585"/>
      <c r="Z236" s="585"/>
      <c r="AA236" s="585"/>
      <c r="AB236" s="585"/>
      <c r="AC236" s="585"/>
      <c r="AD236" s="585"/>
      <c r="AE236" s="585"/>
      <c r="AF236" s="585"/>
      <c r="AG236" s="585"/>
      <c r="AH236" s="585"/>
      <c r="AI236" s="585"/>
      <c r="AJ236" s="585"/>
      <c r="AK236" s="585"/>
      <c r="AL236" s="585"/>
      <c r="AM236" s="585"/>
      <c r="AN236" s="585"/>
      <c r="AO236" s="585"/>
      <c r="AP236" s="585"/>
      <c r="AQ236" s="585"/>
      <c r="AR236" s="585"/>
    </row>
    <row r="237">
      <c r="A237" s="637">
        <f>IFERROR(__xludf.DUMMYFUNCTION("""COMPUTED_VALUE"""),16.0)</f>
        <v>16</v>
      </c>
      <c r="B237" s="616" t="str">
        <f>IFERROR(__xludf.DUMMYFUNCTION("""COMPUTED_VALUE"""),"Koi Nam Ăng")</f>
        <v>Koi Nam Ăng</v>
      </c>
      <c r="C237" s="617"/>
      <c r="D237" s="618"/>
      <c r="E237" s="619"/>
      <c r="F237" s="619"/>
      <c r="G237" s="619"/>
      <c r="H237" s="585"/>
      <c r="I237" s="585"/>
      <c r="J237" s="585"/>
      <c r="K237" s="585"/>
      <c r="L237" s="585"/>
      <c r="M237" s="585"/>
      <c r="N237" s="585"/>
      <c r="O237" s="585"/>
      <c r="P237" s="585"/>
      <c r="Q237" s="585"/>
      <c r="R237" s="585"/>
      <c r="S237" s="585"/>
      <c r="T237" s="585"/>
      <c r="U237" s="585"/>
      <c r="V237" s="585"/>
      <c r="W237" s="585"/>
      <c r="X237" s="585"/>
      <c r="Y237" s="585"/>
      <c r="Z237" s="585"/>
      <c r="AA237" s="585"/>
      <c r="AB237" s="585"/>
      <c r="AC237" s="585"/>
      <c r="AD237" s="585"/>
      <c r="AE237" s="585"/>
      <c r="AF237" s="585"/>
      <c r="AG237" s="585"/>
      <c r="AH237" s="585"/>
      <c r="AI237" s="585"/>
      <c r="AJ237" s="585"/>
      <c r="AK237" s="585"/>
      <c r="AL237" s="585"/>
      <c r="AM237" s="585"/>
      <c r="AN237" s="585"/>
      <c r="AO237" s="585"/>
      <c r="AP237" s="585"/>
      <c r="AQ237" s="585"/>
      <c r="AR237" s="585"/>
    </row>
    <row r="238">
      <c r="A238" s="621"/>
      <c r="B238" s="622" t="str">
        <f>IFERROR(__xludf.DUMMYFUNCTION("""COMPUTED_VALUE"""),"Briefing cho Influencer")</f>
        <v>Briefing cho Influencer</v>
      </c>
      <c r="C238" s="623"/>
      <c r="D238" s="602" t="str">
        <f>IFERROR(__xludf.DUMMYFUNCTION("""COMPUTED_VALUE"""),"PMAX")</f>
        <v>PMAX</v>
      </c>
      <c r="E238" s="624" t="str">
        <f>IFERROR(__xludf.DUMMYFUNCTION("""COMPUTED_VALUE"""),"Not start yet")</f>
        <v>Not start yet</v>
      </c>
      <c r="F238" s="604">
        <f>IFERROR(__xludf.DUMMYFUNCTION("""COMPUTED_VALUE"""),46147.0)</f>
        <v>46147</v>
      </c>
      <c r="G238" s="639">
        <f>IFERROR(__xludf.DUMMYFUNCTION("""COMPUTED_VALUE"""),46148.0)</f>
        <v>46148</v>
      </c>
      <c r="H238" s="585"/>
      <c r="I238" s="625"/>
      <c r="J238" s="626" t="s">
        <v>882</v>
      </c>
      <c r="K238" s="585"/>
      <c r="L238" s="585"/>
      <c r="M238" s="585"/>
      <c r="N238" s="585"/>
      <c r="O238" s="585"/>
      <c r="P238" s="585"/>
      <c r="Q238" s="585"/>
      <c r="R238" s="585"/>
      <c r="S238" s="585"/>
      <c r="T238" s="585"/>
      <c r="U238" s="585"/>
      <c r="V238" s="585"/>
      <c r="W238" s="585"/>
      <c r="X238" s="585"/>
      <c r="Y238" s="585"/>
      <c r="Z238" s="585"/>
      <c r="AA238" s="585"/>
      <c r="AB238" s="585"/>
      <c r="AC238" s="585"/>
      <c r="AD238" s="585"/>
      <c r="AE238" s="585"/>
      <c r="AF238" s="585"/>
      <c r="AG238" s="585"/>
      <c r="AH238" s="585"/>
      <c r="AI238" s="585"/>
      <c r="AJ238" s="585"/>
      <c r="AK238" s="585"/>
      <c r="AL238" s="585"/>
      <c r="AM238" s="585"/>
      <c r="AN238" s="585"/>
      <c r="AO238" s="585"/>
      <c r="AP238" s="585"/>
      <c r="AQ238" s="585"/>
      <c r="AR238" s="585"/>
    </row>
    <row r="239">
      <c r="A239" s="621"/>
      <c r="B239" s="627" t="str">
        <f>IFERROR(__xludf.DUMMYFUNCTION("""COMPUTED_VALUE"""),"Script R1 + Outfits")</f>
        <v>Script R1 + Outfits</v>
      </c>
      <c r="C239" s="628"/>
      <c r="D239" s="602" t="str">
        <f>IFERROR(__xludf.DUMMYFUNCTION("""COMPUTED_VALUE"""),"PMAX")</f>
        <v>PMAX</v>
      </c>
      <c r="E239" s="624" t="str">
        <f>IFERROR(__xludf.DUMMYFUNCTION("""COMPUTED_VALUE"""),"Not start yet")</f>
        <v>Not start yet</v>
      </c>
      <c r="F239" s="604">
        <f>IFERROR(__xludf.DUMMYFUNCTION("""COMPUTED_VALUE"""),46148.0)</f>
        <v>46148</v>
      </c>
      <c r="G239" s="639">
        <f>IFERROR(__xludf.DUMMYFUNCTION("""COMPUTED_VALUE"""),46150.0)</f>
        <v>46150</v>
      </c>
      <c r="H239" s="585"/>
      <c r="I239" s="629">
        <v>1.0</v>
      </c>
      <c r="J239" s="630" t="s">
        <v>883</v>
      </c>
      <c r="K239" s="585"/>
      <c r="L239" s="585"/>
      <c r="M239" s="585"/>
      <c r="N239" s="585"/>
      <c r="O239" s="585"/>
      <c r="P239" s="585"/>
      <c r="Q239" s="585"/>
      <c r="R239" s="585"/>
      <c r="S239" s="585"/>
      <c r="T239" s="585"/>
      <c r="U239" s="585"/>
      <c r="V239" s="585"/>
      <c r="W239" s="585"/>
      <c r="X239" s="585"/>
      <c r="Y239" s="585"/>
      <c r="Z239" s="585"/>
      <c r="AA239" s="585"/>
      <c r="AB239" s="585"/>
      <c r="AC239" s="585"/>
      <c r="AD239" s="585"/>
      <c r="AE239" s="585"/>
      <c r="AF239" s="585"/>
      <c r="AG239" s="585"/>
      <c r="AH239" s="585"/>
      <c r="AI239" s="585"/>
      <c r="AJ239" s="585"/>
      <c r="AK239" s="585"/>
      <c r="AL239" s="585"/>
      <c r="AM239" s="585"/>
      <c r="AN239" s="585"/>
      <c r="AO239" s="585"/>
      <c r="AP239" s="585"/>
      <c r="AQ239" s="585"/>
      <c r="AR239" s="585"/>
    </row>
    <row r="240">
      <c r="A240" s="621"/>
      <c r="B240" s="627" t="str">
        <f>IFERROR(__xludf.DUMMYFUNCTION("""COMPUTED_VALUE"""),"Feedback Script R1 + outfits")</f>
        <v>Feedback Script R1 + outfits</v>
      </c>
      <c r="C240" s="628"/>
      <c r="D240" s="602" t="str">
        <f>IFERROR(__xludf.DUMMYFUNCTION("""COMPUTED_VALUE"""),"BRAND")</f>
        <v>BRAND</v>
      </c>
      <c r="E240" s="624" t="str">
        <f>IFERROR(__xludf.DUMMYFUNCTION("""COMPUTED_VALUE"""),"Not start yet")</f>
        <v>Not start yet</v>
      </c>
      <c r="F240" s="604">
        <f>IFERROR(__xludf.DUMMYFUNCTION("""COMPUTED_VALUE"""),46150.0)</f>
        <v>46150</v>
      </c>
      <c r="G240" s="639">
        <f>IFERROR(__xludf.DUMMYFUNCTION("""COMPUTED_VALUE"""),46150.0)</f>
        <v>46150</v>
      </c>
      <c r="H240" s="585"/>
      <c r="I240" s="625"/>
      <c r="J240" s="630" t="s">
        <v>884</v>
      </c>
      <c r="K240" s="585"/>
      <c r="L240" s="585"/>
      <c r="M240" s="585"/>
      <c r="N240" s="585"/>
      <c r="O240" s="585"/>
      <c r="P240" s="585"/>
      <c r="Q240" s="585"/>
      <c r="R240" s="585"/>
      <c r="S240" s="585"/>
      <c r="T240" s="585"/>
      <c r="U240" s="585"/>
      <c r="V240" s="585"/>
      <c r="W240" s="585"/>
      <c r="X240" s="585"/>
      <c r="Y240" s="585"/>
      <c r="Z240" s="585"/>
      <c r="AA240" s="585"/>
      <c r="AB240" s="585"/>
      <c r="AC240" s="585"/>
      <c r="AD240" s="585"/>
      <c r="AE240" s="585"/>
      <c r="AF240" s="585"/>
      <c r="AG240" s="585"/>
      <c r="AH240" s="585"/>
      <c r="AI240" s="585"/>
      <c r="AJ240" s="585"/>
      <c r="AK240" s="585"/>
      <c r="AL240" s="585"/>
      <c r="AM240" s="585"/>
      <c r="AN240" s="585"/>
      <c r="AO240" s="585"/>
      <c r="AP240" s="585"/>
      <c r="AQ240" s="585"/>
      <c r="AR240" s="585"/>
    </row>
    <row r="241">
      <c r="A241" s="621"/>
      <c r="B241" s="631" t="str">
        <f>IFERROR(__xludf.DUMMYFUNCTION("""COMPUTED_VALUE"""),"Script R2")</f>
        <v>Script R2</v>
      </c>
      <c r="C241" s="628"/>
      <c r="D241" s="632" t="str">
        <f>IFERROR(__xludf.DUMMYFUNCTION("""COMPUTED_VALUE"""),"PMAX")</f>
        <v>PMAX</v>
      </c>
      <c r="E241" s="624" t="str">
        <f>IFERROR(__xludf.DUMMYFUNCTION("""COMPUTED_VALUE"""),"Not start yet")</f>
        <v>Not start yet</v>
      </c>
      <c r="F241" s="604">
        <f>IFERROR(__xludf.DUMMYFUNCTION("""COMPUTED_VALUE"""),46151.0)</f>
        <v>46151</v>
      </c>
      <c r="G241" s="639">
        <f>IFERROR(__xludf.DUMMYFUNCTION("""COMPUTED_VALUE"""),46152.0)</f>
        <v>46152</v>
      </c>
      <c r="H241" s="585"/>
      <c r="I241" s="625"/>
      <c r="J241" s="630"/>
      <c r="K241" s="585"/>
      <c r="L241" s="585"/>
      <c r="M241" s="585"/>
      <c r="N241" s="585"/>
      <c r="O241" s="585"/>
      <c r="P241" s="585"/>
      <c r="Q241" s="585"/>
      <c r="R241" s="585"/>
      <c r="S241" s="585"/>
      <c r="T241" s="585"/>
      <c r="U241" s="585"/>
      <c r="V241" s="585"/>
      <c r="W241" s="585"/>
      <c r="X241" s="585"/>
      <c r="Y241" s="585"/>
      <c r="Z241" s="585"/>
      <c r="AA241" s="585"/>
      <c r="AB241" s="585"/>
      <c r="AC241" s="585"/>
      <c r="AD241" s="585"/>
      <c r="AE241" s="585"/>
      <c r="AF241" s="585"/>
      <c r="AG241" s="585"/>
      <c r="AH241" s="585"/>
      <c r="AI241" s="585"/>
      <c r="AJ241" s="585"/>
      <c r="AK241" s="585"/>
      <c r="AL241" s="585"/>
      <c r="AM241" s="585"/>
      <c r="AN241" s="585"/>
      <c r="AO241" s="585"/>
      <c r="AP241" s="585"/>
      <c r="AQ241" s="585"/>
      <c r="AR241" s="585"/>
    </row>
    <row r="242">
      <c r="A242" s="621"/>
      <c r="B242" s="631" t="str">
        <f>IFERROR(__xludf.DUMMYFUNCTION("""COMPUTED_VALUE"""),"Feedback Script R2")</f>
        <v>Feedback Script R2</v>
      </c>
      <c r="C242" s="628"/>
      <c r="D242" s="632" t="str">
        <f>IFERROR(__xludf.DUMMYFUNCTION("""COMPUTED_VALUE"""),"BRAND")</f>
        <v>BRAND</v>
      </c>
      <c r="E242" s="624" t="str">
        <f>IFERROR(__xludf.DUMMYFUNCTION("""COMPUTED_VALUE"""),"Not start yet")</f>
        <v>Not start yet</v>
      </c>
      <c r="F242" s="604">
        <f>IFERROR(__xludf.DUMMYFUNCTION("""COMPUTED_VALUE"""),46153.0)</f>
        <v>46153</v>
      </c>
      <c r="G242" s="639">
        <f>IFERROR(__xludf.DUMMYFUNCTION("""COMPUTED_VALUE"""),46153.0)</f>
        <v>46153</v>
      </c>
      <c r="H242" s="585"/>
      <c r="I242" s="625"/>
      <c r="J242" s="630"/>
      <c r="K242" s="585"/>
      <c r="L242" s="585"/>
      <c r="M242" s="585"/>
      <c r="N242" s="585"/>
      <c r="O242" s="585"/>
      <c r="P242" s="585"/>
      <c r="Q242" s="585"/>
      <c r="R242" s="585"/>
      <c r="S242" s="585"/>
      <c r="T242" s="585"/>
      <c r="U242" s="585"/>
      <c r="V242" s="585"/>
      <c r="W242" s="585"/>
      <c r="X242" s="585"/>
      <c r="Y242" s="585"/>
      <c r="Z242" s="585"/>
      <c r="AA242" s="585"/>
      <c r="AB242" s="585"/>
      <c r="AC242" s="585"/>
      <c r="AD242" s="585"/>
      <c r="AE242" s="585"/>
      <c r="AF242" s="585"/>
      <c r="AG242" s="585"/>
      <c r="AH242" s="585"/>
      <c r="AI242" s="585"/>
      <c r="AJ242" s="585"/>
      <c r="AK242" s="585"/>
      <c r="AL242" s="585"/>
      <c r="AM242" s="585"/>
      <c r="AN242" s="585"/>
      <c r="AO242" s="585"/>
      <c r="AP242" s="585"/>
      <c r="AQ242" s="585"/>
      <c r="AR242" s="585"/>
    </row>
    <row r="243">
      <c r="A243" s="621"/>
      <c r="B243" s="627" t="str">
        <f>IFERROR(__xludf.DUMMYFUNCTION("""COMPUTED_VALUE"""),"Finalize scripts + outfits")</f>
        <v>Finalize scripts + outfits</v>
      </c>
      <c r="C243" s="628"/>
      <c r="D243" s="602" t="str">
        <f>IFERROR(__xludf.DUMMYFUNCTION("""COMPUTED_VALUE"""),"PMAX-BRAND")</f>
        <v>PMAX-BRAND</v>
      </c>
      <c r="E243" s="624" t="str">
        <f>IFERROR(__xludf.DUMMYFUNCTION("""COMPUTED_VALUE"""),"Not start yet")</f>
        <v>Not start yet</v>
      </c>
      <c r="F243" s="604">
        <f>IFERROR(__xludf.DUMMYFUNCTION("""COMPUTED_VALUE"""),46153.0)</f>
        <v>46153</v>
      </c>
      <c r="G243" s="639">
        <f>IFERROR(__xludf.DUMMYFUNCTION("""COMPUTED_VALUE"""),46153.0)</f>
        <v>46153</v>
      </c>
      <c r="H243" s="585"/>
      <c r="I243" s="629">
        <v>1.0</v>
      </c>
      <c r="J243" s="630" t="s">
        <v>885</v>
      </c>
      <c r="K243" s="585"/>
      <c r="L243" s="585"/>
      <c r="M243" s="585"/>
      <c r="N243" s="585"/>
      <c r="O243" s="585"/>
      <c r="P243" s="585"/>
      <c r="Q243" s="585"/>
      <c r="R243" s="585"/>
      <c r="S243" s="585"/>
      <c r="T243" s="585"/>
      <c r="U243" s="585"/>
      <c r="V243" s="585"/>
      <c r="W243" s="585"/>
      <c r="X243" s="585"/>
      <c r="Y243" s="585"/>
      <c r="Z243" s="585"/>
      <c r="AA243" s="585"/>
      <c r="AB243" s="585"/>
      <c r="AC243" s="585"/>
      <c r="AD243" s="585"/>
      <c r="AE243" s="585"/>
      <c r="AF243" s="585"/>
      <c r="AG243" s="585"/>
      <c r="AH243" s="585"/>
      <c r="AI243" s="585"/>
      <c r="AJ243" s="585"/>
      <c r="AK243" s="585"/>
      <c r="AL243" s="585"/>
      <c r="AM243" s="585"/>
      <c r="AN243" s="585"/>
      <c r="AO243" s="585"/>
      <c r="AP243" s="585"/>
      <c r="AQ243" s="585"/>
      <c r="AR243" s="585"/>
    </row>
    <row r="244">
      <c r="A244" s="621"/>
      <c r="B244" s="627" t="str">
        <f>IFERROR(__xludf.DUMMYFUNCTION("""COMPUTED_VALUE"""),"Đi quay tại site")</f>
        <v>Đi quay tại site</v>
      </c>
      <c r="C244" s="628"/>
      <c r="D244" s="602" t="str">
        <f>IFERROR(__xludf.DUMMYFUNCTION("""COMPUTED_VALUE"""),"PMAX")</f>
        <v>PMAX</v>
      </c>
      <c r="E244" s="624" t="str">
        <f>IFERROR(__xludf.DUMMYFUNCTION("""COMPUTED_VALUE"""),"Not start yet")</f>
        <v>Not start yet</v>
      </c>
      <c r="F244" s="604">
        <f>IFERROR(__xludf.DUMMYFUNCTION("""COMPUTED_VALUE"""),46154.0)</f>
        <v>46154</v>
      </c>
      <c r="G244" s="639">
        <f>IFERROR(__xludf.DUMMYFUNCTION("""COMPUTED_VALUE"""),46156.0)</f>
        <v>46156</v>
      </c>
      <c r="H244" s="585"/>
      <c r="I244" s="629">
        <v>2.0</v>
      </c>
      <c r="J244" s="625"/>
      <c r="K244" s="585"/>
      <c r="L244" s="585"/>
      <c r="M244" s="585"/>
      <c r="N244" s="585"/>
      <c r="O244" s="585"/>
      <c r="P244" s="585"/>
      <c r="Q244" s="585"/>
      <c r="R244" s="585"/>
      <c r="S244" s="585"/>
      <c r="T244" s="585"/>
      <c r="U244" s="585"/>
      <c r="V244" s="585"/>
      <c r="W244" s="585"/>
      <c r="X244" s="585"/>
      <c r="Y244" s="585"/>
      <c r="Z244" s="585"/>
      <c r="AA244" s="585"/>
      <c r="AB244" s="585"/>
      <c r="AC244" s="585"/>
      <c r="AD244" s="585"/>
      <c r="AE244" s="585"/>
      <c r="AF244" s="585"/>
      <c r="AG244" s="585"/>
      <c r="AH244" s="585"/>
      <c r="AI244" s="585"/>
      <c r="AJ244" s="585"/>
      <c r="AK244" s="585"/>
      <c r="AL244" s="585"/>
      <c r="AM244" s="585"/>
      <c r="AN244" s="585"/>
      <c r="AO244" s="585"/>
      <c r="AP244" s="585"/>
      <c r="AQ244" s="585"/>
      <c r="AR244" s="585"/>
    </row>
    <row r="245">
      <c r="A245" s="621"/>
      <c r="B245" s="633" t="str">
        <f>IFERROR(__xludf.DUMMYFUNCTION("""COMPUTED_VALUE"""),"Demo R1")</f>
        <v>Demo R1</v>
      </c>
      <c r="C245" s="628"/>
      <c r="D245" s="602" t="str">
        <f>IFERROR(__xludf.DUMMYFUNCTION("""COMPUTED_VALUE"""),"PMAX")</f>
        <v>PMAX</v>
      </c>
      <c r="E245" s="624" t="str">
        <f>IFERROR(__xludf.DUMMYFUNCTION("""COMPUTED_VALUE"""),"Not start yet")</f>
        <v>Not start yet</v>
      </c>
      <c r="F245" s="604">
        <f>IFERROR(__xludf.DUMMYFUNCTION("""COMPUTED_VALUE"""),46156.0)</f>
        <v>46156</v>
      </c>
      <c r="G245" s="639">
        <f>IFERROR(__xludf.DUMMYFUNCTION("""COMPUTED_VALUE"""),46159.0)</f>
        <v>46159</v>
      </c>
      <c r="H245" s="585"/>
      <c r="I245" s="629">
        <v>4.0</v>
      </c>
      <c r="J245" s="630" t="s">
        <v>886</v>
      </c>
      <c r="K245" s="585"/>
      <c r="L245" s="585"/>
      <c r="M245" s="585"/>
      <c r="N245" s="585"/>
      <c r="O245" s="585"/>
      <c r="P245" s="585"/>
      <c r="Q245" s="585"/>
      <c r="R245" s="585"/>
      <c r="S245" s="585"/>
      <c r="T245" s="585"/>
      <c r="U245" s="585"/>
      <c r="V245" s="585"/>
      <c r="W245" s="585"/>
      <c r="X245" s="585"/>
      <c r="Y245" s="585"/>
      <c r="Z245" s="585"/>
      <c r="AA245" s="585"/>
      <c r="AB245" s="585"/>
      <c r="AC245" s="585"/>
      <c r="AD245" s="585"/>
      <c r="AE245" s="585"/>
      <c r="AF245" s="585"/>
      <c r="AG245" s="585"/>
      <c r="AH245" s="585"/>
      <c r="AI245" s="585"/>
      <c r="AJ245" s="585"/>
      <c r="AK245" s="585"/>
      <c r="AL245" s="585"/>
      <c r="AM245" s="585"/>
      <c r="AN245" s="585"/>
      <c r="AO245" s="585"/>
      <c r="AP245" s="585"/>
      <c r="AQ245" s="585"/>
      <c r="AR245" s="585"/>
    </row>
    <row r="246">
      <c r="A246" s="621"/>
      <c r="B246" s="627" t="str">
        <f>IFERROR(__xludf.DUMMYFUNCTION("""COMPUTED_VALUE"""),"Feedback demo R1")</f>
        <v>Feedback demo R1</v>
      </c>
      <c r="C246" s="628"/>
      <c r="D246" s="602" t="str">
        <f>IFERROR(__xludf.DUMMYFUNCTION("""COMPUTED_VALUE"""),"BRAND")</f>
        <v>BRAND</v>
      </c>
      <c r="E246" s="624" t="str">
        <f>IFERROR(__xludf.DUMMYFUNCTION("""COMPUTED_VALUE"""),"Not start yet")</f>
        <v>Not start yet</v>
      </c>
      <c r="F246" s="604">
        <f>IFERROR(__xludf.DUMMYFUNCTION("""COMPUTED_VALUE"""),46160.0)</f>
        <v>46160</v>
      </c>
      <c r="G246" s="639">
        <f>IFERROR(__xludf.DUMMYFUNCTION("""COMPUTED_VALUE"""),46160.0)</f>
        <v>46160</v>
      </c>
      <c r="H246" s="585"/>
      <c r="I246" s="625"/>
      <c r="J246" s="630" t="s">
        <v>887</v>
      </c>
      <c r="K246" s="585"/>
      <c r="L246" s="585"/>
      <c r="M246" s="585"/>
      <c r="N246" s="585"/>
      <c r="O246" s="585"/>
      <c r="P246" s="585"/>
      <c r="Q246" s="585"/>
      <c r="R246" s="585"/>
      <c r="S246" s="585"/>
      <c r="T246" s="585"/>
      <c r="U246" s="585"/>
      <c r="V246" s="585"/>
      <c r="W246" s="585"/>
      <c r="X246" s="585"/>
      <c r="Y246" s="585"/>
      <c r="Z246" s="585"/>
      <c r="AA246" s="585"/>
      <c r="AB246" s="585"/>
      <c r="AC246" s="585"/>
      <c r="AD246" s="585"/>
      <c r="AE246" s="585"/>
      <c r="AF246" s="585"/>
      <c r="AG246" s="585"/>
      <c r="AH246" s="585"/>
      <c r="AI246" s="585"/>
      <c r="AJ246" s="585"/>
      <c r="AK246" s="585"/>
      <c r="AL246" s="585"/>
      <c r="AM246" s="585"/>
      <c r="AN246" s="585"/>
      <c r="AO246" s="585"/>
      <c r="AP246" s="585"/>
      <c r="AQ246" s="585"/>
      <c r="AR246" s="585"/>
    </row>
    <row r="247">
      <c r="A247" s="621"/>
      <c r="B247" s="633" t="str">
        <f>IFERROR(__xludf.DUMMYFUNCTION("""COMPUTED_VALUE"""),"Demo R2")</f>
        <v>Demo R2</v>
      </c>
      <c r="C247" s="628"/>
      <c r="D247" s="602" t="str">
        <f>IFERROR(__xludf.DUMMYFUNCTION("""COMPUTED_VALUE"""),"PMAX")</f>
        <v>PMAX</v>
      </c>
      <c r="E247" s="624" t="str">
        <f>IFERROR(__xludf.DUMMYFUNCTION("""COMPUTED_VALUE"""),"Not start yet")</f>
        <v>Not start yet</v>
      </c>
      <c r="F247" s="604">
        <f>IFERROR(__xludf.DUMMYFUNCTION("""COMPUTED_VALUE"""),46161.0)</f>
        <v>46161</v>
      </c>
      <c r="G247" s="639">
        <f>IFERROR(__xludf.DUMMYFUNCTION("""COMPUTED_VALUE"""),46163.0)</f>
        <v>46163</v>
      </c>
      <c r="H247" s="585"/>
      <c r="I247" s="625"/>
      <c r="J247" s="625"/>
      <c r="K247" s="585"/>
      <c r="L247" s="585"/>
      <c r="M247" s="585"/>
      <c r="N247" s="585"/>
      <c r="O247" s="585"/>
      <c r="P247" s="585"/>
      <c r="Q247" s="585"/>
      <c r="R247" s="585"/>
      <c r="S247" s="585"/>
      <c r="T247" s="585"/>
      <c r="U247" s="585"/>
      <c r="V247" s="585"/>
      <c r="W247" s="585"/>
      <c r="X247" s="585"/>
      <c r="Y247" s="585"/>
      <c r="Z247" s="585"/>
      <c r="AA247" s="585"/>
      <c r="AB247" s="585"/>
      <c r="AC247" s="585"/>
      <c r="AD247" s="585"/>
      <c r="AE247" s="585"/>
      <c r="AF247" s="585"/>
      <c r="AG247" s="585"/>
      <c r="AH247" s="585"/>
      <c r="AI247" s="585"/>
      <c r="AJ247" s="585"/>
      <c r="AK247" s="585"/>
      <c r="AL247" s="585"/>
      <c r="AM247" s="585"/>
      <c r="AN247" s="585"/>
      <c r="AO247" s="585"/>
      <c r="AP247" s="585"/>
      <c r="AQ247" s="585"/>
      <c r="AR247" s="585"/>
    </row>
    <row r="248">
      <c r="A248" s="621"/>
      <c r="B248" s="627" t="str">
        <f>IFERROR(__xludf.DUMMYFUNCTION("""COMPUTED_VALUE"""),"Feedback demo R2")</f>
        <v>Feedback demo R2</v>
      </c>
      <c r="C248" s="628"/>
      <c r="D248" s="602" t="str">
        <f>IFERROR(__xludf.DUMMYFUNCTION("""COMPUTED_VALUE"""),"BRAND")</f>
        <v>BRAND</v>
      </c>
      <c r="E248" s="624" t="str">
        <f>IFERROR(__xludf.DUMMYFUNCTION("""COMPUTED_VALUE"""),"Not start yet")</f>
        <v>Not start yet</v>
      </c>
      <c r="F248" s="604">
        <f>IFERROR(__xludf.DUMMYFUNCTION("""COMPUTED_VALUE"""),46164.0)</f>
        <v>46164</v>
      </c>
      <c r="G248" s="639">
        <f>IFERROR(__xludf.DUMMYFUNCTION("""COMPUTED_VALUE"""),46164.0)</f>
        <v>46164</v>
      </c>
      <c r="H248" s="585"/>
      <c r="I248" s="625"/>
      <c r="J248" s="625"/>
      <c r="K248" s="585"/>
      <c r="L248" s="585"/>
      <c r="M248" s="585"/>
      <c r="N248" s="585"/>
      <c r="O248" s="585"/>
      <c r="P248" s="585"/>
      <c r="Q248" s="585"/>
      <c r="R248" s="585"/>
      <c r="S248" s="585"/>
      <c r="T248" s="585"/>
      <c r="U248" s="585"/>
      <c r="V248" s="585"/>
      <c r="W248" s="585"/>
      <c r="X248" s="585"/>
      <c r="Y248" s="585"/>
      <c r="Z248" s="585"/>
      <c r="AA248" s="585"/>
      <c r="AB248" s="585"/>
      <c r="AC248" s="585"/>
      <c r="AD248" s="585"/>
      <c r="AE248" s="585"/>
      <c r="AF248" s="585"/>
      <c r="AG248" s="585"/>
      <c r="AH248" s="585"/>
      <c r="AI248" s="585"/>
      <c r="AJ248" s="585"/>
      <c r="AK248" s="585"/>
      <c r="AL248" s="585"/>
      <c r="AM248" s="585"/>
      <c r="AN248" s="585"/>
      <c r="AO248" s="585"/>
      <c r="AP248" s="585"/>
      <c r="AQ248" s="585"/>
      <c r="AR248" s="585"/>
    </row>
    <row r="249">
      <c r="A249" s="621"/>
      <c r="B249" s="627" t="str">
        <f>IFERROR(__xludf.DUMMYFUNCTION("""COMPUTED_VALUE"""),"Finalize demo")</f>
        <v>Finalize demo</v>
      </c>
      <c r="C249" s="628"/>
      <c r="D249" s="602" t="str">
        <f>IFERROR(__xludf.DUMMYFUNCTION("""COMPUTED_VALUE"""),"PMAX")</f>
        <v>PMAX</v>
      </c>
      <c r="E249" s="624" t="str">
        <f>IFERROR(__xludf.DUMMYFUNCTION("""COMPUTED_VALUE"""),"Not start yet")</f>
        <v>Not start yet</v>
      </c>
      <c r="F249" s="604">
        <f>IFERROR(__xludf.DUMMYFUNCTION("""COMPUTED_VALUE"""),46164.0)</f>
        <v>46164</v>
      </c>
      <c r="G249" s="639">
        <f>IFERROR(__xludf.DUMMYFUNCTION("""COMPUTED_VALUE"""),46164.0)</f>
        <v>46164</v>
      </c>
      <c r="H249" s="585"/>
      <c r="I249" s="629">
        <v>1.0</v>
      </c>
      <c r="J249" s="630" t="s">
        <v>888</v>
      </c>
      <c r="K249" s="585"/>
      <c r="L249" s="585"/>
      <c r="M249" s="585"/>
      <c r="N249" s="585"/>
      <c r="O249" s="585"/>
      <c r="P249" s="585"/>
      <c r="Q249" s="585"/>
      <c r="R249" s="585"/>
      <c r="S249" s="585"/>
      <c r="T249" s="585"/>
      <c r="U249" s="585"/>
      <c r="V249" s="585"/>
      <c r="W249" s="585"/>
      <c r="X249" s="585"/>
      <c r="Y249" s="585"/>
      <c r="Z249" s="585"/>
      <c r="AA249" s="585"/>
      <c r="AB249" s="585"/>
      <c r="AC249" s="585"/>
      <c r="AD249" s="585"/>
      <c r="AE249" s="585"/>
      <c r="AF249" s="585"/>
      <c r="AG249" s="585"/>
      <c r="AH249" s="585"/>
      <c r="AI249" s="585"/>
      <c r="AJ249" s="585"/>
      <c r="AK249" s="585"/>
      <c r="AL249" s="585"/>
      <c r="AM249" s="585"/>
      <c r="AN249" s="585"/>
      <c r="AO249" s="585"/>
      <c r="AP249" s="585"/>
      <c r="AQ249" s="585"/>
      <c r="AR249" s="585"/>
    </row>
    <row r="250">
      <c r="A250" s="621"/>
      <c r="B250" s="634" t="str">
        <f>IFERROR(__xludf.DUMMYFUNCTION("""COMPUTED_VALUE"""),"Air")</f>
        <v>Air</v>
      </c>
      <c r="C250" s="26"/>
      <c r="D250" s="602" t="str">
        <f>IFERROR(__xludf.DUMMYFUNCTION("""COMPUTED_VALUE"""),"PMAX")</f>
        <v>PMAX</v>
      </c>
      <c r="E250" s="624" t="str">
        <f>IFERROR(__xludf.DUMMYFUNCTION("""COMPUTED_VALUE"""),"Not start yet")</f>
        <v>Not start yet</v>
      </c>
      <c r="F250" s="604" t="str">
        <f>IFERROR(__xludf.DUMMYFUNCTION("""COMPUTED_VALUE"""),"TBU")</f>
        <v>TBU</v>
      </c>
      <c r="G250" s="639" t="str">
        <f>IFERROR(__xludf.DUMMYFUNCTION("""COMPUTED_VALUE"""),"TBU")</f>
        <v>TBU</v>
      </c>
      <c r="H250" s="585"/>
      <c r="I250" s="636">
        <v>1.0</v>
      </c>
      <c r="J250" s="585"/>
      <c r="K250" s="585"/>
      <c r="L250" s="585"/>
      <c r="M250" s="585"/>
      <c r="N250" s="585"/>
      <c r="O250" s="585"/>
      <c r="P250" s="585"/>
      <c r="Q250" s="585"/>
      <c r="R250" s="585"/>
      <c r="S250" s="585"/>
      <c r="T250" s="585"/>
      <c r="U250" s="585"/>
      <c r="V250" s="585"/>
      <c r="W250" s="585"/>
      <c r="X250" s="585"/>
      <c r="Y250" s="585"/>
      <c r="Z250" s="585"/>
      <c r="AA250" s="585"/>
      <c r="AB250" s="585"/>
      <c r="AC250" s="585"/>
      <c r="AD250" s="585"/>
      <c r="AE250" s="585"/>
      <c r="AF250" s="585"/>
      <c r="AG250" s="585"/>
      <c r="AH250" s="585"/>
      <c r="AI250" s="585"/>
      <c r="AJ250" s="585"/>
      <c r="AK250" s="585"/>
      <c r="AL250" s="585"/>
      <c r="AM250" s="585"/>
      <c r="AN250" s="585"/>
      <c r="AO250" s="585"/>
      <c r="AP250" s="585"/>
      <c r="AQ250" s="585"/>
      <c r="AR250" s="585"/>
    </row>
    <row r="251">
      <c r="A251" s="637">
        <f>IFERROR(__xludf.DUMMYFUNCTION("""COMPUTED_VALUE"""),17.0)</f>
        <v>17</v>
      </c>
      <c r="B251" s="616" t="str">
        <f>IFERROR(__xludf.DUMMYFUNCTION("""COMPUTED_VALUE"""),"Vie ở sài gòn")</f>
        <v>Vie ở sài gòn</v>
      </c>
      <c r="C251" s="617"/>
      <c r="D251" s="618"/>
      <c r="E251" s="619"/>
      <c r="F251" s="619"/>
      <c r="G251" s="619"/>
      <c r="H251" s="585"/>
      <c r="I251" s="585"/>
      <c r="J251" s="585"/>
      <c r="K251" s="585"/>
      <c r="L251" s="585"/>
      <c r="M251" s="585"/>
      <c r="N251" s="585"/>
      <c r="O251" s="585"/>
      <c r="P251" s="585"/>
      <c r="Q251" s="585"/>
      <c r="R251" s="585"/>
      <c r="S251" s="585"/>
      <c r="T251" s="585"/>
      <c r="U251" s="585"/>
      <c r="V251" s="585"/>
      <c r="W251" s="585"/>
      <c r="X251" s="585"/>
      <c r="Y251" s="585"/>
      <c r="Z251" s="585"/>
      <c r="AA251" s="585"/>
      <c r="AB251" s="585"/>
      <c r="AC251" s="585"/>
      <c r="AD251" s="585"/>
      <c r="AE251" s="585"/>
      <c r="AF251" s="585"/>
      <c r="AG251" s="585"/>
      <c r="AH251" s="585"/>
      <c r="AI251" s="585"/>
      <c r="AJ251" s="585"/>
      <c r="AK251" s="585"/>
      <c r="AL251" s="585"/>
      <c r="AM251" s="585"/>
      <c r="AN251" s="585"/>
      <c r="AO251" s="585"/>
      <c r="AP251" s="585"/>
      <c r="AQ251" s="585"/>
      <c r="AR251" s="585"/>
    </row>
    <row r="252">
      <c r="A252" s="621"/>
      <c r="B252" s="622" t="str">
        <f>IFERROR(__xludf.DUMMYFUNCTION("""COMPUTED_VALUE"""),"Briefing cho Influencer")</f>
        <v>Briefing cho Influencer</v>
      </c>
      <c r="C252" s="623"/>
      <c r="D252" s="602" t="str">
        <f>IFERROR(__xludf.DUMMYFUNCTION("""COMPUTED_VALUE"""),"PMAX")</f>
        <v>PMAX</v>
      </c>
      <c r="E252" s="624" t="str">
        <f>IFERROR(__xludf.DUMMYFUNCTION("""COMPUTED_VALUE"""),"Done")</f>
        <v>Done</v>
      </c>
      <c r="F252" s="604">
        <f>IFERROR(__xludf.DUMMYFUNCTION("""COMPUTED_VALUE"""),46147.0)</f>
        <v>46147</v>
      </c>
      <c r="G252" s="639">
        <f>IFERROR(__xludf.DUMMYFUNCTION("""COMPUTED_VALUE"""),46148.0)</f>
        <v>46148</v>
      </c>
      <c r="H252" s="585"/>
      <c r="I252" s="625"/>
      <c r="J252" s="626" t="s">
        <v>882</v>
      </c>
      <c r="K252" s="585"/>
      <c r="L252" s="585"/>
      <c r="M252" s="585"/>
      <c r="N252" s="585"/>
      <c r="O252" s="585"/>
      <c r="P252" s="585"/>
      <c r="Q252" s="585"/>
      <c r="R252" s="585"/>
      <c r="S252" s="585"/>
      <c r="T252" s="585"/>
      <c r="U252" s="585"/>
      <c r="V252" s="585"/>
      <c r="W252" s="585"/>
      <c r="X252" s="585"/>
      <c r="Y252" s="585"/>
      <c r="Z252" s="585"/>
      <c r="AA252" s="585"/>
      <c r="AB252" s="585"/>
      <c r="AC252" s="585"/>
      <c r="AD252" s="585"/>
      <c r="AE252" s="585"/>
      <c r="AF252" s="585"/>
      <c r="AG252" s="585"/>
      <c r="AH252" s="585"/>
      <c r="AI252" s="585"/>
      <c r="AJ252" s="585"/>
      <c r="AK252" s="585"/>
      <c r="AL252" s="585"/>
      <c r="AM252" s="585"/>
      <c r="AN252" s="585"/>
      <c r="AO252" s="585"/>
      <c r="AP252" s="585"/>
      <c r="AQ252" s="585"/>
      <c r="AR252" s="585"/>
    </row>
    <row r="253">
      <c r="A253" s="621"/>
      <c r="B253" s="627" t="str">
        <f>IFERROR(__xludf.DUMMYFUNCTION("""COMPUTED_VALUE"""),"Script R1 + Outfits")</f>
        <v>Script R1 + Outfits</v>
      </c>
      <c r="C253" s="628"/>
      <c r="D253" s="602" t="str">
        <f>IFERROR(__xludf.DUMMYFUNCTION("""COMPUTED_VALUE"""),"PMAX")</f>
        <v>PMAX</v>
      </c>
      <c r="E253" s="624" t="str">
        <f>IFERROR(__xludf.DUMMYFUNCTION("""COMPUTED_VALUE"""),"Done")</f>
        <v>Done</v>
      </c>
      <c r="F253" s="604">
        <f>IFERROR(__xludf.DUMMYFUNCTION("""COMPUTED_VALUE"""),46150.0)</f>
        <v>46150</v>
      </c>
      <c r="G253" s="639">
        <f>IFERROR(__xludf.DUMMYFUNCTION("""COMPUTED_VALUE"""),46150.0)</f>
        <v>46150</v>
      </c>
      <c r="H253" s="585"/>
      <c r="I253" s="629">
        <v>1.0</v>
      </c>
      <c r="J253" s="630" t="s">
        <v>883</v>
      </c>
      <c r="K253" s="585"/>
      <c r="L253" s="585"/>
      <c r="M253" s="585"/>
      <c r="N253" s="585"/>
      <c r="O253" s="585"/>
      <c r="P253" s="585"/>
      <c r="Q253" s="585"/>
      <c r="R253" s="585"/>
      <c r="S253" s="585"/>
      <c r="T253" s="585"/>
      <c r="U253" s="585"/>
      <c r="V253" s="585"/>
      <c r="W253" s="585"/>
      <c r="X253" s="585"/>
      <c r="Y253" s="585"/>
      <c r="Z253" s="585"/>
      <c r="AA253" s="585"/>
      <c r="AB253" s="585"/>
      <c r="AC253" s="585"/>
      <c r="AD253" s="585"/>
      <c r="AE253" s="585"/>
      <c r="AF253" s="585"/>
      <c r="AG253" s="585"/>
      <c r="AH253" s="585"/>
      <c r="AI253" s="585"/>
      <c r="AJ253" s="585"/>
      <c r="AK253" s="585"/>
      <c r="AL253" s="585"/>
      <c r="AM253" s="585"/>
      <c r="AN253" s="585"/>
      <c r="AO253" s="585"/>
      <c r="AP253" s="585"/>
      <c r="AQ253" s="585"/>
      <c r="AR253" s="585"/>
    </row>
    <row r="254">
      <c r="A254" s="621"/>
      <c r="B254" s="627" t="str">
        <f>IFERROR(__xludf.DUMMYFUNCTION("""COMPUTED_VALUE"""),"Feedback Script R1 + outfits")</f>
        <v>Feedback Script R1 + outfits</v>
      </c>
      <c r="C254" s="628"/>
      <c r="D254" s="602" t="str">
        <f>IFERROR(__xludf.DUMMYFUNCTION("""COMPUTED_VALUE"""),"BRAND")</f>
        <v>BRAND</v>
      </c>
      <c r="E254" s="624" t="str">
        <f>IFERROR(__xludf.DUMMYFUNCTION("""COMPUTED_VALUE"""),"Not start yet")</f>
        <v>Not start yet</v>
      </c>
      <c r="F254" s="604">
        <f>IFERROR(__xludf.DUMMYFUNCTION("""COMPUTED_VALUE"""),46152.0)</f>
        <v>46152</v>
      </c>
      <c r="G254" s="639">
        <f>IFERROR(__xludf.DUMMYFUNCTION("""COMPUTED_VALUE"""),46153.0)</f>
        <v>46153</v>
      </c>
      <c r="H254" s="585"/>
      <c r="I254" s="625"/>
      <c r="J254" s="630" t="s">
        <v>884</v>
      </c>
      <c r="K254" s="585"/>
      <c r="L254" s="585"/>
      <c r="M254" s="585"/>
      <c r="N254" s="585"/>
      <c r="O254" s="585"/>
      <c r="P254" s="585"/>
      <c r="Q254" s="585"/>
      <c r="R254" s="585"/>
      <c r="S254" s="585"/>
      <c r="T254" s="585"/>
      <c r="U254" s="585"/>
      <c r="V254" s="585"/>
      <c r="W254" s="585"/>
      <c r="X254" s="585"/>
      <c r="Y254" s="585"/>
      <c r="Z254" s="585"/>
      <c r="AA254" s="585"/>
      <c r="AB254" s="585"/>
      <c r="AC254" s="585"/>
      <c r="AD254" s="585"/>
      <c r="AE254" s="585"/>
      <c r="AF254" s="585"/>
      <c r="AG254" s="585"/>
      <c r="AH254" s="585"/>
      <c r="AI254" s="585"/>
      <c r="AJ254" s="585"/>
      <c r="AK254" s="585"/>
      <c r="AL254" s="585"/>
      <c r="AM254" s="585"/>
      <c r="AN254" s="585"/>
      <c r="AO254" s="585"/>
      <c r="AP254" s="585"/>
      <c r="AQ254" s="585"/>
      <c r="AR254" s="585"/>
    </row>
    <row r="255">
      <c r="A255" s="621"/>
      <c r="B255" s="631" t="str">
        <f>IFERROR(__xludf.DUMMYFUNCTION("""COMPUTED_VALUE"""),"Script R2")</f>
        <v>Script R2</v>
      </c>
      <c r="C255" s="628"/>
      <c r="D255" s="632" t="str">
        <f>IFERROR(__xludf.DUMMYFUNCTION("""COMPUTED_VALUE"""),"PMAX")</f>
        <v>PMAX</v>
      </c>
      <c r="E255" s="624" t="str">
        <f>IFERROR(__xludf.DUMMYFUNCTION("""COMPUTED_VALUE"""),"Not start yet")</f>
        <v>Not start yet</v>
      </c>
      <c r="F255" s="604">
        <f>IFERROR(__xludf.DUMMYFUNCTION("""COMPUTED_VALUE"""),46153.0)</f>
        <v>46153</v>
      </c>
      <c r="G255" s="639">
        <f>IFERROR(__xludf.DUMMYFUNCTION("""COMPUTED_VALUE"""),46154.0)</f>
        <v>46154</v>
      </c>
      <c r="H255" s="585"/>
      <c r="I255" s="625"/>
      <c r="J255" s="630"/>
      <c r="K255" s="585"/>
      <c r="L255" s="585"/>
      <c r="M255" s="585"/>
      <c r="N255" s="585"/>
      <c r="O255" s="585"/>
      <c r="P255" s="585"/>
      <c r="Q255" s="585"/>
      <c r="R255" s="585"/>
      <c r="S255" s="585"/>
      <c r="T255" s="585"/>
      <c r="U255" s="585"/>
      <c r="V255" s="585"/>
      <c r="W255" s="585"/>
      <c r="X255" s="585"/>
      <c r="Y255" s="585"/>
      <c r="Z255" s="585"/>
      <c r="AA255" s="585"/>
      <c r="AB255" s="585"/>
      <c r="AC255" s="585"/>
      <c r="AD255" s="585"/>
      <c r="AE255" s="585"/>
      <c r="AF255" s="585"/>
      <c r="AG255" s="585"/>
      <c r="AH255" s="585"/>
      <c r="AI255" s="585"/>
      <c r="AJ255" s="585"/>
      <c r="AK255" s="585"/>
      <c r="AL255" s="585"/>
      <c r="AM255" s="585"/>
      <c r="AN255" s="585"/>
      <c r="AO255" s="585"/>
      <c r="AP255" s="585"/>
      <c r="AQ255" s="585"/>
      <c r="AR255" s="585"/>
    </row>
    <row r="256">
      <c r="A256" s="621"/>
      <c r="B256" s="631" t="str">
        <f>IFERROR(__xludf.DUMMYFUNCTION("""COMPUTED_VALUE"""),"Feedback Script R2")</f>
        <v>Feedback Script R2</v>
      </c>
      <c r="C256" s="628"/>
      <c r="D256" s="632" t="str">
        <f>IFERROR(__xludf.DUMMYFUNCTION("""COMPUTED_VALUE"""),"BRAND")</f>
        <v>BRAND</v>
      </c>
      <c r="E256" s="624" t="str">
        <f>IFERROR(__xludf.DUMMYFUNCTION("""COMPUTED_VALUE"""),"Not start yet")</f>
        <v>Not start yet</v>
      </c>
      <c r="F256" s="604">
        <f>IFERROR(__xludf.DUMMYFUNCTION("""COMPUTED_VALUE"""),46154.0)</f>
        <v>46154</v>
      </c>
      <c r="G256" s="639">
        <f>IFERROR(__xludf.DUMMYFUNCTION("""COMPUTED_VALUE"""),46155.0)</f>
        <v>46155</v>
      </c>
      <c r="H256" s="585"/>
      <c r="I256" s="625"/>
      <c r="J256" s="630"/>
      <c r="K256" s="585"/>
      <c r="L256" s="585"/>
      <c r="M256" s="585"/>
      <c r="N256" s="585"/>
      <c r="O256" s="585"/>
      <c r="P256" s="585"/>
      <c r="Q256" s="585"/>
      <c r="R256" s="585"/>
      <c r="S256" s="585"/>
      <c r="T256" s="585"/>
      <c r="U256" s="585"/>
      <c r="V256" s="585"/>
      <c r="W256" s="585"/>
      <c r="X256" s="585"/>
      <c r="Y256" s="585"/>
      <c r="Z256" s="585"/>
      <c r="AA256" s="585"/>
      <c r="AB256" s="585"/>
      <c r="AC256" s="585"/>
      <c r="AD256" s="585"/>
      <c r="AE256" s="585"/>
      <c r="AF256" s="585"/>
      <c r="AG256" s="585"/>
      <c r="AH256" s="585"/>
      <c r="AI256" s="585"/>
      <c r="AJ256" s="585"/>
      <c r="AK256" s="585"/>
      <c r="AL256" s="585"/>
      <c r="AM256" s="585"/>
      <c r="AN256" s="585"/>
      <c r="AO256" s="585"/>
      <c r="AP256" s="585"/>
      <c r="AQ256" s="585"/>
      <c r="AR256" s="585"/>
    </row>
    <row r="257">
      <c r="A257" s="621"/>
      <c r="B257" s="627" t="str">
        <f>IFERROR(__xludf.DUMMYFUNCTION("""COMPUTED_VALUE"""),"Finalize scripts + outfits")</f>
        <v>Finalize scripts + outfits</v>
      </c>
      <c r="C257" s="628"/>
      <c r="D257" s="602" t="str">
        <f>IFERROR(__xludf.DUMMYFUNCTION("""COMPUTED_VALUE"""),"PMAX-BRAND")</f>
        <v>PMAX-BRAND</v>
      </c>
      <c r="E257" s="624" t="str">
        <f>IFERROR(__xludf.DUMMYFUNCTION("""COMPUTED_VALUE"""),"Not start yet")</f>
        <v>Not start yet</v>
      </c>
      <c r="F257" s="604">
        <f>IFERROR(__xludf.DUMMYFUNCTION("""COMPUTED_VALUE"""),46155.0)</f>
        <v>46155</v>
      </c>
      <c r="G257" s="639">
        <f>IFERROR(__xludf.DUMMYFUNCTION("""COMPUTED_VALUE"""),46155.0)</f>
        <v>46155</v>
      </c>
      <c r="H257" s="585"/>
      <c r="I257" s="629">
        <v>1.0</v>
      </c>
      <c r="J257" s="630" t="s">
        <v>885</v>
      </c>
      <c r="K257" s="585"/>
      <c r="L257" s="585"/>
      <c r="M257" s="585"/>
      <c r="N257" s="585"/>
      <c r="O257" s="585"/>
      <c r="P257" s="585"/>
      <c r="Q257" s="585"/>
      <c r="R257" s="585"/>
      <c r="S257" s="585"/>
      <c r="T257" s="585"/>
      <c r="U257" s="585"/>
      <c r="V257" s="585"/>
      <c r="W257" s="585"/>
      <c r="X257" s="585"/>
      <c r="Y257" s="585"/>
      <c r="Z257" s="585"/>
      <c r="AA257" s="585"/>
      <c r="AB257" s="585"/>
      <c r="AC257" s="585"/>
      <c r="AD257" s="585"/>
      <c r="AE257" s="585"/>
      <c r="AF257" s="585"/>
      <c r="AG257" s="585"/>
      <c r="AH257" s="585"/>
      <c r="AI257" s="585"/>
      <c r="AJ257" s="585"/>
      <c r="AK257" s="585"/>
      <c r="AL257" s="585"/>
      <c r="AM257" s="585"/>
      <c r="AN257" s="585"/>
      <c r="AO257" s="585"/>
      <c r="AP257" s="585"/>
      <c r="AQ257" s="585"/>
      <c r="AR257" s="585"/>
    </row>
    <row r="258">
      <c r="A258" s="621"/>
      <c r="B258" s="627" t="str">
        <f>IFERROR(__xludf.DUMMYFUNCTION("""COMPUTED_VALUE"""),"Đi quay tại site")</f>
        <v>Đi quay tại site</v>
      </c>
      <c r="C258" s="628"/>
      <c r="D258" s="602" t="str">
        <f>IFERROR(__xludf.DUMMYFUNCTION("""COMPUTED_VALUE"""),"PMAX")</f>
        <v>PMAX</v>
      </c>
      <c r="E258" s="624" t="str">
        <f>IFERROR(__xludf.DUMMYFUNCTION("""COMPUTED_VALUE"""),"Not start yet")</f>
        <v>Not start yet</v>
      </c>
      <c r="F258" s="604">
        <f>IFERROR(__xludf.DUMMYFUNCTION("""COMPUTED_VALUE"""),46156.0)</f>
        <v>46156</v>
      </c>
      <c r="G258" s="639">
        <f>IFERROR(__xludf.DUMMYFUNCTION("""COMPUTED_VALUE"""),46156.0)</f>
        <v>46156</v>
      </c>
      <c r="H258" s="585"/>
      <c r="I258" s="629">
        <v>2.0</v>
      </c>
      <c r="J258" s="625"/>
      <c r="K258" s="585"/>
      <c r="L258" s="585"/>
      <c r="M258" s="585"/>
      <c r="N258" s="585"/>
      <c r="O258" s="585"/>
      <c r="P258" s="585"/>
      <c r="Q258" s="585"/>
      <c r="R258" s="585"/>
      <c r="S258" s="585"/>
      <c r="T258" s="585"/>
      <c r="U258" s="585"/>
      <c r="V258" s="585"/>
      <c r="W258" s="585"/>
      <c r="X258" s="585"/>
      <c r="Y258" s="585"/>
      <c r="Z258" s="585"/>
      <c r="AA258" s="585"/>
      <c r="AB258" s="585"/>
      <c r="AC258" s="585"/>
      <c r="AD258" s="585"/>
      <c r="AE258" s="585"/>
      <c r="AF258" s="585"/>
      <c r="AG258" s="585"/>
      <c r="AH258" s="585"/>
      <c r="AI258" s="585"/>
      <c r="AJ258" s="585"/>
      <c r="AK258" s="585"/>
      <c r="AL258" s="585"/>
      <c r="AM258" s="585"/>
      <c r="AN258" s="585"/>
      <c r="AO258" s="585"/>
      <c r="AP258" s="585"/>
      <c r="AQ258" s="585"/>
      <c r="AR258" s="585"/>
    </row>
    <row r="259">
      <c r="A259" s="621"/>
      <c r="B259" s="633" t="str">
        <f>IFERROR(__xludf.DUMMYFUNCTION("""COMPUTED_VALUE"""),"Demo R1")</f>
        <v>Demo R1</v>
      </c>
      <c r="C259" s="628"/>
      <c r="D259" s="602" t="str">
        <f>IFERROR(__xludf.DUMMYFUNCTION("""COMPUTED_VALUE"""),"PMAX")</f>
        <v>PMAX</v>
      </c>
      <c r="E259" s="624" t="str">
        <f>IFERROR(__xludf.DUMMYFUNCTION("""COMPUTED_VALUE"""),"Not start yet")</f>
        <v>Not start yet</v>
      </c>
      <c r="F259" s="604">
        <f>IFERROR(__xludf.DUMMYFUNCTION("""COMPUTED_VALUE"""),46159.0)</f>
        <v>46159</v>
      </c>
      <c r="G259" s="639">
        <f>IFERROR(__xludf.DUMMYFUNCTION("""COMPUTED_VALUE"""),46160.0)</f>
        <v>46160</v>
      </c>
      <c r="H259" s="585"/>
      <c r="I259" s="629">
        <v>4.0</v>
      </c>
      <c r="J259" s="630" t="s">
        <v>886</v>
      </c>
      <c r="K259" s="585"/>
      <c r="L259" s="585"/>
      <c r="M259" s="585"/>
      <c r="N259" s="585"/>
      <c r="O259" s="585"/>
      <c r="P259" s="585"/>
      <c r="Q259" s="585"/>
      <c r="R259" s="585"/>
      <c r="S259" s="585"/>
      <c r="T259" s="585"/>
      <c r="U259" s="585"/>
      <c r="V259" s="585"/>
      <c r="W259" s="585"/>
      <c r="X259" s="585"/>
      <c r="Y259" s="585"/>
      <c r="Z259" s="585"/>
      <c r="AA259" s="585"/>
      <c r="AB259" s="585"/>
      <c r="AC259" s="585"/>
      <c r="AD259" s="585"/>
      <c r="AE259" s="585"/>
      <c r="AF259" s="585"/>
      <c r="AG259" s="585"/>
      <c r="AH259" s="585"/>
      <c r="AI259" s="585"/>
      <c r="AJ259" s="585"/>
      <c r="AK259" s="585"/>
      <c r="AL259" s="585"/>
      <c r="AM259" s="585"/>
      <c r="AN259" s="585"/>
      <c r="AO259" s="585"/>
      <c r="AP259" s="585"/>
      <c r="AQ259" s="585"/>
      <c r="AR259" s="585"/>
    </row>
    <row r="260">
      <c r="A260" s="621"/>
      <c r="B260" s="627" t="str">
        <f>IFERROR(__xludf.DUMMYFUNCTION("""COMPUTED_VALUE"""),"Feedback demo R1")</f>
        <v>Feedback demo R1</v>
      </c>
      <c r="C260" s="628"/>
      <c r="D260" s="602" t="str">
        <f>IFERROR(__xludf.DUMMYFUNCTION("""COMPUTED_VALUE"""),"BRAND")</f>
        <v>BRAND</v>
      </c>
      <c r="E260" s="624" t="str">
        <f>IFERROR(__xludf.DUMMYFUNCTION("""COMPUTED_VALUE"""),"Not start yet")</f>
        <v>Not start yet</v>
      </c>
      <c r="F260" s="604">
        <f>IFERROR(__xludf.DUMMYFUNCTION("""COMPUTED_VALUE"""),46160.0)</f>
        <v>46160</v>
      </c>
      <c r="G260" s="639">
        <f>IFERROR(__xludf.DUMMYFUNCTION("""COMPUTED_VALUE"""),46160.0)</f>
        <v>46160</v>
      </c>
      <c r="H260" s="585"/>
      <c r="I260" s="625"/>
      <c r="J260" s="630" t="s">
        <v>887</v>
      </c>
      <c r="K260" s="585"/>
      <c r="L260" s="585"/>
      <c r="M260" s="585"/>
      <c r="N260" s="585"/>
      <c r="O260" s="585"/>
      <c r="P260" s="585"/>
      <c r="Q260" s="585"/>
      <c r="R260" s="585"/>
      <c r="S260" s="585"/>
      <c r="T260" s="585"/>
      <c r="U260" s="585"/>
      <c r="V260" s="585"/>
      <c r="W260" s="585"/>
      <c r="X260" s="585"/>
      <c r="Y260" s="585"/>
      <c r="Z260" s="585"/>
      <c r="AA260" s="585"/>
      <c r="AB260" s="585"/>
      <c r="AC260" s="585"/>
      <c r="AD260" s="585"/>
      <c r="AE260" s="585"/>
      <c r="AF260" s="585"/>
      <c r="AG260" s="585"/>
      <c r="AH260" s="585"/>
      <c r="AI260" s="585"/>
      <c r="AJ260" s="585"/>
      <c r="AK260" s="585"/>
      <c r="AL260" s="585"/>
      <c r="AM260" s="585"/>
      <c r="AN260" s="585"/>
      <c r="AO260" s="585"/>
      <c r="AP260" s="585"/>
      <c r="AQ260" s="585"/>
      <c r="AR260" s="585"/>
    </row>
    <row r="261">
      <c r="A261" s="621"/>
      <c r="B261" s="633" t="str">
        <f>IFERROR(__xludf.DUMMYFUNCTION("""COMPUTED_VALUE"""),"Demo R2")</f>
        <v>Demo R2</v>
      </c>
      <c r="C261" s="628"/>
      <c r="D261" s="602" t="str">
        <f>IFERROR(__xludf.DUMMYFUNCTION("""COMPUTED_VALUE"""),"PMAX")</f>
        <v>PMAX</v>
      </c>
      <c r="E261" s="624" t="str">
        <f>IFERROR(__xludf.DUMMYFUNCTION("""COMPUTED_VALUE"""),"Not start yet")</f>
        <v>Not start yet</v>
      </c>
      <c r="F261" s="604">
        <f>IFERROR(__xludf.DUMMYFUNCTION("""COMPUTED_VALUE"""),46162.0)</f>
        <v>46162</v>
      </c>
      <c r="G261" s="639">
        <f>IFERROR(__xludf.DUMMYFUNCTION("""COMPUTED_VALUE"""),46162.0)</f>
        <v>46162</v>
      </c>
      <c r="H261" s="585"/>
      <c r="I261" s="625"/>
      <c r="J261" s="625"/>
      <c r="K261" s="585"/>
      <c r="L261" s="585"/>
      <c r="M261" s="585"/>
      <c r="N261" s="585"/>
      <c r="O261" s="585"/>
      <c r="P261" s="585"/>
      <c r="Q261" s="585"/>
      <c r="R261" s="585"/>
      <c r="S261" s="585"/>
      <c r="T261" s="585"/>
      <c r="U261" s="585"/>
      <c r="V261" s="585"/>
      <c r="W261" s="585"/>
      <c r="X261" s="585"/>
      <c r="Y261" s="585"/>
      <c r="Z261" s="585"/>
      <c r="AA261" s="585"/>
      <c r="AB261" s="585"/>
      <c r="AC261" s="585"/>
      <c r="AD261" s="585"/>
      <c r="AE261" s="585"/>
      <c r="AF261" s="585"/>
      <c r="AG261" s="585"/>
      <c r="AH261" s="585"/>
      <c r="AI261" s="585"/>
      <c r="AJ261" s="585"/>
      <c r="AK261" s="585"/>
      <c r="AL261" s="585"/>
      <c r="AM261" s="585"/>
      <c r="AN261" s="585"/>
      <c r="AO261" s="585"/>
      <c r="AP261" s="585"/>
      <c r="AQ261" s="585"/>
      <c r="AR261" s="585"/>
    </row>
    <row r="262">
      <c r="A262" s="621"/>
      <c r="B262" s="627" t="str">
        <f>IFERROR(__xludf.DUMMYFUNCTION("""COMPUTED_VALUE"""),"Feedback demo R2")</f>
        <v>Feedback demo R2</v>
      </c>
      <c r="C262" s="628"/>
      <c r="D262" s="602" t="str">
        <f>IFERROR(__xludf.DUMMYFUNCTION("""COMPUTED_VALUE"""),"BRAND")</f>
        <v>BRAND</v>
      </c>
      <c r="E262" s="624" t="str">
        <f>IFERROR(__xludf.DUMMYFUNCTION("""COMPUTED_VALUE"""),"Not start yet")</f>
        <v>Not start yet</v>
      </c>
      <c r="F262" s="604">
        <f>IFERROR(__xludf.DUMMYFUNCTION("""COMPUTED_VALUE"""),46163.0)</f>
        <v>46163</v>
      </c>
      <c r="G262" s="639">
        <f>IFERROR(__xludf.DUMMYFUNCTION("""COMPUTED_VALUE"""),46163.0)</f>
        <v>46163</v>
      </c>
      <c r="H262" s="585"/>
      <c r="I262" s="625"/>
      <c r="J262" s="625"/>
      <c r="K262" s="585"/>
      <c r="L262" s="585"/>
      <c r="M262" s="585"/>
      <c r="N262" s="585"/>
      <c r="O262" s="585"/>
      <c r="P262" s="585"/>
      <c r="Q262" s="585"/>
      <c r="R262" s="585"/>
      <c r="S262" s="585"/>
      <c r="T262" s="585"/>
      <c r="U262" s="585"/>
      <c r="V262" s="585"/>
      <c r="W262" s="585"/>
      <c r="X262" s="585"/>
      <c r="Y262" s="585"/>
      <c r="Z262" s="585"/>
      <c r="AA262" s="585"/>
      <c r="AB262" s="585"/>
      <c r="AC262" s="585"/>
      <c r="AD262" s="585"/>
      <c r="AE262" s="585"/>
      <c r="AF262" s="585"/>
      <c r="AG262" s="585"/>
      <c r="AH262" s="585"/>
      <c r="AI262" s="585"/>
      <c r="AJ262" s="585"/>
      <c r="AK262" s="585"/>
      <c r="AL262" s="585"/>
      <c r="AM262" s="585"/>
      <c r="AN262" s="585"/>
      <c r="AO262" s="585"/>
      <c r="AP262" s="585"/>
      <c r="AQ262" s="585"/>
      <c r="AR262" s="585"/>
    </row>
    <row r="263">
      <c r="A263" s="621"/>
      <c r="B263" s="627" t="str">
        <f>IFERROR(__xludf.DUMMYFUNCTION("""COMPUTED_VALUE"""),"Finalize demo")</f>
        <v>Finalize demo</v>
      </c>
      <c r="C263" s="628"/>
      <c r="D263" s="602" t="str">
        <f>IFERROR(__xludf.DUMMYFUNCTION("""COMPUTED_VALUE"""),"PMAX")</f>
        <v>PMAX</v>
      </c>
      <c r="E263" s="624" t="str">
        <f>IFERROR(__xludf.DUMMYFUNCTION("""COMPUTED_VALUE"""),"Not start yet")</f>
        <v>Not start yet</v>
      </c>
      <c r="F263" s="604">
        <f>IFERROR(__xludf.DUMMYFUNCTION("""COMPUTED_VALUE"""),46164.0)</f>
        <v>46164</v>
      </c>
      <c r="G263" s="639">
        <f>IFERROR(__xludf.DUMMYFUNCTION("""COMPUTED_VALUE"""),46165.0)</f>
        <v>46165</v>
      </c>
      <c r="H263" s="585"/>
      <c r="I263" s="629">
        <v>1.0</v>
      </c>
      <c r="J263" s="630" t="s">
        <v>888</v>
      </c>
      <c r="K263" s="585"/>
      <c r="L263" s="585"/>
      <c r="M263" s="585"/>
      <c r="N263" s="585"/>
      <c r="O263" s="585"/>
      <c r="P263" s="585"/>
      <c r="Q263" s="585"/>
      <c r="R263" s="585"/>
      <c r="S263" s="585"/>
      <c r="T263" s="585"/>
      <c r="U263" s="585"/>
      <c r="V263" s="585"/>
      <c r="W263" s="585"/>
      <c r="X263" s="585"/>
      <c r="Y263" s="585"/>
      <c r="Z263" s="585"/>
      <c r="AA263" s="585"/>
      <c r="AB263" s="585"/>
      <c r="AC263" s="585"/>
      <c r="AD263" s="585"/>
      <c r="AE263" s="585"/>
      <c r="AF263" s="585"/>
      <c r="AG263" s="585"/>
      <c r="AH263" s="585"/>
      <c r="AI263" s="585"/>
      <c r="AJ263" s="585"/>
      <c r="AK263" s="585"/>
      <c r="AL263" s="585"/>
      <c r="AM263" s="585"/>
      <c r="AN263" s="585"/>
      <c r="AO263" s="585"/>
      <c r="AP263" s="585"/>
      <c r="AQ263" s="585"/>
      <c r="AR263" s="585"/>
    </row>
    <row r="264">
      <c r="A264" s="621"/>
      <c r="B264" s="634" t="str">
        <f>IFERROR(__xludf.DUMMYFUNCTION("""COMPUTED_VALUE"""),"Air")</f>
        <v>Air</v>
      </c>
      <c r="C264" s="26"/>
      <c r="D264" s="602" t="str">
        <f>IFERROR(__xludf.DUMMYFUNCTION("""COMPUTED_VALUE"""),"PMAX")</f>
        <v>PMAX</v>
      </c>
      <c r="E264" s="624" t="str">
        <f>IFERROR(__xludf.DUMMYFUNCTION("""COMPUTED_VALUE"""),"Not start yet")</f>
        <v>Not start yet</v>
      </c>
      <c r="F264" s="604" t="str">
        <f>IFERROR(__xludf.DUMMYFUNCTION("""COMPUTED_VALUE"""),"TBU")</f>
        <v>TBU</v>
      </c>
      <c r="G264" s="639" t="str">
        <f>IFERROR(__xludf.DUMMYFUNCTION("""COMPUTED_VALUE"""),"TBU")</f>
        <v>TBU</v>
      </c>
      <c r="H264" s="585"/>
      <c r="I264" s="636">
        <v>1.0</v>
      </c>
      <c r="J264" s="585"/>
      <c r="K264" s="585"/>
      <c r="L264" s="585"/>
      <c r="M264" s="585"/>
      <c r="N264" s="585"/>
      <c r="O264" s="585"/>
      <c r="P264" s="585"/>
      <c r="Q264" s="585"/>
      <c r="R264" s="585"/>
      <c r="S264" s="585"/>
      <c r="T264" s="585"/>
      <c r="U264" s="585"/>
      <c r="V264" s="585"/>
      <c r="W264" s="585"/>
      <c r="X264" s="585"/>
      <c r="Y264" s="585"/>
      <c r="Z264" s="585"/>
      <c r="AA264" s="585"/>
      <c r="AB264" s="585"/>
      <c r="AC264" s="585"/>
      <c r="AD264" s="585"/>
      <c r="AE264" s="585"/>
      <c r="AF264" s="585"/>
      <c r="AG264" s="585"/>
      <c r="AH264" s="585"/>
      <c r="AI264" s="585"/>
      <c r="AJ264" s="585"/>
      <c r="AK264" s="585"/>
      <c r="AL264" s="585"/>
      <c r="AM264" s="585"/>
      <c r="AN264" s="585"/>
      <c r="AO264" s="585"/>
      <c r="AP264" s="585"/>
      <c r="AQ264" s="585"/>
      <c r="AR264" s="585"/>
    </row>
    <row r="265">
      <c r="A265" s="642"/>
      <c r="B265" s="643" t="str">
        <f>IFERROR(__xludf.DUMMYFUNCTION("""COMPUTED_VALUE"""),"Khu Vực miền Bắc")</f>
        <v>Khu Vực miền Bắc</v>
      </c>
      <c r="C265" s="642"/>
      <c r="D265" s="642"/>
      <c r="E265" s="642"/>
      <c r="F265" s="642"/>
      <c r="G265" s="642"/>
    </row>
    <row r="266">
      <c r="A266" s="637">
        <f>IFERROR(__xludf.DUMMYFUNCTION("""COMPUTED_VALUE"""),18.0)</f>
        <v>18</v>
      </c>
      <c r="B266" s="616" t="str">
        <f>IFERROR(__xludf.DUMMYFUNCTION("""COMPUTED_VALUE"""),"Dương Bảo Anh")</f>
        <v>Dương Bảo Anh</v>
      </c>
      <c r="C266" s="617"/>
      <c r="D266" s="618"/>
      <c r="E266" s="619"/>
      <c r="F266" s="619"/>
      <c r="G266" s="619"/>
      <c r="H266" s="585"/>
      <c r="I266" s="585"/>
      <c r="J266" s="585"/>
      <c r="K266" s="585"/>
      <c r="L266" s="585"/>
      <c r="M266" s="585"/>
      <c r="N266" s="585"/>
      <c r="O266" s="585"/>
      <c r="P266" s="585"/>
      <c r="Q266" s="585"/>
      <c r="R266" s="585"/>
      <c r="S266" s="585"/>
      <c r="T266" s="585"/>
      <c r="U266" s="585"/>
      <c r="V266" s="585"/>
      <c r="W266" s="585"/>
      <c r="X266" s="585"/>
      <c r="Y266" s="585"/>
      <c r="Z266" s="585"/>
      <c r="AA266" s="585"/>
      <c r="AB266" s="585"/>
      <c r="AC266" s="585"/>
      <c r="AD266" s="585"/>
      <c r="AE266" s="585"/>
      <c r="AF266" s="585"/>
      <c r="AG266" s="585"/>
      <c r="AH266" s="585"/>
      <c r="AI266" s="585"/>
      <c r="AJ266" s="585"/>
      <c r="AK266" s="585"/>
      <c r="AL266" s="585"/>
      <c r="AM266" s="585"/>
      <c r="AN266" s="585"/>
      <c r="AO266" s="585"/>
      <c r="AP266" s="585"/>
      <c r="AQ266" s="585"/>
      <c r="AR266" s="585"/>
    </row>
    <row r="267">
      <c r="A267" s="621"/>
      <c r="B267" s="622" t="str">
        <f>IFERROR(__xludf.DUMMYFUNCTION("""COMPUTED_VALUE"""),"Briefing cho Influencer")</f>
        <v>Briefing cho Influencer</v>
      </c>
      <c r="C267" s="623"/>
      <c r="D267" s="602" t="str">
        <f>IFERROR(__xludf.DUMMYFUNCTION("""COMPUTED_VALUE"""),"PMAX")</f>
        <v>PMAX</v>
      </c>
      <c r="E267" s="624" t="str">
        <f>IFERROR(__xludf.DUMMYFUNCTION("""COMPUTED_VALUE"""),"Not start yet")</f>
        <v>Not start yet</v>
      </c>
      <c r="F267" s="604">
        <f>IFERROR(__xludf.DUMMYFUNCTION("""COMPUTED_VALUE"""),46147.0)</f>
        <v>46147</v>
      </c>
      <c r="G267" s="639">
        <f>IFERROR(__xludf.DUMMYFUNCTION("""COMPUTED_VALUE"""),46148.0)</f>
        <v>46148</v>
      </c>
      <c r="H267" s="585"/>
      <c r="I267" s="625"/>
      <c r="J267" s="626" t="s">
        <v>882</v>
      </c>
      <c r="K267" s="585"/>
      <c r="L267" s="585"/>
      <c r="M267" s="585"/>
      <c r="N267" s="585"/>
      <c r="O267" s="585"/>
      <c r="P267" s="585"/>
      <c r="Q267" s="585"/>
      <c r="R267" s="585"/>
      <c r="S267" s="585"/>
      <c r="T267" s="585"/>
      <c r="U267" s="585"/>
      <c r="V267" s="585"/>
      <c r="W267" s="585"/>
      <c r="X267" s="585"/>
      <c r="Y267" s="585"/>
      <c r="Z267" s="585"/>
      <c r="AA267" s="585"/>
      <c r="AB267" s="585"/>
      <c r="AC267" s="585"/>
      <c r="AD267" s="585"/>
      <c r="AE267" s="585"/>
      <c r="AF267" s="585"/>
      <c r="AG267" s="585"/>
      <c r="AH267" s="585"/>
      <c r="AI267" s="585"/>
      <c r="AJ267" s="585"/>
      <c r="AK267" s="585"/>
      <c r="AL267" s="585"/>
      <c r="AM267" s="585"/>
      <c r="AN267" s="585"/>
      <c r="AO267" s="585"/>
      <c r="AP267" s="585"/>
      <c r="AQ267" s="585"/>
      <c r="AR267" s="585"/>
    </row>
    <row r="268">
      <c r="A268" s="621"/>
      <c r="B268" s="627" t="str">
        <f>IFERROR(__xludf.DUMMYFUNCTION("""COMPUTED_VALUE"""),"Script R1 + Outfits")</f>
        <v>Script R1 + Outfits</v>
      </c>
      <c r="C268" s="628"/>
      <c r="D268" s="602" t="str">
        <f>IFERROR(__xludf.DUMMYFUNCTION("""COMPUTED_VALUE"""),"PMAX")</f>
        <v>PMAX</v>
      </c>
      <c r="E268" s="624" t="str">
        <f>IFERROR(__xludf.DUMMYFUNCTION("""COMPUTED_VALUE"""),"Not start yet")</f>
        <v>Not start yet</v>
      </c>
      <c r="F268" s="604">
        <f>IFERROR(__xludf.DUMMYFUNCTION("""COMPUTED_VALUE"""),46148.0)</f>
        <v>46148</v>
      </c>
      <c r="G268" s="639">
        <f>IFERROR(__xludf.DUMMYFUNCTION("""COMPUTED_VALUE"""),46150.0)</f>
        <v>46150</v>
      </c>
      <c r="H268" s="585"/>
      <c r="I268" s="629">
        <v>1.0</v>
      </c>
      <c r="J268" s="630" t="s">
        <v>883</v>
      </c>
      <c r="K268" s="585"/>
      <c r="L268" s="585"/>
      <c r="M268" s="585"/>
      <c r="N268" s="585"/>
      <c r="O268" s="585"/>
      <c r="P268" s="585"/>
      <c r="Q268" s="585"/>
      <c r="R268" s="585"/>
      <c r="S268" s="585"/>
      <c r="T268" s="585"/>
      <c r="U268" s="585"/>
      <c r="V268" s="585"/>
      <c r="W268" s="585"/>
      <c r="X268" s="585"/>
      <c r="Y268" s="585"/>
      <c r="Z268" s="585"/>
      <c r="AA268" s="585"/>
      <c r="AB268" s="585"/>
      <c r="AC268" s="585"/>
      <c r="AD268" s="585"/>
      <c r="AE268" s="585"/>
      <c r="AF268" s="585"/>
      <c r="AG268" s="585"/>
      <c r="AH268" s="585"/>
      <c r="AI268" s="585"/>
      <c r="AJ268" s="585"/>
      <c r="AK268" s="585"/>
      <c r="AL268" s="585"/>
      <c r="AM268" s="585"/>
      <c r="AN268" s="585"/>
      <c r="AO268" s="585"/>
      <c r="AP268" s="585"/>
      <c r="AQ268" s="585"/>
      <c r="AR268" s="585"/>
    </row>
    <row r="269">
      <c r="A269" s="621"/>
      <c r="B269" s="627" t="str">
        <f>IFERROR(__xludf.DUMMYFUNCTION("""COMPUTED_VALUE"""),"Feedback Script R1 + outfits")</f>
        <v>Feedback Script R1 + outfits</v>
      </c>
      <c r="C269" s="628"/>
      <c r="D269" s="602" t="str">
        <f>IFERROR(__xludf.DUMMYFUNCTION("""COMPUTED_VALUE"""),"BRAND")</f>
        <v>BRAND</v>
      </c>
      <c r="E269" s="624" t="str">
        <f>IFERROR(__xludf.DUMMYFUNCTION("""COMPUTED_VALUE"""),"Not start yet")</f>
        <v>Not start yet</v>
      </c>
      <c r="F269" s="604">
        <f>IFERROR(__xludf.DUMMYFUNCTION("""COMPUTED_VALUE"""),46150.0)</f>
        <v>46150</v>
      </c>
      <c r="G269" s="639">
        <f>IFERROR(__xludf.DUMMYFUNCTION("""COMPUTED_VALUE"""),46150.0)</f>
        <v>46150</v>
      </c>
      <c r="H269" s="585"/>
      <c r="I269" s="625"/>
      <c r="J269" s="630" t="s">
        <v>884</v>
      </c>
      <c r="K269" s="585"/>
      <c r="L269" s="585"/>
      <c r="M269" s="585"/>
      <c r="N269" s="585"/>
      <c r="O269" s="585"/>
      <c r="P269" s="585"/>
      <c r="Q269" s="585"/>
      <c r="R269" s="585"/>
      <c r="S269" s="585"/>
      <c r="T269" s="585"/>
      <c r="U269" s="585"/>
      <c r="V269" s="585"/>
      <c r="W269" s="585"/>
      <c r="X269" s="585"/>
      <c r="Y269" s="585"/>
      <c r="Z269" s="585"/>
      <c r="AA269" s="585"/>
      <c r="AB269" s="585"/>
      <c r="AC269" s="585"/>
      <c r="AD269" s="585"/>
      <c r="AE269" s="585"/>
      <c r="AF269" s="585"/>
      <c r="AG269" s="585"/>
      <c r="AH269" s="585"/>
      <c r="AI269" s="585"/>
      <c r="AJ269" s="585"/>
      <c r="AK269" s="585"/>
      <c r="AL269" s="585"/>
      <c r="AM269" s="585"/>
      <c r="AN269" s="585"/>
      <c r="AO269" s="585"/>
      <c r="AP269" s="585"/>
      <c r="AQ269" s="585"/>
      <c r="AR269" s="585"/>
    </row>
    <row r="270">
      <c r="A270" s="621"/>
      <c r="B270" s="631" t="str">
        <f>IFERROR(__xludf.DUMMYFUNCTION("""COMPUTED_VALUE"""),"Script R2")</f>
        <v>Script R2</v>
      </c>
      <c r="C270" s="628"/>
      <c r="D270" s="632" t="str">
        <f>IFERROR(__xludf.DUMMYFUNCTION("""COMPUTED_VALUE"""),"PMAX")</f>
        <v>PMAX</v>
      </c>
      <c r="E270" s="624" t="str">
        <f>IFERROR(__xludf.DUMMYFUNCTION("""COMPUTED_VALUE"""),"Not start yet")</f>
        <v>Not start yet</v>
      </c>
      <c r="F270" s="604">
        <f>IFERROR(__xludf.DUMMYFUNCTION("""COMPUTED_VALUE"""),46151.0)</f>
        <v>46151</v>
      </c>
      <c r="G270" s="639">
        <f>IFERROR(__xludf.DUMMYFUNCTION("""COMPUTED_VALUE"""),46152.0)</f>
        <v>46152</v>
      </c>
      <c r="H270" s="585"/>
      <c r="I270" s="625"/>
      <c r="J270" s="630"/>
      <c r="K270" s="585"/>
      <c r="L270" s="585"/>
      <c r="M270" s="585"/>
      <c r="N270" s="585"/>
      <c r="O270" s="585"/>
      <c r="P270" s="585"/>
      <c r="Q270" s="585"/>
      <c r="R270" s="585"/>
      <c r="S270" s="585"/>
      <c r="T270" s="585"/>
      <c r="U270" s="585"/>
      <c r="V270" s="585"/>
      <c r="W270" s="585"/>
      <c r="X270" s="585"/>
      <c r="Y270" s="585"/>
      <c r="Z270" s="585"/>
      <c r="AA270" s="585"/>
      <c r="AB270" s="585"/>
      <c r="AC270" s="585"/>
      <c r="AD270" s="585"/>
      <c r="AE270" s="585"/>
      <c r="AF270" s="585"/>
      <c r="AG270" s="585"/>
      <c r="AH270" s="585"/>
      <c r="AI270" s="585"/>
      <c r="AJ270" s="585"/>
      <c r="AK270" s="585"/>
      <c r="AL270" s="585"/>
      <c r="AM270" s="585"/>
      <c r="AN270" s="585"/>
      <c r="AO270" s="585"/>
      <c r="AP270" s="585"/>
      <c r="AQ270" s="585"/>
      <c r="AR270" s="585"/>
    </row>
    <row r="271">
      <c r="A271" s="621"/>
      <c r="B271" s="631" t="str">
        <f>IFERROR(__xludf.DUMMYFUNCTION("""COMPUTED_VALUE"""),"Feedback Script R2")</f>
        <v>Feedback Script R2</v>
      </c>
      <c r="C271" s="628"/>
      <c r="D271" s="632" t="str">
        <f>IFERROR(__xludf.DUMMYFUNCTION("""COMPUTED_VALUE"""),"BRAND")</f>
        <v>BRAND</v>
      </c>
      <c r="E271" s="624" t="str">
        <f>IFERROR(__xludf.DUMMYFUNCTION("""COMPUTED_VALUE"""),"Not start yet")</f>
        <v>Not start yet</v>
      </c>
      <c r="F271" s="604">
        <f>IFERROR(__xludf.DUMMYFUNCTION("""COMPUTED_VALUE"""),46153.0)</f>
        <v>46153</v>
      </c>
      <c r="G271" s="639">
        <f>IFERROR(__xludf.DUMMYFUNCTION("""COMPUTED_VALUE"""),46153.0)</f>
        <v>46153</v>
      </c>
      <c r="H271" s="585"/>
      <c r="I271" s="625"/>
      <c r="J271" s="630"/>
      <c r="K271" s="585"/>
      <c r="L271" s="585"/>
      <c r="M271" s="585"/>
      <c r="N271" s="585"/>
      <c r="O271" s="585"/>
      <c r="P271" s="585"/>
      <c r="Q271" s="585"/>
      <c r="R271" s="585"/>
      <c r="S271" s="585"/>
      <c r="T271" s="585"/>
      <c r="U271" s="585"/>
      <c r="V271" s="585"/>
      <c r="W271" s="585"/>
      <c r="X271" s="585"/>
      <c r="Y271" s="585"/>
      <c r="Z271" s="585"/>
      <c r="AA271" s="585"/>
      <c r="AB271" s="585"/>
      <c r="AC271" s="585"/>
      <c r="AD271" s="585"/>
      <c r="AE271" s="585"/>
      <c r="AF271" s="585"/>
      <c r="AG271" s="585"/>
      <c r="AH271" s="585"/>
      <c r="AI271" s="585"/>
      <c r="AJ271" s="585"/>
      <c r="AK271" s="585"/>
      <c r="AL271" s="585"/>
      <c r="AM271" s="585"/>
      <c r="AN271" s="585"/>
      <c r="AO271" s="585"/>
      <c r="AP271" s="585"/>
      <c r="AQ271" s="585"/>
      <c r="AR271" s="585"/>
    </row>
    <row r="272">
      <c r="A272" s="621"/>
      <c r="B272" s="627" t="str">
        <f>IFERROR(__xludf.DUMMYFUNCTION("""COMPUTED_VALUE"""),"Finalize scripts + outfits")</f>
        <v>Finalize scripts + outfits</v>
      </c>
      <c r="C272" s="628"/>
      <c r="D272" s="602" t="str">
        <f>IFERROR(__xludf.DUMMYFUNCTION("""COMPUTED_VALUE"""),"PMAX-BRAND")</f>
        <v>PMAX-BRAND</v>
      </c>
      <c r="E272" s="624" t="str">
        <f>IFERROR(__xludf.DUMMYFUNCTION("""COMPUTED_VALUE"""),"Not start yet")</f>
        <v>Not start yet</v>
      </c>
      <c r="F272" s="604">
        <f>IFERROR(__xludf.DUMMYFUNCTION("""COMPUTED_VALUE"""),46153.0)</f>
        <v>46153</v>
      </c>
      <c r="G272" s="639">
        <f>IFERROR(__xludf.DUMMYFUNCTION("""COMPUTED_VALUE"""),46153.0)</f>
        <v>46153</v>
      </c>
      <c r="H272" s="585"/>
      <c r="I272" s="629">
        <v>1.0</v>
      </c>
      <c r="J272" s="630" t="s">
        <v>885</v>
      </c>
      <c r="K272" s="585"/>
      <c r="L272" s="585"/>
      <c r="M272" s="585"/>
      <c r="N272" s="585"/>
      <c r="O272" s="585"/>
      <c r="P272" s="585"/>
      <c r="Q272" s="585"/>
      <c r="R272" s="585"/>
      <c r="S272" s="585"/>
      <c r="T272" s="585"/>
      <c r="U272" s="585"/>
      <c r="V272" s="585"/>
      <c r="W272" s="585"/>
      <c r="X272" s="585"/>
      <c r="Y272" s="585"/>
      <c r="Z272" s="585"/>
      <c r="AA272" s="585"/>
      <c r="AB272" s="585"/>
      <c r="AC272" s="585"/>
      <c r="AD272" s="585"/>
      <c r="AE272" s="585"/>
      <c r="AF272" s="585"/>
      <c r="AG272" s="585"/>
      <c r="AH272" s="585"/>
      <c r="AI272" s="585"/>
      <c r="AJ272" s="585"/>
      <c r="AK272" s="585"/>
      <c r="AL272" s="585"/>
      <c r="AM272" s="585"/>
      <c r="AN272" s="585"/>
      <c r="AO272" s="585"/>
      <c r="AP272" s="585"/>
      <c r="AQ272" s="585"/>
      <c r="AR272" s="585"/>
    </row>
    <row r="273">
      <c r="A273" s="621"/>
      <c r="B273" s="627" t="str">
        <f>IFERROR(__xludf.DUMMYFUNCTION("""COMPUTED_VALUE"""),"Đi quay tại site")</f>
        <v>Đi quay tại site</v>
      </c>
      <c r="C273" s="628"/>
      <c r="D273" s="602" t="str">
        <f>IFERROR(__xludf.DUMMYFUNCTION("""COMPUTED_VALUE"""),"PMAX")</f>
        <v>PMAX</v>
      </c>
      <c r="E273" s="624" t="str">
        <f>IFERROR(__xludf.DUMMYFUNCTION("""COMPUTED_VALUE"""),"Not start yet")</f>
        <v>Not start yet</v>
      </c>
      <c r="F273" s="604">
        <f>IFERROR(__xludf.DUMMYFUNCTION("""COMPUTED_VALUE"""),46154.0)</f>
        <v>46154</v>
      </c>
      <c r="G273" s="639">
        <f>IFERROR(__xludf.DUMMYFUNCTION("""COMPUTED_VALUE"""),46156.0)</f>
        <v>46156</v>
      </c>
      <c r="H273" s="585"/>
      <c r="I273" s="629">
        <v>2.0</v>
      </c>
      <c r="J273" s="625"/>
      <c r="K273" s="585"/>
      <c r="L273" s="585"/>
      <c r="M273" s="585"/>
      <c r="N273" s="585"/>
      <c r="O273" s="585"/>
      <c r="P273" s="585"/>
      <c r="Q273" s="585"/>
      <c r="R273" s="585"/>
      <c r="S273" s="585"/>
      <c r="T273" s="585"/>
      <c r="U273" s="585"/>
      <c r="V273" s="585"/>
      <c r="W273" s="585"/>
      <c r="X273" s="585"/>
      <c r="Y273" s="585"/>
      <c r="Z273" s="585"/>
      <c r="AA273" s="585"/>
      <c r="AB273" s="585"/>
      <c r="AC273" s="585"/>
      <c r="AD273" s="585"/>
      <c r="AE273" s="585"/>
      <c r="AF273" s="585"/>
      <c r="AG273" s="585"/>
      <c r="AH273" s="585"/>
      <c r="AI273" s="585"/>
      <c r="AJ273" s="585"/>
      <c r="AK273" s="585"/>
      <c r="AL273" s="585"/>
      <c r="AM273" s="585"/>
      <c r="AN273" s="585"/>
      <c r="AO273" s="585"/>
      <c r="AP273" s="585"/>
      <c r="AQ273" s="585"/>
      <c r="AR273" s="585"/>
    </row>
    <row r="274">
      <c r="A274" s="621"/>
      <c r="B274" s="633" t="str">
        <f>IFERROR(__xludf.DUMMYFUNCTION("""COMPUTED_VALUE"""),"Demo R1")</f>
        <v>Demo R1</v>
      </c>
      <c r="C274" s="628"/>
      <c r="D274" s="602" t="str">
        <f>IFERROR(__xludf.DUMMYFUNCTION("""COMPUTED_VALUE"""),"PMAX")</f>
        <v>PMAX</v>
      </c>
      <c r="E274" s="624" t="str">
        <f>IFERROR(__xludf.DUMMYFUNCTION("""COMPUTED_VALUE"""),"Not start yet")</f>
        <v>Not start yet</v>
      </c>
      <c r="F274" s="604">
        <f>IFERROR(__xludf.DUMMYFUNCTION("""COMPUTED_VALUE"""),46156.0)</f>
        <v>46156</v>
      </c>
      <c r="G274" s="639">
        <f>IFERROR(__xludf.DUMMYFUNCTION("""COMPUTED_VALUE"""),46159.0)</f>
        <v>46159</v>
      </c>
      <c r="H274" s="585"/>
      <c r="I274" s="629">
        <v>4.0</v>
      </c>
      <c r="J274" s="630" t="s">
        <v>886</v>
      </c>
      <c r="K274" s="585"/>
      <c r="L274" s="585"/>
      <c r="M274" s="585"/>
      <c r="N274" s="585"/>
      <c r="O274" s="585"/>
      <c r="P274" s="585"/>
      <c r="Q274" s="585"/>
      <c r="R274" s="585"/>
      <c r="S274" s="585"/>
      <c r="T274" s="585"/>
      <c r="U274" s="585"/>
      <c r="V274" s="585"/>
      <c r="W274" s="585"/>
      <c r="X274" s="585"/>
      <c r="Y274" s="585"/>
      <c r="Z274" s="585"/>
      <c r="AA274" s="585"/>
      <c r="AB274" s="585"/>
      <c r="AC274" s="585"/>
      <c r="AD274" s="585"/>
      <c r="AE274" s="585"/>
      <c r="AF274" s="585"/>
      <c r="AG274" s="585"/>
      <c r="AH274" s="585"/>
      <c r="AI274" s="585"/>
      <c r="AJ274" s="585"/>
      <c r="AK274" s="585"/>
      <c r="AL274" s="585"/>
      <c r="AM274" s="585"/>
      <c r="AN274" s="585"/>
      <c r="AO274" s="585"/>
      <c r="AP274" s="585"/>
      <c r="AQ274" s="585"/>
      <c r="AR274" s="585"/>
    </row>
    <row r="275">
      <c r="A275" s="621"/>
      <c r="B275" s="627" t="str">
        <f>IFERROR(__xludf.DUMMYFUNCTION("""COMPUTED_VALUE"""),"Feedback demo R1")</f>
        <v>Feedback demo R1</v>
      </c>
      <c r="C275" s="628"/>
      <c r="D275" s="602" t="str">
        <f>IFERROR(__xludf.DUMMYFUNCTION("""COMPUTED_VALUE"""),"BRAND")</f>
        <v>BRAND</v>
      </c>
      <c r="E275" s="624" t="str">
        <f>IFERROR(__xludf.DUMMYFUNCTION("""COMPUTED_VALUE"""),"Not start yet")</f>
        <v>Not start yet</v>
      </c>
      <c r="F275" s="604">
        <f>IFERROR(__xludf.DUMMYFUNCTION("""COMPUTED_VALUE"""),46160.0)</f>
        <v>46160</v>
      </c>
      <c r="G275" s="639">
        <f>IFERROR(__xludf.DUMMYFUNCTION("""COMPUTED_VALUE"""),46160.0)</f>
        <v>46160</v>
      </c>
      <c r="H275" s="585"/>
      <c r="I275" s="625"/>
      <c r="J275" s="630" t="s">
        <v>887</v>
      </c>
      <c r="K275" s="585"/>
      <c r="L275" s="585"/>
      <c r="M275" s="585"/>
      <c r="N275" s="585"/>
      <c r="O275" s="585"/>
      <c r="P275" s="585"/>
      <c r="Q275" s="585"/>
      <c r="R275" s="585"/>
      <c r="S275" s="585"/>
      <c r="T275" s="585"/>
      <c r="U275" s="585"/>
      <c r="V275" s="585"/>
      <c r="W275" s="585"/>
      <c r="X275" s="585"/>
      <c r="Y275" s="585"/>
      <c r="Z275" s="585"/>
      <c r="AA275" s="585"/>
      <c r="AB275" s="585"/>
      <c r="AC275" s="585"/>
      <c r="AD275" s="585"/>
      <c r="AE275" s="585"/>
      <c r="AF275" s="585"/>
      <c r="AG275" s="585"/>
      <c r="AH275" s="585"/>
      <c r="AI275" s="585"/>
      <c r="AJ275" s="585"/>
      <c r="AK275" s="585"/>
      <c r="AL275" s="585"/>
      <c r="AM275" s="585"/>
      <c r="AN275" s="585"/>
      <c r="AO275" s="585"/>
      <c r="AP275" s="585"/>
      <c r="AQ275" s="585"/>
      <c r="AR275" s="585"/>
    </row>
    <row r="276">
      <c r="A276" s="621"/>
      <c r="B276" s="633" t="str">
        <f>IFERROR(__xludf.DUMMYFUNCTION("""COMPUTED_VALUE"""),"Demo R2")</f>
        <v>Demo R2</v>
      </c>
      <c r="C276" s="628"/>
      <c r="D276" s="602" t="str">
        <f>IFERROR(__xludf.DUMMYFUNCTION("""COMPUTED_VALUE"""),"PMAX")</f>
        <v>PMAX</v>
      </c>
      <c r="E276" s="624" t="str">
        <f>IFERROR(__xludf.DUMMYFUNCTION("""COMPUTED_VALUE"""),"Not start yet")</f>
        <v>Not start yet</v>
      </c>
      <c r="F276" s="604">
        <f>IFERROR(__xludf.DUMMYFUNCTION("""COMPUTED_VALUE"""),46161.0)</f>
        <v>46161</v>
      </c>
      <c r="G276" s="639">
        <f>IFERROR(__xludf.DUMMYFUNCTION("""COMPUTED_VALUE"""),46163.0)</f>
        <v>46163</v>
      </c>
      <c r="H276" s="585"/>
      <c r="I276" s="625"/>
      <c r="J276" s="625"/>
      <c r="K276" s="585"/>
      <c r="L276" s="585"/>
      <c r="M276" s="585"/>
      <c r="N276" s="585"/>
      <c r="O276" s="585"/>
      <c r="P276" s="585"/>
      <c r="Q276" s="585"/>
      <c r="R276" s="585"/>
      <c r="S276" s="585"/>
      <c r="T276" s="585"/>
      <c r="U276" s="585"/>
      <c r="V276" s="585"/>
      <c r="W276" s="585"/>
      <c r="X276" s="585"/>
      <c r="Y276" s="585"/>
      <c r="Z276" s="585"/>
      <c r="AA276" s="585"/>
      <c r="AB276" s="585"/>
      <c r="AC276" s="585"/>
      <c r="AD276" s="585"/>
      <c r="AE276" s="585"/>
      <c r="AF276" s="585"/>
      <c r="AG276" s="585"/>
      <c r="AH276" s="585"/>
      <c r="AI276" s="585"/>
      <c r="AJ276" s="585"/>
      <c r="AK276" s="585"/>
      <c r="AL276" s="585"/>
      <c r="AM276" s="585"/>
      <c r="AN276" s="585"/>
      <c r="AO276" s="585"/>
      <c r="AP276" s="585"/>
      <c r="AQ276" s="585"/>
      <c r="AR276" s="585"/>
    </row>
    <row r="277">
      <c r="A277" s="621"/>
      <c r="B277" s="627" t="str">
        <f>IFERROR(__xludf.DUMMYFUNCTION("""COMPUTED_VALUE"""),"Feedback demo R2")</f>
        <v>Feedback demo R2</v>
      </c>
      <c r="C277" s="628"/>
      <c r="D277" s="602" t="str">
        <f>IFERROR(__xludf.DUMMYFUNCTION("""COMPUTED_VALUE"""),"BRAND")</f>
        <v>BRAND</v>
      </c>
      <c r="E277" s="624" t="str">
        <f>IFERROR(__xludf.DUMMYFUNCTION("""COMPUTED_VALUE"""),"Not start yet")</f>
        <v>Not start yet</v>
      </c>
      <c r="F277" s="604">
        <f>IFERROR(__xludf.DUMMYFUNCTION("""COMPUTED_VALUE"""),46164.0)</f>
        <v>46164</v>
      </c>
      <c r="G277" s="639">
        <f>IFERROR(__xludf.DUMMYFUNCTION("""COMPUTED_VALUE"""),46164.0)</f>
        <v>46164</v>
      </c>
      <c r="H277" s="585"/>
      <c r="I277" s="625"/>
      <c r="J277" s="625"/>
      <c r="K277" s="585"/>
      <c r="L277" s="585"/>
      <c r="M277" s="585"/>
      <c r="N277" s="585"/>
      <c r="O277" s="585"/>
      <c r="P277" s="585"/>
      <c r="Q277" s="585"/>
      <c r="R277" s="585"/>
      <c r="S277" s="585"/>
      <c r="T277" s="585"/>
      <c r="U277" s="585"/>
      <c r="V277" s="585"/>
      <c r="W277" s="585"/>
      <c r="X277" s="585"/>
      <c r="Y277" s="585"/>
      <c r="Z277" s="585"/>
      <c r="AA277" s="585"/>
      <c r="AB277" s="585"/>
      <c r="AC277" s="585"/>
      <c r="AD277" s="585"/>
      <c r="AE277" s="585"/>
      <c r="AF277" s="585"/>
      <c r="AG277" s="585"/>
      <c r="AH277" s="585"/>
      <c r="AI277" s="585"/>
      <c r="AJ277" s="585"/>
      <c r="AK277" s="585"/>
      <c r="AL277" s="585"/>
      <c r="AM277" s="585"/>
      <c r="AN277" s="585"/>
      <c r="AO277" s="585"/>
      <c r="AP277" s="585"/>
      <c r="AQ277" s="585"/>
      <c r="AR277" s="585"/>
    </row>
    <row r="278">
      <c r="A278" s="621"/>
      <c r="B278" s="627" t="str">
        <f>IFERROR(__xludf.DUMMYFUNCTION("""COMPUTED_VALUE"""),"Finalize demo")</f>
        <v>Finalize demo</v>
      </c>
      <c r="C278" s="628"/>
      <c r="D278" s="602" t="str">
        <f>IFERROR(__xludf.DUMMYFUNCTION("""COMPUTED_VALUE"""),"PMAX")</f>
        <v>PMAX</v>
      </c>
      <c r="E278" s="624" t="str">
        <f>IFERROR(__xludf.DUMMYFUNCTION("""COMPUTED_VALUE"""),"Not start yet")</f>
        <v>Not start yet</v>
      </c>
      <c r="F278" s="604">
        <f>IFERROR(__xludf.DUMMYFUNCTION("""COMPUTED_VALUE"""),46164.0)</f>
        <v>46164</v>
      </c>
      <c r="G278" s="639">
        <f>IFERROR(__xludf.DUMMYFUNCTION("""COMPUTED_VALUE"""),46164.0)</f>
        <v>46164</v>
      </c>
      <c r="H278" s="585"/>
      <c r="I278" s="629">
        <v>1.0</v>
      </c>
      <c r="J278" s="630" t="s">
        <v>888</v>
      </c>
      <c r="K278" s="585"/>
      <c r="L278" s="585"/>
      <c r="M278" s="585"/>
      <c r="N278" s="585"/>
      <c r="O278" s="585"/>
      <c r="P278" s="585"/>
      <c r="Q278" s="585"/>
      <c r="R278" s="585"/>
      <c r="S278" s="585"/>
      <c r="T278" s="585"/>
      <c r="U278" s="585"/>
      <c r="V278" s="585"/>
      <c r="W278" s="585"/>
      <c r="X278" s="585"/>
      <c r="Y278" s="585"/>
      <c r="Z278" s="585"/>
      <c r="AA278" s="585"/>
      <c r="AB278" s="585"/>
      <c r="AC278" s="585"/>
      <c r="AD278" s="585"/>
      <c r="AE278" s="585"/>
      <c r="AF278" s="585"/>
      <c r="AG278" s="585"/>
      <c r="AH278" s="585"/>
      <c r="AI278" s="585"/>
      <c r="AJ278" s="585"/>
      <c r="AK278" s="585"/>
      <c r="AL278" s="585"/>
      <c r="AM278" s="585"/>
      <c r="AN278" s="585"/>
      <c r="AO278" s="585"/>
      <c r="AP278" s="585"/>
      <c r="AQ278" s="585"/>
      <c r="AR278" s="585"/>
    </row>
    <row r="279">
      <c r="A279" s="621"/>
      <c r="B279" s="634" t="str">
        <f>IFERROR(__xludf.DUMMYFUNCTION("""COMPUTED_VALUE"""),"Air")</f>
        <v>Air</v>
      </c>
      <c r="C279" s="26"/>
      <c r="D279" s="602" t="str">
        <f>IFERROR(__xludf.DUMMYFUNCTION("""COMPUTED_VALUE"""),"PMAX")</f>
        <v>PMAX</v>
      </c>
      <c r="E279" s="624" t="str">
        <f>IFERROR(__xludf.DUMMYFUNCTION("""COMPUTED_VALUE"""),"Not start yet")</f>
        <v>Not start yet</v>
      </c>
      <c r="F279" s="604" t="str">
        <f>IFERROR(__xludf.DUMMYFUNCTION("""COMPUTED_VALUE"""),"TBU")</f>
        <v>TBU</v>
      </c>
      <c r="G279" s="639" t="str">
        <f>IFERROR(__xludf.DUMMYFUNCTION("""COMPUTED_VALUE"""),"TBU")</f>
        <v>TBU</v>
      </c>
      <c r="H279" s="585"/>
      <c r="I279" s="636">
        <v>1.0</v>
      </c>
      <c r="J279" s="585"/>
      <c r="K279" s="585"/>
      <c r="L279" s="585"/>
      <c r="M279" s="585"/>
      <c r="N279" s="585"/>
      <c r="O279" s="585"/>
      <c r="P279" s="585"/>
      <c r="Q279" s="585"/>
      <c r="R279" s="585"/>
      <c r="S279" s="585"/>
      <c r="T279" s="585"/>
      <c r="U279" s="585"/>
      <c r="V279" s="585"/>
      <c r="W279" s="585"/>
      <c r="X279" s="585"/>
      <c r="Y279" s="585"/>
      <c r="Z279" s="585"/>
      <c r="AA279" s="585"/>
      <c r="AB279" s="585"/>
      <c r="AC279" s="585"/>
      <c r="AD279" s="585"/>
      <c r="AE279" s="585"/>
      <c r="AF279" s="585"/>
      <c r="AG279" s="585"/>
      <c r="AH279" s="585"/>
      <c r="AI279" s="585"/>
      <c r="AJ279" s="585"/>
      <c r="AK279" s="585"/>
      <c r="AL279" s="585"/>
      <c r="AM279" s="585"/>
      <c r="AN279" s="585"/>
      <c r="AO279" s="585"/>
      <c r="AP279" s="585"/>
      <c r="AQ279" s="585"/>
      <c r="AR279" s="585"/>
    </row>
    <row r="280">
      <c r="A280" s="637">
        <f>IFERROR(__xludf.DUMMYFUNCTION("""COMPUTED_VALUE"""),19.0)</f>
        <v>19</v>
      </c>
      <c r="B280" s="616" t="str">
        <f>IFERROR(__xludf.DUMMYFUNCTION("""COMPUTED_VALUE"""),"Nguyệt Thư")</f>
        <v>Nguyệt Thư</v>
      </c>
      <c r="C280" s="617"/>
      <c r="D280" s="618"/>
      <c r="E280" s="619"/>
      <c r="F280" s="619"/>
      <c r="G280" s="619"/>
      <c r="H280" s="585"/>
      <c r="I280" s="585"/>
      <c r="J280" s="585"/>
      <c r="K280" s="585"/>
      <c r="L280" s="585"/>
      <c r="M280" s="585"/>
      <c r="N280" s="585"/>
      <c r="O280" s="585"/>
      <c r="P280" s="585"/>
      <c r="Q280" s="585"/>
      <c r="R280" s="585"/>
      <c r="S280" s="585"/>
      <c r="T280" s="585"/>
      <c r="U280" s="585"/>
      <c r="V280" s="585"/>
      <c r="W280" s="585"/>
      <c r="X280" s="585"/>
      <c r="Y280" s="585"/>
      <c r="Z280" s="585"/>
      <c r="AA280" s="585"/>
      <c r="AB280" s="585"/>
      <c r="AC280" s="585"/>
      <c r="AD280" s="585"/>
      <c r="AE280" s="585"/>
      <c r="AF280" s="585"/>
      <c r="AG280" s="585"/>
      <c r="AH280" s="585"/>
      <c r="AI280" s="585"/>
      <c r="AJ280" s="585"/>
      <c r="AK280" s="585"/>
      <c r="AL280" s="585"/>
      <c r="AM280" s="585"/>
      <c r="AN280" s="585"/>
      <c r="AO280" s="585"/>
      <c r="AP280" s="585"/>
      <c r="AQ280" s="585"/>
      <c r="AR280" s="585"/>
    </row>
    <row r="281">
      <c r="A281" s="621"/>
      <c r="B281" s="622" t="str">
        <f>IFERROR(__xludf.DUMMYFUNCTION("""COMPUTED_VALUE"""),"Briefing cho Influencer")</f>
        <v>Briefing cho Influencer</v>
      </c>
      <c r="C281" s="623"/>
      <c r="D281" s="602" t="str">
        <f>IFERROR(__xludf.DUMMYFUNCTION("""COMPUTED_VALUE"""),"PMAX")</f>
        <v>PMAX</v>
      </c>
      <c r="E281" s="624" t="str">
        <f>IFERROR(__xludf.DUMMYFUNCTION("""COMPUTED_VALUE"""),"Not start yet")</f>
        <v>Not start yet</v>
      </c>
      <c r="F281" s="604">
        <f>IFERROR(__xludf.DUMMYFUNCTION("""COMPUTED_VALUE"""),46147.0)</f>
        <v>46147</v>
      </c>
      <c r="G281" s="639">
        <f>IFERROR(__xludf.DUMMYFUNCTION("""COMPUTED_VALUE"""),46148.0)</f>
        <v>46148</v>
      </c>
      <c r="H281" s="585"/>
      <c r="I281" s="625"/>
      <c r="J281" s="626" t="s">
        <v>882</v>
      </c>
      <c r="K281" s="585"/>
      <c r="L281" s="585"/>
      <c r="M281" s="585"/>
      <c r="N281" s="585"/>
      <c r="O281" s="585"/>
      <c r="P281" s="585"/>
      <c r="Q281" s="585"/>
      <c r="R281" s="585"/>
      <c r="S281" s="585"/>
      <c r="T281" s="585"/>
      <c r="U281" s="585"/>
      <c r="V281" s="585"/>
      <c r="W281" s="585"/>
      <c r="X281" s="585"/>
      <c r="Y281" s="585"/>
      <c r="Z281" s="585"/>
      <c r="AA281" s="585"/>
      <c r="AB281" s="585"/>
      <c r="AC281" s="585"/>
      <c r="AD281" s="585"/>
      <c r="AE281" s="585"/>
      <c r="AF281" s="585"/>
      <c r="AG281" s="585"/>
      <c r="AH281" s="585"/>
      <c r="AI281" s="585"/>
      <c r="AJ281" s="585"/>
      <c r="AK281" s="585"/>
      <c r="AL281" s="585"/>
      <c r="AM281" s="585"/>
      <c r="AN281" s="585"/>
      <c r="AO281" s="585"/>
      <c r="AP281" s="585"/>
      <c r="AQ281" s="585"/>
      <c r="AR281" s="585"/>
    </row>
    <row r="282">
      <c r="A282" s="621"/>
      <c r="B282" s="627" t="str">
        <f>IFERROR(__xludf.DUMMYFUNCTION("""COMPUTED_VALUE"""),"Script R1 + Outfits")</f>
        <v>Script R1 + Outfits</v>
      </c>
      <c r="C282" s="628"/>
      <c r="D282" s="602" t="str">
        <f>IFERROR(__xludf.DUMMYFUNCTION("""COMPUTED_VALUE"""),"PMAX")</f>
        <v>PMAX</v>
      </c>
      <c r="E282" s="624" t="str">
        <f>IFERROR(__xludf.DUMMYFUNCTION("""COMPUTED_VALUE"""),"Not start yet")</f>
        <v>Not start yet</v>
      </c>
      <c r="F282" s="604">
        <f>IFERROR(__xludf.DUMMYFUNCTION("""COMPUTED_VALUE"""),46148.0)</f>
        <v>46148</v>
      </c>
      <c r="G282" s="639">
        <f>IFERROR(__xludf.DUMMYFUNCTION("""COMPUTED_VALUE"""),46150.0)</f>
        <v>46150</v>
      </c>
      <c r="H282" s="585"/>
      <c r="I282" s="629">
        <v>1.0</v>
      </c>
      <c r="J282" s="630" t="s">
        <v>883</v>
      </c>
      <c r="K282" s="585"/>
      <c r="L282" s="585"/>
      <c r="M282" s="585"/>
      <c r="N282" s="585"/>
      <c r="O282" s="585"/>
      <c r="P282" s="585"/>
      <c r="Q282" s="585"/>
      <c r="R282" s="585"/>
      <c r="S282" s="585"/>
      <c r="T282" s="585"/>
      <c r="U282" s="585"/>
      <c r="V282" s="585"/>
      <c r="W282" s="585"/>
      <c r="X282" s="585"/>
      <c r="Y282" s="585"/>
      <c r="Z282" s="585"/>
      <c r="AA282" s="585"/>
      <c r="AB282" s="585"/>
      <c r="AC282" s="585"/>
      <c r="AD282" s="585"/>
      <c r="AE282" s="585"/>
      <c r="AF282" s="585"/>
      <c r="AG282" s="585"/>
      <c r="AH282" s="585"/>
      <c r="AI282" s="585"/>
      <c r="AJ282" s="585"/>
      <c r="AK282" s="585"/>
      <c r="AL282" s="585"/>
      <c r="AM282" s="585"/>
      <c r="AN282" s="585"/>
      <c r="AO282" s="585"/>
      <c r="AP282" s="585"/>
      <c r="AQ282" s="585"/>
      <c r="AR282" s="585"/>
    </row>
    <row r="283">
      <c r="A283" s="621"/>
      <c r="B283" s="627" t="str">
        <f>IFERROR(__xludf.DUMMYFUNCTION("""COMPUTED_VALUE"""),"Feedback Script R1 + outfits")</f>
        <v>Feedback Script R1 + outfits</v>
      </c>
      <c r="C283" s="628"/>
      <c r="D283" s="602" t="str">
        <f>IFERROR(__xludf.DUMMYFUNCTION("""COMPUTED_VALUE"""),"BRAND")</f>
        <v>BRAND</v>
      </c>
      <c r="E283" s="624" t="str">
        <f>IFERROR(__xludf.DUMMYFUNCTION("""COMPUTED_VALUE"""),"Not start yet")</f>
        <v>Not start yet</v>
      </c>
      <c r="F283" s="604">
        <f>IFERROR(__xludf.DUMMYFUNCTION("""COMPUTED_VALUE"""),46150.0)</f>
        <v>46150</v>
      </c>
      <c r="G283" s="639">
        <f>IFERROR(__xludf.DUMMYFUNCTION("""COMPUTED_VALUE"""),46150.0)</f>
        <v>46150</v>
      </c>
      <c r="H283" s="585"/>
      <c r="I283" s="625"/>
      <c r="J283" s="630" t="s">
        <v>884</v>
      </c>
      <c r="K283" s="585"/>
      <c r="L283" s="585"/>
      <c r="M283" s="585"/>
      <c r="N283" s="585"/>
      <c r="O283" s="585"/>
      <c r="P283" s="585"/>
      <c r="Q283" s="585"/>
      <c r="R283" s="585"/>
      <c r="S283" s="585"/>
      <c r="T283" s="585"/>
      <c r="U283" s="585"/>
      <c r="V283" s="585"/>
      <c r="W283" s="585"/>
      <c r="X283" s="585"/>
      <c r="Y283" s="585"/>
      <c r="Z283" s="585"/>
      <c r="AA283" s="585"/>
      <c r="AB283" s="585"/>
      <c r="AC283" s="585"/>
      <c r="AD283" s="585"/>
      <c r="AE283" s="585"/>
      <c r="AF283" s="585"/>
      <c r="AG283" s="585"/>
      <c r="AH283" s="585"/>
      <c r="AI283" s="585"/>
      <c r="AJ283" s="585"/>
      <c r="AK283" s="585"/>
      <c r="AL283" s="585"/>
      <c r="AM283" s="585"/>
      <c r="AN283" s="585"/>
      <c r="AO283" s="585"/>
      <c r="AP283" s="585"/>
      <c r="AQ283" s="585"/>
      <c r="AR283" s="585"/>
    </row>
    <row r="284">
      <c r="A284" s="621"/>
      <c r="B284" s="631" t="str">
        <f>IFERROR(__xludf.DUMMYFUNCTION("""COMPUTED_VALUE"""),"Script R2")</f>
        <v>Script R2</v>
      </c>
      <c r="C284" s="628"/>
      <c r="D284" s="632" t="str">
        <f>IFERROR(__xludf.DUMMYFUNCTION("""COMPUTED_VALUE"""),"PMAX")</f>
        <v>PMAX</v>
      </c>
      <c r="E284" s="624" t="str">
        <f>IFERROR(__xludf.DUMMYFUNCTION("""COMPUTED_VALUE"""),"Not start yet")</f>
        <v>Not start yet</v>
      </c>
      <c r="F284" s="604">
        <f>IFERROR(__xludf.DUMMYFUNCTION("""COMPUTED_VALUE"""),46151.0)</f>
        <v>46151</v>
      </c>
      <c r="G284" s="639">
        <f>IFERROR(__xludf.DUMMYFUNCTION("""COMPUTED_VALUE"""),46152.0)</f>
        <v>46152</v>
      </c>
      <c r="H284" s="585"/>
      <c r="I284" s="625"/>
      <c r="J284" s="630"/>
      <c r="K284" s="585"/>
      <c r="L284" s="585"/>
      <c r="M284" s="585"/>
      <c r="N284" s="585"/>
      <c r="O284" s="585"/>
      <c r="P284" s="585"/>
      <c r="Q284" s="585"/>
      <c r="R284" s="585"/>
      <c r="S284" s="585"/>
      <c r="T284" s="585"/>
      <c r="U284" s="585"/>
      <c r="V284" s="585"/>
      <c r="W284" s="585"/>
      <c r="X284" s="585"/>
      <c r="Y284" s="585"/>
      <c r="Z284" s="585"/>
      <c r="AA284" s="585"/>
      <c r="AB284" s="585"/>
      <c r="AC284" s="585"/>
      <c r="AD284" s="585"/>
      <c r="AE284" s="585"/>
      <c r="AF284" s="585"/>
      <c r="AG284" s="585"/>
      <c r="AH284" s="585"/>
      <c r="AI284" s="585"/>
      <c r="AJ284" s="585"/>
      <c r="AK284" s="585"/>
      <c r="AL284" s="585"/>
      <c r="AM284" s="585"/>
      <c r="AN284" s="585"/>
      <c r="AO284" s="585"/>
      <c r="AP284" s="585"/>
      <c r="AQ284" s="585"/>
      <c r="AR284" s="585"/>
    </row>
    <row r="285">
      <c r="A285" s="621"/>
      <c r="B285" s="631" t="str">
        <f>IFERROR(__xludf.DUMMYFUNCTION("""COMPUTED_VALUE"""),"Feedback Script R2")</f>
        <v>Feedback Script R2</v>
      </c>
      <c r="C285" s="628"/>
      <c r="D285" s="632" t="str">
        <f>IFERROR(__xludf.DUMMYFUNCTION("""COMPUTED_VALUE"""),"BRAND")</f>
        <v>BRAND</v>
      </c>
      <c r="E285" s="624" t="str">
        <f>IFERROR(__xludf.DUMMYFUNCTION("""COMPUTED_VALUE"""),"Not start yet")</f>
        <v>Not start yet</v>
      </c>
      <c r="F285" s="604">
        <f>IFERROR(__xludf.DUMMYFUNCTION("""COMPUTED_VALUE"""),46153.0)</f>
        <v>46153</v>
      </c>
      <c r="G285" s="639">
        <f>IFERROR(__xludf.DUMMYFUNCTION("""COMPUTED_VALUE"""),46153.0)</f>
        <v>46153</v>
      </c>
      <c r="H285" s="585"/>
      <c r="I285" s="625"/>
      <c r="J285" s="630"/>
      <c r="K285" s="585"/>
      <c r="L285" s="585"/>
      <c r="M285" s="585"/>
      <c r="N285" s="585"/>
      <c r="O285" s="585"/>
      <c r="P285" s="585"/>
      <c r="Q285" s="585"/>
      <c r="R285" s="585"/>
      <c r="S285" s="585"/>
      <c r="T285" s="585"/>
      <c r="U285" s="585"/>
      <c r="V285" s="585"/>
      <c r="W285" s="585"/>
      <c r="X285" s="585"/>
      <c r="Y285" s="585"/>
      <c r="Z285" s="585"/>
      <c r="AA285" s="585"/>
      <c r="AB285" s="585"/>
      <c r="AC285" s="585"/>
      <c r="AD285" s="585"/>
      <c r="AE285" s="585"/>
      <c r="AF285" s="585"/>
      <c r="AG285" s="585"/>
      <c r="AH285" s="585"/>
      <c r="AI285" s="585"/>
      <c r="AJ285" s="585"/>
      <c r="AK285" s="585"/>
      <c r="AL285" s="585"/>
      <c r="AM285" s="585"/>
      <c r="AN285" s="585"/>
      <c r="AO285" s="585"/>
      <c r="AP285" s="585"/>
      <c r="AQ285" s="585"/>
      <c r="AR285" s="585"/>
    </row>
    <row r="286">
      <c r="A286" s="621"/>
      <c r="B286" s="627" t="str">
        <f>IFERROR(__xludf.DUMMYFUNCTION("""COMPUTED_VALUE"""),"Finalize scripts + outfits")</f>
        <v>Finalize scripts + outfits</v>
      </c>
      <c r="C286" s="628"/>
      <c r="D286" s="602" t="str">
        <f>IFERROR(__xludf.DUMMYFUNCTION("""COMPUTED_VALUE"""),"PMAX-BRAND")</f>
        <v>PMAX-BRAND</v>
      </c>
      <c r="E286" s="624" t="str">
        <f>IFERROR(__xludf.DUMMYFUNCTION("""COMPUTED_VALUE"""),"Not start yet")</f>
        <v>Not start yet</v>
      </c>
      <c r="F286" s="604">
        <f>IFERROR(__xludf.DUMMYFUNCTION("""COMPUTED_VALUE"""),46153.0)</f>
        <v>46153</v>
      </c>
      <c r="G286" s="639">
        <f>IFERROR(__xludf.DUMMYFUNCTION("""COMPUTED_VALUE"""),46153.0)</f>
        <v>46153</v>
      </c>
      <c r="H286" s="585"/>
      <c r="I286" s="629">
        <v>1.0</v>
      </c>
      <c r="J286" s="630" t="s">
        <v>885</v>
      </c>
      <c r="K286" s="585"/>
      <c r="L286" s="585"/>
      <c r="M286" s="585"/>
      <c r="N286" s="585"/>
      <c r="O286" s="585"/>
      <c r="P286" s="585"/>
      <c r="Q286" s="585"/>
      <c r="R286" s="585"/>
      <c r="S286" s="585"/>
      <c r="T286" s="585"/>
      <c r="U286" s="585"/>
      <c r="V286" s="585"/>
      <c r="W286" s="585"/>
      <c r="X286" s="585"/>
      <c r="Y286" s="585"/>
      <c r="Z286" s="585"/>
      <c r="AA286" s="585"/>
      <c r="AB286" s="585"/>
      <c r="AC286" s="585"/>
      <c r="AD286" s="585"/>
      <c r="AE286" s="585"/>
      <c r="AF286" s="585"/>
      <c r="AG286" s="585"/>
      <c r="AH286" s="585"/>
      <c r="AI286" s="585"/>
      <c r="AJ286" s="585"/>
      <c r="AK286" s="585"/>
      <c r="AL286" s="585"/>
      <c r="AM286" s="585"/>
      <c r="AN286" s="585"/>
      <c r="AO286" s="585"/>
      <c r="AP286" s="585"/>
      <c r="AQ286" s="585"/>
      <c r="AR286" s="585"/>
    </row>
    <row r="287">
      <c r="A287" s="621"/>
      <c r="B287" s="627" t="str">
        <f>IFERROR(__xludf.DUMMYFUNCTION("""COMPUTED_VALUE"""),"Đi quay tại site")</f>
        <v>Đi quay tại site</v>
      </c>
      <c r="C287" s="628"/>
      <c r="D287" s="602" t="str">
        <f>IFERROR(__xludf.DUMMYFUNCTION("""COMPUTED_VALUE"""),"PMAX")</f>
        <v>PMAX</v>
      </c>
      <c r="E287" s="624" t="str">
        <f>IFERROR(__xludf.DUMMYFUNCTION("""COMPUTED_VALUE"""),"Not start yet")</f>
        <v>Not start yet</v>
      </c>
      <c r="F287" s="604">
        <f>IFERROR(__xludf.DUMMYFUNCTION("""COMPUTED_VALUE"""),46154.0)</f>
        <v>46154</v>
      </c>
      <c r="G287" s="639">
        <f>IFERROR(__xludf.DUMMYFUNCTION("""COMPUTED_VALUE"""),46156.0)</f>
        <v>46156</v>
      </c>
      <c r="H287" s="585"/>
      <c r="I287" s="629">
        <v>2.0</v>
      </c>
      <c r="J287" s="625"/>
      <c r="K287" s="585"/>
      <c r="L287" s="585"/>
      <c r="M287" s="585"/>
      <c r="N287" s="585"/>
      <c r="O287" s="585"/>
      <c r="P287" s="585"/>
      <c r="Q287" s="585"/>
      <c r="R287" s="585"/>
      <c r="S287" s="585"/>
      <c r="T287" s="585"/>
      <c r="U287" s="585"/>
      <c r="V287" s="585"/>
      <c r="W287" s="585"/>
      <c r="X287" s="585"/>
      <c r="Y287" s="585"/>
      <c r="Z287" s="585"/>
      <c r="AA287" s="585"/>
      <c r="AB287" s="585"/>
      <c r="AC287" s="585"/>
      <c r="AD287" s="585"/>
      <c r="AE287" s="585"/>
      <c r="AF287" s="585"/>
      <c r="AG287" s="585"/>
      <c r="AH287" s="585"/>
      <c r="AI287" s="585"/>
      <c r="AJ287" s="585"/>
      <c r="AK287" s="585"/>
      <c r="AL287" s="585"/>
      <c r="AM287" s="585"/>
      <c r="AN287" s="585"/>
      <c r="AO287" s="585"/>
      <c r="AP287" s="585"/>
      <c r="AQ287" s="585"/>
      <c r="AR287" s="585"/>
    </row>
    <row r="288">
      <c r="A288" s="621"/>
      <c r="B288" s="633" t="str">
        <f>IFERROR(__xludf.DUMMYFUNCTION("""COMPUTED_VALUE"""),"Demo R1")</f>
        <v>Demo R1</v>
      </c>
      <c r="C288" s="628"/>
      <c r="D288" s="602" t="str">
        <f>IFERROR(__xludf.DUMMYFUNCTION("""COMPUTED_VALUE"""),"PMAX")</f>
        <v>PMAX</v>
      </c>
      <c r="E288" s="624" t="str">
        <f>IFERROR(__xludf.DUMMYFUNCTION("""COMPUTED_VALUE"""),"Not start yet")</f>
        <v>Not start yet</v>
      </c>
      <c r="F288" s="604">
        <f>IFERROR(__xludf.DUMMYFUNCTION("""COMPUTED_VALUE"""),46156.0)</f>
        <v>46156</v>
      </c>
      <c r="G288" s="639">
        <f>IFERROR(__xludf.DUMMYFUNCTION("""COMPUTED_VALUE"""),46159.0)</f>
        <v>46159</v>
      </c>
      <c r="H288" s="585"/>
      <c r="I288" s="629">
        <v>4.0</v>
      </c>
      <c r="J288" s="630" t="s">
        <v>886</v>
      </c>
      <c r="K288" s="585"/>
      <c r="L288" s="585"/>
      <c r="M288" s="585"/>
      <c r="N288" s="585"/>
      <c r="O288" s="585"/>
      <c r="P288" s="585"/>
      <c r="Q288" s="585"/>
      <c r="R288" s="585"/>
      <c r="S288" s="585"/>
      <c r="T288" s="585"/>
      <c r="U288" s="585"/>
      <c r="V288" s="585"/>
      <c r="W288" s="585"/>
      <c r="X288" s="585"/>
      <c r="Y288" s="585"/>
      <c r="Z288" s="585"/>
      <c r="AA288" s="585"/>
      <c r="AB288" s="585"/>
      <c r="AC288" s="585"/>
      <c r="AD288" s="585"/>
      <c r="AE288" s="585"/>
      <c r="AF288" s="585"/>
      <c r="AG288" s="585"/>
      <c r="AH288" s="585"/>
      <c r="AI288" s="585"/>
      <c r="AJ288" s="585"/>
      <c r="AK288" s="585"/>
      <c r="AL288" s="585"/>
      <c r="AM288" s="585"/>
      <c r="AN288" s="585"/>
      <c r="AO288" s="585"/>
      <c r="AP288" s="585"/>
      <c r="AQ288" s="585"/>
      <c r="AR288" s="585"/>
    </row>
    <row r="289">
      <c r="A289" s="621"/>
      <c r="B289" s="627" t="str">
        <f>IFERROR(__xludf.DUMMYFUNCTION("""COMPUTED_VALUE"""),"Feedback demo R1")</f>
        <v>Feedback demo R1</v>
      </c>
      <c r="C289" s="628"/>
      <c r="D289" s="602" t="str">
        <f>IFERROR(__xludf.DUMMYFUNCTION("""COMPUTED_VALUE"""),"BRAND")</f>
        <v>BRAND</v>
      </c>
      <c r="E289" s="624" t="str">
        <f>IFERROR(__xludf.DUMMYFUNCTION("""COMPUTED_VALUE"""),"Not start yet")</f>
        <v>Not start yet</v>
      </c>
      <c r="F289" s="604">
        <f>IFERROR(__xludf.DUMMYFUNCTION("""COMPUTED_VALUE"""),46160.0)</f>
        <v>46160</v>
      </c>
      <c r="G289" s="639">
        <f>IFERROR(__xludf.DUMMYFUNCTION("""COMPUTED_VALUE"""),46160.0)</f>
        <v>46160</v>
      </c>
      <c r="H289" s="585"/>
      <c r="I289" s="625"/>
      <c r="J289" s="630" t="s">
        <v>887</v>
      </c>
      <c r="K289" s="585"/>
      <c r="L289" s="585"/>
      <c r="M289" s="585"/>
      <c r="N289" s="585"/>
      <c r="O289" s="585"/>
      <c r="P289" s="585"/>
      <c r="Q289" s="585"/>
      <c r="R289" s="585"/>
      <c r="S289" s="585"/>
      <c r="T289" s="585"/>
      <c r="U289" s="585"/>
      <c r="V289" s="585"/>
      <c r="W289" s="585"/>
      <c r="X289" s="585"/>
      <c r="Y289" s="585"/>
      <c r="Z289" s="585"/>
      <c r="AA289" s="585"/>
      <c r="AB289" s="585"/>
      <c r="AC289" s="585"/>
      <c r="AD289" s="585"/>
      <c r="AE289" s="585"/>
      <c r="AF289" s="585"/>
      <c r="AG289" s="585"/>
      <c r="AH289" s="585"/>
      <c r="AI289" s="585"/>
      <c r="AJ289" s="585"/>
      <c r="AK289" s="585"/>
      <c r="AL289" s="585"/>
      <c r="AM289" s="585"/>
      <c r="AN289" s="585"/>
      <c r="AO289" s="585"/>
      <c r="AP289" s="585"/>
      <c r="AQ289" s="585"/>
      <c r="AR289" s="585"/>
    </row>
    <row r="290">
      <c r="A290" s="621"/>
      <c r="B290" s="633" t="str">
        <f>IFERROR(__xludf.DUMMYFUNCTION("""COMPUTED_VALUE"""),"Demo R2")</f>
        <v>Demo R2</v>
      </c>
      <c r="C290" s="628"/>
      <c r="D290" s="602" t="str">
        <f>IFERROR(__xludf.DUMMYFUNCTION("""COMPUTED_VALUE"""),"PMAX")</f>
        <v>PMAX</v>
      </c>
      <c r="E290" s="624" t="str">
        <f>IFERROR(__xludf.DUMMYFUNCTION("""COMPUTED_VALUE"""),"Not start yet")</f>
        <v>Not start yet</v>
      </c>
      <c r="F290" s="604">
        <f>IFERROR(__xludf.DUMMYFUNCTION("""COMPUTED_VALUE"""),46161.0)</f>
        <v>46161</v>
      </c>
      <c r="G290" s="639">
        <f>IFERROR(__xludf.DUMMYFUNCTION("""COMPUTED_VALUE"""),46163.0)</f>
        <v>46163</v>
      </c>
      <c r="H290" s="585"/>
      <c r="I290" s="625"/>
      <c r="J290" s="625"/>
      <c r="K290" s="585"/>
      <c r="L290" s="585"/>
      <c r="M290" s="585"/>
      <c r="N290" s="585"/>
      <c r="O290" s="585"/>
      <c r="P290" s="585"/>
      <c r="Q290" s="585"/>
      <c r="R290" s="585"/>
      <c r="S290" s="585"/>
      <c r="T290" s="585"/>
      <c r="U290" s="585"/>
      <c r="V290" s="585"/>
      <c r="W290" s="585"/>
      <c r="X290" s="585"/>
      <c r="Y290" s="585"/>
      <c r="Z290" s="585"/>
      <c r="AA290" s="585"/>
      <c r="AB290" s="585"/>
      <c r="AC290" s="585"/>
      <c r="AD290" s="585"/>
      <c r="AE290" s="585"/>
      <c r="AF290" s="585"/>
      <c r="AG290" s="585"/>
      <c r="AH290" s="585"/>
      <c r="AI290" s="585"/>
      <c r="AJ290" s="585"/>
      <c r="AK290" s="585"/>
      <c r="AL290" s="585"/>
      <c r="AM290" s="585"/>
      <c r="AN290" s="585"/>
      <c r="AO290" s="585"/>
      <c r="AP290" s="585"/>
      <c r="AQ290" s="585"/>
      <c r="AR290" s="585"/>
    </row>
    <row r="291">
      <c r="A291" s="621"/>
      <c r="B291" s="627" t="str">
        <f>IFERROR(__xludf.DUMMYFUNCTION("""COMPUTED_VALUE"""),"Feedback demo R2")</f>
        <v>Feedback demo R2</v>
      </c>
      <c r="C291" s="628"/>
      <c r="D291" s="602" t="str">
        <f>IFERROR(__xludf.DUMMYFUNCTION("""COMPUTED_VALUE"""),"BRAND")</f>
        <v>BRAND</v>
      </c>
      <c r="E291" s="624" t="str">
        <f>IFERROR(__xludf.DUMMYFUNCTION("""COMPUTED_VALUE"""),"Not start yet")</f>
        <v>Not start yet</v>
      </c>
      <c r="F291" s="604">
        <f>IFERROR(__xludf.DUMMYFUNCTION("""COMPUTED_VALUE"""),46164.0)</f>
        <v>46164</v>
      </c>
      <c r="G291" s="639">
        <f>IFERROR(__xludf.DUMMYFUNCTION("""COMPUTED_VALUE"""),46164.0)</f>
        <v>46164</v>
      </c>
      <c r="H291" s="585"/>
      <c r="I291" s="625"/>
      <c r="J291" s="625"/>
      <c r="K291" s="585"/>
      <c r="L291" s="585"/>
      <c r="M291" s="585"/>
      <c r="N291" s="585"/>
      <c r="O291" s="585"/>
      <c r="P291" s="585"/>
      <c r="Q291" s="585"/>
      <c r="R291" s="585"/>
      <c r="S291" s="585"/>
      <c r="T291" s="585"/>
      <c r="U291" s="585"/>
      <c r="V291" s="585"/>
      <c r="W291" s="585"/>
      <c r="X291" s="585"/>
      <c r="Y291" s="585"/>
      <c r="Z291" s="585"/>
      <c r="AA291" s="585"/>
      <c r="AB291" s="585"/>
      <c r="AC291" s="585"/>
      <c r="AD291" s="585"/>
      <c r="AE291" s="585"/>
      <c r="AF291" s="585"/>
      <c r="AG291" s="585"/>
      <c r="AH291" s="585"/>
      <c r="AI291" s="585"/>
      <c r="AJ291" s="585"/>
      <c r="AK291" s="585"/>
      <c r="AL291" s="585"/>
      <c r="AM291" s="585"/>
      <c r="AN291" s="585"/>
      <c r="AO291" s="585"/>
      <c r="AP291" s="585"/>
      <c r="AQ291" s="585"/>
      <c r="AR291" s="585"/>
    </row>
    <row r="292">
      <c r="A292" s="621"/>
      <c r="B292" s="627" t="str">
        <f>IFERROR(__xludf.DUMMYFUNCTION("""COMPUTED_VALUE"""),"Finalize demo")</f>
        <v>Finalize demo</v>
      </c>
      <c r="C292" s="628"/>
      <c r="D292" s="602" t="str">
        <f>IFERROR(__xludf.DUMMYFUNCTION("""COMPUTED_VALUE"""),"PMAX")</f>
        <v>PMAX</v>
      </c>
      <c r="E292" s="624" t="str">
        <f>IFERROR(__xludf.DUMMYFUNCTION("""COMPUTED_VALUE"""),"Not start yet")</f>
        <v>Not start yet</v>
      </c>
      <c r="F292" s="604">
        <f>IFERROR(__xludf.DUMMYFUNCTION("""COMPUTED_VALUE"""),46164.0)</f>
        <v>46164</v>
      </c>
      <c r="G292" s="639">
        <f>IFERROR(__xludf.DUMMYFUNCTION("""COMPUTED_VALUE"""),46164.0)</f>
        <v>46164</v>
      </c>
      <c r="H292" s="585"/>
      <c r="I292" s="629">
        <v>1.0</v>
      </c>
      <c r="J292" s="630" t="s">
        <v>888</v>
      </c>
      <c r="K292" s="585"/>
      <c r="L292" s="585"/>
      <c r="M292" s="585"/>
      <c r="N292" s="585"/>
      <c r="O292" s="585"/>
      <c r="P292" s="585"/>
      <c r="Q292" s="585"/>
      <c r="R292" s="585"/>
      <c r="S292" s="585"/>
      <c r="T292" s="585"/>
      <c r="U292" s="585"/>
      <c r="V292" s="585"/>
      <c r="W292" s="585"/>
      <c r="X292" s="585"/>
      <c r="Y292" s="585"/>
      <c r="Z292" s="585"/>
      <c r="AA292" s="585"/>
      <c r="AB292" s="585"/>
      <c r="AC292" s="585"/>
      <c r="AD292" s="585"/>
      <c r="AE292" s="585"/>
      <c r="AF292" s="585"/>
      <c r="AG292" s="585"/>
      <c r="AH292" s="585"/>
      <c r="AI292" s="585"/>
      <c r="AJ292" s="585"/>
      <c r="AK292" s="585"/>
      <c r="AL292" s="585"/>
      <c r="AM292" s="585"/>
      <c r="AN292" s="585"/>
      <c r="AO292" s="585"/>
      <c r="AP292" s="585"/>
      <c r="AQ292" s="585"/>
      <c r="AR292" s="585"/>
    </row>
    <row r="293">
      <c r="A293" s="621"/>
      <c r="B293" s="634" t="str">
        <f>IFERROR(__xludf.DUMMYFUNCTION("""COMPUTED_VALUE"""),"Air")</f>
        <v>Air</v>
      </c>
      <c r="C293" s="26"/>
      <c r="D293" s="602" t="str">
        <f>IFERROR(__xludf.DUMMYFUNCTION("""COMPUTED_VALUE"""),"PMAX")</f>
        <v>PMAX</v>
      </c>
      <c r="E293" s="624" t="str">
        <f>IFERROR(__xludf.DUMMYFUNCTION("""COMPUTED_VALUE"""),"Not start yet")</f>
        <v>Not start yet</v>
      </c>
      <c r="F293" s="604" t="str">
        <f>IFERROR(__xludf.DUMMYFUNCTION("""COMPUTED_VALUE"""),"TBU")</f>
        <v>TBU</v>
      </c>
      <c r="G293" s="639" t="str">
        <f>IFERROR(__xludf.DUMMYFUNCTION("""COMPUTED_VALUE"""),"TBU")</f>
        <v>TBU</v>
      </c>
      <c r="H293" s="585"/>
      <c r="I293" s="636">
        <v>1.0</v>
      </c>
      <c r="J293" s="585"/>
      <c r="K293" s="585"/>
      <c r="L293" s="585"/>
      <c r="M293" s="585"/>
      <c r="N293" s="585"/>
      <c r="O293" s="585"/>
      <c r="P293" s="585"/>
      <c r="Q293" s="585"/>
      <c r="R293" s="585"/>
      <c r="S293" s="585"/>
      <c r="T293" s="585"/>
      <c r="U293" s="585"/>
      <c r="V293" s="585"/>
      <c r="W293" s="585"/>
      <c r="X293" s="585"/>
      <c r="Y293" s="585"/>
      <c r="Z293" s="585"/>
      <c r="AA293" s="585"/>
      <c r="AB293" s="585"/>
      <c r="AC293" s="585"/>
      <c r="AD293" s="585"/>
      <c r="AE293" s="585"/>
      <c r="AF293" s="585"/>
      <c r="AG293" s="585"/>
      <c r="AH293" s="585"/>
      <c r="AI293" s="585"/>
      <c r="AJ293" s="585"/>
      <c r="AK293" s="585"/>
      <c r="AL293" s="585"/>
      <c r="AM293" s="585"/>
      <c r="AN293" s="585"/>
      <c r="AO293" s="585"/>
      <c r="AP293" s="585"/>
      <c r="AQ293" s="585"/>
      <c r="AR293" s="585"/>
    </row>
    <row r="294">
      <c r="A294" s="637">
        <f>IFERROR(__xludf.DUMMYFUNCTION("""COMPUTED_VALUE"""),20.0)</f>
        <v>20</v>
      </c>
      <c r="B294" s="616" t="str">
        <f>IFERROR(__xludf.DUMMYFUNCTION("""COMPUTED_VALUE"""),"Nguyen Mai Ha My")</f>
        <v>Nguyen Mai Ha My</v>
      </c>
      <c r="C294" s="617"/>
      <c r="D294" s="618"/>
      <c r="E294" s="619"/>
      <c r="F294" s="619"/>
      <c r="G294" s="619"/>
      <c r="H294" s="585"/>
      <c r="I294" s="585"/>
      <c r="J294" s="585"/>
      <c r="K294" s="585"/>
      <c r="L294" s="585"/>
      <c r="M294" s="585"/>
      <c r="N294" s="585"/>
      <c r="O294" s="585"/>
      <c r="P294" s="585"/>
      <c r="Q294" s="585"/>
      <c r="R294" s="585"/>
      <c r="S294" s="585"/>
      <c r="T294" s="585"/>
      <c r="U294" s="585"/>
      <c r="V294" s="585"/>
      <c r="W294" s="585"/>
      <c r="X294" s="585"/>
      <c r="Y294" s="585"/>
      <c r="Z294" s="585"/>
      <c r="AA294" s="585"/>
      <c r="AB294" s="585"/>
      <c r="AC294" s="585"/>
      <c r="AD294" s="585"/>
      <c r="AE294" s="585"/>
      <c r="AF294" s="585"/>
      <c r="AG294" s="585"/>
      <c r="AH294" s="585"/>
      <c r="AI294" s="585"/>
      <c r="AJ294" s="585"/>
      <c r="AK294" s="585"/>
      <c r="AL294" s="585"/>
      <c r="AM294" s="585"/>
      <c r="AN294" s="585"/>
      <c r="AO294" s="585"/>
      <c r="AP294" s="585"/>
      <c r="AQ294" s="585"/>
      <c r="AR294" s="585"/>
    </row>
    <row r="295">
      <c r="A295" s="621"/>
      <c r="B295" s="622" t="str">
        <f>IFERROR(__xludf.DUMMYFUNCTION("""COMPUTED_VALUE"""),"Briefing cho Influencer")</f>
        <v>Briefing cho Influencer</v>
      </c>
      <c r="C295" s="623"/>
      <c r="D295" s="602" t="str">
        <f>IFERROR(__xludf.DUMMYFUNCTION("""COMPUTED_VALUE"""),"PMAX")</f>
        <v>PMAX</v>
      </c>
      <c r="E295" s="624" t="str">
        <f>IFERROR(__xludf.DUMMYFUNCTION("""COMPUTED_VALUE"""),"Not start yet")</f>
        <v>Not start yet</v>
      </c>
      <c r="F295" s="604">
        <f>IFERROR(__xludf.DUMMYFUNCTION("""COMPUTED_VALUE"""),46147.0)</f>
        <v>46147</v>
      </c>
      <c r="G295" s="639">
        <f>IFERROR(__xludf.DUMMYFUNCTION("""COMPUTED_VALUE"""),46148.0)</f>
        <v>46148</v>
      </c>
      <c r="H295" s="585"/>
      <c r="I295" s="625"/>
      <c r="J295" s="626" t="s">
        <v>882</v>
      </c>
      <c r="K295" s="585"/>
      <c r="L295" s="585"/>
      <c r="M295" s="585"/>
      <c r="N295" s="585"/>
      <c r="O295" s="585"/>
      <c r="P295" s="585"/>
      <c r="Q295" s="585"/>
      <c r="R295" s="585"/>
      <c r="S295" s="585"/>
      <c r="T295" s="585"/>
      <c r="U295" s="585"/>
      <c r="V295" s="585"/>
      <c r="W295" s="585"/>
      <c r="X295" s="585"/>
      <c r="Y295" s="585"/>
      <c r="Z295" s="585"/>
      <c r="AA295" s="585"/>
      <c r="AB295" s="585"/>
      <c r="AC295" s="585"/>
      <c r="AD295" s="585"/>
      <c r="AE295" s="585"/>
      <c r="AF295" s="585"/>
      <c r="AG295" s="585"/>
      <c r="AH295" s="585"/>
      <c r="AI295" s="585"/>
      <c r="AJ295" s="585"/>
      <c r="AK295" s="585"/>
      <c r="AL295" s="585"/>
      <c r="AM295" s="585"/>
      <c r="AN295" s="585"/>
      <c r="AO295" s="585"/>
      <c r="AP295" s="585"/>
      <c r="AQ295" s="585"/>
      <c r="AR295" s="585"/>
    </row>
    <row r="296">
      <c r="A296" s="621"/>
      <c r="B296" s="627" t="str">
        <f>IFERROR(__xludf.DUMMYFUNCTION("""COMPUTED_VALUE"""),"Script R1 + Outfits")</f>
        <v>Script R1 + Outfits</v>
      </c>
      <c r="C296" s="628"/>
      <c r="D296" s="602" t="str">
        <f>IFERROR(__xludf.DUMMYFUNCTION("""COMPUTED_VALUE"""),"PMAX")</f>
        <v>PMAX</v>
      </c>
      <c r="E296" s="624" t="str">
        <f>IFERROR(__xludf.DUMMYFUNCTION("""COMPUTED_VALUE"""),"Not start yet")</f>
        <v>Not start yet</v>
      </c>
      <c r="F296" s="604">
        <f>IFERROR(__xludf.DUMMYFUNCTION("""COMPUTED_VALUE"""),46148.0)</f>
        <v>46148</v>
      </c>
      <c r="G296" s="639">
        <f>IFERROR(__xludf.DUMMYFUNCTION("""COMPUTED_VALUE"""),46150.0)</f>
        <v>46150</v>
      </c>
      <c r="H296" s="585"/>
      <c r="I296" s="629">
        <v>1.0</v>
      </c>
      <c r="J296" s="630" t="s">
        <v>883</v>
      </c>
      <c r="K296" s="585"/>
      <c r="L296" s="585"/>
      <c r="M296" s="585"/>
      <c r="N296" s="585"/>
      <c r="O296" s="585"/>
      <c r="P296" s="585"/>
      <c r="Q296" s="585"/>
      <c r="R296" s="585"/>
      <c r="S296" s="585"/>
      <c r="T296" s="585"/>
      <c r="U296" s="585"/>
      <c r="V296" s="585"/>
      <c r="W296" s="585"/>
      <c r="X296" s="585"/>
      <c r="Y296" s="585"/>
      <c r="Z296" s="585"/>
      <c r="AA296" s="585"/>
      <c r="AB296" s="585"/>
      <c r="AC296" s="585"/>
      <c r="AD296" s="585"/>
      <c r="AE296" s="585"/>
      <c r="AF296" s="585"/>
      <c r="AG296" s="585"/>
      <c r="AH296" s="585"/>
      <c r="AI296" s="585"/>
      <c r="AJ296" s="585"/>
      <c r="AK296" s="585"/>
      <c r="AL296" s="585"/>
      <c r="AM296" s="585"/>
      <c r="AN296" s="585"/>
      <c r="AO296" s="585"/>
      <c r="AP296" s="585"/>
      <c r="AQ296" s="585"/>
      <c r="AR296" s="585"/>
    </row>
    <row r="297">
      <c r="A297" s="621"/>
      <c r="B297" s="627" t="str">
        <f>IFERROR(__xludf.DUMMYFUNCTION("""COMPUTED_VALUE"""),"Feedback Script R1 + outfits")</f>
        <v>Feedback Script R1 + outfits</v>
      </c>
      <c r="C297" s="628"/>
      <c r="D297" s="602" t="str">
        <f>IFERROR(__xludf.DUMMYFUNCTION("""COMPUTED_VALUE"""),"BRAND")</f>
        <v>BRAND</v>
      </c>
      <c r="E297" s="624" t="str">
        <f>IFERROR(__xludf.DUMMYFUNCTION("""COMPUTED_VALUE"""),"Not start yet")</f>
        <v>Not start yet</v>
      </c>
      <c r="F297" s="604">
        <f>IFERROR(__xludf.DUMMYFUNCTION("""COMPUTED_VALUE"""),46150.0)</f>
        <v>46150</v>
      </c>
      <c r="G297" s="639">
        <f>IFERROR(__xludf.DUMMYFUNCTION("""COMPUTED_VALUE"""),46150.0)</f>
        <v>46150</v>
      </c>
      <c r="H297" s="585"/>
      <c r="I297" s="625"/>
      <c r="J297" s="630" t="s">
        <v>884</v>
      </c>
      <c r="K297" s="585"/>
      <c r="L297" s="585"/>
      <c r="M297" s="585"/>
      <c r="N297" s="585"/>
      <c r="O297" s="585"/>
      <c r="P297" s="585"/>
      <c r="Q297" s="585"/>
      <c r="R297" s="585"/>
      <c r="S297" s="585"/>
      <c r="T297" s="585"/>
      <c r="U297" s="585"/>
      <c r="V297" s="585"/>
      <c r="W297" s="585"/>
      <c r="X297" s="585"/>
      <c r="Y297" s="585"/>
      <c r="Z297" s="585"/>
      <c r="AA297" s="585"/>
      <c r="AB297" s="585"/>
      <c r="AC297" s="585"/>
      <c r="AD297" s="585"/>
      <c r="AE297" s="585"/>
      <c r="AF297" s="585"/>
      <c r="AG297" s="585"/>
      <c r="AH297" s="585"/>
      <c r="AI297" s="585"/>
      <c r="AJ297" s="585"/>
      <c r="AK297" s="585"/>
      <c r="AL297" s="585"/>
      <c r="AM297" s="585"/>
      <c r="AN297" s="585"/>
      <c r="AO297" s="585"/>
      <c r="AP297" s="585"/>
      <c r="AQ297" s="585"/>
      <c r="AR297" s="585"/>
    </row>
    <row r="298">
      <c r="A298" s="621"/>
      <c r="B298" s="631" t="str">
        <f>IFERROR(__xludf.DUMMYFUNCTION("""COMPUTED_VALUE"""),"Script R2")</f>
        <v>Script R2</v>
      </c>
      <c r="C298" s="628"/>
      <c r="D298" s="632" t="str">
        <f>IFERROR(__xludf.DUMMYFUNCTION("""COMPUTED_VALUE"""),"PMAX")</f>
        <v>PMAX</v>
      </c>
      <c r="E298" s="624" t="str">
        <f>IFERROR(__xludf.DUMMYFUNCTION("""COMPUTED_VALUE"""),"Not start yet")</f>
        <v>Not start yet</v>
      </c>
      <c r="F298" s="604">
        <f>IFERROR(__xludf.DUMMYFUNCTION("""COMPUTED_VALUE"""),46151.0)</f>
        <v>46151</v>
      </c>
      <c r="G298" s="639">
        <f>IFERROR(__xludf.DUMMYFUNCTION("""COMPUTED_VALUE"""),46152.0)</f>
        <v>46152</v>
      </c>
      <c r="H298" s="585"/>
      <c r="I298" s="625"/>
      <c r="J298" s="630"/>
      <c r="K298" s="585"/>
      <c r="L298" s="585"/>
      <c r="M298" s="585"/>
      <c r="N298" s="585"/>
      <c r="O298" s="585"/>
      <c r="P298" s="585"/>
      <c r="Q298" s="585"/>
      <c r="R298" s="585"/>
      <c r="S298" s="585"/>
      <c r="T298" s="585"/>
      <c r="U298" s="585"/>
      <c r="V298" s="585"/>
      <c r="W298" s="585"/>
      <c r="X298" s="585"/>
      <c r="Y298" s="585"/>
      <c r="Z298" s="585"/>
      <c r="AA298" s="585"/>
      <c r="AB298" s="585"/>
      <c r="AC298" s="585"/>
      <c r="AD298" s="585"/>
      <c r="AE298" s="585"/>
      <c r="AF298" s="585"/>
      <c r="AG298" s="585"/>
      <c r="AH298" s="585"/>
      <c r="AI298" s="585"/>
      <c r="AJ298" s="585"/>
      <c r="AK298" s="585"/>
      <c r="AL298" s="585"/>
      <c r="AM298" s="585"/>
      <c r="AN298" s="585"/>
      <c r="AO298" s="585"/>
      <c r="AP298" s="585"/>
      <c r="AQ298" s="585"/>
      <c r="AR298" s="585"/>
    </row>
    <row r="299">
      <c r="A299" s="621"/>
      <c r="B299" s="631" t="str">
        <f>IFERROR(__xludf.DUMMYFUNCTION("""COMPUTED_VALUE"""),"Feedback Script R2")</f>
        <v>Feedback Script R2</v>
      </c>
      <c r="C299" s="628"/>
      <c r="D299" s="632" t="str">
        <f>IFERROR(__xludf.DUMMYFUNCTION("""COMPUTED_VALUE"""),"BRAND")</f>
        <v>BRAND</v>
      </c>
      <c r="E299" s="624" t="str">
        <f>IFERROR(__xludf.DUMMYFUNCTION("""COMPUTED_VALUE"""),"Not start yet")</f>
        <v>Not start yet</v>
      </c>
      <c r="F299" s="604">
        <f>IFERROR(__xludf.DUMMYFUNCTION("""COMPUTED_VALUE"""),46153.0)</f>
        <v>46153</v>
      </c>
      <c r="G299" s="639">
        <f>IFERROR(__xludf.DUMMYFUNCTION("""COMPUTED_VALUE"""),46153.0)</f>
        <v>46153</v>
      </c>
      <c r="H299" s="585"/>
      <c r="I299" s="625"/>
      <c r="J299" s="630"/>
      <c r="K299" s="585"/>
      <c r="L299" s="585"/>
      <c r="M299" s="585"/>
      <c r="N299" s="585"/>
      <c r="O299" s="585"/>
      <c r="P299" s="585"/>
      <c r="Q299" s="585"/>
      <c r="R299" s="585"/>
      <c r="S299" s="585"/>
      <c r="T299" s="585"/>
      <c r="U299" s="585"/>
      <c r="V299" s="585"/>
      <c r="W299" s="585"/>
      <c r="X299" s="585"/>
      <c r="Y299" s="585"/>
      <c r="Z299" s="585"/>
      <c r="AA299" s="585"/>
      <c r="AB299" s="585"/>
      <c r="AC299" s="585"/>
      <c r="AD299" s="585"/>
      <c r="AE299" s="585"/>
      <c r="AF299" s="585"/>
      <c r="AG299" s="585"/>
      <c r="AH299" s="585"/>
      <c r="AI299" s="585"/>
      <c r="AJ299" s="585"/>
      <c r="AK299" s="585"/>
      <c r="AL299" s="585"/>
      <c r="AM299" s="585"/>
      <c r="AN299" s="585"/>
      <c r="AO299" s="585"/>
      <c r="AP299" s="585"/>
      <c r="AQ299" s="585"/>
      <c r="AR299" s="585"/>
    </row>
    <row r="300">
      <c r="A300" s="621"/>
      <c r="B300" s="627" t="str">
        <f>IFERROR(__xludf.DUMMYFUNCTION("""COMPUTED_VALUE"""),"Finalize scripts + outfits")</f>
        <v>Finalize scripts + outfits</v>
      </c>
      <c r="C300" s="628"/>
      <c r="D300" s="602" t="str">
        <f>IFERROR(__xludf.DUMMYFUNCTION("""COMPUTED_VALUE"""),"PMAX-BRAND")</f>
        <v>PMAX-BRAND</v>
      </c>
      <c r="E300" s="624" t="str">
        <f>IFERROR(__xludf.DUMMYFUNCTION("""COMPUTED_VALUE"""),"Not start yet")</f>
        <v>Not start yet</v>
      </c>
      <c r="F300" s="604">
        <f>IFERROR(__xludf.DUMMYFUNCTION("""COMPUTED_VALUE"""),46153.0)</f>
        <v>46153</v>
      </c>
      <c r="G300" s="639">
        <f>IFERROR(__xludf.DUMMYFUNCTION("""COMPUTED_VALUE"""),46153.0)</f>
        <v>46153</v>
      </c>
      <c r="H300" s="585"/>
      <c r="I300" s="629">
        <v>1.0</v>
      </c>
      <c r="J300" s="630" t="s">
        <v>885</v>
      </c>
      <c r="K300" s="585"/>
      <c r="L300" s="585"/>
      <c r="M300" s="585"/>
      <c r="N300" s="585"/>
      <c r="O300" s="585"/>
      <c r="P300" s="585"/>
      <c r="Q300" s="585"/>
      <c r="R300" s="585"/>
      <c r="S300" s="585"/>
      <c r="T300" s="585"/>
      <c r="U300" s="585"/>
      <c r="V300" s="585"/>
      <c r="W300" s="585"/>
      <c r="X300" s="585"/>
      <c r="Y300" s="585"/>
      <c r="Z300" s="585"/>
      <c r="AA300" s="585"/>
      <c r="AB300" s="585"/>
      <c r="AC300" s="585"/>
      <c r="AD300" s="585"/>
      <c r="AE300" s="585"/>
      <c r="AF300" s="585"/>
      <c r="AG300" s="585"/>
      <c r="AH300" s="585"/>
      <c r="AI300" s="585"/>
      <c r="AJ300" s="585"/>
      <c r="AK300" s="585"/>
      <c r="AL300" s="585"/>
      <c r="AM300" s="585"/>
      <c r="AN300" s="585"/>
      <c r="AO300" s="585"/>
      <c r="AP300" s="585"/>
      <c r="AQ300" s="585"/>
      <c r="AR300" s="585"/>
    </row>
    <row r="301">
      <c r="A301" s="621"/>
      <c r="B301" s="627" t="str">
        <f>IFERROR(__xludf.DUMMYFUNCTION("""COMPUTED_VALUE"""),"Đi quay tại site")</f>
        <v>Đi quay tại site</v>
      </c>
      <c r="C301" s="628"/>
      <c r="D301" s="602" t="str">
        <f>IFERROR(__xludf.DUMMYFUNCTION("""COMPUTED_VALUE"""),"PMAX")</f>
        <v>PMAX</v>
      </c>
      <c r="E301" s="624" t="str">
        <f>IFERROR(__xludf.DUMMYFUNCTION("""COMPUTED_VALUE"""),"Not start yet")</f>
        <v>Not start yet</v>
      </c>
      <c r="F301" s="604">
        <f>IFERROR(__xludf.DUMMYFUNCTION("""COMPUTED_VALUE"""),46154.0)</f>
        <v>46154</v>
      </c>
      <c r="G301" s="639">
        <f>IFERROR(__xludf.DUMMYFUNCTION("""COMPUTED_VALUE"""),46156.0)</f>
        <v>46156</v>
      </c>
      <c r="H301" s="585"/>
      <c r="I301" s="629">
        <v>2.0</v>
      </c>
      <c r="J301" s="625"/>
      <c r="K301" s="585"/>
      <c r="L301" s="585"/>
      <c r="M301" s="585"/>
      <c r="N301" s="585"/>
      <c r="O301" s="585"/>
      <c r="P301" s="585"/>
      <c r="Q301" s="585"/>
      <c r="R301" s="585"/>
      <c r="S301" s="585"/>
      <c r="T301" s="585"/>
      <c r="U301" s="585"/>
      <c r="V301" s="585"/>
      <c r="W301" s="585"/>
      <c r="X301" s="585"/>
      <c r="Y301" s="585"/>
      <c r="Z301" s="585"/>
      <c r="AA301" s="585"/>
      <c r="AB301" s="585"/>
      <c r="AC301" s="585"/>
      <c r="AD301" s="585"/>
      <c r="AE301" s="585"/>
      <c r="AF301" s="585"/>
      <c r="AG301" s="585"/>
      <c r="AH301" s="585"/>
      <c r="AI301" s="585"/>
      <c r="AJ301" s="585"/>
      <c r="AK301" s="585"/>
      <c r="AL301" s="585"/>
      <c r="AM301" s="585"/>
      <c r="AN301" s="585"/>
      <c r="AO301" s="585"/>
      <c r="AP301" s="585"/>
      <c r="AQ301" s="585"/>
      <c r="AR301" s="585"/>
    </row>
    <row r="302">
      <c r="A302" s="621"/>
      <c r="B302" s="633" t="str">
        <f>IFERROR(__xludf.DUMMYFUNCTION("""COMPUTED_VALUE"""),"Demo R1")</f>
        <v>Demo R1</v>
      </c>
      <c r="C302" s="628"/>
      <c r="D302" s="602" t="str">
        <f>IFERROR(__xludf.DUMMYFUNCTION("""COMPUTED_VALUE"""),"PMAX")</f>
        <v>PMAX</v>
      </c>
      <c r="E302" s="624" t="str">
        <f>IFERROR(__xludf.DUMMYFUNCTION("""COMPUTED_VALUE"""),"Not start yet")</f>
        <v>Not start yet</v>
      </c>
      <c r="F302" s="604">
        <f>IFERROR(__xludf.DUMMYFUNCTION("""COMPUTED_VALUE"""),46156.0)</f>
        <v>46156</v>
      </c>
      <c r="G302" s="639">
        <f>IFERROR(__xludf.DUMMYFUNCTION("""COMPUTED_VALUE"""),46159.0)</f>
        <v>46159</v>
      </c>
      <c r="H302" s="585"/>
      <c r="I302" s="629">
        <v>4.0</v>
      </c>
      <c r="J302" s="630" t="s">
        <v>886</v>
      </c>
      <c r="K302" s="585"/>
      <c r="L302" s="585"/>
      <c r="M302" s="585"/>
      <c r="N302" s="585"/>
      <c r="O302" s="585"/>
      <c r="P302" s="585"/>
      <c r="Q302" s="585"/>
      <c r="R302" s="585"/>
      <c r="S302" s="585"/>
      <c r="T302" s="585"/>
      <c r="U302" s="585"/>
      <c r="V302" s="585"/>
      <c r="W302" s="585"/>
      <c r="X302" s="585"/>
      <c r="Y302" s="585"/>
      <c r="Z302" s="585"/>
      <c r="AA302" s="585"/>
      <c r="AB302" s="585"/>
      <c r="AC302" s="585"/>
      <c r="AD302" s="585"/>
      <c r="AE302" s="585"/>
      <c r="AF302" s="585"/>
      <c r="AG302" s="585"/>
      <c r="AH302" s="585"/>
      <c r="AI302" s="585"/>
      <c r="AJ302" s="585"/>
      <c r="AK302" s="585"/>
      <c r="AL302" s="585"/>
      <c r="AM302" s="585"/>
      <c r="AN302" s="585"/>
      <c r="AO302" s="585"/>
      <c r="AP302" s="585"/>
      <c r="AQ302" s="585"/>
      <c r="AR302" s="585"/>
    </row>
    <row r="303">
      <c r="A303" s="621"/>
      <c r="B303" s="627" t="str">
        <f>IFERROR(__xludf.DUMMYFUNCTION("""COMPUTED_VALUE"""),"Feedback demo R1")</f>
        <v>Feedback demo R1</v>
      </c>
      <c r="C303" s="628"/>
      <c r="D303" s="602" t="str">
        <f>IFERROR(__xludf.DUMMYFUNCTION("""COMPUTED_VALUE"""),"BRAND")</f>
        <v>BRAND</v>
      </c>
      <c r="E303" s="624" t="str">
        <f>IFERROR(__xludf.DUMMYFUNCTION("""COMPUTED_VALUE"""),"Not start yet")</f>
        <v>Not start yet</v>
      </c>
      <c r="F303" s="604">
        <f>IFERROR(__xludf.DUMMYFUNCTION("""COMPUTED_VALUE"""),46160.0)</f>
        <v>46160</v>
      </c>
      <c r="G303" s="639">
        <f>IFERROR(__xludf.DUMMYFUNCTION("""COMPUTED_VALUE"""),46160.0)</f>
        <v>46160</v>
      </c>
      <c r="H303" s="585"/>
      <c r="I303" s="625"/>
      <c r="J303" s="630" t="s">
        <v>887</v>
      </c>
      <c r="K303" s="585"/>
      <c r="L303" s="585"/>
      <c r="M303" s="585"/>
      <c r="N303" s="585"/>
      <c r="O303" s="585"/>
      <c r="P303" s="585"/>
      <c r="Q303" s="585"/>
      <c r="R303" s="585"/>
      <c r="S303" s="585"/>
      <c r="T303" s="585"/>
      <c r="U303" s="585"/>
      <c r="V303" s="585"/>
      <c r="W303" s="585"/>
      <c r="X303" s="585"/>
      <c r="Y303" s="585"/>
      <c r="Z303" s="585"/>
      <c r="AA303" s="585"/>
      <c r="AB303" s="585"/>
      <c r="AC303" s="585"/>
      <c r="AD303" s="585"/>
      <c r="AE303" s="585"/>
      <c r="AF303" s="585"/>
      <c r="AG303" s="585"/>
      <c r="AH303" s="585"/>
      <c r="AI303" s="585"/>
      <c r="AJ303" s="585"/>
      <c r="AK303" s="585"/>
      <c r="AL303" s="585"/>
      <c r="AM303" s="585"/>
      <c r="AN303" s="585"/>
      <c r="AO303" s="585"/>
      <c r="AP303" s="585"/>
      <c r="AQ303" s="585"/>
      <c r="AR303" s="585"/>
    </row>
    <row r="304">
      <c r="A304" s="621"/>
      <c r="B304" s="633" t="str">
        <f>IFERROR(__xludf.DUMMYFUNCTION("""COMPUTED_VALUE"""),"Demo R2")</f>
        <v>Demo R2</v>
      </c>
      <c r="C304" s="628"/>
      <c r="D304" s="602" t="str">
        <f>IFERROR(__xludf.DUMMYFUNCTION("""COMPUTED_VALUE"""),"PMAX")</f>
        <v>PMAX</v>
      </c>
      <c r="E304" s="624" t="str">
        <f>IFERROR(__xludf.DUMMYFUNCTION("""COMPUTED_VALUE"""),"Not start yet")</f>
        <v>Not start yet</v>
      </c>
      <c r="F304" s="604">
        <f>IFERROR(__xludf.DUMMYFUNCTION("""COMPUTED_VALUE"""),46161.0)</f>
        <v>46161</v>
      </c>
      <c r="G304" s="639">
        <f>IFERROR(__xludf.DUMMYFUNCTION("""COMPUTED_VALUE"""),46163.0)</f>
        <v>46163</v>
      </c>
      <c r="H304" s="585"/>
      <c r="I304" s="625"/>
      <c r="J304" s="625"/>
      <c r="K304" s="585"/>
      <c r="L304" s="585"/>
      <c r="M304" s="585"/>
      <c r="N304" s="585"/>
      <c r="O304" s="585"/>
      <c r="P304" s="585"/>
      <c r="Q304" s="585"/>
      <c r="R304" s="585"/>
      <c r="S304" s="585"/>
      <c r="T304" s="585"/>
      <c r="U304" s="585"/>
      <c r="V304" s="585"/>
      <c r="W304" s="585"/>
      <c r="X304" s="585"/>
      <c r="Y304" s="585"/>
      <c r="Z304" s="585"/>
      <c r="AA304" s="585"/>
      <c r="AB304" s="585"/>
      <c r="AC304" s="585"/>
      <c r="AD304" s="585"/>
      <c r="AE304" s="585"/>
      <c r="AF304" s="585"/>
      <c r="AG304" s="585"/>
      <c r="AH304" s="585"/>
      <c r="AI304" s="585"/>
      <c r="AJ304" s="585"/>
      <c r="AK304" s="585"/>
      <c r="AL304" s="585"/>
      <c r="AM304" s="585"/>
      <c r="AN304" s="585"/>
      <c r="AO304" s="585"/>
      <c r="AP304" s="585"/>
      <c r="AQ304" s="585"/>
      <c r="AR304" s="585"/>
    </row>
    <row r="305">
      <c r="A305" s="621"/>
      <c r="B305" s="627" t="str">
        <f>IFERROR(__xludf.DUMMYFUNCTION("""COMPUTED_VALUE"""),"Feedback demo R2")</f>
        <v>Feedback demo R2</v>
      </c>
      <c r="C305" s="628"/>
      <c r="D305" s="602" t="str">
        <f>IFERROR(__xludf.DUMMYFUNCTION("""COMPUTED_VALUE"""),"BRAND")</f>
        <v>BRAND</v>
      </c>
      <c r="E305" s="624" t="str">
        <f>IFERROR(__xludf.DUMMYFUNCTION("""COMPUTED_VALUE"""),"Not start yet")</f>
        <v>Not start yet</v>
      </c>
      <c r="F305" s="604">
        <f>IFERROR(__xludf.DUMMYFUNCTION("""COMPUTED_VALUE"""),46164.0)</f>
        <v>46164</v>
      </c>
      <c r="G305" s="639">
        <f>IFERROR(__xludf.DUMMYFUNCTION("""COMPUTED_VALUE"""),46164.0)</f>
        <v>46164</v>
      </c>
      <c r="H305" s="585"/>
      <c r="I305" s="625"/>
      <c r="J305" s="625"/>
      <c r="K305" s="585"/>
      <c r="L305" s="585"/>
      <c r="M305" s="585"/>
      <c r="N305" s="585"/>
      <c r="O305" s="585"/>
      <c r="P305" s="585"/>
      <c r="Q305" s="585"/>
      <c r="R305" s="585"/>
      <c r="S305" s="585"/>
      <c r="T305" s="585"/>
      <c r="U305" s="585"/>
      <c r="V305" s="585"/>
      <c r="W305" s="585"/>
      <c r="X305" s="585"/>
      <c r="Y305" s="585"/>
      <c r="Z305" s="585"/>
      <c r="AA305" s="585"/>
      <c r="AB305" s="585"/>
      <c r="AC305" s="585"/>
      <c r="AD305" s="585"/>
      <c r="AE305" s="585"/>
      <c r="AF305" s="585"/>
      <c r="AG305" s="585"/>
      <c r="AH305" s="585"/>
      <c r="AI305" s="585"/>
      <c r="AJ305" s="585"/>
      <c r="AK305" s="585"/>
      <c r="AL305" s="585"/>
      <c r="AM305" s="585"/>
      <c r="AN305" s="585"/>
      <c r="AO305" s="585"/>
      <c r="AP305" s="585"/>
      <c r="AQ305" s="585"/>
      <c r="AR305" s="585"/>
    </row>
    <row r="306">
      <c r="A306" s="621"/>
      <c r="B306" s="627" t="str">
        <f>IFERROR(__xludf.DUMMYFUNCTION("""COMPUTED_VALUE"""),"Finalize demo")</f>
        <v>Finalize demo</v>
      </c>
      <c r="C306" s="628"/>
      <c r="D306" s="602" t="str">
        <f>IFERROR(__xludf.DUMMYFUNCTION("""COMPUTED_VALUE"""),"PMAX")</f>
        <v>PMAX</v>
      </c>
      <c r="E306" s="624" t="str">
        <f>IFERROR(__xludf.DUMMYFUNCTION("""COMPUTED_VALUE"""),"Not start yet")</f>
        <v>Not start yet</v>
      </c>
      <c r="F306" s="604">
        <f>IFERROR(__xludf.DUMMYFUNCTION("""COMPUTED_VALUE"""),46164.0)</f>
        <v>46164</v>
      </c>
      <c r="G306" s="639">
        <f>IFERROR(__xludf.DUMMYFUNCTION("""COMPUTED_VALUE"""),46164.0)</f>
        <v>46164</v>
      </c>
      <c r="H306" s="585"/>
      <c r="I306" s="629">
        <v>1.0</v>
      </c>
      <c r="J306" s="630" t="s">
        <v>888</v>
      </c>
      <c r="K306" s="585"/>
      <c r="L306" s="585"/>
      <c r="M306" s="585"/>
      <c r="N306" s="585"/>
      <c r="O306" s="585"/>
      <c r="P306" s="585"/>
      <c r="Q306" s="585"/>
      <c r="R306" s="585"/>
      <c r="S306" s="585"/>
      <c r="T306" s="585"/>
      <c r="U306" s="585"/>
      <c r="V306" s="585"/>
      <c r="W306" s="585"/>
      <c r="X306" s="585"/>
      <c r="Y306" s="585"/>
      <c r="Z306" s="585"/>
      <c r="AA306" s="585"/>
      <c r="AB306" s="585"/>
      <c r="AC306" s="585"/>
      <c r="AD306" s="585"/>
      <c r="AE306" s="585"/>
      <c r="AF306" s="585"/>
      <c r="AG306" s="585"/>
      <c r="AH306" s="585"/>
      <c r="AI306" s="585"/>
      <c r="AJ306" s="585"/>
      <c r="AK306" s="585"/>
      <c r="AL306" s="585"/>
      <c r="AM306" s="585"/>
      <c r="AN306" s="585"/>
      <c r="AO306" s="585"/>
      <c r="AP306" s="585"/>
      <c r="AQ306" s="585"/>
      <c r="AR306" s="585"/>
    </row>
    <row r="307">
      <c r="A307" s="621"/>
      <c r="B307" s="634" t="str">
        <f>IFERROR(__xludf.DUMMYFUNCTION("""COMPUTED_VALUE"""),"Air")</f>
        <v>Air</v>
      </c>
      <c r="C307" s="26"/>
      <c r="D307" s="602" t="str">
        <f>IFERROR(__xludf.DUMMYFUNCTION("""COMPUTED_VALUE"""),"PMAX")</f>
        <v>PMAX</v>
      </c>
      <c r="E307" s="624" t="str">
        <f>IFERROR(__xludf.DUMMYFUNCTION("""COMPUTED_VALUE"""),"Not start yet")</f>
        <v>Not start yet</v>
      </c>
      <c r="F307" s="604" t="str">
        <f>IFERROR(__xludf.DUMMYFUNCTION("""COMPUTED_VALUE"""),"TBU")</f>
        <v>TBU</v>
      </c>
      <c r="G307" s="639" t="str">
        <f>IFERROR(__xludf.DUMMYFUNCTION("""COMPUTED_VALUE"""),"TBU")</f>
        <v>TBU</v>
      </c>
      <c r="H307" s="585"/>
      <c r="I307" s="636">
        <v>1.0</v>
      </c>
      <c r="J307" s="585"/>
      <c r="K307" s="585"/>
      <c r="L307" s="585"/>
      <c r="M307" s="585"/>
      <c r="N307" s="585"/>
      <c r="O307" s="585"/>
      <c r="P307" s="585"/>
      <c r="Q307" s="585"/>
      <c r="R307" s="585"/>
      <c r="S307" s="585"/>
      <c r="T307" s="585"/>
      <c r="U307" s="585"/>
      <c r="V307" s="585"/>
      <c r="W307" s="585"/>
      <c r="X307" s="585"/>
      <c r="Y307" s="585"/>
      <c r="Z307" s="585"/>
      <c r="AA307" s="585"/>
      <c r="AB307" s="585"/>
      <c r="AC307" s="585"/>
      <c r="AD307" s="585"/>
      <c r="AE307" s="585"/>
      <c r="AF307" s="585"/>
      <c r="AG307" s="585"/>
      <c r="AH307" s="585"/>
      <c r="AI307" s="585"/>
      <c r="AJ307" s="585"/>
      <c r="AK307" s="585"/>
      <c r="AL307" s="585"/>
      <c r="AM307" s="585"/>
      <c r="AN307" s="585"/>
      <c r="AO307" s="585"/>
      <c r="AP307" s="585"/>
      <c r="AQ307" s="585"/>
      <c r="AR307" s="585"/>
    </row>
    <row r="308">
      <c r="A308" s="637">
        <f>IFERROR(__xludf.DUMMYFUNCTION("""COMPUTED_VALUE"""),21.0)</f>
        <v>21</v>
      </c>
      <c r="B308" s="616" t="str">
        <f>IFERROR(__xludf.DUMMYFUNCTION("""COMPUTED_VALUE"""),"Bộ trưởng bộ tích cực")</f>
        <v>Bộ trưởng bộ tích cực</v>
      </c>
      <c r="C308" s="617"/>
      <c r="D308" s="618"/>
      <c r="E308" s="619"/>
      <c r="F308" s="619"/>
      <c r="G308" s="619"/>
      <c r="H308" s="585"/>
      <c r="I308" s="585"/>
      <c r="J308" s="585"/>
      <c r="K308" s="585"/>
      <c r="L308" s="585"/>
      <c r="M308" s="585"/>
      <c r="N308" s="585"/>
      <c r="O308" s="585"/>
      <c r="P308" s="585"/>
      <c r="Q308" s="585"/>
      <c r="R308" s="585"/>
      <c r="S308" s="585"/>
      <c r="T308" s="585"/>
      <c r="U308" s="585"/>
      <c r="V308" s="585"/>
      <c r="W308" s="585"/>
      <c r="X308" s="585"/>
      <c r="Y308" s="585"/>
      <c r="Z308" s="585"/>
      <c r="AA308" s="585"/>
      <c r="AB308" s="585"/>
      <c r="AC308" s="585"/>
      <c r="AD308" s="585"/>
      <c r="AE308" s="585"/>
      <c r="AF308" s="585"/>
      <c r="AG308" s="585"/>
      <c r="AH308" s="585"/>
      <c r="AI308" s="585"/>
      <c r="AJ308" s="585"/>
      <c r="AK308" s="585"/>
      <c r="AL308" s="585"/>
      <c r="AM308" s="585"/>
      <c r="AN308" s="585"/>
      <c r="AO308" s="585"/>
      <c r="AP308" s="585"/>
      <c r="AQ308" s="585"/>
      <c r="AR308" s="585"/>
    </row>
    <row r="309">
      <c r="A309" s="621"/>
      <c r="B309" s="622" t="str">
        <f>IFERROR(__xludf.DUMMYFUNCTION("""COMPUTED_VALUE"""),"Briefing cho Influencer")</f>
        <v>Briefing cho Influencer</v>
      </c>
      <c r="C309" s="623"/>
      <c r="D309" s="602" t="str">
        <f>IFERROR(__xludf.DUMMYFUNCTION("""COMPUTED_VALUE"""),"PMAX")</f>
        <v>PMAX</v>
      </c>
      <c r="E309" s="624" t="str">
        <f>IFERROR(__xludf.DUMMYFUNCTION("""COMPUTED_VALUE"""),"Not start yet")</f>
        <v>Not start yet</v>
      </c>
      <c r="F309" s="604">
        <f>IFERROR(__xludf.DUMMYFUNCTION("""COMPUTED_VALUE"""),46147.0)</f>
        <v>46147</v>
      </c>
      <c r="G309" s="639">
        <f>IFERROR(__xludf.DUMMYFUNCTION("""COMPUTED_VALUE"""),46148.0)</f>
        <v>46148</v>
      </c>
      <c r="H309" s="585"/>
      <c r="I309" s="625"/>
      <c r="J309" s="626" t="s">
        <v>882</v>
      </c>
      <c r="K309" s="585"/>
      <c r="L309" s="585"/>
      <c r="M309" s="585"/>
      <c r="N309" s="585"/>
      <c r="O309" s="585"/>
      <c r="P309" s="585"/>
      <c r="Q309" s="585"/>
      <c r="R309" s="585"/>
      <c r="S309" s="585"/>
      <c r="T309" s="585"/>
      <c r="U309" s="585"/>
      <c r="V309" s="585"/>
      <c r="W309" s="585"/>
      <c r="X309" s="585"/>
      <c r="Y309" s="585"/>
      <c r="Z309" s="585"/>
      <c r="AA309" s="585"/>
      <c r="AB309" s="585"/>
      <c r="AC309" s="585"/>
      <c r="AD309" s="585"/>
      <c r="AE309" s="585"/>
      <c r="AF309" s="585"/>
      <c r="AG309" s="585"/>
      <c r="AH309" s="585"/>
      <c r="AI309" s="585"/>
      <c r="AJ309" s="585"/>
      <c r="AK309" s="585"/>
      <c r="AL309" s="585"/>
      <c r="AM309" s="585"/>
      <c r="AN309" s="585"/>
      <c r="AO309" s="585"/>
      <c r="AP309" s="585"/>
      <c r="AQ309" s="585"/>
      <c r="AR309" s="585"/>
    </row>
    <row r="310">
      <c r="A310" s="621"/>
      <c r="B310" s="627" t="str">
        <f>IFERROR(__xludf.DUMMYFUNCTION("""COMPUTED_VALUE"""),"Script R1 + Outfits")</f>
        <v>Script R1 + Outfits</v>
      </c>
      <c r="C310" s="628"/>
      <c r="D310" s="602" t="str">
        <f>IFERROR(__xludf.DUMMYFUNCTION("""COMPUTED_VALUE"""),"PMAX")</f>
        <v>PMAX</v>
      </c>
      <c r="E310" s="624" t="str">
        <f>IFERROR(__xludf.DUMMYFUNCTION("""COMPUTED_VALUE"""),"Not start yet")</f>
        <v>Not start yet</v>
      </c>
      <c r="F310" s="604">
        <f>IFERROR(__xludf.DUMMYFUNCTION("""COMPUTED_VALUE"""),46148.0)</f>
        <v>46148</v>
      </c>
      <c r="G310" s="639">
        <f>IFERROR(__xludf.DUMMYFUNCTION("""COMPUTED_VALUE"""),46150.0)</f>
        <v>46150</v>
      </c>
      <c r="H310" s="585"/>
      <c r="I310" s="629">
        <v>1.0</v>
      </c>
      <c r="J310" s="630" t="s">
        <v>883</v>
      </c>
      <c r="K310" s="585"/>
      <c r="L310" s="585"/>
      <c r="M310" s="585"/>
      <c r="N310" s="585"/>
      <c r="O310" s="585"/>
      <c r="P310" s="585"/>
      <c r="Q310" s="585"/>
      <c r="R310" s="585"/>
      <c r="S310" s="585"/>
      <c r="T310" s="585"/>
      <c r="U310" s="585"/>
      <c r="V310" s="585"/>
      <c r="W310" s="585"/>
      <c r="X310" s="585"/>
      <c r="Y310" s="585"/>
      <c r="Z310" s="585"/>
      <c r="AA310" s="585"/>
      <c r="AB310" s="585"/>
      <c r="AC310" s="585"/>
      <c r="AD310" s="585"/>
      <c r="AE310" s="585"/>
      <c r="AF310" s="585"/>
      <c r="AG310" s="585"/>
      <c r="AH310" s="585"/>
      <c r="AI310" s="585"/>
      <c r="AJ310" s="585"/>
      <c r="AK310" s="585"/>
      <c r="AL310" s="585"/>
      <c r="AM310" s="585"/>
      <c r="AN310" s="585"/>
      <c r="AO310" s="585"/>
      <c r="AP310" s="585"/>
      <c r="AQ310" s="585"/>
      <c r="AR310" s="585"/>
    </row>
    <row r="311">
      <c r="A311" s="621"/>
      <c r="B311" s="627" t="str">
        <f>IFERROR(__xludf.DUMMYFUNCTION("""COMPUTED_VALUE"""),"Feedback Script R1 + outfits")</f>
        <v>Feedback Script R1 + outfits</v>
      </c>
      <c r="C311" s="628"/>
      <c r="D311" s="602" t="str">
        <f>IFERROR(__xludf.DUMMYFUNCTION("""COMPUTED_VALUE"""),"BRAND")</f>
        <v>BRAND</v>
      </c>
      <c r="E311" s="624" t="str">
        <f>IFERROR(__xludf.DUMMYFUNCTION("""COMPUTED_VALUE"""),"Not start yet")</f>
        <v>Not start yet</v>
      </c>
      <c r="F311" s="604">
        <f>IFERROR(__xludf.DUMMYFUNCTION("""COMPUTED_VALUE"""),46150.0)</f>
        <v>46150</v>
      </c>
      <c r="G311" s="639">
        <f>IFERROR(__xludf.DUMMYFUNCTION("""COMPUTED_VALUE"""),46150.0)</f>
        <v>46150</v>
      </c>
      <c r="H311" s="585"/>
      <c r="I311" s="625"/>
      <c r="J311" s="630" t="s">
        <v>884</v>
      </c>
      <c r="K311" s="585"/>
      <c r="L311" s="585"/>
      <c r="M311" s="585"/>
      <c r="N311" s="585"/>
      <c r="O311" s="585"/>
      <c r="P311" s="585"/>
      <c r="Q311" s="585"/>
      <c r="R311" s="585"/>
      <c r="S311" s="585"/>
      <c r="T311" s="585"/>
      <c r="U311" s="585"/>
      <c r="V311" s="585"/>
      <c r="W311" s="585"/>
      <c r="X311" s="585"/>
      <c r="Y311" s="585"/>
      <c r="Z311" s="585"/>
      <c r="AA311" s="585"/>
      <c r="AB311" s="585"/>
      <c r="AC311" s="585"/>
      <c r="AD311" s="585"/>
      <c r="AE311" s="585"/>
      <c r="AF311" s="585"/>
      <c r="AG311" s="585"/>
      <c r="AH311" s="585"/>
      <c r="AI311" s="585"/>
      <c r="AJ311" s="585"/>
      <c r="AK311" s="585"/>
      <c r="AL311" s="585"/>
      <c r="AM311" s="585"/>
      <c r="AN311" s="585"/>
      <c r="AO311" s="585"/>
      <c r="AP311" s="585"/>
      <c r="AQ311" s="585"/>
      <c r="AR311" s="585"/>
    </row>
    <row r="312">
      <c r="A312" s="621"/>
      <c r="B312" s="631" t="str">
        <f>IFERROR(__xludf.DUMMYFUNCTION("""COMPUTED_VALUE"""),"Script R2")</f>
        <v>Script R2</v>
      </c>
      <c r="C312" s="628"/>
      <c r="D312" s="632" t="str">
        <f>IFERROR(__xludf.DUMMYFUNCTION("""COMPUTED_VALUE"""),"PMAX")</f>
        <v>PMAX</v>
      </c>
      <c r="E312" s="624" t="str">
        <f>IFERROR(__xludf.DUMMYFUNCTION("""COMPUTED_VALUE"""),"Not start yet")</f>
        <v>Not start yet</v>
      </c>
      <c r="F312" s="604">
        <f>IFERROR(__xludf.DUMMYFUNCTION("""COMPUTED_VALUE"""),46151.0)</f>
        <v>46151</v>
      </c>
      <c r="G312" s="639">
        <f>IFERROR(__xludf.DUMMYFUNCTION("""COMPUTED_VALUE"""),46152.0)</f>
        <v>46152</v>
      </c>
      <c r="H312" s="585"/>
      <c r="I312" s="625"/>
      <c r="J312" s="630"/>
      <c r="K312" s="585"/>
      <c r="L312" s="585"/>
      <c r="M312" s="585"/>
      <c r="N312" s="585"/>
      <c r="O312" s="585"/>
      <c r="P312" s="585"/>
      <c r="Q312" s="585"/>
      <c r="R312" s="585"/>
      <c r="S312" s="585"/>
      <c r="T312" s="585"/>
      <c r="U312" s="585"/>
      <c r="V312" s="585"/>
      <c r="W312" s="585"/>
      <c r="X312" s="585"/>
      <c r="Y312" s="585"/>
      <c r="Z312" s="585"/>
      <c r="AA312" s="585"/>
      <c r="AB312" s="585"/>
      <c r="AC312" s="585"/>
      <c r="AD312" s="585"/>
      <c r="AE312" s="585"/>
      <c r="AF312" s="585"/>
      <c r="AG312" s="585"/>
      <c r="AH312" s="585"/>
      <c r="AI312" s="585"/>
      <c r="AJ312" s="585"/>
      <c r="AK312" s="585"/>
      <c r="AL312" s="585"/>
      <c r="AM312" s="585"/>
      <c r="AN312" s="585"/>
      <c r="AO312" s="585"/>
      <c r="AP312" s="585"/>
      <c r="AQ312" s="585"/>
      <c r="AR312" s="585"/>
    </row>
    <row r="313">
      <c r="A313" s="621"/>
      <c r="B313" s="631" t="str">
        <f>IFERROR(__xludf.DUMMYFUNCTION("""COMPUTED_VALUE"""),"Feedback Script R2")</f>
        <v>Feedback Script R2</v>
      </c>
      <c r="C313" s="628"/>
      <c r="D313" s="632" t="str">
        <f>IFERROR(__xludf.DUMMYFUNCTION("""COMPUTED_VALUE"""),"BRAND")</f>
        <v>BRAND</v>
      </c>
      <c r="E313" s="624" t="str">
        <f>IFERROR(__xludf.DUMMYFUNCTION("""COMPUTED_VALUE"""),"Not start yet")</f>
        <v>Not start yet</v>
      </c>
      <c r="F313" s="604">
        <f>IFERROR(__xludf.DUMMYFUNCTION("""COMPUTED_VALUE"""),46153.0)</f>
        <v>46153</v>
      </c>
      <c r="G313" s="639">
        <f>IFERROR(__xludf.DUMMYFUNCTION("""COMPUTED_VALUE"""),46153.0)</f>
        <v>46153</v>
      </c>
      <c r="H313" s="585"/>
      <c r="I313" s="625"/>
      <c r="J313" s="630"/>
      <c r="K313" s="585"/>
      <c r="L313" s="585"/>
      <c r="M313" s="585"/>
      <c r="N313" s="585"/>
      <c r="O313" s="585"/>
      <c r="P313" s="585"/>
      <c r="Q313" s="585"/>
      <c r="R313" s="585"/>
      <c r="S313" s="585"/>
      <c r="T313" s="585"/>
      <c r="U313" s="585"/>
      <c r="V313" s="585"/>
      <c r="W313" s="585"/>
      <c r="X313" s="585"/>
      <c r="Y313" s="585"/>
      <c r="Z313" s="585"/>
      <c r="AA313" s="585"/>
      <c r="AB313" s="585"/>
      <c r="AC313" s="585"/>
      <c r="AD313" s="585"/>
      <c r="AE313" s="585"/>
      <c r="AF313" s="585"/>
      <c r="AG313" s="585"/>
      <c r="AH313" s="585"/>
      <c r="AI313" s="585"/>
      <c r="AJ313" s="585"/>
      <c r="AK313" s="585"/>
      <c r="AL313" s="585"/>
      <c r="AM313" s="585"/>
      <c r="AN313" s="585"/>
      <c r="AO313" s="585"/>
      <c r="AP313" s="585"/>
      <c r="AQ313" s="585"/>
      <c r="AR313" s="585"/>
    </row>
    <row r="314">
      <c r="A314" s="621"/>
      <c r="B314" s="627" t="str">
        <f>IFERROR(__xludf.DUMMYFUNCTION("""COMPUTED_VALUE"""),"Finalize scripts + outfits")</f>
        <v>Finalize scripts + outfits</v>
      </c>
      <c r="C314" s="628"/>
      <c r="D314" s="602" t="str">
        <f>IFERROR(__xludf.DUMMYFUNCTION("""COMPUTED_VALUE"""),"PMAX-BRAND")</f>
        <v>PMAX-BRAND</v>
      </c>
      <c r="E314" s="624" t="str">
        <f>IFERROR(__xludf.DUMMYFUNCTION("""COMPUTED_VALUE"""),"Not start yet")</f>
        <v>Not start yet</v>
      </c>
      <c r="F314" s="604">
        <f>IFERROR(__xludf.DUMMYFUNCTION("""COMPUTED_VALUE"""),46153.0)</f>
        <v>46153</v>
      </c>
      <c r="G314" s="639">
        <f>IFERROR(__xludf.DUMMYFUNCTION("""COMPUTED_VALUE"""),46153.0)</f>
        <v>46153</v>
      </c>
      <c r="H314" s="585"/>
      <c r="I314" s="629">
        <v>1.0</v>
      </c>
      <c r="J314" s="630" t="s">
        <v>885</v>
      </c>
      <c r="K314" s="585"/>
      <c r="L314" s="585"/>
      <c r="M314" s="585"/>
      <c r="N314" s="585"/>
      <c r="O314" s="585"/>
      <c r="P314" s="585"/>
      <c r="Q314" s="585"/>
      <c r="R314" s="585"/>
      <c r="S314" s="585"/>
      <c r="T314" s="585"/>
      <c r="U314" s="585"/>
      <c r="V314" s="585"/>
      <c r="W314" s="585"/>
      <c r="X314" s="585"/>
      <c r="Y314" s="585"/>
      <c r="Z314" s="585"/>
      <c r="AA314" s="585"/>
      <c r="AB314" s="585"/>
      <c r="AC314" s="585"/>
      <c r="AD314" s="585"/>
      <c r="AE314" s="585"/>
      <c r="AF314" s="585"/>
      <c r="AG314" s="585"/>
      <c r="AH314" s="585"/>
      <c r="AI314" s="585"/>
      <c r="AJ314" s="585"/>
      <c r="AK314" s="585"/>
      <c r="AL314" s="585"/>
      <c r="AM314" s="585"/>
      <c r="AN314" s="585"/>
      <c r="AO314" s="585"/>
      <c r="AP314" s="585"/>
      <c r="AQ314" s="585"/>
      <c r="AR314" s="585"/>
    </row>
    <row r="315">
      <c r="A315" s="621"/>
      <c r="B315" s="627" t="str">
        <f>IFERROR(__xludf.DUMMYFUNCTION("""COMPUTED_VALUE"""),"Đi quay tại site")</f>
        <v>Đi quay tại site</v>
      </c>
      <c r="C315" s="628"/>
      <c r="D315" s="602" t="str">
        <f>IFERROR(__xludf.DUMMYFUNCTION("""COMPUTED_VALUE"""),"PMAX")</f>
        <v>PMAX</v>
      </c>
      <c r="E315" s="624" t="str">
        <f>IFERROR(__xludf.DUMMYFUNCTION("""COMPUTED_VALUE"""),"Not start yet")</f>
        <v>Not start yet</v>
      </c>
      <c r="F315" s="604">
        <f>IFERROR(__xludf.DUMMYFUNCTION("""COMPUTED_VALUE"""),46154.0)</f>
        <v>46154</v>
      </c>
      <c r="G315" s="639">
        <f>IFERROR(__xludf.DUMMYFUNCTION("""COMPUTED_VALUE"""),46156.0)</f>
        <v>46156</v>
      </c>
      <c r="H315" s="585"/>
      <c r="I315" s="629">
        <v>2.0</v>
      </c>
      <c r="J315" s="625"/>
      <c r="K315" s="585"/>
      <c r="L315" s="585"/>
      <c r="M315" s="585"/>
      <c r="N315" s="585"/>
      <c r="O315" s="585"/>
      <c r="P315" s="585"/>
      <c r="Q315" s="585"/>
      <c r="R315" s="585"/>
      <c r="S315" s="585"/>
      <c r="T315" s="585"/>
      <c r="U315" s="585"/>
      <c r="V315" s="585"/>
      <c r="W315" s="585"/>
      <c r="X315" s="585"/>
      <c r="Y315" s="585"/>
      <c r="Z315" s="585"/>
      <c r="AA315" s="585"/>
      <c r="AB315" s="585"/>
      <c r="AC315" s="585"/>
      <c r="AD315" s="585"/>
      <c r="AE315" s="585"/>
      <c r="AF315" s="585"/>
      <c r="AG315" s="585"/>
      <c r="AH315" s="585"/>
      <c r="AI315" s="585"/>
      <c r="AJ315" s="585"/>
      <c r="AK315" s="585"/>
      <c r="AL315" s="585"/>
      <c r="AM315" s="585"/>
      <c r="AN315" s="585"/>
      <c r="AO315" s="585"/>
      <c r="AP315" s="585"/>
      <c r="AQ315" s="585"/>
      <c r="AR315" s="585"/>
    </row>
    <row r="316">
      <c r="A316" s="621"/>
      <c r="B316" s="633" t="str">
        <f>IFERROR(__xludf.DUMMYFUNCTION("""COMPUTED_VALUE"""),"Demo R1")</f>
        <v>Demo R1</v>
      </c>
      <c r="C316" s="628"/>
      <c r="D316" s="602" t="str">
        <f>IFERROR(__xludf.DUMMYFUNCTION("""COMPUTED_VALUE"""),"PMAX")</f>
        <v>PMAX</v>
      </c>
      <c r="E316" s="624" t="str">
        <f>IFERROR(__xludf.DUMMYFUNCTION("""COMPUTED_VALUE"""),"Not start yet")</f>
        <v>Not start yet</v>
      </c>
      <c r="F316" s="604">
        <f>IFERROR(__xludf.DUMMYFUNCTION("""COMPUTED_VALUE"""),46156.0)</f>
        <v>46156</v>
      </c>
      <c r="G316" s="639">
        <f>IFERROR(__xludf.DUMMYFUNCTION("""COMPUTED_VALUE"""),46159.0)</f>
        <v>46159</v>
      </c>
      <c r="H316" s="585"/>
      <c r="I316" s="629">
        <v>4.0</v>
      </c>
      <c r="J316" s="630" t="s">
        <v>886</v>
      </c>
      <c r="K316" s="585"/>
      <c r="L316" s="585"/>
      <c r="M316" s="585"/>
      <c r="N316" s="585"/>
      <c r="O316" s="585"/>
      <c r="P316" s="585"/>
      <c r="Q316" s="585"/>
      <c r="R316" s="585"/>
      <c r="S316" s="585"/>
      <c r="T316" s="585"/>
      <c r="U316" s="585"/>
      <c r="V316" s="585"/>
      <c r="W316" s="585"/>
      <c r="X316" s="585"/>
      <c r="Y316" s="585"/>
      <c r="Z316" s="585"/>
      <c r="AA316" s="585"/>
      <c r="AB316" s="585"/>
      <c r="AC316" s="585"/>
      <c r="AD316" s="585"/>
      <c r="AE316" s="585"/>
      <c r="AF316" s="585"/>
      <c r="AG316" s="585"/>
      <c r="AH316" s="585"/>
      <c r="AI316" s="585"/>
      <c r="AJ316" s="585"/>
      <c r="AK316" s="585"/>
      <c r="AL316" s="585"/>
      <c r="AM316" s="585"/>
      <c r="AN316" s="585"/>
      <c r="AO316" s="585"/>
      <c r="AP316" s="585"/>
      <c r="AQ316" s="585"/>
      <c r="AR316" s="585"/>
    </row>
    <row r="317">
      <c r="A317" s="621"/>
      <c r="B317" s="627" t="str">
        <f>IFERROR(__xludf.DUMMYFUNCTION("""COMPUTED_VALUE"""),"Feedback demo R1")</f>
        <v>Feedback demo R1</v>
      </c>
      <c r="C317" s="628"/>
      <c r="D317" s="602" t="str">
        <f>IFERROR(__xludf.DUMMYFUNCTION("""COMPUTED_VALUE"""),"BRAND")</f>
        <v>BRAND</v>
      </c>
      <c r="E317" s="624" t="str">
        <f>IFERROR(__xludf.DUMMYFUNCTION("""COMPUTED_VALUE"""),"Not start yet")</f>
        <v>Not start yet</v>
      </c>
      <c r="F317" s="604">
        <f>IFERROR(__xludf.DUMMYFUNCTION("""COMPUTED_VALUE"""),46160.0)</f>
        <v>46160</v>
      </c>
      <c r="G317" s="639">
        <f>IFERROR(__xludf.DUMMYFUNCTION("""COMPUTED_VALUE"""),46160.0)</f>
        <v>46160</v>
      </c>
      <c r="H317" s="585"/>
      <c r="I317" s="625"/>
      <c r="J317" s="630" t="s">
        <v>887</v>
      </c>
      <c r="K317" s="585"/>
      <c r="L317" s="585"/>
      <c r="M317" s="585"/>
      <c r="N317" s="585"/>
      <c r="O317" s="585"/>
      <c r="P317" s="585"/>
      <c r="Q317" s="585"/>
      <c r="R317" s="585"/>
      <c r="S317" s="585"/>
      <c r="T317" s="585"/>
      <c r="U317" s="585"/>
      <c r="V317" s="585"/>
      <c r="W317" s="585"/>
      <c r="X317" s="585"/>
      <c r="Y317" s="585"/>
      <c r="Z317" s="585"/>
      <c r="AA317" s="585"/>
      <c r="AB317" s="585"/>
      <c r="AC317" s="585"/>
      <c r="AD317" s="585"/>
      <c r="AE317" s="585"/>
      <c r="AF317" s="585"/>
      <c r="AG317" s="585"/>
      <c r="AH317" s="585"/>
      <c r="AI317" s="585"/>
      <c r="AJ317" s="585"/>
      <c r="AK317" s="585"/>
      <c r="AL317" s="585"/>
      <c r="AM317" s="585"/>
      <c r="AN317" s="585"/>
      <c r="AO317" s="585"/>
      <c r="AP317" s="585"/>
      <c r="AQ317" s="585"/>
      <c r="AR317" s="585"/>
    </row>
    <row r="318">
      <c r="A318" s="621"/>
      <c r="B318" s="633" t="str">
        <f>IFERROR(__xludf.DUMMYFUNCTION("""COMPUTED_VALUE"""),"Demo R2")</f>
        <v>Demo R2</v>
      </c>
      <c r="C318" s="628"/>
      <c r="D318" s="602" t="str">
        <f>IFERROR(__xludf.DUMMYFUNCTION("""COMPUTED_VALUE"""),"PMAX")</f>
        <v>PMAX</v>
      </c>
      <c r="E318" s="624" t="str">
        <f>IFERROR(__xludf.DUMMYFUNCTION("""COMPUTED_VALUE"""),"Not start yet")</f>
        <v>Not start yet</v>
      </c>
      <c r="F318" s="604">
        <f>IFERROR(__xludf.DUMMYFUNCTION("""COMPUTED_VALUE"""),46161.0)</f>
        <v>46161</v>
      </c>
      <c r="G318" s="639">
        <f>IFERROR(__xludf.DUMMYFUNCTION("""COMPUTED_VALUE"""),46163.0)</f>
        <v>46163</v>
      </c>
      <c r="H318" s="585"/>
      <c r="I318" s="625"/>
      <c r="J318" s="625"/>
      <c r="K318" s="585"/>
      <c r="L318" s="585"/>
      <c r="M318" s="585"/>
      <c r="N318" s="585"/>
      <c r="O318" s="585"/>
      <c r="P318" s="585"/>
      <c r="Q318" s="585"/>
      <c r="R318" s="585"/>
      <c r="S318" s="585"/>
      <c r="T318" s="585"/>
      <c r="U318" s="585"/>
      <c r="V318" s="585"/>
      <c r="W318" s="585"/>
      <c r="X318" s="585"/>
      <c r="Y318" s="585"/>
      <c r="Z318" s="585"/>
      <c r="AA318" s="585"/>
      <c r="AB318" s="585"/>
      <c r="AC318" s="585"/>
      <c r="AD318" s="585"/>
      <c r="AE318" s="585"/>
      <c r="AF318" s="585"/>
      <c r="AG318" s="585"/>
      <c r="AH318" s="585"/>
      <c r="AI318" s="585"/>
      <c r="AJ318" s="585"/>
      <c r="AK318" s="585"/>
      <c r="AL318" s="585"/>
      <c r="AM318" s="585"/>
      <c r="AN318" s="585"/>
      <c r="AO318" s="585"/>
      <c r="AP318" s="585"/>
      <c r="AQ318" s="585"/>
      <c r="AR318" s="585"/>
    </row>
    <row r="319">
      <c r="A319" s="621"/>
      <c r="B319" s="627" t="str">
        <f>IFERROR(__xludf.DUMMYFUNCTION("""COMPUTED_VALUE"""),"Feedback demo R2")</f>
        <v>Feedback demo R2</v>
      </c>
      <c r="C319" s="628"/>
      <c r="D319" s="602" t="str">
        <f>IFERROR(__xludf.DUMMYFUNCTION("""COMPUTED_VALUE"""),"BRAND")</f>
        <v>BRAND</v>
      </c>
      <c r="E319" s="624" t="str">
        <f>IFERROR(__xludf.DUMMYFUNCTION("""COMPUTED_VALUE"""),"Not start yet")</f>
        <v>Not start yet</v>
      </c>
      <c r="F319" s="604">
        <f>IFERROR(__xludf.DUMMYFUNCTION("""COMPUTED_VALUE"""),46164.0)</f>
        <v>46164</v>
      </c>
      <c r="G319" s="639">
        <f>IFERROR(__xludf.DUMMYFUNCTION("""COMPUTED_VALUE"""),46164.0)</f>
        <v>46164</v>
      </c>
      <c r="H319" s="585"/>
      <c r="I319" s="625"/>
      <c r="J319" s="625"/>
      <c r="K319" s="585"/>
      <c r="L319" s="585"/>
      <c r="M319" s="585"/>
      <c r="N319" s="585"/>
      <c r="O319" s="585"/>
      <c r="P319" s="585"/>
      <c r="Q319" s="585"/>
      <c r="R319" s="585"/>
      <c r="S319" s="585"/>
      <c r="T319" s="585"/>
      <c r="U319" s="585"/>
      <c r="V319" s="585"/>
      <c r="W319" s="585"/>
      <c r="X319" s="585"/>
      <c r="Y319" s="585"/>
      <c r="Z319" s="585"/>
      <c r="AA319" s="585"/>
      <c r="AB319" s="585"/>
      <c r="AC319" s="585"/>
      <c r="AD319" s="585"/>
      <c r="AE319" s="585"/>
      <c r="AF319" s="585"/>
      <c r="AG319" s="585"/>
      <c r="AH319" s="585"/>
      <c r="AI319" s="585"/>
      <c r="AJ319" s="585"/>
      <c r="AK319" s="585"/>
      <c r="AL319" s="585"/>
      <c r="AM319" s="585"/>
      <c r="AN319" s="585"/>
      <c r="AO319" s="585"/>
      <c r="AP319" s="585"/>
      <c r="AQ319" s="585"/>
      <c r="AR319" s="585"/>
    </row>
    <row r="320">
      <c r="A320" s="621"/>
      <c r="B320" s="627" t="str">
        <f>IFERROR(__xludf.DUMMYFUNCTION("""COMPUTED_VALUE"""),"Finalize demo")</f>
        <v>Finalize demo</v>
      </c>
      <c r="C320" s="628"/>
      <c r="D320" s="602" t="str">
        <f>IFERROR(__xludf.DUMMYFUNCTION("""COMPUTED_VALUE"""),"PMAX")</f>
        <v>PMAX</v>
      </c>
      <c r="E320" s="624" t="str">
        <f>IFERROR(__xludf.DUMMYFUNCTION("""COMPUTED_VALUE"""),"Not start yet")</f>
        <v>Not start yet</v>
      </c>
      <c r="F320" s="604">
        <f>IFERROR(__xludf.DUMMYFUNCTION("""COMPUTED_VALUE"""),46164.0)</f>
        <v>46164</v>
      </c>
      <c r="G320" s="639">
        <f>IFERROR(__xludf.DUMMYFUNCTION("""COMPUTED_VALUE"""),46164.0)</f>
        <v>46164</v>
      </c>
      <c r="H320" s="585"/>
      <c r="I320" s="629">
        <v>1.0</v>
      </c>
      <c r="J320" s="630" t="s">
        <v>888</v>
      </c>
      <c r="K320" s="585"/>
      <c r="L320" s="585"/>
      <c r="M320" s="585"/>
      <c r="N320" s="585"/>
      <c r="O320" s="585"/>
      <c r="P320" s="585"/>
      <c r="Q320" s="585"/>
      <c r="R320" s="585"/>
      <c r="S320" s="585"/>
      <c r="T320" s="585"/>
      <c r="U320" s="585"/>
      <c r="V320" s="585"/>
      <c r="W320" s="585"/>
      <c r="X320" s="585"/>
      <c r="Y320" s="585"/>
      <c r="Z320" s="585"/>
      <c r="AA320" s="585"/>
      <c r="AB320" s="585"/>
      <c r="AC320" s="585"/>
      <c r="AD320" s="585"/>
      <c r="AE320" s="585"/>
      <c r="AF320" s="585"/>
      <c r="AG320" s="585"/>
      <c r="AH320" s="585"/>
      <c r="AI320" s="585"/>
      <c r="AJ320" s="585"/>
      <c r="AK320" s="585"/>
      <c r="AL320" s="585"/>
      <c r="AM320" s="585"/>
      <c r="AN320" s="585"/>
      <c r="AO320" s="585"/>
      <c r="AP320" s="585"/>
      <c r="AQ320" s="585"/>
      <c r="AR320" s="585"/>
    </row>
    <row r="321">
      <c r="A321" s="621"/>
      <c r="B321" s="634" t="str">
        <f>IFERROR(__xludf.DUMMYFUNCTION("""COMPUTED_VALUE"""),"Air")</f>
        <v>Air</v>
      </c>
      <c r="C321" s="26"/>
      <c r="D321" s="602" t="str">
        <f>IFERROR(__xludf.DUMMYFUNCTION("""COMPUTED_VALUE"""),"PMAX")</f>
        <v>PMAX</v>
      </c>
      <c r="E321" s="624" t="str">
        <f>IFERROR(__xludf.DUMMYFUNCTION("""COMPUTED_VALUE"""),"Not start yet")</f>
        <v>Not start yet</v>
      </c>
      <c r="F321" s="604" t="str">
        <f>IFERROR(__xludf.DUMMYFUNCTION("""COMPUTED_VALUE"""),"TBU")</f>
        <v>TBU</v>
      </c>
      <c r="G321" s="639" t="str">
        <f>IFERROR(__xludf.DUMMYFUNCTION("""COMPUTED_VALUE"""),"TBU")</f>
        <v>TBU</v>
      </c>
      <c r="H321" s="585"/>
      <c r="I321" s="636">
        <v>1.0</v>
      </c>
      <c r="J321" s="585"/>
      <c r="K321" s="585"/>
      <c r="L321" s="585"/>
      <c r="M321" s="585"/>
      <c r="N321" s="585"/>
      <c r="O321" s="585"/>
      <c r="P321" s="585"/>
      <c r="Q321" s="585"/>
      <c r="R321" s="585"/>
      <c r="S321" s="585"/>
      <c r="T321" s="585"/>
      <c r="U321" s="585"/>
      <c r="V321" s="585"/>
      <c r="W321" s="585"/>
      <c r="X321" s="585"/>
      <c r="Y321" s="585"/>
      <c r="Z321" s="585"/>
      <c r="AA321" s="585"/>
      <c r="AB321" s="585"/>
      <c r="AC321" s="585"/>
      <c r="AD321" s="585"/>
      <c r="AE321" s="585"/>
      <c r="AF321" s="585"/>
      <c r="AG321" s="585"/>
      <c r="AH321" s="585"/>
      <c r="AI321" s="585"/>
      <c r="AJ321" s="585"/>
      <c r="AK321" s="585"/>
      <c r="AL321" s="585"/>
      <c r="AM321" s="585"/>
      <c r="AN321" s="585"/>
      <c r="AO321" s="585"/>
      <c r="AP321" s="585"/>
      <c r="AQ321" s="585"/>
      <c r="AR321" s="585"/>
    </row>
    <row r="322">
      <c r="A322" s="637">
        <f>IFERROR(__xludf.DUMMYFUNCTION("""COMPUTED_VALUE"""),22.0)</f>
        <v>22</v>
      </c>
      <c r="B322" s="616" t="str">
        <f>IFERROR(__xludf.DUMMYFUNCTION("""COMPUTED_VALUE"""),"Tuấn food không phét")</f>
        <v>Tuấn food không phét</v>
      </c>
      <c r="C322" s="617"/>
      <c r="D322" s="618"/>
      <c r="E322" s="619"/>
      <c r="F322" s="619"/>
      <c r="G322" s="619"/>
      <c r="H322" s="585"/>
      <c r="I322" s="585"/>
      <c r="J322" s="585"/>
      <c r="K322" s="585"/>
      <c r="L322" s="585"/>
      <c r="M322" s="585"/>
      <c r="N322" s="585"/>
      <c r="O322" s="585"/>
      <c r="P322" s="585"/>
      <c r="Q322" s="585"/>
      <c r="R322" s="585"/>
      <c r="S322" s="585"/>
      <c r="T322" s="585"/>
      <c r="U322" s="585"/>
      <c r="V322" s="585"/>
      <c r="W322" s="585"/>
      <c r="X322" s="585"/>
      <c r="Y322" s="585"/>
      <c r="Z322" s="585"/>
      <c r="AA322" s="585"/>
      <c r="AB322" s="585"/>
      <c r="AC322" s="585"/>
      <c r="AD322" s="585"/>
      <c r="AE322" s="585"/>
      <c r="AF322" s="585"/>
      <c r="AG322" s="585"/>
      <c r="AH322" s="585"/>
      <c r="AI322" s="585"/>
      <c r="AJ322" s="585"/>
      <c r="AK322" s="585"/>
      <c r="AL322" s="585"/>
      <c r="AM322" s="585"/>
      <c r="AN322" s="585"/>
      <c r="AO322" s="585"/>
      <c r="AP322" s="585"/>
      <c r="AQ322" s="585"/>
      <c r="AR322" s="585"/>
    </row>
    <row r="323">
      <c r="A323" s="621"/>
      <c r="B323" s="622" t="str">
        <f>IFERROR(__xludf.DUMMYFUNCTION("""COMPUTED_VALUE"""),"Briefing cho Influencer")</f>
        <v>Briefing cho Influencer</v>
      </c>
      <c r="C323" s="623"/>
      <c r="D323" s="602" t="str">
        <f>IFERROR(__xludf.DUMMYFUNCTION("""COMPUTED_VALUE"""),"PMAX")</f>
        <v>PMAX</v>
      </c>
      <c r="E323" s="624" t="str">
        <f>IFERROR(__xludf.DUMMYFUNCTION("""COMPUTED_VALUE"""),"Not start yet")</f>
        <v>Not start yet</v>
      </c>
      <c r="F323" s="604">
        <f>IFERROR(__xludf.DUMMYFUNCTION("""COMPUTED_VALUE"""),46147.0)</f>
        <v>46147</v>
      </c>
      <c r="G323" s="639">
        <f>IFERROR(__xludf.DUMMYFUNCTION("""COMPUTED_VALUE"""),46148.0)</f>
        <v>46148</v>
      </c>
      <c r="H323" s="585"/>
      <c r="I323" s="625"/>
      <c r="J323" s="626" t="s">
        <v>882</v>
      </c>
      <c r="K323" s="585"/>
      <c r="L323" s="585"/>
      <c r="M323" s="585"/>
      <c r="N323" s="585"/>
      <c r="O323" s="585"/>
      <c r="P323" s="585"/>
      <c r="Q323" s="585"/>
      <c r="R323" s="585"/>
      <c r="S323" s="585"/>
      <c r="T323" s="585"/>
      <c r="U323" s="585"/>
      <c r="V323" s="585"/>
      <c r="W323" s="585"/>
      <c r="X323" s="585"/>
      <c r="Y323" s="585"/>
      <c r="Z323" s="585"/>
      <c r="AA323" s="585"/>
      <c r="AB323" s="585"/>
      <c r="AC323" s="585"/>
      <c r="AD323" s="585"/>
      <c r="AE323" s="585"/>
      <c r="AF323" s="585"/>
      <c r="AG323" s="585"/>
      <c r="AH323" s="585"/>
      <c r="AI323" s="585"/>
      <c r="AJ323" s="585"/>
      <c r="AK323" s="585"/>
      <c r="AL323" s="585"/>
      <c r="AM323" s="585"/>
      <c r="AN323" s="585"/>
      <c r="AO323" s="585"/>
      <c r="AP323" s="585"/>
      <c r="AQ323" s="585"/>
      <c r="AR323" s="585"/>
    </row>
    <row r="324">
      <c r="A324" s="621"/>
      <c r="B324" s="627" t="str">
        <f>IFERROR(__xludf.DUMMYFUNCTION("""COMPUTED_VALUE"""),"Script R1 + Outfits")</f>
        <v>Script R1 + Outfits</v>
      </c>
      <c r="C324" s="628"/>
      <c r="D324" s="602" t="str">
        <f>IFERROR(__xludf.DUMMYFUNCTION("""COMPUTED_VALUE"""),"PMAX")</f>
        <v>PMAX</v>
      </c>
      <c r="E324" s="624" t="str">
        <f>IFERROR(__xludf.DUMMYFUNCTION("""COMPUTED_VALUE"""),"Not start yet")</f>
        <v>Not start yet</v>
      </c>
      <c r="F324" s="604">
        <f>IFERROR(__xludf.DUMMYFUNCTION("""COMPUTED_VALUE"""),46148.0)</f>
        <v>46148</v>
      </c>
      <c r="G324" s="639">
        <f>IFERROR(__xludf.DUMMYFUNCTION("""COMPUTED_VALUE"""),46150.0)</f>
        <v>46150</v>
      </c>
      <c r="H324" s="585"/>
      <c r="I324" s="629">
        <v>1.0</v>
      </c>
      <c r="J324" s="630" t="s">
        <v>883</v>
      </c>
      <c r="K324" s="585"/>
      <c r="L324" s="585"/>
      <c r="M324" s="585"/>
      <c r="N324" s="585"/>
      <c r="O324" s="585"/>
      <c r="P324" s="585"/>
      <c r="Q324" s="585"/>
      <c r="R324" s="585"/>
      <c r="S324" s="585"/>
      <c r="T324" s="585"/>
      <c r="U324" s="585"/>
      <c r="V324" s="585"/>
      <c r="W324" s="585"/>
      <c r="X324" s="585"/>
      <c r="Y324" s="585"/>
      <c r="Z324" s="585"/>
      <c r="AA324" s="585"/>
      <c r="AB324" s="585"/>
      <c r="AC324" s="585"/>
      <c r="AD324" s="585"/>
      <c r="AE324" s="585"/>
      <c r="AF324" s="585"/>
      <c r="AG324" s="585"/>
      <c r="AH324" s="585"/>
      <c r="AI324" s="585"/>
      <c r="AJ324" s="585"/>
      <c r="AK324" s="585"/>
      <c r="AL324" s="585"/>
      <c r="AM324" s="585"/>
      <c r="AN324" s="585"/>
      <c r="AO324" s="585"/>
      <c r="AP324" s="585"/>
      <c r="AQ324" s="585"/>
      <c r="AR324" s="585"/>
    </row>
    <row r="325">
      <c r="A325" s="621"/>
      <c r="B325" s="627" t="str">
        <f>IFERROR(__xludf.DUMMYFUNCTION("""COMPUTED_VALUE"""),"Feedback Script R1 + outfits")</f>
        <v>Feedback Script R1 + outfits</v>
      </c>
      <c r="C325" s="628"/>
      <c r="D325" s="602" t="str">
        <f>IFERROR(__xludf.DUMMYFUNCTION("""COMPUTED_VALUE"""),"BRAND")</f>
        <v>BRAND</v>
      </c>
      <c r="E325" s="624" t="str">
        <f>IFERROR(__xludf.DUMMYFUNCTION("""COMPUTED_VALUE"""),"Not start yet")</f>
        <v>Not start yet</v>
      </c>
      <c r="F325" s="604">
        <f>IFERROR(__xludf.DUMMYFUNCTION("""COMPUTED_VALUE"""),46150.0)</f>
        <v>46150</v>
      </c>
      <c r="G325" s="639">
        <f>IFERROR(__xludf.DUMMYFUNCTION("""COMPUTED_VALUE"""),46150.0)</f>
        <v>46150</v>
      </c>
      <c r="H325" s="585"/>
      <c r="I325" s="625"/>
      <c r="J325" s="630" t="s">
        <v>884</v>
      </c>
      <c r="K325" s="585"/>
      <c r="L325" s="585"/>
      <c r="M325" s="585"/>
      <c r="N325" s="585"/>
      <c r="O325" s="585"/>
      <c r="P325" s="585"/>
      <c r="Q325" s="585"/>
      <c r="R325" s="585"/>
      <c r="S325" s="585"/>
      <c r="T325" s="585"/>
      <c r="U325" s="585"/>
      <c r="V325" s="585"/>
      <c r="W325" s="585"/>
      <c r="X325" s="585"/>
      <c r="Y325" s="585"/>
      <c r="Z325" s="585"/>
      <c r="AA325" s="585"/>
      <c r="AB325" s="585"/>
      <c r="AC325" s="585"/>
      <c r="AD325" s="585"/>
      <c r="AE325" s="585"/>
      <c r="AF325" s="585"/>
      <c r="AG325" s="585"/>
      <c r="AH325" s="585"/>
      <c r="AI325" s="585"/>
      <c r="AJ325" s="585"/>
      <c r="AK325" s="585"/>
      <c r="AL325" s="585"/>
      <c r="AM325" s="585"/>
      <c r="AN325" s="585"/>
      <c r="AO325" s="585"/>
      <c r="AP325" s="585"/>
      <c r="AQ325" s="585"/>
      <c r="AR325" s="585"/>
    </row>
    <row r="326">
      <c r="A326" s="621"/>
      <c r="B326" s="631" t="str">
        <f>IFERROR(__xludf.DUMMYFUNCTION("""COMPUTED_VALUE"""),"Script R2")</f>
        <v>Script R2</v>
      </c>
      <c r="C326" s="628"/>
      <c r="D326" s="632" t="str">
        <f>IFERROR(__xludf.DUMMYFUNCTION("""COMPUTED_VALUE"""),"PMAX")</f>
        <v>PMAX</v>
      </c>
      <c r="E326" s="624" t="str">
        <f>IFERROR(__xludf.DUMMYFUNCTION("""COMPUTED_VALUE"""),"Not start yet")</f>
        <v>Not start yet</v>
      </c>
      <c r="F326" s="604">
        <f>IFERROR(__xludf.DUMMYFUNCTION("""COMPUTED_VALUE"""),46151.0)</f>
        <v>46151</v>
      </c>
      <c r="G326" s="639">
        <f>IFERROR(__xludf.DUMMYFUNCTION("""COMPUTED_VALUE"""),46152.0)</f>
        <v>46152</v>
      </c>
      <c r="H326" s="585"/>
      <c r="I326" s="625"/>
      <c r="J326" s="630"/>
      <c r="K326" s="585"/>
      <c r="L326" s="585"/>
      <c r="M326" s="585"/>
      <c r="N326" s="585"/>
      <c r="O326" s="585"/>
      <c r="P326" s="585"/>
      <c r="Q326" s="585"/>
      <c r="R326" s="585"/>
      <c r="S326" s="585"/>
      <c r="T326" s="585"/>
      <c r="U326" s="585"/>
      <c r="V326" s="585"/>
      <c r="W326" s="585"/>
      <c r="X326" s="585"/>
      <c r="Y326" s="585"/>
      <c r="Z326" s="585"/>
      <c r="AA326" s="585"/>
      <c r="AB326" s="585"/>
      <c r="AC326" s="585"/>
      <c r="AD326" s="585"/>
      <c r="AE326" s="585"/>
      <c r="AF326" s="585"/>
      <c r="AG326" s="585"/>
      <c r="AH326" s="585"/>
      <c r="AI326" s="585"/>
      <c r="AJ326" s="585"/>
      <c r="AK326" s="585"/>
      <c r="AL326" s="585"/>
      <c r="AM326" s="585"/>
      <c r="AN326" s="585"/>
      <c r="AO326" s="585"/>
      <c r="AP326" s="585"/>
      <c r="AQ326" s="585"/>
      <c r="AR326" s="585"/>
    </row>
    <row r="327">
      <c r="A327" s="621"/>
      <c r="B327" s="631" t="str">
        <f>IFERROR(__xludf.DUMMYFUNCTION("""COMPUTED_VALUE"""),"Feedback Script R2")</f>
        <v>Feedback Script R2</v>
      </c>
      <c r="C327" s="628"/>
      <c r="D327" s="632" t="str">
        <f>IFERROR(__xludf.DUMMYFUNCTION("""COMPUTED_VALUE"""),"BRAND")</f>
        <v>BRAND</v>
      </c>
      <c r="E327" s="624" t="str">
        <f>IFERROR(__xludf.DUMMYFUNCTION("""COMPUTED_VALUE"""),"Not start yet")</f>
        <v>Not start yet</v>
      </c>
      <c r="F327" s="604">
        <f>IFERROR(__xludf.DUMMYFUNCTION("""COMPUTED_VALUE"""),46153.0)</f>
        <v>46153</v>
      </c>
      <c r="G327" s="639">
        <f>IFERROR(__xludf.DUMMYFUNCTION("""COMPUTED_VALUE"""),46153.0)</f>
        <v>46153</v>
      </c>
      <c r="H327" s="585"/>
      <c r="I327" s="625"/>
      <c r="J327" s="630"/>
      <c r="K327" s="585"/>
      <c r="L327" s="585"/>
      <c r="M327" s="585"/>
      <c r="N327" s="585"/>
      <c r="O327" s="585"/>
      <c r="P327" s="585"/>
      <c r="Q327" s="585"/>
      <c r="R327" s="585"/>
      <c r="S327" s="585"/>
      <c r="T327" s="585"/>
      <c r="U327" s="585"/>
      <c r="V327" s="585"/>
      <c r="W327" s="585"/>
      <c r="X327" s="585"/>
      <c r="Y327" s="585"/>
      <c r="Z327" s="585"/>
      <c r="AA327" s="585"/>
      <c r="AB327" s="585"/>
      <c r="AC327" s="585"/>
      <c r="AD327" s="585"/>
      <c r="AE327" s="585"/>
      <c r="AF327" s="585"/>
      <c r="AG327" s="585"/>
      <c r="AH327" s="585"/>
      <c r="AI327" s="585"/>
      <c r="AJ327" s="585"/>
      <c r="AK327" s="585"/>
      <c r="AL327" s="585"/>
      <c r="AM327" s="585"/>
      <c r="AN327" s="585"/>
      <c r="AO327" s="585"/>
      <c r="AP327" s="585"/>
      <c r="AQ327" s="585"/>
      <c r="AR327" s="585"/>
    </row>
    <row r="328">
      <c r="A328" s="621"/>
      <c r="B328" s="627" t="str">
        <f>IFERROR(__xludf.DUMMYFUNCTION("""COMPUTED_VALUE"""),"Finalize scripts + outfits")</f>
        <v>Finalize scripts + outfits</v>
      </c>
      <c r="C328" s="628"/>
      <c r="D328" s="602" t="str">
        <f>IFERROR(__xludf.DUMMYFUNCTION("""COMPUTED_VALUE"""),"PMAX-BRAND")</f>
        <v>PMAX-BRAND</v>
      </c>
      <c r="E328" s="624" t="str">
        <f>IFERROR(__xludf.DUMMYFUNCTION("""COMPUTED_VALUE"""),"Not start yet")</f>
        <v>Not start yet</v>
      </c>
      <c r="F328" s="604">
        <f>IFERROR(__xludf.DUMMYFUNCTION("""COMPUTED_VALUE"""),46153.0)</f>
        <v>46153</v>
      </c>
      <c r="G328" s="639">
        <f>IFERROR(__xludf.DUMMYFUNCTION("""COMPUTED_VALUE"""),46153.0)</f>
        <v>46153</v>
      </c>
      <c r="H328" s="585"/>
      <c r="I328" s="629">
        <v>1.0</v>
      </c>
      <c r="J328" s="630" t="s">
        <v>885</v>
      </c>
      <c r="K328" s="585"/>
      <c r="L328" s="585"/>
      <c r="M328" s="585"/>
      <c r="N328" s="585"/>
      <c r="O328" s="585"/>
      <c r="P328" s="585"/>
      <c r="Q328" s="585"/>
      <c r="R328" s="585"/>
      <c r="S328" s="585"/>
      <c r="T328" s="585"/>
      <c r="U328" s="585"/>
      <c r="V328" s="585"/>
      <c r="W328" s="585"/>
      <c r="X328" s="585"/>
      <c r="Y328" s="585"/>
      <c r="Z328" s="585"/>
      <c r="AA328" s="585"/>
      <c r="AB328" s="585"/>
      <c r="AC328" s="585"/>
      <c r="AD328" s="585"/>
      <c r="AE328" s="585"/>
      <c r="AF328" s="585"/>
      <c r="AG328" s="585"/>
      <c r="AH328" s="585"/>
      <c r="AI328" s="585"/>
      <c r="AJ328" s="585"/>
      <c r="AK328" s="585"/>
      <c r="AL328" s="585"/>
      <c r="AM328" s="585"/>
      <c r="AN328" s="585"/>
      <c r="AO328" s="585"/>
      <c r="AP328" s="585"/>
      <c r="AQ328" s="585"/>
      <c r="AR328" s="585"/>
    </row>
    <row r="329">
      <c r="A329" s="621"/>
      <c r="B329" s="627" t="str">
        <f>IFERROR(__xludf.DUMMYFUNCTION("""COMPUTED_VALUE"""),"Đi quay tại site")</f>
        <v>Đi quay tại site</v>
      </c>
      <c r="C329" s="628"/>
      <c r="D329" s="602" t="str">
        <f>IFERROR(__xludf.DUMMYFUNCTION("""COMPUTED_VALUE"""),"PMAX")</f>
        <v>PMAX</v>
      </c>
      <c r="E329" s="624" t="str">
        <f>IFERROR(__xludf.DUMMYFUNCTION("""COMPUTED_VALUE"""),"Not start yet")</f>
        <v>Not start yet</v>
      </c>
      <c r="F329" s="604">
        <f>IFERROR(__xludf.DUMMYFUNCTION("""COMPUTED_VALUE"""),46154.0)</f>
        <v>46154</v>
      </c>
      <c r="G329" s="639">
        <f>IFERROR(__xludf.DUMMYFUNCTION("""COMPUTED_VALUE"""),46156.0)</f>
        <v>46156</v>
      </c>
      <c r="H329" s="585"/>
      <c r="I329" s="629">
        <v>2.0</v>
      </c>
      <c r="J329" s="625"/>
      <c r="K329" s="585"/>
      <c r="L329" s="585"/>
      <c r="M329" s="585"/>
      <c r="N329" s="585"/>
      <c r="O329" s="585"/>
      <c r="P329" s="585"/>
      <c r="Q329" s="585"/>
      <c r="R329" s="585"/>
      <c r="S329" s="585"/>
      <c r="T329" s="585"/>
      <c r="U329" s="585"/>
      <c r="V329" s="585"/>
      <c r="W329" s="585"/>
      <c r="X329" s="585"/>
      <c r="Y329" s="585"/>
      <c r="Z329" s="585"/>
      <c r="AA329" s="585"/>
      <c r="AB329" s="585"/>
      <c r="AC329" s="585"/>
      <c r="AD329" s="585"/>
      <c r="AE329" s="585"/>
      <c r="AF329" s="585"/>
      <c r="AG329" s="585"/>
      <c r="AH329" s="585"/>
      <c r="AI329" s="585"/>
      <c r="AJ329" s="585"/>
      <c r="AK329" s="585"/>
      <c r="AL329" s="585"/>
      <c r="AM329" s="585"/>
      <c r="AN329" s="585"/>
      <c r="AO329" s="585"/>
      <c r="AP329" s="585"/>
      <c r="AQ329" s="585"/>
      <c r="AR329" s="585"/>
    </row>
    <row r="330">
      <c r="A330" s="621"/>
      <c r="B330" s="633" t="str">
        <f>IFERROR(__xludf.DUMMYFUNCTION("""COMPUTED_VALUE"""),"Demo R1")</f>
        <v>Demo R1</v>
      </c>
      <c r="C330" s="628"/>
      <c r="D330" s="602" t="str">
        <f>IFERROR(__xludf.DUMMYFUNCTION("""COMPUTED_VALUE"""),"PMAX")</f>
        <v>PMAX</v>
      </c>
      <c r="E330" s="624" t="str">
        <f>IFERROR(__xludf.DUMMYFUNCTION("""COMPUTED_VALUE"""),"Not start yet")</f>
        <v>Not start yet</v>
      </c>
      <c r="F330" s="604">
        <f>IFERROR(__xludf.DUMMYFUNCTION("""COMPUTED_VALUE"""),46156.0)</f>
        <v>46156</v>
      </c>
      <c r="G330" s="639">
        <f>IFERROR(__xludf.DUMMYFUNCTION("""COMPUTED_VALUE"""),46159.0)</f>
        <v>46159</v>
      </c>
      <c r="H330" s="585"/>
      <c r="I330" s="629">
        <v>4.0</v>
      </c>
      <c r="J330" s="630" t="s">
        <v>886</v>
      </c>
      <c r="K330" s="585"/>
      <c r="L330" s="585"/>
      <c r="M330" s="585"/>
      <c r="N330" s="585"/>
      <c r="O330" s="585"/>
      <c r="P330" s="585"/>
      <c r="Q330" s="585"/>
      <c r="R330" s="585"/>
      <c r="S330" s="585"/>
      <c r="T330" s="585"/>
      <c r="U330" s="585"/>
      <c r="V330" s="585"/>
      <c r="W330" s="585"/>
      <c r="X330" s="585"/>
      <c r="Y330" s="585"/>
      <c r="Z330" s="585"/>
      <c r="AA330" s="585"/>
      <c r="AB330" s="585"/>
      <c r="AC330" s="585"/>
      <c r="AD330" s="585"/>
      <c r="AE330" s="585"/>
      <c r="AF330" s="585"/>
      <c r="AG330" s="585"/>
      <c r="AH330" s="585"/>
      <c r="AI330" s="585"/>
      <c r="AJ330" s="585"/>
      <c r="AK330" s="585"/>
      <c r="AL330" s="585"/>
      <c r="AM330" s="585"/>
      <c r="AN330" s="585"/>
      <c r="AO330" s="585"/>
      <c r="AP330" s="585"/>
      <c r="AQ330" s="585"/>
      <c r="AR330" s="585"/>
    </row>
    <row r="331">
      <c r="A331" s="621"/>
      <c r="B331" s="627" t="str">
        <f>IFERROR(__xludf.DUMMYFUNCTION("""COMPUTED_VALUE"""),"Feedback demo R1")</f>
        <v>Feedback demo R1</v>
      </c>
      <c r="C331" s="628"/>
      <c r="D331" s="602" t="str">
        <f>IFERROR(__xludf.DUMMYFUNCTION("""COMPUTED_VALUE"""),"BRAND")</f>
        <v>BRAND</v>
      </c>
      <c r="E331" s="624" t="str">
        <f>IFERROR(__xludf.DUMMYFUNCTION("""COMPUTED_VALUE"""),"Not start yet")</f>
        <v>Not start yet</v>
      </c>
      <c r="F331" s="604">
        <f>IFERROR(__xludf.DUMMYFUNCTION("""COMPUTED_VALUE"""),46160.0)</f>
        <v>46160</v>
      </c>
      <c r="G331" s="639">
        <f>IFERROR(__xludf.DUMMYFUNCTION("""COMPUTED_VALUE"""),46160.0)</f>
        <v>46160</v>
      </c>
      <c r="H331" s="585"/>
      <c r="I331" s="625"/>
      <c r="J331" s="630" t="s">
        <v>887</v>
      </c>
      <c r="K331" s="585"/>
      <c r="L331" s="585"/>
      <c r="M331" s="585"/>
      <c r="N331" s="585"/>
      <c r="O331" s="585"/>
      <c r="P331" s="585"/>
      <c r="Q331" s="585"/>
      <c r="R331" s="585"/>
      <c r="S331" s="585"/>
      <c r="T331" s="585"/>
      <c r="U331" s="585"/>
      <c r="V331" s="585"/>
      <c r="W331" s="585"/>
      <c r="X331" s="585"/>
      <c r="Y331" s="585"/>
      <c r="Z331" s="585"/>
      <c r="AA331" s="585"/>
      <c r="AB331" s="585"/>
      <c r="AC331" s="585"/>
      <c r="AD331" s="585"/>
      <c r="AE331" s="585"/>
      <c r="AF331" s="585"/>
      <c r="AG331" s="585"/>
      <c r="AH331" s="585"/>
      <c r="AI331" s="585"/>
      <c r="AJ331" s="585"/>
      <c r="AK331" s="585"/>
      <c r="AL331" s="585"/>
      <c r="AM331" s="585"/>
      <c r="AN331" s="585"/>
      <c r="AO331" s="585"/>
      <c r="AP331" s="585"/>
      <c r="AQ331" s="585"/>
      <c r="AR331" s="585"/>
    </row>
    <row r="332">
      <c r="A332" s="621"/>
      <c r="B332" s="633" t="str">
        <f>IFERROR(__xludf.DUMMYFUNCTION("""COMPUTED_VALUE"""),"Demo R2")</f>
        <v>Demo R2</v>
      </c>
      <c r="C332" s="628"/>
      <c r="D332" s="602" t="str">
        <f>IFERROR(__xludf.DUMMYFUNCTION("""COMPUTED_VALUE"""),"PMAX")</f>
        <v>PMAX</v>
      </c>
      <c r="E332" s="624" t="str">
        <f>IFERROR(__xludf.DUMMYFUNCTION("""COMPUTED_VALUE"""),"Not start yet")</f>
        <v>Not start yet</v>
      </c>
      <c r="F332" s="604">
        <f>IFERROR(__xludf.DUMMYFUNCTION("""COMPUTED_VALUE"""),46161.0)</f>
        <v>46161</v>
      </c>
      <c r="G332" s="639">
        <f>IFERROR(__xludf.DUMMYFUNCTION("""COMPUTED_VALUE"""),46163.0)</f>
        <v>46163</v>
      </c>
      <c r="H332" s="585"/>
      <c r="I332" s="625"/>
      <c r="J332" s="625"/>
      <c r="K332" s="585"/>
      <c r="L332" s="585"/>
      <c r="M332" s="585"/>
      <c r="N332" s="585"/>
      <c r="O332" s="585"/>
      <c r="P332" s="585"/>
      <c r="Q332" s="585"/>
      <c r="R332" s="585"/>
      <c r="S332" s="585"/>
      <c r="T332" s="585"/>
      <c r="U332" s="585"/>
      <c r="V332" s="585"/>
      <c r="W332" s="585"/>
      <c r="X332" s="585"/>
      <c r="Y332" s="585"/>
      <c r="Z332" s="585"/>
      <c r="AA332" s="585"/>
      <c r="AB332" s="585"/>
      <c r="AC332" s="585"/>
      <c r="AD332" s="585"/>
      <c r="AE332" s="585"/>
      <c r="AF332" s="585"/>
      <c r="AG332" s="585"/>
      <c r="AH332" s="585"/>
      <c r="AI332" s="585"/>
      <c r="AJ332" s="585"/>
      <c r="AK332" s="585"/>
      <c r="AL332" s="585"/>
      <c r="AM332" s="585"/>
      <c r="AN332" s="585"/>
      <c r="AO332" s="585"/>
      <c r="AP332" s="585"/>
      <c r="AQ332" s="585"/>
      <c r="AR332" s="585"/>
    </row>
    <row r="333">
      <c r="A333" s="621"/>
      <c r="B333" s="627" t="str">
        <f>IFERROR(__xludf.DUMMYFUNCTION("""COMPUTED_VALUE"""),"Feedback demo R2")</f>
        <v>Feedback demo R2</v>
      </c>
      <c r="C333" s="628"/>
      <c r="D333" s="602" t="str">
        <f>IFERROR(__xludf.DUMMYFUNCTION("""COMPUTED_VALUE"""),"BRAND")</f>
        <v>BRAND</v>
      </c>
      <c r="E333" s="624" t="str">
        <f>IFERROR(__xludf.DUMMYFUNCTION("""COMPUTED_VALUE"""),"Not start yet")</f>
        <v>Not start yet</v>
      </c>
      <c r="F333" s="604">
        <f>IFERROR(__xludf.DUMMYFUNCTION("""COMPUTED_VALUE"""),46164.0)</f>
        <v>46164</v>
      </c>
      <c r="G333" s="639">
        <f>IFERROR(__xludf.DUMMYFUNCTION("""COMPUTED_VALUE"""),46164.0)</f>
        <v>46164</v>
      </c>
      <c r="H333" s="585"/>
      <c r="I333" s="625"/>
      <c r="J333" s="625"/>
      <c r="K333" s="585"/>
      <c r="L333" s="585"/>
      <c r="M333" s="585"/>
      <c r="N333" s="585"/>
      <c r="O333" s="585"/>
      <c r="P333" s="585"/>
      <c r="Q333" s="585"/>
      <c r="R333" s="585"/>
      <c r="S333" s="585"/>
      <c r="T333" s="585"/>
      <c r="U333" s="585"/>
      <c r="V333" s="585"/>
      <c r="W333" s="585"/>
      <c r="X333" s="585"/>
      <c r="Y333" s="585"/>
      <c r="Z333" s="585"/>
      <c r="AA333" s="585"/>
      <c r="AB333" s="585"/>
      <c r="AC333" s="585"/>
      <c r="AD333" s="585"/>
      <c r="AE333" s="585"/>
      <c r="AF333" s="585"/>
      <c r="AG333" s="585"/>
      <c r="AH333" s="585"/>
      <c r="AI333" s="585"/>
      <c r="AJ333" s="585"/>
      <c r="AK333" s="585"/>
      <c r="AL333" s="585"/>
      <c r="AM333" s="585"/>
      <c r="AN333" s="585"/>
      <c r="AO333" s="585"/>
      <c r="AP333" s="585"/>
      <c r="AQ333" s="585"/>
      <c r="AR333" s="585"/>
    </row>
    <row r="334">
      <c r="A334" s="621"/>
      <c r="B334" s="627" t="str">
        <f>IFERROR(__xludf.DUMMYFUNCTION("""COMPUTED_VALUE"""),"Finalize demo")</f>
        <v>Finalize demo</v>
      </c>
      <c r="C334" s="628"/>
      <c r="D334" s="602" t="str">
        <f>IFERROR(__xludf.DUMMYFUNCTION("""COMPUTED_VALUE"""),"PMAX")</f>
        <v>PMAX</v>
      </c>
      <c r="E334" s="624" t="str">
        <f>IFERROR(__xludf.DUMMYFUNCTION("""COMPUTED_VALUE"""),"Not start yet")</f>
        <v>Not start yet</v>
      </c>
      <c r="F334" s="604">
        <f>IFERROR(__xludf.DUMMYFUNCTION("""COMPUTED_VALUE"""),46164.0)</f>
        <v>46164</v>
      </c>
      <c r="G334" s="639">
        <f>IFERROR(__xludf.DUMMYFUNCTION("""COMPUTED_VALUE"""),46164.0)</f>
        <v>46164</v>
      </c>
      <c r="H334" s="585"/>
      <c r="I334" s="629">
        <v>1.0</v>
      </c>
      <c r="J334" s="630" t="s">
        <v>888</v>
      </c>
      <c r="K334" s="585"/>
      <c r="L334" s="585"/>
      <c r="M334" s="585"/>
      <c r="N334" s="585"/>
      <c r="O334" s="585"/>
      <c r="P334" s="585"/>
      <c r="Q334" s="585"/>
      <c r="R334" s="585"/>
      <c r="S334" s="585"/>
      <c r="T334" s="585"/>
      <c r="U334" s="585"/>
      <c r="V334" s="585"/>
      <c r="W334" s="585"/>
      <c r="X334" s="585"/>
      <c r="Y334" s="585"/>
      <c r="Z334" s="585"/>
      <c r="AA334" s="585"/>
      <c r="AB334" s="585"/>
      <c r="AC334" s="585"/>
      <c r="AD334" s="585"/>
      <c r="AE334" s="585"/>
      <c r="AF334" s="585"/>
      <c r="AG334" s="585"/>
      <c r="AH334" s="585"/>
      <c r="AI334" s="585"/>
      <c r="AJ334" s="585"/>
      <c r="AK334" s="585"/>
      <c r="AL334" s="585"/>
      <c r="AM334" s="585"/>
      <c r="AN334" s="585"/>
      <c r="AO334" s="585"/>
      <c r="AP334" s="585"/>
      <c r="AQ334" s="585"/>
      <c r="AR334" s="585"/>
    </row>
    <row r="335">
      <c r="A335" s="621"/>
      <c r="B335" s="634" t="str">
        <f>IFERROR(__xludf.DUMMYFUNCTION("""COMPUTED_VALUE"""),"Air")</f>
        <v>Air</v>
      </c>
      <c r="C335" s="26"/>
      <c r="D335" s="602" t="str">
        <f>IFERROR(__xludf.DUMMYFUNCTION("""COMPUTED_VALUE"""),"PMAX")</f>
        <v>PMAX</v>
      </c>
      <c r="E335" s="624" t="str">
        <f>IFERROR(__xludf.DUMMYFUNCTION("""COMPUTED_VALUE"""),"Not start yet")</f>
        <v>Not start yet</v>
      </c>
      <c r="F335" s="604" t="str">
        <f>IFERROR(__xludf.DUMMYFUNCTION("""COMPUTED_VALUE"""),"TBU")</f>
        <v>TBU</v>
      </c>
      <c r="G335" s="639" t="str">
        <f>IFERROR(__xludf.DUMMYFUNCTION("""COMPUTED_VALUE"""),"TBU")</f>
        <v>TBU</v>
      </c>
      <c r="H335" s="585"/>
      <c r="I335" s="636">
        <v>1.0</v>
      </c>
      <c r="J335" s="585"/>
      <c r="K335" s="585"/>
      <c r="L335" s="585"/>
      <c r="M335" s="585"/>
      <c r="N335" s="585"/>
      <c r="O335" s="585"/>
      <c r="P335" s="585"/>
      <c r="Q335" s="585"/>
      <c r="R335" s="585"/>
      <c r="S335" s="585"/>
      <c r="T335" s="585"/>
      <c r="U335" s="585"/>
      <c r="V335" s="585"/>
      <c r="W335" s="585"/>
      <c r="X335" s="585"/>
      <c r="Y335" s="585"/>
      <c r="Z335" s="585"/>
      <c r="AA335" s="585"/>
      <c r="AB335" s="585"/>
      <c r="AC335" s="585"/>
      <c r="AD335" s="585"/>
      <c r="AE335" s="585"/>
      <c r="AF335" s="585"/>
      <c r="AG335" s="585"/>
      <c r="AH335" s="585"/>
      <c r="AI335" s="585"/>
      <c r="AJ335" s="585"/>
      <c r="AK335" s="585"/>
      <c r="AL335" s="585"/>
      <c r="AM335" s="585"/>
      <c r="AN335" s="585"/>
      <c r="AO335" s="585"/>
      <c r="AP335" s="585"/>
      <c r="AQ335" s="585"/>
      <c r="AR335" s="585"/>
    </row>
    <row r="336">
      <c r="A336" s="642"/>
      <c r="B336" s="643" t="str">
        <f>IFERROR(__xludf.DUMMYFUNCTION("""COMPUTED_VALUE"""),"Khu Vực miền Nam")</f>
        <v>Khu Vực miền Nam</v>
      </c>
      <c r="C336" s="642"/>
      <c r="D336" s="642"/>
      <c r="E336" s="642"/>
      <c r="F336" s="642"/>
      <c r="G336" s="642"/>
    </row>
    <row r="337">
      <c r="A337" s="637">
        <f>IFERROR(__xludf.DUMMYFUNCTION("""COMPUTED_VALUE"""),23.0)</f>
        <v>23</v>
      </c>
      <c r="B337" s="616" t="str">
        <f>IFERROR(__xludf.DUMMYFUNCTION("""COMPUTED_VALUE"""),"Zăn Zăn Daily ✨")</f>
        <v>Zăn Zăn Daily ✨</v>
      </c>
      <c r="C337" s="617"/>
      <c r="D337" s="618"/>
      <c r="E337" s="619"/>
      <c r="F337" s="619"/>
      <c r="G337" s="619"/>
      <c r="H337" s="585"/>
      <c r="I337" s="585"/>
      <c r="J337" s="585"/>
      <c r="K337" s="585"/>
      <c r="L337" s="585"/>
      <c r="M337" s="585"/>
      <c r="N337" s="585"/>
      <c r="O337" s="585"/>
      <c r="P337" s="585"/>
      <c r="Q337" s="585"/>
      <c r="R337" s="585"/>
      <c r="S337" s="585"/>
      <c r="T337" s="585"/>
      <c r="U337" s="585"/>
      <c r="V337" s="585"/>
      <c r="W337" s="585"/>
      <c r="X337" s="585"/>
      <c r="Y337" s="585"/>
      <c r="Z337" s="585"/>
      <c r="AA337" s="585"/>
      <c r="AB337" s="585"/>
      <c r="AC337" s="585"/>
      <c r="AD337" s="585"/>
      <c r="AE337" s="585"/>
      <c r="AF337" s="585"/>
      <c r="AG337" s="585"/>
      <c r="AH337" s="585"/>
      <c r="AI337" s="585"/>
      <c r="AJ337" s="585"/>
      <c r="AK337" s="585"/>
      <c r="AL337" s="585"/>
      <c r="AM337" s="585"/>
      <c r="AN337" s="585"/>
      <c r="AO337" s="585"/>
      <c r="AP337" s="585"/>
      <c r="AQ337" s="585"/>
      <c r="AR337" s="585"/>
    </row>
    <row r="338">
      <c r="A338" s="621"/>
      <c r="B338" s="622" t="str">
        <f>IFERROR(__xludf.DUMMYFUNCTION("""COMPUTED_VALUE"""),"Briefing cho Influencer")</f>
        <v>Briefing cho Influencer</v>
      </c>
      <c r="C338" s="623"/>
      <c r="D338" s="602" t="str">
        <f>IFERROR(__xludf.DUMMYFUNCTION("""COMPUTED_VALUE"""),"PMAX")</f>
        <v>PMAX</v>
      </c>
      <c r="E338" s="624" t="str">
        <f>IFERROR(__xludf.DUMMYFUNCTION("""COMPUTED_VALUE"""),"Not start yet")</f>
        <v>Not start yet</v>
      </c>
      <c r="F338" s="604">
        <f>IFERROR(__xludf.DUMMYFUNCTION("""COMPUTED_VALUE"""),46147.0)</f>
        <v>46147</v>
      </c>
      <c r="G338" s="639">
        <f>IFERROR(__xludf.DUMMYFUNCTION("""COMPUTED_VALUE"""),46148.0)</f>
        <v>46148</v>
      </c>
      <c r="H338" s="585"/>
      <c r="I338" s="625"/>
      <c r="J338" s="626" t="s">
        <v>882</v>
      </c>
      <c r="K338" s="585"/>
      <c r="L338" s="585"/>
      <c r="M338" s="585"/>
      <c r="N338" s="585"/>
      <c r="O338" s="585"/>
      <c r="P338" s="585"/>
      <c r="Q338" s="585"/>
      <c r="R338" s="585"/>
      <c r="S338" s="585"/>
      <c r="T338" s="585"/>
      <c r="U338" s="585"/>
      <c r="V338" s="585"/>
      <c r="W338" s="585"/>
      <c r="X338" s="585"/>
      <c r="Y338" s="585"/>
      <c r="Z338" s="585"/>
      <c r="AA338" s="585"/>
      <c r="AB338" s="585"/>
      <c r="AC338" s="585"/>
      <c r="AD338" s="585"/>
      <c r="AE338" s="585"/>
      <c r="AF338" s="585"/>
      <c r="AG338" s="585"/>
      <c r="AH338" s="585"/>
      <c r="AI338" s="585"/>
      <c r="AJ338" s="585"/>
      <c r="AK338" s="585"/>
      <c r="AL338" s="585"/>
      <c r="AM338" s="585"/>
      <c r="AN338" s="585"/>
      <c r="AO338" s="585"/>
      <c r="AP338" s="585"/>
      <c r="AQ338" s="585"/>
      <c r="AR338" s="585"/>
    </row>
    <row r="339">
      <c r="A339" s="621"/>
      <c r="B339" s="627" t="str">
        <f>IFERROR(__xludf.DUMMYFUNCTION("""COMPUTED_VALUE"""),"Script R1 + Outfits")</f>
        <v>Script R1 + Outfits</v>
      </c>
      <c r="C339" s="628"/>
      <c r="D339" s="602" t="str">
        <f>IFERROR(__xludf.DUMMYFUNCTION("""COMPUTED_VALUE"""),"PMAX")</f>
        <v>PMAX</v>
      </c>
      <c r="E339" s="624" t="str">
        <f>IFERROR(__xludf.DUMMYFUNCTION("""COMPUTED_VALUE"""),"Not start yet")</f>
        <v>Not start yet</v>
      </c>
      <c r="F339" s="604">
        <f>IFERROR(__xludf.DUMMYFUNCTION("""COMPUTED_VALUE"""),46148.0)</f>
        <v>46148</v>
      </c>
      <c r="G339" s="639">
        <f>IFERROR(__xludf.DUMMYFUNCTION("""COMPUTED_VALUE"""),46150.0)</f>
        <v>46150</v>
      </c>
      <c r="H339" s="585"/>
      <c r="I339" s="629">
        <v>1.0</v>
      </c>
      <c r="J339" s="630" t="s">
        <v>883</v>
      </c>
      <c r="K339" s="585"/>
      <c r="L339" s="585"/>
      <c r="M339" s="585"/>
      <c r="N339" s="585"/>
      <c r="O339" s="585"/>
      <c r="P339" s="585"/>
      <c r="Q339" s="585"/>
      <c r="R339" s="585"/>
      <c r="S339" s="585"/>
      <c r="T339" s="585"/>
      <c r="U339" s="585"/>
      <c r="V339" s="585"/>
      <c r="W339" s="585"/>
      <c r="X339" s="585"/>
      <c r="Y339" s="585"/>
      <c r="Z339" s="585"/>
      <c r="AA339" s="585"/>
      <c r="AB339" s="585"/>
      <c r="AC339" s="585"/>
      <c r="AD339" s="585"/>
      <c r="AE339" s="585"/>
      <c r="AF339" s="585"/>
      <c r="AG339" s="585"/>
      <c r="AH339" s="585"/>
      <c r="AI339" s="585"/>
      <c r="AJ339" s="585"/>
      <c r="AK339" s="585"/>
      <c r="AL339" s="585"/>
      <c r="AM339" s="585"/>
      <c r="AN339" s="585"/>
      <c r="AO339" s="585"/>
      <c r="AP339" s="585"/>
      <c r="AQ339" s="585"/>
      <c r="AR339" s="585"/>
    </row>
    <row r="340">
      <c r="A340" s="621"/>
      <c r="B340" s="627" t="str">
        <f>IFERROR(__xludf.DUMMYFUNCTION("""COMPUTED_VALUE"""),"Feedback Script R1 + outfits")</f>
        <v>Feedback Script R1 + outfits</v>
      </c>
      <c r="C340" s="628"/>
      <c r="D340" s="602" t="str">
        <f>IFERROR(__xludf.DUMMYFUNCTION("""COMPUTED_VALUE"""),"BRAND")</f>
        <v>BRAND</v>
      </c>
      <c r="E340" s="624" t="str">
        <f>IFERROR(__xludf.DUMMYFUNCTION("""COMPUTED_VALUE"""),"Not start yet")</f>
        <v>Not start yet</v>
      </c>
      <c r="F340" s="604">
        <f>IFERROR(__xludf.DUMMYFUNCTION("""COMPUTED_VALUE"""),46150.0)</f>
        <v>46150</v>
      </c>
      <c r="G340" s="639">
        <f>IFERROR(__xludf.DUMMYFUNCTION("""COMPUTED_VALUE"""),46150.0)</f>
        <v>46150</v>
      </c>
      <c r="H340" s="585"/>
      <c r="I340" s="625"/>
      <c r="J340" s="630" t="s">
        <v>884</v>
      </c>
      <c r="K340" s="585"/>
      <c r="L340" s="585"/>
      <c r="M340" s="585"/>
      <c r="N340" s="585"/>
      <c r="O340" s="585"/>
      <c r="P340" s="585"/>
      <c r="Q340" s="585"/>
      <c r="R340" s="585"/>
      <c r="S340" s="585"/>
      <c r="T340" s="585"/>
      <c r="U340" s="585"/>
      <c r="V340" s="585"/>
      <c r="W340" s="585"/>
      <c r="X340" s="585"/>
      <c r="Y340" s="585"/>
      <c r="Z340" s="585"/>
      <c r="AA340" s="585"/>
      <c r="AB340" s="585"/>
      <c r="AC340" s="585"/>
      <c r="AD340" s="585"/>
      <c r="AE340" s="585"/>
      <c r="AF340" s="585"/>
      <c r="AG340" s="585"/>
      <c r="AH340" s="585"/>
      <c r="AI340" s="585"/>
      <c r="AJ340" s="585"/>
      <c r="AK340" s="585"/>
      <c r="AL340" s="585"/>
      <c r="AM340" s="585"/>
      <c r="AN340" s="585"/>
      <c r="AO340" s="585"/>
      <c r="AP340" s="585"/>
      <c r="AQ340" s="585"/>
      <c r="AR340" s="585"/>
    </row>
    <row r="341">
      <c r="A341" s="621"/>
      <c r="B341" s="631" t="str">
        <f>IFERROR(__xludf.DUMMYFUNCTION("""COMPUTED_VALUE"""),"Script R2")</f>
        <v>Script R2</v>
      </c>
      <c r="C341" s="628"/>
      <c r="D341" s="632" t="str">
        <f>IFERROR(__xludf.DUMMYFUNCTION("""COMPUTED_VALUE"""),"PMAX")</f>
        <v>PMAX</v>
      </c>
      <c r="E341" s="624" t="str">
        <f>IFERROR(__xludf.DUMMYFUNCTION("""COMPUTED_VALUE"""),"Not start yet")</f>
        <v>Not start yet</v>
      </c>
      <c r="F341" s="604">
        <f>IFERROR(__xludf.DUMMYFUNCTION("""COMPUTED_VALUE"""),46151.0)</f>
        <v>46151</v>
      </c>
      <c r="G341" s="639">
        <f>IFERROR(__xludf.DUMMYFUNCTION("""COMPUTED_VALUE"""),46152.0)</f>
        <v>46152</v>
      </c>
      <c r="H341" s="585"/>
      <c r="I341" s="625"/>
      <c r="J341" s="630"/>
      <c r="K341" s="585"/>
      <c r="L341" s="585"/>
      <c r="M341" s="585"/>
      <c r="N341" s="585"/>
      <c r="O341" s="585"/>
      <c r="P341" s="585"/>
      <c r="Q341" s="585"/>
      <c r="R341" s="585"/>
      <c r="S341" s="585"/>
      <c r="T341" s="585"/>
      <c r="U341" s="585"/>
      <c r="V341" s="585"/>
      <c r="W341" s="585"/>
      <c r="X341" s="585"/>
      <c r="Y341" s="585"/>
      <c r="Z341" s="585"/>
      <c r="AA341" s="585"/>
      <c r="AB341" s="585"/>
      <c r="AC341" s="585"/>
      <c r="AD341" s="585"/>
      <c r="AE341" s="585"/>
      <c r="AF341" s="585"/>
      <c r="AG341" s="585"/>
      <c r="AH341" s="585"/>
      <c r="AI341" s="585"/>
      <c r="AJ341" s="585"/>
      <c r="AK341" s="585"/>
      <c r="AL341" s="585"/>
      <c r="AM341" s="585"/>
      <c r="AN341" s="585"/>
      <c r="AO341" s="585"/>
      <c r="AP341" s="585"/>
      <c r="AQ341" s="585"/>
      <c r="AR341" s="585"/>
    </row>
    <row r="342">
      <c r="A342" s="621"/>
      <c r="B342" s="631" t="str">
        <f>IFERROR(__xludf.DUMMYFUNCTION("""COMPUTED_VALUE"""),"Feedback Script R2")</f>
        <v>Feedback Script R2</v>
      </c>
      <c r="C342" s="628"/>
      <c r="D342" s="632" t="str">
        <f>IFERROR(__xludf.DUMMYFUNCTION("""COMPUTED_VALUE"""),"BRAND")</f>
        <v>BRAND</v>
      </c>
      <c r="E342" s="624" t="str">
        <f>IFERROR(__xludf.DUMMYFUNCTION("""COMPUTED_VALUE"""),"Not start yet")</f>
        <v>Not start yet</v>
      </c>
      <c r="F342" s="604">
        <f>IFERROR(__xludf.DUMMYFUNCTION("""COMPUTED_VALUE"""),46153.0)</f>
        <v>46153</v>
      </c>
      <c r="G342" s="639">
        <f>IFERROR(__xludf.DUMMYFUNCTION("""COMPUTED_VALUE"""),46153.0)</f>
        <v>46153</v>
      </c>
      <c r="H342" s="585"/>
      <c r="I342" s="625"/>
      <c r="J342" s="630"/>
      <c r="K342" s="585"/>
      <c r="L342" s="585"/>
      <c r="M342" s="585"/>
      <c r="N342" s="585"/>
      <c r="O342" s="585"/>
      <c r="P342" s="585"/>
      <c r="Q342" s="585"/>
      <c r="R342" s="585"/>
      <c r="S342" s="585"/>
      <c r="T342" s="585"/>
      <c r="U342" s="585"/>
      <c r="V342" s="585"/>
      <c r="W342" s="585"/>
      <c r="X342" s="585"/>
      <c r="Y342" s="585"/>
      <c r="Z342" s="585"/>
      <c r="AA342" s="585"/>
      <c r="AB342" s="585"/>
      <c r="AC342" s="585"/>
      <c r="AD342" s="585"/>
      <c r="AE342" s="585"/>
      <c r="AF342" s="585"/>
      <c r="AG342" s="585"/>
      <c r="AH342" s="585"/>
      <c r="AI342" s="585"/>
      <c r="AJ342" s="585"/>
      <c r="AK342" s="585"/>
      <c r="AL342" s="585"/>
      <c r="AM342" s="585"/>
      <c r="AN342" s="585"/>
      <c r="AO342" s="585"/>
      <c r="AP342" s="585"/>
      <c r="AQ342" s="585"/>
      <c r="AR342" s="585"/>
    </row>
    <row r="343">
      <c r="A343" s="621"/>
      <c r="B343" s="627" t="str">
        <f>IFERROR(__xludf.DUMMYFUNCTION("""COMPUTED_VALUE"""),"Finalize scripts + outfits")</f>
        <v>Finalize scripts + outfits</v>
      </c>
      <c r="C343" s="628"/>
      <c r="D343" s="602" t="str">
        <f>IFERROR(__xludf.DUMMYFUNCTION("""COMPUTED_VALUE"""),"PMAX-BRAND")</f>
        <v>PMAX-BRAND</v>
      </c>
      <c r="E343" s="624" t="str">
        <f>IFERROR(__xludf.DUMMYFUNCTION("""COMPUTED_VALUE"""),"Not start yet")</f>
        <v>Not start yet</v>
      </c>
      <c r="F343" s="604">
        <f>IFERROR(__xludf.DUMMYFUNCTION("""COMPUTED_VALUE"""),46153.0)</f>
        <v>46153</v>
      </c>
      <c r="G343" s="639">
        <f>IFERROR(__xludf.DUMMYFUNCTION("""COMPUTED_VALUE"""),46153.0)</f>
        <v>46153</v>
      </c>
      <c r="H343" s="585"/>
      <c r="I343" s="629">
        <v>1.0</v>
      </c>
      <c r="J343" s="630" t="s">
        <v>885</v>
      </c>
      <c r="K343" s="585"/>
      <c r="L343" s="585"/>
      <c r="M343" s="585"/>
      <c r="N343" s="585"/>
      <c r="O343" s="585"/>
      <c r="P343" s="585"/>
      <c r="Q343" s="585"/>
      <c r="R343" s="585"/>
      <c r="S343" s="585"/>
      <c r="T343" s="585"/>
      <c r="U343" s="585"/>
      <c r="V343" s="585"/>
      <c r="W343" s="585"/>
      <c r="X343" s="585"/>
      <c r="Y343" s="585"/>
      <c r="Z343" s="585"/>
      <c r="AA343" s="585"/>
      <c r="AB343" s="585"/>
      <c r="AC343" s="585"/>
      <c r="AD343" s="585"/>
      <c r="AE343" s="585"/>
      <c r="AF343" s="585"/>
      <c r="AG343" s="585"/>
      <c r="AH343" s="585"/>
      <c r="AI343" s="585"/>
      <c r="AJ343" s="585"/>
      <c r="AK343" s="585"/>
      <c r="AL343" s="585"/>
      <c r="AM343" s="585"/>
      <c r="AN343" s="585"/>
      <c r="AO343" s="585"/>
      <c r="AP343" s="585"/>
      <c r="AQ343" s="585"/>
      <c r="AR343" s="585"/>
    </row>
    <row r="344">
      <c r="A344" s="621"/>
      <c r="B344" s="627" t="str">
        <f>IFERROR(__xludf.DUMMYFUNCTION("""COMPUTED_VALUE"""),"Đi quay tại site")</f>
        <v>Đi quay tại site</v>
      </c>
      <c r="C344" s="628"/>
      <c r="D344" s="602" t="str">
        <f>IFERROR(__xludf.DUMMYFUNCTION("""COMPUTED_VALUE"""),"PMAX")</f>
        <v>PMAX</v>
      </c>
      <c r="E344" s="624" t="str">
        <f>IFERROR(__xludf.DUMMYFUNCTION("""COMPUTED_VALUE"""),"Not start yet")</f>
        <v>Not start yet</v>
      </c>
      <c r="F344" s="604">
        <f>IFERROR(__xludf.DUMMYFUNCTION("""COMPUTED_VALUE"""),46154.0)</f>
        <v>46154</v>
      </c>
      <c r="G344" s="639">
        <f>IFERROR(__xludf.DUMMYFUNCTION("""COMPUTED_VALUE"""),46156.0)</f>
        <v>46156</v>
      </c>
      <c r="H344" s="585"/>
      <c r="I344" s="629">
        <v>2.0</v>
      </c>
      <c r="J344" s="625"/>
      <c r="K344" s="585"/>
      <c r="L344" s="585"/>
      <c r="M344" s="585"/>
      <c r="N344" s="585"/>
      <c r="O344" s="585"/>
      <c r="P344" s="585"/>
      <c r="Q344" s="585"/>
      <c r="R344" s="585"/>
      <c r="S344" s="585"/>
      <c r="T344" s="585"/>
      <c r="U344" s="585"/>
      <c r="V344" s="585"/>
      <c r="W344" s="585"/>
      <c r="X344" s="585"/>
      <c r="Y344" s="585"/>
      <c r="Z344" s="585"/>
      <c r="AA344" s="585"/>
      <c r="AB344" s="585"/>
      <c r="AC344" s="585"/>
      <c r="AD344" s="585"/>
      <c r="AE344" s="585"/>
      <c r="AF344" s="585"/>
      <c r="AG344" s="585"/>
      <c r="AH344" s="585"/>
      <c r="AI344" s="585"/>
      <c r="AJ344" s="585"/>
      <c r="AK344" s="585"/>
      <c r="AL344" s="585"/>
      <c r="AM344" s="585"/>
      <c r="AN344" s="585"/>
      <c r="AO344" s="585"/>
      <c r="AP344" s="585"/>
      <c r="AQ344" s="585"/>
      <c r="AR344" s="585"/>
    </row>
    <row r="345">
      <c r="A345" s="621"/>
      <c r="B345" s="633" t="str">
        <f>IFERROR(__xludf.DUMMYFUNCTION("""COMPUTED_VALUE"""),"Demo R1")</f>
        <v>Demo R1</v>
      </c>
      <c r="C345" s="628"/>
      <c r="D345" s="602" t="str">
        <f>IFERROR(__xludf.DUMMYFUNCTION("""COMPUTED_VALUE"""),"PMAX")</f>
        <v>PMAX</v>
      </c>
      <c r="E345" s="624" t="str">
        <f>IFERROR(__xludf.DUMMYFUNCTION("""COMPUTED_VALUE"""),"Not start yet")</f>
        <v>Not start yet</v>
      </c>
      <c r="F345" s="604">
        <f>IFERROR(__xludf.DUMMYFUNCTION("""COMPUTED_VALUE"""),46156.0)</f>
        <v>46156</v>
      </c>
      <c r="G345" s="639">
        <f>IFERROR(__xludf.DUMMYFUNCTION("""COMPUTED_VALUE"""),46159.0)</f>
        <v>46159</v>
      </c>
      <c r="H345" s="585"/>
      <c r="I345" s="629">
        <v>4.0</v>
      </c>
      <c r="J345" s="630" t="s">
        <v>886</v>
      </c>
      <c r="K345" s="585"/>
      <c r="L345" s="585"/>
      <c r="M345" s="585"/>
      <c r="N345" s="585"/>
      <c r="O345" s="585"/>
      <c r="P345" s="585"/>
      <c r="Q345" s="585"/>
      <c r="R345" s="585"/>
      <c r="S345" s="585"/>
      <c r="T345" s="585"/>
      <c r="U345" s="585"/>
      <c r="V345" s="585"/>
      <c r="W345" s="585"/>
      <c r="X345" s="585"/>
      <c r="Y345" s="585"/>
      <c r="Z345" s="585"/>
      <c r="AA345" s="585"/>
      <c r="AB345" s="585"/>
      <c r="AC345" s="585"/>
      <c r="AD345" s="585"/>
      <c r="AE345" s="585"/>
      <c r="AF345" s="585"/>
      <c r="AG345" s="585"/>
      <c r="AH345" s="585"/>
      <c r="AI345" s="585"/>
      <c r="AJ345" s="585"/>
      <c r="AK345" s="585"/>
      <c r="AL345" s="585"/>
      <c r="AM345" s="585"/>
      <c r="AN345" s="585"/>
      <c r="AO345" s="585"/>
      <c r="AP345" s="585"/>
      <c r="AQ345" s="585"/>
      <c r="AR345" s="585"/>
    </row>
    <row r="346">
      <c r="A346" s="621"/>
      <c r="B346" s="627" t="str">
        <f>IFERROR(__xludf.DUMMYFUNCTION("""COMPUTED_VALUE"""),"Feedback demo R1")</f>
        <v>Feedback demo R1</v>
      </c>
      <c r="C346" s="628"/>
      <c r="D346" s="602" t="str">
        <f>IFERROR(__xludf.DUMMYFUNCTION("""COMPUTED_VALUE"""),"BRAND")</f>
        <v>BRAND</v>
      </c>
      <c r="E346" s="624" t="str">
        <f>IFERROR(__xludf.DUMMYFUNCTION("""COMPUTED_VALUE"""),"Not start yet")</f>
        <v>Not start yet</v>
      </c>
      <c r="F346" s="604">
        <f>IFERROR(__xludf.DUMMYFUNCTION("""COMPUTED_VALUE"""),46160.0)</f>
        <v>46160</v>
      </c>
      <c r="G346" s="639">
        <f>IFERROR(__xludf.DUMMYFUNCTION("""COMPUTED_VALUE"""),46160.0)</f>
        <v>46160</v>
      </c>
      <c r="H346" s="585"/>
      <c r="I346" s="625"/>
      <c r="J346" s="630" t="s">
        <v>887</v>
      </c>
      <c r="K346" s="585"/>
      <c r="L346" s="585"/>
      <c r="M346" s="585"/>
      <c r="N346" s="585"/>
      <c r="O346" s="585"/>
      <c r="P346" s="585"/>
      <c r="Q346" s="585"/>
      <c r="R346" s="585"/>
      <c r="S346" s="585"/>
      <c r="T346" s="585"/>
      <c r="U346" s="585"/>
      <c r="V346" s="585"/>
      <c r="W346" s="585"/>
      <c r="X346" s="585"/>
      <c r="Y346" s="585"/>
      <c r="Z346" s="585"/>
      <c r="AA346" s="585"/>
      <c r="AB346" s="585"/>
      <c r="AC346" s="585"/>
      <c r="AD346" s="585"/>
      <c r="AE346" s="585"/>
      <c r="AF346" s="585"/>
      <c r="AG346" s="585"/>
      <c r="AH346" s="585"/>
      <c r="AI346" s="585"/>
      <c r="AJ346" s="585"/>
      <c r="AK346" s="585"/>
      <c r="AL346" s="585"/>
      <c r="AM346" s="585"/>
      <c r="AN346" s="585"/>
      <c r="AO346" s="585"/>
      <c r="AP346" s="585"/>
      <c r="AQ346" s="585"/>
      <c r="AR346" s="585"/>
    </row>
    <row r="347">
      <c r="A347" s="621"/>
      <c r="B347" s="633" t="str">
        <f>IFERROR(__xludf.DUMMYFUNCTION("""COMPUTED_VALUE"""),"Demo R2")</f>
        <v>Demo R2</v>
      </c>
      <c r="C347" s="628"/>
      <c r="D347" s="602" t="str">
        <f>IFERROR(__xludf.DUMMYFUNCTION("""COMPUTED_VALUE"""),"PMAX")</f>
        <v>PMAX</v>
      </c>
      <c r="E347" s="624" t="str">
        <f>IFERROR(__xludf.DUMMYFUNCTION("""COMPUTED_VALUE"""),"Not start yet")</f>
        <v>Not start yet</v>
      </c>
      <c r="F347" s="604">
        <f>IFERROR(__xludf.DUMMYFUNCTION("""COMPUTED_VALUE"""),46161.0)</f>
        <v>46161</v>
      </c>
      <c r="G347" s="639">
        <f>IFERROR(__xludf.DUMMYFUNCTION("""COMPUTED_VALUE"""),46163.0)</f>
        <v>46163</v>
      </c>
      <c r="H347" s="585"/>
      <c r="I347" s="625"/>
      <c r="J347" s="625"/>
      <c r="K347" s="585"/>
      <c r="L347" s="585"/>
      <c r="M347" s="585"/>
      <c r="N347" s="585"/>
      <c r="O347" s="585"/>
      <c r="P347" s="585"/>
      <c r="Q347" s="585"/>
      <c r="R347" s="585"/>
      <c r="S347" s="585"/>
      <c r="T347" s="585"/>
      <c r="U347" s="585"/>
      <c r="V347" s="585"/>
      <c r="W347" s="585"/>
      <c r="X347" s="585"/>
      <c r="Y347" s="585"/>
      <c r="Z347" s="585"/>
      <c r="AA347" s="585"/>
      <c r="AB347" s="585"/>
      <c r="AC347" s="585"/>
      <c r="AD347" s="585"/>
      <c r="AE347" s="585"/>
      <c r="AF347" s="585"/>
      <c r="AG347" s="585"/>
      <c r="AH347" s="585"/>
      <c r="AI347" s="585"/>
      <c r="AJ347" s="585"/>
      <c r="AK347" s="585"/>
      <c r="AL347" s="585"/>
      <c r="AM347" s="585"/>
      <c r="AN347" s="585"/>
      <c r="AO347" s="585"/>
      <c r="AP347" s="585"/>
      <c r="AQ347" s="585"/>
      <c r="AR347" s="585"/>
    </row>
    <row r="348">
      <c r="A348" s="621"/>
      <c r="B348" s="627" t="str">
        <f>IFERROR(__xludf.DUMMYFUNCTION("""COMPUTED_VALUE"""),"Feedback demo R2")</f>
        <v>Feedback demo R2</v>
      </c>
      <c r="C348" s="628"/>
      <c r="D348" s="602" t="str">
        <f>IFERROR(__xludf.DUMMYFUNCTION("""COMPUTED_VALUE"""),"BRAND")</f>
        <v>BRAND</v>
      </c>
      <c r="E348" s="624" t="str">
        <f>IFERROR(__xludf.DUMMYFUNCTION("""COMPUTED_VALUE"""),"Not start yet")</f>
        <v>Not start yet</v>
      </c>
      <c r="F348" s="604">
        <f>IFERROR(__xludf.DUMMYFUNCTION("""COMPUTED_VALUE"""),46164.0)</f>
        <v>46164</v>
      </c>
      <c r="G348" s="639">
        <f>IFERROR(__xludf.DUMMYFUNCTION("""COMPUTED_VALUE"""),46164.0)</f>
        <v>46164</v>
      </c>
      <c r="H348" s="585"/>
      <c r="I348" s="625"/>
      <c r="J348" s="625"/>
      <c r="K348" s="585"/>
      <c r="L348" s="585"/>
      <c r="M348" s="585"/>
      <c r="N348" s="585"/>
      <c r="O348" s="585"/>
      <c r="P348" s="585"/>
      <c r="Q348" s="585"/>
      <c r="R348" s="585"/>
      <c r="S348" s="585"/>
      <c r="T348" s="585"/>
      <c r="U348" s="585"/>
      <c r="V348" s="585"/>
      <c r="W348" s="585"/>
      <c r="X348" s="585"/>
      <c r="Y348" s="585"/>
      <c r="Z348" s="585"/>
      <c r="AA348" s="585"/>
      <c r="AB348" s="585"/>
      <c r="AC348" s="585"/>
      <c r="AD348" s="585"/>
      <c r="AE348" s="585"/>
      <c r="AF348" s="585"/>
      <c r="AG348" s="585"/>
      <c r="AH348" s="585"/>
      <c r="AI348" s="585"/>
      <c r="AJ348" s="585"/>
      <c r="AK348" s="585"/>
      <c r="AL348" s="585"/>
      <c r="AM348" s="585"/>
      <c r="AN348" s="585"/>
      <c r="AO348" s="585"/>
      <c r="AP348" s="585"/>
      <c r="AQ348" s="585"/>
      <c r="AR348" s="585"/>
    </row>
    <row r="349">
      <c r="A349" s="621"/>
      <c r="B349" s="627" t="str">
        <f>IFERROR(__xludf.DUMMYFUNCTION("""COMPUTED_VALUE"""),"Finalize demo")</f>
        <v>Finalize demo</v>
      </c>
      <c r="C349" s="628"/>
      <c r="D349" s="602" t="str">
        <f>IFERROR(__xludf.DUMMYFUNCTION("""COMPUTED_VALUE"""),"PMAX")</f>
        <v>PMAX</v>
      </c>
      <c r="E349" s="624" t="str">
        <f>IFERROR(__xludf.DUMMYFUNCTION("""COMPUTED_VALUE"""),"Not start yet")</f>
        <v>Not start yet</v>
      </c>
      <c r="F349" s="604">
        <f>IFERROR(__xludf.DUMMYFUNCTION("""COMPUTED_VALUE"""),46164.0)</f>
        <v>46164</v>
      </c>
      <c r="G349" s="639">
        <f>IFERROR(__xludf.DUMMYFUNCTION("""COMPUTED_VALUE"""),46164.0)</f>
        <v>46164</v>
      </c>
      <c r="H349" s="585"/>
      <c r="I349" s="629">
        <v>1.0</v>
      </c>
      <c r="J349" s="630" t="s">
        <v>888</v>
      </c>
      <c r="K349" s="585"/>
      <c r="L349" s="585"/>
      <c r="M349" s="585"/>
      <c r="N349" s="585"/>
      <c r="O349" s="585"/>
      <c r="P349" s="585"/>
      <c r="Q349" s="585"/>
      <c r="R349" s="585"/>
      <c r="S349" s="585"/>
      <c r="T349" s="585"/>
      <c r="U349" s="585"/>
      <c r="V349" s="585"/>
      <c r="W349" s="585"/>
      <c r="X349" s="585"/>
      <c r="Y349" s="585"/>
      <c r="Z349" s="585"/>
      <c r="AA349" s="585"/>
      <c r="AB349" s="585"/>
      <c r="AC349" s="585"/>
      <c r="AD349" s="585"/>
      <c r="AE349" s="585"/>
      <c r="AF349" s="585"/>
      <c r="AG349" s="585"/>
      <c r="AH349" s="585"/>
      <c r="AI349" s="585"/>
      <c r="AJ349" s="585"/>
      <c r="AK349" s="585"/>
      <c r="AL349" s="585"/>
      <c r="AM349" s="585"/>
      <c r="AN349" s="585"/>
      <c r="AO349" s="585"/>
      <c r="AP349" s="585"/>
      <c r="AQ349" s="585"/>
      <c r="AR349" s="585"/>
    </row>
    <row r="350">
      <c r="A350" s="621"/>
      <c r="B350" s="634" t="str">
        <f>IFERROR(__xludf.DUMMYFUNCTION("""COMPUTED_VALUE"""),"Air")</f>
        <v>Air</v>
      </c>
      <c r="C350" s="26"/>
      <c r="D350" s="602" t="str">
        <f>IFERROR(__xludf.DUMMYFUNCTION("""COMPUTED_VALUE"""),"PMAX")</f>
        <v>PMAX</v>
      </c>
      <c r="E350" s="624" t="str">
        <f>IFERROR(__xludf.DUMMYFUNCTION("""COMPUTED_VALUE"""),"Not start yet")</f>
        <v>Not start yet</v>
      </c>
      <c r="F350" s="604" t="str">
        <f>IFERROR(__xludf.DUMMYFUNCTION("""COMPUTED_VALUE"""),"TBU")</f>
        <v>TBU</v>
      </c>
      <c r="G350" s="639" t="str">
        <f>IFERROR(__xludf.DUMMYFUNCTION("""COMPUTED_VALUE"""),"TBU")</f>
        <v>TBU</v>
      </c>
      <c r="H350" s="585"/>
      <c r="I350" s="636">
        <v>1.0</v>
      </c>
      <c r="J350" s="585"/>
      <c r="K350" s="585"/>
      <c r="L350" s="585"/>
      <c r="M350" s="585"/>
      <c r="N350" s="585"/>
      <c r="O350" s="585"/>
      <c r="P350" s="585"/>
      <c r="Q350" s="585"/>
      <c r="R350" s="585"/>
      <c r="S350" s="585"/>
      <c r="T350" s="585"/>
      <c r="U350" s="585"/>
      <c r="V350" s="585"/>
      <c r="W350" s="585"/>
      <c r="X350" s="585"/>
      <c r="Y350" s="585"/>
      <c r="Z350" s="585"/>
      <c r="AA350" s="585"/>
      <c r="AB350" s="585"/>
      <c r="AC350" s="585"/>
      <c r="AD350" s="585"/>
      <c r="AE350" s="585"/>
      <c r="AF350" s="585"/>
      <c r="AG350" s="585"/>
      <c r="AH350" s="585"/>
      <c r="AI350" s="585"/>
      <c r="AJ350" s="585"/>
      <c r="AK350" s="585"/>
      <c r="AL350" s="585"/>
      <c r="AM350" s="585"/>
      <c r="AN350" s="585"/>
      <c r="AO350" s="585"/>
      <c r="AP350" s="585"/>
      <c r="AQ350" s="585"/>
      <c r="AR350" s="585"/>
    </row>
    <row r="351">
      <c r="A351" s="637">
        <f>IFERROR(__xludf.DUMMYFUNCTION("""COMPUTED_VALUE"""),24.0)</f>
        <v>24</v>
      </c>
      <c r="B351" s="616" t="str">
        <f>IFERROR(__xludf.DUMMYFUNCTION("""COMPUTED_VALUE"""),"Nguyễn Ly")</f>
        <v>Nguyễn Ly</v>
      </c>
      <c r="C351" s="617"/>
      <c r="D351" s="618"/>
      <c r="E351" s="619"/>
      <c r="F351" s="619"/>
      <c r="G351" s="619"/>
      <c r="H351" s="585"/>
      <c r="I351" s="585"/>
      <c r="J351" s="585"/>
      <c r="K351" s="585"/>
      <c r="L351" s="585"/>
      <c r="M351" s="585"/>
      <c r="N351" s="585"/>
      <c r="O351" s="585"/>
      <c r="P351" s="585"/>
      <c r="Q351" s="585"/>
      <c r="R351" s="585"/>
      <c r="S351" s="585"/>
      <c r="T351" s="585"/>
      <c r="U351" s="585"/>
      <c r="V351" s="585"/>
      <c r="W351" s="585"/>
      <c r="X351" s="585"/>
      <c r="Y351" s="585"/>
      <c r="Z351" s="585"/>
      <c r="AA351" s="585"/>
      <c r="AB351" s="585"/>
      <c r="AC351" s="585"/>
      <c r="AD351" s="585"/>
      <c r="AE351" s="585"/>
      <c r="AF351" s="585"/>
      <c r="AG351" s="585"/>
      <c r="AH351" s="585"/>
      <c r="AI351" s="585"/>
      <c r="AJ351" s="585"/>
      <c r="AK351" s="585"/>
      <c r="AL351" s="585"/>
      <c r="AM351" s="585"/>
      <c r="AN351" s="585"/>
      <c r="AO351" s="585"/>
      <c r="AP351" s="585"/>
      <c r="AQ351" s="585"/>
      <c r="AR351" s="585"/>
    </row>
    <row r="352">
      <c r="A352" s="621"/>
      <c r="B352" s="622" t="str">
        <f>IFERROR(__xludf.DUMMYFUNCTION("""COMPUTED_VALUE"""),"Briefing cho Influencer")</f>
        <v>Briefing cho Influencer</v>
      </c>
      <c r="C352" s="623"/>
      <c r="D352" s="602" t="str">
        <f>IFERROR(__xludf.DUMMYFUNCTION("""COMPUTED_VALUE"""),"PMAX")</f>
        <v>PMAX</v>
      </c>
      <c r="E352" s="624" t="str">
        <f>IFERROR(__xludf.DUMMYFUNCTION("""COMPUTED_VALUE"""),"Not start yet")</f>
        <v>Not start yet</v>
      </c>
      <c r="F352" s="604">
        <f>IFERROR(__xludf.DUMMYFUNCTION("""COMPUTED_VALUE"""),46147.0)</f>
        <v>46147</v>
      </c>
      <c r="G352" s="639">
        <f>IFERROR(__xludf.DUMMYFUNCTION("""COMPUTED_VALUE"""),46148.0)</f>
        <v>46148</v>
      </c>
      <c r="H352" s="585"/>
      <c r="I352" s="625"/>
      <c r="J352" s="626" t="s">
        <v>882</v>
      </c>
      <c r="K352" s="585"/>
      <c r="L352" s="585"/>
      <c r="M352" s="585"/>
      <c r="N352" s="585"/>
      <c r="O352" s="585"/>
      <c r="P352" s="585"/>
      <c r="Q352" s="585"/>
      <c r="R352" s="585"/>
      <c r="S352" s="585"/>
      <c r="T352" s="585"/>
      <c r="U352" s="585"/>
      <c r="V352" s="585"/>
      <c r="W352" s="585"/>
      <c r="X352" s="585"/>
      <c r="Y352" s="585"/>
      <c r="Z352" s="585"/>
      <c r="AA352" s="585"/>
      <c r="AB352" s="585"/>
      <c r="AC352" s="585"/>
      <c r="AD352" s="585"/>
      <c r="AE352" s="585"/>
      <c r="AF352" s="585"/>
      <c r="AG352" s="585"/>
      <c r="AH352" s="585"/>
      <c r="AI352" s="585"/>
      <c r="AJ352" s="585"/>
      <c r="AK352" s="585"/>
      <c r="AL352" s="585"/>
      <c r="AM352" s="585"/>
      <c r="AN352" s="585"/>
      <c r="AO352" s="585"/>
      <c r="AP352" s="585"/>
      <c r="AQ352" s="585"/>
      <c r="AR352" s="585"/>
    </row>
    <row r="353">
      <c r="A353" s="621"/>
      <c r="B353" s="627" t="str">
        <f>IFERROR(__xludf.DUMMYFUNCTION("""COMPUTED_VALUE"""),"Script R1 + Outfits")</f>
        <v>Script R1 + Outfits</v>
      </c>
      <c r="C353" s="628"/>
      <c r="D353" s="602" t="str">
        <f>IFERROR(__xludf.DUMMYFUNCTION("""COMPUTED_VALUE"""),"PMAX")</f>
        <v>PMAX</v>
      </c>
      <c r="E353" s="624" t="str">
        <f>IFERROR(__xludf.DUMMYFUNCTION("""COMPUTED_VALUE"""),"Not start yet")</f>
        <v>Not start yet</v>
      </c>
      <c r="F353" s="604">
        <f>IFERROR(__xludf.DUMMYFUNCTION("""COMPUTED_VALUE"""),46148.0)</f>
        <v>46148</v>
      </c>
      <c r="G353" s="639">
        <f>IFERROR(__xludf.DUMMYFUNCTION("""COMPUTED_VALUE"""),46150.0)</f>
        <v>46150</v>
      </c>
      <c r="H353" s="585"/>
      <c r="I353" s="629">
        <v>1.0</v>
      </c>
      <c r="J353" s="630" t="s">
        <v>883</v>
      </c>
      <c r="K353" s="585"/>
      <c r="L353" s="585"/>
      <c r="M353" s="585"/>
      <c r="N353" s="585"/>
      <c r="O353" s="585"/>
      <c r="P353" s="585"/>
      <c r="Q353" s="585"/>
      <c r="R353" s="585"/>
      <c r="S353" s="585"/>
      <c r="T353" s="585"/>
      <c r="U353" s="585"/>
      <c r="V353" s="585"/>
      <c r="W353" s="585"/>
      <c r="X353" s="585"/>
      <c r="Y353" s="585"/>
      <c r="Z353" s="585"/>
      <c r="AA353" s="585"/>
      <c r="AB353" s="585"/>
      <c r="AC353" s="585"/>
      <c r="AD353" s="585"/>
      <c r="AE353" s="585"/>
      <c r="AF353" s="585"/>
      <c r="AG353" s="585"/>
      <c r="AH353" s="585"/>
      <c r="AI353" s="585"/>
      <c r="AJ353" s="585"/>
      <c r="AK353" s="585"/>
      <c r="AL353" s="585"/>
      <c r="AM353" s="585"/>
      <c r="AN353" s="585"/>
      <c r="AO353" s="585"/>
      <c r="AP353" s="585"/>
      <c r="AQ353" s="585"/>
      <c r="AR353" s="585"/>
    </row>
    <row r="354">
      <c r="A354" s="621"/>
      <c r="B354" s="627" t="str">
        <f>IFERROR(__xludf.DUMMYFUNCTION("""COMPUTED_VALUE"""),"Feedback Script R1 + outfits")</f>
        <v>Feedback Script R1 + outfits</v>
      </c>
      <c r="C354" s="628"/>
      <c r="D354" s="602" t="str">
        <f>IFERROR(__xludf.DUMMYFUNCTION("""COMPUTED_VALUE"""),"BRAND")</f>
        <v>BRAND</v>
      </c>
      <c r="E354" s="624" t="str">
        <f>IFERROR(__xludf.DUMMYFUNCTION("""COMPUTED_VALUE"""),"Not start yet")</f>
        <v>Not start yet</v>
      </c>
      <c r="F354" s="604">
        <f>IFERROR(__xludf.DUMMYFUNCTION("""COMPUTED_VALUE"""),46150.0)</f>
        <v>46150</v>
      </c>
      <c r="G354" s="639">
        <f>IFERROR(__xludf.DUMMYFUNCTION("""COMPUTED_VALUE"""),46150.0)</f>
        <v>46150</v>
      </c>
      <c r="H354" s="585"/>
      <c r="I354" s="625"/>
      <c r="J354" s="630" t="s">
        <v>884</v>
      </c>
      <c r="K354" s="585"/>
      <c r="L354" s="585"/>
      <c r="M354" s="585"/>
      <c r="N354" s="585"/>
      <c r="O354" s="585"/>
      <c r="P354" s="585"/>
      <c r="Q354" s="585"/>
      <c r="R354" s="585"/>
      <c r="S354" s="585"/>
      <c r="T354" s="585"/>
      <c r="U354" s="585"/>
      <c r="V354" s="585"/>
      <c r="W354" s="585"/>
      <c r="X354" s="585"/>
      <c r="Y354" s="585"/>
      <c r="Z354" s="585"/>
      <c r="AA354" s="585"/>
      <c r="AB354" s="585"/>
      <c r="AC354" s="585"/>
      <c r="AD354" s="585"/>
      <c r="AE354" s="585"/>
      <c r="AF354" s="585"/>
      <c r="AG354" s="585"/>
      <c r="AH354" s="585"/>
      <c r="AI354" s="585"/>
      <c r="AJ354" s="585"/>
      <c r="AK354" s="585"/>
      <c r="AL354" s="585"/>
      <c r="AM354" s="585"/>
      <c r="AN354" s="585"/>
      <c r="AO354" s="585"/>
      <c r="AP354" s="585"/>
      <c r="AQ354" s="585"/>
      <c r="AR354" s="585"/>
    </row>
    <row r="355">
      <c r="A355" s="621"/>
      <c r="B355" s="631" t="str">
        <f>IFERROR(__xludf.DUMMYFUNCTION("""COMPUTED_VALUE"""),"Script R2")</f>
        <v>Script R2</v>
      </c>
      <c r="C355" s="628"/>
      <c r="D355" s="632" t="str">
        <f>IFERROR(__xludf.DUMMYFUNCTION("""COMPUTED_VALUE"""),"PMAX")</f>
        <v>PMAX</v>
      </c>
      <c r="E355" s="624" t="str">
        <f>IFERROR(__xludf.DUMMYFUNCTION("""COMPUTED_VALUE"""),"Not start yet")</f>
        <v>Not start yet</v>
      </c>
      <c r="F355" s="604">
        <f>IFERROR(__xludf.DUMMYFUNCTION("""COMPUTED_VALUE"""),46151.0)</f>
        <v>46151</v>
      </c>
      <c r="G355" s="639">
        <f>IFERROR(__xludf.DUMMYFUNCTION("""COMPUTED_VALUE"""),46152.0)</f>
        <v>46152</v>
      </c>
      <c r="H355" s="585"/>
      <c r="I355" s="625"/>
      <c r="J355" s="630"/>
      <c r="K355" s="585"/>
      <c r="L355" s="585"/>
      <c r="M355" s="585"/>
      <c r="N355" s="585"/>
      <c r="O355" s="585"/>
      <c r="P355" s="585"/>
      <c r="Q355" s="585"/>
      <c r="R355" s="585"/>
      <c r="S355" s="585"/>
      <c r="T355" s="585"/>
      <c r="U355" s="585"/>
      <c r="V355" s="585"/>
      <c r="W355" s="585"/>
      <c r="X355" s="585"/>
      <c r="Y355" s="585"/>
      <c r="Z355" s="585"/>
      <c r="AA355" s="585"/>
      <c r="AB355" s="585"/>
      <c r="AC355" s="585"/>
      <c r="AD355" s="585"/>
      <c r="AE355" s="585"/>
      <c r="AF355" s="585"/>
      <c r="AG355" s="585"/>
      <c r="AH355" s="585"/>
      <c r="AI355" s="585"/>
      <c r="AJ355" s="585"/>
      <c r="AK355" s="585"/>
      <c r="AL355" s="585"/>
      <c r="AM355" s="585"/>
      <c r="AN355" s="585"/>
      <c r="AO355" s="585"/>
      <c r="AP355" s="585"/>
      <c r="AQ355" s="585"/>
      <c r="AR355" s="585"/>
    </row>
    <row r="356">
      <c r="A356" s="621"/>
      <c r="B356" s="631" t="str">
        <f>IFERROR(__xludf.DUMMYFUNCTION("""COMPUTED_VALUE"""),"Feedback Script R2")</f>
        <v>Feedback Script R2</v>
      </c>
      <c r="C356" s="628"/>
      <c r="D356" s="632" t="str">
        <f>IFERROR(__xludf.DUMMYFUNCTION("""COMPUTED_VALUE"""),"BRAND")</f>
        <v>BRAND</v>
      </c>
      <c r="E356" s="624" t="str">
        <f>IFERROR(__xludf.DUMMYFUNCTION("""COMPUTED_VALUE"""),"Not start yet")</f>
        <v>Not start yet</v>
      </c>
      <c r="F356" s="604">
        <f>IFERROR(__xludf.DUMMYFUNCTION("""COMPUTED_VALUE"""),46153.0)</f>
        <v>46153</v>
      </c>
      <c r="G356" s="639">
        <f>IFERROR(__xludf.DUMMYFUNCTION("""COMPUTED_VALUE"""),46153.0)</f>
        <v>46153</v>
      </c>
      <c r="H356" s="585"/>
      <c r="I356" s="625"/>
      <c r="J356" s="630"/>
      <c r="K356" s="585"/>
      <c r="L356" s="585"/>
      <c r="M356" s="585"/>
      <c r="N356" s="585"/>
      <c r="O356" s="585"/>
      <c r="P356" s="585"/>
      <c r="Q356" s="585"/>
      <c r="R356" s="585"/>
      <c r="S356" s="585"/>
      <c r="T356" s="585"/>
      <c r="U356" s="585"/>
      <c r="V356" s="585"/>
      <c r="W356" s="585"/>
      <c r="X356" s="585"/>
      <c r="Y356" s="585"/>
      <c r="Z356" s="585"/>
      <c r="AA356" s="585"/>
      <c r="AB356" s="585"/>
      <c r="AC356" s="585"/>
      <c r="AD356" s="585"/>
      <c r="AE356" s="585"/>
      <c r="AF356" s="585"/>
      <c r="AG356" s="585"/>
      <c r="AH356" s="585"/>
      <c r="AI356" s="585"/>
      <c r="AJ356" s="585"/>
      <c r="AK356" s="585"/>
      <c r="AL356" s="585"/>
      <c r="AM356" s="585"/>
      <c r="AN356" s="585"/>
      <c r="AO356" s="585"/>
      <c r="AP356" s="585"/>
      <c r="AQ356" s="585"/>
      <c r="AR356" s="585"/>
    </row>
    <row r="357">
      <c r="A357" s="621"/>
      <c r="B357" s="627" t="str">
        <f>IFERROR(__xludf.DUMMYFUNCTION("""COMPUTED_VALUE"""),"Finalize scripts + outfits")</f>
        <v>Finalize scripts + outfits</v>
      </c>
      <c r="C357" s="628"/>
      <c r="D357" s="602" t="str">
        <f>IFERROR(__xludf.DUMMYFUNCTION("""COMPUTED_VALUE"""),"PMAX-BRAND")</f>
        <v>PMAX-BRAND</v>
      </c>
      <c r="E357" s="624" t="str">
        <f>IFERROR(__xludf.DUMMYFUNCTION("""COMPUTED_VALUE"""),"Not start yet")</f>
        <v>Not start yet</v>
      </c>
      <c r="F357" s="604">
        <f>IFERROR(__xludf.DUMMYFUNCTION("""COMPUTED_VALUE"""),46153.0)</f>
        <v>46153</v>
      </c>
      <c r="G357" s="639">
        <f>IFERROR(__xludf.DUMMYFUNCTION("""COMPUTED_VALUE"""),46153.0)</f>
        <v>46153</v>
      </c>
      <c r="H357" s="585"/>
      <c r="I357" s="629">
        <v>1.0</v>
      </c>
      <c r="J357" s="630" t="s">
        <v>885</v>
      </c>
      <c r="K357" s="585"/>
      <c r="L357" s="585"/>
      <c r="M357" s="585"/>
      <c r="N357" s="585"/>
      <c r="O357" s="585"/>
      <c r="P357" s="585"/>
      <c r="Q357" s="585"/>
      <c r="R357" s="585"/>
      <c r="S357" s="585"/>
      <c r="T357" s="585"/>
      <c r="U357" s="585"/>
      <c r="V357" s="585"/>
      <c r="W357" s="585"/>
      <c r="X357" s="585"/>
      <c r="Y357" s="585"/>
      <c r="Z357" s="585"/>
      <c r="AA357" s="585"/>
      <c r="AB357" s="585"/>
      <c r="AC357" s="585"/>
      <c r="AD357" s="585"/>
      <c r="AE357" s="585"/>
      <c r="AF357" s="585"/>
      <c r="AG357" s="585"/>
      <c r="AH357" s="585"/>
      <c r="AI357" s="585"/>
      <c r="AJ357" s="585"/>
      <c r="AK357" s="585"/>
      <c r="AL357" s="585"/>
      <c r="AM357" s="585"/>
      <c r="AN357" s="585"/>
      <c r="AO357" s="585"/>
      <c r="AP357" s="585"/>
      <c r="AQ357" s="585"/>
      <c r="AR357" s="585"/>
    </row>
    <row r="358">
      <c r="A358" s="621"/>
      <c r="B358" s="627" t="str">
        <f>IFERROR(__xludf.DUMMYFUNCTION("""COMPUTED_VALUE"""),"Đi quay tại site")</f>
        <v>Đi quay tại site</v>
      </c>
      <c r="C358" s="628"/>
      <c r="D358" s="602" t="str">
        <f>IFERROR(__xludf.DUMMYFUNCTION("""COMPUTED_VALUE"""),"PMAX")</f>
        <v>PMAX</v>
      </c>
      <c r="E358" s="624" t="str">
        <f>IFERROR(__xludf.DUMMYFUNCTION("""COMPUTED_VALUE"""),"Not start yet")</f>
        <v>Not start yet</v>
      </c>
      <c r="F358" s="604">
        <f>IFERROR(__xludf.DUMMYFUNCTION("""COMPUTED_VALUE"""),46154.0)</f>
        <v>46154</v>
      </c>
      <c r="G358" s="639">
        <f>IFERROR(__xludf.DUMMYFUNCTION("""COMPUTED_VALUE"""),46156.0)</f>
        <v>46156</v>
      </c>
      <c r="H358" s="585"/>
      <c r="I358" s="629">
        <v>2.0</v>
      </c>
      <c r="J358" s="625"/>
      <c r="K358" s="585"/>
      <c r="L358" s="585"/>
      <c r="M358" s="585"/>
      <c r="N358" s="585"/>
      <c r="O358" s="585"/>
      <c r="P358" s="585"/>
      <c r="Q358" s="585"/>
      <c r="R358" s="585"/>
      <c r="S358" s="585"/>
      <c r="T358" s="585"/>
      <c r="U358" s="585"/>
      <c r="V358" s="585"/>
      <c r="W358" s="585"/>
      <c r="X358" s="585"/>
      <c r="Y358" s="585"/>
      <c r="Z358" s="585"/>
      <c r="AA358" s="585"/>
      <c r="AB358" s="585"/>
      <c r="AC358" s="585"/>
      <c r="AD358" s="585"/>
      <c r="AE358" s="585"/>
      <c r="AF358" s="585"/>
      <c r="AG358" s="585"/>
      <c r="AH358" s="585"/>
      <c r="AI358" s="585"/>
      <c r="AJ358" s="585"/>
      <c r="AK358" s="585"/>
      <c r="AL358" s="585"/>
      <c r="AM358" s="585"/>
      <c r="AN358" s="585"/>
      <c r="AO358" s="585"/>
      <c r="AP358" s="585"/>
      <c r="AQ358" s="585"/>
      <c r="AR358" s="585"/>
    </row>
    <row r="359">
      <c r="A359" s="621"/>
      <c r="B359" s="633" t="str">
        <f>IFERROR(__xludf.DUMMYFUNCTION("""COMPUTED_VALUE"""),"Demo R1")</f>
        <v>Demo R1</v>
      </c>
      <c r="C359" s="628"/>
      <c r="D359" s="602" t="str">
        <f>IFERROR(__xludf.DUMMYFUNCTION("""COMPUTED_VALUE"""),"PMAX")</f>
        <v>PMAX</v>
      </c>
      <c r="E359" s="624" t="str">
        <f>IFERROR(__xludf.DUMMYFUNCTION("""COMPUTED_VALUE"""),"Not start yet")</f>
        <v>Not start yet</v>
      </c>
      <c r="F359" s="604">
        <f>IFERROR(__xludf.DUMMYFUNCTION("""COMPUTED_VALUE"""),46156.0)</f>
        <v>46156</v>
      </c>
      <c r="G359" s="639">
        <f>IFERROR(__xludf.DUMMYFUNCTION("""COMPUTED_VALUE"""),46159.0)</f>
        <v>46159</v>
      </c>
      <c r="H359" s="585"/>
      <c r="I359" s="629">
        <v>4.0</v>
      </c>
      <c r="J359" s="630" t="s">
        <v>886</v>
      </c>
      <c r="K359" s="585"/>
      <c r="L359" s="585"/>
      <c r="M359" s="585"/>
      <c r="N359" s="585"/>
      <c r="O359" s="585"/>
      <c r="P359" s="585"/>
      <c r="Q359" s="585"/>
      <c r="R359" s="585"/>
      <c r="S359" s="585"/>
      <c r="T359" s="585"/>
      <c r="U359" s="585"/>
      <c r="V359" s="585"/>
      <c r="W359" s="585"/>
      <c r="X359" s="585"/>
      <c r="Y359" s="585"/>
      <c r="Z359" s="585"/>
      <c r="AA359" s="585"/>
      <c r="AB359" s="585"/>
      <c r="AC359" s="585"/>
      <c r="AD359" s="585"/>
      <c r="AE359" s="585"/>
      <c r="AF359" s="585"/>
      <c r="AG359" s="585"/>
      <c r="AH359" s="585"/>
      <c r="AI359" s="585"/>
      <c r="AJ359" s="585"/>
      <c r="AK359" s="585"/>
      <c r="AL359" s="585"/>
      <c r="AM359" s="585"/>
      <c r="AN359" s="585"/>
      <c r="AO359" s="585"/>
      <c r="AP359" s="585"/>
      <c r="AQ359" s="585"/>
      <c r="AR359" s="585"/>
    </row>
    <row r="360">
      <c r="A360" s="621"/>
      <c r="B360" s="627" t="str">
        <f>IFERROR(__xludf.DUMMYFUNCTION("""COMPUTED_VALUE"""),"Feedback demo R1")</f>
        <v>Feedback demo R1</v>
      </c>
      <c r="C360" s="628"/>
      <c r="D360" s="602" t="str">
        <f>IFERROR(__xludf.DUMMYFUNCTION("""COMPUTED_VALUE"""),"BRAND")</f>
        <v>BRAND</v>
      </c>
      <c r="E360" s="624" t="str">
        <f>IFERROR(__xludf.DUMMYFUNCTION("""COMPUTED_VALUE"""),"Not start yet")</f>
        <v>Not start yet</v>
      </c>
      <c r="F360" s="604">
        <f>IFERROR(__xludf.DUMMYFUNCTION("""COMPUTED_VALUE"""),46160.0)</f>
        <v>46160</v>
      </c>
      <c r="G360" s="639">
        <f>IFERROR(__xludf.DUMMYFUNCTION("""COMPUTED_VALUE"""),46160.0)</f>
        <v>46160</v>
      </c>
      <c r="H360" s="585"/>
      <c r="I360" s="625"/>
      <c r="J360" s="630" t="s">
        <v>887</v>
      </c>
      <c r="K360" s="585"/>
      <c r="L360" s="585"/>
      <c r="M360" s="585"/>
      <c r="N360" s="585"/>
      <c r="O360" s="585"/>
      <c r="P360" s="585"/>
      <c r="Q360" s="585"/>
      <c r="R360" s="585"/>
      <c r="S360" s="585"/>
      <c r="T360" s="585"/>
      <c r="U360" s="585"/>
      <c r="V360" s="585"/>
      <c r="W360" s="585"/>
      <c r="X360" s="585"/>
      <c r="Y360" s="585"/>
      <c r="Z360" s="585"/>
      <c r="AA360" s="585"/>
      <c r="AB360" s="585"/>
      <c r="AC360" s="585"/>
      <c r="AD360" s="585"/>
      <c r="AE360" s="585"/>
      <c r="AF360" s="585"/>
      <c r="AG360" s="585"/>
      <c r="AH360" s="585"/>
      <c r="AI360" s="585"/>
      <c r="AJ360" s="585"/>
      <c r="AK360" s="585"/>
      <c r="AL360" s="585"/>
      <c r="AM360" s="585"/>
      <c r="AN360" s="585"/>
      <c r="AO360" s="585"/>
      <c r="AP360" s="585"/>
      <c r="AQ360" s="585"/>
      <c r="AR360" s="585"/>
    </row>
    <row r="361">
      <c r="A361" s="621"/>
      <c r="B361" s="633" t="str">
        <f>IFERROR(__xludf.DUMMYFUNCTION("""COMPUTED_VALUE"""),"Demo R2")</f>
        <v>Demo R2</v>
      </c>
      <c r="C361" s="628"/>
      <c r="D361" s="602" t="str">
        <f>IFERROR(__xludf.DUMMYFUNCTION("""COMPUTED_VALUE"""),"PMAX")</f>
        <v>PMAX</v>
      </c>
      <c r="E361" s="624" t="str">
        <f>IFERROR(__xludf.DUMMYFUNCTION("""COMPUTED_VALUE"""),"Not start yet")</f>
        <v>Not start yet</v>
      </c>
      <c r="F361" s="604">
        <f>IFERROR(__xludf.DUMMYFUNCTION("""COMPUTED_VALUE"""),46161.0)</f>
        <v>46161</v>
      </c>
      <c r="G361" s="639">
        <f>IFERROR(__xludf.DUMMYFUNCTION("""COMPUTED_VALUE"""),46163.0)</f>
        <v>46163</v>
      </c>
      <c r="H361" s="585"/>
      <c r="I361" s="625"/>
      <c r="J361" s="625"/>
      <c r="K361" s="585"/>
      <c r="L361" s="585"/>
      <c r="M361" s="585"/>
      <c r="N361" s="585"/>
      <c r="O361" s="585"/>
      <c r="P361" s="585"/>
      <c r="Q361" s="585"/>
      <c r="R361" s="585"/>
      <c r="S361" s="585"/>
      <c r="T361" s="585"/>
      <c r="U361" s="585"/>
      <c r="V361" s="585"/>
      <c r="W361" s="585"/>
      <c r="X361" s="585"/>
      <c r="Y361" s="585"/>
      <c r="Z361" s="585"/>
      <c r="AA361" s="585"/>
      <c r="AB361" s="585"/>
      <c r="AC361" s="585"/>
      <c r="AD361" s="585"/>
      <c r="AE361" s="585"/>
      <c r="AF361" s="585"/>
      <c r="AG361" s="585"/>
      <c r="AH361" s="585"/>
      <c r="AI361" s="585"/>
      <c r="AJ361" s="585"/>
      <c r="AK361" s="585"/>
      <c r="AL361" s="585"/>
      <c r="AM361" s="585"/>
      <c r="AN361" s="585"/>
      <c r="AO361" s="585"/>
      <c r="AP361" s="585"/>
      <c r="AQ361" s="585"/>
      <c r="AR361" s="585"/>
    </row>
    <row r="362">
      <c r="A362" s="621"/>
      <c r="B362" s="627" t="str">
        <f>IFERROR(__xludf.DUMMYFUNCTION("""COMPUTED_VALUE"""),"Feedback demo R2")</f>
        <v>Feedback demo R2</v>
      </c>
      <c r="C362" s="628"/>
      <c r="D362" s="602" t="str">
        <f>IFERROR(__xludf.DUMMYFUNCTION("""COMPUTED_VALUE"""),"BRAND")</f>
        <v>BRAND</v>
      </c>
      <c r="E362" s="624" t="str">
        <f>IFERROR(__xludf.DUMMYFUNCTION("""COMPUTED_VALUE"""),"Not start yet")</f>
        <v>Not start yet</v>
      </c>
      <c r="F362" s="604">
        <f>IFERROR(__xludf.DUMMYFUNCTION("""COMPUTED_VALUE"""),46164.0)</f>
        <v>46164</v>
      </c>
      <c r="G362" s="639">
        <f>IFERROR(__xludf.DUMMYFUNCTION("""COMPUTED_VALUE"""),46164.0)</f>
        <v>46164</v>
      </c>
      <c r="H362" s="585"/>
      <c r="I362" s="625"/>
      <c r="J362" s="625"/>
      <c r="K362" s="585"/>
      <c r="L362" s="585"/>
      <c r="M362" s="585"/>
      <c r="N362" s="585"/>
      <c r="O362" s="585"/>
      <c r="P362" s="585"/>
      <c r="Q362" s="585"/>
      <c r="R362" s="585"/>
      <c r="S362" s="585"/>
      <c r="T362" s="585"/>
      <c r="U362" s="585"/>
      <c r="V362" s="585"/>
      <c r="W362" s="585"/>
      <c r="X362" s="585"/>
      <c r="Y362" s="585"/>
      <c r="Z362" s="585"/>
      <c r="AA362" s="585"/>
      <c r="AB362" s="585"/>
      <c r="AC362" s="585"/>
      <c r="AD362" s="585"/>
      <c r="AE362" s="585"/>
      <c r="AF362" s="585"/>
      <c r="AG362" s="585"/>
      <c r="AH362" s="585"/>
      <c r="AI362" s="585"/>
      <c r="AJ362" s="585"/>
      <c r="AK362" s="585"/>
      <c r="AL362" s="585"/>
      <c r="AM362" s="585"/>
      <c r="AN362" s="585"/>
      <c r="AO362" s="585"/>
      <c r="AP362" s="585"/>
      <c r="AQ362" s="585"/>
      <c r="AR362" s="585"/>
    </row>
    <row r="363">
      <c r="A363" s="621"/>
      <c r="B363" s="627" t="str">
        <f>IFERROR(__xludf.DUMMYFUNCTION("""COMPUTED_VALUE"""),"Finalize demo")</f>
        <v>Finalize demo</v>
      </c>
      <c r="C363" s="628"/>
      <c r="D363" s="602" t="str">
        <f>IFERROR(__xludf.DUMMYFUNCTION("""COMPUTED_VALUE"""),"PMAX")</f>
        <v>PMAX</v>
      </c>
      <c r="E363" s="624" t="str">
        <f>IFERROR(__xludf.DUMMYFUNCTION("""COMPUTED_VALUE"""),"Not start yet")</f>
        <v>Not start yet</v>
      </c>
      <c r="F363" s="604">
        <f>IFERROR(__xludf.DUMMYFUNCTION("""COMPUTED_VALUE"""),46164.0)</f>
        <v>46164</v>
      </c>
      <c r="G363" s="639">
        <f>IFERROR(__xludf.DUMMYFUNCTION("""COMPUTED_VALUE"""),46164.0)</f>
        <v>46164</v>
      </c>
      <c r="H363" s="585"/>
      <c r="I363" s="629">
        <v>1.0</v>
      </c>
      <c r="J363" s="630" t="s">
        <v>888</v>
      </c>
      <c r="K363" s="585"/>
      <c r="L363" s="585"/>
      <c r="M363" s="585"/>
      <c r="N363" s="585"/>
      <c r="O363" s="585"/>
      <c r="P363" s="585"/>
      <c r="Q363" s="585"/>
      <c r="R363" s="585"/>
      <c r="S363" s="585"/>
      <c r="T363" s="585"/>
      <c r="U363" s="585"/>
      <c r="V363" s="585"/>
      <c r="W363" s="585"/>
      <c r="X363" s="585"/>
      <c r="Y363" s="585"/>
      <c r="Z363" s="585"/>
      <c r="AA363" s="585"/>
      <c r="AB363" s="585"/>
      <c r="AC363" s="585"/>
      <c r="AD363" s="585"/>
      <c r="AE363" s="585"/>
      <c r="AF363" s="585"/>
      <c r="AG363" s="585"/>
      <c r="AH363" s="585"/>
      <c r="AI363" s="585"/>
      <c r="AJ363" s="585"/>
      <c r="AK363" s="585"/>
      <c r="AL363" s="585"/>
      <c r="AM363" s="585"/>
      <c r="AN363" s="585"/>
      <c r="AO363" s="585"/>
      <c r="AP363" s="585"/>
      <c r="AQ363" s="585"/>
      <c r="AR363" s="585"/>
    </row>
    <row r="364">
      <c r="A364" s="621"/>
      <c r="B364" s="634" t="str">
        <f>IFERROR(__xludf.DUMMYFUNCTION("""COMPUTED_VALUE"""),"Air")</f>
        <v>Air</v>
      </c>
      <c r="C364" s="26"/>
      <c r="D364" s="602" t="str">
        <f>IFERROR(__xludf.DUMMYFUNCTION("""COMPUTED_VALUE"""),"PMAX")</f>
        <v>PMAX</v>
      </c>
      <c r="E364" s="624" t="str">
        <f>IFERROR(__xludf.DUMMYFUNCTION("""COMPUTED_VALUE"""),"Not start yet")</f>
        <v>Not start yet</v>
      </c>
      <c r="F364" s="604" t="str">
        <f>IFERROR(__xludf.DUMMYFUNCTION("""COMPUTED_VALUE"""),"TBU")</f>
        <v>TBU</v>
      </c>
      <c r="G364" s="639" t="str">
        <f>IFERROR(__xludf.DUMMYFUNCTION("""COMPUTED_VALUE"""),"TBU")</f>
        <v>TBU</v>
      </c>
      <c r="H364" s="585"/>
      <c r="I364" s="636">
        <v>1.0</v>
      </c>
      <c r="J364" s="585"/>
      <c r="K364" s="585"/>
      <c r="L364" s="585"/>
      <c r="M364" s="585"/>
      <c r="N364" s="585"/>
      <c r="O364" s="585"/>
      <c r="P364" s="585"/>
      <c r="Q364" s="585"/>
      <c r="R364" s="585"/>
      <c r="S364" s="585"/>
      <c r="T364" s="585"/>
      <c r="U364" s="585"/>
      <c r="V364" s="585"/>
      <c r="W364" s="585"/>
      <c r="X364" s="585"/>
      <c r="Y364" s="585"/>
      <c r="Z364" s="585"/>
      <c r="AA364" s="585"/>
      <c r="AB364" s="585"/>
      <c r="AC364" s="585"/>
      <c r="AD364" s="585"/>
      <c r="AE364" s="585"/>
      <c r="AF364" s="585"/>
      <c r="AG364" s="585"/>
      <c r="AH364" s="585"/>
      <c r="AI364" s="585"/>
      <c r="AJ364" s="585"/>
      <c r="AK364" s="585"/>
      <c r="AL364" s="585"/>
      <c r="AM364" s="585"/>
      <c r="AN364" s="585"/>
      <c r="AO364" s="585"/>
      <c r="AP364" s="585"/>
      <c r="AQ364" s="585"/>
      <c r="AR364" s="585"/>
    </row>
    <row r="365">
      <c r="A365" s="637">
        <f>IFERROR(__xludf.DUMMYFUNCTION("""COMPUTED_VALUE"""),25.0)</f>
        <v>25</v>
      </c>
      <c r="B365" s="616" t="str">
        <f>IFERROR(__xludf.DUMMYFUNCTION("""COMPUTED_VALUE"""),"Phương Đi Chill 🌈")</f>
        <v>Phương Đi Chill 🌈</v>
      </c>
      <c r="C365" s="617"/>
      <c r="D365" s="618"/>
      <c r="E365" s="619"/>
      <c r="F365" s="619"/>
      <c r="G365" s="619"/>
      <c r="H365" s="585"/>
      <c r="I365" s="585"/>
      <c r="J365" s="585"/>
      <c r="K365" s="585"/>
      <c r="L365" s="585"/>
      <c r="M365" s="585"/>
      <c r="N365" s="585"/>
      <c r="O365" s="585"/>
      <c r="P365" s="585"/>
      <c r="Q365" s="585"/>
      <c r="R365" s="585"/>
      <c r="S365" s="585"/>
      <c r="T365" s="585"/>
      <c r="U365" s="585"/>
      <c r="V365" s="585"/>
      <c r="W365" s="585"/>
      <c r="X365" s="585"/>
      <c r="Y365" s="585"/>
      <c r="Z365" s="585"/>
      <c r="AA365" s="585"/>
      <c r="AB365" s="585"/>
      <c r="AC365" s="585"/>
      <c r="AD365" s="585"/>
      <c r="AE365" s="585"/>
      <c r="AF365" s="585"/>
      <c r="AG365" s="585"/>
      <c r="AH365" s="585"/>
      <c r="AI365" s="585"/>
      <c r="AJ365" s="585"/>
      <c r="AK365" s="585"/>
      <c r="AL365" s="585"/>
      <c r="AM365" s="585"/>
      <c r="AN365" s="585"/>
      <c r="AO365" s="585"/>
      <c r="AP365" s="585"/>
      <c r="AQ365" s="585"/>
      <c r="AR365" s="585"/>
    </row>
    <row r="366">
      <c r="A366" s="621"/>
      <c r="B366" s="622" t="str">
        <f>IFERROR(__xludf.DUMMYFUNCTION("""COMPUTED_VALUE"""),"Briefing cho Influencer")</f>
        <v>Briefing cho Influencer</v>
      </c>
      <c r="C366" s="623"/>
      <c r="D366" s="602" t="str">
        <f>IFERROR(__xludf.DUMMYFUNCTION("""COMPUTED_VALUE"""),"PMAX")</f>
        <v>PMAX</v>
      </c>
      <c r="E366" s="624" t="str">
        <f>IFERROR(__xludf.DUMMYFUNCTION("""COMPUTED_VALUE"""),"Not start yet")</f>
        <v>Not start yet</v>
      </c>
      <c r="F366" s="604">
        <f>IFERROR(__xludf.DUMMYFUNCTION("""COMPUTED_VALUE"""),46147.0)</f>
        <v>46147</v>
      </c>
      <c r="G366" s="639">
        <f>IFERROR(__xludf.DUMMYFUNCTION("""COMPUTED_VALUE"""),46148.0)</f>
        <v>46148</v>
      </c>
      <c r="H366" s="585"/>
      <c r="I366" s="625"/>
      <c r="J366" s="626" t="s">
        <v>882</v>
      </c>
      <c r="K366" s="585"/>
      <c r="L366" s="585"/>
      <c r="M366" s="585"/>
      <c r="N366" s="585"/>
      <c r="O366" s="585"/>
      <c r="P366" s="585"/>
      <c r="Q366" s="585"/>
      <c r="R366" s="585"/>
      <c r="S366" s="585"/>
      <c r="T366" s="585"/>
      <c r="U366" s="585"/>
      <c r="V366" s="585"/>
      <c r="W366" s="585"/>
      <c r="X366" s="585"/>
      <c r="Y366" s="585"/>
      <c r="Z366" s="585"/>
      <c r="AA366" s="585"/>
      <c r="AB366" s="585"/>
      <c r="AC366" s="585"/>
      <c r="AD366" s="585"/>
      <c r="AE366" s="585"/>
      <c r="AF366" s="585"/>
      <c r="AG366" s="585"/>
      <c r="AH366" s="585"/>
      <c r="AI366" s="585"/>
      <c r="AJ366" s="585"/>
      <c r="AK366" s="585"/>
      <c r="AL366" s="585"/>
      <c r="AM366" s="585"/>
      <c r="AN366" s="585"/>
      <c r="AO366" s="585"/>
      <c r="AP366" s="585"/>
      <c r="AQ366" s="585"/>
      <c r="AR366" s="585"/>
    </row>
    <row r="367">
      <c r="A367" s="621"/>
      <c r="B367" s="627" t="str">
        <f>IFERROR(__xludf.DUMMYFUNCTION("""COMPUTED_VALUE"""),"Script R1 + Outfits")</f>
        <v>Script R1 + Outfits</v>
      </c>
      <c r="C367" s="628"/>
      <c r="D367" s="602" t="str">
        <f>IFERROR(__xludf.DUMMYFUNCTION("""COMPUTED_VALUE"""),"PMAX")</f>
        <v>PMAX</v>
      </c>
      <c r="E367" s="624" t="str">
        <f>IFERROR(__xludf.DUMMYFUNCTION("""COMPUTED_VALUE"""),"Not start yet")</f>
        <v>Not start yet</v>
      </c>
      <c r="F367" s="604">
        <f>IFERROR(__xludf.DUMMYFUNCTION("""COMPUTED_VALUE"""),46148.0)</f>
        <v>46148</v>
      </c>
      <c r="G367" s="639">
        <f>IFERROR(__xludf.DUMMYFUNCTION("""COMPUTED_VALUE"""),46150.0)</f>
        <v>46150</v>
      </c>
      <c r="H367" s="585"/>
      <c r="I367" s="629">
        <v>1.0</v>
      </c>
      <c r="J367" s="630" t="s">
        <v>883</v>
      </c>
      <c r="K367" s="585"/>
      <c r="L367" s="585"/>
      <c r="M367" s="585"/>
      <c r="N367" s="585"/>
      <c r="O367" s="585"/>
      <c r="P367" s="585"/>
      <c r="Q367" s="585"/>
      <c r="R367" s="585"/>
      <c r="S367" s="585"/>
      <c r="T367" s="585"/>
      <c r="U367" s="585"/>
      <c r="V367" s="585"/>
      <c r="W367" s="585"/>
      <c r="X367" s="585"/>
      <c r="Y367" s="585"/>
      <c r="Z367" s="585"/>
      <c r="AA367" s="585"/>
      <c r="AB367" s="585"/>
      <c r="AC367" s="585"/>
      <c r="AD367" s="585"/>
      <c r="AE367" s="585"/>
      <c r="AF367" s="585"/>
      <c r="AG367" s="585"/>
      <c r="AH367" s="585"/>
      <c r="AI367" s="585"/>
      <c r="AJ367" s="585"/>
      <c r="AK367" s="585"/>
      <c r="AL367" s="585"/>
      <c r="AM367" s="585"/>
      <c r="AN367" s="585"/>
      <c r="AO367" s="585"/>
      <c r="AP367" s="585"/>
      <c r="AQ367" s="585"/>
      <c r="AR367" s="585"/>
    </row>
    <row r="368">
      <c r="A368" s="621"/>
      <c r="B368" s="627" t="str">
        <f>IFERROR(__xludf.DUMMYFUNCTION("""COMPUTED_VALUE"""),"Feedback Script R1 + outfits")</f>
        <v>Feedback Script R1 + outfits</v>
      </c>
      <c r="C368" s="628"/>
      <c r="D368" s="602" t="str">
        <f>IFERROR(__xludf.DUMMYFUNCTION("""COMPUTED_VALUE"""),"BRAND")</f>
        <v>BRAND</v>
      </c>
      <c r="E368" s="624" t="str">
        <f>IFERROR(__xludf.DUMMYFUNCTION("""COMPUTED_VALUE"""),"Not start yet")</f>
        <v>Not start yet</v>
      </c>
      <c r="F368" s="604">
        <f>IFERROR(__xludf.DUMMYFUNCTION("""COMPUTED_VALUE"""),46150.0)</f>
        <v>46150</v>
      </c>
      <c r="G368" s="639">
        <f>IFERROR(__xludf.DUMMYFUNCTION("""COMPUTED_VALUE"""),46150.0)</f>
        <v>46150</v>
      </c>
      <c r="H368" s="585"/>
      <c r="I368" s="625"/>
      <c r="J368" s="630" t="s">
        <v>884</v>
      </c>
      <c r="K368" s="585"/>
      <c r="L368" s="585"/>
      <c r="M368" s="585"/>
      <c r="N368" s="585"/>
      <c r="O368" s="585"/>
      <c r="P368" s="585"/>
      <c r="Q368" s="585"/>
      <c r="R368" s="585"/>
      <c r="S368" s="585"/>
      <c r="T368" s="585"/>
      <c r="U368" s="585"/>
      <c r="V368" s="585"/>
      <c r="W368" s="585"/>
      <c r="X368" s="585"/>
      <c r="Y368" s="585"/>
      <c r="Z368" s="585"/>
      <c r="AA368" s="585"/>
      <c r="AB368" s="585"/>
      <c r="AC368" s="585"/>
      <c r="AD368" s="585"/>
      <c r="AE368" s="585"/>
      <c r="AF368" s="585"/>
      <c r="AG368" s="585"/>
      <c r="AH368" s="585"/>
      <c r="AI368" s="585"/>
      <c r="AJ368" s="585"/>
      <c r="AK368" s="585"/>
      <c r="AL368" s="585"/>
      <c r="AM368" s="585"/>
      <c r="AN368" s="585"/>
      <c r="AO368" s="585"/>
      <c r="AP368" s="585"/>
      <c r="AQ368" s="585"/>
      <c r="AR368" s="585"/>
    </row>
    <row r="369">
      <c r="A369" s="621"/>
      <c r="B369" s="631" t="str">
        <f>IFERROR(__xludf.DUMMYFUNCTION("""COMPUTED_VALUE"""),"Script R2")</f>
        <v>Script R2</v>
      </c>
      <c r="C369" s="628"/>
      <c r="D369" s="632" t="str">
        <f>IFERROR(__xludf.DUMMYFUNCTION("""COMPUTED_VALUE"""),"PMAX")</f>
        <v>PMAX</v>
      </c>
      <c r="E369" s="624" t="str">
        <f>IFERROR(__xludf.DUMMYFUNCTION("""COMPUTED_VALUE"""),"Not start yet")</f>
        <v>Not start yet</v>
      </c>
      <c r="F369" s="604">
        <f>IFERROR(__xludf.DUMMYFUNCTION("""COMPUTED_VALUE"""),46151.0)</f>
        <v>46151</v>
      </c>
      <c r="G369" s="639">
        <f>IFERROR(__xludf.DUMMYFUNCTION("""COMPUTED_VALUE"""),46152.0)</f>
        <v>46152</v>
      </c>
      <c r="H369" s="585"/>
      <c r="I369" s="625"/>
      <c r="J369" s="630"/>
      <c r="K369" s="585"/>
      <c r="L369" s="585"/>
      <c r="M369" s="585"/>
      <c r="N369" s="585"/>
      <c r="O369" s="585"/>
      <c r="P369" s="585"/>
      <c r="Q369" s="585"/>
      <c r="R369" s="585"/>
      <c r="S369" s="585"/>
      <c r="T369" s="585"/>
      <c r="U369" s="585"/>
      <c r="V369" s="585"/>
      <c r="W369" s="585"/>
      <c r="X369" s="585"/>
      <c r="Y369" s="585"/>
      <c r="Z369" s="585"/>
      <c r="AA369" s="585"/>
      <c r="AB369" s="585"/>
      <c r="AC369" s="585"/>
      <c r="AD369" s="585"/>
      <c r="AE369" s="585"/>
      <c r="AF369" s="585"/>
      <c r="AG369" s="585"/>
      <c r="AH369" s="585"/>
      <c r="AI369" s="585"/>
      <c r="AJ369" s="585"/>
      <c r="AK369" s="585"/>
      <c r="AL369" s="585"/>
      <c r="AM369" s="585"/>
      <c r="AN369" s="585"/>
      <c r="AO369" s="585"/>
      <c r="AP369" s="585"/>
      <c r="AQ369" s="585"/>
      <c r="AR369" s="585"/>
    </row>
    <row r="370">
      <c r="A370" s="621"/>
      <c r="B370" s="631" t="str">
        <f>IFERROR(__xludf.DUMMYFUNCTION("""COMPUTED_VALUE"""),"Feedback Script R2")</f>
        <v>Feedback Script R2</v>
      </c>
      <c r="C370" s="628"/>
      <c r="D370" s="632" t="str">
        <f>IFERROR(__xludf.DUMMYFUNCTION("""COMPUTED_VALUE"""),"BRAND")</f>
        <v>BRAND</v>
      </c>
      <c r="E370" s="624" t="str">
        <f>IFERROR(__xludf.DUMMYFUNCTION("""COMPUTED_VALUE"""),"Not start yet")</f>
        <v>Not start yet</v>
      </c>
      <c r="F370" s="604">
        <f>IFERROR(__xludf.DUMMYFUNCTION("""COMPUTED_VALUE"""),46153.0)</f>
        <v>46153</v>
      </c>
      <c r="G370" s="639">
        <f>IFERROR(__xludf.DUMMYFUNCTION("""COMPUTED_VALUE"""),46153.0)</f>
        <v>46153</v>
      </c>
      <c r="H370" s="585"/>
      <c r="I370" s="625"/>
      <c r="J370" s="630"/>
      <c r="K370" s="585"/>
      <c r="L370" s="585"/>
      <c r="M370" s="585"/>
      <c r="N370" s="585"/>
      <c r="O370" s="585"/>
      <c r="P370" s="585"/>
      <c r="Q370" s="585"/>
      <c r="R370" s="585"/>
      <c r="S370" s="585"/>
      <c r="T370" s="585"/>
      <c r="U370" s="585"/>
      <c r="V370" s="585"/>
      <c r="W370" s="585"/>
      <c r="X370" s="585"/>
      <c r="Y370" s="585"/>
      <c r="Z370" s="585"/>
      <c r="AA370" s="585"/>
      <c r="AB370" s="585"/>
      <c r="AC370" s="585"/>
      <c r="AD370" s="585"/>
      <c r="AE370" s="585"/>
      <c r="AF370" s="585"/>
      <c r="AG370" s="585"/>
      <c r="AH370" s="585"/>
      <c r="AI370" s="585"/>
      <c r="AJ370" s="585"/>
      <c r="AK370" s="585"/>
      <c r="AL370" s="585"/>
      <c r="AM370" s="585"/>
      <c r="AN370" s="585"/>
      <c r="AO370" s="585"/>
      <c r="AP370" s="585"/>
      <c r="AQ370" s="585"/>
      <c r="AR370" s="585"/>
    </row>
    <row r="371">
      <c r="A371" s="621"/>
      <c r="B371" s="627" t="str">
        <f>IFERROR(__xludf.DUMMYFUNCTION("""COMPUTED_VALUE"""),"Finalize scripts + outfits")</f>
        <v>Finalize scripts + outfits</v>
      </c>
      <c r="C371" s="628"/>
      <c r="D371" s="602" t="str">
        <f>IFERROR(__xludf.DUMMYFUNCTION("""COMPUTED_VALUE"""),"PMAX-BRAND")</f>
        <v>PMAX-BRAND</v>
      </c>
      <c r="E371" s="624" t="str">
        <f>IFERROR(__xludf.DUMMYFUNCTION("""COMPUTED_VALUE"""),"Not start yet")</f>
        <v>Not start yet</v>
      </c>
      <c r="F371" s="604">
        <f>IFERROR(__xludf.DUMMYFUNCTION("""COMPUTED_VALUE"""),46153.0)</f>
        <v>46153</v>
      </c>
      <c r="G371" s="639">
        <f>IFERROR(__xludf.DUMMYFUNCTION("""COMPUTED_VALUE"""),46153.0)</f>
        <v>46153</v>
      </c>
      <c r="H371" s="585"/>
      <c r="I371" s="629">
        <v>1.0</v>
      </c>
      <c r="J371" s="630" t="s">
        <v>885</v>
      </c>
      <c r="K371" s="585"/>
      <c r="L371" s="585"/>
      <c r="M371" s="585"/>
      <c r="N371" s="585"/>
      <c r="O371" s="585"/>
      <c r="P371" s="585"/>
      <c r="Q371" s="585"/>
      <c r="R371" s="585"/>
      <c r="S371" s="585"/>
      <c r="T371" s="585"/>
      <c r="U371" s="585"/>
      <c r="V371" s="585"/>
      <c r="W371" s="585"/>
      <c r="X371" s="585"/>
      <c r="Y371" s="585"/>
      <c r="Z371" s="585"/>
      <c r="AA371" s="585"/>
      <c r="AB371" s="585"/>
      <c r="AC371" s="585"/>
      <c r="AD371" s="585"/>
      <c r="AE371" s="585"/>
      <c r="AF371" s="585"/>
      <c r="AG371" s="585"/>
      <c r="AH371" s="585"/>
      <c r="AI371" s="585"/>
      <c r="AJ371" s="585"/>
      <c r="AK371" s="585"/>
      <c r="AL371" s="585"/>
      <c r="AM371" s="585"/>
      <c r="AN371" s="585"/>
      <c r="AO371" s="585"/>
      <c r="AP371" s="585"/>
      <c r="AQ371" s="585"/>
      <c r="AR371" s="585"/>
    </row>
    <row r="372">
      <c r="A372" s="621"/>
      <c r="B372" s="627" t="str">
        <f>IFERROR(__xludf.DUMMYFUNCTION("""COMPUTED_VALUE"""),"Đi quay tại site")</f>
        <v>Đi quay tại site</v>
      </c>
      <c r="C372" s="628"/>
      <c r="D372" s="602" t="str">
        <f>IFERROR(__xludf.DUMMYFUNCTION("""COMPUTED_VALUE"""),"PMAX")</f>
        <v>PMAX</v>
      </c>
      <c r="E372" s="624" t="str">
        <f>IFERROR(__xludf.DUMMYFUNCTION("""COMPUTED_VALUE"""),"Not start yet")</f>
        <v>Not start yet</v>
      </c>
      <c r="F372" s="604">
        <f>IFERROR(__xludf.DUMMYFUNCTION("""COMPUTED_VALUE"""),46154.0)</f>
        <v>46154</v>
      </c>
      <c r="G372" s="639">
        <f>IFERROR(__xludf.DUMMYFUNCTION("""COMPUTED_VALUE"""),46156.0)</f>
        <v>46156</v>
      </c>
      <c r="H372" s="585"/>
      <c r="I372" s="629">
        <v>2.0</v>
      </c>
      <c r="J372" s="625"/>
      <c r="K372" s="585"/>
      <c r="L372" s="585"/>
      <c r="M372" s="585"/>
      <c r="N372" s="585"/>
      <c r="O372" s="585"/>
      <c r="P372" s="585"/>
      <c r="Q372" s="585"/>
      <c r="R372" s="585"/>
      <c r="S372" s="585"/>
      <c r="T372" s="585"/>
      <c r="U372" s="585"/>
      <c r="V372" s="585"/>
      <c r="W372" s="585"/>
      <c r="X372" s="585"/>
      <c r="Y372" s="585"/>
      <c r="Z372" s="585"/>
      <c r="AA372" s="585"/>
      <c r="AB372" s="585"/>
      <c r="AC372" s="585"/>
      <c r="AD372" s="585"/>
      <c r="AE372" s="585"/>
      <c r="AF372" s="585"/>
      <c r="AG372" s="585"/>
      <c r="AH372" s="585"/>
      <c r="AI372" s="585"/>
      <c r="AJ372" s="585"/>
      <c r="AK372" s="585"/>
      <c r="AL372" s="585"/>
      <c r="AM372" s="585"/>
      <c r="AN372" s="585"/>
      <c r="AO372" s="585"/>
      <c r="AP372" s="585"/>
      <c r="AQ372" s="585"/>
      <c r="AR372" s="585"/>
    </row>
    <row r="373">
      <c r="A373" s="621"/>
      <c r="B373" s="633" t="str">
        <f>IFERROR(__xludf.DUMMYFUNCTION("""COMPUTED_VALUE"""),"Demo R1")</f>
        <v>Demo R1</v>
      </c>
      <c r="C373" s="628"/>
      <c r="D373" s="602" t="str">
        <f>IFERROR(__xludf.DUMMYFUNCTION("""COMPUTED_VALUE"""),"PMAX")</f>
        <v>PMAX</v>
      </c>
      <c r="E373" s="624" t="str">
        <f>IFERROR(__xludf.DUMMYFUNCTION("""COMPUTED_VALUE"""),"Not start yet")</f>
        <v>Not start yet</v>
      </c>
      <c r="F373" s="604">
        <f>IFERROR(__xludf.DUMMYFUNCTION("""COMPUTED_VALUE"""),46156.0)</f>
        <v>46156</v>
      </c>
      <c r="G373" s="639">
        <f>IFERROR(__xludf.DUMMYFUNCTION("""COMPUTED_VALUE"""),46159.0)</f>
        <v>46159</v>
      </c>
      <c r="H373" s="585"/>
      <c r="I373" s="629">
        <v>4.0</v>
      </c>
      <c r="J373" s="630" t="s">
        <v>886</v>
      </c>
      <c r="K373" s="585"/>
      <c r="L373" s="585"/>
      <c r="M373" s="585"/>
      <c r="N373" s="585"/>
      <c r="O373" s="585"/>
      <c r="P373" s="585"/>
      <c r="Q373" s="585"/>
      <c r="R373" s="585"/>
      <c r="S373" s="585"/>
      <c r="T373" s="585"/>
      <c r="U373" s="585"/>
      <c r="V373" s="585"/>
      <c r="W373" s="585"/>
      <c r="X373" s="585"/>
      <c r="Y373" s="585"/>
      <c r="Z373" s="585"/>
      <c r="AA373" s="585"/>
      <c r="AB373" s="585"/>
      <c r="AC373" s="585"/>
      <c r="AD373" s="585"/>
      <c r="AE373" s="585"/>
      <c r="AF373" s="585"/>
      <c r="AG373" s="585"/>
      <c r="AH373" s="585"/>
      <c r="AI373" s="585"/>
      <c r="AJ373" s="585"/>
      <c r="AK373" s="585"/>
      <c r="AL373" s="585"/>
      <c r="AM373" s="585"/>
      <c r="AN373" s="585"/>
      <c r="AO373" s="585"/>
      <c r="AP373" s="585"/>
      <c r="AQ373" s="585"/>
      <c r="AR373" s="585"/>
    </row>
    <row r="374">
      <c r="A374" s="621"/>
      <c r="B374" s="627" t="str">
        <f>IFERROR(__xludf.DUMMYFUNCTION("""COMPUTED_VALUE"""),"Feedback demo R1")</f>
        <v>Feedback demo R1</v>
      </c>
      <c r="C374" s="628"/>
      <c r="D374" s="602" t="str">
        <f>IFERROR(__xludf.DUMMYFUNCTION("""COMPUTED_VALUE"""),"BRAND")</f>
        <v>BRAND</v>
      </c>
      <c r="E374" s="624" t="str">
        <f>IFERROR(__xludf.DUMMYFUNCTION("""COMPUTED_VALUE"""),"Not start yet")</f>
        <v>Not start yet</v>
      </c>
      <c r="F374" s="604">
        <f>IFERROR(__xludf.DUMMYFUNCTION("""COMPUTED_VALUE"""),46160.0)</f>
        <v>46160</v>
      </c>
      <c r="G374" s="639">
        <f>IFERROR(__xludf.DUMMYFUNCTION("""COMPUTED_VALUE"""),46160.0)</f>
        <v>46160</v>
      </c>
      <c r="H374" s="585"/>
      <c r="I374" s="625"/>
      <c r="J374" s="630" t="s">
        <v>887</v>
      </c>
      <c r="K374" s="585"/>
      <c r="L374" s="585"/>
      <c r="M374" s="585"/>
      <c r="N374" s="585"/>
      <c r="O374" s="585"/>
      <c r="P374" s="585"/>
      <c r="Q374" s="585"/>
      <c r="R374" s="585"/>
      <c r="S374" s="585"/>
      <c r="T374" s="585"/>
      <c r="U374" s="585"/>
      <c r="V374" s="585"/>
      <c r="W374" s="585"/>
      <c r="X374" s="585"/>
      <c r="Y374" s="585"/>
      <c r="Z374" s="585"/>
      <c r="AA374" s="585"/>
      <c r="AB374" s="585"/>
      <c r="AC374" s="585"/>
      <c r="AD374" s="585"/>
      <c r="AE374" s="585"/>
      <c r="AF374" s="585"/>
      <c r="AG374" s="585"/>
      <c r="AH374" s="585"/>
      <c r="AI374" s="585"/>
      <c r="AJ374" s="585"/>
      <c r="AK374" s="585"/>
      <c r="AL374" s="585"/>
      <c r="AM374" s="585"/>
      <c r="AN374" s="585"/>
      <c r="AO374" s="585"/>
      <c r="AP374" s="585"/>
      <c r="AQ374" s="585"/>
      <c r="AR374" s="585"/>
    </row>
    <row r="375">
      <c r="A375" s="621"/>
      <c r="B375" s="633" t="str">
        <f>IFERROR(__xludf.DUMMYFUNCTION("""COMPUTED_VALUE"""),"Demo R2")</f>
        <v>Demo R2</v>
      </c>
      <c r="C375" s="628"/>
      <c r="D375" s="602" t="str">
        <f>IFERROR(__xludf.DUMMYFUNCTION("""COMPUTED_VALUE"""),"PMAX")</f>
        <v>PMAX</v>
      </c>
      <c r="E375" s="624" t="str">
        <f>IFERROR(__xludf.DUMMYFUNCTION("""COMPUTED_VALUE"""),"Not start yet")</f>
        <v>Not start yet</v>
      </c>
      <c r="F375" s="604">
        <f>IFERROR(__xludf.DUMMYFUNCTION("""COMPUTED_VALUE"""),46161.0)</f>
        <v>46161</v>
      </c>
      <c r="G375" s="639">
        <f>IFERROR(__xludf.DUMMYFUNCTION("""COMPUTED_VALUE"""),46163.0)</f>
        <v>46163</v>
      </c>
      <c r="H375" s="585"/>
      <c r="I375" s="625"/>
      <c r="J375" s="625"/>
      <c r="K375" s="585"/>
      <c r="L375" s="585"/>
      <c r="M375" s="585"/>
      <c r="N375" s="585"/>
      <c r="O375" s="585"/>
      <c r="P375" s="585"/>
      <c r="Q375" s="585"/>
      <c r="R375" s="585"/>
      <c r="S375" s="585"/>
      <c r="T375" s="585"/>
      <c r="U375" s="585"/>
      <c r="V375" s="585"/>
      <c r="W375" s="585"/>
      <c r="X375" s="585"/>
      <c r="Y375" s="585"/>
      <c r="Z375" s="585"/>
      <c r="AA375" s="585"/>
      <c r="AB375" s="585"/>
      <c r="AC375" s="585"/>
      <c r="AD375" s="585"/>
      <c r="AE375" s="585"/>
      <c r="AF375" s="585"/>
      <c r="AG375" s="585"/>
      <c r="AH375" s="585"/>
      <c r="AI375" s="585"/>
      <c r="AJ375" s="585"/>
      <c r="AK375" s="585"/>
      <c r="AL375" s="585"/>
      <c r="AM375" s="585"/>
      <c r="AN375" s="585"/>
      <c r="AO375" s="585"/>
      <c r="AP375" s="585"/>
      <c r="AQ375" s="585"/>
      <c r="AR375" s="585"/>
    </row>
    <row r="376">
      <c r="A376" s="621"/>
      <c r="B376" s="627" t="str">
        <f>IFERROR(__xludf.DUMMYFUNCTION("""COMPUTED_VALUE"""),"Feedback demo R2")</f>
        <v>Feedback demo R2</v>
      </c>
      <c r="C376" s="628"/>
      <c r="D376" s="602" t="str">
        <f>IFERROR(__xludf.DUMMYFUNCTION("""COMPUTED_VALUE"""),"BRAND")</f>
        <v>BRAND</v>
      </c>
      <c r="E376" s="624" t="str">
        <f>IFERROR(__xludf.DUMMYFUNCTION("""COMPUTED_VALUE"""),"Not start yet")</f>
        <v>Not start yet</v>
      </c>
      <c r="F376" s="604">
        <f>IFERROR(__xludf.DUMMYFUNCTION("""COMPUTED_VALUE"""),46164.0)</f>
        <v>46164</v>
      </c>
      <c r="G376" s="639">
        <f>IFERROR(__xludf.DUMMYFUNCTION("""COMPUTED_VALUE"""),46164.0)</f>
        <v>46164</v>
      </c>
      <c r="H376" s="585"/>
      <c r="I376" s="625"/>
      <c r="J376" s="625"/>
      <c r="K376" s="585"/>
      <c r="L376" s="585"/>
      <c r="M376" s="585"/>
      <c r="N376" s="585"/>
      <c r="O376" s="585"/>
      <c r="P376" s="585"/>
      <c r="Q376" s="585"/>
      <c r="R376" s="585"/>
      <c r="S376" s="585"/>
      <c r="T376" s="585"/>
      <c r="U376" s="585"/>
      <c r="V376" s="585"/>
      <c r="W376" s="585"/>
      <c r="X376" s="585"/>
      <c r="Y376" s="585"/>
      <c r="Z376" s="585"/>
      <c r="AA376" s="585"/>
      <c r="AB376" s="585"/>
      <c r="AC376" s="585"/>
      <c r="AD376" s="585"/>
      <c r="AE376" s="585"/>
      <c r="AF376" s="585"/>
      <c r="AG376" s="585"/>
      <c r="AH376" s="585"/>
      <c r="AI376" s="585"/>
      <c r="AJ376" s="585"/>
      <c r="AK376" s="585"/>
      <c r="AL376" s="585"/>
      <c r="AM376" s="585"/>
      <c r="AN376" s="585"/>
      <c r="AO376" s="585"/>
      <c r="AP376" s="585"/>
      <c r="AQ376" s="585"/>
      <c r="AR376" s="585"/>
    </row>
    <row r="377">
      <c r="A377" s="621"/>
      <c r="B377" s="627" t="str">
        <f>IFERROR(__xludf.DUMMYFUNCTION("""COMPUTED_VALUE"""),"Finalize demo")</f>
        <v>Finalize demo</v>
      </c>
      <c r="C377" s="628"/>
      <c r="D377" s="602" t="str">
        <f>IFERROR(__xludf.DUMMYFUNCTION("""COMPUTED_VALUE"""),"PMAX")</f>
        <v>PMAX</v>
      </c>
      <c r="E377" s="624" t="str">
        <f>IFERROR(__xludf.DUMMYFUNCTION("""COMPUTED_VALUE"""),"Not start yet")</f>
        <v>Not start yet</v>
      </c>
      <c r="F377" s="604">
        <f>IFERROR(__xludf.DUMMYFUNCTION("""COMPUTED_VALUE"""),46164.0)</f>
        <v>46164</v>
      </c>
      <c r="G377" s="639">
        <f>IFERROR(__xludf.DUMMYFUNCTION("""COMPUTED_VALUE"""),46164.0)</f>
        <v>46164</v>
      </c>
      <c r="H377" s="585"/>
      <c r="I377" s="629">
        <v>1.0</v>
      </c>
      <c r="J377" s="630" t="s">
        <v>888</v>
      </c>
      <c r="K377" s="585"/>
      <c r="L377" s="585"/>
      <c r="M377" s="585"/>
      <c r="N377" s="585"/>
      <c r="O377" s="585"/>
      <c r="P377" s="585"/>
      <c r="Q377" s="585"/>
      <c r="R377" s="585"/>
      <c r="S377" s="585"/>
      <c r="T377" s="585"/>
      <c r="U377" s="585"/>
      <c r="V377" s="585"/>
      <c r="W377" s="585"/>
      <c r="X377" s="585"/>
      <c r="Y377" s="585"/>
      <c r="Z377" s="585"/>
      <c r="AA377" s="585"/>
      <c r="AB377" s="585"/>
      <c r="AC377" s="585"/>
      <c r="AD377" s="585"/>
      <c r="AE377" s="585"/>
      <c r="AF377" s="585"/>
      <c r="AG377" s="585"/>
      <c r="AH377" s="585"/>
      <c r="AI377" s="585"/>
      <c r="AJ377" s="585"/>
      <c r="AK377" s="585"/>
      <c r="AL377" s="585"/>
      <c r="AM377" s="585"/>
      <c r="AN377" s="585"/>
      <c r="AO377" s="585"/>
      <c r="AP377" s="585"/>
      <c r="AQ377" s="585"/>
      <c r="AR377" s="585"/>
    </row>
    <row r="378">
      <c r="A378" s="621"/>
      <c r="B378" s="634" t="str">
        <f>IFERROR(__xludf.DUMMYFUNCTION("""COMPUTED_VALUE"""),"Air")</f>
        <v>Air</v>
      </c>
      <c r="C378" s="26"/>
      <c r="D378" s="602" t="str">
        <f>IFERROR(__xludf.DUMMYFUNCTION("""COMPUTED_VALUE"""),"PMAX")</f>
        <v>PMAX</v>
      </c>
      <c r="E378" s="624" t="str">
        <f>IFERROR(__xludf.DUMMYFUNCTION("""COMPUTED_VALUE"""),"Not start yet")</f>
        <v>Not start yet</v>
      </c>
      <c r="F378" s="604" t="str">
        <f>IFERROR(__xludf.DUMMYFUNCTION("""COMPUTED_VALUE"""),"TBU")</f>
        <v>TBU</v>
      </c>
      <c r="G378" s="639" t="str">
        <f>IFERROR(__xludf.DUMMYFUNCTION("""COMPUTED_VALUE"""),"TBU")</f>
        <v>TBU</v>
      </c>
      <c r="H378" s="585"/>
      <c r="I378" s="636">
        <v>1.0</v>
      </c>
      <c r="J378" s="585"/>
      <c r="K378" s="585"/>
      <c r="L378" s="585"/>
      <c r="M378" s="585"/>
      <c r="N378" s="585"/>
      <c r="O378" s="585"/>
      <c r="P378" s="585"/>
      <c r="Q378" s="585"/>
      <c r="R378" s="585"/>
      <c r="S378" s="585"/>
      <c r="T378" s="585"/>
      <c r="U378" s="585"/>
      <c r="V378" s="585"/>
      <c r="W378" s="585"/>
      <c r="X378" s="585"/>
      <c r="Y378" s="585"/>
      <c r="Z378" s="585"/>
      <c r="AA378" s="585"/>
      <c r="AB378" s="585"/>
      <c r="AC378" s="585"/>
      <c r="AD378" s="585"/>
      <c r="AE378" s="585"/>
      <c r="AF378" s="585"/>
      <c r="AG378" s="585"/>
      <c r="AH378" s="585"/>
      <c r="AI378" s="585"/>
      <c r="AJ378" s="585"/>
      <c r="AK378" s="585"/>
      <c r="AL378" s="585"/>
      <c r="AM378" s="585"/>
      <c r="AN378" s="585"/>
      <c r="AO378" s="585"/>
      <c r="AP378" s="585"/>
      <c r="AQ378" s="585"/>
      <c r="AR378" s="585"/>
    </row>
    <row r="379">
      <c r="A379" s="637">
        <f>IFERROR(__xludf.DUMMYFUNCTION("""COMPUTED_VALUE"""),26.0)</f>
        <v>26</v>
      </c>
      <c r="B379" s="616" t="str">
        <f>IFERROR(__xludf.DUMMYFUNCTION("""COMPUTED_VALUE"""),"Đức Tân Bình")</f>
        <v>Đức Tân Bình</v>
      </c>
      <c r="C379" s="617"/>
      <c r="D379" s="618"/>
      <c r="E379" s="619"/>
      <c r="F379" s="619"/>
      <c r="G379" s="619"/>
      <c r="H379" s="585"/>
      <c r="I379" s="585"/>
      <c r="J379" s="585"/>
      <c r="K379" s="585"/>
      <c r="L379" s="585"/>
      <c r="M379" s="585"/>
      <c r="N379" s="585"/>
      <c r="O379" s="585"/>
      <c r="P379" s="585"/>
      <c r="Q379" s="585"/>
      <c r="R379" s="585"/>
      <c r="S379" s="585"/>
      <c r="T379" s="585"/>
      <c r="U379" s="585"/>
      <c r="V379" s="585"/>
      <c r="W379" s="585"/>
      <c r="X379" s="585"/>
      <c r="Y379" s="585"/>
      <c r="Z379" s="585"/>
      <c r="AA379" s="585"/>
      <c r="AB379" s="585"/>
      <c r="AC379" s="585"/>
      <c r="AD379" s="585"/>
      <c r="AE379" s="585"/>
      <c r="AF379" s="585"/>
      <c r="AG379" s="585"/>
      <c r="AH379" s="585"/>
      <c r="AI379" s="585"/>
      <c r="AJ379" s="585"/>
      <c r="AK379" s="585"/>
      <c r="AL379" s="585"/>
      <c r="AM379" s="585"/>
      <c r="AN379" s="585"/>
      <c r="AO379" s="585"/>
      <c r="AP379" s="585"/>
      <c r="AQ379" s="585"/>
      <c r="AR379" s="585"/>
    </row>
    <row r="380">
      <c r="A380" s="621"/>
      <c r="B380" s="622" t="str">
        <f>IFERROR(__xludf.DUMMYFUNCTION("""COMPUTED_VALUE"""),"Briefing cho Influencer")</f>
        <v>Briefing cho Influencer</v>
      </c>
      <c r="C380" s="623"/>
      <c r="D380" s="602" t="str">
        <f>IFERROR(__xludf.DUMMYFUNCTION("""COMPUTED_VALUE"""),"PMAX")</f>
        <v>PMAX</v>
      </c>
      <c r="E380" s="624" t="str">
        <f>IFERROR(__xludf.DUMMYFUNCTION("""COMPUTED_VALUE"""),"Not start yet")</f>
        <v>Not start yet</v>
      </c>
      <c r="F380" s="604">
        <f>IFERROR(__xludf.DUMMYFUNCTION("""COMPUTED_VALUE"""),46147.0)</f>
        <v>46147</v>
      </c>
      <c r="G380" s="639">
        <f>IFERROR(__xludf.DUMMYFUNCTION("""COMPUTED_VALUE"""),46148.0)</f>
        <v>46148</v>
      </c>
      <c r="H380" s="585"/>
      <c r="I380" s="625"/>
      <c r="J380" s="626" t="s">
        <v>882</v>
      </c>
      <c r="K380" s="585"/>
      <c r="L380" s="585"/>
      <c r="M380" s="585"/>
      <c r="N380" s="585"/>
      <c r="O380" s="585"/>
      <c r="P380" s="585"/>
      <c r="Q380" s="585"/>
      <c r="R380" s="585"/>
      <c r="S380" s="585"/>
      <c r="T380" s="585"/>
      <c r="U380" s="585"/>
      <c r="V380" s="585"/>
      <c r="W380" s="585"/>
      <c r="X380" s="585"/>
      <c r="Y380" s="585"/>
      <c r="Z380" s="585"/>
      <c r="AA380" s="585"/>
      <c r="AB380" s="585"/>
      <c r="AC380" s="585"/>
      <c r="AD380" s="585"/>
      <c r="AE380" s="585"/>
      <c r="AF380" s="585"/>
      <c r="AG380" s="585"/>
      <c r="AH380" s="585"/>
      <c r="AI380" s="585"/>
      <c r="AJ380" s="585"/>
      <c r="AK380" s="585"/>
      <c r="AL380" s="585"/>
      <c r="AM380" s="585"/>
      <c r="AN380" s="585"/>
      <c r="AO380" s="585"/>
      <c r="AP380" s="585"/>
      <c r="AQ380" s="585"/>
      <c r="AR380" s="585"/>
    </row>
    <row r="381">
      <c r="A381" s="621"/>
      <c r="B381" s="627" t="str">
        <f>IFERROR(__xludf.DUMMYFUNCTION("""COMPUTED_VALUE"""),"Script R1 + Outfits")</f>
        <v>Script R1 + Outfits</v>
      </c>
      <c r="C381" s="628"/>
      <c r="D381" s="602" t="str">
        <f>IFERROR(__xludf.DUMMYFUNCTION("""COMPUTED_VALUE"""),"PMAX")</f>
        <v>PMAX</v>
      </c>
      <c r="E381" s="624" t="str">
        <f>IFERROR(__xludf.DUMMYFUNCTION("""COMPUTED_VALUE"""),"Not start yet")</f>
        <v>Not start yet</v>
      </c>
      <c r="F381" s="604">
        <f>IFERROR(__xludf.DUMMYFUNCTION("""COMPUTED_VALUE"""),46148.0)</f>
        <v>46148</v>
      </c>
      <c r="G381" s="639">
        <f>IFERROR(__xludf.DUMMYFUNCTION("""COMPUTED_VALUE"""),46150.0)</f>
        <v>46150</v>
      </c>
      <c r="H381" s="585"/>
      <c r="I381" s="629">
        <v>1.0</v>
      </c>
      <c r="J381" s="630" t="s">
        <v>883</v>
      </c>
      <c r="K381" s="585"/>
      <c r="L381" s="585"/>
      <c r="M381" s="585"/>
      <c r="N381" s="585"/>
      <c r="O381" s="585"/>
      <c r="P381" s="585"/>
      <c r="Q381" s="585"/>
      <c r="R381" s="585"/>
      <c r="S381" s="585"/>
      <c r="T381" s="585"/>
      <c r="U381" s="585"/>
      <c r="V381" s="585"/>
      <c r="W381" s="585"/>
      <c r="X381" s="585"/>
      <c r="Y381" s="585"/>
      <c r="Z381" s="585"/>
      <c r="AA381" s="585"/>
      <c r="AB381" s="585"/>
      <c r="AC381" s="585"/>
      <c r="AD381" s="585"/>
      <c r="AE381" s="585"/>
      <c r="AF381" s="585"/>
      <c r="AG381" s="585"/>
      <c r="AH381" s="585"/>
      <c r="AI381" s="585"/>
      <c r="AJ381" s="585"/>
      <c r="AK381" s="585"/>
      <c r="AL381" s="585"/>
      <c r="AM381" s="585"/>
      <c r="AN381" s="585"/>
      <c r="AO381" s="585"/>
      <c r="AP381" s="585"/>
      <c r="AQ381" s="585"/>
      <c r="AR381" s="585"/>
    </row>
    <row r="382">
      <c r="A382" s="621"/>
      <c r="B382" s="627" t="str">
        <f>IFERROR(__xludf.DUMMYFUNCTION("""COMPUTED_VALUE"""),"Feedback Script R1 + outfits")</f>
        <v>Feedback Script R1 + outfits</v>
      </c>
      <c r="C382" s="628"/>
      <c r="D382" s="602" t="str">
        <f>IFERROR(__xludf.DUMMYFUNCTION("""COMPUTED_VALUE"""),"BRAND")</f>
        <v>BRAND</v>
      </c>
      <c r="E382" s="624" t="str">
        <f>IFERROR(__xludf.DUMMYFUNCTION("""COMPUTED_VALUE"""),"Not start yet")</f>
        <v>Not start yet</v>
      </c>
      <c r="F382" s="604">
        <f>IFERROR(__xludf.DUMMYFUNCTION("""COMPUTED_VALUE"""),46150.0)</f>
        <v>46150</v>
      </c>
      <c r="G382" s="639">
        <f>IFERROR(__xludf.DUMMYFUNCTION("""COMPUTED_VALUE"""),46150.0)</f>
        <v>46150</v>
      </c>
      <c r="H382" s="585"/>
      <c r="I382" s="625"/>
      <c r="J382" s="630" t="s">
        <v>884</v>
      </c>
      <c r="K382" s="585"/>
      <c r="L382" s="585"/>
      <c r="M382" s="585"/>
      <c r="N382" s="585"/>
      <c r="O382" s="585"/>
      <c r="P382" s="585"/>
      <c r="Q382" s="585"/>
      <c r="R382" s="585"/>
      <c r="S382" s="585"/>
      <c r="T382" s="585"/>
      <c r="U382" s="585"/>
      <c r="V382" s="585"/>
      <c r="W382" s="585"/>
      <c r="X382" s="585"/>
      <c r="Y382" s="585"/>
      <c r="Z382" s="585"/>
      <c r="AA382" s="585"/>
      <c r="AB382" s="585"/>
      <c r="AC382" s="585"/>
      <c r="AD382" s="585"/>
      <c r="AE382" s="585"/>
      <c r="AF382" s="585"/>
      <c r="AG382" s="585"/>
      <c r="AH382" s="585"/>
      <c r="AI382" s="585"/>
      <c r="AJ382" s="585"/>
      <c r="AK382" s="585"/>
      <c r="AL382" s="585"/>
      <c r="AM382" s="585"/>
      <c r="AN382" s="585"/>
      <c r="AO382" s="585"/>
      <c r="AP382" s="585"/>
      <c r="AQ382" s="585"/>
      <c r="AR382" s="585"/>
    </row>
    <row r="383">
      <c r="A383" s="621"/>
      <c r="B383" s="631" t="str">
        <f>IFERROR(__xludf.DUMMYFUNCTION("""COMPUTED_VALUE"""),"Script R2")</f>
        <v>Script R2</v>
      </c>
      <c r="C383" s="628"/>
      <c r="D383" s="632" t="str">
        <f>IFERROR(__xludf.DUMMYFUNCTION("""COMPUTED_VALUE"""),"PMAX")</f>
        <v>PMAX</v>
      </c>
      <c r="E383" s="624" t="str">
        <f>IFERROR(__xludf.DUMMYFUNCTION("""COMPUTED_VALUE"""),"Not start yet")</f>
        <v>Not start yet</v>
      </c>
      <c r="F383" s="604">
        <f>IFERROR(__xludf.DUMMYFUNCTION("""COMPUTED_VALUE"""),46151.0)</f>
        <v>46151</v>
      </c>
      <c r="G383" s="639">
        <f>IFERROR(__xludf.DUMMYFUNCTION("""COMPUTED_VALUE"""),46152.0)</f>
        <v>46152</v>
      </c>
      <c r="H383" s="585"/>
      <c r="I383" s="625"/>
      <c r="J383" s="630"/>
      <c r="K383" s="585"/>
      <c r="L383" s="585"/>
      <c r="M383" s="585"/>
      <c r="N383" s="585"/>
      <c r="O383" s="585"/>
      <c r="P383" s="585"/>
      <c r="Q383" s="585"/>
      <c r="R383" s="585"/>
      <c r="S383" s="585"/>
      <c r="T383" s="585"/>
      <c r="U383" s="585"/>
      <c r="V383" s="585"/>
      <c r="W383" s="585"/>
      <c r="X383" s="585"/>
      <c r="Y383" s="585"/>
      <c r="Z383" s="585"/>
      <c r="AA383" s="585"/>
      <c r="AB383" s="585"/>
      <c r="AC383" s="585"/>
      <c r="AD383" s="585"/>
      <c r="AE383" s="585"/>
      <c r="AF383" s="585"/>
      <c r="AG383" s="585"/>
      <c r="AH383" s="585"/>
      <c r="AI383" s="585"/>
      <c r="AJ383" s="585"/>
      <c r="AK383" s="585"/>
      <c r="AL383" s="585"/>
      <c r="AM383" s="585"/>
      <c r="AN383" s="585"/>
      <c r="AO383" s="585"/>
      <c r="AP383" s="585"/>
      <c r="AQ383" s="585"/>
      <c r="AR383" s="585"/>
    </row>
    <row r="384">
      <c r="A384" s="621"/>
      <c r="B384" s="631" t="str">
        <f>IFERROR(__xludf.DUMMYFUNCTION("""COMPUTED_VALUE"""),"Feedback Script R2")</f>
        <v>Feedback Script R2</v>
      </c>
      <c r="C384" s="628"/>
      <c r="D384" s="632" t="str">
        <f>IFERROR(__xludf.DUMMYFUNCTION("""COMPUTED_VALUE"""),"BRAND")</f>
        <v>BRAND</v>
      </c>
      <c r="E384" s="624" t="str">
        <f>IFERROR(__xludf.DUMMYFUNCTION("""COMPUTED_VALUE"""),"Not start yet")</f>
        <v>Not start yet</v>
      </c>
      <c r="F384" s="604">
        <f>IFERROR(__xludf.DUMMYFUNCTION("""COMPUTED_VALUE"""),46153.0)</f>
        <v>46153</v>
      </c>
      <c r="G384" s="639">
        <f>IFERROR(__xludf.DUMMYFUNCTION("""COMPUTED_VALUE"""),46153.0)</f>
        <v>46153</v>
      </c>
      <c r="H384" s="585"/>
      <c r="I384" s="625"/>
      <c r="J384" s="630"/>
      <c r="K384" s="585"/>
      <c r="L384" s="585"/>
      <c r="M384" s="585"/>
      <c r="N384" s="585"/>
      <c r="O384" s="585"/>
      <c r="P384" s="585"/>
      <c r="Q384" s="585"/>
      <c r="R384" s="585"/>
      <c r="S384" s="585"/>
      <c r="T384" s="585"/>
      <c r="U384" s="585"/>
      <c r="V384" s="585"/>
      <c r="W384" s="585"/>
      <c r="X384" s="585"/>
      <c r="Y384" s="585"/>
      <c r="Z384" s="585"/>
      <c r="AA384" s="585"/>
      <c r="AB384" s="585"/>
      <c r="AC384" s="585"/>
      <c r="AD384" s="585"/>
      <c r="AE384" s="585"/>
      <c r="AF384" s="585"/>
      <c r="AG384" s="585"/>
      <c r="AH384" s="585"/>
      <c r="AI384" s="585"/>
      <c r="AJ384" s="585"/>
      <c r="AK384" s="585"/>
      <c r="AL384" s="585"/>
      <c r="AM384" s="585"/>
      <c r="AN384" s="585"/>
      <c r="AO384" s="585"/>
      <c r="AP384" s="585"/>
      <c r="AQ384" s="585"/>
      <c r="AR384" s="585"/>
    </row>
    <row r="385">
      <c r="A385" s="621"/>
      <c r="B385" s="627" t="str">
        <f>IFERROR(__xludf.DUMMYFUNCTION("""COMPUTED_VALUE"""),"Finalize scripts + outfits")</f>
        <v>Finalize scripts + outfits</v>
      </c>
      <c r="C385" s="628"/>
      <c r="D385" s="602" t="str">
        <f>IFERROR(__xludf.DUMMYFUNCTION("""COMPUTED_VALUE"""),"PMAX-BRAND")</f>
        <v>PMAX-BRAND</v>
      </c>
      <c r="E385" s="624" t="str">
        <f>IFERROR(__xludf.DUMMYFUNCTION("""COMPUTED_VALUE"""),"Not start yet")</f>
        <v>Not start yet</v>
      </c>
      <c r="F385" s="604">
        <f>IFERROR(__xludf.DUMMYFUNCTION("""COMPUTED_VALUE"""),46153.0)</f>
        <v>46153</v>
      </c>
      <c r="G385" s="639">
        <f>IFERROR(__xludf.DUMMYFUNCTION("""COMPUTED_VALUE"""),46153.0)</f>
        <v>46153</v>
      </c>
      <c r="H385" s="585"/>
      <c r="I385" s="629">
        <v>1.0</v>
      </c>
      <c r="J385" s="630" t="s">
        <v>885</v>
      </c>
      <c r="K385" s="585"/>
      <c r="L385" s="585"/>
      <c r="M385" s="585"/>
      <c r="N385" s="585"/>
      <c r="O385" s="585"/>
      <c r="P385" s="585"/>
      <c r="Q385" s="585"/>
      <c r="R385" s="585"/>
      <c r="S385" s="585"/>
      <c r="T385" s="585"/>
      <c r="U385" s="585"/>
      <c r="V385" s="585"/>
      <c r="W385" s="585"/>
      <c r="X385" s="585"/>
      <c r="Y385" s="585"/>
      <c r="Z385" s="585"/>
      <c r="AA385" s="585"/>
      <c r="AB385" s="585"/>
      <c r="AC385" s="585"/>
      <c r="AD385" s="585"/>
      <c r="AE385" s="585"/>
      <c r="AF385" s="585"/>
      <c r="AG385" s="585"/>
      <c r="AH385" s="585"/>
      <c r="AI385" s="585"/>
      <c r="AJ385" s="585"/>
      <c r="AK385" s="585"/>
      <c r="AL385" s="585"/>
      <c r="AM385" s="585"/>
      <c r="AN385" s="585"/>
      <c r="AO385" s="585"/>
      <c r="AP385" s="585"/>
      <c r="AQ385" s="585"/>
      <c r="AR385" s="585"/>
    </row>
    <row r="386">
      <c r="A386" s="621"/>
      <c r="B386" s="627" t="str">
        <f>IFERROR(__xludf.DUMMYFUNCTION("""COMPUTED_VALUE"""),"Đi quay tại site")</f>
        <v>Đi quay tại site</v>
      </c>
      <c r="C386" s="628"/>
      <c r="D386" s="602" t="str">
        <f>IFERROR(__xludf.DUMMYFUNCTION("""COMPUTED_VALUE"""),"PMAX")</f>
        <v>PMAX</v>
      </c>
      <c r="E386" s="624" t="str">
        <f>IFERROR(__xludf.DUMMYFUNCTION("""COMPUTED_VALUE"""),"Not start yet")</f>
        <v>Not start yet</v>
      </c>
      <c r="F386" s="604">
        <f>IFERROR(__xludf.DUMMYFUNCTION("""COMPUTED_VALUE"""),46154.0)</f>
        <v>46154</v>
      </c>
      <c r="G386" s="639">
        <f>IFERROR(__xludf.DUMMYFUNCTION("""COMPUTED_VALUE"""),46156.0)</f>
        <v>46156</v>
      </c>
      <c r="H386" s="585"/>
      <c r="I386" s="629">
        <v>2.0</v>
      </c>
      <c r="J386" s="625"/>
      <c r="K386" s="585"/>
      <c r="L386" s="585"/>
      <c r="M386" s="585"/>
      <c r="N386" s="585"/>
      <c r="O386" s="585"/>
      <c r="P386" s="585"/>
      <c r="Q386" s="585"/>
      <c r="R386" s="585"/>
      <c r="S386" s="585"/>
      <c r="T386" s="585"/>
      <c r="U386" s="585"/>
      <c r="V386" s="585"/>
      <c r="W386" s="585"/>
      <c r="X386" s="585"/>
      <c r="Y386" s="585"/>
      <c r="Z386" s="585"/>
      <c r="AA386" s="585"/>
      <c r="AB386" s="585"/>
      <c r="AC386" s="585"/>
      <c r="AD386" s="585"/>
      <c r="AE386" s="585"/>
      <c r="AF386" s="585"/>
      <c r="AG386" s="585"/>
      <c r="AH386" s="585"/>
      <c r="AI386" s="585"/>
      <c r="AJ386" s="585"/>
      <c r="AK386" s="585"/>
      <c r="AL386" s="585"/>
      <c r="AM386" s="585"/>
      <c r="AN386" s="585"/>
      <c r="AO386" s="585"/>
      <c r="AP386" s="585"/>
      <c r="AQ386" s="585"/>
      <c r="AR386" s="585"/>
    </row>
    <row r="387">
      <c r="A387" s="621"/>
      <c r="B387" s="633" t="str">
        <f>IFERROR(__xludf.DUMMYFUNCTION("""COMPUTED_VALUE"""),"Demo R1")</f>
        <v>Demo R1</v>
      </c>
      <c r="C387" s="628"/>
      <c r="D387" s="602" t="str">
        <f>IFERROR(__xludf.DUMMYFUNCTION("""COMPUTED_VALUE"""),"PMAX")</f>
        <v>PMAX</v>
      </c>
      <c r="E387" s="624" t="str">
        <f>IFERROR(__xludf.DUMMYFUNCTION("""COMPUTED_VALUE"""),"Not start yet")</f>
        <v>Not start yet</v>
      </c>
      <c r="F387" s="604">
        <f>IFERROR(__xludf.DUMMYFUNCTION("""COMPUTED_VALUE"""),46156.0)</f>
        <v>46156</v>
      </c>
      <c r="G387" s="639">
        <f>IFERROR(__xludf.DUMMYFUNCTION("""COMPUTED_VALUE"""),46159.0)</f>
        <v>46159</v>
      </c>
      <c r="H387" s="585"/>
      <c r="I387" s="629">
        <v>4.0</v>
      </c>
      <c r="J387" s="630" t="s">
        <v>886</v>
      </c>
      <c r="K387" s="585"/>
      <c r="L387" s="585"/>
      <c r="M387" s="585"/>
      <c r="N387" s="585"/>
      <c r="O387" s="585"/>
      <c r="P387" s="585"/>
      <c r="Q387" s="585"/>
      <c r="R387" s="585"/>
      <c r="S387" s="585"/>
      <c r="T387" s="585"/>
      <c r="U387" s="585"/>
      <c r="V387" s="585"/>
      <c r="W387" s="585"/>
      <c r="X387" s="585"/>
      <c r="Y387" s="585"/>
      <c r="Z387" s="585"/>
      <c r="AA387" s="585"/>
      <c r="AB387" s="585"/>
      <c r="AC387" s="585"/>
      <c r="AD387" s="585"/>
      <c r="AE387" s="585"/>
      <c r="AF387" s="585"/>
      <c r="AG387" s="585"/>
      <c r="AH387" s="585"/>
      <c r="AI387" s="585"/>
      <c r="AJ387" s="585"/>
      <c r="AK387" s="585"/>
      <c r="AL387" s="585"/>
      <c r="AM387" s="585"/>
      <c r="AN387" s="585"/>
      <c r="AO387" s="585"/>
      <c r="AP387" s="585"/>
      <c r="AQ387" s="585"/>
      <c r="AR387" s="585"/>
    </row>
    <row r="388">
      <c r="A388" s="621"/>
      <c r="B388" s="627" t="str">
        <f>IFERROR(__xludf.DUMMYFUNCTION("""COMPUTED_VALUE"""),"Feedback demo R1")</f>
        <v>Feedback demo R1</v>
      </c>
      <c r="C388" s="628"/>
      <c r="D388" s="602" t="str">
        <f>IFERROR(__xludf.DUMMYFUNCTION("""COMPUTED_VALUE"""),"BRAND")</f>
        <v>BRAND</v>
      </c>
      <c r="E388" s="624" t="str">
        <f>IFERROR(__xludf.DUMMYFUNCTION("""COMPUTED_VALUE"""),"Not start yet")</f>
        <v>Not start yet</v>
      </c>
      <c r="F388" s="604">
        <f>IFERROR(__xludf.DUMMYFUNCTION("""COMPUTED_VALUE"""),46160.0)</f>
        <v>46160</v>
      </c>
      <c r="G388" s="639">
        <f>IFERROR(__xludf.DUMMYFUNCTION("""COMPUTED_VALUE"""),46160.0)</f>
        <v>46160</v>
      </c>
      <c r="H388" s="585"/>
      <c r="I388" s="625"/>
      <c r="J388" s="630" t="s">
        <v>887</v>
      </c>
      <c r="K388" s="585"/>
      <c r="L388" s="585"/>
      <c r="M388" s="585"/>
      <c r="N388" s="585"/>
      <c r="O388" s="585"/>
      <c r="P388" s="585"/>
      <c r="Q388" s="585"/>
      <c r="R388" s="585"/>
      <c r="S388" s="585"/>
      <c r="T388" s="585"/>
      <c r="U388" s="585"/>
      <c r="V388" s="585"/>
      <c r="W388" s="585"/>
      <c r="X388" s="585"/>
      <c r="Y388" s="585"/>
      <c r="Z388" s="585"/>
      <c r="AA388" s="585"/>
      <c r="AB388" s="585"/>
      <c r="AC388" s="585"/>
      <c r="AD388" s="585"/>
      <c r="AE388" s="585"/>
      <c r="AF388" s="585"/>
      <c r="AG388" s="585"/>
      <c r="AH388" s="585"/>
      <c r="AI388" s="585"/>
      <c r="AJ388" s="585"/>
      <c r="AK388" s="585"/>
      <c r="AL388" s="585"/>
      <c r="AM388" s="585"/>
      <c r="AN388" s="585"/>
      <c r="AO388" s="585"/>
      <c r="AP388" s="585"/>
      <c r="AQ388" s="585"/>
      <c r="AR388" s="585"/>
    </row>
    <row r="389">
      <c r="A389" s="621"/>
      <c r="B389" s="633" t="str">
        <f>IFERROR(__xludf.DUMMYFUNCTION("""COMPUTED_VALUE"""),"Demo R2")</f>
        <v>Demo R2</v>
      </c>
      <c r="C389" s="628"/>
      <c r="D389" s="602" t="str">
        <f>IFERROR(__xludf.DUMMYFUNCTION("""COMPUTED_VALUE"""),"PMAX")</f>
        <v>PMAX</v>
      </c>
      <c r="E389" s="624" t="str">
        <f>IFERROR(__xludf.DUMMYFUNCTION("""COMPUTED_VALUE"""),"Not start yet")</f>
        <v>Not start yet</v>
      </c>
      <c r="F389" s="604">
        <f>IFERROR(__xludf.DUMMYFUNCTION("""COMPUTED_VALUE"""),46161.0)</f>
        <v>46161</v>
      </c>
      <c r="G389" s="639">
        <f>IFERROR(__xludf.DUMMYFUNCTION("""COMPUTED_VALUE"""),46163.0)</f>
        <v>46163</v>
      </c>
      <c r="H389" s="585"/>
      <c r="I389" s="625"/>
      <c r="J389" s="625"/>
      <c r="K389" s="585"/>
      <c r="L389" s="585"/>
      <c r="M389" s="585"/>
      <c r="N389" s="585"/>
      <c r="O389" s="585"/>
      <c r="P389" s="585"/>
      <c r="Q389" s="585"/>
      <c r="R389" s="585"/>
      <c r="S389" s="585"/>
      <c r="T389" s="585"/>
      <c r="U389" s="585"/>
      <c r="V389" s="585"/>
      <c r="W389" s="585"/>
      <c r="X389" s="585"/>
      <c r="Y389" s="585"/>
      <c r="Z389" s="585"/>
      <c r="AA389" s="585"/>
      <c r="AB389" s="585"/>
      <c r="AC389" s="585"/>
      <c r="AD389" s="585"/>
      <c r="AE389" s="585"/>
      <c r="AF389" s="585"/>
      <c r="AG389" s="585"/>
      <c r="AH389" s="585"/>
      <c r="AI389" s="585"/>
      <c r="AJ389" s="585"/>
      <c r="AK389" s="585"/>
      <c r="AL389" s="585"/>
      <c r="AM389" s="585"/>
      <c r="AN389" s="585"/>
      <c r="AO389" s="585"/>
      <c r="AP389" s="585"/>
      <c r="AQ389" s="585"/>
      <c r="AR389" s="585"/>
    </row>
    <row r="390">
      <c r="A390" s="621"/>
      <c r="B390" s="627" t="str">
        <f>IFERROR(__xludf.DUMMYFUNCTION("""COMPUTED_VALUE"""),"Feedback demo R2")</f>
        <v>Feedback demo R2</v>
      </c>
      <c r="C390" s="628"/>
      <c r="D390" s="602" t="str">
        <f>IFERROR(__xludf.DUMMYFUNCTION("""COMPUTED_VALUE"""),"BRAND")</f>
        <v>BRAND</v>
      </c>
      <c r="E390" s="624" t="str">
        <f>IFERROR(__xludf.DUMMYFUNCTION("""COMPUTED_VALUE"""),"Not start yet")</f>
        <v>Not start yet</v>
      </c>
      <c r="F390" s="604">
        <f>IFERROR(__xludf.DUMMYFUNCTION("""COMPUTED_VALUE"""),46164.0)</f>
        <v>46164</v>
      </c>
      <c r="G390" s="639">
        <f>IFERROR(__xludf.DUMMYFUNCTION("""COMPUTED_VALUE"""),46164.0)</f>
        <v>46164</v>
      </c>
      <c r="H390" s="585"/>
      <c r="I390" s="625"/>
      <c r="J390" s="625"/>
      <c r="K390" s="585"/>
      <c r="L390" s="585"/>
      <c r="M390" s="585"/>
      <c r="N390" s="585"/>
      <c r="O390" s="585"/>
      <c r="P390" s="585"/>
      <c r="Q390" s="585"/>
      <c r="R390" s="585"/>
      <c r="S390" s="585"/>
      <c r="T390" s="585"/>
      <c r="U390" s="585"/>
      <c r="V390" s="585"/>
      <c r="W390" s="585"/>
      <c r="X390" s="585"/>
      <c r="Y390" s="585"/>
      <c r="Z390" s="585"/>
      <c r="AA390" s="585"/>
      <c r="AB390" s="585"/>
      <c r="AC390" s="585"/>
      <c r="AD390" s="585"/>
      <c r="AE390" s="585"/>
      <c r="AF390" s="585"/>
      <c r="AG390" s="585"/>
      <c r="AH390" s="585"/>
      <c r="AI390" s="585"/>
      <c r="AJ390" s="585"/>
      <c r="AK390" s="585"/>
      <c r="AL390" s="585"/>
      <c r="AM390" s="585"/>
      <c r="AN390" s="585"/>
      <c r="AO390" s="585"/>
      <c r="AP390" s="585"/>
      <c r="AQ390" s="585"/>
      <c r="AR390" s="585"/>
    </row>
    <row r="391">
      <c r="A391" s="621"/>
      <c r="B391" s="627" t="str">
        <f>IFERROR(__xludf.DUMMYFUNCTION("""COMPUTED_VALUE"""),"Finalize demo")</f>
        <v>Finalize demo</v>
      </c>
      <c r="C391" s="628"/>
      <c r="D391" s="602" t="str">
        <f>IFERROR(__xludf.DUMMYFUNCTION("""COMPUTED_VALUE"""),"PMAX")</f>
        <v>PMAX</v>
      </c>
      <c r="E391" s="624" t="str">
        <f>IFERROR(__xludf.DUMMYFUNCTION("""COMPUTED_VALUE"""),"Not start yet")</f>
        <v>Not start yet</v>
      </c>
      <c r="F391" s="604">
        <f>IFERROR(__xludf.DUMMYFUNCTION("""COMPUTED_VALUE"""),46164.0)</f>
        <v>46164</v>
      </c>
      <c r="G391" s="639">
        <f>IFERROR(__xludf.DUMMYFUNCTION("""COMPUTED_VALUE"""),46164.0)</f>
        <v>46164</v>
      </c>
      <c r="H391" s="585"/>
      <c r="I391" s="629">
        <v>1.0</v>
      </c>
      <c r="J391" s="630" t="s">
        <v>888</v>
      </c>
      <c r="K391" s="585"/>
      <c r="L391" s="585"/>
      <c r="M391" s="585"/>
      <c r="N391" s="585"/>
      <c r="O391" s="585"/>
      <c r="P391" s="585"/>
      <c r="Q391" s="585"/>
      <c r="R391" s="585"/>
      <c r="S391" s="585"/>
      <c r="T391" s="585"/>
      <c r="U391" s="585"/>
      <c r="V391" s="585"/>
      <c r="W391" s="585"/>
      <c r="X391" s="585"/>
      <c r="Y391" s="585"/>
      <c r="Z391" s="585"/>
      <c r="AA391" s="585"/>
      <c r="AB391" s="585"/>
      <c r="AC391" s="585"/>
      <c r="AD391" s="585"/>
      <c r="AE391" s="585"/>
      <c r="AF391" s="585"/>
      <c r="AG391" s="585"/>
      <c r="AH391" s="585"/>
      <c r="AI391" s="585"/>
      <c r="AJ391" s="585"/>
      <c r="AK391" s="585"/>
      <c r="AL391" s="585"/>
      <c r="AM391" s="585"/>
      <c r="AN391" s="585"/>
      <c r="AO391" s="585"/>
      <c r="AP391" s="585"/>
      <c r="AQ391" s="585"/>
      <c r="AR391" s="585"/>
    </row>
    <row r="392">
      <c r="A392" s="621"/>
      <c r="B392" s="634" t="str">
        <f>IFERROR(__xludf.DUMMYFUNCTION("""COMPUTED_VALUE"""),"Air")</f>
        <v>Air</v>
      </c>
      <c r="C392" s="26"/>
      <c r="D392" s="602" t="str">
        <f>IFERROR(__xludf.DUMMYFUNCTION("""COMPUTED_VALUE"""),"PMAX")</f>
        <v>PMAX</v>
      </c>
      <c r="E392" s="624" t="str">
        <f>IFERROR(__xludf.DUMMYFUNCTION("""COMPUTED_VALUE"""),"Not start yet")</f>
        <v>Not start yet</v>
      </c>
      <c r="F392" s="604" t="str">
        <f>IFERROR(__xludf.DUMMYFUNCTION("""COMPUTED_VALUE"""),"TBU")</f>
        <v>TBU</v>
      </c>
      <c r="G392" s="639" t="str">
        <f>IFERROR(__xludf.DUMMYFUNCTION("""COMPUTED_VALUE"""),"TBU")</f>
        <v>TBU</v>
      </c>
      <c r="H392" s="585"/>
      <c r="I392" s="636">
        <v>1.0</v>
      </c>
      <c r="J392" s="585"/>
      <c r="K392" s="585"/>
      <c r="L392" s="585"/>
      <c r="M392" s="585"/>
      <c r="N392" s="585"/>
      <c r="O392" s="585"/>
      <c r="P392" s="585"/>
      <c r="Q392" s="585"/>
      <c r="R392" s="585"/>
      <c r="S392" s="585"/>
      <c r="T392" s="585"/>
      <c r="U392" s="585"/>
      <c r="V392" s="585"/>
      <c r="W392" s="585"/>
      <c r="X392" s="585"/>
      <c r="Y392" s="585"/>
      <c r="Z392" s="585"/>
      <c r="AA392" s="585"/>
      <c r="AB392" s="585"/>
      <c r="AC392" s="585"/>
      <c r="AD392" s="585"/>
      <c r="AE392" s="585"/>
      <c r="AF392" s="585"/>
      <c r="AG392" s="585"/>
      <c r="AH392" s="585"/>
      <c r="AI392" s="585"/>
      <c r="AJ392" s="585"/>
      <c r="AK392" s="585"/>
      <c r="AL392" s="585"/>
      <c r="AM392" s="585"/>
      <c r="AN392" s="585"/>
      <c r="AO392" s="585"/>
      <c r="AP392" s="585"/>
      <c r="AQ392" s="585"/>
      <c r="AR392" s="585"/>
    </row>
    <row r="393">
      <c r="A393" s="642"/>
      <c r="B393" s="643" t="str">
        <f>IFERROR(__xludf.DUMMYFUNCTION("""COMPUTED_VALUE"""),"Khu Vực miền Tây")</f>
        <v>Khu Vực miền Tây</v>
      </c>
      <c r="C393" s="642"/>
      <c r="D393" s="642"/>
      <c r="E393" s="642"/>
      <c r="F393" s="642"/>
      <c r="G393" s="642"/>
    </row>
    <row r="394">
      <c r="A394" s="637">
        <f>IFERROR(__xludf.DUMMYFUNCTION("""COMPUTED_VALUE"""),27.0)</f>
        <v>27</v>
      </c>
      <c r="B394" s="616" t="str">
        <f>IFERROR(__xludf.DUMMYFUNCTION("""COMPUTED_VALUE"""),"Nhà Bé Sushi")</f>
        <v>Nhà Bé Sushi</v>
      </c>
      <c r="C394" s="617"/>
      <c r="D394" s="618"/>
      <c r="E394" s="619"/>
      <c r="F394" s="619"/>
      <c r="G394" s="619"/>
      <c r="H394" s="585"/>
      <c r="I394" s="585"/>
      <c r="J394" s="585"/>
      <c r="K394" s="585"/>
      <c r="L394" s="585"/>
      <c r="M394" s="585"/>
      <c r="N394" s="585"/>
      <c r="O394" s="585"/>
      <c r="P394" s="585"/>
      <c r="Q394" s="585"/>
      <c r="R394" s="585"/>
      <c r="S394" s="585"/>
      <c r="T394" s="585"/>
      <c r="U394" s="585"/>
      <c r="V394" s="585"/>
      <c r="W394" s="585"/>
      <c r="X394" s="585"/>
      <c r="Y394" s="585"/>
      <c r="Z394" s="585"/>
      <c r="AA394" s="585"/>
      <c r="AB394" s="585"/>
      <c r="AC394" s="585"/>
      <c r="AD394" s="585"/>
      <c r="AE394" s="585"/>
      <c r="AF394" s="585"/>
      <c r="AG394" s="585"/>
      <c r="AH394" s="585"/>
      <c r="AI394" s="585"/>
      <c r="AJ394" s="585"/>
      <c r="AK394" s="585"/>
      <c r="AL394" s="585"/>
      <c r="AM394" s="585"/>
      <c r="AN394" s="585"/>
      <c r="AO394" s="585"/>
      <c r="AP394" s="585"/>
      <c r="AQ394" s="585"/>
      <c r="AR394" s="585"/>
    </row>
    <row r="395">
      <c r="A395" s="621"/>
      <c r="B395" s="622" t="str">
        <f>IFERROR(__xludf.DUMMYFUNCTION("""COMPUTED_VALUE"""),"Briefing cho Influencer")</f>
        <v>Briefing cho Influencer</v>
      </c>
      <c r="C395" s="623"/>
      <c r="D395" s="602" t="str">
        <f>IFERROR(__xludf.DUMMYFUNCTION("""COMPUTED_VALUE"""),"PMAX")</f>
        <v>PMAX</v>
      </c>
      <c r="E395" s="624" t="str">
        <f>IFERROR(__xludf.DUMMYFUNCTION("""COMPUTED_VALUE"""),"Not start yet")</f>
        <v>Not start yet</v>
      </c>
      <c r="F395" s="604">
        <f>IFERROR(__xludf.DUMMYFUNCTION("""COMPUTED_VALUE"""),46147.0)</f>
        <v>46147</v>
      </c>
      <c r="G395" s="639">
        <f>IFERROR(__xludf.DUMMYFUNCTION("""COMPUTED_VALUE"""),46148.0)</f>
        <v>46148</v>
      </c>
      <c r="H395" s="585"/>
      <c r="I395" s="625"/>
      <c r="J395" s="626" t="s">
        <v>882</v>
      </c>
      <c r="K395" s="585"/>
      <c r="L395" s="585"/>
      <c r="M395" s="585"/>
      <c r="N395" s="585"/>
      <c r="O395" s="585"/>
      <c r="P395" s="585"/>
      <c r="Q395" s="585"/>
      <c r="R395" s="585"/>
      <c r="S395" s="585"/>
      <c r="T395" s="585"/>
      <c r="U395" s="585"/>
      <c r="V395" s="585"/>
      <c r="W395" s="585"/>
      <c r="X395" s="585"/>
      <c r="Y395" s="585"/>
      <c r="Z395" s="585"/>
      <c r="AA395" s="585"/>
      <c r="AB395" s="585"/>
      <c r="AC395" s="585"/>
      <c r="AD395" s="585"/>
      <c r="AE395" s="585"/>
      <c r="AF395" s="585"/>
      <c r="AG395" s="585"/>
      <c r="AH395" s="585"/>
      <c r="AI395" s="585"/>
      <c r="AJ395" s="585"/>
      <c r="AK395" s="585"/>
      <c r="AL395" s="585"/>
      <c r="AM395" s="585"/>
      <c r="AN395" s="585"/>
      <c r="AO395" s="585"/>
      <c r="AP395" s="585"/>
      <c r="AQ395" s="585"/>
      <c r="AR395" s="585"/>
    </row>
    <row r="396">
      <c r="A396" s="621"/>
      <c r="B396" s="627" t="str">
        <f>IFERROR(__xludf.DUMMYFUNCTION("""COMPUTED_VALUE"""),"Script R1 + Outfits")</f>
        <v>Script R1 + Outfits</v>
      </c>
      <c r="C396" s="628"/>
      <c r="D396" s="602" t="str">
        <f>IFERROR(__xludf.DUMMYFUNCTION("""COMPUTED_VALUE"""),"PMAX")</f>
        <v>PMAX</v>
      </c>
      <c r="E396" s="624" t="str">
        <f>IFERROR(__xludf.DUMMYFUNCTION("""COMPUTED_VALUE"""),"Not start yet")</f>
        <v>Not start yet</v>
      </c>
      <c r="F396" s="604">
        <f>IFERROR(__xludf.DUMMYFUNCTION("""COMPUTED_VALUE"""),46148.0)</f>
        <v>46148</v>
      </c>
      <c r="G396" s="639">
        <f>IFERROR(__xludf.DUMMYFUNCTION("""COMPUTED_VALUE"""),46150.0)</f>
        <v>46150</v>
      </c>
      <c r="H396" s="585"/>
      <c r="I396" s="629">
        <v>1.0</v>
      </c>
      <c r="J396" s="630" t="s">
        <v>883</v>
      </c>
      <c r="K396" s="585"/>
      <c r="L396" s="585"/>
      <c r="M396" s="585"/>
      <c r="N396" s="585"/>
      <c r="O396" s="585"/>
      <c r="P396" s="585"/>
      <c r="Q396" s="585"/>
      <c r="R396" s="585"/>
      <c r="S396" s="585"/>
      <c r="T396" s="585"/>
      <c r="U396" s="585"/>
      <c r="V396" s="585"/>
      <c r="W396" s="585"/>
      <c r="X396" s="585"/>
      <c r="Y396" s="585"/>
      <c r="Z396" s="585"/>
      <c r="AA396" s="585"/>
      <c r="AB396" s="585"/>
      <c r="AC396" s="585"/>
      <c r="AD396" s="585"/>
      <c r="AE396" s="585"/>
      <c r="AF396" s="585"/>
      <c r="AG396" s="585"/>
      <c r="AH396" s="585"/>
      <c r="AI396" s="585"/>
      <c r="AJ396" s="585"/>
      <c r="AK396" s="585"/>
      <c r="AL396" s="585"/>
      <c r="AM396" s="585"/>
      <c r="AN396" s="585"/>
      <c r="AO396" s="585"/>
      <c r="AP396" s="585"/>
      <c r="AQ396" s="585"/>
      <c r="AR396" s="585"/>
    </row>
    <row r="397">
      <c r="A397" s="621"/>
      <c r="B397" s="627" t="str">
        <f>IFERROR(__xludf.DUMMYFUNCTION("""COMPUTED_VALUE"""),"Feedback Script R1 + outfits")</f>
        <v>Feedback Script R1 + outfits</v>
      </c>
      <c r="C397" s="628"/>
      <c r="D397" s="602" t="str">
        <f>IFERROR(__xludf.DUMMYFUNCTION("""COMPUTED_VALUE"""),"BRAND")</f>
        <v>BRAND</v>
      </c>
      <c r="E397" s="624" t="str">
        <f>IFERROR(__xludf.DUMMYFUNCTION("""COMPUTED_VALUE"""),"Not start yet")</f>
        <v>Not start yet</v>
      </c>
      <c r="F397" s="604">
        <f>IFERROR(__xludf.DUMMYFUNCTION("""COMPUTED_VALUE"""),46150.0)</f>
        <v>46150</v>
      </c>
      <c r="G397" s="639">
        <f>IFERROR(__xludf.DUMMYFUNCTION("""COMPUTED_VALUE"""),46150.0)</f>
        <v>46150</v>
      </c>
      <c r="H397" s="585"/>
      <c r="I397" s="625"/>
      <c r="J397" s="630" t="s">
        <v>884</v>
      </c>
      <c r="K397" s="585"/>
      <c r="L397" s="585"/>
      <c r="M397" s="585"/>
      <c r="N397" s="585"/>
      <c r="O397" s="585"/>
      <c r="P397" s="585"/>
      <c r="Q397" s="585"/>
      <c r="R397" s="585"/>
      <c r="S397" s="585"/>
      <c r="T397" s="585"/>
      <c r="U397" s="585"/>
      <c r="V397" s="585"/>
      <c r="W397" s="585"/>
      <c r="X397" s="585"/>
      <c r="Y397" s="585"/>
      <c r="Z397" s="585"/>
      <c r="AA397" s="585"/>
      <c r="AB397" s="585"/>
      <c r="AC397" s="585"/>
      <c r="AD397" s="585"/>
      <c r="AE397" s="585"/>
      <c r="AF397" s="585"/>
      <c r="AG397" s="585"/>
      <c r="AH397" s="585"/>
      <c r="AI397" s="585"/>
      <c r="AJ397" s="585"/>
      <c r="AK397" s="585"/>
      <c r="AL397" s="585"/>
      <c r="AM397" s="585"/>
      <c r="AN397" s="585"/>
      <c r="AO397" s="585"/>
      <c r="AP397" s="585"/>
      <c r="AQ397" s="585"/>
      <c r="AR397" s="585"/>
    </row>
    <row r="398">
      <c r="A398" s="621"/>
      <c r="B398" s="631" t="str">
        <f>IFERROR(__xludf.DUMMYFUNCTION("""COMPUTED_VALUE"""),"Script R2")</f>
        <v>Script R2</v>
      </c>
      <c r="C398" s="628"/>
      <c r="D398" s="632" t="str">
        <f>IFERROR(__xludf.DUMMYFUNCTION("""COMPUTED_VALUE"""),"PMAX")</f>
        <v>PMAX</v>
      </c>
      <c r="E398" s="624" t="str">
        <f>IFERROR(__xludf.DUMMYFUNCTION("""COMPUTED_VALUE"""),"Not start yet")</f>
        <v>Not start yet</v>
      </c>
      <c r="F398" s="604">
        <f>IFERROR(__xludf.DUMMYFUNCTION("""COMPUTED_VALUE"""),46151.0)</f>
        <v>46151</v>
      </c>
      <c r="G398" s="639">
        <f>IFERROR(__xludf.DUMMYFUNCTION("""COMPUTED_VALUE"""),46152.0)</f>
        <v>46152</v>
      </c>
      <c r="H398" s="585"/>
      <c r="I398" s="625"/>
      <c r="J398" s="630"/>
      <c r="K398" s="585"/>
      <c r="L398" s="585"/>
      <c r="M398" s="585"/>
      <c r="N398" s="585"/>
      <c r="O398" s="585"/>
      <c r="P398" s="585"/>
      <c r="Q398" s="585"/>
      <c r="R398" s="585"/>
      <c r="S398" s="585"/>
      <c r="T398" s="585"/>
      <c r="U398" s="585"/>
      <c r="V398" s="585"/>
      <c r="W398" s="585"/>
      <c r="X398" s="585"/>
      <c r="Y398" s="585"/>
      <c r="Z398" s="585"/>
      <c r="AA398" s="585"/>
      <c r="AB398" s="585"/>
      <c r="AC398" s="585"/>
      <c r="AD398" s="585"/>
      <c r="AE398" s="585"/>
      <c r="AF398" s="585"/>
      <c r="AG398" s="585"/>
      <c r="AH398" s="585"/>
      <c r="AI398" s="585"/>
      <c r="AJ398" s="585"/>
      <c r="AK398" s="585"/>
      <c r="AL398" s="585"/>
      <c r="AM398" s="585"/>
      <c r="AN398" s="585"/>
      <c r="AO398" s="585"/>
      <c r="AP398" s="585"/>
      <c r="AQ398" s="585"/>
      <c r="AR398" s="585"/>
    </row>
    <row r="399">
      <c r="A399" s="621"/>
      <c r="B399" s="631" t="str">
        <f>IFERROR(__xludf.DUMMYFUNCTION("""COMPUTED_VALUE"""),"Feedback Script R2")</f>
        <v>Feedback Script R2</v>
      </c>
      <c r="C399" s="628"/>
      <c r="D399" s="632" t="str">
        <f>IFERROR(__xludf.DUMMYFUNCTION("""COMPUTED_VALUE"""),"BRAND")</f>
        <v>BRAND</v>
      </c>
      <c r="E399" s="624" t="str">
        <f>IFERROR(__xludf.DUMMYFUNCTION("""COMPUTED_VALUE"""),"Not start yet")</f>
        <v>Not start yet</v>
      </c>
      <c r="F399" s="604">
        <f>IFERROR(__xludf.DUMMYFUNCTION("""COMPUTED_VALUE"""),46153.0)</f>
        <v>46153</v>
      </c>
      <c r="G399" s="639">
        <f>IFERROR(__xludf.DUMMYFUNCTION("""COMPUTED_VALUE"""),46153.0)</f>
        <v>46153</v>
      </c>
      <c r="H399" s="585"/>
      <c r="I399" s="625"/>
      <c r="J399" s="630"/>
      <c r="K399" s="585"/>
      <c r="L399" s="585"/>
      <c r="M399" s="585"/>
      <c r="N399" s="585"/>
      <c r="O399" s="585"/>
      <c r="P399" s="585"/>
      <c r="Q399" s="585"/>
      <c r="R399" s="585"/>
      <c r="S399" s="585"/>
      <c r="T399" s="585"/>
      <c r="U399" s="585"/>
      <c r="V399" s="585"/>
      <c r="W399" s="585"/>
      <c r="X399" s="585"/>
      <c r="Y399" s="585"/>
      <c r="Z399" s="585"/>
      <c r="AA399" s="585"/>
      <c r="AB399" s="585"/>
      <c r="AC399" s="585"/>
      <c r="AD399" s="585"/>
      <c r="AE399" s="585"/>
      <c r="AF399" s="585"/>
      <c r="AG399" s="585"/>
      <c r="AH399" s="585"/>
      <c r="AI399" s="585"/>
      <c r="AJ399" s="585"/>
      <c r="AK399" s="585"/>
      <c r="AL399" s="585"/>
      <c r="AM399" s="585"/>
      <c r="AN399" s="585"/>
      <c r="AO399" s="585"/>
      <c r="AP399" s="585"/>
      <c r="AQ399" s="585"/>
      <c r="AR399" s="585"/>
    </row>
    <row r="400">
      <c r="A400" s="621"/>
      <c r="B400" s="627" t="str">
        <f>IFERROR(__xludf.DUMMYFUNCTION("""COMPUTED_VALUE"""),"Finalize scripts + outfits")</f>
        <v>Finalize scripts + outfits</v>
      </c>
      <c r="C400" s="628"/>
      <c r="D400" s="602" t="str">
        <f>IFERROR(__xludf.DUMMYFUNCTION("""COMPUTED_VALUE"""),"PMAX-BRAND")</f>
        <v>PMAX-BRAND</v>
      </c>
      <c r="E400" s="624" t="str">
        <f>IFERROR(__xludf.DUMMYFUNCTION("""COMPUTED_VALUE"""),"Not start yet")</f>
        <v>Not start yet</v>
      </c>
      <c r="F400" s="604">
        <f>IFERROR(__xludf.DUMMYFUNCTION("""COMPUTED_VALUE"""),46153.0)</f>
        <v>46153</v>
      </c>
      <c r="G400" s="639">
        <f>IFERROR(__xludf.DUMMYFUNCTION("""COMPUTED_VALUE"""),46153.0)</f>
        <v>46153</v>
      </c>
      <c r="H400" s="585"/>
      <c r="I400" s="629">
        <v>1.0</v>
      </c>
      <c r="J400" s="630" t="s">
        <v>885</v>
      </c>
      <c r="K400" s="585"/>
      <c r="L400" s="585"/>
      <c r="M400" s="585"/>
      <c r="N400" s="585"/>
      <c r="O400" s="585"/>
      <c r="P400" s="585"/>
      <c r="Q400" s="585"/>
      <c r="R400" s="585"/>
      <c r="S400" s="585"/>
      <c r="T400" s="585"/>
      <c r="U400" s="585"/>
      <c r="V400" s="585"/>
      <c r="W400" s="585"/>
      <c r="X400" s="585"/>
      <c r="Y400" s="585"/>
      <c r="Z400" s="585"/>
      <c r="AA400" s="585"/>
      <c r="AB400" s="585"/>
      <c r="AC400" s="585"/>
      <c r="AD400" s="585"/>
      <c r="AE400" s="585"/>
      <c r="AF400" s="585"/>
      <c r="AG400" s="585"/>
      <c r="AH400" s="585"/>
      <c r="AI400" s="585"/>
      <c r="AJ400" s="585"/>
      <c r="AK400" s="585"/>
      <c r="AL400" s="585"/>
      <c r="AM400" s="585"/>
      <c r="AN400" s="585"/>
      <c r="AO400" s="585"/>
      <c r="AP400" s="585"/>
      <c r="AQ400" s="585"/>
      <c r="AR400" s="585"/>
    </row>
    <row r="401">
      <c r="A401" s="621"/>
      <c r="B401" s="627" t="str">
        <f>IFERROR(__xludf.DUMMYFUNCTION("""COMPUTED_VALUE"""),"Đi quay tại site")</f>
        <v>Đi quay tại site</v>
      </c>
      <c r="C401" s="628"/>
      <c r="D401" s="602" t="str">
        <f>IFERROR(__xludf.DUMMYFUNCTION("""COMPUTED_VALUE"""),"PMAX")</f>
        <v>PMAX</v>
      </c>
      <c r="E401" s="624" t="str">
        <f>IFERROR(__xludf.DUMMYFUNCTION("""COMPUTED_VALUE"""),"Not start yet")</f>
        <v>Not start yet</v>
      </c>
      <c r="F401" s="604">
        <f>IFERROR(__xludf.DUMMYFUNCTION("""COMPUTED_VALUE"""),46154.0)</f>
        <v>46154</v>
      </c>
      <c r="G401" s="639">
        <f>IFERROR(__xludf.DUMMYFUNCTION("""COMPUTED_VALUE"""),46156.0)</f>
        <v>46156</v>
      </c>
      <c r="H401" s="585"/>
      <c r="I401" s="629">
        <v>2.0</v>
      </c>
      <c r="J401" s="625"/>
      <c r="K401" s="585"/>
      <c r="L401" s="585"/>
      <c r="M401" s="585"/>
      <c r="N401" s="585"/>
      <c r="O401" s="585"/>
      <c r="P401" s="585"/>
      <c r="Q401" s="585"/>
      <c r="R401" s="585"/>
      <c r="S401" s="585"/>
      <c r="T401" s="585"/>
      <c r="U401" s="585"/>
      <c r="V401" s="585"/>
      <c r="W401" s="585"/>
      <c r="X401" s="585"/>
      <c r="Y401" s="585"/>
      <c r="Z401" s="585"/>
      <c r="AA401" s="585"/>
      <c r="AB401" s="585"/>
      <c r="AC401" s="585"/>
      <c r="AD401" s="585"/>
      <c r="AE401" s="585"/>
      <c r="AF401" s="585"/>
      <c r="AG401" s="585"/>
      <c r="AH401" s="585"/>
      <c r="AI401" s="585"/>
      <c r="AJ401" s="585"/>
      <c r="AK401" s="585"/>
      <c r="AL401" s="585"/>
      <c r="AM401" s="585"/>
      <c r="AN401" s="585"/>
      <c r="AO401" s="585"/>
      <c r="AP401" s="585"/>
      <c r="AQ401" s="585"/>
      <c r="AR401" s="585"/>
    </row>
    <row r="402">
      <c r="A402" s="621"/>
      <c r="B402" s="633" t="str">
        <f>IFERROR(__xludf.DUMMYFUNCTION("""COMPUTED_VALUE"""),"Demo R1")</f>
        <v>Demo R1</v>
      </c>
      <c r="C402" s="628"/>
      <c r="D402" s="602" t="str">
        <f>IFERROR(__xludf.DUMMYFUNCTION("""COMPUTED_VALUE"""),"PMAX")</f>
        <v>PMAX</v>
      </c>
      <c r="E402" s="624" t="str">
        <f>IFERROR(__xludf.DUMMYFUNCTION("""COMPUTED_VALUE"""),"Not start yet")</f>
        <v>Not start yet</v>
      </c>
      <c r="F402" s="604">
        <f>IFERROR(__xludf.DUMMYFUNCTION("""COMPUTED_VALUE"""),46156.0)</f>
        <v>46156</v>
      </c>
      <c r="G402" s="639">
        <f>IFERROR(__xludf.DUMMYFUNCTION("""COMPUTED_VALUE"""),46159.0)</f>
        <v>46159</v>
      </c>
      <c r="H402" s="585"/>
      <c r="I402" s="629">
        <v>4.0</v>
      </c>
      <c r="J402" s="630" t="s">
        <v>886</v>
      </c>
      <c r="K402" s="585"/>
      <c r="L402" s="585"/>
      <c r="M402" s="585"/>
      <c r="N402" s="585"/>
      <c r="O402" s="585"/>
      <c r="P402" s="585"/>
      <c r="Q402" s="585"/>
      <c r="R402" s="585"/>
      <c r="S402" s="585"/>
      <c r="T402" s="585"/>
      <c r="U402" s="585"/>
      <c r="V402" s="585"/>
      <c r="W402" s="585"/>
      <c r="X402" s="585"/>
      <c r="Y402" s="585"/>
      <c r="Z402" s="585"/>
      <c r="AA402" s="585"/>
      <c r="AB402" s="585"/>
      <c r="AC402" s="585"/>
      <c r="AD402" s="585"/>
      <c r="AE402" s="585"/>
      <c r="AF402" s="585"/>
      <c r="AG402" s="585"/>
      <c r="AH402" s="585"/>
      <c r="AI402" s="585"/>
      <c r="AJ402" s="585"/>
      <c r="AK402" s="585"/>
      <c r="AL402" s="585"/>
      <c r="AM402" s="585"/>
      <c r="AN402" s="585"/>
      <c r="AO402" s="585"/>
      <c r="AP402" s="585"/>
      <c r="AQ402" s="585"/>
      <c r="AR402" s="585"/>
    </row>
    <row r="403">
      <c r="A403" s="621"/>
      <c r="B403" s="627" t="str">
        <f>IFERROR(__xludf.DUMMYFUNCTION("""COMPUTED_VALUE"""),"Feedback demo R1")</f>
        <v>Feedback demo R1</v>
      </c>
      <c r="C403" s="628"/>
      <c r="D403" s="602" t="str">
        <f>IFERROR(__xludf.DUMMYFUNCTION("""COMPUTED_VALUE"""),"BRAND")</f>
        <v>BRAND</v>
      </c>
      <c r="E403" s="624" t="str">
        <f>IFERROR(__xludf.DUMMYFUNCTION("""COMPUTED_VALUE"""),"Not start yet")</f>
        <v>Not start yet</v>
      </c>
      <c r="F403" s="604">
        <f>IFERROR(__xludf.DUMMYFUNCTION("""COMPUTED_VALUE"""),46160.0)</f>
        <v>46160</v>
      </c>
      <c r="G403" s="639">
        <f>IFERROR(__xludf.DUMMYFUNCTION("""COMPUTED_VALUE"""),46160.0)</f>
        <v>46160</v>
      </c>
      <c r="H403" s="585"/>
      <c r="I403" s="625"/>
      <c r="J403" s="630" t="s">
        <v>887</v>
      </c>
      <c r="K403" s="585"/>
      <c r="L403" s="585"/>
      <c r="M403" s="585"/>
      <c r="N403" s="585"/>
      <c r="O403" s="585"/>
      <c r="P403" s="585"/>
      <c r="Q403" s="585"/>
      <c r="R403" s="585"/>
      <c r="S403" s="585"/>
      <c r="T403" s="585"/>
      <c r="U403" s="585"/>
      <c r="V403" s="585"/>
      <c r="W403" s="585"/>
      <c r="X403" s="585"/>
      <c r="Y403" s="585"/>
      <c r="Z403" s="585"/>
      <c r="AA403" s="585"/>
      <c r="AB403" s="585"/>
      <c r="AC403" s="585"/>
      <c r="AD403" s="585"/>
      <c r="AE403" s="585"/>
      <c r="AF403" s="585"/>
      <c r="AG403" s="585"/>
      <c r="AH403" s="585"/>
      <c r="AI403" s="585"/>
      <c r="AJ403" s="585"/>
      <c r="AK403" s="585"/>
      <c r="AL403" s="585"/>
      <c r="AM403" s="585"/>
      <c r="AN403" s="585"/>
      <c r="AO403" s="585"/>
      <c r="AP403" s="585"/>
      <c r="AQ403" s="585"/>
      <c r="AR403" s="585"/>
    </row>
    <row r="404">
      <c r="A404" s="621"/>
      <c r="B404" s="633" t="str">
        <f>IFERROR(__xludf.DUMMYFUNCTION("""COMPUTED_VALUE"""),"Demo R2")</f>
        <v>Demo R2</v>
      </c>
      <c r="C404" s="628"/>
      <c r="D404" s="602" t="str">
        <f>IFERROR(__xludf.DUMMYFUNCTION("""COMPUTED_VALUE"""),"PMAX")</f>
        <v>PMAX</v>
      </c>
      <c r="E404" s="624" t="str">
        <f>IFERROR(__xludf.DUMMYFUNCTION("""COMPUTED_VALUE"""),"Not start yet")</f>
        <v>Not start yet</v>
      </c>
      <c r="F404" s="604">
        <f>IFERROR(__xludf.DUMMYFUNCTION("""COMPUTED_VALUE"""),46161.0)</f>
        <v>46161</v>
      </c>
      <c r="G404" s="639">
        <f>IFERROR(__xludf.DUMMYFUNCTION("""COMPUTED_VALUE"""),46163.0)</f>
        <v>46163</v>
      </c>
      <c r="H404" s="585"/>
      <c r="I404" s="625"/>
      <c r="J404" s="625"/>
      <c r="K404" s="585"/>
      <c r="L404" s="585"/>
      <c r="M404" s="585"/>
      <c r="N404" s="585"/>
      <c r="O404" s="585"/>
      <c r="P404" s="585"/>
      <c r="Q404" s="585"/>
      <c r="R404" s="585"/>
      <c r="S404" s="585"/>
      <c r="T404" s="585"/>
      <c r="U404" s="585"/>
      <c r="V404" s="585"/>
      <c r="W404" s="585"/>
      <c r="X404" s="585"/>
      <c r="Y404" s="585"/>
      <c r="Z404" s="585"/>
      <c r="AA404" s="585"/>
      <c r="AB404" s="585"/>
      <c r="AC404" s="585"/>
      <c r="AD404" s="585"/>
      <c r="AE404" s="585"/>
      <c r="AF404" s="585"/>
      <c r="AG404" s="585"/>
      <c r="AH404" s="585"/>
      <c r="AI404" s="585"/>
      <c r="AJ404" s="585"/>
      <c r="AK404" s="585"/>
      <c r="AL404" s="585"/>
      <c r="AM404" s="585"/>
      <c r="AN404" s="585"/>
      <c r="AO404" s="585"/>
      <c r="AP404" s="585"/>
      <c r="AQ404" s="585"/>
      <c r="AR404" s="585"/>
    </row>
    <row r="405">
      <c r="A405" s="621"/>
      <c r="B405" s="627" t="str">
        <f>IFERROR(__xludf.DUMMYFUNCTION("""COMPUTED_VALUE"""),"Feedback demo R2")</f>
        <v>Feedback demo R2</v>
      </c>
      <c r="C405" s="628"/>
      <c r="D405" s="602" t="str">
        <f>IFERROR(__xludf.DUMMYFUNCTION("""COMPUTED_VALUE"""),"BRAND")</f>
        <v>BRAND</v>
      </c>
      <c r="E405" s="624" t="str">
        <f>IFERROR(__xludf.DUMMYFUNCTION("""COMPUTED_VALUE"""),"Not start yet")</f>
        <v>Not start yet</v>
      </c>
      <c r="F405" s="604">
        <f>IFERROR(__xludf.DUMMYFUNCTION("""COMPUTED_VALUE"""),46164.0)</f>
        <v>46164</v>
      </c>
      <c r="G405" s="639">
        <f>IFERROR(__xludf.DUMMYFUNCTION("""COMPUTED_VALUE"""),46164.0)</f>
        <v>46164</v>
      </c>
      <c r="H405" s="585"/>
      <c r="I405" s="625"/>
      <c r="J405" s="625"/>
      <c r="K405" s="585"/>
      <c r="L405" s="585"/>
      <c r="M405" s="585"/>
      <c r="N405" s="585"/>
      <c r="O405" s="585"/>
      <c r="P405" s="585"/>
      <c r="Q405" s="585"/>
      <c r="R405" s="585"/>
      <c r="S405" s="585"/>
      <c r="T405" s="585"/>
      <c r="U405" s="585"/>
      <c r="V405" s="585"/>
      <c r="W405" s="585"/>
      <c r="X405" s="585"/>
      <c r="Y405" s="585"/>
      <c r="Z405" s="585"/>
      <c r="AA405" s="585"/>
      <c r="AB405" s="585"/>
      <c r="AC405" s="585"/>
      <c r="AD405" s="585"/>
      <c r="AE405" s="585"/>
      <c r="AF405" s="585"/>
      <c r="AG405" s="585"/>
      <c r="AH405" s="585"/>
      <c r="AI405" s="585"/>
      <c r="AJ405" s="585"/>
      <c r="AK405" s="585"/>
      <c r="AL405" s="585"/>
      <c r="AM405" s="585"/>
      <c r="AN405" s="585"/>
      <c r="AO405" s="585"/>
      <c r="AP405" s="585"/>
      <c r="AQ405" s="585"/>
      <c r="AR405" s="585"/>
    </row>
    <row r="406">
      <c r="A406" s="621"/>
      <c r="B406" s="627" t="str">
        <f>IFERROR(__xludf.DUMMYFUNCTION("""COMPUTED_VALUE"""),"Finalize demo")</f>
        <v>Finalize demo</v>
      </c>
      <c r="C406" s="628"/>
      <c r="D406" s="602" t="str">
        <f>IFERROR(__xludf.DUMMYFUNCTION("""COMPUTED_VALUE"""),"PMAX")</f>
        <v>PMAX</v>
      </c>
      <c r="E406" s="624" t="str">
        <f>IFERROR(__xludf.DUMMYFUNCTION("""COMPUTED_VALUE"""),"Not start yet")</f>
        <v>Not start yet</v>
      </c>
      <c r="F406" s="604">
        <f>IFERROR(__xludf.DUMMYFUNCTION("""COMPUTED_VALUE"""),46164.0)</f>
        <v>46164</v>
      </c>
      <c r="G406" s="639">
        <f>IFERROR(__xludf.DUMMYFUNCTION("""COMPUTED_VALUE"""),46164.0)</f>
        <v>46164</v>
      </c>
      <c r="H406" s="585"/>
      <c r="I406" s="629">
        <v>1.0</v>
      </c>
      <c r="J406" s="630" t="s">
        <v>888</v>
      </c>
      <c r="K406" s="585"/>
      <c r="L406" s="585"/>
      <c r="M406" s="585"/>
      <c r="N406" s="585"/>
      <c r="O406" s="585"/>
      <c r="P406" s="585"/>
      <c r="Q406" s="585"/>
      <c r="R406" s="585"/>
      <c r="S406" s="585"/>
      <c r="T406" s="585"/>
      <c r="U406" s="585"/>
      <c r="V406" s="585"/>
      <c r="W406" s="585"/>
      <c r="X406" s="585"/>
      <c r="Y406" s="585"/>
      <c r="Z406" s="585"/>
      <c r="AA406" s="585"/>
      <c r="AB406" s="585"/>
      <c r="AC406" s="585"/>
      <c r="AD406" s="585"/>
      <c r="AE406" s="585"/>
      <c r="AF406" s="585"/>
      <c r="AG406" s="585"/>
      <c r="AH406" s="585"/>
      <c r="AI406" s="585"/>
      <c r="AJ406" s="585"/>
      <c r="AK406" s="585"/>
      <c r="AL406" s="585"/>
      <c r="AM406" s="585"/>
      <c r="AN406" s="585"/>
      <c r="AO406" s="585"/>
      <c r="AP406" s="585"/>
      <c r="AQ406" s="585"/>
      <c r="AR406" s="585"/>
    </row>
    <row r="407">
      <c r="A407" s="621"/>
      <c r="B407" s="634" t="str">
        <f>IFERROR(__xludf.DUMMYFUNCTION("""COMPUTED_VALUE"""),"Air")</f>
        <v>Air</v>
      </c>
      <c r="C407" s="26"/>
      <c r="D407" s="602" t="str">
        <f>IFERROR(__xludf.DUMMYFUNCTION("""COMPUTED_VALUE"""),"PMAX")</f>
        <v>PMAX</v>
      </c>
      <c r="E407" s="624" t="str">
        <f>IFERROR(__xludf.DUMMYFUNCTION("""COMPUTED_VALUE"""),"Not start yet")</f>
        <v>Not start yet</v>
      </c>
      <c r="F407" s="604" t="str">
        <f>IFERROR(__xludf.DUMMYFUNCTION("""COMPUTED_VALUE"""),"TBU")</f>
        <v>TBU</v>
      </c>
      <c r="G407" s="639" t="str">
        <f>IFERROR(__xludf.DUMMYFUNCTION("""COMPUTED_VALUE"""),"TBU")</f>
        <v>TBU</v>
      </c>
      <c r="H407" s="585"/>
      <c r="I407" s="636">
        <v>1.0</v>
      </c>
      <c r="J407" s="585"/>
      <c r="K407" s="585"/>
      <c r="L407" s="585"/>
      <c r="M407" s="585"/>
      <c r="N407" s="585"/>
      <c r="O407" s="585"/>
      <c r="P407" s="585"/>
      <c r="Q407" s="585"/>
      <c r="R407" s="585"/>
      <c r="S407" s="585"/>
      <c r="T407" s="585"/>
      <c r="U407" s="585"/>
      <c r="V407" s="585"/>
      <c r="W407" s="585"/>
      <c r="X407" s="585"/>
      <c r="Y407" s="585"/>
      <c r="Z407" s="585"/>
      <c r="AA407" s="585"/>
      <c r="AB407" s="585"/>
      <c r="AC407" s="585"/>
      <c r="AD407" s="585"/>
      <c r="AE407" s="585"/>
      <c r="AF407" s="585"/>
      <c r="AG407" s="585"/>
      <c r="AH407" s="585"/>
      <c r="AI407" s="585"/>
      <c r="AJ407" s="585"/>
      <c r="AK407" s="585"/>
      <c r="AL407" s="585"/>
      <c r="AM407" s="585"/>
      <c r="AN407" s="585"/>
      <c r="AO407" s="585"/>
      <c r="AP407" s="585"/>
      <c r="AQ407" s="585"/>
      <c r="AR407" s="585"/>
    </row>
    <row r="408">
      <c r="A408" s="641" t="str">
        <f>IFERROR(__xludf.DUMMYFUNCTION("""COMPUTED_VALUE"""),"10")</f>
        <v>10</v>
      </c>
      <c r="B408" s="613" t="str">
        <f>IFERROR(__xludf.DUMMYFUNCTION("""COMPUTED_VALUE"""),"FOODY COMMUNITY	")</f>
        <v>FOODY COMMUNITY	</v>
      </c>
      <c r="C408" s="614"/>
      <c r="D408" s="614"/>
      <c r="E408" s="614"/>
      <c r="F408" s="614"/>
      <c r="G408" s="614"/>
      <c r="H408" s="585"/>
      <c r="I408" s="585"/>
      <c r="J408" s="585"/>
      <c r="K408" s="585"/>
      <c r="L408" s="585"/>
      <c r="M408" s="585"/>
      <c r="N408" s="585"/>
      <c r="O408" s="585"/>
      <c r="P408" s="585"/>
      <c r="Q408" s="585"/>
      <c r="R408" s="585"/>
      <c r="S408" s="585"/>
      <c r="T408" s="585"/>
      <c r="U408" s="585"/>
      <c r="V408" s="585"/>
      <c r="W408" s="585"/>
      <c r="X408" s="585"/>
      <c r="Y408" s="585"/>
      <c r="Z408" s="585"/>
      <c r="AA408" s="585"/>
      <c r="AB408" s="585"/>
      <c r="AC408" s="585"/>
      <c r="AD408" s="585"/>
      <c r="AE408" s="585"/>
      <c r="AF408" s="585"/>
      <c r="AG408" s="585"/>
      <c r="AH408" s="585"/>
      <c r="AI408" s="585"/>
      <c r="AJ408" s="585"/>
      <c r="AK408" s="585"/>
      <c r="AL408" s="585"/>
      <c r="AM408" s="585"/>
      <c r="AN408" s="585"/>
      <c r="AO408" s="585"/>
      <c r="AP408" s="585"/>
      <c r="AQ408" s="585"/>
      <c r="AR408" s="585"/>
    </row>
    <row r="409">
      <c r="A409" s="637">
        <f>IFERROR(__xludf.DUMMYFUNCTION("""COMPUTED_VALUE"""),28.0)</f>
        <v>28</v>
      </c>
      <c r="B409" s="616" t="str">
        <f>IFERROR(__xludf.DUMMYFUNCTION("""COMPUTED_VALUE"""),"Địa điểm ăn uống (Fanpage)")</f>
        <v>Địa điểm ăn uống (Fanpage)</v>
      </c>
      <c r="C409" s="617"/>
      <c r="D409" s="618"/>
      <c r="E409" s="619"/>
      <c r="F409" s="619"/>
      <c r="G409" s="619"/>
      <c r="H409" s="585"/>
      <c r="I409" s="585"/>
      <c r="J409" s="585"/>
      <c r="K409" s="585"/>
      <c r="L409" s="585"/>
      <c r="M409" s="585"/>
      <c r="N409" s="585"/>
      <c r="O409" s="585"/>
      <c r="P409" s="585"/>
      <c r="Q409" s="585"/>
      <c r="R409" s="585"/>
      <c r="S409" s="585"/>
      <c r="T409" s="585"/>
      <c r="U409" s="585"/>
      <c r="V409" s="585"/>
      <c r="W409" s="585"/>
      <c r="X409" s="585"/>
      <c r="Y409" s="585"/>
      <c r="Z409" s="585"/>
      <c r="AA409" s="585"/>
      <c r="AB409" s="585"/>
      <c r="AC409" s="585"/>
      <c r="AD409" s="585"/>
      <c r="AE409" s="585"/>
      <c r="AF409" s="585"/>
      <c r="AG409" s="585"/>
      <c r="AH409" s="585"/>
      <c r="AI409" s="585"/>
      <c r="AJ409" s="585"/>
      <c r="AK409" s="585"/>
      <c r="AL409" s="585"/>
      <c r="AM409" s="585"/>
      <c r="AN409" s="585"/>
      <c r="AO409" s="585"/>
      <c r="AP409" s="585"/>
      <c r="AQ409" s="585"/>
      <c r="AR409" s="585"/>
    </row>
    <row r="410">
      <c r="A410" s="621"/>
      <c r="B410" s="622" t="str">
        <f>IFERROR(__xludf.DUMMYFUNCTION("""COMPUTED_VALUE"""),"Briefing cho Influencer")</f>
        <v>Briefing cho Influencer</v>
      </c>
      <c r="C410" s="623"/>
      <c r="D410" s="602" t="str">
        <f>IFERROR(__xludf.DUMMYFUNCTION("""COMPUTED_VALUE"""),"PMAX")</f>
        <v>PMAX</v>
      </c>
      <c r="E410" s="624" t="str">
        <f>IFERROR(__xludf.DUMMYFUNCTION("""COMPUTED_VALUE"""),"Done")</f>
        <v>Done</v>
      </c>
      <c r="F410" s="604">
        <f>IFERROR(__xludf.DUMMYFUNCTION("""COMPUTED_VALUE"""),46147.0)</f>
        <v>46147</v>
      </c>
      <c r="G410" s="639">
        <f>IFERROR(__xludf.DUMMYFUNCTION("""COMPUTED_VALUE"""),46148.0)</f>
        <v>46148</v>
      </c>
      <c r="H410" s="585"/>
      <c r="I410" s="625"/>
      <c r="J410" s="626" t="s">
        <v>882</v>
      </c>
      <c r="K410" s="585"/>
      <c r="L410" s="585"/>
      <c r="M410" s="585"/>
      <c r="N410" s="585"/>
      <c r="O410" s="585"/>
      <c r="P410" s="585"/>
      <c r="Q410" s="585"/>
      <c r="R410" s="585"/>
      <c r="S410" s="585"/>
      <c r="T410" s="585"/>
      <c r="U410" s="585"/>
      <c r="V410" s="585"/>
      <c r="W410" s="585"/>
      <c r="X410" s="585"/>
      <c r="Y410" s="585"/>
      <c r="Z410" s="585"/>
      <c r="AA410" s="585"/>
      <c r="AB410" s="585"/>
      <c r="AC410" s="585"/>
      <c r="AD410" s="585"/>
      <c r="AE410" s="585"/>
      <c r="AF410" s="585"/>
      <c r="AG410" s="585"/>
      <c r="AH410" s="585"/>
      <c r="AI410" s="585"/>
      <c r="AJ410" s="585"/>
      <c r="AK410" s="585"/>
      <c r="AL410" s="585"/>
      <c r="AM410" s="585"/>
      <c r="AN410" s="585"/>
      <c r="AO410" s="585"/>
      <c r="AP410" s="585"/>
      <c r="AQ410" s="585"/>
      <c r="AR410" s="585"/>
    </row>
    <row r="411">
      <c r="A411" s="621"/>
      <c r="B411" s="627" t="str">
        <f>IFERROR(__xludf.DUMMYFUNCTION("""COMPUTED_VALUE"""),"Script R1 + Outfits")</f>
        <v>Script R1 + Outfits</v>
      </c>
      <c r="C411" s="628"/>
      <c r="D411" s="602" t="str">
        <f>IFERROR(__xludf.DUMMYFUNCTION("""COMPUTED_VALUE"""),"PMAX")</f>
        <v>PMAX</v>
      </c>
      <c r="E411" s="624" t="str">
        <f>IFERROR(__xludf.DUMMYFUNCTION("""COMPUTED_VALUE"""),"Not start yet")</f>
        <v>Not start yet</v>
      </c>
      <c r="F411" s="604"/>
      <c r="G411" s="639"/>
      <c r="H411" s="585"/>
      <c r="I411" s="629">
        <v>1.0</v>
      </c>
      <c r="J411" s="630" t="s">
        <v>883</v>
      </c>
      <c r="K411" s="585"/>
      <c r="L411" s="585"/>
      <c r="M411" s="585"/>
      <c r="N411" s="585"/>
      <c r="O411" s="585"/>
      <c r="P411" s="585"/>
      <c r="Q411" s="585"/>
      <c r="R411" s="585"/>
      <c r="S411" s="585"/>
      <c r="T411" s="585"/>
      <c r="U411" s="585"/>
      <c r="V411" s="585"/>
      <c r="W411" s="585"/>
      <c r="X411" s="585"/>
      <c r="Y411" s="585"/>
      <c r="Z411" s="585"/>
      <c r="AA411" s="585"/>
      <c r="AB411" s="585"/>
      <c r="AC411" s="585"/>
      <c r="AD411" s="585"/>
      <c r="AE411" s="585"/>
      <c r="AF411" s="585"/>
      <c r="AG411" s="585"/>
      <c r="AH411" s="585"/>
      <c r="AI411" s="585"/>
      <c r="AJ411" s="585"/>
      <c r="AK411" s="585"/>
      <c r="AL411" s="585"/>
      <c r="AM411" s="585"/>
      <c r="AN411" s="585"/>
      <c r="AO411" s="585"/>
      <c r="AP411" s="585"/>
      <c r="AQ411" s="585"/>
      <c r="AR411" s="585"/>
    </row>
    <row r="412">
      <c r="A412" s="621"/>
      <c r="B412" s="627" t="str">
        <f>IFERROR(__xludf.DUMMYFUNCTION("""COMPUTED_VALUE"""),"Feedback Script R1 + outfits")</f>
        <v>Feedback Script R1 + outfits</v>
      </c>
      <c r="C412" s="628"/>
      <c r="D412" s="602" t="str">
        <f>IFERROR(__xludf.DUMMYFUNCTION("""COMPUTED_VALUE"""),"BRAND")</f>
        <v>BRAND</v>
      </c>
      <c r="E412" s="624" t="str">
        <f>IFERROR(__xludf.DUMMYFUNCTION("""COMPUTED_VALUE"""),"Not start yet")</f>
        <v>Not start yet</v>
      </c>
      <c r="F412" s="604"/>
      <c r="G412" s="639"/>
      <c r="H412" s="585"/>
      <c r="I412" s="625"/>
      <c r="J412" s="630" t="s">
        <v>884</v>
      </c>
      <c r="K412" s="585"/>
      <c r="L412" s="585"/>
      <c r="M412" s="585"/>
      <c r="N412" s="585"/>
      <c r="O412" s="585"/>
      <c r="P412" s="585"/>
      <c r="Q412" s="585"/>
      <c r="R412" s="585"/>
      <c r="S412" s="585"/>
      <c r="T412" s="585"/>
      <c r="U412" s="585"/>
      <c r="V412" s="585"/>
      <c r="W412" s="585"/>
      <c r="X412" s="585"/>
      <c r="Y412" s="585"/>
      <c r="Z412" s="585"/>
      <c r="AA412" s="585"/>
      <c r="AB412" s="585"/>
      <c r="AC412" s="585"/>
      <c r="AD412" s="585"/>
      <c r="AE412" s="585"/>
      <c r="AF412" s="585"/>
      <c r="AG412" s="585"/>
      <c r="AH412" s="585"/>
      <c r="AI412" s="585"/>
      <c r="AJ412" s="585"/>
      <c r="AK412" s="585"/>
      <c r="AL412" s="585"/>
      <c r="AM412" s="585"/>
      <c r="AN412" s="585"/>
      <c r="AO412" s="585"/>
      <c r="AP412" s="585"/>
      <c r="AQ412" s="585"/>
      <c r="AR412" s="585"/>
    </row>
    <row r="413">
      <c r="A413" s="621"/>
      <c r="B413" s="631" t="str">
        <f>IFERROR(__xludf.DUMMYFUNCTION("""COMPUTED_VALUE"""),"Script R2")</f>
        <v>Script R2</v>
      </c>
      <c r="C413" s="628"/>
      <c r="D413" s="632" t="str">
        <f>IFERROR(__xludf.DUMMYFUNCTION("""COMPUTED_VALUE"""),"PMAX")</f>
        <v>PMAX</v>
      </c>
      <c r="E413" s="624" t="str">
        <f>IFERROR(__xludf.DUMMYFUNCTION("""COMPUTED_VALUE"""),"Not start yet")</f>
        <v>Not start yet</v>
      </c>
      <c r="F413" s="604"/>
      <c r="G413" s="639"/>
      <c r="H413" s="585"/>
      <c r="I413" s="625"/>
      <c r="J413" s="630"/>
      <c r="K413" s="585"/>
      <c r="L413" s="585"/>
      <c r="M413" s="585"/>
      <c r="N413" s="585"/>
      <c r="O413" s="585"/>
      <c r="P413" s="585"/>
      <c r="Q413" s="585"/>
      <c r="R413" s="585"/>
      <c r="S413" s="585"/>
      <c r="T413" s="585"/>
      <c r="U413" s="585"/>
      <c r="V413" s="585"/>
      <c r="W413" s="585"/>
      <c r="X413" s="585"/>
      <c r="Y413" s="585"/>
      <c r="Z413" s="585"/>
      <c r="AA413" s="585"/>
      <c r="AB413" s="585"/>
      <c r="AC413" s="585"/>
      <c r="AD413" s="585"/>
      <c r="AE413" s="585"/>
      <c r="AF413" s="585"/>
      <c r="AG413" s="585"/>
      <c r="AH413" s="585"/>
      <c r="AI413" s="585"/>
      <c r="AJ413" s="585"/>
      <c r="AK413" s="585"/>
      <c r="AL413" s="585"/>
      <c r="AM413" s="585"/>
      <c r="AN413" s="585"/>
      <c r="AO413" s="585"/>
      <c r="AP413" s="585"/>
      <c r="AQ413" s="585"/>
      <c r="AR413" s="585"/>
    </row>
    <row r="414">
      <c r="A414" s="621"/>
      <c r="B414" s="631" t="str">
        <f>IFERROR(__xludf.DUMMYFUNCTION("""COMPUTED_VALUE"""),"Feedback Script R2")</f>
        <v>Feedback Script R2</v>
      </c>
      <c r="C414" s="628"/>
      <c r="D414" s="632" t="str">
        <f>IFERROR(__xludf.DUMMYFUNCTION("""COMPUTED_VALUE"""),"BRAND")</f>
        <v>BRAND</v>
      </c>
      <c r="E414" s="624" t="str">
        <f>IFERROR(__xludf.DUMMYFUNCTION("""COMPUTED_VALUE"""),"Not start yet")</f>
        <v>Not start yet</v>
      </c>
      <c r="F414" s="604"/>
      <c r="G414" s="639"/>
      <c r="H414" s="585"/>
      <c r="I414" s="625"/>
      <c r="J414" s="630"/>
      <c r="K414" s="585"/>
      <c r="L414" s="585"/>
      <c r="M414" s="585"/>
      <c r="N414" s="585"/>
      <c r="O414" s="585"/>
      <c r="P414" s="585"/>
      <c r="Q414" s="585"/>
      <c r="R414" s="585"/>
      <c r="S414" s="585"/>
      <c r="T414" s="585"/>
      <c r="U414" s="585"/>
      <c r="V414" s="585"/>
      <c r="W414" s="585"/>
      <c r="X414" s="585"/>
      <c r="Y414" s="585"/>
      <c r="Z414" s="585"/>
      <c r="AA414" s="585"/>
      <c r="AB414" s="585"/>
      <c r="AC414" s="585"/>
      <c r="AD414" s="585"/>
      <c r="AE414" s="585"/>
      <c r="AF414" s="585"/>
      <c r="AG414" s="585"/>
      <c r="AH414" s="585"/>
      <c r="AI414" s="585"/>
      <c r="AJ414" s="585"/>
      <c r="AK414" s="585"/>
      <c r="AL414" s="585"/>
      <c r="AM414" s="585"/>
      <c r="AN414" s="585"/>
      <c r="AO414" s="585"/>
      <c r="AP414" s="585"/>
      <c r="AQ414" s="585"/>
      <c r="AR414" s="585"/>
    </row>
    <row r="415">
      <c r="A415" s="621"/>
      <c r="B415" s="627" t="str">
        <f>IFERROR(__xludf.DUMMYFUNCTION("""COMPUTED_VALUE"""),"Finalize scripts + outfits")</f>
        <v>Finalize scripts + outfits</v>
      </c>
      <c r="C415" s="628"/>
      <c r="D415" s="602" t="str">
        <f>IFERROR(__xludf.DUMMYFUNCTION("""COMPUTED_VALUE"""),"PMAX-BRAND")</f>
        <v>PMAX-BRAND</v>
      </c>
      <c r="E415" s="624" t="str">
        <f>IFERROR(__xludf.DUMMYFUNCTION("""COMPUTED_VALUE"""),"Not start yet")</f>
        <v>Not start yet</v>
      </c>
      <c r="F415" s="604"/>
      <c r="G415" s="639"/>
      <c r="H415" s="585"/>
      <c r="I415" s="629">
        <v>1.0</v>
      </c>
      <c r="J415" s="630" t="s">
        <v>885</v>
      </c>
      <c r="K415" s="585"/>
      <c r="L415" s="585"/>
      <c r="M415" s="585"/>
      <c r="N415" s="585"/>
      <c r="O415" s="585"/>
      <c r="P415" s="585"/>
      <c r="Q415" s="585"/>
      <c r="R415" s="585"/>
      <c r="S415" s="585"/>
      <c r="T415" s="585"/>
      <c r="U415" s="585"/>
      <c r="V415" s="585"/>
      <c r="W415" s="585"/>
      <c r="X415" s="585"/>
      <c r="Y415" s="585"/>
      <c r="Z415" s="585"/>
      <c r="AA415" s="585"/>
      <c r="AB415" s="585"/>
      <c r="AC415" s="585"/>
      <c r="AD415" s="585"/>
      <c r="AE415" s="585"/>
      <c r="AF415" s="585"/>
      <c r="AG415" s="585"/>
      <c r="AH415" s="585"/>
      <c r="AI415" s="585"/>
      <c r="AJ415" s="585"/>
      <c r="AK415" s="585"/>
      <c r="AL415" s="585"/>
      <c r="AM415" s="585"/>
      <c r="AN415" s="585"/>
      <c r="AO415" s="585"/>
      <c r="AP415" s="585"/>
      <c r="AQ415" s="585"/>
      <c r="AR415" s="585"/>
    </row>
    <row r="416">
      <c r="A416" s="621"/>
      <c r="B416" s="627" t="str">
        <f>IFERROR(__xludf.DUMMYFUNCTION("""COMPUTED_VALUE"""),"Đi quay tại site")</f>
        <v>Đi quay tại site</v>
      </c>
      <c r="C416" s="628"/>
      <c r="D416" s="602" t="str">
        <f>IFERROR(__xludf.DUMMYFUNCTION("""COMPUTED_VALUE"""),"PMAX")</f>
        <v>PMAX</v>
      </c>
      <c r="E416" s="624" t="str">
        <f>IFERROR(__xludf.DUMMYFUNCTION("""COMPUTED_VALUE"""),"Not start yet")</f>
        <v>Not start yet</v>
      </c>
      <c r="F416" s="604">
        <f>IFERROR(__xludf.DUMMYFUNCTION("""COMPUTED_VALUE"""),46153.0)</f>
        <v>46153</v>
      </c>
      <c r="G416" s="639">
        <f>IFERROR(__xludf.DUMMYFUNCTION("""COMPUTED_VALUE"""),46153.0)</f>
        <v>46153</v>
      </c>
      <c r="H416" s="585"/>
      <c r="I416" s="629">
        <v>2.0</v>
      </c>
      <c r="J416" s="625"/>
      <c r="K416" s="585"/>
      <c r="L416" s="585"/>
      <c r="M416" s="585"/>
      <c r="N416" s="585"/>
      <c r="O416" s="585"/>
      <c r="P416" s="585"/>
      <c r="Q416" s="585"/>
      <c r="R416" s="585"/>
      <c r="S416" s="585"/>
      <c r="T416" s="585"/>
      <c r="U416" s="585"/>
      <c r="V416" s="585"/>
      <c r="W416" s="585"/>
      <c r="X416" s="585"/>
      <c r="Y416" s="585"/>
      <c r="Z416" s="585"/>
      <c r="AA416" s="585"/>
      <c r="AB416" s="585"/>
      <c r="AC416" s="585"/>
      <c r="AD416" s="585"/>
      <c r="AE416" s="585"/>
      <c r="AF416" s="585"/>
      <c r="AG416" s="585"/>
      <c r="AH416" s="585"/>
      <c r="AI416" s="585"/>
      <c r="AJ416" s="585"/>
      <c r="AK416" s="585"/>
      <c r="AL416" s="585"/>
      <c r="AM416" s="585"/>
      <c r="AN416" s="585"/>
      <c r="AO416" s="585"/>
      <c r="AP416" s="585"/>
      <c r="AQ416" s="585"/>
      <c r="AR416" s="585"/>
    </row>
    <row r="417">
      <c r="A417" s="621"/>
      <c r="B417" s="633" t="str">
        <f>IFERROR(__xludf.DUMMYFUNCTION("""COMPUTED_VALUE"""),"Demo R1")</f>
        <v>Demo R1</v>
      </c>
      <c r="C417" s="628"/>
      <c r="D417" s="602" t="str">
        <f>IFERROR(__xludf.DUMMYFUNCTION("""COMPUTED_VALUE"""),"PMAX")</f>
        <v>PMAX</v>
      </c>
      <c r="E417" s="624" t="str">
        <f>IFERROR(__xludf.DUMMYFUNCTION("""COMPUTED_VALUE"""),"Not start yet")</f>
        <v>Not start yet</v>
      </c>
      <c r="F417" s="604">
        <f>IFERROR(__xludf.DUMMYFUNCTION("""COMPUTED_VALUE"""),46154.0)</f>
        <v>46154</v>
      </c>
      <c r="G417" s="639">
        <f>IFERROR(__xludf.DUMMYFUNCTION("""COMPUTED_VALUE"""),46154.0)</f>
        <v>46154</v>
      </c>
      <c r="H417" s="585"/>
      <c r="I417" s="629">
        <v>4.0</v>
      </c>
      <c r="J417" s="630" t="s">
        <v>886</v>
      </c>
      <c r="K417" s="585"/>
      <c r="L417" s="585"/>
      <c r="M417" s="585"/>
      <c r="N417" s="585"/>
      <c r="O417" s="585"/>
      <c r="P417" s="585"/>
      <c r="Q417" s="585"/>
      <c r="R417" s="585"/>
      <c r="S417" s="585"/>
      <c r="T417" s="585"/>
      <c r="U417" s="585"/>
      <c r="V417" s="585"/>
      <c r="W417" s="585"/>
      <c r="X417" s="585"/>
      <c r="Y417" s="585"/>
      <c r="Z417" s="585"/>
      <c r="AA417" s="585"/>
      <c r="AB417" s="585"/>
      <c r="AC417" s="585"/>
      <c r="AD417" s="585"/>
      <c r="AE417" s="585"/>
      <c r="AF417" s="585"/>
      <c r="AG417" s="585"/>
      <c r="AH417" s="585"/>
      <c r="AI417" s="585"/>
      <c r="AJ417" s="585"/>
      <c r="AK417" s="585"/>
      <c r="AL417" s="585"/>
      <c r="AM417" s="585"/>
      <c r="AN417" s="585"/>
      <c r="AO417" s="585"/>
      <c r="AP417" s="585"/>
      <c r="AQ417" s="585"/>
      <c r="AR417" s="585"/>
    </row>
    <row r="418">
      <c r="A418" s="621"/>
      <c r="B418" s="627" t="str">
        <f>IFERROR(__xludf.DUMMYFUNCTION("""COMPUTED_VALUE"""),"Feedback demo R1")</f>
        <v>Feedback demo R1</v>
      </c>
      <c r="C418" s="628"/>
      <c r="D418" s="602" t="str">
        <f>IFERROR(__xludf.DUMMYFUNCTION("""COMPUTED_VALUE"""),"BRAND")</f>
        <v>BRAND</v>
      </c>
      <c r="E418" s="624" t="str">
        <f>IFERROR(__xludf.DUMMYFUNCTION("""COMPUTED_VALUE"""),"Not start yet")</f>
        <v>Not start yet</v>
      </c>
      <c r="F418" s="604">
        <f>IFERROR(__xludf.DUMMYFUNCTION("""COMPUTED_VALUE"""),46155.0)</f>
        <v>46155</v>
      </c>
      <c r="G418" s="639">
        <f>IFERROR(__xludf.DUMMYFUNCTION("""COMPUTED_VALUE"""),46155.0)</f>
        <v>46155</v>
      </c>
      <c r="H418" s="585"/>
      <c r="I418" s="625"/>
      <c r="J418" s="630" t="s">
        <v>887</v>
      </c>
      <c r="K418" s="585"/>
      <c r="L418" s="585"/>
      <c r="M418" s="585"/>
      <c r="N418" s="585"/>
      <c r="O418" s="585"/>
      <c r="P418" s="585"/>
      <c r="Q418" s="585"/>
      <c r="R418" s="585"/>
      <c r="S418" s="585"/>
      <c r="T418" s="585"/>
      <c r="U418" s="585"/>
      <c r="V418" s="585"/>
      <c r="W418" s="585"/>
      <c r="X418" s="585"/>
      <c r="Y418" s="585"/>
      <c r="Z418" s="585"/>
      <c r="AA418" s="585"/>
      <c r="AB418" s="585"/>
      <c r="AC418" s="585"/>
      <c r="AD418" s="585"/>
      <c r="AE418" s="585"/>
      <c r="AF418" s="585"/>
      <c r="AG418" s="585"/>
      <c r="AH418" s="585"/>
      <c r="AI418" s="585"/>
      <c r="AJ418" s="585"/>
      <c r="AK418" s="585"/>
      <c r="AL418" s="585"/>
      <c r="AM418" s="585"/>
      <c r="AN418" s="585"/>
      <c r="AO418" s="585"/>
      <c r="AP418" s="585"/>
      <c r="AQ418" s="585"/>
      <c r="AR418" s="585"/>
    </row>
    <row r="419">
      <c r="A419" s="621"/>
      <c r="B419" s="633" t="str">
        <f>IFERROR(__xludf.DUMMYFUNCTION("""COMPUTED_VALUE"""),"Demo R2")</f>
        <v>Demo R2</v>
      </c>
      <c r="C419" s="628"/>
      <c r="D419" s="602" t="str">
        <f>IFERROR(__xludf.DUMMYFUNCTION("""COMPUTED_VALUE"""),"PMAX")</f>
        <v>PMAX</v>
      </c>
      <c r="E419" s="624" t="str">
        <f>IFERROR(__xludf.DUMMYFUNCTION("""COMPUTED_VALUE"""),"Not start yet")</f>
        <v>Not start yet</v>
      </c>
      <c r="F419" s="604">
        <f>IFERROR(__xludf.DUMMYFUNCTION("""COMPUTED_VALUE"""),46157.0)</f>
        <v>46157</v>
      </c>
      <c r="G419" s="639">
        <f>IFERROR(__xludf.DUMMYFUNCTION("""COMPUTED_VALUE"""),46157.0)</f>
        <v>46157</v>
      </c>
      <c r="H419" s="585"/>
      <c r="I419" s="625"/>
      <c r="J419" s="625"/>
      <c r="K419" s="585"/>
      <c r="L419" s="585"/>
      <c r="M419" s="585"/>
      <c r="N419" s="585"/>
      <c r="O419" s="585"/>
      <c r="P419" s="585"/>
      <c r="Q419" s="585"/>
      <c r="R419" s="585"/>
      <c r="S419" s="585"/>
      <c r="T419" s="585"/>
      <c r="U419" s="585"/>
      <c r="V419" s="585"/>
      <c r="W419" s="585"/>
      <c r="X419" s="585"/>
      <c r="Y419" s="585"/>
      <c r="Z419" s="585"/>
      <c r="AA419" s="585"/>
      <c r="AB419" s="585"/>
      <c r="AC419" s="585"/>
      <c r="AD419" s="585"/>
      <c r="AE419" s="585"/>
      <c r="AF419" s="585"/>
      <c r="AG419" s="585"/>
      <c r="AH419" s="585"/>
      <c r="AI419" s="585"/>
      <c r="AJ419" s="585"/>
      <c r="AK419" s="585"/>
      <c r="AL419" s="585"/>
      <c r="AM419" s="585"/>
      <c r="AN419" s="585"/>
      <c r="AO419" s="585"/>
      <c r="AP419" s="585"/>
      <c r="AQ419" s="585"/>
      <c r="AR419" s="585"/>
    </row>
    <row r="420">
      <c r="A420" s="621"/>
      <c r="B420" s="627" t="str">
        <f>IFERROR(__xludf.DUMMYFUNCTION("""COMPUTED_VALUE"""),"Feedback demo R2")</f>
        <v>Feedback demo R2</v>
      </c>
      <c r="C420" s="628"/>
      <c r="D420" s="602" t="str">
        <f>IFERROR(__xludf.DUMMYFUNCTION("""COMPUTED_VALUE"""),"BRAND")</f>
        <v>BRAND</v>
      </c>
      <c r="E420" s="624" t="str">
        <f>IFERROR(__xludf.DUMMYFUNCTION("""COMPUTED_VALUE"""),"Not start yet")</f>
        <v>Not start yet</v>
      </c>
      <c r="F420" s="604">
        <f>IFERROR(__xludf.DUMMYFUNCTION("""COMPUTED_VALUE"""),46160.0)</f>
        <v>46160</v>
      </c>
      <c r="G420" s="639">
        <f>IFERROR(__xludf.DUMMYFUNCTION("""COMPUTED_VALUE"""),46160.0)</f>
        <v>46160</v>
      </c>
      <c r="H420" s="585"/>
      <c r="I420" s="625"/>
      <c r="J420" s="625"/>
      <c r="K420" s="585"/>
      <c r="L420" s="585"/>
      <c r="M420" s="585"/>
      <c r="N420" s="585"/>
      <c r="O420" s="585"/>
      <c r="P420" s="585"/>
      <c r="Q420" s="585"/>
      <c r="R420" s="585"/>
      <c r="S420" s="585"/>
      <c r="T420" s="585"/>
      <c r="U420" s="585"/>
      <c r="V420" s="585"/>
      <c r="W420" s="585"/>
      <c r="X420" s="585"/>
      <c r="Y420" s="585"/>
      <c r="Z420" s="585"/>
      <c r="AA420" s="585"/>
      <c r="AB420" s="585"/>
      <c r="AC420" s="585"/>
      <c r="AD420" s="585"/>
      <c r="AE420" s="585"/>
      <c r="AF420" s="585"/>
      <c r="AG420" s="585"/>
      <c r="AH420" s="585"/>
      <c r="AI420" s="585"/>
      <c r="AJ420" s="585"/>
      <c r="AK420" s="585"/>
      <c r="AL420" s="585"/>
      <c r="AM420" s="585"/>
      <c r="AN420" s="585"/>
      <c r="AO420" s="585"/>
      <c r="AP420" s="585"/>
      <c r="AQ420" s="585"/>
      <c r="AR420" s="585"/>
    </row>
    <row r="421">
      <c r="A421" s="621"/>
      <c r="B421" s="627" t="str">
        <f>IFERROR(__xludf.DUMMYFUNCTION("""COMPUTED_VALUE"""),"Finalize demo")</f>
        <v>Finalize demo</v>
      </c>
      <c r="C421" s="628"/>
      <c r="D421" s="602" t="str">
        <f>IFERROR(__xludf.DUMMYFUNCTION("""COMPUTED_VALUE"""),"PMAX")</f>
        <v>PMAX</v>
      </c>
      <c r="E421" s="624" t="str">
        <f>IFERROR(__xludf.DUMMYFUNCTION("""COMPUTED_VALUE"""),"Not start yet")</f>
        <v>Not start yet</v>
      </c>
      <c r="F421" s="604">
        <f>IFERROR(__xludf.DUMMYFUNCTION("""COMPUTED_VALUE"""),46163.0)</f>
        <v>46163</v>
      </c>
      <c r="G421" s="639">
        <f>IFERROR(__xludf.DUMMYFUNCTION("""COMPUTED_VALUE"""),46163.0)</f>
        <v>46163</v>
      </c>
      <c r="H421" s="585"/>
      <c r="I421" s="629">
        <v>1.0</v>
      </c>
      <c r="J421" s="630" t="s">
        <v>888</v>
      </c>
      <c r="K421" s="585"/>
      <c r="L421" s="585"/>
      <c r="M421" s="585"/>
      <c r="N421" s="585"/>
      <c r="O421" s="585"/>
      <c r="P421" s="585"/>
      <c r="Q421" s="585"/>
      <c r="R421" s="585"/>
      <c r="S421" s="585"/>
      <c r="T421" s="585"/>
      <c r="U421" s="585"/>
      <c r="V421" s="585"/>
      <c r="W421" s="585"/>
      <c r="X421" s="585"/>
      <c r="Y421" s="585"/>
      <c r="Z421" s="585"/>
      <c r="AA421" s="585"/>
      <c r="AB421" s="585"/>
      <c r="AC421" s="585"/>
      <c r="AD421" s="585"/>
      <c r="AE421" s="585"/>
      <c r="AF421" s="585"/>
      <c r="AG421" s="585"/>
      <c r="AH421" s="585"/>
      <c r="AI421" s="585"/>
      <c r="AJ421" s="585"/>
      <c r="AK421" s="585"/>
      <c r="AL421" s="585"/>
      <c r="AM421" s="585"/>
      <c r="AN421" s="585"/>
      <c r="AO421" s="585"/>
      <c r="AP421" s="585"/>
      <c r="AQ421" s="585"/>
      <c r="AR421" s="585"/>
    </row>
    <row r="422">
      <c r="A422" s="621"/>
      <c r="B422" s="634" t="str">
        <f>IFERROR(__xludf.DUMMYFUNCTION("""COMPUTED_VALUE"""),"Air")</f>
        <v>Air</v>
      </c>
      <c r="C422" s="26"/>
      <c r="D422" s="602" t="str">
        <f>IFERROR(__xludf.DUMMYFUNCTION("""COMPUTED_VALUE"""),"PMAX")</f>
        <v>PMAX</v>
      </c>
      <c r="E422" s="624" t="str">
        <f>IFERROR(__xludf.DUMMYFUNCTION("""COMPUTED_VALUE"""),"Not start yet")</f>
        <v>Not start yet</v>
      </c>
      <c r="F422" s="604" t="str">
        <f>IFERROR(__xludf.DUMMYFUNCTION("""COMPUTED_VALUE"""),"TBU")</f>
        <v>TBU</v>
      </c>
      <c r="G422" s="639" t="str">
        <f>IFERROR(__xludf.DUMMYFUNCTION("""COMPUTED_VALUE"""),"TBU")</f>
        <v>TBU</v>
      </c>
      <c r="H422" s="585"/>
      <c r="I422" s="636">
        <v>1.0</v>
      </c>
      <c r="J422" s="585"/>
      <c r="K422" s="585"/>
      <c r="L422" s="585"/>
      <c r="M422" s="585"/>
      <c r="N422" s="585"/>
      <c r="O422" s="585"/>
      <c r="P422" s="585"/>
      <c r="Q422" s="585"/>
      <c r="R422" s="585"/>
      <c r="S422" s="585"/>
      <c r="T422" s="585"/>
      <c r="U422" s="585"/>
      <c r="V422" s="585"/>
      <c r="W422" s="585"/>
      <c r="X422" s="585"/>
      <c r="Y422" s="585"/>
      <c r="Z422" s="585"/>
      <c r="AA422" s="585"/>
      <c r="AB422" s="585"/>
      <c r="AC422" s="585"/>
      <c r="AD422" s="585"/>
      <c r="AE422" s="585"/>
      <c r="AF422" s="585"/>
      <c r="AG422" s="585"/>
      <c r="AH422" s="585"/>
      <c r="AI422" s="585"/>
      <c r="AJ422" s="585"/>
      <c r="AK422" s="585"/>
      <c r="AL422" s="585"/>
      <c r="AM422" s="585"/>
      <c r="AN422" s="585"/>
      <c r="AO422" s="585"/>
      <c r="AP422" s="585"/>
      <c r="AQ422" s="585"/>
      <c r="AR422" s="585"/>
    </row>
    <row r="423">
      <c r="A423" s="637">
        <f>IFERROR(__xludf.DUMMYFUNCTION("""COMPUTED_VALUE"""),29.0)</f>
        <v>29</v>
      </c>
      <c r="B423" s="616" t="str">
        <f>IFERROR(__xludf.DUMMYFUNCTION("""COMPUTED_VALUE"""),"Thèm (Fanpage)")</f>
        <v>Thèm (Fanpage)</v>
      </c>
      <c r="C423" s="617"/>
      <c r="D423" s="618"/>
      <c r="E423" s="619"/>
      <c r="F423" s="619"/>
      <c r="G423" s="619"/>
      <c r="H423" s="585"/>
      <c r="I423" s="585"/>
      <c r="J423" s="585"/>
      <c r="K423" s="585"/>
      <c r="L423" s="585"/>
      <c r="M423" s="585"/>
      <c r="N423" s="585"/>
      <c r="O423" s="585"/>
      <c r="P423" s="585"/>
      <c r="Q423" s="585"/>
      <c r="R423" s="585"/>
      <c r="S423" s="585"/>
      <c r="T423" s="585"/>
      <c r="U423" s="585"/>
      <c r="V423" s="585"/>
      <c r="W423" s="585"/>
      <c r="X423" s="585"/>
      <c r="Y423" s="585"/>
      <c r="Z423" s="585"/>
      <c r="AA423" s="585"/>
      <c r="AB423" s="585"/>
      <c r="AC423" s="585"/>
      <c r="AD423" s="585"/>
      <c r="AE423" s="585"/>
      <c r="AF423" s="585"/>
      <c r="AG423" s="585"/>
      <c r="AH423" s="585"/>
      <c r="AI423" s="585"/>
      <c r="AJ423" s="585"/>
      <c r="AK423" s="585"/>
      <c r="AL423" s="585"/>
      <c r="AM423" s="585"/>
      <c r="AN423" s="585"/>
      <c r="AO423" s="585"/>
      <c r="AP423" s="585"/>
      <c r="AQ423" s="585"/>
      <c r="AR423" s="585"/>
    </row>
    <row r="424">
      <c r="A424" s="621"/>
      <c r="B424" s="622" t="str">
        <f>IFERROR(__xludf.DUMMYFUNCTION("""COMPUTED_VALUE"""),"Briefing cho Influencer")</f>
        <v>Briefing cho Influencer</v>
      </c>
      <c r="C424" s="623"/>
      <c r="D424" s="602" t="str">
        <f>IFERROR(__xludf.DUMMYFUNCTION("""COMPUTED_VALUE"""),"PMAX")</f>
        <v>PMAX</v>
      </c>
      <c r="E424" s="624" t="str">
        <f>IFERROR(__xludf.DUMMYFUNCTION("""COMPUTED_VALUE"""),"Done")</f>
        <v>Done</v>
      </c>
      <c r="F424" s="604">
        <f>IFERROR(__xludf.DUMMYFUNCTION("""COMPUTED_VALUE"""),46147.0)</f>
        <v>46147</v>
      </c>
      <c r="G424" s="639">
        <f>IFERROR(__xludf.DUMMYFUNCTION("""COMPUTED_VALUE"""),46148.0)</f>
        <v>46148</v>
      </c>
      <c r="H424" s="585"/>
      <c r="I424" s="625"/>
      <c r="J424" s="626" t="s">
        <v>882</v>
      </c>
      <c r="K424" s="585"/>
      <c r="L424" s="585"/>
      <c r="M424" s="585"/>
      <c r="N424" s="585"/>
      <c r="O424" s="585"/>
      <c r="P424" s="585"/>
      <c r="Q424" s="585"/>
      <c r="R424" s="585"/>
      <c r="S424" s="585"/>
      <c r="T424" s="585"/>
      <c r="U424" s="585"/>
      <c r="V424" s="585"/>
      <c r="W424" s="585"/>
      <c r="X424" s="585"/>
      <c r="Y424" s="585"/>
      <c r="Z424" s="585"/>
      <c r="AA424" s="585"/>
      <c r="AB424" s="585"/>
      <c r="AC424" s="585"/>
      <c r="AD424" s="585"/>
      <c r="AE424" s="585"/>
      <c r="AF424" s="585"/>
      <c r="AG424" s="585"/>
      <c r="AH424" s="585"/>
      <c r="AI424" s="585"/>
      <c r="AJ424" s="585"/>
      <c r="AK424" s="585"/>
      <c r="AL424" s="585"/>
      <c r="AM424" s="585"/>
      <c r="AN424" s="585"/>
      <c r="AO424" s="585"/>
      <c r="AP424" s="585"/>
      <c r="AQ424" s="585"/>
      <c r="AR424" s="585"/>
    </row>
    <row r="425">
      <c r="A425" s="621"/>
      <c r="B425" s="627" t="str">
        <f>IFERROR(__xludf.DUMMYFUNCTION("""COMPUTED_VALUE"""),"Script R1 + Outfits")</f>
        <v>Script R1 + Outfits</v>
      </c>
      <c r="C425" s="628"/>
      <c r="D425" s="602" t="str">
        <f>IFERROR(__xludf.DUMMYFUNCTION("""COMPUTED_VALUE"""),"PMAX")</f>
        <v>PMAX</v>
      </c>
      <c r="E425" s="624" t="str">
        <f>IFERROR(__xludf.DUMMYFUNCTION("""COMPUTED_VALUE"""),"Not start yet")</f>
        <v>Not start yet</v>
      </c>
      <c r="F425" s="604"/>
      <c r="G425" s="639"/>
      <c r="H425" s="585"/>
      <c r="I425" s="629">
        <v>1.0</v>
      </c>
      <c r="J425" s="630" t="s">
        <v>883</v>
      </c>
      <c r="K425" s="585"/>
      <c r="L425" s="585"/>
      <c r="M425" s="585"/>
      <c r="N425" s="585"/>
      <c r="O425" s="585"/>
      <c r="P425" s="585"/>
      <c r="Q425" s="585"/>
      <c r="R425" s="585"/>
      <c r="S425" s="585"/>
      <c r="T425" s="585"/>
      <c r="U425" s="585"/>
      <c r="V425" s="585"/>
      <c r="W425" s="585"/>
      <c r="X425" s="585"/>
      <c r="Y425" s="585"/>
      <c r="Z425" s="585"/>
      <c r="AA425" s="585"/>
      <c r="AB425" s="585"/>
      <c r="AC425" s="585"/>
      <c r="AD425" s="585"/>
      <c r="AE425" s="585"/>
      <c r="AF425" s="585"/>
      <c r="AG425" s="585"/>
      <c r="AH425" s="585"/>
      <c r="AI425" s="585"/>
      <c r="AJ425" s="585"/>
      <c r="AK425" s="585"/>
      <c r="AL425" s="585"/>
      <c r="AM425" s="585"/>
      <c r="AN425" s="585"/>
      <c r="AO425" s="585"/>
      <c r="AP425" s="585"/>
      <c r="AQ425" s="585"/>
      <c r="AR425" s="585"/>
    </row>
    <row r="426">
      <c r="A426" s="621"/>
      <c r="B426" s="627" t="str">
        <f>IFERROR(__xludf.DUMMYFUNCTION("""COMPUTED_VALUE"""),"Feedback Script R1 + outfits")</f>
        <v>Feedback Script R1 + outfits</v>
      </c>
      <c r="C426" s="628"/>
      <c r="D426" s="602" t="str">
        <f>IFERROR(__xludf.DUMMYFUNCTION("""COMPUTED_VALUE"""),"BRAND")</f>
        <v>BRAND</v>
      </c>
      <c r="E426" s="624" t="str">
        <f>IFERROR(__xludf.DUMMYFUNCTION("""COMPUTED_VALUE"""),"Not start yet")</f>
        <v>Not start yet</v>
      </c>
      <c r="F426" s="604"/>
      <c r="G426" s="639"/>
      <c r="H426" s="585"/>
      <c r="I426" s="625"/>
      <c r="J426" s="630" t="s">
        <v>884</v>
      </c>
      <c r="K426" s="585"/>
      <c r="L426" s="585"/>
      <c r="M426" s="585"/>
      <c r="N426" s="585"/>
      <c r="O426" s="585"/>
      <c r="P426" s="585"/>
      <c r="Q426" s="585"/>
      <c r="R426" s="585"/>
      <c r="S426" s="585"/>
      <c r="T426" s="585"/>
      <c r="U426" s="585"/>
      <c r="V426" s="585"/>
      <c r="W426" s="585"/>
      <c r="X426" s="585"/>
      <c r="Y426" s="585"/>
      <c r="Z426" s="585"/>
      <c r="AA426" s="585"/>
      <c r="AB426" s="585"/>
      <c r="AC426" s="585"/>
      <c r="AD426" s="585"/>
      <c r="AE426" s="585"/>
      <c r="AF426" s="585"/>
      <c r="AG426" s="585"/>
      <c r="AH426" s="585"/>
      <c r="AI426" s="585"/>
      <c r="AJ426" s="585"/>
      <c r="AK426" s="585"/>
      <c r="AL426" s="585"/>
      <c r="AM426" s="585"/>
      <c r="AN426" s="585"/>
      <c r="AO426" s="585"/>
      <c r="AP426" s="585"/>
      <c r="AQ426" s="585"/>
      <c r="AR426" s="585"/>
    </row>
    <row r="427">
      <c r="A427" s="621"/>
      <c r="B427" s="631" t="str">
        <f>IFERROR(__xludf.DUMMYFUNCTION("""COMPUTED_VALUE"""),"Script R2")</f>
        <v>Script R2</v>
      </c>
      <c r="C427" s="628"/>
      <c r="D427" s="632" t="str">
        <f>IFERROR(__xludf.DUMMYFUNCTION("""COMPUTED_VALUE"""),"PMAX")</f>
        <v>PMAX</v>
      </c>
      <c r="E427" s="624" t="str">
        <f>IFERROR(__xludf.DUMMYFUNCTION("""COMPUTED_VALUE"""),"Not start yet")</f>
        <v>Not start yet</v>
      </c>
      <c r="F427" s="604"/>
      <c r="G427" s="639"/>
      <c r="H427" s="585"/>
      <c r="I427" s="625"/>
      <c r="J427" s="630"/>
      <c r="K427" s="585"/>
      <c r="L427" s="585"/>
      <c r="M427" s="585"/>
      <c r="N427" s="585"/>
      <c r="O427" s="585"/>
      <c r="P427" s="585"/>
      <c r="Q427" s="585"/>
      <c r="R427" s="585"/>
      <c r="S427" s="585"/>
      <c r="T427" s="585"/>
      <c r="U427" s="585"/>
      <c r="V427" s="585"/>
      <c r="W427" s="585"/>
      <c r="X427" s="585"/>
      <c r="Y427" s="585"/>
      <c r="Z427" s="585"/>
      <c r="AA427" s="585"/>
      <c r="AB427" s="585"/>
      <c r="AC427" s="585"/>
      <c r="AD427" s="585"/>
      <c r="AE427" s="585"/>
      <c r="AF427" s="585"/>
      <c r="AG427" s="585"/>
      <c r="AH427" s="585"/>
      <c r="AI427" s="585"/>
      <c r="AJ427" s="585"/>
      <c r="AK427" s="585"/>
      <c r="AL427" s="585"/>
      <c r="AM427" s="585"/>
      <c r="AN427" s="585"/>
      <c r="AO427" s="585"/>
      <c r="AP427" s="585"/>
      <c r="AQ427" s="585"/>
      <c r="AR427" s="585"/>
    </row>
    <row r="428">
      <c r="A428" s="621"/>
      <c r="B428" s="631" t="str">
        <f>IFERROR(__xludf.DUMMYFUNCTION("""COMPUTED_VALUE"""),"Feedback Script R2")</f>
        <v>Feedback Script R2</v>
      </c>
      <c r="C428" s="628"/>
      <c r="D428" s="632" t="str">
        <f>IFERROR(__xludf.DUMMYFUNCTION("""COMPUTED_VALUE"""),"BRAND")</f>
        <v>BRAND</v>
      </c>
      <c r="E428" s="624" t="str">
        <f>IFERROR(__xludf.DUMMYFUNCTION("""COMPUTED_VALUE"""),"Not start yet")</f>
        <v>Not start yet</v>
      </c>
      <c r="F428" s="604"/>
      <c r="G428" s="639"/>
      <c r="H428" s="585"/>
      <c r="I428" s="625"/>
      <c r="J428" s="630"/>
      <c r="K428" s="585"/>
      <c r="L428" s="585"/>
      <c r="M428" s="585"/>
      <c r="N428" s="585"/>
      <c r="O428" s="585"/>
      <c r="P428" s="585"/>
      <c r="Q428" s="585"/>
      <c r="R428" s="585"/>
      <c r="S428" s="585"/>
      <c r="T428" s="585"/>
      <c r="U428" s="585"/>
      <c r="V428" s="585"/>
      <c r="W428" s="585"/>
      <c r="X428" s="585"/>
      <c r="Y428" s="585"/>
      <c r="Z428" s="585"/>
      <c r="AA428" s="585"/>
      <c r="AB428" s="585"/>
      <c r="AC428" s="585"/>
      <c r="AD428" s="585"/>
      <c r="AE428" s="585"/>
      <c r="AF428" s="585"/>
      <c r="AG428" s="585"/>
      <c r="AH428" s="585"/>
      <c r="AI428" s="585"/>
      <c r="AJ428" s="585"/>
      <c r="AK428" s="585"/>
      <c r="AL428" s="585"/>
      <c r="AM428" s="585"/>
      <c r="AN428" s="585"/>
      <c r="AO428" s="585"/>
      <c r="AP428" s="585"/>
      <c r="AQ428" s="585"/>
      <c r="AR428" s="585"/>
    </row>
    <row r="429">
      <c r="A429" s="621"/>
      <c r="B429" s="627" t="str">
        <f>IFERROR(__xludf.DUMMYFUNCTION("""COMPUTED_VALUE"""),"Finalize scripts + outfits")</f>
        <v>Finalize scripts + outfits</v>
      </c>
      <c r="C429" s="628"/>
      <c r="D429" s="602" t="str">
        <f>IFERROR(__xludf.DUMMYFUNCTION("""COMPUTED_VALUE"""),"PMAX-BRAND")</f>
        <v>PMAX-BRAND</v>
      </c>
      <c r="E429" s="624" t="str">
        <f>IFERROR(__xludf.DUMMYFUNCTION("""COMPUTED_VALUE"""),"Not start yet")</f>
        <v>Not start yet</v>
      </c>
      <c r="F429" s="604"/>
      <c r="G429" s="639"/>
      <c r="H429" s="585"/>
      <c r="I429" s="629">
        <v>1.0</v>
      </c>
      <c r="J429" s="630" t="s">
        <v>885</v>
      </c>
      <c r="K429" s="585"/>
      <c r="L429" s="585"/>
      <c r="M429" s="585"/>
      <c r="N429" s="585"/>
      <c r="O429" s="585"/>
      <c r="P429" s="585"/>
      <c r="Q429" s="585"/>
      <c r="R429" s="585"/>
      <c r="S429" s="585"/>
      <c r="T429" s="585"/>
      <c r="U429" s="585"/>
      <c r="V429" s="585"/>
      <c r="W429" s="585"/>
      <c r="X429" s="585"/>
      <c r="Y429" s="585"/>
      <c r="Z429" s="585"/>
      <c r="AA429" s="585"/>
      <c r="AB429" s="585"/>
      <c r="AC429" s="585"/>
      <c r="AD429" s="585"/>
      <c r="AE429" s="585"/>
      <c r="AF429" s="585"/>
      <c r="AG429" s="585"/>
      <c r="AH429" s="585"/>
      <c r="AI429" s="585"/>
      <c r="AJ429" s="585"/>
      <c r="AK429" s="585"/>
      <c r="AL429" s="585"/>
      <c r="AM429" s="585"/>
      <c r="AN429" s="585"/>
      <c r="AO429" s="585"/>
      <c r="AP429" s="585"/>
      <c r="AQ429" s="585"/>
      <c r="AR429" s="585"/>
    </row>
    <row r="430">
      <c r="A430" s="621"/>
      <c r="B430" s="627" t="str">
        <f>IFERROR(__xludf.DUMMYFUNCTION("""COMPUTED_VALUE"""),"Đi quay tại site")</f>
        <v>Đi quay tại site</v>
      </c>
      <c r="C430" s="628"/>
      <c r="D430" s="602" t="str">
        <f>IFERROR(__xludf.DUMMYFUNCTION("""COMPUTED_VALUE"""),"PMAX")</f>
        <v>PMAX</v>
      </c>
      <c r="E430" s="624" t="str">
        <f>IFERROR(__xludf.DUMMYFUNCTION("""COMPUTED_VALUE"""),"Not start yet")</f>
        <v>Not start yet</v>
      </c>
      <c r="F430" s="604">
        <f>IFERROR(__xludf.DUMMYFUNCTION("""COMPUTED_VALUE"""),46153.0)</f>
        <v>46153</v>
      </c>
      <c r="G430" s="639">
        <f>IFERROR(__xludf.DUMMYFUNCTION("""COMPUTED_VALUE"""),46153.0)</f>
        <v>46153</v>
      </c>
      <c r="H430" s="585"/>
      <c r="I430" s="629">
        <v>2.0</v>
      </c>
      <c r="J430" s="625"/>
      <c r="K430" s="585"/>
      <c r="L430" s="585"/>
      <c r="M430" s="585"/>
      <c r="N430" s="585"/>
      <c r="O430" s="585"/>
      <c r="P430" s="585"/>
      <c r="Q430" s="585"/>
      <c r="R430" s="585"/>
      <c r="S430" s="585"/>
      <c r="T430" s="585"/>
      <c r="U430" s="585"/>
      <c r="V430" s="585"/>
      <c r="W430" s="585"/>
      <c r="X430" s="585"/>
      <c r="Y430" s="585"/>
      <c r="Z430" s="585"/>
      <c r="AA430" s="585"/>
      <c r="AB430" s="585"/>
      <c r="AC430" s="585"/>
      <c r="AD430" s="585"/>
      <c r="AE430" s="585"/>
      <c r="AF430" s="585"/>
      <c r="AG430" s="585"/>
      <c r="AH430" s="585"/>
      <c r="AI430" s="585"/>
      <c r="AJ430" s="585"/>
      <c r="AK430" s="585"/>
      <c r="AL430" s="585"/>
      <c r="AM430" s="585"/>
      <c r="AN430" s="585"/>
      <c r="AO430" s="585"/>
      <c r="AP430" s="585"/>
      <c r="AQ430" s="585"/>
      <c r="AR430" s="585"/>
    </row>
    <row r="431">
      <c r="A431" s="621"/>
      <c r="B431" s="633" t="str">
        <f>IFERROR(__xludf.DUMMYFUNCTION("""COMPUTED_VALUE"""),"Demo R1")</f>
        <v>Demo R1</v>
      </c>
      <c r="C431" s="628"/>
      <c r="D431" s="602" t="str">
        <f>IFERROR(__xludf.DUMMYFUNCTION("""COMPUTED_VALUE"""),"PMAX")</f>
        <v>PMAX</v>
      </c>
      <c r="E431" s="624" t="str">
        <f>IFERROR(__xludf.DUMMYFUNCTION("""COMPUTED_VALUE"""),"Not start yet")</f>
        <v>Not start yet</v>
      </c>
      <c r="F431" s="604">
        <f>IFERROR(__xludf.DUMMYFUNCTION("""COMPUTED_VALUE"""),46154.0)</f>
        <v>46154</v>
      </c>
      <c r="G431" s="639">
        <f>IFERROR(__xludf.DUMMYFUNCTION("""COMPUTED_VALUE"""),46154.0)</f>
        <v>46154</v>
      </c>
      <c r="H431" s="585"/>
      <c r="I431" s="629">
        <v>4.0</v>
      </c>
      <c r="J431" s="630" t="s">
        <v>886</v>
      </c>
      <c r="K431" s="585"/>
      <c r="L431" s="585"/>
      <c r="M431" s="585"/>
      <c r="N431" s="585"/>
      <c r="O431" s="585"/>
      <c r="P431" s="585"/>
      <c r="Q431" s="585"/>
      <c r="R431" s="585"/>
      <c r="S431" s="585"/>
      <c r="T431" s="585"/>
      <c r="U431" s="585"/>
      <c r="V431" s="585"/>
      <c r="W431" s="585"/>
      <c r="X431" s="585"/>
      <c r="Y431" s="585"/>
      <c r="Z431" s="585"/>
      <c r="AA431" s="585"/>
      <c r="AB431" s="585"/>
      <c r="AC431" s="585"/>
      <c r="AD431" s="585"/>
      <c r="AE431" s="585"/>
      <c r="AF431" s="585"/>
      <c r="AG431" s="585"/>
      <c r="AH431" s="585"/>
      <c r="AI431" s="585"/>
      <c r="AJ431" s="585"/>
      <c r="AK431" s="585"/>
      <c r="AL431" s="585"/>
      <c r="AM431" s="585"/>
      <c r="AN431" s="585"/>
      <c r="AO431" s="585"/>
      <c r="AP431" s="585"/>
      <c r="AQ431" s="585"/>
      <c r="AR431" s="585"/>
    </row>
    <row r="432">
      <c r="A432" s="621"/>
      <c r="B432" s="627" t="str">
        <f>IFERROR(__xludf.DUMMYFUNCTION("""COMPUTED_VALUE"""),"Feedback demo R1")</f>
        <v>Feedback demo R1</v>
      </c>
      <c r="C432" s="628"/>
      <c r="D432" s="602" t="str">
        <f>IFERROR(__xludf.DUMMYFUNCTION("""COMPUTED_VALUE"""),"BRAND")</f>
        <v>BRAND</v>
      </c>
      <c r="E432" s="624" t="str">
        <f>IFERROR(__xludf.DUMMYFUNCTION("""COMPUTED_VALUE"""),"Not start yet")</f>
        <v>Not start yet</v>
      </c>
      <c r="F432" s="604">
        <f>IFERROR(__xludf.DUMMYFUNCTION("""COMPUTED_VALUE"""),46155.0)</f>
        <v>46155</v>
      </c>
      <c r="G432" s="639">
        <f>IFERROR(__xludf.DUMMYFUNCTION("""COMPUTED_VALUE"""),46155.0)</f>
        <v>46155</v>
      </c>
      <c r="H432" s="585"/>
      <c r="I432" s="625"/>
      <c r="J432" s="630" t="s">
        <v>887</v>
      </c>
      <c r="K432" s="585"/>
      <c r="L432" s="585"/>
      <c r="M432" s="585"/>
      <c r="N432" s="585"/>
      <c r="O432" s="585"/>
      <c r="P432" s="585"/>
      <c r="Q432" s="585"/>
      <c r="R432" s="585"/>
      <c r="S432" s="585"/>
      <c r="T432" s="585"/>
      <c r="U432" s="585"/>
      <c r="V432" s="585"/>
      <c r="W432" s="585"/>
      <c r="X432" s="585"/>
      <c r="Y432" s="585"/>
      <c r="Z432" s="585"/>
      <c r="AA432" s="585"/>
      <c r="AB432" s="585"/>
      <c r="AC432" s="585"/>
      <c r="AD432" s="585"/>
      <c r="AE432" s="585"/>
      <c r="AF432" s="585"/>
      <c r="AG432" s="585"/>
      <c r="AH432" s="585"/>
      <c r="AI432" s="585"/>
      <c r="AJ432" s="585"/>
      <c r="AK432" s="585"/>
      <c r="AL432" s="585"/>
      <c r="AM432" s="585"/>
      <c r="AN432" s="585"/>
      <c r="AO432" s="585"/>
      <c r="AP432" s="585"/>
      <c r="AQ432" s="585"/>
      <c r="AR432" s="585"/>
    </row>
    <row r="433">
      <c r="A433" s="621"/>
      <c r="B433" s="633" t="str">
        <f>IFERROR(__xludf.DUMMYFUNCTION("""COMPUTED_VALUE"""),"Demo R2")</f>
        <v>Demo R2</v>
      </c>
      <c r="C433" s="628"/>
      <c r="D433" s="602" t="str">
        <f>IFERROR(__xludf.DUMMYFUNCTION("""COMPUTED_VALUE"""),"PMAX")</f>
        <v>PMAX</v>
      </c>
      <c r="E433" s="624" t="str">
        <f>IFERROR(__xludf.DUMMYFUNCTION("""COMPUTED_VALUE"""),"Not start yet")</f>
        <v>Not start yet</v>
      </c>
      <c r="F433" s="604">
        <f>IFERROR(__xludf.DUMMYFUNCTION("""COMPUTED_VALUE"""),46157.0)</f>
        <v>46157</v>
      </c>
      <c r="G433" s="639">
        <f>IFERROR(__xludf.DUMMYFUNCTION("""COMPUTED_VALUE"""),46157.0)</f>
        <v>46157</v>
      </c>
      <c r="H433" s="585"/>
      <c r="I433" s="625"/>
      <c r="J433" s="625"/>
      <c r="K433" s="585"/>
      <c r="L433" s="585"/>
      <c r="M433" s="585"/>
      <c r="N433" s="585"/>
      <c r="O433" s="585"/>
      <c r="P433" s="585"/>
      <c r="Q433" s="585"/>
      <c r="R433" s="585"/>
      <c r="S433" s="585"/>
      <c r="T433" s="585"/>
      <c r="U433" s="585"/>
      <c r="V433" s="585"/>
      <c r="W433" s="585"/>
      <c r="X433" s="585"/>
      <c r="Y433" s="585"/>
      <c r="Z433" s="585"/>
      <c r="AA433" s="585"/>
      <c r="AB433" s="585"/>
      <c r="AC433" s="585"/>
      <c r="AD433" s="585"/>
      <c r="AE433" s="585"/>
      <c r="AF433" s="585"/>
      <c r="AG433" s="585"/>
      <c r="AH433" s="585"/>
      <c r="AI433" s="585"/>
      <c r="AJ433" s="585"/>
      <c r="AK433" s="585"/>
      <c r="AL433" s="585"/>
      <c r="AM433" s="585"/>
      <c r="AN433" s="585"/>
      <c r="AO433" s="585"/>
      <c r="AP433" s="585"/>
      <c r="AQ433" s="585"/>
      <c r="AR433" s="585"/>
    </row>
    <row r="434">
      <c r="A434" s="621"/>
      <c r="B434" s="627" t="str">
        <f>IFERROR(__xludf.DUMMYFUNCTION("""COMPUTED_VALUE"""),"Feedback demo R2")</f>
        <v>Feedback demo R2</v>
      </c>
      <c r="C434" s="628"/>
      <c r="D434" s="602" t="str">
        <f>IFERROR(__xludf.DUMMYFUNCTION("""COMPUTED_VALUE"""),"BRAND")</f>
        <v>BRAND</v>
      </c>
      <c r="E434" s="624" t="str">
        <f>IFERROR(__xludf.DUMMYFUNCTION("""COMPUTED_VALUE"""),"Not start yet")</f>
        <v>Not start yet</v>
      </c>
      <c r="F434" s="604">
        <f>IFERROR(__xludf.DUMMYFUNCTION("""COMPUTED_VALUE"""),46160.0)</f>
        <v>46160</v>
      </c>
      <c r="G434" s="639">
        <f>IFERROR(__xludf.DUMMYFUNCTION("""COMPUTED_VALUE"""),46160.0)</f>
        <v>46160</v>
      </c>
      <c r="H434" s="585"/>
      <c r="I434" s="625"/>
      <c r="J434" s="625"/>
      <c r="K434" s="585"/>
      <c r="L434" s="585"/>
      <c r="M434" s="585"/>
      <c r="N434" s="585"/>
      <c r="O434" s="585"/>
      <c r="P434" s="585"/>
      <c r="Q434" s="585"/>
      <c r="R434" s="585"/>
      <c r="S434" s="585"/>
      <c r="T434" s="585"/>
      <c r="U434" s="585"/>
      <c r="V434" s="585"/>
      <c r="W434" s="585"/>
      <c r="X434" s="585"/>
      <c r="Y434" s="585"/>
      <c r="Z434" s="585"/>
      <c r="AA434" s="585"/>
      <c r="AB434" s="585"/>
      <c r="AC434" s="585"/>
      <c r="AD434" s="585"/>
      <c r="AE434" s="585"/>
      <c r="AF434" s="585"/>
      <c r="AG434" s="585"/>
      <c r="AH434" s="585"/>
      <c r="AI434" s="585"/>
      <c r="AJ434" s="585"/>
      <c r="AK434" s="585"/>
      <c r="AL434" s="585"/>
      <c r="AM434" s="585"/>
      <c r="AN434" s="585"/>
      <c r="AO434" s="585"/>
      <c r="AP434" s="585"/>
      <c r="AQ434" s="585"/>
      <c r="AR434" s="585"/>
    </row>
    <row r="435">
      <c r="A435" s="621"/>
      <c r="B435" s="627" t="str">
        <f>IFERROR(__xludf.DUMMYFUNCTION("""COMPUTED_VALUE"""),"Finalize demo")</f>
        <v>Finalize demo</v>
      </c>
      <c r="C435" s="628"/>
      <c r="D435" s="602" t="str">
        <f>IFERROR(__xludf.DUMMYFUNCTION("""COMPUTED_VALUE"""),"PMAX")</f>
        <v>PMAX</v>
      </c>
      <c r="E435" s="624" t="str">
        <f>IFERROR(__xludf.DUMMYFUNCTION("""COMPUTED_VALUE"""),"Not start yet")</f>
        <v>Not start yet</v>
      </c>
      <c r="F435" s="604">
        <f>IFERROR(__xludf.DUMMYFUNCTION("""COMPUTED_VALUE"""),46163.0)</f>
        <v>46163</v>
      </c>
      <c r="G435" s="639">
        <f>IFERROR(__xludf.DUMMYFUNCTION("""COMPUTED_VALUE"""),46163.0)</f>
        <v>46163</v>
      </c>
      <c r="H435" s="585"/>
      <c r="I435" s="629">
        <v>1.0</v>
      </c>
      <c r="J435" s="630" t="s">
        <v>888</v>
      </c>
      <c r="K435" s="585"/>
      <c r="L435" s="585"/>
      <c r="M435" s="585"/>
      <c r="N435" s="585"/>
      <c r="O435" s="585"/>
      <c r="P435" s="585"/>
      <c r="Q435" s="585"/>
      <c r="R435" s="585"/>
      <c r="S435" s="585"/>
      <c r="T435" s="585"/>
      <c r="U435" s="585"/>
      <c r="V435" s="585"/>
      <c r="W435" s="585"/>
      <c r="X435" s="585"/>
      <c r="Y435" s="585"/>
      <c r="Z435" s="585"/>
      <c r="AA435" s="585"/>
      <c r="AB435" s="585"/>
      <c r="AC435" s="585"/>
      <c r="AD435" s="585"/>
      <c r="AE435" s="585"/>
      <c r="AF435" s="585"/>
      <c r="AG435" s="585"/>
      <c r="AH435" s="585"/>
      <c r="AI435" s="585"/>
      <c r="AJ435" s="585"/>
      <c r="AK435" s="585"/>
      <c r="AL435" s="585"/>
      <c r="AM435" s="585"/>
      <c r="AN435" s="585"/>
      <c r="AO435" s="585"/>
      <c r="AP435" s="585"/>
      <c r="AQ435" s="585"/>
      <c r="AR435" s="585"/>
    </row>
    <row r="436">
      <c r="A436" s="621"/>
      <c r="B436" s="634" t="str">
        <f>IFERROR(__xludf.DUMMYFUNCTION("""COMPUTED_VALUE"""),"Air")</f>
        <v>Air</v>
      </c>
      <c r="C436" s="26"/>
      <c r="D436" s="602" t="str">
        <f>IFERROR(__xludf.DUMMYFUNCTION("""COMPUTED_VALUE"""),"PMAX")</f>
        <v>PMAX</v>
      </c>
      <c r="E436" s="624" t="str">
        <f>IFERROR(__xludf.DUMMYFUNCTION("""COMPUTED_VALUE"""),"Not start yet")</f>
        <v>Not start yet</v>
      </c>
      <c r="F436" s="604" t="str">
        <f>IFERROR(__xludf.DUMMYFUNCTION("""COMPUTED_VALUE"""),"TBU")</f>
        <v>TBU</v>
      </c>
      <c r="G436" s="639" t="str">
        <f>IFERROR(__xludf.DUMMYFUNCTION("""COMPUTED_VALUE"""),"TBU")</f>
        <v>TBU</v>
      </c>
      <c r="H436" s="585"/>
      <c r="I436" s="636">
        <v>1.0</v>
      </c>
      <c r="J436" s="585"/>
      <c r="K436" s="585"/>
      <c r="L436" s="585"/>
      <c r="M436" s="585"/>
      <c r="N436" s="585"/>
      <c r="O436" s="585"/>
      <c r="P436" s="585"/>
      <c r="Q436" s="585"/>
      <c r="R436" s="585"/>
      <c r="S436" s="585"/>
      <c r="T436" s="585"/>
      <c r="U436" s="585"/>
      <c r="V436" s="585"/>
      <c r="W436" s="585"/>
      <c r="X436" s="585"/>
      <c r="Y436" s="585"/>
      <c r="Z436" s="585"/>
      <c r="AA436" s="585"/>
      <c r="AB436" s="585"/>
      <c r="AC436" s="585"/>
      <c r="AD436" s="585"/>
      <c r="AE436" s="585"/>
      <c r="AF436" s="585"/>
      <c r="AG436" s="585"/>
      <c r="AH436" s="585"/>
      <c r="AI436" s="585"/>
      <c r="AJ436" s="585"/>
      <c r="AK436" s="585"/>
      <c r="AL436" s="585"/>
      <c r="AM436" s="585"/>
      <c r="AN436" s="585"/>
      <c r="AO436" s="585"/>
      <c r="AP436" s="585"/>
      <c r="AQ436" s="585"/>
      <c r="AR436" s="585"/>
    </row>
    <row r="437">
      <c r="A437" s="637">
        <f>IFERROR(__xludf.DUMMYFUNCTION("""COMPUTED_VALUE"""),30.0)</f>
        <v>30</v>
      </c>
      <c r="B437" s="616" t="str">
        <f>IFERROR(__xludf.DUMMYFUNCTION("""COMPUTED_VALUE"""),"Không Sợ Đói (Group)")</f>
        <v>Không Sợ Đói (Group)</v>
      </c>
      <c r="C437" s="617"/>
      <c r="D437" s="618"/>
      <c r="E437" s="619"/>
      <c r="F437" s="619"/>
      <c r="G437" s="619"/>
      <c r="H437" s="585"/>
      <c r="I437" s="585"/>
      <c r="J437" s="585"/>
      <c r="K437" s="585"/>
      <c r="L437" s="585"/>
      <c r="M437" s="585"/>
      <c r="N437" s="585"/>
      <c r="O437" s="585"/>
      <c r="P437" s="585"/>
      <c r="Q437" s="585"/>
      <c r="R437" s="585"/>
      <c r="S437" s="585"/>
      <c r="T437" s="585"/>
      <c r="U437" s="585"/>
      <c r="V437" s="585"/>
      <c r="W437" s="585"/>
      <c r="X437" s="585"/>
      <c r="Y437" s="585"/>
      <c r="Z437" s="585"/>
      <c r="AA437" s="585"/>
      <c r="AB437" s="585"/>
      <c r="AC437" s="585"/>
      <c r="AD437" s="585"/>
      <c r="AE437" s="585"/>
      <c r="AF437" s="585"/>
      <c r="AG437" s="585"/>
      <c r="AH437" s="585"/>
      <c r="AI437" s="585"/>
      <c r="AJ437" s="585"/>
      <c r="AK437" s="585"/>
      <c r="AL437" s="585"/>
      <c r="AM437" s="585"/>
      <c r="AN437" s="585"/>
      <c r="AO437" s="585"/>
      <c r="AP437" s="585"/>
      <c r="AQ437" s="585"/>
      <c r="AR437" s="585"/>
    </row>
    <row r="438">
      <c r="A438" s="621"/>
      <c r="B438" s="622" t="str">
        <f>IFERROR(__xludf.DUMMYFUNCTION("""COMPUTED_VALUE"""),"Briefing cho Influencer")</f>
        <v>Briefing cho Influencer</v>
      </c>
      <c r="C438" s="623"/>
      <c r="D438" s="602" t="str">
        <f>IFERROR(__xludf.DUMMYFUNCTION("""COMPUTED_VALUE"""),"PMAX")</f>
        <v>PMAX</v>
      </c>
      <c r="E438" s="624" t="str">
        <f>IFERROR(__xludf.DUMMYFUNCTION("""COMPUTED_VALUE"""),"Done")</f>
        <v>Done</v>
      </c>
      <c r="F438" s="604">
        <f>IFERROR(__xludf.DUMMYFUNCTION("""COMPUTED_VALUE"""),46147.0)</f>
        <v>46147</v>
      </c>
      <c r="G438" s="639">
        <f>IFERROR(__xludf.DUMMYFUNCTION("""COMPUTED_VALUE"""),46148.0)</f>
        <v>46148</v>
      </c>
      <c r="H438" s="585"/>
      <c r="I438" s="625"/>
      <c r="J438" s="626" t="s">
        <v>882</v>
      </c>
      <c r="K438" s="585"/>
      <c r="L438" s="585"/>
      <c r="M438" s="585"/>
      <c r="N438" s="585"/>
      <c r="O438" s="585"/>
      <c r="P438" s="585"/>
      <c r="Q438" s="585"/>
      <c r="R438" s="585"/>
      <c r="S438" s="585"/>
      <c r="T438" s="585"/>
      <c r="U438" s="585"/>
      <c r="V438" s="585"/>
      <c r="W438" s="585"/>
      <c r="X438" s="585"/>
      <c r="Y438" s="585"/>
      <c r="Z438" s="585"/>
      <c r="AA438" s="585"/>
      <c r="AB438" s="585"/>
      <c r="AC438" s="585"/>
      <c r="AD438" s="585"/>
      <c r="AE438" s="585"/>
      <c r="AF438" s="585"/>
      <c r="AG438" s="585"/>
      <c r="AH438" s="585"/>
      <c r="AI438" s="585"/>
      <c r="AJ438" s="585"/>
      <c r="AK438" s="585"/>
      <c r="AL438" s="585"/>
      <c r="AM438" s="585"/>
      <c r="AN438" s="585"/>
      <c r="AO438" s="585"/>
      <c r="AP438" s="585"/>
      <c r="AQ438" s="585"/>
      <c r="AR438" s="585"/>
    </row>
    <row r="439">
      <c r="A439" s="621"/>
      <c r="B439" s="627" t="str">
        <f>IFERROR(__xludf.DUMMYFUNCTION("""COMPUTED_VALUE"""),"Script R1 + Outfits")</f>
        <v>Script R1 + Outfits</v>
      </c>
      <c r="C439" s="628"/>
      <c r="D439" s="602" t="str">
        <f>IFERROR(__xludf.DUMMYFUNCTION("""COMPUTED_VALUE"""),"PMAX")</f>
        <v>PMAX</v>
      </c>
      <c r="E439" s="624" t="str">
        <f>IFERROR(__xludf.DUMMYFUNCTION("""COMPUTED_VALUE"""),"Not start yet")</f>
        <v>Not start yet</v>
      </c>
      <c r="F439" s="604"/>
      <c r="G439" s="639"/>
      <c r="H439" s="585"/>
      <c r="I439" s="629">
        <v>1.0</v>
      </c>
      <c r="J439" s="630" t="s">
        <v>883</v>
      </c>
      <c r="K439" s="585"/>
      <c r="L439" s="585"/>
      <c r="M439" s="585"/>
      <c r="N439" s="585"/>
      <c r="O439" s="585"/>
      <c r="P439" s="585"/>
      <c r="Q439" s="585"/>
      <c r="R439" s="585"/>
      <c r="S439" s="585"/>
      <c r="T439" s="585"/>
      <c r="U439" s="585"/>
      <c r="V439" s="585"/>
      <c r="W439" s="585"/>
      <c r="X439" s="585"/>
      <c r="Y439" s="585"/>
      <c r="Z439" s="585"/>
      <c r="AA439" s="585"/>
      <c r="AB439" s="585"/>
      <c r="AC439" s="585"/>
      <c r="AD439" s="585"/>
      <c r="AE439" s="585"/>
      <c r="AF439" s="585"/>
      <c r="AG439" s="585"/>
      <c r="AH439" s="585"/>
      <c r="AI439" s="585"/>
      <c r="AJ439" s="585"/>
      <c r="AK439" s="585"/>
      <c r="AL439" s="585"/>
      <c r="AM439" s="585"/>
      <c r="AN439" s="585"/>
      <c r="AO439" s="585"/>
      <c r="AP439" s="585"/>
      <c r="AQ439" s="585"/>
      <c r="AR439" s="585"/>
    </row>
    <row r="440">
      <c r="A440" s="621"/>
      <c r="B440" s="627" t="str">
        <f>IFERROR(__xludf.DUMMYFUNCTION("""COMPUTED_VALUE"""),"Feedback Script R1 + outfits")</f>
        <v>Feedback Script R1 + outfits</v>
      </c>
      <c r="C440" s="628"/>
      <c r="D440" s="602" t="str">
        <f>IFERROR(__xludf.DUMMYFUNCTION("""COMPUTED_VALUE"""),"BRAND")</f>
        <v>BRAND</v>
      </c>
      <c r="E440" s="624" t="str">
        <f>IFERROR(__xludf.DUMMYFUNCTION("""COMPUTED_VALUE"""),"Not start yet")</f>
        <v>Not start yet</v>
      </c>
      <c r="F440" s="604"/>
      <c r="G440" s="639"/>
      <c r="H440" s="585"/>
      <c r="I440" s="625"/>
      <c r="J440" s="630" t="s">
        <v>884</v>
      </c>
      <c r="K440" s="585"/>
      <c r="L440" s="585"/>
      <c r="M440" s="585"/>
      <c r="N440" s="585"/>
      <c r="O440" s="585"/>
      <c r="P440" s="585"/>
      <c r="Q440" s="585"/>
      <c r="R440" s="585"/>
      <c r="S440" s="585"/>
      <c r="T440" s="585"/>
      <c r="U440" s="585"/>
      <c r="V440" s="585"/>
      <c r="W440" s="585"/>
      <c r="X440" s="585"/>
      <c r="Y440" s="585"/>
      <c r="Z440" s="585"/>
      <c r="AA440" s="585"/>
      <c r="AB440" s="585"/>
      <c r="AC440" s="585"/>
      <c r="AD440" s="585"/>
      <c r="AE440" s="585"/>
      <c r="AF440" s="585"/>
      <c r="AG440" s="585"/>
      <c r="AH440" s="585"/>
      <c r="AI440" s="585"/>
      <c r="AJ440" s="585"/>
      <c r="AK440" s="585"/>
      <c r="AL440" s="585"/>
      <c r="AM440" s="585"/>
      <c r="AN440" s="585"/>
      <c r="AO440" s="585"/>
      <c r="AP440" s="585"/>
      <c r="AQ440" s="585"/>
      <c r="AR440" s="585"/>
    </row>
    <row r="441">
      <c r="A441" s="621"/>
      <c r="B441" s="631" t="str">
        <f>IFERROR(__xludf.DUMMYFUNCTION("""COMPUTED_VALUE"""),"Script R2")</f>
        <v>Script R2</v>
      </c>
      <c r="C441" s="628"/>
      <c r="D441" s="632" t="str">
        <f>IFERROR(__xludf.DUMMYFUNCTION("""COMPUTED_VALUE"""),"PMAX")</f>
        <v>PMAX</v>
      </c>
      <c r="E441" s="624" t="str">
        <f>IFERROR(__xludf.DUMMYFUNCTION("""COMPUTED_VALUE"""),"Not start yet")</f>
        <v>Not start yet</v>
      </c>
      <c r="F441" s="604"/>
      <c r="G441" s="639"/>
      <c r="H441" s="585"/>
      <c r="I441" s="625"/>
      <c r="J441" s="630"/>
      <c r="K441" s="585"/>
      <c r="L441" s="585"/>
      <c r="M441" s="585"/>
      <c r="N441" s="585"/>
      <c r="O441" s="585"/>
      <c r="P441" s="585"/>
      <c r="Q441" s="585"/>
      <c r="R441" s="585"/>
      <c r="S441" s="585"/>
      <c r="T441" s="585"/>
      <c r="U441" s="585"/>
      <c r="V441" s="585"/>
      <c r="W441" s="585"/>
      <c r="X441" s="585"/>
      <c r="Y441" s="585"/>
      <c r="Z441" s="585"/>
      <c r="AA441" s="585"/>
      <c r="AB441" s="585"/>
      <c r="AC441" s="585"/>
      <c r="AD441" s="585"/>
      <c r="AE441" s="585"/>
      <c r="AF441" s="585"/>
      <c r="AG441" s="585"/>
      <c r="AH441" s="585"/>
      <c r="AI441" s="585"/>
      <c r="AJ441" s="585"/>
      <c r="AK441" s="585"/>
      <c r="AL441" s="585"/>
      <c r="AM441" s="585"/>
      <c r="AN441" s="585"/>
      <c r="AO441" s="585"/>
      <c r="AP441" s="585"/>
      <c r="AQ441" s="585"/>
      <c r="AR441" s="585"/>
    </row>
    <row r="442">
      <c r="A442" s="621"/>
      <c r="B442" s="631" t="str">
        <f>IFERROR(__xludf.DUMMYFUNCTION("""COMPUTED_VALUE"""),"Feedback Script R2")</f>
        <v>Feedback Script R2</v>
      </c>
      <c r="C442" s="628"/>
      <c r="D442" s="632" t="str">
        <f>IFERROR(__xludf.DUMMYFUNCTION("""COMPUTED_VALUE"""),"BRAND")</f>
        <v>BRAND</v>
      </c>
      <c r="E442" s="624" t="str">
        <f>IFERROR(__xludf.DUMMYFUNCTION("""COMPUTED_VALUE"""),"Not start yet")</f>
        <v>Not start yet</v>
      </c>
      <c r="F442" s="604"/>
      <c r="G442" s="639"/>
      <c r="H442" s="585"/>
      <c r="I442" s="625"/>
      <c r="J442" s="630"/>
      <c r="K442" s="585"/>
      <c r="L442" s="585"/>
      <c r="M442" s="585"/>
      <c r="N442" s="585"/>
      <c r="O442" s="585"/>
      <c r="P442" s="585"/>
      <c r="Q442" s="585"/>
      <c r="R442" s="585"/>
      <c r="S442" s="585"/>
      <c r="T442" s="585"/>
      <c r="U442" s="585"/>
      <c r="V442" s="585"/>
      <c r="W442" s="585"/>
      <c r="X442" s="585"/>
      <c r="Y442" s="585"/>
      <c r="Z442" s="585"/>
      <c r="AA442" s="585"/>
      <c r="AB442" s="585"/>
      <c r="AC442" s="585"/>
      <c r="AD442" s="585"/>
      <c r="AE442" s="585"/>
      <c r="AF442" s="585"/>
      <c r="AG442" s="585"/>
      <c r="AH442" s="585"/>
      <c r="AI442" s="585"/>
      <c r="AJ442" s="585"/>
      <c r="AK442" s="585"/>
      <c r="AL442" s="585"/>
      <c r="AM442" s="585"/>
      <c r="AN442" s="585"/>
      <c r="AO442" s="585"/>
      <c r="AP442" s="585"/>
      <c r="AQ442" s="585"/>
      <c r="AR442" s="585"/>
    </row>
    <row r="443">
      <c r="A443" s="621"/>
      <c r="B443" s="627" t="str">
        <f>IFERROR(__xludf.DUMMYFUNCTION("""COMPUTED_VALUE"""),"Finalize scripts + outfits")</f>
        <v>Finalize scripts + outfits</v>
      </c>
      <c r="C443" s="628"/>
      <c r="D443" s="602" t="str">
        <f>IFERROR(__xludf.DUMMYFUNCTION("""COMPUTED_VALUE"""),"PMAX-BRAND")</f>
        <v>PMAX-BRAND</v>
      </c>
      <c r="E443" s="624" t="str">
        <f>IFERROR(__xludf.DUMMYFUNCTION("""COMPUTED_VALUE"""),"Not start yet")</f>
        <v>Not start yet</v>
      </c>
      <c r="F443" s="604"/>
      <c r="G443" s="639"/>
      <c r="H443" s="585"/>
      <c r="I443" s="629">
        <v>1.0</v>
      </c>
      <c r="J443" s="630" t="s">
        <v>885</v>
      </c>
      <c r="K443" s="585"/>
      <c r="L443" s="585"/>
      <c r="M443" s="585"/>
      <c r="N443" s="585"/>
      <c r="O443" s="585"/>
      <c r="P443" s="585"/>
      <c r="Q443" s="585"/>
      <c r="R443" s="585"/>
      <c r="S443" s="585"/>
      <c r="T443" s="585"/>
      <c r="U443" s="585"/>
      <c r="V443" s="585"/>
      <c r="W443" s="585"/>
      <c r="X443" s="585"/>
      <c r="Y443" s="585"/>
      <c r="Z443" s="585"/>
      <c r="AA443" s="585"/>
      <c r="AB443" s="585"/>
      <c r="AC443" s="585"/>
      <c r="AD443" s="585"/>
      <c r="AE443" s="585"/>
      <c r="AF443" s="585"/>
      <c r="AG443" s="585"/>
      <c r="AH443" s="585"/>
      <c r="AI443" s="585"/>
      <c r="AJ443" s="585"/>
      <c r="AK443" s="585"/>
      <c r="AL443" s="585"/>
      <c r="AM443" s="585"/>
      <c r="AN443" s="585"/>
      <c r="AO443" s="585"/>
      <c r="AP443" s="585"/>
      <c r="AQ443" s="585"/>
      <c r="AR443" s="585"/>
    </row>
    <row r="444">
      <c r="A444" s="621"/>
      <c r="B444" s="627" t="str">
        <f>IFERROR(__xludf.DUMMYFUNCTION("""COMPUTED_VALUE"""),"Đi quay tại site")</f>
        <v>Đi quay tại site</v>
      </c>
      <c r="C444" s="628"/>
      <c r="D444" s="602" t="str">
        <f>IFERROR(__xludf.DUMMYFUNCTION("""COMPUTED_VALUE"""),"PMAX")</f>
        <v>PMAX</v>
      </c>
      <c r="E444" s="624" t="str">
        <f>IFERROR(__xludf.DUMMYFUNCTION("""COMPUTED_VALUE"""),"Not start yet")</f>
        <v>Not start yet</v>
      </c>
      <c r="F444" s="604">
        <f>IFERROR(__xludf.DUMMYFUNCTION("""COMPUTED_VALUE"""),46155.0)</f>
        <v>46155</v>
      </c>
      <c r="G444" s="639">
        <f>IFERROR(__xludf.DUMMYFUNCTION("""COMPUTED_VALUE"""),46155.0)</f>
        <v>46155</v>
      </c>
      <c r="H444" s="585"/>
      <c r="I444" s="629">
        <v>2.0</v>
      </c>
      <c r="J444" s="625"/>
      <c r="K444" s="585"/>
      <c r="L444" s="585"/>
      <c r="M444" s="585"/>
      <c r="N444" s="585"/>
      <c r="O444" s="585"/>
      <c r="P444" s="585"/>
      <c r="Q444" s="585"/>
      <c r="R444" s="585"/>
      <c r="S444" s="585"/>
      <c r="T444" s="585"/>
      <c r="U444" s="585"/>
      <c r="V444" s="585"/>
      <c r="W444" s="585"/>
      <c r="X444" s="585"/>
      <c r="Y444" s="585"/>
      <c r="Z444" s="585"/>
      <c r="AA444" s="585"/>
      <c r="AB444" s="585"/>
      <c r="AC444" s="585"/>
      <c r="AD444" s="585"/>
      <c r="AE444" s="585"/>
      <c r="AF444" s="585"/>
      <c r="AG444" s="585"/>
      <c r="AH444" s="585"/>
      <c r="AI444" s="585"/>
      <c r="AJ444" s="585"/>
      <c r="AK444" s="585"/>
      <c r="AL444" s="585"/>
      <c r="AM444" s="585"/>
      <c r="AN444" s="585"/>
      <c r="AO444" s="585"/>
      <c r="AP444" s="585"/>
      <c r="AQ444" s="585"/>
      <c r="AR444" s="585"/>
    </row>
    <row r="445">
      <c r="A445" s="621"/>
      <c r="B445" s="633" t="str">
        <f>IFERROR(__xludf.DUMMYFUNCTION("""COMPUTED_VALUE"""),"Demo R1")</f>
        <v>Demo R1</v>
      </c>
      <c r="C445" s="628"/>
      <c r="D445" s="602" t="str">
        <f>IFERROR(__xludf.DUMMYFUNCTION("""COMPUTED_VALUE"""),"PMAX")</f>
        <v>PMAX</v>
      </c>
      <c r="E445" s="624" t="str">
        <f>IFERROR(__xludf.DUMMYFUNCTION("""COMPUTED_VALUE"""),"Not start yet")</f>
        <v>Not start yet</v>
      </c>
      <c r="F445" s="604">
        <f>IFERROR(__xludf.DUMMYFUNCTION("""COMPUTED_VALUE"""),46156.0)</f>
        <v>46156</v>
      </c>
      <c r="G445" s="639">
        <f>IFERROR(__xludf.DUMMYFUNCTION("""COMPUTED_VALUE"""),46156.0)</f>
        <v>46156</v>
      </c>
      <c r="H445" s="585"/>
      <c r="I445" s="629">
        <v>4.0</v>
      </c>
      <c r="J445" s="630" t="s">
        <v>886</v>
      </c>
      <c r="K445" s="585"/>
      <c r="L445" s="585"/>
      <c r="M445" s="585"/>
      <c r="N445" s="585"/>
      <c r="O445" s="585"/>
      <c r="P445" s="585"/>
      <c r="Q445" s="585"/>
      <c r="R445" s="585"/>
      <c r="S445" s="585"/>
      <c r="T445" s="585"/>
      <c r="U445" s="585"/>
      <c r="V445" s="585"/>
      <c r="W445" s="585"/>
      <c r="X445" s="585"/>
      <c r="Y445" s="585"/>
      <c r="Z445" s="585"/>
      <c r="AA445" s="585"/>
      <c r="AB445" s="585"/>
      <c r="AC445" s="585"/>
      <c r="AD445" s="585"/>
      <c r="AE445" s="585"/>
      <c r="AF445" s="585"/>
      <c r="AG445" s="585"/>
      <c r="AH445" s="585"/>
      <c r="AI445" s="585"/>
      <c r="AJ445" s="585"/>
      <c r="AK445" s="585"/>
      <c r="AL445" s="585"/>
      <c r="AM445" s="585"/>
      <c r="AN445" s="585"/>
      <c r="AO445" s="585"/>
      <c r="AP445" s="585"/>
      <c r="AQ445" s="585"/>
      <c r="AR445" s="585"/>
    </row>
    <row r="446">
      <c r="A446" s="621"/>
      <c r="B446" s="627" t="str">
        <f>IFERROR(__xludf.DUMMYFUNCTION("""COMPUTED_VALUE"""),"Feedback demo R1")</f>
        <v>Feedback demo R1</v>
      </c>
      <c r="C446" s="628"/>
      <c r="D446" s="602" t="str">
        <f>IFERROR(__xludf.DUMMYFUNCTION("""COMPUTED_VALUE"""),"BRAND")</f>
        <v>BRAND</v>
      </c>
      <c r="E446" s="624" t="str">
        <f>IFERROR(__xludf.DUMMYFUNCTION("""COMPUTED_VALUE"""),"Not start yet")</f>
        <v>Not start yet</v>
      </c>
      <c r="F446" s="604">
        <f>IFERROR(__xludf.DUMMYFUNCTION("""COMPUTED_VALUE"""),46157.0)</f>
        <v>46157</v>
      </c>
      <c r="G446" s="639">
        <f>IFERROR(__xludf.DUMMYFUNCTION("""COMPUTED_VALUE"""),46157.0)</f>
        <v>46157</v>
      </c>
      <c r="H446" s="585"/>
      <c r="I446" s="625"/>
      <c r="J446" s="630" t="s">
        <v>887</v>
      </c>
      <c r="K446" s="585"/>
      <c r="L446" s="585"/>
      <c r="M446" s="585"/>
      <c r="N446" s="585"/>
      <c r="O446" s="585"/>
      <c r="P446" s="585"/>
      <c r="Q446" s="585"/>
      <c r="R446" s="585"/>
      <c r="S446" s="585"/>
      <c r="T446" s="585"/>
      <c r="U446" s="585"/>
      <c r="V446" s="585"/>
      <c r="W446" s="585"/>
      <c r="X446" s="585"/>
      <c r="Y446" s="585"/>
      <c r="Z446" s="585"/>
      <c r="AA446" s="585"/>
      <c r="AB446" s="585"/>
      <c r="AC446" s="585"/>
      <c r="AD446" s="585"/>
      <c r="AE446" s="585"/>
      <c r="AF446" s="585"/>
      <c r="AG446" s="585"/>
      <c r="AH446" s="585"/>
      <c r="AI446" s="585"/>
      <c r="AJ446" s="585"/>
      <c r="AK446" s="585"/>
      <c r="AL446" s="585"/>
      <c r="AM446" s="585"/>
      <c r="AN446" s="585"/>
      <c r="AO446" s="585"/>
      <c r="AP446" s="585"/>
      <c r="AQ446" s="585"/>
      <c r="AR446" s="585"/>
    </row>
    <row r="447">
      <c r="A447" s="621"/>
      <c r="B447" s="633" t="str">
        <f>IFERROR(__xludf.DUMMYFUNCTION("""COMPUTED_VALUE"""),"Demo R2")</f>
        <v>Demo R2</v>
      </c>
      <c r="C447" s="628"/>
      <c r="D447" s="602" t="str">
        <f>IFERROR(__xludf.DUMMYFUNCTION("""COMPUTED_VALUE"""),"PMAX")</f>
        <v>PMAX</v>
      </c>
      <c r="E447" s="624" t="str">
        <f>IFERROR(__xludf.DUMMYFUNCTION("""COMPUTED_VALUE"""),"Not start yet")</f>
        <v>Not start yet</v>
      </c>
      <c r="F447" s="604">
        <f>IFERROR(__xludf.DUMMYFUNCTION("""COMPUTED_VALUE"""),46160.0)</f>
        <v>46160</v>
      </c>
      <c r="G447" s="639">
        <f>IFERROR(__xludf.DUMMYFUNCTION("""COMPUTED_VALUE"""),46160.0)</f>
        <v>46160</v>
      </c>
      <c r="H447" s="585"/>
      <c r="I447" s="625"/>
      <c r="J447" s="625"/>
      <c r="K447" s="585"/>
      <c r="L447" s="585"/>
      <c r="M447" s="585"/>
      <c r="N447" s="585"/>
      <c r="O447" s="585"/>
      <c r="P447" s="585"/>
      <c r="Q447" s="585"/>
      <c r="R447" s="585"/>
      <c r="S447" s="585"/>
      <c r="T447" s="585"/>
      <c r="U447" s="585"/>
      <c r="V447" s="585"/>
      <c r="W447" s="585"/>
      <c r="X447" s="585"/>
      <c r="Y447" s="585"/>
      <c r="Z447" s="585"/>
      <c r="AA447" s="585"/>
      <c r="AB447" s="585"/>
      <c r="AC447" s="585"/>
      <c r="AD447" s="585"/>
      <c r="AE447" s="585"/>
      <c r="AF447" s="585"/>
      <c r="AG447" s="585"/>
      <c r="AH447" s="585"/>
      <c r="AI447" s="585"/>
      <c r="AJ447" s="585"/>
      <c r="AK447" s="585"/>
      <c r="AL447" s="585"/>
      <c r="AM447" s="585"/>
      <c r="AN447" s="585"/>
      <c r="AO447" s="585"/>
      <c r="AP447" s="585"/>
      <c r="AQ447" s="585"/>
      <c r="AR447" s="585"/>
    </row>
    <row r="448">
      <c r="A448" s="621"/>
      <c r="B448" s="627" t="str">
        <f>IFERROR(__xludf.DUMMYFUNCTION("""COMPUTED_VALUE"""),"Feedback demo R2")</f>
        <v>Feedback demo R2</v>
      </c>
      <c r="C448" s="628"/>
      <c r="D448" s="602" t="str">
        <f>IFERROR(__xludf.DUMMYFUNCTION("""COMPUTED_VALUE"""),"BRAND")</f>
        <v>BRAND</v>
      </c>
      <c r="E448" s="624" t="str">
        <f>IFERROR(__xludf.DUMMYFUNCTION("""COMPUTED_VALUE"""),"Not start yet")</f>
        <v>Not start yet</v>
      </c>
      <c r="F448" s="604">
        <f>IFERROR(__xludf.DUMMYFUNCTION("""COMPUTED_VALUE"""),46161.0)</f>
        <v>46161</v>
      </c>
      <c r="G448" s="639">
        <f>IFERROR(__xludf.DUMMYFUNCTION("""COMPUTED_VALUE"""),46161.0)</f>
        <v>46161</v>
      </c>
      <c r="H448" s="585"/>
      <c r="I448" s="625"/>
      <c r="J448" s="625"/>
      <c r="K448" s="585"/>
      <c r="L448" s="585"/>
      <c r="M448" s="585"/>
      <c r="N448" s="585"/>
      <c r="O448" s="585"/>
      <c r="P448" s="585"/>
      <c r="Q448" s="585"/>
      <c r="R448" s="585"/>
      <c r="S448" s="585"/>
      <c r="T448" s="585"/>
      <c r="U448" s="585"/>
      <c r="V448" s="585"/>
      <c r="W448" s="585"/>
      <c r="X448" s="585"/>
      <c r="Y448" s="585"/>
      <c r="Z448" s="585"/>
      <c r="AA448" s="585"/>
      <c r="AB448" s="585"/>
      <c r="AC448" s="585"/>
      <c r="AD448" s="585"/>
      <c r="AE448" s="585"/>
      <c r="AF448" s="585"/>
      <c r="AG448" s="585"/>
      <c r="AH448" s="585"/>
      <c r="AI448" s="585"/>
      <c r="AJ448" s="585"/>
      <c r="AK448" s="585"/>
      <c r="AL448" s="585"/>
      <c r="AM448" s="585"/>
      <c r="AN448" s="585"/>
      <c r="AO448" s="585"/>
      <c r="AP448" s="585"/>
      <c r="AQ448" s="585"/>
      <c r="AR448" s="585"/>
    </row>
    <row r="449">
      <c r="A449" s="621"/>
      <c r="B449" s="627" t="str">
        <f>IFERROR(__xludf.DUMMYFUNCTION("""COMPUTED_VALUE"""),"Finalize demo")</f>
        <v>Finalize demo</v>
      </c>
      <c r="C449" s="628"/>
      <c r="D449" s="602" t="str">
        <f>IFERROR(__xludf.DUMMYFUNCTION("""COMPUTED_VALUE"""),"PMAX")</f>
        <v>PMAX</v>
      </c>
      <c r="E449" s="624" t="str">
        <f>IFERROR(__xludf.DUMMYFUNCTION("""COMPUTED_VALUE"""),"Not start yet")</f>
        <v>Not start yet</v>
      </c>
      <c r="F449" s="604">
        <f>IFERROR(__xludf.DUMMYFUNCTION("""COMPUTED_VALUE"""),46163.0)</f>
        <v>46163</v>
      </c>
      <c r="G449" s="639">
        <f>IFERROR(__xludf.DUMMYFUNCTION("""COMPUTED_VALUE"""),46163.0)</f>
        <v>46163</v>
      </c>
      <c r="H449" s="585"/>
      <c r="I449" s="629">
        <v>1.0</v>
      </c>
      <c r="J449" s="630" t="s">
        <v>888</v>
      </c>
      <c r="K449" s="585"/>
      <c r="L449" s="585"/>
      <c r="M449" s="585"/>
      <c r="N449" s="585"/>
      <c r="O449" s="585"/>
      <c r="P449" s="585"/>
      <c r="Q449" s="585"/>
      <c r="R449" s="585"/>
      <c r="S449" s="585"/>
      <c r="T449" s="585"/>
      <c r="U449" s="585"/>
      <c r="V449" s="585"/>
      <c r="W449" s="585"/>
      <c r="X449" s="585"/>
      <c r="Y449" s="585"/>
      <c r="Z449" s="585"/>
      <c r="AA449" s="585"/>
      <c r="AB449" s="585"/>
      <c r="AC449" s="585"/>
      <c r="AD449" s="585"/>
      <c r="AE449" s="585"/>
      <c r="AF449" s="585"/>
      <c r="AG449" s="585"/>
      <c r="AH449" s="585"/>
      <c r="AI449" s="585"/>
      <c r="AJ449" s="585"/>
      <c r="AK449" s="585"/>
      <c r="AL449" s="585"/>
      <c r="AM449" s="585"/>
      <c r="AN449" s="585"/>
      <c r="AO449" s="585"/>
      <c r="AP449" s="585"/>
      <c r="AQ449" s="585"/>
      <c r="AR449" s="585"/>
    </row>
    <row r="450">
      <c r="A450" s="621"/>
      <c r="B450" s="634" t="str">
        <f>IFERROR(__xludf.DUMMYFUNCTION("""COMPUTED_VALUE"""),"Air")</f>
        <v>Air</v>
      </c>
      <c r="C450" s="26"/>
      <c r="D450" s="602" t="str">
        <f>IFERROR(__xludf.DUMMYFUNCTION("""COMPUTED_VALUE"""),"PMAX")</f>
        <v>PMAX</v>
      </c>
      <c r="E450" s="624" t="str">
        <f>IFERROR(__xludf.DUMMYFUNCTION("""COMPUTED_VALUE"""),"Not start yet")</f>
        <v>Not start yet</v>
      </c>
      <c r="F450" s="604" t="str">
        <f>IFERROR(__xludf.DUMMYFUNCTION("""COMPUTED_VALUE"""),"TBU")</f>
        <v>TBU</v>
      </c>
      <c r="G450" s="639" t="str">
        <f>IFERROR(__xludf.DUMMYFUNCTION("""COMPUTED_VALUE"""),"TBU")</f>
        <v>TBU</v>
      </c>
      <c r="H450" s="585"/>
      <c r="I450" s="636">
        <v>1.0</v>
      </c>
      <c r="J450" s="585"/>
      <c r="K450" s="585"/>
      <c r="L450" s="585"/>
      <c r="M450" s="585"/>
      <c r="N450" s="585"/>
      <c r="O450" s="585"/>
      <c r="P450" s="585"/>
      <c r="Q450" s="585"/>
      <c r="R450" s="585"/>
      <c r="S450" s="585"/>
      <c r="T450" s="585"/>
      <c r="U450" s="585"/>
      <c r="V450" s="585"/>
      <c r="W450" s="585"/>
      <c r="X450" s="585"/>
      <c r="Y450" s="585"/>
      <c r="Z450" s="585"/>
      <c r="AA450" s="585"/>
      <c r="AB450" s="585"/>
      <c r="AC450" s="585"/>
      <c r="AD450" s="585"/>
      <c r="AE450" s="585"/>
      <c r="AF450" s="585"/>
      <c r="AG450" s="585"/>
      <c r="AH450" s="585"/>
      <c r="AI450" s="585"/>
      <c r="AJ450" s="585"/>
      <c r="AK450" s="585"/>
      <c r="AL450" s="585"/>
      <c r="AM450" s="585"/>
      <c r="AN450" s="585"/>
      <c r="AO450" s="585"/>
      <c r="AP450" s="585"/>
      <c r="AQ450" s="585"/>
      <c r="AR450" s="585"/>
    </row>
    <row r="451">
      <c r="A451" s="637">
        <f>IFERROR(__xludf.DUMMYFUNCTION("""COMPUTED_VALUE"""),31.0)</f>
        <v>31</v>
      </c>
      <c r="B451" s="616" t="str">
        <f>IFERROR(__xludf.DUMMYFUNCTION("""COMPUTED_VALUE"""),"Măm Măn Sài gòn (Group)")</f>
        <v>Măm Măn Sài gòn (Group)</v>
      </c>
      <c r="C451" s="617"/>
      <c r="D451" s="618"/>
      <c r="E451" s="619"/>
      <c r="F451" s="619"/>
      <c r="G451" s="619"/>
      <c r="H451" s="585"/>
      <c r="I451" s="585"/>
      <c r="J451" s="585"/>
      <c r="K451" s="585"/>
      <c r="L451" s="585"/>
      <c r="M451" s="585"/>
      <c r="N451" s="585"/>
      <c r="O451" s="585"/>
      <c r="P451" s="585"/>
      <c r="Q451" s="585"/>
      <c r="R451" s="585"/>
      <c r="S451" s="585"/>
      <c r="T451" s="585"/>
      <c r="U451" s="585"/>
      <c r="V451" s="585"/>
      <c r="W451" s="585"/>
      <c r="X451" s="585"/>
      <c r="Y451" s="585"/>
      <c r="Z451" s="585"/>
      <c r="AA451" s="585"/>
      <c r="AB451" s="585"/>
      <c r="AC451" s="585"/>
      <c r="AD451" s="585"/>
      <c r="AE451" s="585"/>
      <c r="AF451" s="585"/>
      <c r="AG451" s="585"/>
      <c r="AH451" s="585"/>
      <c r="AI451" s="585"/>
      <c r="AJ451" s="585"/>
      <c r="AK451" s="585"/>
      <c r="AL451" s="585"/>
      <c r="AM451" s="585"/>
      <c r="AN451" s="585"/>
      <c r="AO451" s="585"/>
      <c r="AP451" s="585"/>
      <c r="AQ451" s="585"/>
      <c r="AR451" s="585"/>
    </row>
    <row r="452">
      <c r="A452" s="621"/>
      <c r="B452" s="622" t="str">
        <f>IFERROR(__xludf.DUMMYFUNCTION("""COMPUTED_VALUE"""),"Briefing cho Influencer")</f>
        <v>Briefing cho Influencer</v>
      </c>
      <c r="C452" s="623"/>
      <c r="D452" s="602" t="str">
        <f>IFERROR(__xludf.DUMMYFUNCTION("""COMPUTED_VALUE"""),"PMAX")</f>
        <v>PMAX</v>
      </c>
      <c r="E452" s="624" t="str">
        <f>IFERROR(__xludf.DUMMYFUNCTION("""COMPUTED_VALUE"""),"Done")</f>
        <v>Done</v>
      </c>
      <c r="F452" s="604">
        <f>IFERROR(__xludf.DUMMYFUNCTION("""COMPUTED_VALUE"""),46147.0)</f>
        <v>46147</v>
      </c>
      <c r="G452" s="639">
        <f>IFERROR(__xludf.DUMMYFUNCTION("""COMPUTED_VALUE"""),46148.0)</f>
        <v>46148</v>
      </c>
      <c r="H452" s="585"/>
      <c r="I452" s="625"/>
      <c r="J452" s="626" t="s">
        <v>882</v>
      </c>
      <c r="K452" s="585"/>
      <c r="L452" s="585"/>
      <c r="M452" s="585"/>
      <c r="N452" s="585"/>
      <c r="O452" s="585"/>
      <c r="P452" s="585"/>
      <c r="Q452" s="585"/>
      <c r="R452" s="585"/>
      <c r="S452" s="585"/>
      <c r="T452" s="585"/>
      <c r="U452" s="585"/>
      <c r="V452" s="585"/>
      <c r="W452" s="585"/>
      <c r="X452" s="585"/>
      <c r="Y452" s="585"/>
      <c r="Z452" s="585"/>
      <c r="AA452" s="585"/>
      <c r="AB452" s="585"/>
      <c r="AC452" s="585"/>
      <c r="AD452" s="585"/>
      <c r="AE452" s="585"/>
      <c r="AF452" s="585"/>
      <c r="AG452" s="585"/>
      <c r="AH452" s="585"/>
      <c r="AI452" s="585"/>
      <c r="AJ452" s="585"/>
      <c r="AK452" s="585"/>
      <c r="AL452" s="585"/>
      <c r="AM452" s="585"/>
      <c r="AN452" s="585"/>
      <c r="AO452" s="585"/>
      <c r="AP452" s="585"/>
      <c r="AQ452" s="585"/>
      <c r="AR452" s="585"/>
    </row>
    <row r="453">
      <c r="A453" s="621"/>
      <c r="B453" s="627" t="str">
        <f>IFERROR(__xludf.DUMMYFUNCTION("""COMPUTED_VALUE"""),"Script R1 + Outfits")</f>
        <v>Script R1 + Outfits</v>
      </c>
      <c r="C453" s="628"/>
      <c r="D453" s="602" t="str">
        <f>IFERROR(__xludf.DUMMYFUNCTION("""COMPUTED_VALUE"""),"PMAX")</f>
        <v>PMAX</v>
      </c>
      <c r="E453" s="624" t="str">
        <f>IFERROR(__xludf.DUMMYFUNCTION("""COMPUTED_VALUE"""),"Not start yet")</f>
        <v>Not start yet</v>
      </c>
      <c r="F453" s="604"/>
      <c r="G453" s="639"/>
      <c r="H453" s="585"/>
      <c r="I453" s="629">
        <v>1.0</v>
      </c>
      <c r="J453" s="630" t="s">
        <v>883</v>
      </c>
      <c r="K453" s="585"/>
      <c r="L453" s="585"/>
      <c r="M453" s="585"/>
      <c r="N453" s="585"/>
      <c r="O453" s="585"/>
      <c r="P453" s="585"/>
      <c r="Q453" s="585"/>
      <c r="R453" s="585"/>
      <c r="S453" s="585"/>
      <c r="T453" s="585"/>
      <c r="U453" s="585"/>
      <c r="V453" s="585"/>
      <c r="W453" s="585"/>
      <c r="X453" s="585"/>
      <c r="Y453" s="585"/>
      <c r="Z453" s="585"/>
      <c r="AA453" s="585"/>
      <c r="AB453" s="585"/>
      <c r="AC453" s="585"/>
      <c r="AD453" s="585"/>
      <c r="AE453" s="585"/>
      <c r="AF453" s="585"/>
      <c r="AG453" s="585"/>
      <c r="AH453" s="585"/>
      <c r="AI453" s="585"/>
      <c r="AJ453" s="585"/>
      <c r="AK453" s="585"/>
      <c r="AL453" s="585"/>
      <c r="AM453" s="585"/>
      <c r="AN453" s="585"/>
      <c r="AO453" s="585"/>
      <c r="AP453" s="585"/>
      <c r="AQ453" s="585"/>
      <c r="AR453" s="585"/>
    </row>
    <row r="454">
      <c r="A454" s="621"/>
      <c r="B454" s="627" t="str">
        <f>IFERROR(__xludf.DUMMYFUNCTION("""COMPUTED_VALUE"""),"Feedback Script R1 + outfits")</f>
        <v>Feedback Script R1 + outfits</v>
      </c>
      <c r="C454" s="628"/>
      <c r="D454" s="602" t="str">
        <f>IFERROR(__xludf.DUMMYFUNCTION("""COMPUTED_VALUE"""),"BRAND")</f>
        <v>BRAND</v>
      </c>
      <c r="E454" s="624" t="str">
        <f>IFERROR(__xludf.DUMMYFUNCTION("""COMPUTED_VALUE"""),"Not start yet")</f>
        <v>Not start yet</v>
      </c>
      <c r="F454" s="604"/>
      <c r="G454" s="639"/>
      <c r="H454" s="585"/>
      <c r="I454" s="625"/>
      <c r="J454" s="630" t="s">
        <v>884</v>
      </c>
      <c r="K454" s="585"/>
      <c r="L454" s="585"/>
      <c r="M454" s="585"/>
      <c r="N454" s="585"/>
      <c r="O454" s="585"/>
      <c r="P454" s="585"/>
      <c r="Q454" s="585"/>
      <c r="R454" s="585"/>
      <c r="S454" s="585"/>
      <c r="T454" s="585"/>
      <c r="U454" s="585"/>
      <c r="V454" s="585"/>
      <c r="W454" s="585"/>
      <c r="X454" s="585"/>
      <c r="Y454" s="585"/>
      <c r="Z454" s="585"/>
      <c r="AA454" s="585"/>
      <c r="AB454" s="585"/>
      <c r="AC454" s="585"/>
      <c r="AD454" s="585"/>
      <c r="AE454" s="585"/>
      <c r="AF454" s="585"/>
      <c r="AG454" s="585"/>
      <c r="AH454" s="585"/>
      <c r="AI454" s="585"/>
      <c r="AJ454" s="585"/>
      <c r="AK454" s="585"/>
      <c r="AL454" s="585"/>
      <c r="AM454" s="585"/>
      <c r="AN454" s="585"/>
      <c r="AO454" s="585"/>
      <c r="AP454" s="585"/>
      <c r="AQ454" s="585"/>
      <c r="AR454" s="585"/>
    </row>
    <row r="455">
      <c r="A455" s="621"/>
      <c r="B455" s="631" t="str">
        <f>IFERROR(__xludf.DUMMYFUNCTION("""COMPUTED_VALUE"""),"Script R2")</f>
        <v>Script R2</v>
      </c>
      <c r="C455" s="628"/>
      <c r="D455" s="632" t="str">
        <f>IFERROR(__xludf.DUMMYFUNCTION("""COMPUTED_VALUE"""),"PMAX")</f>
        <v>PMAX</v>
      </c>
      <c r="E455" s="624" t="str">
        <f>IFERROR(__xludf.DUMMYFUNCTION("""COMPUTED_VALUE"""),"Not start yet")</f>
        <v>Not start yet</v>
      </c>
      <c r="F455" s="604"/>
      <c r="G455" s="639"/>
      <c r="H455" s="585"/>
      <c r="I455" s="625"/>
      <c r="J455" s="630"/>
      <c r="K455" s="585"/>
      <c r="L455" s="585"/>
      <c r="M455" s="585"/>
      <c r="N455" s="585"/>
      <c r="O455" s="585"/>
      <c r="P455" s="585"/>
      <c r="Q455" s="585"/>
      <c r="R455" s="585"/>
      <c r="S455" s="585"/>
      <c r="T455" s="585"/>
      <c r="U455" s="585"/>
      <c r="V455" s="585"/>
      <c r="W455" s="585"/>
      <c r="X455" s="585"/>
      <c r="Y455" s="585"/>
      <c r="Z455" s="585"/>
      <c r="AA455" s="585"/>
      <c r="AB455" s="585"/>
      <c r="AC455" s="585"/>
      <c r="AD455" s="585"/>
      <c r="AE455" s="585"/>
      <c r="AF455" s="585"/>
      <c r="AG455" s="585"/>
      <c r="AH455" s="585"/>
      <c r="AI455" s="585"/>
      <c r="AJ455" s="585"/>
      <c r="AK455" s="585"/>
      <c r="AL455" s="585"/>
      <c r="AM455" s="585"/>
      <c r="AN455" s="585"/>
      <c r="AO455" s="585"/>
      <c r="AP455" s="585"/>
      <c r="AQ455" s="585"/>
      <c r="AR455" s="585"/>
    </row>
    <row r="456">
      <c r="A456" s="621"/>
      <c r="B456" s="631" t="str">
        <f>IFERROR(__xludf.DUMMYFUNCTION("""COMPUTED_VALUE"""),"Feedback Script R2")</f>
        <v>Feedback Script R2</v>
      </c>
      <c r="C456" s="628"/>
      <c r="D456" s="632" t="str">
        <f>IFERROR(__xludf.DUMMYFUNCTION("""COMPUTED_VALUE"""),"BRAND")</f>
        <v>BRAND</v>
      </c>
      <c r="E456" s="624" t="str">
        <f>IFERROR(__xludf.DUMMYFUNCTION("""COMPUTED_VALUE"""),"Not start yet")</f>
        <v>Not start yet</v>
      </c>
      <c r="F456" s="604"/>
      <c r="G456" s="639"/>
      <c r="H456" s="585"/>
      <c r="I456" s="625"/>
      <c r="J456" s="630"/>
      <c r="K456" s="585"/>
      <c r="L456" s="585"/>
      <c r="M456" s="585"/>
      <c r="N456" s="585"/>
      <c r="O456" s="585"/>
      <c r="P456" s="585"/>
      <c r="Q456" s="585"/>
      <c r="R456" s="585"/>
      <c r="S456" s="585"/>
      <c r="T456" s="585"/>
      <c r="U456" s="585"/>
      <c r="V456" s="585"/>
      <c r="W456" s="585"/>
      <c r="X456" s="585"/>
      <c r="Y456" s="585"/>
      <c r="Z456" s="585"/>
      <c r="AA456" s="585"/>
      <c r="AB456" s="585"/>
      <c r="AC456" s="585"/>
      <c r="AD456" s="585"/>
      <c r="AE456" s="585"/>
      <c r="AF456" s="585"/>
      <c r="AG456" s="585"/>
      <c r="AH456" s="585"/>
      <c r="AI456" s="585"/>
      <c r="AJ456" s="585"/>
      <c r="AK456" s="585"/>
      <c r="AL456" s="585"/>
      <c r="AM456" s="585"/>
      <c r="AN456" s="585"/>
      <c r="AO456" s="585"/>
      <c r="AP456" s="585"/>
      <c r="AQ456" s="585"/>
      <c r="AR456" s="585"/>
    </row>
    <row r="457">
      <c r="A457" s="621"/>
      <c r="B457" s="627" t="str">
        <f>IFERROR(__xludf.DUMMYFUNCTION("""COMPUTED_VALUE"""),"Finalize scripts + outfits")</f>
        <v>Finalize scripts + outfits</v>
      </c>
      <c r="C457" s="628"/>
      <c r="D457" s="602" t="str">
        <f>IFERROR(__xludf.DUMMYFUNCTION("""COMPUTED_VALUE"""),"PMAX-BRAND")</f>
        <v>PMAX-BRAND</v>
      </c>
      <c r="E457" s="624" t="str">
        <f>IFERROR(__xludf.DUMMYFUNCTION("""COMPUTED_VALUE"""),"Not start yet")</f>
        <v>Not start yet</v>
      </c>
      <c r="F457" s="604"/>
      <c r="G457" s="639"/>
      <c r="H457" s="585"/>
      <c r="I457" s="629">
        <v>1.0</v>
      </c>
      <c r="J457" s="630" t="s">
        <v>885</v>
      </c>
      <c r="K457" s="585"/>
      <c r="L457" s="585"/>
      <c r="M457" s="585"/>
      <c r="N457" s="585"/>
      <c r="O457" s="585"/>
      <c r="P457" s="585"/>
      <c r="Q457" s="585"/>
      <c r="R457" s="585"/>
      <c r="S457" s="585"/>
      <c r="T457" s="585"/>
      <c r="U457" s="585"/>
      <c r="V457" s="585"/>
      <c r="W457" s="585"/>
      <c r="X457" s="585"/>
      <c r="Y457" s="585"/>
      <c r="Z457" s="585"/>
      <c r="AA457" s="585"/>
      <c r="AB457" s="585"/>
      <c r="AC457" s="585"/>
      <c r="AD457" s="585"/>
      <c r="AE457" s="585"/>
      <c r="AF457" s="585"/>
      <c r="AG457" s="585"/>
      <c r="AH457" s="585"/>
      <c r="AI457" s="585"/>
      <c r="AJ457" s="585"/>
      <c r="AK457" s="585"/>
      <c r="AL457" s="585"/>
      <c r="AM457" s="585"/>
      <c r="AN457" s="585"/>
      <c r="AO457" s="585"/>
      <c r="AP457" s="585"/>
      <c r="AQ457" s="585"/>
      <c r="AR457" s="585"/>
    </row>
    <row r="458">
      <c r="A458" s="621"/>
      <c r="B458" s="627" t="str">
        <f>IFERROR(__xludf.DUMMYFUNCTION("""COMPUTED_VALUE"""),"Đi quay tại site")</f>
        <v>Đi quay tại site</v>
      </c>
      <c r="C458" s="628"/>
      <c r="D458" s="602" t="str">
        <f>IFERROR(__xludf.DUMMYFUNCTION("""COMPUTED_VALUE"""),"PMAX")</f>
        <v>PMAX</v>
      </c>
      <c r="E458" s="624" t="str">
        <f>IFERROR(__xludf.DUMMYFUNCTION("""COMPUTED_VALUE"""),"Not start yet")</f>
        <v>Not start yet</v>
      </c>
      <c r="F458" s="604">
        <f>IFERROR(__xludf.DUMMYFUNCTION("""COMPUTED_VALUE"""),46155.0)</f>
        <v>46155</v>
      </c>
      <c r="G458" s="639">
        <f>IFERROR(__xludf.DUMMYFUNCTION("""COMPUTED_VALUE"""),46155.0)</f>
        <v>46155</v>
      </c>
      <c r="H458" s="585"/>
      <c r="I458" s="629">
        <v>2.0</v>
      </c>
      <c r="J458" s="625"/>
      <c r="K458" s="585"/>
      <c r="L458" s="585"/>
      <c r="M458" s="585"/>
      <c r="N458" s="585"/>
      <c r="O458" s="585"/>
      <c r="P458" s="585"/>
      <c r="Q458" s="585"/>
      <c r="R458" s="585"/>
      <c r="S458" s="585"/>
      <c r="T458" s="585"/>
      <c r="U458" s="585"/>
      <c r="V458" s="585"/>
      <c r="W458" s="585"/>
      <c r="X458" s="585"/>
      <c r="Y458" s="585"/>
      <c r="Z458" s="585"/>
      <c r="AA458" s="585"/>
      <c r="AB458" s="585"/>
      <c r="AC458" s="585"/>
      <c r="AD458" s="585"/>
      <c r="AE458" s="585"/>
      <c r="AF458" s="585"/>
      <c r="AG458" s="585"/>
      <c r="AH458" s="585"/>
      <c r="AI458" s="585"/>
      <c r="AJ458" s="585"/>
      <c r="AK458" s="585"/>
      <c r="AL458" s="585"/>
      <c r="AM458" s="585"/>
      <c r="AN458" s="585"/>
      <c r="AO458" s="585"/>
      <c r="AP458" s="585"/>
      <c r="AQ458" s="585"/>
      <c r="AR458" s="585"/>
    </row>
    <row r="459">
      <c r="A459" s="621"/>
      <c r="B459" s="633" t="str">
        <f>IFERROR(__xludf.DUMMYFUNCTION("""COMPUTED_VALUE"""),"Demo R1")</f>
        <v>Demo R1</v>
      </c>
      <c r="C459" s="628"/>
      <c r="D459" s="602" t="str">
        <f>IFERROR(__xludf.DUMMYFUNCTION("""COMPUTED_VALUE"""),"PMAX")</f>
        <v>PMAX</v>
      </c>
      <c r="E459" s="624" t="str">
        <f>IFERROR(__xludf.DUMMYFUNCTION("""COMPUTED_VALUE"""),"Not start yet")</f>
        <v>Not start yet</v>
      </c>
      <c r="F459" s="604">
        <f>IFERROR(__xludf.DUMMYFUNCTION("""COMPUTED_VALUE"""),46156.0)</f>
        <v>46156</v>
      </c>
      <c r="G459" s="639">
        <f>IFERROR(__xludf.DUMMYFUNCTION("""COMPUTED_VALUE"""),46156.0)</f>
        <v>46156</v>
      </c>
      <c r="H459" s="585"/>
      <c r="I459" s="629">
        <v>4.0</v>
      </c>
      <c r="J459" s="630" t="s">
        <v>886</v>
      </c>
      <c r="K459" s="585"/>
      <c r="L459" s="585"/>
      <c r="M459" s="585"/>
      <c r="N459" s="585"/>
      <c r="O459" s="585"/>
      <c r="P459" s="585"/>
      <c r="Q459" s="585"/>
      <c r="R459" s="585"/>
      <c r="S459" s="585"/>
      <c r="T459" s="585"/>
      <c r="U459" s="585"/>
      <c r="V459" s="585"/>
      <c r="W459" s="585"/>
      <c r="X459" s="585"/>
      <c r="Y459" s="585"/>
      <c r="Z459" s="585"/>
      <c r="AA459" s="585"/>
      <c r="AB459" s="585"/>
      <c r="AC459" s="585"/>
      <c r="AD459" s="585"/>
      <c r="AE459" s="585"/>
      <c r="AF459" s="585"/>
      <c r="AG459" s="585"/>
      <c r="AH459" s="585"/>
      <c r="AI459" s="585"/>
      <c r="AJ459" s="585"/>
      <c r="AK459" s="585"/>
      <c r="AL459" s="585"/>
      <c r="AM459" s="585"/>
      <c r="AN459" s="585"/>
      <c r="AO459" s="585"/>
      <c r="AP459" s="585"/>
      <c r="AQ459" s="585"/>
      <c r="AR459" s="585"/>
    </row>
    <row r="460">
      <c r="A460" s="621"/>
      <c r="B460" s="627" t="str">
        <f>IFERROR(__xludf.DUMMYFUNCTION("""COMPUTED_VALUE"""),"Feedback demo R1")</f>
        <v>Feedback demo R1</v>
      </c>
      <c r="C460" s="628"/>
      <c r="D460" s="602" t="str">
        <f>IFERROR(__xludf.DUMMYFUNCTION("""COMPUTED_VALUE"""),"BRAND")</f>
        <v>BRAND</v>
      </c>
      <c r="E460" s="624" t="str">
        <f>IFERROR(__xludf.DUMMYFUNCTION("""COMPUTED_VALUE"""),"Not start yet")</f>
        <v>Not start yet</v>
      </c>
      <c r="F460" s="604">
        <f>IFERROR(__xludf.DUMMYFUNCTION("""COMPUTED_VALUE"""),46157.0)</f>
        <v>46157</v>
      </c>
      <c r="G460" s="639">
        <f>IFERROR(__xludf.DUMMYFUNCTION("""COMPUTED_VALUE"""),46157.0)</f>
        <v>46157</v>
      </c>
      <c r="H460" s="585"/>
      <c r="I460" s="625"/>
      <c r="J460" s="630" t="s">
        <v>887</v>
      </c>
      <c r="K460" s="585"/>
      <c r="L460" s="585"/>
      <c r="M460" s="585"/>
      <c r="N460" s="585"/>
      <c r="O460" s="585"/>
      <c r="P460" s="585"/>
      <c r="Q460" s="585"/>
      <c r="R460" s="585"/>
      <c r="S460" s="585"/>
      <c r="T460" s="585"/>
      <c r="U460" s="585"/>
      <c r="V460" s="585"/>
      <c r="W460" s="585"/>
      <c r="X460" s="585"/>
      <c r="Y460" s="585"/>
      <c r="Z460" s="585"/>
      <c r="AA460" s="585"/>
      <c r="AB460" s="585"/>
      <c r="AC460" s="585"/>
      <c r="AD460" s="585"/>
      <c r="AE460" s="585"/>
      <c r="AF460" s="585"/>
      <c r="AG460" s="585"/>
      <c r="AH460" s="585"/>
      <c r="AI460" s="585"/>
      <c r="AJ460" s="585"/>
      <c r="AK460" s="585"/>
      <c r="AL460" s="585"/>
      <c r="AM460" s="585"/>
      <c r="AN460" s="585"/>
      <c r="AO460" s="585"/>
      <c r="AP460" s="585"/>
      <c r="AQ460" s="585"/>
      <c r="AR460" s="585"/>
    </row>
    <row r="461">
      <c r="A461" s="621"/>
      <c r="B461" s="633" t="str">
        <f>IFERROR(__xludf.DUMMYFUNCTION("""COMPUTED_VALUE"""),"Demo R2")</f>
        <v>Demo R2</v>
      </c>
      <c r="C461" s="628"/>
      <c r="D461" s="602" t="str">
        <f>IFERROR(__xludf.DUMMYFUNCTION("""COMPUTED_VALUE"""),"PMAX")</f>
        <v>PMAX</v>
      </c>
      <c r="E461" s="624" t="str">
        <f>IFERROR(__xludf.DUMMYFUNCTION("""COMPUTED_VALUE"""),"Not start yet")</f>
        <v>Not start yet</v>
      </c>
      <c r="F461" s="604">
        <f>IFERROR(__xludf.DUMMYFUNCTION("""COMPUTED_VALUE"""),46160.0)</f>
        <v>46160</v>
      </c>
      <c r="G461" s="639">
        <f>IFERROR(__xludf.DUMMYFUNCTION("""COMPUTED_VALUE"""),46160.0)</f>
        <v>46160</v>
      </c>
      <c r="H461" s="585"/>
      <c r="I461" s="625"/>
      <c r="J461" s="625"/>
      <c r="K461" s="585"/>
      <c r="L461" s="585"/>
      <c r="M461" s="585"/>
      <c r="N461" s="585"/>
      <c r="O461" s="585"/>
      <c r="P461" s="585"/>
      <c r="Q461" s="585"/>
      <c r="R461" s="585"/>
      <c r="S461" s="585"/>
      <c r="T461" s="585"/>
      <c r="U461" s="585"/>
      <c r="V461" s="585"/>
      <c r="W461" s="585"/>
      <c r="X461" s="585"/>
      <c r="Y461" s="585"/>
      <c r="Z461" s="585"/>
      <c r="AA461" s="585"/>
      <c r="AB461" s="585"/>
      <c r="AC461" s="585"/>
      <c r="AD461" s="585"/>
      <c r="AE461" s="585"/>
      <c r="AF461" s="585"/>
      <c r="AG461" s="585"/>
      <c r="AH461" s="585"/>
      <c r="AI461" s="585"/>
      <c r="AJ461" s="585"/>
      <c r="AK461" s="585"/>
      <c r="AL461" s="585"/>
      <c r="AM461" s="585"/>
      <c r="AN461" s="585"/>
      <c r="AO461" s="585"/>
      <c r="AP461" s="585"/>
      <c r="AQ461" s="585"/>
      <c r="AR461" s="585"/>
    </row>
    <row r="462">
      <c r="A462" s="621"/>
      <c r="B462" s="627" t="str">
        <f>IFERROR(__xludf.DUMMYFUNCTION("""COMPUTED_VALUE"""),"Feedback demo R2")</f>
        <v>Feedback demo R2</v>
      </c>
      <c r="C462" s="628"/>
      <c r="D462" s="602" t="str">
        <f>IFERROR(__xludf.DUMMYFUNCTION("""COMPUTED_VALUE"""),"BRAND")</f>
        <v>BRAND</v>
      </c>
      <c r="E462" s="624" t="str">
        <f>IFERROR(__xludf.DUMMYFUNCTION("""COMPUTED_VALUE"""),"Not start yet")</f>
        <v>Not start yet</v>
      </c>
      <c r="F462" s="604">
        <f>IFERROR(__xludf.DUMMYFUNCTION("""COMPUTED_VALUE"""),46161.0)</f>
        <v>46161</v>
      </c>
      <c r="G462" s="639">
        <f>IFERROR(__xludf.DUMMYFUNCTION("""COMPUTED_VALUE"""),46161.0)</f>
        <v>46161</v>
      </c>
      <c r="H462" s="585"/>
      <c r="I462" s="625"/>
      <c r="J462" s="625"/>
      <c r="K462" s="585"/>
      <c r="L462" s="585"/>
      <c r="M462" s="585"/>
      <c r="N462" s="585"/>
      <c r="O462" s="585"/>
      <c r="P462" s="585"/>
      <c r="Q462" s="585"/>
      <c r="R462" s="585"/>
      <c r="S462" s="585"/>
      <c r="T462" s="585"/>
      <c r="U462" s="585"/>
      <c r="V462" s="585"/>
      <c r="W462" s="585"/>
      <c r="X462" s="585"/>
      <c r="Y462" s="585"/>
      <c r="Z462" s="585"/>
      <c r="AA462" s="585"/>
      <c r="AB462" s="585"/>
      <c r="AC462" s="585"/>
      <c r="AD462" s="585"/>
      <c r="AE462" s="585"/>
      <c r="AF462" s="585"/>
      <c r="AG462" s="585"/>
      <c r="AH462" s="585"/>
      <c r="AI462" s="585"/>
      <c r="AJ462" s="585"/>
      <c r="AK462" s="585"/>
      <c r="AL462" s="585"/>
      <c r="AM462" s="585"/>
      <c r="AN462" s="585"/>
      <c r="AO462" s="585"/>
      <c r="AP462" s="585"/>
      <c r="AQ462" s="585"/>
      <c r="AR462" s="585"/>
    </row>
    <row r="463">
      <c r="A463" s="621"/>
      <c r="B463" s="627" t="str">
        <f>IFERROR(__xludf.DUMMYFUNCTION("""COMPUTED_VALUE"""),"Finalize demo")</f>
        <v>Finalize demo</v>
      </c>
      <c r="C463" s="628"/>
      <c r="D463" s="602" t="str">
        <f>IFERROR(__xludf.DUMMYFUNCTION("""COMPUTED_VALUE"""),"PMAX")</f>
        <v>PMAX</v>
      </c>
      <c r="E463" s="624" t="str">
        <f>IFERROR(__xludf.DUMMYFUNCTION("""COMPUTED_VALUE"""),"Not start yet")</f>
        <v>Not start yet</v>
      </c>
      <c r="F463" s="604">
        <f>IFERROR(__xludf.DUMMYFUNCTION("""COMPUTED_VALUE"""),46163.0)</f>
        <v>46163</v>
      </c>
      <c r="G463" s="639">
        <f>IFERROR(__xludf.DUMMYFUNCTION("""COMPUTED_VALUE"""),46163.0)</f>
        <v>46163</v>
      </c>
      <c r="H463" s="585"/>
      <c r="I463" s="629">
        <v>1.0</v>
      </c>
      <c r="J463" s="630" t="s">
        <v>888</v>
      </c>
      <c r="K463" s="585"/>
      <c r="L463" s="585"/>
      <c r="M463" s="585"/>
      <c r="N463" s="585"/>
      <c r="O463" s="585"/>
      <c r="P463" s="585"/>
      <c r="Q463" s="585"/>
      <c r="R463" s="585"/>
      <c r="S463" s="585"/>
      <c r="T463" s="585"/>
      <c r="U463" s="585"/>
      <c r="V463" s="585"/>
      <c r="W463" s="585"/>
      <c r="X463" s="585"/>
      <c r="Y463" s="585"/>
      <c r="Z463" s="585"/>
      <c r="AA463" s="585"/>
      <c r="AB463" s="585"/>
      <c r="AC463" s="585"/>
      <c r="AD463" s="585"/>
      <c r="AE463" s="585"/>
      <c r="AF463" s="585"/>
      <c r="AG463" s="585"/>
      <c r="AH463" s="585"/>
      <c r="AI463" s="585"/>
      <c r="AJ463" s="585"/>
      <c r="AK463" s="585"/>
      <c r="AL463" s="585"/>
      <c r="AM463" s="585"/>
      <c r="AN463" s="585"/>
      <c r="AO463" s="585"/>
      <c r="AP463" s="585"/>
      <c r="AQ463" s="585"/>
      <c r="AR463" s="585"/>
    </row>
    <row r="464">
      <c r="A464" s="621"/>
      <c r="B464" s="634" t="str">
        <f>IFERROR(__xludf.DUMMYFUNCTION("""COMPUTED_VALUE"""),"Air")</f>
        <v>Air</v>
      </c>
      <c r="C464" s="26"/>
      <c r="D464" s="602" t="str">
        <f>IFERROR(__xludf.DUMMYFUNCTION("""COMPUTED_VALUE"""),"PMAX")</f>
        <v>PMAX</v>
      </c>
      <c r="E464" s="624" t="str">
        <f>IFERROR(__xludf.DUMMYFUNCTION("""COMPUTED_VALUE"""),"Not start yet")</f>
        <v>Not start yet</v>
      </c>
      <c r="F464" s="604" t="str">
        <f>IFERROR(__xludf.DUMMYFUNCTION("""COMPUTED_VALUE"""),"TBU")</f>
        <v>TBU</v>
      </c>
      <c r="G464" s="639" t="str">
        <f>IFERROR(__xludf.DUMMYFUNCTION("""COMPUTED_VALUE"""),"TBU")</f>
        <v>TBU</v>
      </c>
      <c r="H464" s="585"/>
      <c r="I464" s="636">
        <v>1.0</v>
      </c>
      <c r="J464" s="585"/>
      <c r="K464" s="585"/>
      <c r="L464" s="585"/>
      <c r="M464" s="585"/>
      <c r="N464" s="585"/>
      <c r="O464" s="585"/>
      <c r="P464" s="585"/>
      <c r="Q464" s="585"/>
      <c r="R464" s="585"/>
      <c r="S464" s="585"/>
      <c r="T464" s="585"/>
      <c r="U464" s="585"/>
      <c r="V464" s="585"/>
      <c r="W464" s="585"/>
      <c r="X464" s="585"/>
      <c r="Y464" s="585"/>
      <c r="Z464" s="585"/>
      <c r="AA464" s="585"/>
      <c r="AB464" s="585"/>
      <c r="AC464" s="585"/>
      <c r="AD464" s="585"/>
      <c r="AE464" s="585"/>
      <c r="AF464" s="585"/>
      <c r="AG464" s="585"/>
      <c r="AH464" s="585"/>
      <c r="AI464" s="585"/>
      <c r="AJ464" s="585"/>
      <c r="AK464" s="585"/>
      <c r="AL464" s="585"/>
      <c r="AM464" s="585"/>
      <c r="AN464" s="585"/>
      <c r="AO464" s="585"/>
      <c r="AP464" s="585"/>
      <c r="AQ464" s="585"/>
      <c r="AR464" s="585"/>
    </row>
    <row r="465">
      <c r="A465" s="637">
        <f>IFERROR(__xludf.DUMMYFUNCTION("""COMPUTED_VALUE"""),32.0)</f>
        <v>32</v>
      </c>
      <c r="B465" s="616" t="str">
        <f>IFERROR(__xludf.DUMMYFUNCTION("""COMPUTED_VALUE"""),"Đảo Đồ Ăn (Group)")</f>
        <v>Đảo Đồ Ăn (Group)</v>
      </c>
      <c r="C465" s="617"/>
      <c r="D465" s="618"/>
      <c r="E465" s="619"/>
      <c r="F465" s="619"/>
      <c r="G465" s="619"/>
      <c r="H465" s="585"/>
      <c r="I465" s="585"/>
      <c r="J465" s="585"/>
      <c r="K465" s="585"/>
      <c r="L465" s="585"/>
      <c r="M465" s="585"/>
      <c r="N465" s="585"/>
      <c r="O465" s="585"/>
      <c r="P465" s="585"/>
      <c r="Q465" s="585"/>
      <c r="R465" s="585"/>
      <c r="S465" s="585"/>
      <c r="T465" s="585"/>
      <c r="U465" s="585"/>
      <c r="V465" s="585"/>
      <c r="W465" s="585"/>
      <c r="X465" s="585"/>
      <c r="Y465" s="585"/>
      <c r="Z465" s="585"/>
      <c r="AA465" s="585"/>
      <c r="AB465" s="585"/>
      <c r="AC465" s="585"/>
      <c r="AD465" s="585"/>
      <c r="AE465" s="585"/>
      <c r="AF465" s="585"/>
      <c r="AG465" s="585"/>
      <c r="AH465" s="585"/>
      <c r="AI465" s="585"/>
      <c r="AJ465" s="585"/>
      <c r="AK465" s="585"/>
      <c r="AL465" s="585"/>
      <c r="AM465" s="585"/>
      <c r="AN465" s="585"/>
      <c r="AO465" s="585"/>
      <c r="AP465" s="585"/>
      <c r="AQ465" s="585"/>
      <c r="AR465" s="585"/>
    </row>
    <row r="466">
      <c r="A466" s="621"/>
      <c r="B466" s="622" t="str">
        <f>IFERROR(__xludf.DUMMYFUNCTION("""COMPUTED_VALUE"""),"Briefing cho Influencer")</f>
        <v>Briefing cho Influencer</v>
      </c>
      <c r="C466" s="623"/>
      <c r="D466" s="602" t="str">
        <f>IFERROR(__xludf.DUMMYFUNCTION("""COMPUTED_VALUE"""),"PMAX")</f>
        <v>PMAX</v>
      </c>
      <c r="E466" s="624" t="str">
        <f>IFERROR(__xludf.DUMMYFUNCTION("""COMPUTED_VALUE"""),"Done")</f>
        <v>Done</v>
      </c>
      <c r="F466" s="604">
        <f>IFERROR(__xludf.DUMMYFUNCTION("""COMPUTED_VALUE"""),46147.0)</f>
        <v>46147</v>
      </c>
      <c r="G466" s="639">
        <f>IFERROR(__xludf.DUMMYFUNCTION("""COMPUTED_VALUE"""),46148.0)</f>
        <v>46148</v>
      </c>
      <c r="H466" s="585"/>
      <c r="I466" s="625"/>
      <c r="J466" s="626" t="s">
        <v>882</v>
      </c>
      <c r="K466" s="585"/>
      <c r="L466" s="585"/>
      <c r="M466" s="585"/>
      <c r="N466" s="585"/>
      <c r="O466" s="585"/>
      <c r="P466" s="585"/>
      <c r="Q466" s="585"/>
      <c r="R466" s="585"/>
      <c r="S466" s="585"/>
      <c r="T466" s="585"/>
      <c r="U466" s="585"/>
      <c r="V466" s="585"/>
      <c r="W466" s="585"/>
      <c r="X466" s="585"/>
      <c r="Y466" s="585"/>
      <c r="Z466" s="585"/>
      <c r="AA466" s="585"/>
      <c r="AB466" s="585"/>
      <c r="AC466" s="585"/>
      <c r="AD466" s="585"/>
      <c r="AE466" s="585"/>
      <c r="AF466" s="585"/>
      <c r="AG466" s="585"/>
      <c r="AH466" s="585"/>
      <c r="AI466" s="585"/>
      <c r="AJ466" s="585"/>
      <c r="AK466" s="585"/>
      <c r="AL466" s="585"/>
      <c r="AM466" s="585"/>
      <c r="AN466" s="585"/>
      <c r="AO466" s="585"/>
      <c r="AP466" s="585"/>
      <c r="AQ466" s="585"/>
      <c r="AR466" s="585"/>
    </row>
    <row r="467">
      <c r="A467" s="621"/>
      <c r="B467" s="627" t="str">
        <f>IFERROR(__xludf.DUMMYFUNCTION("""COMPUTED_VALUE"""),"Script R1 + Outfits")</f>
        <v>Script R1 + Outfits</v>
      </c>
      <c r="C467" s="628"/>
      <c r="D467" s="602" t="str">
        <f>IFERROR(__xludf.DUMMYFUNCTION("""COMPUTED_VALUE"""),"PMAX")</f>
        <v>PMAX</v>
      </c>
      <c r="E467" s="624" t="str">
        <f>IFERROR(__xludf.DUMMYFUNCTION("""COMPUTED_VALUE"""),"Not start yet")</f>
        <v>Not start yet</v>
      </c>
      <c r="F467" s="604"/>
      <c r="G467" s="639"/>
      <c r="H467" s="585"/>
      <c r="I467" s="629">
        <v>1.0</v>
      </c>
      <c r="J467" s="630" t="s">
        <v>883</v>
      </c>
      <c r="K467" s="585"/>
      <c r="L467" s="585"/>
      <c r="M467" s="585"/>
      <c r="N467" s="585"/>
      <c r="O467" s="585"/>
      <c r="P467" s="585"/>
      <c r="Q467" s="585"/>
      <c r="R467" s="585"/>
      <c r="S467" s="585"/>
      <c r="T467" s="585"/>
      <c r="U467" s="585"/>
      <c r="V467" s="585"/>
      <c r="W467" s="585"/>
      <c r="X467" s="585"/>
      <c r="Y467" s="585"/>
      <c r="Z467" s="585"/>
      <c r="AA467" s="585"/>
      <c r="AB467" s="585"/>
      <c r="AC467" s="585"/>
      <c r="AD467" s="585"/>
      <c r="AE467" s="585"/>
      <c r="AF467" s="585"/>
      <c r="AG467" s="585"/>
      <c r="AH467" s="585"/>
      <c r="AI467" s="585"/>
      <c r="AJ467" s="585"/>
      <c r="AK467" s="585"/>
      <c r="AL467" s="585"/>
      <c r="AM467" s="585"/>
      <c r="AN467" s="585"/>
      <c r="AO467" s="585"/>
      <c r="AP467" s="585"/>
      <c r="AQ467" s="585"/>
      <c r="AR467" s="585"/>
    </row>
    <row r="468">
      <c r="A468" s="621"/>
      <c r="B468" s="627" t="str">
        <f>IFERROR(__xludf.DUMMYFUNCTION("""COMPUTED_VALUE"""),"Feedback Script R1 + outfits")</f>
        <v>Feedback Script R1 + outfits</v>
      </c>
      <c r="C468" s="628"/>
      <c r="D468" s="602" t="str">
        <f>IFERROR(__xludf.DUMMYFUNCTION("""COMPUTED_VALUE"""),"BRAND")</f>
        <v>BRAND</v>
      </c>
      <c r="E468" s="624" t="str">
        <f>IFERROR(__xludf.DUMMYFUNCTION("""COMPUTED_VALUE"""),"Not start yet")</f>
        <v>Not start yet</v>
      </c>
      <c r="F468" s="604"/>
      <c r="G468" s="639"/>
      <c r="H468" s="585"/>
      <c r="I468" s="625"/>
      <c r="J468" s="630" t="s">
        <v>884</v>
      </c>
      <c r="K468" s="585"/>
      <c r="L468" s="585"/>
      <c r="M468" s="585"/>
      <c r="N468" s="585"/>
      <c r="O468" s="585"/>
      <c r="P468" s="585"/>
      <c r="Q468" s="585"/>
      <c r="R468" s="585"/>
      <c r="S468" s="585"/>
      <c r="T468" s="585"/>
      <c r="U468" s="585"/>
      <c r="V468" s="585"/>
      <c r="W468" s="585"/>
      <c r="X468" s="585"/>
      <c r="Y468" s="585"/>
      <c r="Z468" s="585"/>
      <c r="AA468" s="585"/>
      <c r="AB468" s="585"/>
      <c r="AC468" s="585"/>
      <c r="AD468" s="585"/>
      <c r="AE468" s="585"/>
      <c r="AF468" s="585"/>
      <c r="AG468" s="585"/>
      <c r="AH468" s="585"/>
      <c r="AI468" s="585"/>
      <c r="AJ468" s="585"/>
      <c r="AK468" s="585"/>
      <c r="AL468" s="585"/>
      <c r="AM468" s="585"/>
      <c r="AN468" s="585"/>
      <c r="AO468" s="585"/>
      <c r="AP468" s="585"/>
      <c r="AQ468" s="585"/>
      <c r="AR468" s="585"/>
    </row>
    <row r="469">
      <c r="A469" s="621"/>
      <c r="B469" s="631" t="str">
        <f>IFERROR(__xludf.DUMMYFUNCTION("""COMPUTED_VALUE"""),"Script R2")</f>
        <v>Script R2</v>
      </c>
      <c r="C469" s="628"/>
      <c r="D469" s="632" t="str">
        <f>IFERROR(__xludf.DUMMYFUNCTION("""COMPUTED_VALUE"""),"PMAX")</f>
        <v>PMAX</v>
      </c>
      <c r="E469" s="624" t="str">
        <f>IFERROR(__xludf.DUMMYFUNCTION("""COMPUTED_VALUE"""),"Not start yet")</f>
        <v>Not start yet</v>
      </c>
      <c r="F469" s="604"/>
      <c r="G469" s="639"/>
      <c r="H469" s="585"/>
      <c r="I469" s="625"/>
      <c r="J469" s="630"/>
      <c r="K469" s="585"/>
      <c r="L469" s="585"/>
      <c r="M469" s="585"/>
      <c r="N469" s="585"/>
      <c r="O469" s="585"/>
      <c r="P469" s="585"/>
      <c r="Q469" s="585"/>
      <c r="R469" s="585"/>
      <c r="S469" s="585"/>
      <c r="T469" s="585"/>
      <c r="U469" s="585"/>
      <c r="V469" s="585"/>
      <c r="W469" s="585"/>
      <c r="X469" s="585"/>
      <c r="Y469" s="585"/>
      <c r="Z469" s="585"/>
      <c r="AA469" s="585"/>
      <c r="AB469" s="585"/>
      <c r="AC469" s="585"/>
      <c r="AD469" s="585"/>
      <c r="AE469" s="585"/>
      <c r="AF469" s="585"/>
      <c r="AG469" s="585"/>
      <c r="AH469" s="585"/>
      <c r="AI469" s="585"/>
      <c r="AJ469" s="585"/>
      <c r="AK469" s="585"/>
      <c r="AL469" s="585"/>
      <c r="AM469" s="585"/>
      <c r="AN469" s="585"/>
      <c r="AO469" s="585"/>
      <c r="AP469" s="585"/>
      <c r="AQ469" s="585"/>
      <c r="AR469" s="585"/>
    </row>
    <row r="470">
      <c r="A470" s="621"/>
      <c r="B470" s="631" t="str">
        <f>IFERROR(__xludf.DUMMYFUNCTION("""COMPUTED_VALUE"""),"Feedback Script R2")</f>
        <v>Feedback Script R2</v>
      </c>
      <c r="C470" s="628"/>
      <c r="D470" s="632" t="str">
        <f>IFERROR(__xludf.DUMMYFUNCTION("""COMPUTED_VALUE"""),"BRAND")</f>
        <v>BRAND</v>
      </c>
      <c r="E470" s="624" t="str">
        <f>IFERROR(__xludf.DUMMYFUNCTION("""COMPUTED_VALUE"""),"Not start yet")</f>
        <v>Not start yet</v>
      </c>
      <c r="F470" s="604"/>
      <c r="G470" s="639"/>
      <c r="H470" s="585"/>
      <c r="I470" s="625"/>
      <c r="J470" s="630"/>
      <c r="K470" s="585"/>
      <c r="L470" s="585"/>
      <c r="M470" s="585"/>
      <c r="N470" s="585"/>
      <c r="O470" s="585"/>
      <c r="P470" s="585"/>
      <c r="Q470" s="585"/>
      <c r="R470" s="585"/>
      <c r="S470" s="585"/>
      <c r="T470" s="585"/>
      <c r="U470" s="585"/>
      <c r="V470" s="585"/>
      <c r="W470" s="585"/>
      <c r="X470" s="585"/>
      <c r="Y470" s="585"/>
      <c r="Z470" s="585"/>
      <c r="AA470" s="585"/>
      <c r="AB470" s="585"/>
      <c r="AC470" s="585"/>
      <c r="AD470" s="585"/>
      <c r="AE470" s="585"/>
      <c r="AF470" s="585"/>
      <c r="AG470" s="585"/>
      <c r="AH470" s="585"/>
      <c r="AI470" s="585"/>
      <c r="AJ470" s="585"/>
      <c r="AK470" s="585"/>
      <c r="AL470" s="585"/>
      <c r="AM470" s="585"/>
      <c r="AN470" s="585"/>
      <c r="AO470" s="585"/>
      <c r="AP470" s="585"/>
      <c r="AQ470" s="585"/>
      <c r="AR470" s="585"/>
    </row>
    <row r="471">
      <c r="A471" s="621"/>
      <c r="B471" s="627" t="str">
        <f>IFERROR(__xludf.DUMMYFUNCTION("""COMPUTED_VALUE"""),"Finalize scripts + outfits")</f>
        <v>Finalize scripts + outfits</v>
      </c>
      <c r="C471" s="628"/>
      <c r="D471" s="602" t="str">
        <f>IFERROR(__xludf.DUMMYFUNCTION("""COMPUTED_VALUE"""),"PMAX-BRAND")</f>
        <v>PMAX-BRAND</v>
      </c>
      <c r="E471" s="624" t="str">
        <f>IFERROR(__xludf.DUMMYFUNCTION("""COMPUTED_VALUE"""),"Not start yet")</f>
        <v>Not start yet</v>
      </c>
      <c r="F471" s="604"/>
      <c r="G471" s="639"/>
      <c r="H471" s="585"/>
      <c r="I471" s="629">
        <v>1.0</v>
      </c>
      <c r="J471" s="630" t="s">
        <v>885</v>
      </c>
      <c r="K471" s="585"/>
      <c r="L471" s="585"/>
      <c r="M471" s="585"/>
      <c r="N471" s="585"/>
      <c r="O471" s="585"/>
      <c r="P471" s="585"/>
      <c r="Q471" s="585"/>
      <c r="R471" s="585"/>
      <c r="S471" s="585"/>
      <c r="T471" s="585"/>
      <c r="U471" s="585"/>
      <c r="V471" s="585"/>
      <c r="W471" s="585"/>
      <c r="X471" s="585"/>
      <c r="Y471" s="585"/>
      <c r="Z471" s="585"/>
      <c r="AA471" s="585"/>
      <c r="AB471" s="585"/>
      <c r="AC471" s="585"/>
      <c r="AD471" s="585"/>
      <c r="AE471" s="585"/>
      <c r="AF471" s="585"/>
      <c r="AG471" s="585"/>
      <c r="AH471" s="585"/>
      <c r="AI471" s="585"/>
      <c r="AJ471" s="585"/>
      <c r="AK471" s="585"/>
      <c r="AL471" s="585"/>
      <c r="AM471" s="585"/>
      <c r="AN471" s="585"/>
      <c r="AO471" s="585"/>
      <c r="AP471" s="585"/>
      <c r="AQ471" s="585"/>
      <c r="AR471" s="585"/>
    </row>
    <row r="472">
      <c r="A472" s="621"/>
      <c r="B472" s="627" t="str">
        <f>IFERROR(__xludf.DUMMYFUNCTION("""COMPUTED_VALUE"""),"Đi quay tại site")</f>
        <v>Đi quay tại site</v>
      </c>
      <c r="C472" s="628"/>
      <c r="D472" s="602" t="str">
        <f>IFERROR(__xludf.DUMMYFUNCTION("""COMPUTED_VALUE"""),"PMAX")</f>
        <v>PMAX</v>
      </c>
      <c r="E472" s="624" t="str">
        <f>IFERROR(__xludf.DUMMYFUNCTION("""COMPUTED_VALUE"""),"Not start yet")</f>
        <v>Not start yet</v>
      </c>
      <c r="F472" s="604">
        <f>IFERROR(__xludf.DUMMYFUNCTION("""COMPUTED_VALUE"""),46152.0)</f>
        <v>46152</v>
      </c>
      <c r="G472" s="639">
        <f>IFERROR(__xludf.DUMMYFUNCTION("""COMPUTED_VALUE"""),46152.0)</f>
        <v>46152</v>
      </c>
      <c r="H472" s="585"/>
      <c r="I472" s="629">
        <v>2.0</v>
      </c>
      <c r="J472" s="625"/>
      <c r="K472" s="585"/>
      <c r="L472" s="585"/>
      <c r="M472" s="585"/>
      <c r="N472" s="585"/>
      <c r="O472" s="585"/>
      <c r="P472" s="585"/>
      <c r="Q472" s="585"/>
      <c r="R472" s="585"/>
      <c r="S472" s="585"/>
      <c r="T472" s="585"/>
      <c r="U472" s="585"/>
      <c r="V472" s="585"/>
      <c r="W472" s="585"/>
      <c r="X472" s="585"/>
      <c r="Y472" s="585"/>
      <c r="Z472" s="585"/>
      <c r="AA472" s="585"/>
      <c r="AB472" s="585"/>
      <c r="AC472" s="585"/>
      <c r="AD472" s="585"/>
      <c r="AE472" s="585"/>
      <c r="AF472" s="585"/>
      <c r="AG472" s="585"/>
      <c r="AH472" s="585"/>
      <c r="AI472" s="585"/>
      <c r="AJ472" s="585"/>
      <c r="AK472" s="585"/>
      <c r="AL472" s="585"/>
      <c r="AM472" s="585"/>
      <c r="AN472" s="585"/>
      <c r="AO472" s="585"/>
      <c r="AP472" s="585"/>
      <c r="AQ472" s="585"/>
      <c r="AR472" s="585"/>
    </row>
    <row r="473">
      <c r="A473" s="621"/>
      <c r="B473" s="633" t="str">
        <f>IFERROR(__xludf.DUMMYFUNCTION("""COMPUTED_VALUE"""),"Demo R1")</f>
        <v>Demo R1</v>
      </c>
      <c r="C473" s="628"/>
      <c r="D473" s="602" t="str">
        <f>IFERROR(__xludf.DUMMYFUNCTION("""COMPUTED_VALUE"""),"PMAX")</f>
        <v>PMAX</v>
      </c>
      <c r="E473" s="624" t="str">
        <f>IFERROR(__xludf.DUMMYFUNCTION("""COMPUTED_VALUE"""),"Not start yet")</f>
        <v>Not start yet</v>
      </c>
      <c r="F473" s="604">
        <f>IFERROR(__xludf.DUMMYFUNCTION("""COMPUTED_VALUE"""),46153.0)</f>
        <v>46153</v>
      </c>
      <c r="G473" s="639">
        <f>IFERROR(__xludf.DUMMYFUNCTION("""COMPUTED_VALUE"""),46153.0)</f>
        <v>46153</v>
      </c>
      <c r="H473" s="585"/>
      <c r="I473" s="629">
        <v>4.0</v>
      </c>
      <c r="J473" s="630" t="s">
        <v>886</v>
      </c>
      <c r="K473" s="585"/>
      <c r="L473" s="585"/>
      <c r="M473" s="585"/>
      <c r="N473" s="585"/>
      <c r="O473" s="585"/>
      <c r="P473" s="585"/>
      <c r="Q473" s="585"/>
      <c r="R473" s="585"/>
      <c r="S473" s="585"/>
      <c r="T473" s="585"/>
      <c r="U473" s="585"/>
      <c r="V473" s="585"/>
      <c r="W473" s="585"/>
      <c r="X473" s="585"/>
      <c r="Y473" s="585"/>
      <c r="Z473" s="585"/>
      <c r="AA473" s="585"/>
      <c r="AB473" s="585"/>
      <c r="AC473" s="585"/>
      <c r="AD473" s="585"/>
      <c r="AE473" s="585"/>
      <c r="AF473" s="585"/>
      <c r="AG473" s="585"/>
      <c r="AH473" s="585"/>
      <c r="AI473" s="585"/>
      <c r="AJ473" s="585"/>
      <c r="AK473" s="585"/>
      <c r="AL473" s="585"/>
      <c r="AM473" s="585"/>
      <c r="AN473" s="585"/>
      <c r="AO473" s="585"/>
      <c r="AP473" s="585"/>
      <c r="AQ473" s="585"/>
      <c r="AR473" s="585"/>
    </row>
    <row r="474">
      <c r="A474" s="621"/>
      <c r="B474" s="627" t="str">
        <f>IFERROR(__xludf.DUMMYFUNCTION("""COMPUTED_VALUE"""),"Feedback demo R1")</f>
        <v>Feedback demo R1</v>
      </c>
      <c r="C474" s="628"/>
      <c r="D474" s="602" t="str">
        <f>IFERROR(__xludf.DUMMYFUNCTION("""COMPUTED_VALUE"""),"BRAND")</f>
        <v>BRAND</v>
      </c>
      <c r="E474" s="624" t="str">
        <f>IFERROR(__xludf.DUMMYFUNCTION("""COMPUTED_VALUE"""),"Not start yet")</f>
        <v>Not start yet</v>
      </c>
      <c r="F474" s="604">
        <f>IFERROR(__xludf.DUMMYFUNCTION("""COMPUTED_VALUE"""),46154.0)</f>
        <v>46154</v>
      </c>
      <c r="G474" s="639">
        <f>IFERROR(__xludf.DUMMYFUNCTION("""COMPUTED_VALUE"""),46154.0)</f>
        <v>46154</v>
      </c>
      <c r="H474" s="585"/>
      <c r="I474" s="625"/>
      <c r="J474" s="630" t="s">
        <v>887</v>
      </c>
      <c r="K474" s="585"/>
      <c r="L474" s="585"/>
      <c r="M474" s="585"/>
      <c r="N474" s="585"/>
      <c r="O474" s="585"/>
      <c r="P474" s="585"/>
      <c r="Q474" s="585"/>
      <c r="R474" s="585"/>
      <c r="S474" s="585"/>
      <c r="T474" s="585"/>
      <c r="U474" s="585"/>
      <c r="V474" s="585"/>
      <c r="W474" s="585"/>
      <c r="X474" s="585"/>
      <c r="Y474" s="585"/>
      <c r="Z474" s="585"/>
      <c r="AA474" s="585"/>
      <c r="AB474" s="585"/>
      <c r="AC474" s="585"/>
      <c r="AD474" s="585"/>
      <c r="AE474" s="585"/>
      <c r="AF474" s="585"/>
      <c r="AG474" s="585"/>
      <c r="AH474" s="585"/>
      <c r="AI474" s="585"/>
      <c r="AJ474" s="585"/>
      <c r="AK474" s="585"/>
      <c r="AL474" s="585"/>
      <c r="AM474" s="585"/>
      <c r="AN474" s="585"/>
      <c r="AO474" s="585"/>
      <c r="AP474" s="585"/>
      <c r="AQ474" s="585"/>
      <c r="AR474" s="585"/>
    </row>
    <row r="475">
      <c r="A475" s="621"/>
      <c r="B475" s="633" t="str">
        <f>IFERROR(__xludf.DUMMYFUNCTION("""COMPUTED_VALUE"""),"Demo R2")</f>
        <v>Demo R2</v>
      </c>
      <c r="C475" s="628"/>
      <c r="D475" s="602" t="str">
        <f>IFERROR(__xludf.DUMMYFUNCTION("""COMPUTED_VALUE"""),"PMAX")</f>
        <v>PMAX</v>
      </c>
      <c r="E475" s="624" t="str">
        <f>IFERROR(__xludf.DUMMYFUNCTION("""COMPUTED_VALUE"""),"Not start yet")</f>
        <v>Not start yet</v>
      </c>
      <c r="F475" s="604">
        <f>IFERROR(__xludf.DUMMYFUNCTION("""COMPUTED_VALUE"""),46157.0)</f>
        <v>46157</v>
      </c>
      <c r="G475" s="639">
        <f>IFERROR(__xludf.DUMMYFUNCTION("""COMPUTED_VALUE"""),46157.0)</f>
        <v>46157</v>
      </c>
      <c r="H475" s="585"/>
      <c r="I475" s="625"/>
      <c r="J475" s="625"/>
      <c r="K475" s="585"/>
      <c r="L475" s="585"/>
      <c r="M475" s="585"/>
      <c r="N475" s="585"/>
      <c r="O475" s="585"/>
      <c r="P475" s="585"/>
      <c r="Q475" s="585"/>
      <c r="R475" s="585"/>
      <c r="S475" s="585"/>
      <c r="T475" s="585"/>
      <c r="U475" s="585"/>
      <c r="V475" s="585"/>
      <c r="W475" s="585"/>
      <c r="X475" s="585"/>
      <c r="Y475" s="585"/>
      <c r="Z475" s="585"/>
      <c r="AA475" s="585"/>
      <c r="AB475" s="585"/>
      <c r="AC475" s="585"/>
      <c r="AD475" s="585"/>
      <c r="AE475" s="585"/>
      <c r="AF475" s="585"/>
      <c r="AG475" s="585"/>
      <c r="AH475" s="585"/>
      <c r="AI475" s="585"/>
      <c r="AJ475" s="585"/>
      <c r="AK475" s="585"/>
      <c r="AL475" s="585"/>
      <c r="AM475" s="585"/>
      <c r="AN475" s="585"/>
      <c r="AO475" s="585"/>
      <c r="AP475" s="585"/>
      <c r="AQ475" s="585"/>
      <c r="AR475" s="585"/>
    </row>
    <row r="476">
      <c r="A476" s="621"/>
      <c r="B476" s="627" t="str">
        <f>IFERROR(__xludf.DUMMYFUNCTION("""COMPUTED_VALUE"""),"Feedback demo R2")</f>
        <v>Feedback demo R2</v>
      </c>
      <c r="C476" s="628"/>
      <c r="D476" s="602" t="str">
        <f>IFERROR(__xludf.DUMMYFUNCTION("""COMPUTED_VALUE"""),"BRAND")</f>
        <v>BRAND</v>
      </c>
      <c r="E476" s="624" t="str">
        <f>IFERROR(__xludf.DUMMYFUNCTION("""COMPUTED_VALUE"""),"Not start yet")</f>
        <v>Not start yet</v>
      </c>
      <c r="F476" s="604">
        <f>IFERROR(__xludf.DUMMYFUNCTION("""COMPUTED_VALUE"""),46160.0)</f>
        <v>46160</v>
      </c>
      <c r="G476" s="639">
        <f>IFERROR(__xludf.DUMMYFUNCTION("""COMPUTED_VALUE"""),46160.0)</f>
        <v>46160</v>
      </c>
      <c r="H476" s="585"/>
      <c r="I476" s="625"/>
      <c r="J476" s="625"/>
      <c r="K476" s="585"/>
      <c r="L476" s="585"/>
      <c r="M476" s="585"/>
      <c r="N476" s="585"/>
      <c r="O476" s="585"/>
      <c r="P476" s="585"/>
      <c r="Q476" s="585"/>
      <c r="R476" s="585"/>
      <c r="S476" s="585"/>
      <c r="T476" s="585"/>
      <c r="U476" s="585"/>
      <c r="V476" s="585"/>
      <c r="W476" s="585"/>
      <c r="X476" s="585"/>
      <c r="Y476" s="585"/>
      <c r="Z476" s="585"/>
      <c r="AA476" s="585"/>
      <c r="AB476" s="585"/>
      <c r="AC476" s="585"/>
      <c r="AD476" s="585"/>
      <c r="AE476" s="585"/>
      <c r="AF476" s="585"/>
      <c r="AG476" s="585"/>
      <c r="AH476" s="585"/>
      <c r="AI476" s="585"/>
      <c r="AJ476" s="585"/>
      <c r="AK476" s="585"/>
      <c r="AL476" s="585"/>
      <c r="AM476" s="585"/>
      <c r="AN476" s="585"/>
      <c r="AO476" s="585"/>
      <c r="AP476" s="585"/>
      <c r="AQ476" s="585"/>
      <c r="AR476" s="585"/>
    </row>
    <row r="477">
      <c r="A477" s="621"/>
      <c r="B477" s="627" t="str">
        <f>IFERROR(__xludf.DUMMYFUNCTION("""COMPUTED_VALUE"""),"Finalize demo")</f>
        <v>Finalize demo</v>
      </c>
      <c r="C477" s="628"/>
      <c r="D477" s="602" t="str">
        <f>IFERROR(__xludf.DUMMYFUNCTION("""COMPUTED_VALUE"""),"PMAX")</f>
        <v>PMAX</v>
      </c>
      <c r="E477" s="624" t="str">
        <f>IFERROR(__xludf.DUMMYFUNCTION("""COMPUTED_VALUE"""),"Not start yet")</f>
        <v>Not start yet</v>
      </c>
      <c r="F477" s="604">
        <f>IFERROR(__xludf.DUMMYFUNCTION("""COMPUTED_VALUE"""),46162.0)</f>
        <v>46162</v>
      </c>
      <c r="G477" s="639">
        <f>IFERROR(__xludf.DUMMYFUNCTION("""COMPUTED_VALUE"""),46162.0)</f>
        <v>46162</v>
      </c>
      <c r="H477" s="585"/>
      <c r="I477" s="629">
        <v>1.0</v>
      </c>
      <c r="J477" s="630" t="s">
        <v>888</v>
      </c>
      <c r="K477" s="585"/>
      <c r="L477" s="585"/>
      <c r="M477" s="585"/>
      <c r="N477" s="585"/>
      <c r="O477" s="585"/>
      <c r="P477" s="585"/>
      <c r="Q477" s="585"/>
      <c r="R477" s="585"/>
      <c r="S477" s="585"/>
      <c r="T477" s="585"/>
      <c r="U477" s="585"/>
      <c r="V477" s="585"/>
      <c r="W477" s="585"/>
      <c r="X477" s="585"/>
      <c r="Y477" s="585"/>
      <c r="Z477" s="585"/>
      <c r="AA477" s="585"/>
      <c r="AB477" s="585"/>
      <c r="AC477" s="585"/>
      <c r="AD477" s="585"/>
      <c r="AE477" s="585"/>
      <c r="AF477" s="585"/>
      <c r="AG477" s="585"/>
      <c r="AH477" s="585"/>
      <c r="AI477" s="585"/>
      <c r="AJ477" s="585"/>
      <c r="AK477" s="585"/>
      <c r="AL477" s="585"/>
      <c r="AM477" s="585"/>
      <c r="AN477" s="585"/>
      <c r="AO477" s="585"/>
      <c r="AP477" s="585"/>
      <c r="AQ477" s="585"/>
      <c r="AR477" s="585"/>
    </row>
    <row r="478">
      <c r="A478" s="621"/>
      <c r="B478" s="634" t="str">
        <f>IFERROR(__xludf.DUMMYFUNCTION("""COMPUTED_VALUE"""),"Air")</f>
        <v>Air</v>
      </c>
      <c r="C478" s="26"/>
      <c r="D478" s="602" t="str">
        <f>IFERROR(__xludf.DUMMYFUNCTION("""COMPUTED_VALUE"""),"PMAX")</f>
        <v>PMAX</v>
      </c>
      <c r="E478" s="624" t="str">
        <f>IFERROR(__xludf.DUMMYFUNCTION("""COMPUTED_VALUE"""),"Not start yet")</f>
        <v>Not start yet</v>
      </c>
      <c r="F478" s="604" t="str">
        <f>IFERROR(__xludf.DUMMYFUNCTION("""COMPUTED_VALUE"""),"TBU")</f>
        <v>TBU</v>
      </c>
      <c r="G478" s="639" t="str">
        <f>IFERROR(__xludf.DUMMYFUNCTION("""COMPUTED_VALUE"""),"TBU")</f>
        <v>TBU</v>
      </c>
      <c r="H478" s="585"/>
      <c r="I478" s="636">
        <v>1.0</v>
      </c>
      <c r="J478" s="585"/>
      <c r="K478" s="585"/>
      <c r="L478" s="585"/>
      <c r="M478" s="585"/>
      <c r="N478" s="585"/>
      <c r="O478" s="585"/>
      <c r="P478" s="585"/>
      <c r="Q478" s="585"/>
      <c r="R478" s="585"/>
      <c r="S478" s="585"/>
      <c r="T478" s="585"/>
      <c r="U478" s="585"/>
      <c r="V478" s="585"/>
      <c r="W478" s="585"/>
      <c r="X478" s="585"/>
      <c r="Y478" s="585"/>
      <c r="Z478" s="585"/>
      <c r="AA478" s="585"/>
      <c r="AB478" s="585"/>
      <c r="AC478" s="585"/>
      <c r="AD478" s="585"/>
      <c r="AE478" s="585"/>
      <c r="AF478" s="585"/>
      <c r="AG478" s="585"/>
      <c r="AH478" s="585"/>
      <c r="AI478" s="585"/>
      <c r="AJ478" s="585"/>
      <c r="AK478" s="585"/>
      <c r="AL478" s="585"/>
      <c r="AM478" s="585"/>
      <c r="AN478" s="585"/>
      <c r="AO478" s="585"/>
      <c r="AP478" s="585"/>
      <c r="AQ478" s="585"/>
      <c r="AR478" s="585"/>
    </row>
    <row r="479">
      <c r="A479" s="637">
        <f>IFERROR(__xludf.DUMMYFUNCTION("""COMPUTED_VALUE"""),33.0)</f>
        <v>33</v>
      </c>
      <c r="B479" s="616" t="str">
        <f>IFERROR(__xludf.DUMMYFUNCTION("""COMPUTED_VALUE"""),"Hà Nội Ăn Gì?")</f>
        <v>Hà Nội Ăn Gì?</v>
      </c>
      <c r="C479" s="617"/>
      <c r="D479" s="618"/>
      <c r="E479" s="619"/>
      <c r="F479" s="619"/>
      <c r="G479" s="619"/>
      <c r="H479" s="585"/>
      <c r="I479" s="585"/>
      <c r="J479" s="585"/>
      <c r="K479" s="585"/>
      <c r="L479" s="585"/>
      <c r="M479" s="585"/>
      <c r="N479" s="585"/>
      <c r="O479" s="585"/>
      <c r="P479" s="585"/>
      <c r="Q479" s="585"/>
      <c r="R479" s="585"/>
      <c r="S479" s="585"/>
      <c r="T479" s="585"/>
      <c r="U479" s="585"/>
      <c r="V479" s="585"/>
      <c r="W479" s="585"/>
      <c r="X479" s="585"/>
      <c r="Y479" s="585"/>
      <c r="Z479" s="585"/>
      <c r="AA479" s="585"/>
      <c r="AB479" s="585"/>
      <c r="AC479" s="585"/>
      <c r="AD479" s="585"/>
      <c r="AE479" s="585"/>
      <c r="AF479" s="585"/>
      <c r="AG479" s="585"/>
      <c r="AH479" s="585"/>
      <c r="AI479" s="585"/>
      <c r="AJ479" s="585"/>
      <c r="AK479" s="585"/>
      <c r="AL479" s="585"/>
      <c r="AM479" s="585"/>
      <c r="AN479" s="585"/>
      <c r="AO479" s="585"/>
      <c r="AP479" s="585"/>
      <c r="AQ479" s="585"/>
      <c r="AR479" s="585"/>
    </row>
    <row r="480">
      <c r="A480" s="621"/>
      <c r="B480" s="622" t="str">
        <f>IFERROR(__xludf.DUMMYFUNCTION("""COMPUTED_VALUE"""),"Briefing cho Influencer")</f>
        <v>Briefing cho Influencer</v>
      </c>
      <c r="C480" s="623"/>
      <c r="D480" s="602" t="str">
        <f>IFERROR(__xludf.DUMMYFUNCTION("""COMPUTED_VALUE"""),"PMAX")</f>
        <v>PMAX</v>
      </c>
      <c r="E480" s="624" t="str">
        <f>IFERROR(__xludf.DUMMYFUNCTION("""COMPUTED_VALUE"""),"Done")</f>
        <v>Done</v>
      </c>
      <c r="F480" s="604">
        <f>IFERROR(__xludf.DUMMYFUNCTION("""COMPUTED_VALUE"""),46147.0)</f>
        <v>46147</v>
      </c>
      <c r="G480" s="639">
        <f>IFERROR(__xludf.DUMMYFUNCTION("""COMPUTED_VALUE"""),46148.0)</f>
        <v>46148</v>
      </c>
      <c r="H480" s="585"/>
      <c r="I480" s="625"/>
      <c r="J480" s="626" t="s">
        <v>882</v>
      </c>
      <c r="K480" s="585"/>
      <c r="L480" s="585"/>
      <c r="M480" s="585"/>
      <c r="N480" s="585"/>
      <c r="O480" s="585"/>
      <c r="P480" s="585"/>
      <c r="Q480" s="585"/>
      <c r="R480" s="585"/>
      <c r="S480" s="585"/>
      <c r="T480" s="585"/>
      <c r="U480" s="585"/>
      <c r="V480" s="585"/>
      <c r="W480" s="585"/>
      <c r="X480" s="585"/>
      <c r="Y480" s="585"/>
      <c r="Z480" s="585"/>
      <c r="AA480" s="585"/>
      <c r="AB480" s="585"/>
      <c r="AC480" s="585"/>
      <c r="AD480" s="585"/>
      <c r="AE480" s="585"/>
      <c r="AF480" s="585"/>
      <c r="AG480" s="585"/>
      <c r="AH480" s="585"/>
      <c r="AI480" s="585"/>
      <c r="AJ480" s="585"/>
      <c r="AK480" s="585"/>
      <c r="AL480" s="585"/>
      <c r="AM480" s="585"/>
      <c r="AN480" s="585"/>
      <c r="AO480" s="585"/>
      <c r="AP480" s="585"/>
      <c r="AQ480" s="585"/>
      <c r="AR480" s="585"/>
    </row>
    <row r="481">
      <c r="A481" s="621"/>
      <c r="B481" s="627" t="str">
        <f>IFERROR(__xludf.DUMMYFUNCTION("""COMPUTED_VALUE"""),"Script R1 + Outfits")</f>
        <v>Script R1 + Outfits</v>
      </c>
      <c r="C481" s="628"/>
      <c r="D481" s="602" t="str">
        <f>IFERROR(__xludf.DUMMYFUNCTION("""COMPUTED_VALUE"""),"PMAX")</f>
        <v>PMAX</v>
      </c>
      <c r="E481" s="624" t="str">
        <f>IFERROR(__xludf.DUMMYFUNCTION("""COMPUTED_VALUE"""),"Done")</f>
        <v>Done</v>
      </c>
      <c r="F481" s="604">
        <f>IFERROR(__xludf.DUMMYFUNCTION("""COMPUTED_VALUE"""),46150.0)</f>
        <v>46150</v>
      </c>
      <c r="G481" s="639">
        <f>IFERROR(__xludf.DUMMYFUNCTION("""COMPUTED_VALUE"""),46150.0)</f>
        <v>46150</v>
      </c>
      <c r="H481" s="585"/>
      <c r="I481" s="629">
        <v>1.0</v>
      </c>
      <c r="J481" s="630" t="s">
        <v>883</v>
      </c>
      <c r="K481" s="585"/>
      <c r="L481" s="585"/>
      <c r="M481" s="585"/>
      <c r="N481" s="585"/>
      <c r="O481" s="585"/>
      <c r="P481" s="585"/>
      <c r="Q481" s="585"/>
      <c r="R481" s="585"/>
      <c r="S481" s="585"/>
      <c r="T481" s="585"/>
      <c r="U481" s="585"/>
      <c r="V481" s="585"/>
      <c r="W481" s="585"/>
      <c r="X481" s="585"/>
      <c r="Y481" s="585"/>
      <c r="Z481" s="585"/>
      <c r="AA481" s="585"/>
      <c r="AB481" s="585"/>
      <c r="AC481" s="585"/>
      <c r="AD481" s="585"/>
      <c r="AE481" s="585"/>
      <c r="AF481" s="585"/>
      <c r="AG481" s="585"/>
      <c r="AH481" s="585"/>
      <c r="AI481" s="585"/>
      <c r="AJ481" s="585"/>
      <c r="AK481" s="585"/>
      <c r="AL481" s="585"/>
      <c r="AM481" s="585"/>
      <c r="AN481" s="585"/>
      <c r="AO481" s="585"/>
      <c r="AP481" s="585"/>
      <c r="AQ481" s="585"/>
      <c r="AR481" s="585"/>
    </row>
    <row r="482">
      <c r="A482" s="621"/>
      <c r="B482" s="627" t="str">
        <f>IFERROR(__xludf.DUMMYFUNCTION("""COMPUTED_VALUE"""),"Feedback Script R1 + outfits")</f>
        <v>Feedback Script R1 + outfits</v>
      </c>
      <c r="C482" s="628"/>
      <c r="D482" s="602" t="str">
        <f>IFERROR(__xludf.DUMMYFUNCTION("""COMPUTED_VALUE"""),"BRAND")</f>
        <v>BRAND</v>
      </c>
      <c r="E482" s="624" t="str">
        <f>IFERROR(__xludf.DUMMYFUNCTION("""COMPUTED_VALUE"""),"Not start yet")</f>
        <v>Not start yet</v>
      </c>
      <c r="F482" s="604">
        <f>IFERROR(__xludf.DUMMYFUNCTION("""COMPUTED_VALUE"""),46152.0)</f>
        <v>46152</v>
      </c>
      <c r="G482" s="639">
        <f>IFERROR(__xludf.DUMMYFUNCTION("""COMPUTED_VALUE"""),46153.0)</f>
        <v>46153</v>
      </c>
      <c r="H482" s="585"/>
      <c r="I482" s="625"/>
      <c r="J482" s="630" t="s">
        <v>884</v>
      </c>
      <c r="K482" s="585"/>
      <c r="L482" s="585"/>
      <c r="M482" s="585"/>
      <c r="N482" s="585"/>
      <c r="O482" s="585"/>
      <c r="P482" s="585"/>
      <c r="Q482" s="585"/>
      <c r="R482" s="585"/>
      <c r="S482" s="585"/>
      <c r="T482" s="585"/>
      <c r="U482" s="585"/>
      <c r="V482" s="585"/>
      <c r="W482" s="585"/>
      <c r="X482" s="585"/>
      <c r="Y482" s="585"/>
      <c r="Z482" s="585"/>
      <c r="AA482" s="585"/>
      <c r="AB482" s="585"/>
      <c r="AC482" s="585"/>
      <c r="AD482" s="585"/>
      <c r="AE482" s="585"/>
      <c r="AF482" s="585"/>
      <c r="AG482" s="585"/>
      <c r="AH482" s="585"/>
      <c r="AI482" s="585"/>
      <c r="AJ482" s="585"/>
      <c r="AK482" s="585"/>
      <c r="AL482" s="585"/>
      <c r="AM482" s="585"/>
      <c r="AN482" s="585"/>
      <c r="AO482" s="585"/>
      <c r="AP482" s="585"/>
      <c r="AQ482" s="585"/>
      <c r="AR482" s="585"/>
    </row>
    <row r="483">
      <c r="A483" s="621"/>
      <c r="B483" s="631" t="str">
        <f>IFERROR(__xludf.DUMMYFUNCTION("""COMPUTED_VALUE"""),"Script R2")</f>
        <v>Script R2</v>
      </c>
      <c r="C483" s="628"/>
      <c r="D483" s="632" t="str">
        <f>IFERROR(__xludf.DUMMYFUNCTION("""COMPUTED_VALUE"""),"PMAX")</f>
        <v>PMAX</v>
      </c>
      <c r="E483" s="624" t="str">
        <f>IFERROR(__xludf.DUMMYFUNCTION("""COMPUTED_VALUE"""),"Not start yet")</f>
        <v>Not start yet</v>
      </c>
      <c r="F483" s="604">
        <f>IFERROR(__xludf.DUMMYFUNCTION("""COMPUTED_VALUE"""),46153.0)</f>
        <v>46153</v>
      </c>
      <c r="G483" s="639">
        <f>IFERROR(__xludf.DUMMYFUNCTION("""COMPUTED_VALUE"""),46154.0)</f>
        <v>46154</v>
      </c>
      <c r="H483" s="585"/>
      <c r="I483" s="625"/>
      <c r="J483" s="630"/>
      <c r="K483" s="585"/>
      <c r="L483" s="585"/>
      <c r="M483" s="585"/>
      <c r="N483" s="585"/>
      <c r="O483" s="585"/>
      <c r="P483" s="585"/>
      <c r="Q483" s="585"/>
      <c r="R483" s="585"/>
      <c r="S483" s="585"/>
      <c r="T483" s="585"/>
      <c r="U483" s="585"/>
      <c r="V483" s="585"/>
      <c r="W483" s="585"/>
      <c r="X483" s="585"/>
      <c r="Y483" s="585"/>
      <c r="Z483" s="585"/>
      <c r="AA483" s="585"/>
      <c r="AB483" s="585"/>
      <c r="AC483" s="585"/>
      <c r="AD483" s="585"/>
      <c r="AE483" s="585"/>
      <c r="AF483" s="585"/>
      <c r="AG483" s="585"/>
      <c r="AH483" s="585"/>
      <c r="AI483" s="585"/>
      <c r="AJ483" s="585"/>
      <c r="AK483" s="585"/>
      <c r="AL483" s="585"/>
      <c r="AM483" s="585"/>
      <c r="AN483" s="585"/>
      <c r="AO483" s="585"/>
      <c r="AP483" s="585"/>
      <c r="AQ483" s="585"/>
      <c r="AR483" s="585"/>
    </row>
    <row r="484">
      <c r="A484" s="621"/>
      <c r="B484" s="631" t="str">
        <f>IFERROR(__xludf.DUMMYFUNCTION("""COMPUTED_VALUE"""),"Feedback Script R2")</f>
        <v>Feedback Script R2</v>
      </c>
      <c r="C484" s="628"/>
      <c r="D484" s="632" t="str">
        <f>IFERROR(__xludf.DUMMYFUNCTION("""COMPUTED_VALUE"""),"BRAND")</f>
        <v>BRAND</v>
      </c>
      <c r="E484" s="624" t="str">
        <f>IFERROR(__xludf.DUMMYFUNCTION("""COMPUTED_VALUE"""),"Not start yet")</f>
        <v>Not start yet</v>
      </c>
      <c r="F484" s="604">
        <f>IFERROR(__xludf.DUMMYFUNCTION("""COMPUTED_VALUE"""),46154.0)</f>
        <v>46154</v>
      </c>
      <c r="G484" s="639">
        <f>IFERROR(__xludf.DUMMYFUNCTION("""COMPUTED_VALUE"""),46155.0)</f>
        <v>46155</v>
      </c>
      <c r="H484" s="585"/>
      <c r="I484" s="625"/>
      <c r="J484" s="630"/>
      <c r="K484" s="585"/>
      <c r="L484" s="585"/>
      <c r="M484" s="585"/>
      <c r="N484" s="585"/>
      <c r="O484" s="585"/>
      <c r="P484" s="585"/>
      <c r="Q484" s="585"/>
      <c r="R484" s="585"/>
      <c r="S484" s="585"/>
      <c r="T484" s="585"/>
      <c r="U484" s="585"/>
      <c r="V484" s="585"/>
      <c r="W484" s="585"/>
      <c r="X484" s="585"/>
      <c r="Y484" s="585"/>
      <c r="Z484" s="585"/>
      <c r="AA484" s="585"/>
      <c r="AB484" s="585"/>
      <c r="AC484" s="585"/>
      <c r="AD484" s="585"/>
      <c r="AE484" s="585"/>
      <c r="AF484" s="585"/>
      <c r="AG484" s="585"/>
      <c r="AH484" s="585"/>
      <c r="AI484" s="585"/>
      <c r="AJ484" s="585"/>
      <c r="AK484" s="585"/>
      <c r="AL484" s="585"/>
      <c r="AM484" s="585"/>
      <c r="AN484" s="585"/>
      <c r="AO484" s="585"/>
      <c r="AP484" s="585"/>
      <c r="AQ484" s="585"/>
      <c r="AR484" s="585"/>
    </row>
    <row r="485">
      <c r="A485" s="621"/>
      <c r="B485" s="627" t="str">
        <f>IFERROR(__xludf.DUMMYFUNCTION("""COMPUTED_VALUE"""),"Finalize scripts + outfits")</f>
        <v>Finalize scripts + outfits</v>
      </c>
      <c r="C485" s="628"/>
      <c r="D485" s="602" t="str">
        <f>IFERROR(__xludf.DUMMYFUNCTION("""COMPUTED_VALUE"""),"PMAX-BRAND")</f>
        <v>PMAX-BRAND</v>
      </c>
      <c r="E485" s="624" t="str">
        <f>IFERROR(__xludf.DUMMYFUNCTION("""COMPUTED_VALUE"""),"Not start yet")</f>
        <v>Not start yet</v>
      </c>
      <c r="F485" s="604">
        <f>IFERROR(__xludf.DUMMYFUNCTION("""COMPUTED_VALUE"""),46155.0)</f>
        <v>46155</v>
      </c>
      <c r="G485" s="639">
        <f>IFERROR(__xludf.DUMMYFUNCTION("""COMPUTED_VALUE"""),46155.0)</f>
        <v>46155</v>
      </c>
      <c r="H485" s="585"/>
      <c r="I485" s="629">
        <v>1.0</v>
      </c>
      <c r="J485" s="630" t="s">
        <v>885</v>
      </c>
      <c r="K485" s="585"/>
      <c r="L485" s="585"/>
      <c r="M485" s="585"/>
      <c r="N485" s="585"/>
      <c r="O485" s="585"/>
      <c r="P485" s="585"/>
      <c r="Q485" s="585"/>
      <c r="R485" s="585"/>
      <c r="S485" s="585"/>
      <c r="T485" s="585"/>
      <c r="U485" s="585"/>
      <c r="V485" s="585"/>
      <c r="W485" s="585"/>
      <c r="X485" s="585"/>
      <c r="Y485" s="585"/>
      <c r="Z485" s="585"/>
      <c r="AA485" s="585"/>
      <c r="AB485" s="585"/>
      <c r="AC485" s="585"/>
      <c r="AD485" s="585"/>
      <c r="AE485" s="585"/>
      <c r="AF485" s="585"/>
      <c r="AG485" s="585"/>
      <c r="AH485" s="585"/>
      <c r="AI485" s="585"/>
      <c r="AJ485" s="585"/>
      <c r="AK485" s="585"/>
      <c r="AL485" s="585"/>
      <c r="AM485" s="585"/>
      <c r="AN485" s="585"/>
      <c r="AO485" s="585"/>
      <c r="AP485" s="585"/>
      <c r="AQ485" s="585"/>
      <c r="AR485" s="585"/>
    </row>
    <row r="486">
      <c r="A486" s="621"/>
      <c r="B486" s="627" t="str">
        <f>IFERROR(__xludf.DUMMYFUNCTION("""COMPUTED_VALUE"""),"Đi quay tại site")</f>
        <v>Đi quay tại site</v>
      </c>
      <c r="C486" s="628"/>
      <c r="D486" s="602" t="str">
        <f>IFERROR(__xludf.DUMMYFUNCTION("""COMPUTED_VALUE"""),"PMAX")</f>
        <v>PMAX</v>
      </c>
      <c r="E486" s="624" t="str">
        <f>IFERROR(__xludf.DUMMYFUNCTION("""COMPUTED_VALUE"""),"Not start yet")</f>
        <v>Not start yet</v>
      </c>
      <c r="F486" s="604">
        <f>IFERROR(__xludf.DUMMYFUNCTION("""COMPUTED_VALUE"""),46158.0)</f>
        <v>46158</v>
      </c>
      <c r="G486" s="639">
        <f>IFERROR(__xludf.DUMMYFUNCTION("""COMPUTED_VALUE"""),46158.0)</f>
        <v>46158</v>
      </c>
      <c r="H486" s="585"/>
      <c r="I486" s="629">
        <v>2.0</v>
      </c>
      <c r="J486" s="625"/>
      <c r="K486" s="585"/>
      <c r="L486" s="585"/>
      <c r="M486" s="585"/>
      <c r="N486" s="585"/>
      <c r="O486" s="585"/>
      <c r="P486" s="585"/>
      <c r="Q486" s="585"/>
      <c r="R486" s="585"/>
      <c r="S486" s="585"/>
      <c r="T486" s="585"/>
      <c r="U486" s="585"/>
      <c r="V486" s="585"/>
      <c r="W486" s="585"/>
      <c r="X486" s="585"/>
      <c r="Y486" s="585"/>
      <c r="Z486" s="585"/>
      <c r="AA486" s="585"/>
      <c r="AB486" s="585"/>
      <c r="AC486" s="585"/>
      <c r="AD486" s="585"/>
      <c r="AE486" s="585"/>
      <c r="AF486" s="585"/>
      <c r="AG486" s="585"/>
      <c r="AH486" s="585"/>
      <c r="AI486" s="585"/>
      <c r="AJ486" s="585"/>
      <c r="AK486" s="585"/>
      <c r="AL486" s="585"/>
      <c r="AM486" s="585"/>
      <c r="AN486" s="585"/>
      <c r="AO486" s="585"/>
      <c r="AP486" s="585"/>
      <c r="AQ486" s="585"/>
      <c r="AR486" s="585"/>
    </row>
    <row r="487">
      <c r="A487" s="621"/>
      <c r="B487" s="633" t="str">
        <f>IFERROR(__xludf.DUMMYFUNCTION("""COMPUTED_VALUE"""),"Demo R1")</f>
        <v>Demo R1</v>
      </c>
      <c r="C487" s="628"/>
      <c r="D487" s="602" t="str">
        <f>IFERROR(__xludf.DUMMYFUNCTION("""COMPUTED_VALUE"""),"PMAX")</f>
        <v>PMAX</v>
      </c>
      <c r="E487" s="624" t="str">
        <f>IFERROR(__xludf.DUMMYFUNCTION("""COMPUTED_VALUE"""),"Not start yet")</f>
        <v>Not start yet</v>
      </c>
      <c r="F487" s="604">
        <f>IFERROR(__xludf.DUMMYFUNCTION("""COMPUTED_VALUE"""),46163.0)</f>
        <v>46163</v>
      </c>
      <c r="G487" s="639">
        <f>IFERROR(__xludf.DUMMYFUNCTION("""COMPUTED_VALUE"""),46160.0)</f>
        <v>46160</v>
      </c>
      <c r="H487" s="585"/>
      <c r="I487" s="629">
        <v>4.0</v>
      </c>
      <c r="J487" s="630" t="s">
        <v>886</v>
      </c>
      <c r="K487" s="585"/>
      <c r="L487" s="585"/>
      <c r="M487" s="585"/>
      <c r="N487" s="585"/>
      <c r="O487" s="585"/>
      <c r="P487" s="585"/>
      <c r="Q487" s="585"/>
      <c r="R487" s="585"/>
      <c r="S487" s="585"/>
      <c r="T487" s="585"/>
      <c r="U487" s="585"/>
      <c r="V487" s="585"/>
      <c r="W487" s="585"/>
      <c r="X487" s="585"/>
      <c r="Y487" s="585"/>
      <c r="Z487" s="585"/>
      <c r="AA487" s="585"/>
      <c r="AB487" s="585"/>
      <c r="AC487" s="585"/>
      <c r="AD487" s="585"/>
      <c r="AE487" s="585"/>
      <c r="AF487" s="585"/>
      <c r="AG487" s="585"/>
      <c r="AH487" s="585"/>
      <c r="AI487" s="585"/>
      <c r="AJ487" s="585"/>
      <c r="AK487" s="585"/>
      <c r="AL487" s="585"/>
      <c r="AM487" s="585"/>
      <c r="AN487" s="585"/>
      <c r="AO487" s="585"/>
      <c r="AP487" s="585"/>
      <c r="AQ487" s="585"/>
      <c r="AR487" s="585"/>
    </row>
    <row r="488">
      <c r="A488" s="621"/>
      <c r="B488" s="627" t="str">
        <f>IFERROR(__xludf.DUMMYFUNCTION("""COMPUTED_VALUE"""),"Feedback demo R1")</f>
        <v>Feedback demo R1</v>
      </c>
      <c r="C488" s="628"/>
      <c r="D488" s="602" t="str">
        <f>IFERROR(__xludf.DUMMYFUNCTION("""COMPUTED_VALUE"""),"BRAND")</f>
        <v>BRAND</v>
      </c>
      <c r="E488" s="624" t="str">
        <f>IFERROR(__xludf.DUMMYFUNCTION("""COMPUTED_VALUE"""),"Not start yet")</f>
        <v>Not start yet</v>
      </c>
      <c r="F488" s="604">
        <f>IFERROR(__xludf.DUMMYFUNCTION("""COMPUTED_VALUE"""),46161.0)</f>
        <v>46161</v>
      </c>
      <c r="G488" s="639">
        <f>IFERROR(__xludf.DUMMYFUNCTION("""COMPUTED_VALUE"""),46161.0)</f>
        <v>46161</v>
      </c>
      <c r="H488" s="585"/>
      <c r="I488" s="625"/>
      <c r="J488" s="630" t="s">
        <v>887</v>
      </c>
      <c r="K488" s="585"/>
      <c r="L488" s="585"/>
      <c r="M488" s="585"/>
      <c r="N488" s="585"/>
      <c r="O488" s="585"/>
      <c r="P488" s="585"/>
      <c r="Q488" s="585"/>
      <c r="R488" s="585"/>
      <c r="S488" s="585"/>
      <c r="T488" s="585"/>
      <c r="U488" s="585"/>
      <c r="V488" s="585"/>
      <c r="W488" s="585"/>
      <c r="X488" s="585"/>
      <c r="Y488" s="585"/>
      <c r="Z488" s="585"/>
      <c r="AA488" s="585"/>
      <c r="AB488" s="585"/>
      <c r="AC488" s="585"/>
      <c r="AD488" s="585"/>
      <c r="AE488" s="585"/>
      <c r="AF488" s="585"/>
      <c r="AG488" s="585"/>
      <c r="AH488" s="585"/>
      <c r="AI488" s="585"/>
      <c r="AJ488" s="585"/>
      <c r="AK488" s="585"/>
      <c r="AL488" s="585"/>
      <c r="AM488" s="585"/>
      <c r="AN488" s="585"/>
      <c r="AO488" s="585"/>
      <c r="AP488" s="585"/>
      <c r="AQ488" s="585"/>
      <c r="AR488" s="585"/>
    </row>
    <row r="489">
      <c r="A489" s="621"/>
      <c r="B489" s="633" t="str">
        <f>IFERROR(__xludf.DUMMYFUNCTION("""COMPUTED_VALUE"""),"Demo R2")</f>
        <v>Demo R2</v>
      </c>
      <c r="C489" s="628"/>
      <c r="D489" s="602" t="str">
        <f>IFERROR(__xludf.DUMMYFUNCTION("""COMPUTED_VALUE"""),"PMAX")</f>
        <v>PMAX</v>
      </c>
      <c r="E489" s="624" t="str">
        <f>IFERROR(__xludf.DUMMYFUNCTION("""COMPUTED_VALUE"""),"Not start yet")</f>
        <v>Not start yet</v>
      </c>
      <c r="F489" s="604">
        <f>IFERROR(__xludf.DUMMYFUNCTION("""COMPUTED_VALUE"""),46163.0)</f>
        <v>46163</v>
      </c>
      <c r="G489" s="639">
        <f>IFERROR(__xludf.DUMMYFUNCTION("""COMPUTED_VALUE"""),46163.0)</f>
        <v>46163</v>
      </c>
      <c r="H489" s="585"/>
      <c r="I489" s="625"/>
      <c r="J489" s="625"/>
      <c r="K489" s="585"/>
      <c r="L489" s="585"/>
      <c r="M489" s="585"/>
      <c r="N489" s="585"/>
      <c r="O489" s="585"/>
      <c r="P489" s="585"/>
      <c r="Q489" s="585"/>
      <c r="R489" s="585"/>
      <c r="S489" s="585"/>
      <c r="T489" s="585"/>
      <c r="U489" s="585"/>
      <c r="V489" s="585"/>
      <c r="W489" s="585"/>
      <c r="X489" s="585"/>
      <c r="Y489" s="585"/>
      <c r="Z489" s="585"/>
      <c r="AA489" s="585"/>
      <c r="AB489" s="585"/>
      <c r="AC489" s="585"/>
      <c r="AD489" s="585"/>
      <c r="AE489" s="585"/>
      <c r="AF489" s="585"/>
      <c r="AG489" s="585"/>
      <c r="AH489" s="585"/>
      <c r="AI489" s="585"/>
      <c r="AJ489" s="585"/>
      <c r="AK489" s="585"/>
      <c r="AL489" s="585"/>
      <c r="AM489" s="585"/>
      <c r="AN489" s="585"/>
      <c r="AO489" s="585"/>
      <c r="AP489" s="585"/>
      <c r="AQ489" s="585"/>
      <c r="AR489" s="585"/>
    </row>
    <row r="490">
      <c r="A490" s="621"/>
      <c r="B490" s="627" t="str">
        <f>IFERROR(__xludf.DUMMYFUNCTION("""COMPUTED_VALUE"""),"Feedback demo R2")</f>
        <v>Feedback demo R2</v>
      </c>
      <c r="C490" s="628"/>
      <c r="D490" s="602" t="str">
        <f>IFERROR(__xludf.DUMMYFUNCTION("""COMPUTED_VALUE"""),"BRAND")</f>
        <v>BRAND</v>
      </c>
      <c r="E490" s="624" t="str">
        <f>IFERROR(__xludf.DUMMYFUNCTION("""COMPUTED_VALUE"""),"Not start yet")</f>
        <v>Not start yet</v>
      </c>
      <c r="F490" s="604">
        <f>IFERROR(__xludf.DUMMYFUNCTION("""COMPUTED_VALUE"""),46164.0)</f>
        <v>46164</v>
      </c>
      <c r="G490" s="639">
        <f>IFERROR(__xludf.DUMMYFUNCTION("""COMPUTED_VALUE"""),46164.0)</f>
        <v>46164</v>
      </c>
      <c r="H490" s="585"/>
      <c r="I490" s="625"/>
      <c r="J490" s="625"/>
      <c r="K490" s="585"/>
      <c r="L490" s="585"/>
      <c r="M490" s="585"/>
      <c r="N490" s="585"/>
      <c r="O490" s="585"/>
      <c r="P490" s="585"/>
      <c r="Q490" s="585"/>
      <c r="R490" s="585"/>
      <c r="S490" s="585"/>
      <c r="T490" s="585"/>
      <c r="U490" s="585"/>
      <c r="V490" s="585"/>
      <c r="W490" s="585"/>
      <c r="X490" s="585"/>
      <c r="Y490" s="585"/>
      <c r="Z490" s="585"/>
      <c r="AA490" s="585"/>
      <c r="AB490" s="585"/>
      <c r="AC490" s="585"/>
      <c r="AD490" s="585"/>
      <c r="AE490" s="585"/>
      <c r="AF490" s="585"/>
      <c r="AG490" s="585"/>
      <c r="AH490" s="585"/>
      <c r="AI490" s="585"/>
      <c r="AJ490" s="585"/>
      <c r="AK490" s="585"/>
      <c r="AL490" s="585"/>
      <c r="AM490" s="585"/>
      <c r="AN490" s="585"/>
      <c r="AO490" s="585"/>
      <c r="AP490" s="585"/>
      <c r="AQ490" s="585"/>
      <c r="AR490" s="585"/>
    </row>
    <row r="491">
      <c r="A491" s="621"/>
      <c r="B491" s="627" t="str">
        <f>IFERROR(__xludf.DUMMYFUNCTION("""COMPUTED_VALUE"""),"Finalize demo")</f>
        <v>Finalize demo</v>
      </c>
      <c r="C491" s="628"/>
      <c r="D491" s="602" t="str">
        <f>IFERROR(__xludf.DUMMYFUNCTION("""COMPUTED_VALUE"""),"PMAX")</f>
        <v>PMAX</v>
      </c>
      <c r="E491" s="624" t="str">
        <f>IFERROR(__xludf.DUMMYFUNCTION("""COMPUTED_VALUE"""),"Not start yet")</f>
        <v>Not start yet</v>
      </c>
      <c r="F491" s="604">
        <f>IFERROR(__xludf.DUMMYFUNCTION("""COMPUTED_VALUE"""),46166.0)</f>
        <v>46166</v>
      </c>
      <c r="G491" s="639">
        <f>IFERROR(__xludf.DUMMYFUNCTION("""COMPUTED_VALUE"""),46166.0)</f>
        <v>46166</v>
      </c>
      <c r="H491" s="585"/>
      <c r="I491" s="629">
        <v>1.0</v>
      </c>
      <c r="J491" s="630" t="s">
        <v>888</v>
      </c>
      <c r="K491" s="585"/>
      <c r="L491" s="585"/>
      <c r="M491" s="585"/>
      <c r="N491" s="585"/>
      <c r="O491" s="585"/>
      <c r="P491" s="585"/>
      <c r="Q491" s="585"/>
      <c r="R491" s="585"/>
      <c r="S491" s="585"/>
      <c r="T491" s="585"/>
      <c r="U491" s="585"/>
      <c r="V491" s="585"/>
      <c r="W491" s="585"/>
      <c r="X491" s="585"/>
      <c r="Y491" s="585"/>
      <c r="Z491" s="585"/>
      <c r="AA491" s="585"/>
      <c r="AB491" s="585"/>
      <c r="AC491" s="585"/>
      <c r="AD491" s="585"/>
      <c r="AE491" s="585"/>
      <c r="AF491" s="585"/>
      <c r="AG491" s="585"/>
      <c r="AH491" s="585"/>
      <c r="AI491" s="585"/>
      <c r="AJ491" s="585"/>
      <c r="AK491" s="585"/>
      <c r="AL491" s="585"/>
      <c r="AM491" s="585"/>
      <c r="AN491" s="585"/>
      <c r="AO491" s="585"/>
      <c r="AP491" s="585"/>
      <c r="AQ491" s="585"/>
      <c r="AR491" s="585"/>
    </row>
    <row r="492">
      <c r="A492" s="621"/>
      <c r="B492" s="634" t="str">
        <f>IFERROR(__xludf.DUMMYFUNCTION("""COMPUTED_VALUE"""),"Air")</f>
        <v>Air</v>
      </c>
      <c r="C492" s="26"/>
      <c r="D492" s="602" t="str">
        <f>IFERROR(__xludf.DUMMYFUNCTION("""COMPUTED_VALUE"""),"PMAX")</f>
        <v>PMAX</v>
      </c>
      <c r="E492" s="624" t="str">
        <f>IFERROR(__xludf.DUMMYFUNCTION("""COMPUTED_VALUE"""),"Not start yet")</f>
        <v>Not start yet</v>
      </c>
      <c r="F492" s="604" t="str">
        <f>IFERROR(__xludf.DUMMYFUNCTION("""COMPUTED_VALUE"""),"TBU")</f>
        <v>TBU</v>
      </c>
      <c r="G492" s="639" t="str">
        <f>IFERROR(__xludf.DUMMYFUNCTION("""COMPUTED_VALUE"""),"TBU")</f>
        <v>TBU</v>
      </c>
      <c r="H492" s="585"/>
      <c r="I492" s="636">
        <v>1.0</v>
      </c>
      <c r="J492" s="585"/>
      <c r="K492" s="585"/>
      <c r="L492" s="585"/>
      <c r="M492" s="585"/>
      <c r="N492" s="585"/>
      <c r="O492" s="585"/>
      <c r="P492" s="585"/>
      <c r="Q492" s="585"/>
      <c r="R492" s="585"/>
      <c r="S492" s="585"/>
      <c r="T492" s="585"/>
      <c r="U492" s="585"/>
      <c r="V492" s="585"/>
      <c r="W492" s="585"/>
      <c r="X492" s="585"/>
      <c r="Y492" s="585"/>
      <c r="Z492" s="585"/>
      <c r="AA492" s="585"/>
      <c r="AB492" s="585"/>
      <c r="AC492" s="585"/>
      <c r="AD492" s="585"/>
      <c r="AE492" s="585"/>
      <c r="AF492" s="585"/>
      <c r="AG492" s="585"/>
      <c r="AH492" s="585"/>
      <c r="AI492" s="585"/>
      <c r="AJ492" s="585"/>
      <c r="AK492" s="585"/>
      <c r="AL492" s="585"/>
      <c r="AM492" s="585"/>
      <c r="AN492" s="585"/>
      <c r="AO492" s="585"/>
      <c r="AP492" s="585"/>
      <c r="AQ492" s="585"/>
      <c r="AR492" s="585"/>
    </row>
    <row r="493">
      <c r="A493" s="637">
        <f>IFERROR(__xludf.DUMMYFUNCTION("""COMPUTED_VALUE"""),34.0)</f>
        <v>34</v>
      </c>
      <c r="B493" s="616" t="str">
        <f>IFERROR(__xludf.DUMMYFUNCTION("""COMPUTED_VALUE"""),"Vi vu Sài Gòn")</f>
        <v>Vi vu Sài Gòn</v>
      </c>
      <c r="C493" s="617"/>
      <c r="D493" s="618"/>
      <c r="E493" s="619"/>
      <c r="F493" s="619"/>
      <c r="G493" s="619"/>
      <c r="H493" s="585"/>
      <c r="I493" s="585"/>
      <c r="J493" s="585"/>
      <c r="K493" s="585"/>
      <c r="L493" s="585"/>
      <c r="M493" s="585"/>
      <c r="N493" s="585"/>
      <c r="O493" s="585"/>
      <c r="P493" s="585"/>
      <c r="Q493" s="585"/>
      <c r="R493" s="585"/>
      <c r="S493" s="585"/>
      <c r="T493" s="585"/>
      <c r="U493" s="585"/>
      <c r="V493" s="585"/>
      <c r="W493" s="585"/>
      <c r="X493" s="585"/>
      <c r="Y493" s="585"/>
      <c r="Z493" s="585"/>
      <c r="AA493" s="585"/>
      <c r="AB493" s="585"/>
      <c r="AC493" s="585"/>
      <c r="AD493" s="585"/>
      <c r="AE493" s="585"/>
      <c r="AF493" s="585"/>
      <c r="AG493" s="585"/>
      <c r="AH493" s="585"/>
      <c r="AI493" s="585"/>
      <c r="AJ493" s="585"/>
      <c r="AK493" s="585"/>
      <c r="AL493" s="585"/>
      <c r="AM493" s="585"/>
      <c r="AN493" s="585"/>
      <c r="AO493" s="585"/>
      <c r="AP493" s="585"/>
      <c r="AQ493" s="585"/>
      <c r="AR493" s="585"/>
    </row>
    <row r="494">
      <c r="A494" s="621"/>
      <c r="B494" s="622" t="str">
        <f>IFERROR(__xludf.DUMMYFUNCTION("""COMPUTED_VALUE"""),"Briefing cho Influencer")</f>
        <v>Briefing cho Influencer</v>
      </c>
      <c r="C494" s="623"/>
      <c r="D494" s="602" t="str">
        <f>IFERROR(__xludf.DUMMYFUNCTION("""COMPUTED_VALUE"""),"PMAX")</f>
        <v>PMAX</v>
      </c>
      <c r="E494" s="624" t="str">
        <f>IFERROR(__xludf.DUMMYFUNCTION("""COMPUTED_VALUE"""),"Done")</f>
        <v>Done</v>
      </c>
      <c r="F494" s="609" t="str">
        <f>IFERROR(__xludf.DUMMYFUNCTION("""COMPUTED_VALUE"""),"Thứ 3. 5/ 5")</f>
        <v>Thứ 3. 5/ 5</v>
      </c>
      <c r="G494" s="638" t="str">
        <f>IFERROR(__xludf.DUMMYFUNCTION("""COMPUTED_VALUE"""),"Thứ 4. 6/ 5")</f>
        <v>Thứ 4. 6/ 5</v>
      </c>
      <c r="H494" s="585"/>
      <c r="I494" s="625"/>
      <c r="J494" s="626" t="s">
        <v>882</v>
      </c>
      <c r="K494" s="585"/>
      <c r="L494" s="585"/>
      <c r="M494" s="585"/>
      <c r="N494" s="585"/>
      <c r="O494" s="585"/>
      <c r="P494" s="585"/>
      <c r="Q494" s="585"/>
      <c r="R494" s="585"/>
      <c r="S494" s="585"/>
      <c r="T494" s="585"/>
      <c r="U494" s="585"/>
      <c r="V494" s="585"/>
      <c r="W494" s="585"/>
      <c r="X494" s="585"/>
      <c r="Y494" s="585"/>
      <c r="Z494" s="585"/>
      <c r="AA494" s="585"/>
      <c r="AB494" s="585"/>
      <c r="AC494" s="585"/>
      <c r="AD494" s="585"/>
      <c r="AE494" s="585"/>
      <c r="AF494" s="585"/>
      <c r="AG494" s="585"/>
      <c r="AH494" s="585"/>
      <c r="AI494" s="585"/>
      <c r="AJ494" s="585"/>
      <c r="AK494" s="585"/>
      <c r="AL494" s="585"/>
      <c r="AM494" s="585"/>
      <c r="AN494" s="585"/>
      <c r="AO494" s="585"/>
      <c r="AP494" s="585"/>
      <c r="AQ494" s="585"/>
      <c r="AR494" s="585"/>
    </row>
    <row r="495">
      <c r="A495" s="621"/>
      <c r="B495" s="627" t="str">
        <f>IFERROR(__xludf.DUMMYFUNCTION("""COMPUTED_VALUE"""),"Script R1 + Outfits")</f>
        <v>Script R1 + Outfits</v>
      </c>
      <c r="C495" s="628"/>
      <c r="D495" s="602" t="str">
        <f>IFERROR(__xludf.DUMMYFUNCTION("""COMPUTED_VALUE"""),"PMAX")</f>
        <v>PMAX</v>
      </c>
      <c r="E495" s="624" t="str">
        <f>IFERROR(__xludf.DUMMYFUNCTION("""COMPUTED_VALUE"""),"Done")</f>
        <v>Done</v>
      </c>
      <c r="F495" s="609" t="str">
        <f>IFERROR(__xludf.DUMMYFUNCTION("""COMPUTED_VALUE"""),"Thứ 4. 6/ 5")</f>
        <v>Thứ 4. 6/ 5</v>
      </c>
      <c r="G495" s="638" t="str">
        <f>IFERROR(__xludf.DUMMYFUNCTION("""COMPUTED_VALUE"""),"Thứ 6. 8/ 5")</f>
        <v>Thứ 6. 8/ 5</v>
      </c>
      <c r="H495" s="585"/>
      <c r="I495" s="629">
        <v>1.0</v>
      </c>
      <c r="J495" s="630" t="s">
        <v>883</v>
      </c>
      <c r="K495" s="585"/>
      <c r="L495" s="585"/>
      <c r="M495" s="585"/>
      <c r="N495" s="585"/>
      <c r="O495" s="585"/>
      <c r="P495" s="585"/>
      <c r="Q495" s="585"/>
      <c r="R495" s="585"/>
      <c r="S495" s="585"/>
      <c r="T495" s="585"/>
      <c r="U495" s="585"/>
      <c r="V495" s="585"/>
      <c r="W495" s="585"/>
      <c r="X495" s="585"/>
      <c r="Y495" s="585"/>
      <c r="Z495" s="585"/>
      <c r="AA495" s="585"/>
      <c r="AB495" s="585"/>
      <c r="AC495" s="585"/>
      <c r="AD495" s="585"/>
      <c r="AE495" s="585"/>
      <c r="AF495" s="585"/>
      <c r="AG495" s="585"/>
      <c r="AH495" s="585"/>
      <c r="AI495" s="585"/>
      <c r="AJ495" s="585"/>
      <c r="AK495" s="585"/>
      <c r="AL495" s="585"/>
      <c r="AM495" s="585"/>
      <c r="AN495" s="585"/>
      <c r="AO495" s="585"/>
      <c r="AP495" s="585"/>
      <c r="AQ495" s="585"/>
      <c r="AR495" s="585"/>
    </row>
    <row r="496">
      <c r="A496" s="621"/>
      <c r="B496" s="627" t="str">
        <f>IFERROR(__xludf.DUMMYFUNCTION("""COMPUTED_VALUE"""),"Feedback Script R1 + outfits")</f>
        <v>Feedback Script R1 + outfits</v>
      </c>
      <c r="C496" s="628"/>
      <c r="D496" s="602" t="str">
        <f>IFERROR(__xludf.DUMMYFUNCTION("""COMPUTED_VALUE"""),"BRAND")</f>
        <v>BRAND</v>
      </c>
      <c r="E496" s="624" t="str">
        <f>IFERROR(__xludf.DUMMYFUNCTION("""COMPUTED_VALUE"""),"Not start yet")</f>
        <v>Not start yet</v>
      </c>
      <c r="F496" s="609" t="str">
        <f>IFERROR(__xludf.DUMMYFUNCTION("""COMPUTED_VALUE"""),"Thứ 6. 8/ 5")</f>
        <v>Thứ 6. 8/ 5</v>
      </c>
      <c r="G496" s="638" t="str">
        <f>IFERROR(__xludf.DUMMYFUNCTION("""COMPUTED_VALUE"""),"Thứ 6. 8/ 5")</f>
        <v>Thứ 6. 8/ 5</v>
      </c>
      <c r="H496" s="585"/>
      <c r="I496" s="625"/>
      <c r="J496" s="630" t="s">
        <v>884</v>
      </c>
      <c r="K496" s="585"/>
      <c r="L496" s="585"/>
      <c r="M496" s="585"/>
      <c r="N496" s="585"/>
      <c r="O496" s="585"/>
      <c r="P496" s="585"/>
      <c r="Q496" s="585"/>
      <c r="R496" s="585"/>
      <c r="S496" s="585"/>
      <c r="T496" s="585"/>
      <c r="U496" s="585"/>
      <c r="V496" s="585"/>
      <c r="W496" s="585"/>
      <c r="X496" s="585"/>
      <c r="Y496" s="585"/>
      <c r="Z496" s="585"/>
      <c r="AA496" s="585"/>
      <c r="AB496" s="585"/>
      <c r="AC496" s="585"/>
      <c r="AD496" s="585"/>
      <c r="AE496" s="585"/>
      <c r="AF496" s="585"/>
      <c r="AG496" s="585"/>
      <c r="AH496" s="585"/>
      <c r="AI496" s="585"/>
      <c r="AJ496" s="585"/>
      <c r="AK496" s="585"/>
      <c r="AL496" s="585"/>
      <c r="AM496" s="585"/>
      <c r="AN496" s="585"/>
      <c r="AO496" s="585"/>
      <c r="AP496" s="585"/>
      <c r="AQ496" s="585"/>
      <c r="AR496" s="585"/>
    </row>
    <row r="497">
      <c r="A497" s="621"/>
      <c r="B497" s="631" t="str">
        <f>IFERROR(__xludf.DUMMYFUNCTION("""COMPUTED_VALUE"""),"Script R2")</f>
        <v>Script R2</v>
      </c>
      <c r="C497" s="628"/>
      <c r="D497" s="632" t="str">
        <f>IFERROR(__xludf.DUMMYFUNCTION("""COMPUTED_VALUE"""),"PMAX")</f>
        <v>PMAX</v>
      </c>
      <c r="E497" s="624" t="str">
        <f>IFERROR(__xludf.DUMMYFUNCTION("""COMPUTED_VALUE"""),"Not start yet")</f>
        <v>Not start yet</v>
      </c>
      <c r="F497" s="609" t="str">
        <f>IFERROR(__xludf.DUMMYFUNCTION("""COMPUTED_VALUE"""),"Thứ 7. 9/ 5")</f>
        <v>Thứ 7. 9/ 5</v>
      </c>
      <c r="G497" s="638" t="str">
        <f>IFERROR(__xludf.DUMMYFUNCTION("""COMPUTED_VALUE"""),"CN. 10/ 5")</f>
        <v>CN. 10/ 5</v>
      </c>
      <c r="H497" s="585"/>
      <c r="I497" s="625"/>
      <c r="J497" s="630"/>
      <c r="K497" s="585"/>
      <c r="L497" s="585"/>
      <c r="M497" s="585"/>
      <c r="N497" s="585"/>
      <c r="O497" s="585"/>
      <c r="P497" s="585"/>
      <c r="Q497" s="585"/>
      <c r="R497" s="585"/>
      <c r="S497" s="585"/>
      <c r="T497" s="585"/>
      <c r="U497" s="585"/>
      <c r="V497" s="585"/>
      <c r="W497" s="585"/>
      <c r="X497" s="585"/>
      <c r="Y497" s="585"/>
      <c r="Z497" s="585"/>
      <c r="AA497" s="585"/>
      <c r="AB497" s="585"/>
      <c r="AC497" s="585"/>
      <c r="AD497" s="585"/>
      <c r="AE497" s="585"/>
      <c r="AF497" s="585"/>
      <c r="AG497" s="585"/>
      <c r="AH497" s="585"/>
      <c r="AI497" s="585"/>
      <c r="AJ497" s="585"/>
      <c r="AK497" s="585"/>
      <c r="AL497" s="585"/>
      <c r="AM497" s="585"/>
      <c r="AN497" s="585"/>
      <c r="AO497" s="585"/>
      <c r="AP497" s="585"/>
      <c r="AQ497" s="585"/>
      <c r="AR497" s="585"/>
    </row>
    <row r="498">
      <c r="A498" s="621"/>
      <c r="B498" s="631" t="str">
        <f>IFERROR(__xludf.DUMMYFUNCTION("""COMPUTED_VALUE"""),"Feedback Script R2")</f>
        <v>Feedback Script R2</v>
      </c>
      <c r="C498" s="628"/>
      <c r="D498" s="632" t="str">
        <f>IFERROR(__xludf.DUMMYFUNCTION("""COMPUTED_VALUE"""),"BRAND")</f>
        <v>BRAND</v>
      </c>
      <c r="E498" s="624" t="str">
        <f>IFERROR(__xludf.DUMMYFUNCTION("""COMPUTED_VALUE"""),"Not start yet")</f>
        <v>Not start yet</v>
      </c>
      <c r="F498" s="609" t="str">
        <f>IFERROR(__xludf.DUMMYFUNCTION("""COMPUTED_VALUE"""),"Thứ 2. 11/ 5")</f>
        <v>Thứ 2. 11/ 5</v>
      </c>
      <c r="G498" s="638" t="str">
        <f>IFERROR(__xludf.DUMMYFUNCTION("""COMPUTED_VALUE"""),"Thứ 2. 11/ 5")</f>
        <v>Thứ 2. 11/ 5</v>
      </c>
      <c r="H498" s="585"/>
      <c r="I498" s="625"/>
      <c r="J498" s="630"/>
      <c r="K498" s="585"/>
      <c r="L498" s="585"/>
      <c r="M498" s="585"/>
      <c r="N498" s="585"/>
      <c r="O498" s="585"/>
      <c r="P498" s="585"/>
      <c r="Q498" s="585"/>
      <c r="R498" s="585"/>
      <c r="S498" s="585"/>
      <c r="T498" s="585"/>
      <c r="U498" s="585"/>
      <c r="V498" s="585"/>
      <c r="W498" s="585"/>
      <c r="X498" s="585"/>
      <c r="Y498" s="585"/>
      <c r="Z498" s="585"/>
      <c r="AA498" s="585"/>
      <c r="AB498" s="585"/>
      <c r="AC498" s="585"/>
      <c r="AD498" s="585"/>
      <c r="AE498" s="585"/>
      <c r="AF498" s="585"/>
      <c r="AG498" s="585"/>
      <c r="AH498" s="585"/>
      <c r="AI498" s="585"/>
      <c r="AJ498" s="585"/>
      <c r="AK498" s="585"/>
      <c r="AL498" s="585"/>
      <c r="AM498" s="585"/>
      <c r="AN498" s="585"/>
      <c r="AO498" s="585"/>
      <c r="AP498" s="585"/>
      <c r="AQ498" s="585"/>
      <c r="AR498" s="585"/>
    </row>
    <row r="499">
      <c r="A499" s="621"/>
      <c r="B499" s="627" t="str">
        <f>IFERROR(__xludf.DUMMYFUNCTION("""COMPUTED_VALUE"""),"Finalize scripts + outfits")</f>
        <v>Finalize scripts + outfits</v>
      </c>
      <c r="C499" s="628"/>
      <c r="D499" s="602" t="str">
        <f>IFERROR(__xludf.DUMMYFUNCTION("""COMPUTED_VALUE"""),"PMAX-BRAND")</f>
        <v>PMAX-BRAND</v>
      </c>
      <c r="E499" s="624" t="str">
        <f>IFERROR(__xludf.DUMMYFUNCTION("""COMPUTED_VALUE"""),"Not start yet")</f>
        <v>Not start yet</v>
      </c>
      <c r="F499" s="609" t="str">
        <f>IFERROR(__xludf.DUMMYFUNCTION("""COMPUTED_VALUE"""),"Thứ 2. 11/ 5")</f>
        <v>Thứ 2. 11/ 5</v>
      </c>
      <c r="G499" s="638" t="str">
        <f>IFERROR(__xludf.DUMMYFUNCTION("""COMPUTED_VALUE"""),"Thứ 2. 11/ 5")</f>
        <v>Thứ 2. 11/ 5</v>
      </c>
      <c r="H499" s="585"/>
      <c r="I499" s="629">
        <v>1.0</v>
      </c>
      <c r="J499" s="630" t="s">
        <v>885</v>
      </c>
      <c r="K499" s="585"/>
      <c r="L499" s="585"/>
      <c r="M499" s="585"/>
      <c r="N499" s="585"/>
      <c r="O499" s="585"/>
      <c r="P499" s="585"/>
      <c r="Q499" s="585"/>
      <c r="R499" s="585"/>
      <c r="S499" s="585"/>
      <c r="T499" s="585"/>
      <c r="U499" s="585"/>
      <c r="V499" s="585"/>
      <c r="W499" s="585"/>
      <c r="X499" s="585"/>
      <c r="Y499" s="585"/>
      <c r="Z499" s="585"/>
      <c r="AA499" s="585"/>
      <c r="AB499" s="585"/>
      <c r="AC499" s="585"/>
      <c r="AD499" s="585"/>
      <c r="AE499" s="585"/>
      <c r="AF499" s="585"/>
      <c r="AG499" s="585"/>
      <c r="AH499" s="585"/>
      <c r="AI499" s="585"/>
      <c r="AJ499" s="585"/>
      <c r="AK499" s="585"/>
      <c r="AL499" s="585"/>
      <c r="AM499" s="585"/>
      <c r="AN499" s="585"/>
      <c r="AO499" s="585"/>
      <c r="AP499" s="585"/>
      <c r="AQ499" s="585"/>
      <c r="AR499" s="585"/>
    </row>
    <row r="500">
      <c r="A500" s="621"/>
      <c r="B500" s="627" t="str">
        <f>IFERROR(__xludf.DUMMYFUNCTION("""COMPUTED_VALUE"""),"Đi quay tại site")</f>
        <v>Đi quay tại site</v>
      </c>
      <c r="C500" s="628"/>
      <c r="D500" s="602" t="str">
        <f>IFERROR(__xludf.DUMMYFUNCTION("""COMPUTED_VALUE"""),"PMAX")</f>
        <v>PMAX</v>
      </c>
      <c r="E500" s="624" t="str">
        <f>IFERROR(__xludf.DUMMYFUNCTION("""COMPUTED_VALUE"""),"Not start yet")</f>
        <v>Not start yet</v>
      </c>
      <c r="F500" s="609" t="str">
        <f>IFERROR(__xludf.DUMMYFUNCTION("""COMPUTED_VALUE"""),"Thứ 3. 12/ 5")</f>
        <v>Thứ 3. 12/ 5</v>
      </c>
      <c r="G500" s="638" t="str">
        <f>IFERROR(__xludf.DUMMYFUNCTION("""COMPUTED_VALUE"""),"Thứ 5. 14/ 5")</f>
        <v>Thứ 5. 14/ 5</v>
      </c>
      <c r="H500" s="585"/>
      <c r="I500" s="629">
        <v>2.0</v>
      </c>
      <c r="J500" s="625"/>
      <c r="K500" s="585"/>
      <c r="L500" s="585"/>
      <c r="M500" s="585"/>
      <c r="N500" s="585"/>
      <c r="O500" s="585"/>
      <c r="P500" s="585"/>
      <c r="Q500" s="585"/>
      <c r="R500" s="585"/>
      <c r="S500" s="585"/>
      <c r="T500" s="585"/>
      <c r="U500" s="585"/>
      <c r="V500" s="585"/>
      <c r="W500" s="585"/>
      <c r="X500" s="585"/>
      <c r="Y500" s="585"/>
      <c r="Z500" s="585"/>
      <c r="AA500" s="585"/>
      <c r="AB500" s="585"/>
      <c r="AC500" s="585"/>
      <c r="AD500" s="585"/>
      <c r="AE500" s="585"/>
      <c r="AF500" s="585"/>
      <c r="AG500" s="585"/>
      <c r="AH500" s="585"/>
      <c r="AI500" s="585"/>
      <c r="AJ500" s="585"/>
      <c r="AK500" s="585"/>
      <c r="AL500" s="585"/>
      <c r="AM500" s="585"/>
      <c r="AN500" s="585"/>
      <c r="AO500" s="585"/>
      <c r="AP500" s="585"/>
      <c r="AQ500" s="585"/>
      <c r="AR500" s="585"/>
    </row>
    <row r="501">
      <c r="A501" s="621"/>
      <c r="B501" s="633" t="str">
        <f>IFERROR(__xludf.DUMMYFUNCTION("""COMPUTED_VALUE"""),"Demo R1")</f>
        <v>Demo R1</v>
      </c>
      <c r="C501" s="628"/>
      <c r="D501" s="602" t="str">
        <f>IFERROR(__xludf.DUMMYFUNCTION("""COMPUTED_VALUE"""),"PMAX")</f>
        <v>PMAX</v>
      </c>
      <c r="E501" s="624" t="str">
        <f>IFERROR(__xludf.DUMMYFUNCTION("""COMPUTED_VALUE"""),"Not start yet")</f>
        <v>Not start yet</v>
      </c>
      <c r="F501" s="609" t="str">
        <f>IFERROR(__xludf.DUMMYFUNCTION("""COMPUTED_VALUE"""),"Thứ 5. 14/ 5")</f>
        <v>Thứ 5. 14/ 5</v>
      </c>
      <c r="G501" s="638" t="str">
        <f>IFERROR(__xludf.DUMMYFUNCTION("""COMPUTED_VALUE"""),"CN. 17/ 5")</f>
        <v>CN. 17/ 5</v>
      </c>
      <c r="H501" s="585"/>
      <c r="I501" s="629">
        <v>4.0</v>
      </c>
      <c r="J501" s="630" t="s">
        <v>886</v>
      </c>
      <c r="K501" s="585"/>
      <c r="L501" s="585"/>
      <c r="M501" s="585"/>
      <c r="N501" s="585"/>
      <c r="O501" s="585"/>
      <c r="P501" s="585"/>
      <c r="Q501" s="585"/>
      <c r="R501" s="585"/>
      <c r="S501" s="585"/>
      <c r="T501" s="585"/>
      <c r="U501" s="585"/>
      <c r="V501" s="585"/>
      <c r="W501" s="585"/>
      <c r="X501" s="585"/>
      <c r="Y501" s="585"/>
      <c r="Z501" s="585"/>
      <c r="AA501" s="585"/>
      <c r="AB501" s="585"/>
      <c r="AC501" s="585"/>
      <c r="AD501" s="585"/>
      <c r="AE501" s="585"/>
      <c r="AF501" s="585"/>
      <c r="AG501" s="585"/>
      <c r="AH501" s="585"/>
      <c r="AI501" s="585"/>
      <c r="AJ501" s="585"/>
      <c r="AK501" s="585"/>
      <c r="AL501" s="585"/>
      <c r="AM501" s="585"/>
      <c r="AN501" s="585"/>
      <c r="AO501" s="585"/>
      <c r="AP501" s="585"/>
      <c r="AQ501" s="585"/>
      <c r="AR501" s="585"/>
    </row>
    <row r="502">
      <c r="A502" s="621"/>
      <c r="B502" s="627" t="str">
        <f>IFERROR(__xludf.DUMMYFUNCTION("""COMPUTED_VALUE"""),"Feedback demo R1")</f>
        <v>Feedback demo R1</v>
      </c>
      <c r="C502" s="628"/>
      <c r="D502" s="602" t="str">
        <f>IFERROR(__xludf.DUMMYFUNCTION("""COMPUTED_VALUE"""),"BRAND")</f>
        <v>BRAND</v>
      </c>
      <c r="E502" s="624" t="str">
        <f>IFERROR(__xludf.DUMMYFUNCTION("""COMPUTED_VALUE"""),"Not start yet")</f>
        <v>Not start yet</v>
      </c>
      <c r="F502" s="609" t="str">
        <f>IFERROR(__xludf.DUMMYFUNCTION("""COMPUTED_VALUE"""),"Thứ 2. 18/ 5")</f>
        <v>Thứ 2. 18/ 5</v>
      </c>
      <c r="G502" s="638" t="str">
        <f>IFERROR(__xludf.DUMMYFUNCTION("""COMPUTED_VALUE"""),"Thứ 2. 18/ 5")</f>
        <v>Thứ 2. 18/ 5</v>
      </c>
      <c r="H502" s="585"/>
      <c r="I502" s="625"/>
      <c r="J502" s="630" t="s">
        <v>887</v>
      </c>
      <c r="K502" s="585"/>
      <c r="L502" s="585"/>
      <c r="M502" s="585"/>
      <c r="N502" s="585"/>
      <c r="O502" s="585"/>
      <c r="P502" s="585"/>
      <c r="Q502" s="585"/>
      <c r="R502" s="585"/>
      <c r="S502" s="585"/>
      <c r="T502" s="585"/>
      <c r="U502" s="585"/>
      <c r="V502" s="585"/>
      <c r="W502" s="585"/>
      <c r="X502" s="585"/>
      <c r="Y502" s="585"/>
      <c r="Z502" s="585"/>
      <c r="AA502" s="585"/>
      <c r="AB502" s="585"/>
      <c r="AC502" s="585"/>
      <c r="AD502" s="585"/>
      <c r="AE502" s="585"/>
      <c r="AF502" s="585"/>
      <c r="AG502" s="585"/>
      <c r="AH502" s="585"/>
      <c r="AI502" s="585"/>
      <c r="AJ502" s="585"/>
      <c r="AK502" s="585"/>
      <c r="AL502" s="585"/>
      <c r="AM502" s="585"/>
      <c r="AN502" s="585"/>
      <c r="AO502" s="585"/>
      <c r="AP502" s="585"/>
      <c r="AQ502" s="585"/>
      <c r="AR502" s="585"/>
    </row>
    <row r="503">
      <c r="A503" s="621"/>
      <c r="B503" s="633" t="str">
        <f>IFERROR(__xludf.DUMMYFUNCTION("""COMPUTED_VALUE"""),"Demo R2")</f>
        <v>Demo R2</v>
      </c>
      <c r="C503" s="628"/>
      <c r="D503" s="602" t="str">
        <f>IFERROR(__xludf.DUMMYFUNCTION("""COMPUTED_VALUE"""),"PMAX")</f>
        <v>PMAX</v>
      </c>
      <c r="E503" s="624" t="str">
        <f>IFERROR(__xludf.DUMMYFUNCTION("""COMPUTED_VALUE"""),"Not start yet")</f>
        <v>Not start yet</v>
      </c>
      <c r="F503" s="609" t="str">
        <f>IFERROR(__xludf.DUMMYFUNCTION("""COMPUTED_VALUE"""),"Thứ 3. 19/ 5")</f>
        <v>Thứ 3. 19/ 5</v>
      </c>
      <c r="G503" s="638" t="str">
        <f>IFERROR(__xludf.DUMMYFUNCTION("""COMPUTED_VALUE"""),"Thứ 5. 21/ 5")</f>
        <v>Thứ 5. 21/ 5</v>
      </c>
      <c r="H503" s="585"/>
      <c r="I503" s="625"/>
      <c r="J503" s="625"/>
      <c r="K503" s="585"/>
      <c r="L503" s="585"/>
      <c r="M503" s="585"/>
      <c r="N503" s="585"/>
      <c r="O503" s="585"/>
      <c r="P503" s="585"/>
      <c r="Q503" s="585"/>
      <c r="R503" s="585"/>
      <c r="S503" s="585"/>
      <c r="T503" s="585"/>
      <c r="U503" s="585"/>
      <c r="V503" s="585"/>
      <c r="W503" s="585"/>
      <c r="X503" s="585"/>
      <c r="Y503" s="585"/>
      <c r="Z503" s="585"/>
      <c r="AA503" s="585"/>
      <c r="AB503" s="585"/>
      <c r="AC503" s="585"/>
      <c r="AD503" s="585"/>
      <c r="AE503" s="585"/>
      <c r="AF503" s="585"/>
      <c r="AG503" s="585"/>
      <c r="AH503" s="585"/>
      <c r="AI503" s="585"/>
      <c r="AJ503" s="585"/>
      <c r="AK503" s="585"/>
      <c r="AL503" s="585"/>
      <c r="AM503" s="585"/>
      <c r="AN503" s="585"/>
      <c r="AO503" s="585"/>
      <c r="AP503" s="585"/>
      <c r="AQ503" s="585"/>
      <c r="AR503" s="585"/>
    </row>
    <row r="504">
      <c r="A504" s="621"/>
      <c r="B504" s="627" t="str">
        <f>IFERROR(__xludf.DUMMYFUNCTION("""COMPUTED_VALUE"""),"Feedback demo R2")</f>
        <v>Feedback demo R2</v>
      </c>
      <c r="C504" s="628"/>
      <c r="D504" s="602" t="str">
        <f>IFERROR(__xludf.DUMMYFUNCTION("""COMPUTED_VALUE"""),"BRAND")</f>
        <v>BRAND</v>
      </c>
      <c r="E504" s="624" t="str">
        <f>IFERROR(__xludf.DUMMYFUNCTION("""COMPUTED_VALUE"""),"Not start yet")</f>
        <v>Not start yet</v>
      </c>
      <c r="F504" s="609" t="str">
        <f>IFERROR(__xludf.DUMMYFUNCTION("""COMPUTED_VALUE"""),"Thứ 6. 22/ 5")</f>
        <v>Thứ 6. 22/ 5</v>
      </c>
      <c r="G504" s="638" t="str">
        <f>IFERROR(__xludf.DUMMYFUNCTION("""COMPUTED_VALUE"""),"Thứ 6. 22/ 5")</f>
        <v>Thứ 6. 22/ 5</v>
      </c>
      <c r="H504" s="585"/>
      <c r="I504" s="625"/>
      <c r="J504" s="625"/>
      <c r="K504" s="585"/>
      <c r="L504" s="585"/>
      <c r="M504" s="585"/>
      <c r="N504" s="585"/>
      <c r="O504" s="585"/>
      <c r="P504" s="585"/>
      <c r="Q504" s="585"/>
      <c r="R504" s="585"/>
      <c r="S504" s="585"/>
      <c r="T504" s="585"/>
      <c r="U504" s="585"/>
      <c r="V504" s="585"/>
      <c r="W504" s="585"/>
      <c r="X504" s="585"/>
      <c r="Y504" s="585"/>
      <c r="Z504" s="585"/>
      <c r="AA504" s="585"/>
      <c r="AB504" s="585"/>
      <c r="AC504" s="585"/>
      <c r="AD504" s="585"/>
      <c r="AE504" s="585"/>
      <c r="AF504" s="585"/>
      <c r="AG504" s="585"/>
      <c r="AH504" s="585"/>
      <c r="AI504" s="585"/>
      <c r="AJ504" s="585"/>
      <c r="AK504" s="585"/>
      <c r="AL504" s="585"/>
      <c r="AM504" s="585"/>
      <c r="AN504" s="585"/>
      <c r="AO504" s="585"/>
      <c r="AP504" s="585"/>
      <c r="AQ504" s="585"/>
      <c r="AR504" s="585"/>
    </row>
    <row r="505">
      <c r="A505" s="621"/>
      <c r="B505" s="627" t="str">
        <f>IFERROR(__xludf.DUMMYFUNCTION("""COMPUTED_VALUE"""),"Finalize demo")</f>
        <v>Finalize demo</v>
      </c>
      <c r="C505" s="628"/>
      <c r="D505" s="602" t="str">
        <f>IFERROR(__xludf.DUMMYFUNCTION("""COMPUTED_VALUE"""),"PMAX")</f>
        <v>PMAX</v>
      </c>
      <c r="E505" s="624" t="str">
        <f>IFERROR(__xludf.DUMMYFUNCTION("""COMPUTED_VALUE"""),"Not start yet")</f>
        <v>Not start yet</v>
      </c>
      <c r="F505" s="609" t="str">
        <f>IFERROR(__xludf.DUMMYFUNCTION("""COMPUTED_VALUE"""),"Thứ 6. 22/ 5")</f>
        <v>Thứ 6. 22/ 5</v>
      </c>
      <c r="G505" s="638" t="str">
        <f>IFERROR(__xludf.DUMMYFUNCTION("""COMPUTED_VALUE"""),"Thứ 6. 22/ 5")</f>
        <v>Thứ 6. 22/ 5</v>
      </c>
      <c r="H505" s="585"/>
      <c r="I505" s="629">
        <v>1.0</v>
      </c>
      <c r="J505" s="630" t="s">
        <v>888</v>
      </c>
      <c r="K505" s="585"/>
      <c r="L505" s="585"/>
      <c r="M505" s="585"/>
      <c r="N505" s="585"/>
      <c r="O505" s="585"/>
      <c r="P505" s="585"/>
      <c r="Q505" s="585"/>
      <c r="R505" s="585"/>
      <c r="S505" s="585"/>
      <c r="T505" s="585"/>
      <c r="U505" s="585"/>
      <c r="V505" s="585"/>
      <c r="W505" s="585"/>
      <c r="X505" s="585"/>
      <c r="Y505" s="585"/>
      <c r="Z505" s="585"/>
      <c r="AA505" s="585"/>
      <c r="AB505" s="585"/>
      <c r="AC505" s="585"/>
      <c r="AD505" s="585"/>
      <c r="AE505" s="585"/>
      <c r="AF505" s="585"/>
      <c r="AG505" s="585"/>
      <c r="AH505" s="585"/>
      <c r="AI505" s="585"/>
      <c r="AJ505" s="585"/>
      <c r="AK505" s="585"/>
      <c r="AL505" s="585"/>
      <c r="AM505" s="585"/>
      <c r="AN505" s="585"/>
      <c r="AO505" s="585"/>
      <c r="AP505" s="585"/>
      <c r="AQ505" s="585"/>
      <c r="AR505" s="585"/>
    </row>
    <row r="506">
      <c r="A506" s="621"/>
      <c r="B506" s="634" t="str">
        <f>IFERROR(__xludf.DUMMYFUNCTION("""COMPUTED_VALUE"""),"Air")</f>
        <v>Air</v>
      </c>
      <c r="C506" s="26"/>
      <c r="D506" s="602" t="str">
        <f>IFERROR(__xludf.DUMMYFUNCTION("""COMPUTED_VALUE"""),"PMAX")</f>
        <v>PMAX</v>
      </c>
      <c r="E506" s="624" t="str">
        <f>IFERROR(__xludf.DUMMYFUNCTION("""COMPUTED_VALUE"""),"Not start yet")</f>
        <v>Not start yet</v>
      </c>
      <c r="F506" s="609" t="str">
        <f>IFERROR(__xludf.DUMMYFUNCTION("""COMPUTED_VALUE"""),"TBU")</f>
        <v>TBU</v>
      </c>
      <c r="G506" s="638" t="str">
        <f>IFERROR(__xludf.DUMMYFUNCTION("""COMPUTED_VALUE"""),"TBU")</f>
        <v>TBU</v>
      </c>
      <c r="H506" s="585"/>
      <c r="I506" s="636">
        <v>1.0</v>
      </c>
      <c r="J506" s="585"/>
      <c r="K506" s="585"/>
      <c r="L506" s="585"/>
      <c r="M506" s="585"/>
      <c r="N506" s="585"/>
      <c r="O506" s="585"/>
      <c r="P506" s="585"/>
      <c r="Q506" s="585"/>
      <c r="R506" s="585"/>
      <c r="S506" s="585"/>
      <c r="T506" s="585"/>
      <c r="U506" s="585"/>
      <c r="V506" s="585"/>
      <c r="W506" s="585"/>
      <c r="X506" s="585"/>
      <c r="Y506" s="585"/>
      <c r="Z506" s="585"/>
      <c r="AA506" s="585"/>
      <c r="AB506" s="585"/>
      <c r="AC506" s="585"/>
      <c r="AD506" s="585"/>
      <c r="AE506" s="585"/>
      <c r="AF506" s="585"/>
      <c r="AG506" s="585"/>
      <c r="AH506" s="585"/>
      <c r="AI506" s="585"/>
      <c r="AJ506" s="585"/>
      <c r="AK506" s="585"/>
      <c r="AL506" s="585"/>
      <c r="AM506" s="585"/>
      <c r="AN506" s="585"/>
      <c r="AO506" s="585"/>
      <c r="AP506" s="585"/>
      <c r="AQ506" s="585"/>
      <c r="AR506" s="585"/>
    </row>
    <row r="507">
      <c r="A507" s="637">
        <f>IFERROR(__xludf.DUMMYFUNCTION("""COMPUTED_VALUE"""),35.0)</f>
        <v>35</v>
      </c>
      <c r="B507" s="616" t="str">
        <f>IFERROR(__xludf.DUMMYFUNCTION("""COMPUTED_VALUE"""),"Thong dong đó đây")</f>
        <v>Thong dong đó đây</v>
      </c>
      <c r="C507" s="617"/>
      <c r="D507" s="618"/>
      <c r="E507" s="619"/>
      <c r="F507" s="619"/>
      <c r="G507" s="619"/>
      <c r="H507" s="585"/>
      <c r="I507" s="585"/>
      <c r="J507" s="585"/>
      <c r="K507" s="585"/>
      <c r="L507" s="585"/>
      <c r="M507" s="585"/>
      <c r="N507" s="585"/>
      <c r="O507" s="585"/>
      <c r="P507" s="585"/>
      <c r="Q507" s="585"/>
      <c r="R507" s="585"/>
      <c r="S507" s="585"/>
      <c r="T507" s="585"/>
      <c r="U507" s="585"/>
      <c r="V507" s="585"/>
      <c r="W507" s="585"/>
      <c r="X507" s="585"/>
      <c r="Y507" s="585"/>
      <c r="Z507" s="585"/>
      <c r="AA507" s="585"/>
      <c r="AB507" s="585"/>
      <c r="AC507" s="585"/>
      <c r="AD507" s="585"/>
      <c r="AE507" s="585"/>
      <c r="AF507" s="585"/>
      <c r="AG507" s="585"/>
      <c r="AH507" s="585"/>
      <c r="AI507" s="585"/>
      <c r="AJ507" s="585"/>
      <c r="AK507" s="585"/>
      <c r="AL507" s="585"/>
      <c r="AM507" s="585"/>
      <c r="AN507" s="585"/>
      <c r="AO507" s="585"/>
      <c r="AP507" s="585"/>
      <c r="AQ507" s="585"/>
      <c r="AR507" s="585"/>
    </row>
    <row r="508">
      <c r="A508" s="621"/>
      <c r="B508" s="622" t="str">
        <f>IFERROR(__xludf.DUMMYFUNCTION("""COMPUTED_VALUE"""),"Briefing cho Influencer")</f>
        <v>Briefing cho Influencer</v>
      </c>
      <c r="C508" s="623"/>
      <c r="D508" s="602" t="str">
        <f>IFERROR(__xludf.DUMMYFUNCTION("""COMPUTED_VALUE"""),"PMAX")</f>
        <v>PMAX</v>
      </c>
      <c r="E508" s="624" t="str">
        <f>IFERROR(__xludf.DUMMYFUNCTION("""COMPUTED_VALUE"""),"Done")</f>
        <v>Done</v>
      </c>
      <c r="F508" s="604">
        <f>IFERROR(__xludf.DUMMYFUNCTION("""COMPUTED_VALUE"""),46147.0)</f>
        <v>46147</v>
      </c>
      <c r="G508" s="639">
        <f>IFERROR(__xludf.DUMMYFUNCTION("""COMPUTED_VALUE"""),46148.0)</f>
        <v>46148</v>
      </c>
      <c r="H508" s="585"/>
      <c r="I508" s="625"/>
      <c r="J508" s="626" t="s">
        <v>882</v>
      </c>
      <c r="K508" s="585"/>
      <c r="L508" s="585"/>
      <c r="M508" s="585"/>
      <c r="N508" s="585"/>
      <c r="O508" s="585"/>
      <c r="P508" s="585"/>
      <c r="Q508" s="585"/>
      <c r="R508" s="585"/>
      <c r="S508" s="585"/>
      <c r="T508" s="585"/>
      <c r="U508" s="585"/>
      <c r="V508" s="585"/>
      <c r="W508" s="585"/>
      <c r="X508" s="585"/>
      <c r="Y508" s="585"/>
      <c r="Z508" s="585"/>
      <c r="AA508" s="585"/>
      <c r="AB508" s="585"/>
      <c r="AC508" s="585"/>
      <c r="AD508" s="585"/>
      <c r="AE508" s="585"/>
      <c r="AF508" s="585"/>
      <c r="AG508" s="585"/>
      <c r="AH508" s="585"/>
      <c r="AI508" s="585"/>
      <c r="AJ508" s="585"/>
      <c r="AK508" s="585"/>
      <c r="AL508" s="585"/>
      <c r="AM508" s="585"/>
      <c r="AN508" s="585"/>
      <c r="AO508" s="585"/>
      <c r="AP508" s="585"/>
      <c r="AQ508" s="585"/>
      <c r="AR508" s="585"/>
    </row>
    <row r="509">
      <c r="A509" s="621"/>
      <c r="B509" s="627" t="str">
        <f>IFERROR(__xludf.DUMMYFUNCTION("""COMPUTED_VALUE"""),"Script R1 + Outfits")</f>
        <v>Script R1 + Outfits</v>
      </c>
      <c r="C509" s="628"/>
      <c r="D509" s="602" t="str">
        <f>IFERROR(__xludf.DUMMYFUNCTION("""COMPUTED_VALUE"""),"PMAX")</f>
        <v>PMAX</v>
      </c>
      <c r="E509" s="624" t="str">
        <f>IFERROR(__xludf.DUMMYFUNCTION("""COMPUTED_VALUE"""),"Done")</f>
        <v>Done</v>
      </c>
      <c r="F509" s="604">
        <f>IFERROR(__xludf.DUMMYFUNCTION("""COMPUTED_VALUE"""),46151.0)</f>
        <v>46151</v>
      </c>
      <c r="G509" s="639">
        <f>IFERROR(__xludf.DUMMYFUNCTION("""COMPUTED_VALUE"""),46151.0)</f>
        <v>46151</v>
      </c>
      <c r="H509" s="585"/>
      <c r="I509" s="629">
        <v>1.0</v>
      </c>
      <c r="J509" s="630" t="s">
        <v>883</v>
      </c>
      <c r="K509" s="585"/>
      <c r="L509" s="585"/>
      <c r="M509" s="585"/>
      <c r="N509" s="585"/>
      <c r="O509" s="585"/>
      <c r="P509" s="585"/>
      <c r="Q509" s="585"/>
      <c r="R509" s="585"/>
      <c r="S509" s="585"/>
      <c r="T509" s="585"/>
      <c r="U509" s="585"/>
      <c r="V509" s="585"/>
      <c r="W509" s="585"/>
      <c r="X509" s="585"/>
      <c r="Y509" s="585"/>
      <c r="Z509" s="585"/>
      <c r="AA509" s="585"/>
      <c r="AB509" s="585"/>
      <c r="AC509" s="585"/>
      <c r="AD509" s="585"/>
      <c r="AE509" s="585"/>
      <c r="AF509" s="585"/>
      <c r="AG509" s="585"/>
      <c r="AH509" s="585"/>
      <c r="AI509" s="585"/>
      <c r="AJ509" s="585"/>
      <c r="AK509" s="585"/>
      <c r="AL509" s="585"/>
      <c r="AM509" s="585"/>
      <c r="AN509" s="585"/>
      <c r="AO509" s="585"/>
      <c r="AP509" s="585"/>
      <c r="AQ509" s="585"/>
      <c r="AR509" s="585"/>
    </row>
    <row r="510">
      <c r="A510" s="621"/>
      <c r="B510" s="627" t="str">
        <f>IFERROR(__xludf.DUMMYFUNCTION("""COMPUTED_VALUE"""),"Feedback Script R1 + outfits")</f>
        <v>Feedback Script R1 + outfits</v>
      </c>
      <c r="C510" s="628"/>
      <c r="D510" s="602" t="str">
        <f>IFERROR(__xludf.DUMMYFUNCTION("""COMPUTED_VALUE"""),"BRAND")</f>
        <v>BRAND</v>
      </c>
      <c r="E510" s="624" t="str">
        <f>IFERROR(__xludf.DUMMYFUNCTION("""COMPUTED_VALUE"""),"Not start yet")</f>
        <v>Not start yet</v>
      </c>
      <c r="F510" s="604">
        <f>IFERROR(__xludf.DUMMYFUNCTION("""COMPUTED_VALUE"""),46153.0)</f>
        <v>46153</v>
      </c>
      <c r="G510" s="639">
        <f>IFERROR(__xludf.DUMMYFUNCTION("""COMPUTED_VALUE"""),46153.0)</f>
        <v>46153</v>
      </c>
      <c r="H510" s="585"/>
      <c r="I510" s="625"/>
      <c r="J510" s="630" t="s">
        <v>884</v>
      </c>
      <c r="K510" s="585"/>
      <c r="L510" s="585"/>
      <c r="M510" s="585"/>
      <c r="N510" s="585"/>
      <c r="O510" s="585"/>
      <c r="P510" s="585"/>
      <c r="Q510" s="585"/>
      <c r="R510" s="585"/>
      <c r="S510" s="585"/>
      <c r="T510" s="585"/>
      <c r="U510" s="585"/>
      <c r="V510" s="585"/>
      <c r="W510" s="585"/>
      <c r="X510" s="585"/>
      <c r="Y510" s="585"/>
      <c r="Z510" s="585"/>
      <c r="AA510" s="585"/>
      <c r="AB510" s="585"/>
      <c r="AC510" s="585"/>
      <c r="AD510" s="585"/>
      <c r="AE510" s="585"/>
      <c r="AF510" s="585"/>
      <c r="AG510" s="585"/>
      <c r="AH510" s="585"/>
      <c r="AI510" s="585"/>
      <c r="AJ510" s="585"/>
      <c r="AK510" s="585"/>
      <c r="AL510" s="585"/>
      <c r="AM510" s="585"/>
      <c r="AN510" s="585"/>
      <c r="AO510" s="585"/>
      <c r="AP510" s="585"/>
      <c r="AQ510" s="585"/>
      <c r="AR510" s="585"/>
    </row>
    <row r="511">
      <c r="A511" s="621"/>
      <c r="B511" s="631" t="str">
        <f>IFERROR(__xludf.DUMMYFUNCTION("""COMPUTED_VALUE"""),"Script R2")</f>
        <v>Script R2</v>
      </c>
      <c r="C511" s="628"/>
      <c r="D511" s="632" t="str">
        <f>IFERROR(__xludf.DUMMYFUNCTION("""COMPUTED_VALUE"""),"PMAX")</f>
        <v>PMAX</v>
      </c>
      <c r="E511" s="624" t="str">
        <f>IFERROR(__xludf.DUMMYFUNCTION("""COMPUTED_VALUE"""),"Not start yet")</f>
        <v>Not start yet</v>
      </c>
      <c r="F511" s="604">
        <f>IFERROR(__xludf.DUMMYFUNCTION("""COMPUTED_VALUE"""),46153.0)</f>
        <v>46153</v>
      </c>
      <c r="G511" s="639">
        <f>IFERROR(__xludf.DUMMYFUNCTION("""COMPUTED_VALUE"""),46153.0)</f>
        <v>46153</v>
      </c>
      <c r="H511" s="585"/>
      <c r="I511" s="625"/>
      <c r="J511" s="630"/>
      <c r="K511" s="585"/>
      <c r="L511" s="585"/>
      <c r="M511" s="585"/>
      <c r="N511" s="585"/>
      <c r="O511" s="585"/>
      <c r="P511" s="585"/>
      <c r="Q511" s="585"/>
      <c r="R511" s="585"/>
      <c r="S511" s="585"/>
      <c r="T511" s="585"/>
      <c r="U511" s="585"/>
      <c r="V511" s="585"/>
      <c r="W511" s="585"/>
      <c r="X511" s="585"/>
      <c r="Y511" s="585"/>
      <c r="Z511" s="585"/>
      <c r="AA511" s="585"/>
      <c r="AB511" s="585"/>
      <c r="AC511" s="585"/>
      <c r="AD511" s="585"/>
      <c r="AE511" s="585"/>
      <c r="AF511" s="585"/>
      <c r="AG511" s="585"/>
      <c r="AH511" s="585"/>
      <c r="AI511" s="585"/>
      <c r="AJ511" s="585"/>
      <c r="AK511" s="585"/>
      <c r="AL511" s="585"/>
      <c r="AM511" s="585"/>
      <c r="AN511" s="585"/>
      <c r="AO511" s="585"/>
      <c r="AP511" s="585"/>
      <c r="AQ511" s="585"/>
      <c r="AR511" s="585"/>
    </row>
    <row r="512">
      <c r="A512" s="621"/>
      <c r="B512" s="631" t="str">
        <f>IFERROR(__xludf.DUMMYFUNCTION("""COMPUTED_VALUE"""),"Feedback Script R2")</f>
        <v>Feedback Script R2</v>
      </c>
      <c r="C512" s="628"/>
      <c r="D512" s="632" t="str">
        <f>IFERROR(__xludf.DUMMYFUNCTION("""COMPUTED_VALUE"""),"BRAND")</f>
        <v>BRAND</v>
      </c>
      <c r="E512" s="624" t="str">
        <f>IFERROR(__xludf.DUMMYFUNCTION("""COMPUTED_VALUE"""),"Not start yet")</f>
        <v>Not start yet</v>
      </c>
      <c r="F512" s="604">
        <f>IFERROR(__xludf.DUMMYFUNCTION("""COMPUTED_VALUE"""),46153.0)</f>
        <v>46153</v>
      </c>
      <c r="G512" s="639">
        <f>IFERROR(__xludf.DUMMYFUNCTION("""COMPUTED_VALUE"""),46153.0)</f>
        <v>46153</v>
      </c>
      <c r="H512" s="585"/>
      <c r="I512" s="625"/>
      <c r="J512" s="630"/>
      <c r="K512" s="585"/>
      <c r="L512" s="585"/>
      <c r="M512" s="585"/>
      <c r="N512" s="585"/>
      <c r="O512" s="585"/>
      <c r="P512" s="585"/>
      <c r="Q512" s="585"/>
      <c r="R512" s="585"/>
      <c r="S512" s="585"/>
      <c r="T512" s="585"/>
      <c r="U512" s="585"/>
      <c r="V512" s="585"/>
      <c r="W512" s="585"/>
      <c r="X512" s="585"/>
      <c r="Y512" s="585"/>
      <c r="Z512" s="585"/>
      <c r="AA512" s="585"/>
      <c r="AB512" s="585"/>
      <c r="AC512" s="585"/>
      <c r="AD512" s="585"/>
      <c r="AE512" s="585"/>
      <c r="AF512" s="585"/>
      <c r="AG512" s="585"/>
      <c r="AH512" s="585"/>
      <c r="AI512" s="585"/>
      <c r="AJ512" s="585"/>
      <c r="AK512" s="585"/>
      <c r="AL512" s="585"/>
      <c r="AM512" s="585"/>
      <c r="AN512" s="585"/>
      <c r="AO512" s="585"/>
      <c r="AP512" s="585"/>
      <c r="AQ512" s="585"/>
      <c r="AR512" s="585"/>
    </row>
    <row r="513">
      <c r="A513" s="621"/>
      <c r="B513" s="627" t="str">
        <f>IFERROR(__xludf.DUMMYFUNCTION("""COMPUTED_VALUE"""),"Finalize scripts + outfits")</f>
        <v>Finalize scripts + outfits</v>
      </c>
      <c r="C513" s="628"/>
      <c r="D513" s="602" t="str">
        <f>IFERROR(__xludf.DUMMYFUNCTION("""COMPUTED_VALUE"""),"PMAX-BRAND")</f>
        <v>PMAX-BRAND</v>
      </c>
      <c r="E513" s="624" t="str">
        <f>IFERROR(__xludf.DUMMYFUNCTION("""COMPUTED_VALUE"""),"Not start yet")</f>
        <v>Not start yet</v>
      </c>
      <c r="F513" s="604">
        <f>IFERROR(__xludf.DUMMYFUNCTION("""COMPUTED_VALUE"""),46153.0)</f>
        <v>46153</v>
      </c>
      <c r="G513" s="639">
        <f>IFERROR(__xludf.DUMMYFUNCTION("""COMPUTED_VALUE"""),46153.0)</f>
        <v>46153</v>
      </c>
      <c r="H513" s="585"/>
      <c r="I513" s="629">
        <v>1.0</v>
      </c>
      <c r="J513" s="630" t="s">
        <v>885</v>
      </c>
      <c r="K513" s="585"/>
      <c r="L513" s="585"/>
      <c r="M513" s="585"/>
      <c r="N513" s="585"/>
      <c r="O513" s="585"/>
      <c r="P513" s="585"/>
      <c r="Q513" s="585"/>
      <c r="R513" s="585"/>
      <c r="S513" s="585"/>
      <c r="T513" s="585"/>
      <c r="U513" s="585"/>
      <c r="V513" s="585"/>
      <c r="W513" s="585"/>
      <c r="X513" s="585"/>
      <c r="Y513" s="585"/>
      <c r="Z513" s="585"/>
      <c r="AA513" s="585"/>
      <c r="AB513" s="585"/>
      <c r="AC513" s="585"/>
      <c r="AD513" s="585"/>
      <c r="AE513" s="585"/>
      <c r="AF513" s="585"/>
      <c r="AG513" s="585"/>
      <c r="AH513" s="585"/>
      <c r="AI513" s="585"/>
      <c r="AJ513" s="585"/>
      <c r="AK513" s="585"/>
      <c r="AL513" s="585"/>
      <c r="AM513" s="585"/>
      <c r="AN513" s="585"/>
      <c r="AO513" s="585"/>
      <c r="AP513" s="585"/>
      <c r="AQ513" s="585"/>
      <c r="AR513" s="585"/>
    </row>
    <row r="514">
      <c r="A514" s="621"/>
      <c r="B514" s="627" t="str">
        <f>IFERROR(__xludf.DUMMYFUNCTION("""COMPUTED_VALUE"""),"Đi quay tại site")</f>
        <v>Đi quay tại site</v>
      </c>
      <c r="C514" s="628"/>
      <c r="D514" s="602" t="str">
        <f>IFERROR(__xludf.DUMMYFUNCTION("""COMPUTED_VALUE"""),"PMAX")</f>
        <v>PMAX</v>
      </c>
      <c r="E514" s="624" t="str">
        <f>IFERROR(__xludf.DUMMYFUNCTION("""COMPUTED_VALUE"""),"Not start yet")</f>
        <v>Not start yet</v>
      </c>
      <c r="F514" s="604">
        <f>IFERROR(__xludf.DUMMYFUNCTION("""COMPUTED_VALUE"""),46154.0)</f>
        <v>46154</v>
      </c>
      <c r="G514" s="639">
        <f>IFERROR(__xludf.DUMMYFUNCTION("""COMPUTED_VALUE"""),46154.0)</f>
        <v>46154</v>
      </c>
      <c r="H514" s="585"/>
      <c r="I514" s="629">
        <v>2.0</v>
      </c>
      <c r="J514" s="625"/>
      <c r="K514" s="585"/>
      <c r="L514" s="585"/>
      <c r="M514" s="585"/>
      <c r="N514" s="585"/>
      <c r="O514" s="585"/>
      <c r="P514" s="585"/>
      <c r="Q514" s="585"/>
      <c r="R514" s="585"/>
      <c r="S514" s="585"/>
      <c r="T514" s="585"/>
      <c r="U514" s="585"/>
      <c r="V514" s="585"/>
      <c r="W514" s="585"/>
      <c r="X514" s="585"/>
      <c r="Y514" s="585"/>
      <c r="Z514" s="585"/>
      <c r="AA514" s="585"/>
      <c r="AB514" s="585"/>
      <c r="AC514" s="585"/>
      <c r="AD514" s="585"/>
      <c r="AE514" s="585"/>
      <c r="AF514" s="585"/>
      <c r="AG514" s="585"/>
      <c r="AH514" s="585"/>
      <c r="AI514" s="585"/>
      <c r="AJ514" s="585"/>
      <c r="AK514" s="585"/>
      <c r="AL514" s="585"/>
      <c r="AM514" s="585"/>
      <c r="AN514" s="585"/>
      <c r="AO514" s="585"/>
      <c r="AP514" s="585"/>
      <c r="AQ514" s="585"/>
      <c r="AR514" s="585"/>
    </row>
    <row r="515">
      <c r="A515" s="621"/>
      <c r="B515" s="633" t="str">
        <f>IFERROR(__xludf.DUMMYFUNCTION("""COMPUTED_VALUE"""),"Demo R1")</f>
        <v>Demo R1</v>
      </c>
      <c r="C515" s="628"/>
      <c r="D515" s="602" t="str">
        <f>IFERROR(__xludf.DUMMYFUNCTION("""COMPUTED_VALUE"""),"PMAX")</f>
        <v>PMAX</v>
      </c>
      <c r="E515" s="624" t="str">
        <f>IFERROR(__xludf.DUMMYFUNCTION("""COMPUTED_VALUE"""),"Not start yet")</f>
        <v>Not start yet</v>
      </c>
      <c r="F515" s="604">
        <f>IFERROR(__xludf.DUMMYFUNCTION("""COMPUTED_VALUE"""),46161.0)</f>
        <v>46161</v>
      </c>
      <c r="G515" s="639">
        <f>IFERROR(__xludf.DUMMYFUNCTION("""COMPUTED_VALUE"""),46161.0)</f>
        <v>46161</v>
      </c>
      <c r="H515" s="585"/>
      <c r="I515" s="629">
        <v>4.0</v>
      </c>
      <c r="J515" s="630" t="s">
        <v>886</v>
      </c>
      <c r="K515" s="585"/>
      <c r="L515" s="585"/>
      <c r="M515" s="585"/>
      <c r="N515" s="585"/>
      <c r="O515" s="585"/>
      <c r="P515" s="585"/>
      <c r="Q515" s="585"/>
      <c r="R515" s="585"/>
      <c r="S515" s="585"/>
      <c r="T515" s="585"/>
      <c r="U515" s="585"/>
      <c r="V515" s="585"/>
      <c r="W515" s="585"/>
      <c r="X515" s="585"/>
      <c r="Y515" s="585"/>
      <c r="Z515" s="585"/>
      <c r="AA515" s="585"/>
      <c r="AB515" s="585"/>
      <c r="AC515" s="585"/>
      <c r="AD515" s="585"/>
      <c r="AE515" s="585"/>
      <c r="AF515" s="585"/>
      <c r="AG515" s="585"/>
      <c r="AH515" s="585"/>
      <c r="AI515" s="585"/>
      <c r="AJ515" s="585"/>
      <c r="AK515" s="585"/>
      <c r="AL515" s="585"/>
      <c r="AM515" s="585"/>
      <c r="AN515" s="585"/>
      <c r="AO515" s="585"/>
      <c r="AP515" s="585"/>
      <c r="AQ515" s="585"/>
      <c r="AR515" s="585"/>
    </row>
    <row r="516">
      <c r="A516" s="621"/>
      <c r="B516" s="627" t="str">
        <f>IFERROR(__xludf.DUMMYFUNCTION("""COMPUTED_VALUE"""),"Feedback demo R1")</f>
        <v>Feedback demo R1</v>
      </c>
      <c r="C516" s="628"/>
      <c r="D516" s="602" t="str">
        <f>IFERROR(__xludf.DUMMYFUNCTION("""COMPUTED_VALUE"""),"BRAND")</f>
        <v>BRAND</v>
      </c>
      <c r="E516" s="624" t="str">
        <f>IFERROR(__xludf.DUMMYFUNCTION("""COMPUTED_VALUE"""),"Not start yet")</f>
        <v>Not start yet</v>
      </c>
      <c r="F516" s="604">
        <f>IFERROR(__xludf.DUMMYFUNCTION("""COMPUTED_VALUE"""),46162.0)</f>
        <v>46162</v>
      </c>
      <c r="G516" s="639">
        <f>IFERROR(__xludf.DUMMYFUNCTION("""COMPUTED_VALUE"""),46162.0)</f>
        <v>46162</v>
      </c>
      <c r="H516" s="585"/>
      <c r="I516" s="625"/>
      <c r="J516" s="630" t="s">
        <v>887</v>
      </c>
      <c r="K516" s="585"/>
      <c r="L516" s="585"/>
      <c r="M516" s="585"/>
      <c r="N516" s="585"/>
      <c r="O516" s="585"/>
      <c r="P516" s="585"/>
      <c r="Q516" s="585"/>
      <c r="R516" s="585"/>
      <c r="S516" s="585"/>
      <c r="T516" s="585"/>
      <c r="U516" s="585"/>
      <c r="V516" s="585"/>
      <c r="W516" s="585"/>
      <c r="X516" s="585"/>
      <c r="Y516" s="585"/>
      <c r="Z516" s="585"/>
      <c r="AA516" s="585"/>
      <c r="AB516" s="585"/>
      <c r="AC516" s="585"/>
      <c r="AD516" s="585"/>
      <c r="AE516" s="585"/>
      <c r="AF516" s="585"/>
      <c r="AG516" s="585"/>
      <c r="AH516" s="585"/>
      <c r="AI516" s="585"/>
      <c r="AJ516" s="585"/>
      <c r="AK516" s="585"/>
      <c r="AL516" s="585"/>
      <c r="AM516" s="585"/>
      <c r="AN516" s="585"/>
      <c r="AO516" s="585"/>
      <c r="AP516" s="585"/>
      <c r="AQ516" s="585"/>
      <c r="AR516" s="585"/>
    </row>
    <row r="517">
      <c r="A517" s="621"/>
      <c r="B517" s="633" t="str">
        <f>IFERROR(__xludf.DUMMYFUNCTION("""COMPUTED_VALUE"""),"Demo R2")</f>
        <v>Demo R2</v>
      </c>
      <c r="C517" s="628"/>
      <c r="D517" s="602" t="str">
        <f>IFERROR(__xludf.DUMMYFUNCTION("""COMPUTED_VALUE"""),"PMAX")</f>
        <v>PMAX</v>
      </c>
      <c r="E517" s="624" t="str">
        <f>IFERROR(__xludf.DUMMYFUNCTION("""COMPUTED_VALUE"""),"Not start yet")</f>
        <v>Not start yet</v>
      </c>
      <c r="F517" s="604">
        <f>IFERROR(__xludf.DUMMYFUNCTION("""COMPUTED_VALUE"""),46164.0)</f>
        <v>46164</v>
      </c>
      <c r="G517" s="639">
        <f>IFERROR(__xludf.DUMMYFUNCTION("""COMPUTED_VALUE"""),46164.0)</f>
        <v>46164</v>
      </c>
      <c r="H517" s="585"/>
      <c r="I517" s="625"/>
      <c r="J517" s="625"/>
      <c r="K517" s="585"/>
      <c r="L517" s="585"/>
      <c r="M517" s="585"/>
      <c r="N517" s="585"/>
      <c r="O517" s="585"/>
      <c r="P517" s="585"/>
      <c r="Q517" s="585"/>
      <c r="R517" s="585"/>
      <c r="S517" s="585"/>
      <c r="T517" s="585"/>
      <c r="U517" s="585"/>
      <c r="V517" s="585"/>
      <c r="W517" s="585"/>
      <c r="X517" s="585"/>
      <c r="Y517" s="585"/>
      <c r="Z517" s="585"/>
      <c r="AA517" s="585"/>
      <c r="AB517" s="585"/>
      <c r="AC517" s="585"/>
      <c r="AD517" s="585"/>
      <c r="AE517" s="585"/>
      <c r="AF517" s="585"/>
      <c r="AG517" s="585"/>
      <c r="AH517" s="585"/>
      <c r="AI517" s="585"/>
      <c r="AJ517" s="585"/>
      <c r="AK517" s="585"/>
      <c r="AL517" s="585"/>
      <c r="AM517" s="585"/>
      <c r="AN517" s="585"/>
      <c r="AO517" s="585"/>
      <c r="AP517" s="585"/>
      <c r="AQ517" s="585"/>
      <c r="AR517" s="585"/>
    </row>
    <row r="518">
      <c r="A518" s="621"/>
      <c r="B518" s="627" t="str">
        <f>IFERROR(__xludf.DUMMYFUNCTION("""COMPUTED_VALUE"""),"Feedback demo R2")</f>
        <v>Feedback demo R2</v>
      </c>
      <c r="C518" s="628"/>
      <c r="D518" s="602" t="str">
        <f>IFERROR(__xludf.DUMMYFUNCTION("""COMPUTED_VALUE"""),"BRAND")</f>
        <v>BRAND</v>
      </c>
      <c r="E518" s="624" t="str">
        <f>IFERROR(__xludf.DUMMYFUNCTION("""COMPUTED_VALUE"""),"Not start yet")</f>
        <v>Not start yet</v>
      </c>
      <c r="F518" s="604">
        <f>IFERROR(__xludf.DUMMYFUNCTION("""COMPUTED_VALUE"""),46167.0)</f>
        <v>46167</v>
      </c>
      <c r="G518" s="639">
        <f>IFERROR(__xludf.DUMMYFUNCTION("""COMPUTED_VALUE"""),46167.0)</f>
        <v>46167</v>
      </c>
      <c r="H518" s="585"/>
      <c r="I518" s="625"/>
      <c r="J518" s="625"/>
      <c r="K518" s="585"/>
      <c r="L518" s="585"/>
      <c r="M518" s="585"/>
      <c r="N518" s="585"/>
      <c r="O518" s="585"/>
      <c r="P518" s="585"/>
      <c r="Q518" s="585"/>
      <c r="R518" s="585"/>
      <c r="S518" s="585"/>
      <c r="T518" s="585"/>
      <c r="U518" s="585"/>
      <c r="V518" s="585"/>
      <c r="W518" s="585"/>
      <c r="X518" s="585"/>
      <c r="Y518" s="585"/>
      <c r="Z518" s="585"/>
      <c r="AA518" s="585"/>
      <c r="AB518" s="585"/>
      <c r="AC518" s="585"/>
      <c r="AD518" s="585"/>
      <c r="AE518" s="585"/>
      <c r="AF518" s="585"/>
      <c r="AG518" s="585"/>
      <c r="AH518" s="585"/>
      <c r="AI518" s="585"/>
      <c r="AJ518" s="585"/>
      <c r="AK518" s="585"/>
      <c r="AL518" s="585"/>
      <c r="AM518" s="585"/>
      <c r="AN518" s="585"/>
      <c r="AO518" s="585"/>
      <c r="AP518" s="585"/>
      <c r="AQ518" s="585"/>
      <c r="AR518" s="585"/>
    </row>
    <row r="519">
      <c r="A519" s="621"/>
      <c r="B519" s="627" t="str">
        <f>IFERROR(__xludf.DUMMYFUNCTION("""COMPUTED_VALUE"""),"Finalize demo")</f>
        <v>Finalize demo</v>
      </c>
      <c r="C519" s="628"/>
      <c r="D519" s="602" t="str">
        <f>IFERROR(__xludf.DUMMYFUNCTION("""COMPUTED_VALUE"""),"PMAX")</f>
        <v>PMAX</v>
      </c>
      <c r="E519" s="624" t="str">
        <f>IFERROR(__xludf.DUMMYFUNCTION("""COMPUTED_VALUE"""),"Not start yet")</f>
        <v>Not start yet</v>
      </c>
      <c r="F519" s="604">
        <f>IFERROR(__xludf.DUMMYFUNCTION("""COMPUTED_VALUE"""),46168.0)</f>
        <v>46168</v>
      </c>
      <c r="G519" s="639">
        <f>IFERROR(__xludf.DUMMYFUNCTION("""COMPUTED_VALUE"""),46168.0)</f>
        <v>46168</v>
      </c>
      <c r="H519" s="585"/>
      <c r="I519" s="629">
        <v>1.0</v>
      </c>
      <c r="J519" s="630" t="s">
        <v>888</v>
      </c>
      <c r="K519" s="585"/>
      <c r="L519" s="585"/>
      <c r="M519" s="585"/>
      <c r="N519" s="585"/>
      <c r="O519" s="585"/>
      <c r="P519" s="585"/>
      <c r="Q519" s="585"/>
      <c r="R519" s="585"/>
      <c r="S519" s="585"/>
      <c r="T519" s="585"/>
      <c r="U519" s="585"/>
      <c r="V519" s="585"/>
      <c r="W519" s="585"/>
      <c r="X519" s="585"/>
      <c r="Y519" s="585"/>
      <c r="Z519" s="585"/>
      <c r="AA519" s="585"/>
      <c r="AB519" s="585"/>
      <c r="AC519" s="585"/>
      <c r="AD519" s="585"/>
      <c r="AE519" s="585"/>
      <c r="AF519" s="585"/>
      <c r="AG519" s="585"/>
      <c r="AH519" s="585"/>
      <c r="AI519" s="585"/>
      <c r="AJ519" s="585"/>
      <c r="AK519" s="585"/>
      <c r="AL519" s="585"/>
      <c r="AM519" s="585"/>
      <c r="AN519" s="585"/>
      <c r="AO519" s="585"/>
      <c r="AP519" s="585"/>
      <c r="AQ519" s="585"/>
      <c r="AR519" s="585"/>
    </row>
    <row r="520">
      <c r="A520" s="621"/>
      <c r="B520" s="634" t="str">
        <f>IFERROR(__xludf.DUMMYFUNCTION("""COMPUTED_VALUE"""),"Air")</f>
        <v>Air</v>
      </c>
      <c r="C520" s="26"/>
      <c r="D520" s="602" t="str">
        <f>IFERROR(__xludf.DUMMYFUNCTION("""COMPUTED_VALUE"""),"PMAX")</f>
        <v>PMAX</v>
      </c>
      <c r="E520" s="624" t="str">
        <f>IFERROR(__xludf.DUMMYFUNCTION("""COMPUTED_VALUE"""),"Not start yet")</f>
        <v>Not start yet</v>
      </c>
      <c r="F520" s="604" t="str">
        <f>IFERROR(__xludf.DUMMYFUNCTION("""COMPUTED_VALUE"""),"TBU")</f>
        <v>TBU</v>
      </c>
      <c r="G520" s="639" t="str">
        <f>IFERROR(__xludf.DUMMYFUNCTION("""COMPUTED_VALUE"""),"TBU")</f>
        <v>TBU</v>
      </c>
      <c r="H520" s="585"/>
      <c r="I520" s="636">
        <v>1.0</v>
      </c>
      <c r="J520" s="585"/>
      <c r="K520" s="585"/>
      <c r="L520" s="585"/>
      <c r="M520" s="585"/>
      <c r="N520" s="585"/>
      <c r="O520" s="585"/>
      <c r="P520" s="585"/>
      <c r="Q520" s="585"/>
      <c r="R520" s="585"/>
      <c r="S520" s="585"/>
      <c r="T520" s="585"/>
      <c r="U520" s="585"/>
      <c r="V520" s="585"/>
      <c r="W520" s="585"/>
      <c r="X520" s="585"/>
      <c r="Y520" s="585"/>
      <c r="Z520" s="585"/>
      <c r="AA520" s="585"/>
      <c r="AB520" s="585"/>
      <c r="AC520" s="585"/>
      <c r="AD520" s="585"/>
      <c r="AE520" s="585"/>
      <c r="AF520" s="585"/>
      <c r="AG520" s="585"/>
      <c r="AH520" s="585"/>
      <c r="AI520" s="585"/>
      <c r="AJ520" s="585"/>
      <c r="AK520" s="585"/>
      <c r="AL520" s="585"/>
      <c r="AM520" s="585"/>
      <c r="AN520" s="585"/>
      <c r="AO520" s="585"/>
      <c r="AP520" s="585"/>
      <c r="AQ520" s="585"/>
      <c r="AR520" s="585"/>
    </row>
    <row r="521">
      <c r="A521" s="637">
        <f>IFERROR(__xludf.DUMMYFUNCTION("""COMPUTED_VALUE"""),36.0)</f>
        <v>36</v>
      </c>
      <c r="B521" s="616" t="str">
        <f>IFERROR(__xludf.DUMMYFUNCTION("""COMPUTED_VALUE"""),"SÀI GÒN MAP")</f>
        <v>SÀI GÒN MAP</v>
      </c>
      <c r="C521" s="617"/>
      <c r="D521" s="618"/>
      <c r="E521" s="619"/>
      <c r="F521" s="619"/>
      <c r="G521" s="619"/>
      <c r="H521" s="585"/>
      <c r="I521" s="585"/>
      <c r="J521" s="585"/>
      <c r="K521" s="585"/>
      <c r="L521" s="585"/>
      <c r="M521" s="585"/>
      <c r="N521" s="585"/>
      <c r="O521" s="585"/>
      <c r="P521" s="585"/>
      <c r="Q521" s="585"/>
      <c r="R521" s="585"/>
      <c r="S521" s="585"/>
      <c r="T521" s="585"/>
      <c r="U521" s="585"/>
      <c r="V521" s="585"/>
      <c r="W521" s="585"/>
      <c r="X521" s="585"/>
      <c r="Y521" s="585"/>
      <c r="Z521" s="585"/>
      <c r="AA521" s="585"/>
      <c r="AB521" s="585"/>
      <c r="AC521" s="585"/>
      <c r="AD521" s="585"/>
      <c r="AE521" s="585"/>
      <c r="AF521" s="585"/>
      <c r="AG521" s="585"/>
      <c r="AH521" s="585"/>
      <c r="AI521" s="585"/>
      <c r="AJ521" s="585"/>
      <c r="AK521" s="585"/>
      <c r="AL521" s="585"/>
      <c r="AM521" s="585"/>
      <c r="AN521" s="585"/>
      <c r="AO521" s="585"/>
      <c r="AP521" s="585"/>
      <c r="AQ521" s="585"/>
      <c r="AR521" s="585"/>
    </row>
    <row r="522">
      <c r="A522" s="621"/>
      <c r="B522" s="622" t="str">
        <f>IFERROR(__xludf.DUMMYFUNCTION("""COMPUTED_VALUE"""),"Briefing cho Influencer")</f>
        <v>Briefing cho Influencer</v>
      </c>
      <c r="C522" s="623"/>
      <c r="D522" s="602" t="str">
        <f>IFERROR(__xludf.DUMMYFUNCTION("""COMPUTED_VALUE"""),"PMAX")</f>
        <v>PMAX</v>
      </c>
      <c r="E522" s="624" t="str">
        <f>IFERROR(__xludf.DUMMYFUNCTION("""COMPUTED_VALUE"""),"Done")</f>
        <v>Done</v>
      </c>
      <c r="F522" s="609" t="str">
        <f>IFERROR(__xludf.DUMMYFUNCTION("""COMPUTED_VALUE"""),"Thứ 3. 5/ 5")</f>
        <v>Thứ 3. 5/ 5</v>
      </c>
      <c r="G522" s="609" t="str">
        <f>IFERROR(__xludf.DUMMYFUNCTION("""COMPUTED_VALUE"""),"Thứ 4. 6/ 5")</f>
        <v>Thứ 4. 6/ 5</v>
      </c>
      <c r="H522" s="585"/>
      <c r="I522" s="625"/>
      <c r="J522" s="626" t="s">
        <v>882</v>
      </c>
      <c r="K522" s="585"/>
      <c r="L522" s="585"/>
      <c r="M522" s="585"/>
      <c r="N522" s="585"/>
      <c r="O522" s="585"/>
      <c r="P522" s="585"/>
      <c r="Q522" s="585"/>
      <c r="R522" s="585"/>
      <c r="S522" s="585"/>
      <c r="T522" s="585"/>
      <c r="U522" s="585"/>
      <c r="V522" s="585"/>
      <c r="W522" s="585"/>
      <c r="X522" s="585"/>
      <c r="Y522" s="585"/>
      <c r="Z522" s="585"/>
      <c r="AA522" s="585"/>
      <c r="AB522" s="585"/>
      <c r="AC522" s="585"/>
      <c r="AD522" s="585"/>
      <c r="AE522" s="585"/>
      <c r="AF522" s="585"/>
      <c r="AG522" s="585"/>
      <c r="AH522" s="585"/>
      <c r="AI522" s="585"/>
      <c r="AJ522" s="585"/>
      <c r="AK522" s="585"/>
      <c r="AL522" s="585"/>
      <c r="AM522" s="585"/>
      <c r="AN522" s="585"/>
      <c r="AO522" s="585"/>
      <c r="AP522" s="585"/>
      <c r="AQ522" s="585"/>
      <c r="AR522" s="585"/>
    </row>
    <row r="523">
      <c r="A523" s="621"/>
      <c r="B523" s="627" t="str">
        <f>IFERROR(__xludf.DUMMYFUNCTION("""COMPUTED_VALUE"""),"Script R1 + Outfits")</f>
        <v>Script R1 + Outfits</v>
      </c>
      <c r="C523" s="628"/>
      <c r="D523" s="602" t="str">
        <f>IFERROR(__xludf.DUMMYFUNCTION("""COMPUTED_VALUE"""),"PMAX")</f>
        <v>PMAX</v>
      </c>
      <c r="E523" s="624" t="str">
        <f>IFERROR(__xludf.DUMMYFUNCTION("""COMPUTED_VALUE"""),"Not start yet")</f>
        <v>Not start yet</v>
      </c>
      <c r="F523" s="609" t="str">
        <f>IFERROR(__xludf.DUMMYFUNCTION("""COMPUTED_VALUE"""),"Thứ 4. 6/ 5")</f>
        <v>Thứ 4. 6/ 5</v>
      </c>
      <c r="G523" s="609" t="str">
        <f>IFERROR(__xludf.DUMMYFUNCTION("""COMPUTED_VALUE"""),"Thứ 6. 8/ 5")</f>
        <v>Thứ 6. 8/ 5</v>
      </c>
      <c r="H523" s="585"/>
      <c r="I523" s="629">
        <v>1.0</v>
      </c>
      <c r="J523" s="630" t="s">
        <v>883</v>
      </c>
      <c r="K523" s="585"/>
      <c r="L523" s="585"/>
      <c r="M523" s="585"/>
      <c r="N523" s="585"/>
      <c r="O523" s="585"/>
      <c r="P523" s="585"/>
      <c r="Q523" s="585"/>
      <c r="R523" s="585"/>
      <c r="S523" s="585"/>
      <c r="T523" s="585"/>
      <c r="U523" s="585"/>
      <c r="V523" s="585"/>
      <c r="W523" s="585"/>
      <c r="X523" s="585"/>
      <c r="Y523" s="585"/>
      <c r="Z523" s="585"/>
      <c r="AA523" s="585"/>
      <c r="AB523" s="585"/>
      <c r="AC523" s="585"/>
      <c r="AD523" s="585"/>
      <c r="AE523" s="585"/>
      <c r="AF523" s="585"/>
      <c r="AG523" s="585"/>
      <c r="AH523" s="585"/>
      <c r="AI523" s="585"/>
      <c r="AJ523" s="585"/>
      <c r="AK523" s="585"/>
      <c r="AL523" s="585"/>
      <c r="AM523" s="585"/>
      <c r="AN523" s="585"/>
      <c r="AO523" s="585"/>
      <c r="AP523" s="585"/>
      <c r="AQ523" s="585"/>
      <c r="AR523" s="585"/>
    </row>
    <row r="524">
      <c r="A524" s="621"/>
      <c r="B524" s="627" t="str">
        <f>IFERROR(__xludf.DUMMYFUNCTION("""COMPUTED_VALUE"""),"Feedback Script R1 + outfits")</f>
        <v>Feedback Script R1 + outfits</v>
      </c>
      <c r="C524" s="628"/>
      <c r="D524" s="602" t="str">
        <f>IFERROR(__xludf.DUMMYFUNCTION("""COMPUTED_VALUE"""),"BRAND")</f>
        <v>BRAND</v>
      </c>
      <c r="E524" s="624" t="str">
        <f>IFERROR(__xludf.DUMMYFUNCTION("""COMPUTED_VALUE"""),"Not start yet")</f>
        <v>Not start yet</v>
      </c>
      <c r="F524" s="609" t="str">
        <f>IFERROR(__xludf.DUMMYFUNCTION("""COMPUTED_VALUE"""),"Thứ 6. 8/ 5")</f>
        <v>Thứ 6. 8/ 5</v>
      </c>
      <c r="G524" s="609" t="str">
        <f>IFERROR(__xludf.DUMMYFUNCTION("""COMPUTED_VALUE"""),"Thứ 6. 8/ 5")</f>
        <v>Thứ 6. 8/ 5</v>
      </c>
      <c r="H524" s="585"/>
      <c r="I524" s="625"/>
      <c r="J524" s="630" t="s">
        <v>884</v>
      </c>
      <c r="K524" s="585"/>
      <c r="L524" s="585"/>
      <c r="M524" s="585"/>
      <c r="N524" s="585"/>
      <c r="O524" s="585"/>
      <c r="P524" s="585"/>
      <c r="Q524" s="585"/>
      <c r="R524" s="585"/>
      <c r="S524" s="585"/>
      <c r="T524" s="585"/>
      <c r="U524" s="585"/>
      <c r="V524" s="585"/>
      <c r="W524" s="585"/>
      <c r="X524" s="585"/>
      <c r="Y524" s="585"/>
      <c r="Z524" s="585"/>
      <c r="AA524" s="585"/>
      <c r="AB524" s="585"/>
      <c r="AC524" s="585"/>
      <c r="AD524" s="585"/>
      <c r="AE524" s="585"/>
      <c r="AF524" s="585"/>
      <c r="AG524" s="585"/>
      <c r="AH524" s="585"/>
      <c r="AI524" s="585"/>
      <c r="AJ524" s="585"/>
      <c r="AK524" s="585"/>
      <c r="AL524" s="585"/>
      <c r="AM524" s="585"/>
      <c r="AN524" s="585"/>
      <c r="AO524" s="585"/>
      <c r="AP524" s="585"/>
      <c r="AQ524" s="585"/>
      <c r="AR524" s="585"/>
    </row>
    <row r="525">
      <c r="A525" s="621"/>
      <c r="B525" s="631" t="str">
        <f>IFERROR(__xludf.DUMMYFUNCTION("""COMPUTED_VALUE"""),"Script R2")</f>
        <v>Script R2</v>
      </c>
      <c r="C525" s="628"/>
      <c r="D525" s="632" t="str">
        <f>IFERROR(__xludf.DUMMYFUNCTION("""COMPUTED_VALUE"""),"PMAX")</f>
        <v>PMAX</v>
      </c>
      <c r="E525" s="624" t="str">
        <f>IFERROR(__xludf.DUMMYFUNCTION("""COMPUTED_VALUE"""),"Not start yet")</f>
        <v>Not start yet</v>
      </c>
      <c r="F525" s="609" t="str">
        <f>IFERROR(__xludf.DUMMYFUNCTION("""COMPUTED_VALUE"""),"Thứ 7. 9/ 5")</f>
        <v>Thứ 7. 9/ 5</v>
      </c>
      <c r="G525" s="609" t="str">
        <f>IFERROR(__xludf.DUMMYFUNCTION("""COMPUTED_VALUE"""),"CN. 10/ 5")</f>
        <v>CN. 10/ 5</v>
      </c>
      <c r="H525" s="585"/>
      <c r="I525" s="625"/>
      <c r="J525" s="630"/>
      <c r="K525" s="585"/>
      <c r="L525" s="585"/>
      <c r="M525" s="585"/>
      <c r="N525" s="585"/>
      <c r="O525" s="585"/>
      <c r="P525" s="585"/>
      <c r="Q525" s="585"/>
      <c r="R525" s="585"/>
      <c r="S525" s="585"/>
      <c r="T525" s="585"/>
      <c r="U525" s="585"/>
      <c r="V525" s="585"/>
      <c r="W525" s="585"/>
      <c r="X525" s="585"/>
      <c r="Y525" s="585"/>
      <c r="Z525" s="585"/>
      <c r="AA525" s="585"/>
      <c r="AB525" s="585"/>
      <c r="AC525" s="585"/>
      <c r="AD525" s="585"/>
      <c r="AE525" s="585"/>
      <c r="AF525" s="585"/>
      <c r="AG525" s="585"/>
      <c r="AH525" s="585"/>
      <c r="AI525" s="585"/>
      <c r="AJ525" s="585"/>
      <c r="AK525" s="585"/>
      <c r="AL525" s="585"/>
      <c r="AM525" s="585"/>
      <c r="AN525" s="585"/>
      <c r="AO525" s="585"/>
      <c r="AP525" s="585"/>
      <c r="AQ525" s="585"/>
      <c r="AR525" s="585"/>
    </row>
    <row r="526">
      <c r="A526" s="621"/>
      <c r="B526" s="631" t="str">
        <f>IFERROR(__xludf.DUMMYFUNCTION("""COMPUTED_VALUE"""),"Feedback Script R2")</f>
        <v>Feedback Script R2</v>
      </c>
      <c r="C526" s="628"/>
      <c r="D526" s="632" t="str">
        <f>IFERROR(__xludf.DUMMYFUNCTION("""COMPUTED_VALUE"""),"BRAND")</f>
        <v>BRAND</v>
      </c>
      <c r="E526" s="624" t="str">
        <f>IFERROR(__xludf.DUMMYFUNCTION("""COMPUTED_VALUE"""),"Not start yet")</f>
        <v>Not start yet</v>
      </c>
      <c r="F526" s="609" t="str">
        <f>IFERROR(__xludf.DUMMYFUNCTION("""COMPUTED_VALUE"""),"Thứ 2. 11/ 5")</f>
        <v>Thứ 2. 11/ 5</v>
      </c>
      <c r="G526" s="609" t="str">
        <f>IFERROR(__xludf.DUMMYFUNCTION("""COMPUTED_VALUE"""),"Thứ 2. 11/ 5")</f>
        <v>Thứ 2. 11/ 5</v>
      </c>
      <c r="H526" s="585"/>
      <c r="I526" s="625"/>
      <c r="J526" s="630"/>
      <c r="K526" s="585"/>
      <c r="L526" s="585"/>
      <c r="M526" s="585"/>
      <c r="N526" s="585"/>
      <c r="O526" s="585"/>
      <c r="P526" s="585"/>
      <c r="Q526" s="585"/>
      <c r="R526" s="585"/>
      <c r="S526" s="585"/>
      <c r="T526" s="585"/>
      <c r="U526" s="585"/>
      <c r="V526" s="585"/>
      <c r="W526" s="585"/>
      <c r="X526" s="585"/>
      <c r="Y526" s="585"/>
      <c r="Z526" s="585"/>
      <c r="AA526" s="585"/>
      <c r="AB526" s="585"/>
      <c r="AC526" s="585"/>
      <c r="AD526" s="585"/>
      <c r="AE526" s="585"/>
      <c r="AF526" s="585"/>
      <c r="AG526" s="585"/>
      <c r="AH526" s="585"/>
      <c r="AI526" s="585"/>
      <c r="AJ526" s="585"/>
      <c r="AK526" s="585"/>
      <c r="AL526" s="585"/>
      <c r="AM526" s="585"/>
      <c r="AN526" s="585"/>
      <c r="AO526" s="585"/>
      <c r="AP526" s="585"/>
      <c r="AQ526" s="585"/>
      <c r="AR526" s="585"/>
    </row>
    <row r="527">
      <c r="A527" s="621"/>
      <c r="B527" s="627" t="str">
        <f>IFERROR(__xludf.DUMMYFUNCTION("""COMPUTED_VALUE"""),"Finalize scripts + outfits")</f>
        <v>Finalize scripts + outfits</v>
      </c>
      <c r="C527" s="628"/>
      <c r="D527" s="602" t="str">
        <f>IFERROR(__xludf.DUMMYFUNCTION("""COMPUTED_VALUE"""),"PMAX-BRAND")</f>
        <v>PMAX-BRAND</v>
      </c>
      <c r="E527" s="624" t="str">
        <f>IFERROR(__xludf.DUMMYFUNCTION("""COMPUTED_VALUE"""),"Not start yet")</f>
        <v>Not start yet</v>
      </c>
      <c r="F527" s="609" t="str">
        <f>IFERROR(__xludf.DUMMYFUNCTION("""COMPUTED_VALUE"""),"Thứ 2. 11/ 5")</f>
        <v>Thứ 2. 11/ 5</v>
      </c>
      <c r="G527" s="609" t="str">
        <f>IFERROR(__xludf.DUMMYFUNCTION("""COMPUTED_VALUE"""),"Thứ 2. 11/ 5")</f>
        <v>Thứ 2. 11/ 5</v>
      </c>
      <c r="H527" s="585"/>
      <c r="I527" s="629">
        <v>1.0</v>
      </c>
      <c r="J527" s="630" t="s">
        <v>885</v>
      </c>
      <c r="K527" s="585"/>
      <c r="L527" s="585"/>
      <c r="M527" s="585"/>
      <c r="N527" s="585"/>
      <c r="O527" s="585"/>
      <c r="P527" s="585"/>
      <c r="Q527" s="585"/>
      <c r="R527" s="585"/>
      <c r="S527" s="585"/>
      <c r="T527" s="585"/>
      <c r="U527" s="585"/>
      <c r="V527" s="585"/>
      <c r="W527" s="585"/>
      <c r="X527" s="585"/>
      <c r="Y527" s="585"/>
      <c r="Z527" s="585"/>
      <c r="AA527" s="585"/>
      <c r="AB527" s="585"/>
      <c r="AC527" s="585"/>
      <c r="AD527" s="585"/>
      <c r="AE527" s="585"/>
      <c r="AF527" s="585"/>
      <c r="AG527" s="585"/>
      <c r="AH527" s="585"/>
      <c r="AI527" s="585"/>
      <c r="AJ527" s="585"/>
      <c r="AK527" s="585"/>
      <c r="AL527" s="585"/>
      <c r="AM527" s="585"/>
      <c r="AN527" s="585"/>
      <c r="AO527" s="585"/>
      <c r="AP527" s="585"/>
      <c r="AQ527" s="585"/>
      <c r="AR527" s="585"/>
    </row>
    <row r="528">
      <c r="A528" s="621"/>
      <c r="B528" s="627" t="str">
        <f>IFERROR(__xludf.DUMMYFUNCTION("""COMPUTED_VALUE"""),"Đi quay tại site")</f>
        <v>Đi quay tại site</v>
      </c>
      <c r="C528" s="628"/>
      <c r="D528" s="602" t="str">
        <f>IFERROR(__xludf.DUMMYFUNCTION("""COMPUTED_VALUE"""),"PMAX")</f>
        <v>PMAX</v>
      </c>
      <c r="E528" s="624" t="str">
        <f>IFERROR(__xludf.DUMMYFUNCTION("""COMPUTED_VALUE"""),"Not start yet")</f>
        <v>Not start yet</v>
      </c>
      <c r="F528" s="609" t="str">
        <f>IFERROR(__xludf.DUMMYFUNCTION("""COMPUTED_VALUE"""),"Thứ 3. 12/ 5")</f>
        <v>Thứ 3. 12/ 5</v>
      </c>
      <c r="G528" s="609" t="str">
        <f>IFERROR(__xludf.DUMMYFUNCTION("""COMPUTED_VALUE"""),"Thứ 5. 14/ 5")</f>
        <v>Thứ 5. 14/ 5</v>
      </c>
      <c r="H528" s="585"/>
      <c r="I528" s="629">
        <v>2.0</v>
      </c>
      <c r="J528" s="625"/>
      <c r="K528" s="585"/>
      <c r="L528" s="585"/>
      <c r="M528" s="585"/>
      <c r="N528" s="585"/>
      <c r="O528" s="585"/>
      <c r="P528" s="585"/>
      <c r="Q528" s="585"/>
      <c r="R528" s="585"/>
      <c r="S528" s="585"/>
      <c r="T528" s="585"/>
      <c r="U528" s="585"/>
      <c r="V528" s="585"/>
      <c r="W528" s="585"/>
      <c r="X528" s="585"/>
      <c r="Y528" s="585"/>
      <c r="Z528" s="585"/>
      <c r="AA528" s="585"/>
      <c r="AB528" s="585"/>
      <c r="AC528" s="585"/>
      <c r="AD528" s="585"/>
      <c r="AE528" s="585"/>
      <c r="AF528" s="585"/>
      <c r="AG528" s="585"/>
      <c r="AH528" s="585"/>
      <c r="AI528" s="585"/>
      <c r="AJ528" s="585"/>
      <c r="AK528" s="585"/>
      <c r="AL528" s="585"/>
      <c r="AM528" s="585"/>
      <c r="AN528" s="585"/>
      <c r="AO528" s="585"/>
      <c r="AP528" s="585"/>
      <c r="AQ528" s="585"/>
      <c r="AR528" s="585"/>
    </row>
    <row r="529">
      <c r="A529" s="621"/>
      <c r="B529" s="633" t="str">
        <f>IFERROR(__xludf.DUMMYFUNCTION("""COMPUTED_VALUE"""),"Demo R1")</f>
        <v>Demo R1</v>
      </c>
      <c r="C529" s="628"/>
      <c r="D529" s="602" t="str">
        <f>IFERROR(__xludf.DUMMYFUNCTION("""COMPUTED_VALUE"""),"PMAX")</f>
        <v>PMAX</v>
      </c>
      <c r="E529" s="624" t="str">
        <f>IFERROR(__xludf.DUMMYFUNCTION("""COMPUTED_VALUE"""),"Not start yet")</f>
        <v>Not start yet</v>
      </c>
      <c r="F529" s="609" t="str">
        <f>IFERROR(__xludf.DUMMYFUNCTION("""COMPUTED_VALUE"""),"Thứ 5. 14/ 5")</f>
        <v>Thứ 5. 14/ 5</v>
      </c>
      <c r="G529" s="609" t="str">
        <f>IFERROR(__xludf.DUMMYFUNCTION("""COMPUTED_VALUE"""),"CN. 17/ 5")</f>
        <v>CN. 17/ 5</v>
      </c>
      <c r="H529" s="585"/>
      <c r="I529" s="629">
        <v>4.0</v>
      </c>
      <c r="J529" s="630" t="s">
        <v>886</v>
      </c>
      <c r="K529" s="585"/>
      <c r="L529" s="585"/>
      <c r="M529" s="585"/>
      <c r="N529" s="585"/>
      <c r="O529" s="585"/>
      <c r="P529" s="585"/>
      <c r="Q529" s="585"/>
      <c r="R529" s="585"/>
      <c r="S529" s="585"/>
      <c r="T529" s="585"/>
      <c r="U529" s="585"/>
      <c r="V529" s="585"/>
      <c r="W529" s="585"/>
      <c r="X529" s="585"/>
      <c r="Y529" s="585"/>
      <c r="Z529" s="585"/>
      <c r="AA529" s="585"/>
      <c r="AB529" s="585"/>
      <c r="AC529" s="585"/>
      <c r="AD529" s="585"/>
      <c r="AE529" s="585"/>
      <c r="AF529" s="585"/>
      <c r="AG529" s="585"/>
      <c r="AH529" s="585"/>
      <c r="AI529" s="585"/>
      <c r="AJ529" s="585"/>
      <c r="AK529" s="585"/>
      <c r="AL529" s="585"/>
      <c r="AM529" s="585"/>
      <c r="AN529" s="585"/>
      <c r="AO529" s="585"/>
      <c r="AP529" s="585"/>
      <c r="AQ529" s="585"/>
      <c r="AR529" s="585"/>
    </row>
    <row r="530">
      <c r="A530" s="621"/>
      <c r="B530" s="627" t="str">
        <f>IFERROR(__xludf.DUMMYFUNCTION("""COMPUTED_VALUE"""),"Feedback demo R1")</f>
        <v>Feedback demo R1</v>
      </c>
      <c r="C530" s="628"/>
      <c r="D530" s="602" t="str">
        <f>IFERROR(__xludf.DUMMYFUNCTION("""COMPUTED_VALUE"""),"BRAND")</f>
        <v>BRAND</v>
      </c>
      <c r="E530" s="624" t="str">
        <f>IFERROR(__xludf.DUMMYFUNCTION("""COMPUTED_VALUE"""),"Not start yet")</f>
        <v>Not start yet</v>
      </c>
      <c r="F530" s="609" t="str">
        <f>IFERROR(__xludf.DUMMYFUNCTION("""COMPUTED_VALUE"""),"Thứ 2. 18/ 5")</f>
        <v>Thứ 2. 18/ 5</v>
      </c>
      <c r="G530" s="609" t="str">
        <f>IFERROR(__xludf.DUMMYFUNCTION("""COMPUTED_VALUE"""),"Thứ 2. 18/ 5")</f>
        <v>Thứ 2. 18/ 5</v>
      </c>
      <c r="H530" s="585"/>
      <c r="I530" s="625"/>
      <c r="J530" s="630" t="s">
        <v>887</v>
      </c>
      <c r="K530" s="585"/>
      <c r="L530" s="585"/>
      <c r="M530" s="585"/>
      <c r="N530" s="585"/>
      <c r="O530" s="585"/>
      <c r="P530" s="585"/>
      <c r="Q530" s="585"/>
      <c r="R530" s="585"/>
      <c r="S530" s="585"/>
      <c r="T530" s="585"/>
      <c r="U530" s="585"/>
      <c r="V530" s="585"/>
      <c r="W530" s="585"/>
      <c r="X530" s="585"/>
      <c r="Y530" s="585"/>
      <c r="Z530" s="585"/>
      <c r="AA530" s="585"/>
      <c r="AB530" s="585"/>
      <c r="AC530" s="585"/>
      <c r="AD530" s="585"/>
      <c r="AE530" s="585"/>
      <c r="AF530" s="585"/>
      <c r="AG530" s="585"/>
      <c r="AH530" s="585"/>
      <c r="AI530" s="585"/>
      <c r="AJ530" s="585"/>
      <c r="AK530" s="585"/>
      <c r="AL530" s="585"/>
      <c r="AM530" s="585"/>
      <c r="AN530" s="585"/>
      <c r="AO530" s="585"/>
      <c r="AP530" s="585"/>
      <c r="AQ530" s="585"/>
      <c r="AR530" s="585"/>
    </row>
    <row r="531">
      <c r="A531" s="621"/>
      <c r="B531" s="633" t="str">
        <f>IFERROR(__xludf.DUMMYFUNCTION("""COMPUTED_VALUE"""),"Demo R2")</f>
        <v>Demo R2</v>
      </c>
      <c r="C531" s="628"/>
      <c r="D531" s="602" t="str">
        <f>IFERROR(__xludf.DUMMYFUNCTION("""COMPUTED_VALUE"""),"PMAX")</f>
        <v>PMAX</v>
      </c>
      <c r="E531" s="624" t="str">
        <f>IFERROR(__xludf.DUMMYFUNCTION("""COMPUTED_VALUE"""),"Not start yet")</f>
        <v>Not start yet</v>
      </c>
      <c r="F531" s="609" t="str">
        <f>IFERROR(__xludf.DUMMYFUNCTION("""COMPUTED_VALUE"""),"Thứ 3. 19/ 5")</f>
        <v>Thứ 3. 19/ 5</v>
      </c>
      <c r="G531" s="609" t="str">
        <f>IFERROR(__xludf.DUMMYFUNCTION("""COMPUTED_VALUE"""),"Thứ 5. 21/ 5")</f>
        <v>Thứ 5. 21/ 5</v>
      </c>
      <c r="H531" s="585"/>
      <c r="I531" s="625"/>
      <c r="J531" s="625"/>
      <c r="K531" s="585"/>
      <c r="L531" s="585"/>
      <c r="M531" s="585"/>
      <c r="N531" s="585"/>
      <c r="O531" s="585"/>
      <c r="P531" s="585"/>
      <c r="Q531" s="585"/>
      <c r="R531" s="585"/>
      <c r="S531" s="585"/>
      <c r="T531" s="585"/>
      <c r="U531" s="585"/>
      <c r="V531" s="585"/>
      <c r="W531" s="585"/>
      <c r="X531" s="585"/>
      <c r="Y531" s="585"/>
      <c r="Z531" s="585"/>
      <c r="AA531" s="585"/>
      <c r="AB531" s="585"/>
      <c r="AC531" s="585"/>
      <c r="AD531" s="585"/>
      <c r="AE531" s="585"/>
      <c r="AF531" s="585"/>
      <c r="AG531" s="585"/>
      <c r="AH531" s="585"/>
      <c r="AI531" s="585"/>
      <c r="AJ531" s="585"/>
      <c r="AK531" s="585"/>
      <c r="AL531" s="585"/>
      <c r="AM531" s="585"/>
      <c r="AN531" s="585"/>
      <c r="AO531" s="585"/>
      <c r="AP531" s="585"/>
      <c r="AQ531" s="585"/>
      <c r="AR531" s="585"/>
    </row>
    <row r="532">
      <c r="A532" s="621"/>
      <c r="B532" s="627" t="str">
        <f>IFERROR(__xludf.DUMMYFUNCTION("""COMPUTED_VALUE"""),"Feedback demo R2")</f>
        <v>Feedback demo R2</v>
      </c>
      <c r="C532" s="628"/>
      <c r="D532" s="602" t="str">
        <f>IFERROR(__xludf.DUMMYFUNCTION("""COMPUTED_VALUE"""),"BRAND")</f>
        <v>BRAND</v>
      </c>
      <c r="E532" s="624" t="str">
        <f>IFERROR(__xludf.DUMMYFUNCTION("""COMPUTED_VALUE"""),"Not start yet")</f>
        <v>Not start yet</v>
      </c>
      <c r="F532" s="609" t="str">
        <f>IFERROR(__xludf.DUMMYFUNCTION("""COMPUTED_VALUE"""),"Thứ 6. 22/ 5")</f>
        <v>Thứ 6. 22/ 5</v>
      </c>
      <c r="G532" s="609" t="str">
        <f>IFERROR(__xludf.DUMMYFUNCTION("""COMPUTED_VALUE"""),"Thứ 6. 22/ 5")</f>
        <v>Thứ 6. 22/ 5</v>
      </c>
      <c r="H532" s="585"/>
      <c r="I532" s="625"/>
      <c r="J532" s="625"/>
      <c r="K532" s="585"/>
      <c r="L532" s="585"/>
      <c r="M532" s="585"/>
      <c r="N532" s="585"/>
      <c r="O532" s="585"/>
      <c r="P532" s="585"/>
      <c r="Q532" s="585"/>
      <c r="R532" s="585"/>
      <c r="S532" s="585"/>
      <c r="T532" s="585"/>
      <c r="U532" s="585"/>
      <c r="V532" s="585"/>
      <c r="W532" s="585"/>
      <c r="X532" s="585"/>
      <c r="Y532" s="585"/>
      <c r="Z532" s="585"/>
      <c r="AA532" s="585"/>
      <c r="AB532" s="585"/>
      <c r="AC532" s="585"/>
      <c r="AD532" s="585"/>
      <c r="AE532" s="585"/>
      <c r="AF532" s="585"/>
      <c r="AG532" s="585"/>
      <c r="AH532" s="585"/>
      <c r="AI532" s="585"/>
      <c r="AJ532" s="585"/>
      <c r="AK532" s="585"/>
      <c r="AL532" s="585"/>
      <c r="AM532" s="585"/>
      <c r="AN532" s="585"/>
      <c r="AO532" s="585"/>
      <c r="AP532" s="585"/>
      <c r="AQ532" s="585"/>
      <c r="AR532" s="585"/>
    </row>
    <row r="533">
      <c r="A533" s="621"/>
      <c r="B533" s="627" t="str">
        <f>IFERROR(__xludf.DUMMYFUNCTION("""COMPUTED_VALUE"""),"Finalize demo")</f>
        <v>Finalize demo</v>
      </c>
      <c r="C533" s="628"/>
      <c r="D533" s="602" t="str">
        <f>IFERROR(__xludf.DUMMYFUNCTION("""COMPUTED_VALUE"""),"PMAX")</f>
        <v>PMAX</v>
      </c>
      <c r="E533" s="624" t="str">
        <f>IFERROR(__xludf.DUMMYFUNCTION("""COMPUTED_VALUE"""),"Not start yet")</f>
        <v>Not start yet</v>
      </c>
      <c r="F533" s="609" t="str">
        <f>IFERROR(__xludf.DUMMYFUNCTION("""COMPUTED_VALUE"""),"Thứ 6. 22/ 5")</f>
        <v>Thứ 6. 22/ 5</v>
      </c>
      <c r="G533" s="609" t="str">
        <f>IFERROR(__xludf.DUMMYFUNCTION("""COMPUTED_VALUE"""),"Thứ 6. 22/ 5")</f>
        <v>Thứ 6. 22/ 5</v>
      </c>
      <c r="H533" s="585"/>
      <c r="I533" s="629">
        <v>1.0</v>
      </c>
      <c r="J533" s="630" t="s">
        <v>888</v>
      </c>
      <c r="K533" s="585"/>
      <c r="L533" s="585"/>
      <c r="M533" s="585"/>
      <c r="N533" s="585"/>
      <c r="O533" s="585"/>
      <c r="P533" s="585"/>
      <c r="Q533" s="585"/>
      <c r="R533" s="585"/>
      <c r="S533" s="585"/>
      <c r="T533" s="585"/>
      <c r="U533" s="585"/>
      <c r="V533" s="585"/>
      <c r="W533" s="585"/>
      <c r="X533" s="585"/>
      <c r="Y533" s="585"/>
      <c r="Z533" s="585"/>
      <c r="AA533" s="585"/>
      <c r="AB533" s="585"/>
      <c r="AC533" s="585"/>
      <c r="AD533" s="585"/>
      <c r="AE533" s="585"/>
      <c r="AF533" s="585"/>
      <c r="AG533" s="585"/>
      <c r="AH533" s="585"/>
      <c r="AI533" s="585"/>
      <c r="AJ533" s="585"/>
      <c r="AK533" s="585"/>
      <c r="AL533" s="585"/>
      <c r="AM533" s="585"/>
      <c r="AN533" s="585"/>
      <c r="AO533" s="585"/>
      <c r="AP533" s="585"/>
      <c r="AQ533" s="585"/>
      <c r="AR533" s="585"/>
    </row>
    <row r="534">
      <c r="A534" s="621"/>
      <c r="B534" s="634" t="str">
        <f>IFERROR(__xludf.DUMMYFUNCTION("""COMPUTED_VALUE"""),"Air")</f>
        <v>Air</v>
      </c>
      <c r="C534" s="26"/>
      <c r="D534" s="602" t="str">
        <f>IFERROR(__xludf.DUMMYFUNCTION("""COMPUTED_VALUE"""),"PMAX")</f>
        <v>PMAX</v>
      </c>
      <c r="E534" s="624" t="str">
        <f>IFERROR(__xludf.DUMMYFUNCTION("""COMPUTED_VALUE"""),"Not start yet")</f>
        <v>Not start yet</v>
      </c>
      <c r="F534" s="609" t="str">
        <f>IFERROR(__xludf.DUMMYFUNCTION("""COMPUTED_VALUE"""),"TBU")</f>
        <v>TBU</v>
      </c>
      <c r="G534" s="638" t="str">
        <f>IFERROR(__xludf.DUMMYFUNCTION("""COMPUTED_VALUE"""),"TBU")</f>
        <v>TBU</v>
      </c>
      <c r="H534" s="585"/>
      <c r="I534" s="636">
        <v>1.0</v>
      </c>
      <c r="J534" s="585"/>
      <c r="K534" s="585"/>
      <c r="L534" s="585"/>
      <c r="M534" s="585"/>
      <c r="N534" s="585"/>
      <c r="O534" s="585"/>
      <c r="P534" s="585"/>
      <c r="Q534" s="585"/>
      <c r="R534" s="585"/>
      <c r="S534" s="585"/>
      <c r="T534" s="585"/>
      <c r="U534" s="585"/>
      <c r="V534" s="585"/>
      <c r="W534" s="585"/>
      <c r="X534" s="585"/>
      <c r="Y534" s="585"/>
      <c r="Z534" s="585"/>
      <c r="AA534" s="585"/>
      <c r="AB534" s="585"/>
      <c r="AC534" s="585"/>
      <c r="AD534" s="585"/>
      <c r="AE534" s="585"/>
      <c r="AF534" s="585"/>
      <c r="AG534" s="585"/>
      <c r="AH534" s="585"/>
      <c r="AI534" s="585"/>
      <c r="AJ534" s="585"/>
      <c r="AK534" s="585"/>
      <c r="AL534" s="585"/>
      <c r="AM534" s="585"/>
      <c r="AN534" s="585"/>
      <c r="AO534" s="585"/>
      <c r="AP534" s="585"/>
      <c r="AQ534" s="585"/>
      <c r="AR534" s="585"/>
    </row>
    <row r="535">
      <c r="A535" s="637">
        <f>IFERROR(__xludf.DUMMYFUNCTION("""COMPUTED_VALUE"""),37.0)</f>
        <v>37</v>
      </c>
      <c r="B535" s="616" t="str">
        <f>IFERROR(__xludf.DUMMYFUNCTION("""COMPUTED_VALUE"""),"Yến Vy ( Miên Man Hà Nội )")</f>
        <v>Yến Vy ( Miên Man Hà Nội )</v>
      </c>
      <c r="C535" s="617"/>
      <c r="D535" s="618"/>
      <c r="E535" s="619"/>
      <c r="F535" s="619"/>
      <c r="G535" s="619"/>
      <c r="H535" s="585"/>
      <c r="I535" s="585"/>
      <c r="J535" s="585"/>
      <c r="K535" s="585"/>
      <c r="L535" s="585"/>
      <c r="M535" s="585"/>
      <c r="N535" s="585"/>
      <c r="O535" s="585"/>
      <c r="P535" s="585"/>
      <c r="Q535" s="585"/>
      <c r="R535" s="585"/>
      <c r="S535" s="585"/>
      <c r="T535" s="585"/>
      <c r="U535" s="585"/>
      <c r="V535" s="585"/>
      <c r="W535" s="585"/>
      <c r="X535" s="585"/>
      <c r="Y535" s="585"/>
      <c r="Z535" s="585"/>
      <c r="AA535" s="585"/>
      <c r="AB535" s="585"/>
      <c r="AC535" s="585"/>
      <c r="AD535" s="585"/>
      <c r="AE535" s="585"/>
      <c r="AF535" s="585"/>
      <c r="AG535" s="585"/>
      <c r="AH535" s="585"/>
      <c r="AI535" s="585"/>
      <c r="AJ535" s="585"/>
      <c r="AK535" s="585"/>
      <c r="AL535" s="585"/>
      <c r="AM535" s="585"/>
      <c r="AN535" s="585"/>
      <c r="AO535" s="585"/>
      <c r="AP535" s="585"/>
      <c r="AQ535" s="585"/>
      <c r="AR535" s="585"/>
    </row>
    <row r="536">
      <c r="A536" s="621"/>
      <c r="B536" s="622" t="str">
        <f>IFERROR(__xludf.DUMMYFUNCTION("""COMPUTED_VALUE"""),"Briefing cho Influencer")</f>
        <v>Briefing cho Influencer</v>
      </c>
      <c r="C536" s="623"/>
      <c r="D536" s="602" t="str">
        <f>IFERROR(__xludf.DUMMYFUNCTION("""COMPUTED_VALUE"""),"PMAX")</f>
        <v>PMAX</v>
      </c>
      <c r="E536" s="624" t="str">
        <f>IFERROR(__xludf.DUMMYFUNCTION("""COMPUTED_VALUE"""),"Done")</f>
        <v>Done</v>
      </c>
      <c r="F536" s="604">
        <f>IFERROR(__xludf.DUMMYFUNCTION("""COMPUTED_VALUE"""),46147.0)</f>
        <v>46147</v>
      </c>
      <c r="G536" s="639">
        <f>IFERROR(__xludf.DUMMYFUNCTION("""COMPUTED_VALUE"""),46148.0)</f>
        <v>46148</v>
      </c>
      <c r="H536" s="585"/>
      <c r="I536" s="625"/>
      <c r="J536" s="626" t="s">
        <v>882</v>
      </c>
      <c r="K536" s="585"/>
      <c r="L536" s="585"/>
      <c r="M536" s="585"/>
      <c r="N536" s="585"/>
      <c r="O536" s="585"/>
      <c r="P536" s="585"/>
      <c r="Q536" s="585"/>
      <c r="R536" s="585"/>
      <c r="S536" s="585"/>
      <c r="T536" s="585"/>
      <c r="U536" s="585"/>
      <c r="V536" s="585"/>
      <c r="W536" s="585"/>
      <c r="X536" s="585"/>
      <c r="Y536" s="585"/>
      <c r="Z536" s="585"/>
      <c r="AA536" s="585"/>
      <c r="AB536" s="585"/>
      <c r="AC536" s="585"/>
      <c r="AD536" s="585"/>
      <c r="AE536" s="585"/>
      <c r="AF536" s="585"/>
      <c r="AG536" s="585"/>
      <c r="AH536" s="585"/>
      <c r="AI536" s="585"/>
      <c r="AJ536" s="585"/>
      <c r="AK536" s="585"/>
      <c r="AL536" s="585"/>
      <c r="AM536" s="585"/>
      <c r="AN536" s="585"/>
      <c r="AO536" s="585"/>
      <c r="AP536" s="585"/>
      <c r="AQ536" s="585"/>
      <c r="AR536" s="585"/>
    </row>
    <row r="537">
      <c r="A537" s="621"/>
      <c r="B537" s="627" t="str">
        <f>IFERROR(__xludf.DUMMYFUNCTION("""COMPUTED_VALUE"""),"Script R1 + Outfits")</f>
        <v>Script R1 + Outfits</v>
      </c>
      <c r="C537" s="628"/>
      <c r="D537" s="602" t="str">
        <f>IFERROR(__xludf.DUMMYFUNCTION("""COMPUTED_VALUE"""),"PMAX")</f>
        <v>PMAX</v>
      </c>
      <c r="E537" s="624" t="str">
        <f>IFERROR(__xludf.DUMMYFUNCTION("""COMPUTED_VALUE"""),"Done")</f>
        <v>Done</v>
      </c>
      <c r="F537" s="604">
        <f>IFERROR(__xludf.DUMMYFUNCTION("""COMPUTED_VALUE"""),46150.0)</f>
        <v>46150</v>
      </c>
      <c r="G537" s="639">
        <f>IFERROR(__xludf.DUMMYFUNCTION("""COMPUTED_VALUE"""),46150.0)</f>
        <v>46150</v>
      </c>
      <c r="H537" s="585"/>
      <c r="I537" s="629">
        <v>1.0</v>
      </c>
      <c r="J537" s="630" t="s">
        <v>883</v>
      </c>
      <c r="K537" s="585"/>
      <c r="L537" s="585"/>
      <c r="M537" s="585"/>
      <c r="N537" s="585"/>
      <c r="O537" s="585"/>
      <c r="P537" s="585"/>
      <c r="Q537" s="585"/>
      <c r="R537" s="585"/>
      <c r="S537" s="585"/>
      <c r="T537" s="585"/>
      <c r="U537" s="585"/>
      <c r="V537" s="585"/>
      <c r="W537" s="585"/>
      <c r="X537" s="585"/>
      <c r="Y537" s="585"/>
      <c r="Z537" s="585"/>
      <c r="AA537" s="585"/>
      <c r="AB537" s="585"/>
      <c r="AC537" s="585"/>
      <c r="AD537" s="585"/>
      <c r="AE537" s="585"/>
      <c r="AF537" s="585"/>
      <c r="AG537" s="585"/>
      <c r="AH537" s="585"/>
      <c r="AI537" s="585"/>
      <c r="AJ537" s="585"/>
      <c r="AK537" s="585"/>
      <c r="AL537" s="585"/>
      <c r="AM537" s="585"/>
      <c r="AN537" s="585"/>
      <c r="AO537" s="585"/>
      <c r="AP537" s="585"/>
      <c r="AQ537" s="585"/>
      <c r="AR537" s="585"/>
    </row>
    <row r="538">
      <c r="A538" s="621"/>
      <c r="B538" s="627" t="str">
        <f>IFERROR(__xludf.DUMMYFUNCTION("""COMPUTED_VALUE"""),"Feedback Script R1 + outfits")</f>
        <v>Feedback Script R1 + outfits</v>
      </c>
      <c r="C538" s="628"/>
      <c r="D538" s="602" t="str">
        <f>IFERROR(__xludf.DUMMYFUNCTION("""COMPUTED_VALUE"""),"BRAND")</f>
        <v>BRAND</v>
      </c>
      <c r="E538" s="624" t="str">
        <f>IFERROR(__xludf.DUMMYFUNCTION("""COMPUTED_VALUE"""),"Not start yet")</f>
        <v>Not start yet</v>
      </c>
      <c r="F538" s="604">
        <f>IFERROR(__xludf.DUMMYFUNCTION("""COMPUTED_VALUE"""),46151.0)</f>
        <v>46151</v>
      </c>
      <c r="G538" s="639">
        <f>IFERROR(__xludf.DUMMYFUNCTION("""COMPUTED_VALUE"""),46152.0)</f>
        <v>46152</v>
      </c>
      <c r="H538" s="585"/>
      <c r="I538" s="625"/>
      <c r="J538" s="630" t="s">
        <v>884</v>
      </c>
      <c r="K538" s="585"/>
      <c r="L538" s="585"/>
      <c r="M538" s="585"/>
      <c r="N538" s="585"/>
      <c r="O538" s="585"/>
      <c r="P538" s="585"/>
      <c r="Q538" s="585"/>
      <c r="R538" s="585"/>
      <c r="S538" s="585"/>
      <c r="T538" s="585"/>
      <c r="U538" s="585"/>
      <c r="V538" s="585"/>
      <c r="W538" s="585"/>
      <c r="X538" s="585"/>
      <c r="Y538" s="585"/>
      <c r="Z538" s="585"/>
      <c r="AA538" s="585"/>
      <c r="AB538" s="585"/>
      <c r="AC538" s="585"/>
      <c r="AD538" s="585"/>
      <c r="AE538" s="585"/>
      <c r="AF538" s="585"/>
      <c r="AG538" s="585"/>
      <c r="AH538" s="585"/>
      <c r="AI538" s="585"/>
      <c r="AJ538" s="585"/>
      <c r="AK538" s="585"/>
      <c r="AL538" s="585"/>
      <c r="AM538" s="585"/>
      <c r="AN538" s="585"/>
      <c r="AO538" s="585"/>
      <c r="AP538" s="585"/>
      <c r="AQ538" s="585"/>
      <c r="AR538" s="585"/>
    </row>
    <row r="539">
      <c r="A539" s="621"/>
      <c r="B539" s="631" t="str">
        <f>IFERROR(__xludf.DUMMYFUNCTION("""COMPUTED_VALUE"""),"Script R2")</f>
        <v>Script R2</v>
      </c>
      <c r="C539" s="628"/>
      <c r="D539" s="632" t="str">
        <f>IFERROR(__xludf.DUMMYFUNCTION("""COMPUTED_VALUE"""),"PMAX")</f>
        <v>PMAX</v>
      </c>
      <c r="E539" s="624" t="str">
        <f>IFERROR(__xludf.DUMMYFUNCTION("""COMPUTED_VALUE"""),"Not start yet")</f>
        <v>Not start yet</v>
      </c>
      <c r="F539" s="604">
        <f>IFERROR(__xludf.DUMMYFUNCTION("""COMPUTED_VALUE"""),46153.0)</f>
        <v>46153</v>
      </c>
      <c r="G539" s="639">
        <f>IFERROR(__xludf.DUMMYFUNCTION("""COMPUTED_VALUE"""),46153.0)</f>
        <v>46153</v>
      </c>
      <c r="H539" s="585"/>
      <c r="I539" s="625"/>
      <c r="J539" s="630"/>
      <c r="K539" s="585"/>
      <c r="L539" s="585"/>
      <c r="M539" s="585"/>
      <c r="N539" s="585"/>
      <c r="O539" s="585"/>
      <c r="P539" s="585"/>
      <c r="Q539" s="585"/>
      <c r="R539" s="585"/>
      <c r="S539" s="585"/>
      <c r="T539" s="585"/>
      <c r="U539" s="585"/>
      <c r="V539" s="585"/>
      <c r="W539" s="585"/>
      <c r="X539" s="585"/>
      <c r="Y539" s="585"/>
      <c r="Z539" s="585"/>
      <c r="AA539" s="585"/>
      <c r="AB539" s="585"/>
      <c r="AC539" s="585"/>
      <c r="AD539" s="585"/>
      <c r="AE539" s="585"/>
      <c r="AF539" s="585"/>
      <c r="AG539" s="585"/>
      <c r="AH539" s="585"/>
      <c r="AI539" s="585"/>
      <c r="AJ539" s="585"/>
      <c r="AK539" s="585"/>
      <c r="AL539" s="585"/>
      <c r="AM539" s="585"/>
      <c r="AN539" s="585"/>
      <c r="AO539" s="585"/>
      <c r="AP539" s="585"/>
      <c r="AQ539" s="585"/>
      <c r="AR539" s="585"/>
    </row>
    <row r="540">
      <c r="A540" s="621"/>
      <c r="B540" s="631" t="str">
        <f>IFERROR(__xludf.DUMMYFUNCTION("""COMPUTED_VALUE"""),"Feedback Script R2")</f>
        <v>Feedback Script R2</v>
      </c>
      <c r="C540" s="628"/>
      <c r="D540" s="632" t="str">
        <f>IFERROR(__xludf.DUMMYFUNCTION("""COMPUTED_VALUE"""),"BRAND")</f>
        <v>BRAND</v>
      </c>
      <c r="E540" s="624" t="str">
        <f>IFERROR(__xludf.DUMMYFUNCTION("""COMPUTED_VALUE"""),"Not start yet")</f>
        <v>Not start yet</v>
      </c>
      <c r="F540" s="604">
        <f>IFERROR(__xludf.DUMMYFUNCTION("""COMPUTED_VALUE"""),46153.0)</f>
        <v>46153</v>
      </c>
      <c r="G540" s="639">
        <f>IFERROR(__xludf.DUMMYFUNCTION("""COMPUTED_VALUE"""),46153.0)</f>
        <v>46153</v>
      </c>
      <c r="H540" s="585"/>
      <c r="I540" s="625"/>
      <c r="J540" s="630"/>
      <c r="K540" s="585"/>
      <c r="L540" s="585"/>
      <c r="M540" s="585"/>
      <c r="N540" s="585"/>
      <c r="O540" s="585"/>
      <c r="P540" s="585"/>
      <c r="Q540" s="585"/>
      <c r="R540" s="585"/>
      <c r="S540" s="585"/>
      <c r="T540" s="585"/>
      <c r="U540" s="585"/>
      <c r="V540" s="585"/>
      <c r="W540" s="585"/>
      <c r="X540" s="585"/>
      <c r="Y540" s="585"/>
      <c r="Z540" s="585"/>
      <c r="AA540" s="585"/>
      <c r="AB540" s="585"/>
      <c r="AC540" s="585"/>
      <c r="AD540" s="585"/>
      <c r="AE540" s="585"/>
      <c r="AF540" s="585"/>
      <c r="AG540" s="585"/>
      <c r="AH540" s="585"/>
      <c r="AI540" s="585"/>
      <c r="AJ540" s="585"/>
      <c r="AK540" s="585"/>
      <c r="AL540" s="585"/>
      <c r="AM540" s="585"/>
      <c r="AN540" s="585"/>
      <c r="AO540" s="585"/>
      <c r="AP540" s="585"/>
      <c r="AQ540" s="585"/>
      <c r="AR540" s="585"/>
    </row>
    <row r="541">
      <c r="A541" s="621"/>
      <c r="B541" s="627" t="str">
        <f>IFERROR(__xludf.DUMMYFUNCTION("""COMPUTED_VALUE"""),"Finalize scripts + outfits")</f>
        <v>Finalize scripts + outfits</v>
      </c>
      <c r="C541" s="628"/>
      <c r="D541" s="602" t="str">
        <f>IFERROR(__xludf.DUMMYFUNCTION("""COMPUTED_VALUE"""),"PMAX-BRAND")</f>
        <v>PMAX-BRAND</v>
      </c>
      <c r="E541" s="624" t="str">
        <f>IFERROR(__xludf.DUMMYFUNCTION("""COMPUTED_VALUE"""),"Not start yet")</f>
        <v>Not start yet</v>
      </c>
      <c r="F541" s="604">
        <f>IFERROR(__xludf.DUMMYFUNCTION("""COMPUTED_VALUE"""),46153.0)</f>
        <v>46153</v>
      </c>
      <c r="G541" s="639">
        <f>IFERROR(__xludf.DUMMYFUNCTION("""COMPUTED_VALUE"""),46153.0)</f>
        <v>46153</v>
      </c>
      <c r="H541" s="585"/>
      <c r="I541" s="629">
        <v>1.0</v>
      </c>
      <c r="J541" s="630" t="s">
        <v>885</v>
      </c>
      <c r="K541" s="585"/>
      <c r="L541" s="585"/>
      <c r="M541" s="585"/>
      <c r="N541" s="585"/>
      <c r="O541" s="585"/>
      <c r="P541" s="585"/>
      <c r="Q541" s="585"/>
      <c r="R541" s="585"/>
      <c r="S541" s="585"/>
      <c r="T541" s="585"/>
      <c r="U541" s="585"/>
      <c r="V541" s="585"/>
      <c r="W541" s="585"/>
      <c r="X541" s="585"/>
      <c r="Y541" s="585"/>
      <c r="Z541" s="585"/>
      <c r="AA541" s="585"/>
      <c r="AB541" s="585"/>
      <c r="AC541" s="585"/>
      <c r="AD541" s="585"/>
      <c r="AE541" s="585"/>
      <c r="AF541" s="585"/>
      <c r="AG541" s="585"/>
      <c r="AH541" s="585"/>
      <c r="AI541" s="585"/>
      <c r="AJ541" s="585"/>
      <c r="AK541" s="585"/>
      <c r="AL541" s="585"/>
      <c r="AM541" s="585"/>
      <c r="AN541" s="585"/>
      <c r="AO541" s="585"/>
      <c r="AP541" s="585"/>
      <c r="AQ541" s="585"/>
      <c r="AR541" s="585"/>
    </row>
    <row r="542">
      <c r="A542" s="621"/>
      <c r="B542" s="627" t="str">
        <f>IFERROR(__xludf.DUMMYFUNCTION("""COMPUTED_VALUE"""),"Đi quay tại site")</f>
        <v>Đi quay tại site</v>
      </c>
      <c r="C542" s="628"/>
      <c r="D542" s="602" t="str">
        <f>IFERROR(__xludf.DUMMYFUNCTION("""COMPUTED_VALUE"""),"PMAX")</f>
        <v>PMAX</v>
      </c>
      <c r="E542" s="624" t="str">
        <f>IFERROR(__xludf.DUMMYFUNCTION("""COMPUTED_VALUE"""),"Not start yet")</f>
        <v>Not start yet</v>
      </c>
      <c r="F542" s="604">
        <f>IFERROR(__xludf.DUMMYFUNCTION("""COMPUTED_VALUE"""),46161.0)</f>
        <v>46161</v>
      </c>
      <c r="G542" s="639">
        <f>IFERROR(__xludf.DUMMYFUNCTION("""COMPUTED_VALUE"""),46161.0)</f>
        <v>46161</v>
      </c>
      <c r="H542" s="585"/>
      <c r="I542" s="629">
        <v>2.0</v>
      </c>
      <c r="J542" s="625"/>
      <c r="K542" s="585"/>
      <c r="L542" s="585"/>
      <c r="M542" s="585"/>
      <c r="N542" s="585"/>
      <c r="O542" s="585"/>
      <c r="P542" s="585"/>
      <c r="Q542" s="585"/>
      <c r="R542" s="585"/>
      <c r="S542" s="585"/>
      <c r="T542" s="585"/>
      <c r="U542" s="585"/>
      <c r="V542" s="585"/>
      <c r="W542" s="585"/>
      <c r="X542" s="585"/>
      <c r="Y542" s="585"/>
      <c r="Z542" s="585"/>
      <c r="AA542" s="585"/>
      <c r="AB542" s="585"/>
      <c r="AC542" s="585"/>
      <c r="AD542" s="585"/>
      <c r="AE542" s="585"/>
      <c r="AF542" s="585"/>
      <c r="AG542" s="585"/>
      <c r="AH542" s="585"/>
      <c r="AI542" s="585"/>
      <c r="AJ542" s="585"/>
      <c r="AK542" s="585"/>
      <c r="AL542" s="585"/>
      <c r="AM542" s="585"/>
      <c r="AN542" s="585"/>
      <c r="AO542" s="585"/>
      <c r="AP542" s="585"/>
      <c r="AQ542" s="585"/>
      <c r="AR542" s="585"/>
    </row>
    <row r="543">
      <c r="A543" s="621"/>
      <c r="B543" s="633" t="str">
        <f>IFERROR(__xludf.DUMMYFUNCTION("""COMPUTED_VALUE"""),"Demo R1")</f>
        <v>Demo R1</v>
      </c>
      <c r="C543" s="628"/>
      <c r="D543" s="602" t="str">
        <f>IFERROR(__xludf.DUMMYFUNCTION("""COMPUTED_VALUE"""),"PMAX")</f>
        <v>PMAX</v>
      </c>
      <c r="E543" s="624" t="str">
        <f>IFERROR(__xludf.DUMMYFUNCTION("""COMPUTED_VALUE"""),"Not start yet")</f>
        <v>Not start yet</v>
      </c>
      <c r="F543" s="604">
        <f>IFERROR(__xludf.DUMMYFUNCTION("""COMPUTED_VALUE"""),46165.0)</f>
        <v>46165</v>
      </c>
      <c r="G543" s="639">
        <f>IFERROR(__xludf.DUMMYFUNCTION("""COMPUTED_VALUE"""),46165.0)</f>
        <v>46165</v>
      </c>
      <c r="H543" s="585"/>
      <c r="I543" s="629">
        <v>4.0</v>
      </c>
      <c r="J543" s="630" t="s">
        <v>886</v>
      </c>
      <c r="K543" s="585"/>
      <c r="L543" s="585"/>
      <c r="M543" s="585"/>
      <c r="N543" s="585"/>
      <c r="O543" s="585"/>
      <c r="P543" s="585"/>
      <c r="Q543" s="585"/>
      <c r="R543" s="585"/>
      <c r="S543" s="585"/>
      <c r="T543" s="585"/>
      <c r="U543" s="585"/>
      <c r="V543" s="585"/>
      <c r="W543" s="585"/>
      <c r="X543" s="585"/>
      <c r="Y543" s="585"/>
      <c r="Z543" s="585"/>
      <c r="AA543" s="585"/>
      <c r="AB543" s="585"/>
      <c r="AC543" s="585"/>
      <c r="AD543" s="585"/>
      <c r="AE543" s="585"/>
      <c r="AF543" s="585"/>
      <c r="AG543" s="585"/>
      <c r="AH543" s="585"/>
      <c r="AI543" s="585"/>
      <c r="AJ543" s="585"/>
      <c r="AK543" s="585"/>
      <c r="AL543" s="585"/>
      <c r="AM543" s="585"/>
      <c r="AN543" s="585"/>
      <c r="AO543" s="585"/>
      <c r="AP543" s="585"/>
      <c r="AQ543" s="585"/>
      <c r="AR543" s="585"/>
    </row>
    <row r="544">
      <c r="A544" s="621"/>
      <c r="B544" s="627" t="str">
        <f>IFERROR(__xludf.DUMMYFUNCTION("""COMPUTED_VALUE"""),"Feedback demo R1")</f>
        <v>Feedback demo R1</v>
      </c>
      <c r="C544" s="628"/>
      <c r="D544" s="602" t="str">
        <f>IFERROR(__xludf.DUMMYFUNCTION("""COMPUTED_VALUE"""),"BRAND")</f>
        <v>BRAND</v>
      </c>
      <c r="E544" s="624" t="str">
        <f>IFERROR(__xludf.DUMMYFUNCTION("""COMPUTED_VALUE"""),"Not start yet")</f>
        <v>Not start yet</v>
      </c>
      <c r="F544" s="604">
        <f>IFERROR(__xludf.DUMMYFUNCTION("""COMPUTED_VALUE"""),46167.0)</f>
        <v>46167</v>
      </c>
      <c r="G544" s="639">
        <f>IFERROR(__xludf.DUMMYFUNCTION("""COMPUTED_VALUE"""),46167.0)</f>
        <v>46167</v>
      </c>
      <c r="H544" s="585"/>
      <c r="I544" s="625"/>
      <c r="J544" s="630" t="s">
        <v>887</v>
      </c>
      <c r="K544" s="585"/>
      <c r="L544" s="585"/>
      <c r="M544" s="585"/>
      <c r="N544" s="585"/>
      <c r="O544" s="585"/>
      <c r="P544" s="585"/>
      <c r="Q544" s="585"/>
      <c r="R544" s="585"/>
      <c r="S544" s="585"/>
      <c r="T544" s="585"/>
      <c r="U544" s="585"/>
      <c r="V544" s="585"/>
      <c r="W544" s="585"/>
      <c r="X544" s="585"/>
      <c r="Y544" s="585"/>
      <c r="Z544" s="585"/>
      <c r="AA544" s="585"/>
      <c r="AB544" s="585"/>
      <c r="AC544" s="585"/>
      <c r="AD544" s="585"/>
      <c r="AE544" s="585"/>
      <c r="AF544" s="585"/>
      <c r="AG544" s="585"/>
      <c r="AH544" s="585"/>
      <c r="AI544" s="585"/>
      <c r="AJ544" s="585"/>
      <c r="AK544" s="585"/>
      <c r="AL544" s="585"/>
      <c r="AM544" s="585"/>
      <c r="AN544" s="585"/>
      <c r="AO544" s="585"/>
      <c r="AP544" s="585"/>
      <c r="AQ544" s="585"/>
      <c r="AR544" s="585"/>
    </row>
    <row r="545">
      <c r="A545" s="621"/>
      <c r="B545" s="633" t="str">
        <f>IFERROR(__xludf.DUMMYFUNCTION("""COMPUTED_VALUE"""),"Demo R2")</f>
        <v>Demo R2</v>
      </c>
      <c r="C545" s="628"/>
      <c r="D545" s="602" t="str">
        <f>IFERROR(__xludf.DUMMYFUNCTION("""COMPUTED_VALUE"""),"PMAX")</f>
        <v>PMAX</v>
      </c>
      <c r="E545" s="624" t="str">
        <f>IFERROR(__xludf.DUMMYFUNCTION("""COMPUTED_VALUE"""),"Not start yet")</f>
        <v>Not start yet</v>
      </c>
      <c r="F545" s="604">
        <f>IFERROR(__xludf.DUMMYFUNCTION("""COMPUTED_VALUE"""),46169.0)</f>
        <v>46169</v>
      </c>
      <c r="G545" s="639">
        <f>IFERROR(__xludf.DUMMYFUNCTION("""COMPUTED_VALUE"""),46169.0)</f>
        <v>46169</v>
      </c>
      <c r="H545" s="585"/>
      <c r="I545" s="625"/>
      <c r="J545" s="625"/>
      <c r="K545" s="585"/>
      <c r="L545" s="585"/>
      <c r="M545" s="585"/>
      <c r="N545" s="585"/>
      <c r="O545" s="585"/>
      <c r="P545" s="585"/>
      <c r="Q545" s="585"/>
      <c r="R545" s="585"/>
      <c r="S545" s="585"/>
      <c r="T545" s="585"/>
      <c r="U545" s="585"/>
      <c r="V545" s="585"/>
      <c r="W545" s="585"/>
      <c r="X545" s="585"/>
      <c r="Y545" s="585"/>
      <c r="Z545" s="585"/>
      <c r="AA545" s="585"/>
      <c r="AB545" s="585"/>
      <c r="AC545" s="585"/>
      <c r="AD545" s="585"/>
      <c r="AE545" s="585"/>
      <c r="AF545" s="585"/>
      <c r="AG545" s="585"/>
      <c r="AH545" s="585"/>
      <c r="AI545" s="585"/>
      <c r="AJ545" s="585"/>
      <c r="AK545" s="585"/>
      <c r="AL545" s="585"/>
      <c r="AM545" s="585"/>
      <c r="AN545" s="585"/>
      <c r="AO545" s="585"/>
      <c r="AP545" s="585"/>
      <c r="AQ545" s="585"/>
      <c r="AR545" s="585"/>
    </row>
    <row r="546">
      <c r="A546" s="621"/>
      <c r="B546" s="627" t="str">
        <f>IFERROR(__xludf.DUMMYFUNCTION("""COMPUTED_VALUE"""),"Feedback demo R2")</f>
        <v>Feedback demo R2</v>
      </c>
      <c r="C546" s="628"/>
      <c r="D546" s="602" t="str">
        <f>IFERROR(__xludf.DUMMYFUNCTION("""COMPUTED_VALUE"""),"BRAND")</f>
        <v>BRAND</v>
      </c>
      <c r="E546" s="624" t="str">
        <f>IFERROR(__xludf.DUMMYFUNCTION("""COMPUTED_VALUE"""),"Not start yet")</f>
        <v>Not start yet</v>
      </c>
      <c r="F546" s="604">
        <f>IFERROR(__xludf.DUMMYFUNCTION("""COMPUTED_VALUE"""),46170.0)</f>
        <v>46170</v>
      </c>
      <c r="G546" s="639">
        <f>IFERROR(__xludf.DUMMYFUNCTION("""COMPUTED_VALUE"""),46170.0)</f>
        <v>46170</v>
      </c>
      <c r="H546" s="585"/>
      <c r="I546" s="625"/>
      <c r="J546" s="625"/>
      <c r="K546" s="585"/>
      <c r="L546" s="585"/>
      <c r="M546" s="585"/>
      <c r="N546" s="585"/>
      <c r="O546" s="585"/>
      <c r="P546" s="585"/>
      <c r="Q546" s="585"/>
      <c r="R546" s="585"/>
      <c r="S546" s="585"/>
      <c r="T546" s="585"/>
      <c r="U546" s="585"/>
      <c r="V546" s="585"/>
      <c r="W546" s="585"/>
      <c r="X546" s="585"/>
      <c r="Y546" s="585"/>
      <c r="Z546" s="585"/>
      <c r="AA546" s="585"/>
      <c r="AB546" s="585"/>
      <c r="AC546" s="585"/>
      <c r="AD546" s="585"/>
      <c r="AE546" s="585"/>
      <c r="AF546" s="585"/>
      <c r="AG546" s="585"/>
      <c r="AH546" s="585"/>
      <c r="AI546" s="585"/>
      <c r="AJ546" s="585"/>
      <c r="AK546" s="585"/>
      <c r="AL546" s="585"/>
      <c r="AM546" s="585"/>
      <c r="AN546" s="585"/>
      <c r="AO546" s="585"/>
      <c r="AP546" s="585"/>
      <c r="AQ546" s="585"/>
      <c r="AR546" s="585"/>
    </row>
    <row r="547">
      <c r="A547" s="621"/>
      <c r="B547" s="627" t="str">
        <f>IFERROR(__xludf.DUMMYFUNCTION("""COMPUTED_VALUE"""),"Finalize demo")</f>
        <v>Finalize demo</v>
      </c>
      <c r="C547" s="628"/>
      <c r="D547" s="602" t="str">
        <f>IFERROR(__xludf.DUMMYFUNCTION("""COMPUTED_VALUE"""),"PMAX")</f>
        <v>PMAX</v>
      </c>
      <c r="E547" s="624" t="str">
        <f>IFERROR(__xludf.DUMMYFUNCTION("""COMPUTED_VALUE"""),"Not start yet")</f>
        <v>Not start yet</v>
      </c>
      <c r="F547" s="604">
        <f>IFERROR(__xludf.DUMMYFUNCTION("""COMPUTED_VALUE"""),46171.0)</f>
        <v>46171</v>
      </c>
      <c r="G547" s="639">
        <f>IFERROR(__xludf.DUMMYFUNCTION("""COMPUTED_VALUE"""),46171.0)</f>
        <v>46171</v>
      </c>
      <c r="H547" s="585"/>
      <c r="I547" s="629">
        <v>1.0</v>
      </c>
      <c r="J547" s="630" t="s">
        <v>888</v>
      </c>
      <c r="K547" s="585"/>
      <c r="L547" s="585"/>
      <c r="M547" s="585"/>
      <c r="N547" s="585"/>
      <c r="O547" s="585"/>
      <c r="P547" s="585"/>
      <c r="Q547" s="585"/>
      <c r="R547" s="585"/>
      <c r="S547" s="585"/>
      <c r="T547" s="585"/>
      <c r="U547" s="585"/>
      <c r="V547" s="585"/>
      <c r="W547" s="585"/>
      <c r="X547" s="585"/>
      <c r="Y547" s="585"/>
      <c r="Z547" s="585"/>
      <c r="AA547" s="585"/>
      <c r="AB547" s="585"/>
      <c r="AC547" s="585"/>
      <c r="AD547" s="585"/>
      <c r="AE547" s="585"/>
      <c r="AF547" s="585"/>
      <c r="AG547" s="585"/>
      <c r="AH547" s="585"/>
      <c r="AI547" s="585"/>
      <c r="AJ547" s="585"/>
      <c r="AK547" s="585"/>
      <c r="AL547" s="585"/>
      <c r="AM547" s="585"/>
      <c r="AN547" s="585"/>
      <c r="AO547" s="585"/>
      <c r="AP547" s="585"/>
      <c r="AQ547" s="585"/>
      <c r="AR547" s="585"/>
    </row>
    <row r="548">
      <c r="A548" s="621"/>
      <c r="B548" s="634" t="str">
        <f>IFERROR(__xludf.DUMMYFUNCTION("""COMPUTED_VALUE"""),"Air")</f>
        <v>Air</v>
      </c>
      <c r="C548" s="26"/>
      <c r="D548" s="602" t="str">
        <f>IFERROR(__xludf.DUMMYFUNCTION("""COMPUTED_VALUE"""),"PMAX")</f>
        <v>PMAX</v>
      </c>
      <c r="E548" s="624" t="str">
        <f>IFERROR(__xludf.DUMMYFUNCTION("""COMPUTED_VALUE"""),"Not start yet")</f>
        <v>Not start yet</v>
      </c>
      <c r="F548" s="604" t="str">
        <f>IFERROR(__xludf.DUMMYFUNCTION("""COMPUTED_VALUE"""),"TBU")</f>
        <v>TBU</v>
      </c>
      <c r="G548" s="639" t="str">
        <f>IFERROR(__xludf.DUMMYFUNCTION("""COMPUTED_VALUE"""),"TBU")</f>
        <v>TBU</v>
      </c>
      <c r="H548" s="585"/>
      <c r="I548" s="636">
        <v>1.0</v>
      </c>
      <c r="J548" s="585"/>
      <c r="K548" s="585"/>
      <c r="L548" s="585"/>
      <c r="M548" s="585"/>
      <c r="N548" s="585"/>
      <c r="O548" s="585"/>
      <c r="P548" s="585"/>
      <c r="Q548" s="585"/>
      <c r="R548" s="585"/>
      <c r="S548" s="585"/>
      <c r="T548" s="585"/>
      <c r="U548" s="585"/>
      <c r="V548" s="585"/>
      <c r="W548" s="585"/>
      <c r="X548" s="585"/>
      <c r="Y548" s="585"/>
      <c r="Z548" s="585"/>
      <c r="AA548" s="585"/>
      <c r="AB548" s="585"/>
      <c r="AC548" s="585"/>
      <c r="AD548" s="585"/>
      <c r="AE548" s="585"/>
      <c r="AF548" s="585"/>
      <c r="AG548" s="585"/>
      <c r="AH548" s="585"/>
      <c r="AI548" s="585"/>
      <c r="AJ548" s="585"/>
      <c r="AK548" s="585"/>
      <c r="AL548" s="585"/>
      <c r="AM548" s="585"/>
      <c r="AN548" s="585"/>
      <c r="AO548" s="585"/>
      <c r="AP548" s="585"/>
      <c r="AQ548" s="585"/>
      <c r="AR548" s="585"/>
    </row>
    <row r="549">
      <c r="A549" s="644" t="str">
        <f>IFERROR(__xludf.DUMMYFUNCTION("""COMPUTED_VALUE"""),"D")</f>
        <v>D</v>
      </c>
      <c r="B549" s="645" t="str">
        <f>IFERROR(__xludf.DUMMYFUNCTION("""COMPUTED_VALUE"""),"SEEDING PACKAGE")</f>
        <v>SEEDING PACKAGE</v>
      </c>
      <c r="C549" s="614"/>
      <c r="D549" s="614"/>
      <c r="E549" s="614"/>
      <c r="F549" s="614"/>
      <c r="G549" s="614"/>
      <c r="H549" s="585"/>
      <c r="I549" s="585"/>
      <c r="J549" s="585"/>
      <c r="K549" s="585"/>
      <c r="L549" s="585"/>
      <c r="M549" s="585"/>
      <c r="N549" s="585"/>
      <c r="O549" s="585"/>
      <c r="P549" s="585"/>
      <c r="Q549" s="585"/>
      <c r="R549" s="585"/>
      <c r="S549" s="585"/>
      <c r="T549" s="585"/>
      <c r="U549" s="585"/>
      <c r="V549" s="585"/>
      <c r="W549" s="585"/>
      <c r="X549" s="585"/>
      <c r="Y549" s="585"/>
      <c r="Z549" s="585"/>
      <c r="AA549" s="585"/>
      <c r="AB549" s="585"/>
      <c r="AC549" s="585"/>
      <c r="AD549" s="585"/>
      <c r="AE549" s="585"/>
      <c r="AF549" s="585"/>
      <c r="AG549" s="585"/>
      <c r="AH549" s="585"/>
      <c r="AI549" s="585"/>
      <c r="AJ549" s="585"/>
      <c r="AK549" s="585"/>
      <c r="AL549" s="585"/>
      <c r="AM549" s="585"/>
      <c r="AN549" s="585"/>
      <c r="AO549" s="585"/>
      <c r="AP549" s="585"/>
      <c r="AQ549" s="585"/>
      <c r="AR549" s="585"/>
    </row>
    <row r="550">
      <c r="A550" s="646"/>
      <c r="B550" s="647" t="str">
        <f>IFERROR(__xludf.DUMMYFUNCTION("""COMPUTED_VALUE"""),"Feedback brief seeding")</f>
        <v>Feedback brief seeding</v>
      </c>
      <c r="C550" s="646" t="str">
        <f>IFERROR(__xludf.DUMMYFUNCTION("""COMPUTED_VALUE"""),"SEEDING")</f>
        <v>SEEDING</v>
      </c>
      <c r="D550" s="648" t="str">
        <f>IFERROR(__xludf.DUMMYFUNCTION("""COMPUTED_VALUE"""),"BRAND")</f>
        <v>BRAND</v>
      </c>
      <c r="E550" s="649" t="str">
        <f>IFERROR(__xludf.DUMMYFUNCTION("""COMPUTED_VALUE"""),"Not start yet")</f>
        <v>Not start yet</v>
      </c>
      <c r="F550" s="650"/>
      <c r="G550" s="650"/>
    </row>
    <row r="551">
      <c r="A551" s="646"/>
      <c r="B551" s="647" t="str">
        <f>IFERROR(__xludf.DUMMYFUNCTION("""COMPUTED_VALUE"""),"Finalize brief seeding")</f>
        <v>Finalize brief seeding</v>
      </c>
      <c r="C551" s="646"/>
      <c r="D551" s="648" t="str">
        <f>IFERROR(__xludf.DUMMYFUNCTION("""COMPUTED_VALUE"""),"PMAX")</f>
        <v>PMAX</v>
      </c>
      <c r="E551" s="649" t="str">
        <f>IFERROR(__xludf.DUMMYFUNCTION("""COMPUTED_VALUE"""),"Not start yet")</f>
        <v>Not start yet</v>
      </c>
      <c r="F551" s="651"/>
      <c r="G551" s="651"/>
    </row>
    <row r="552">
      <c r="A552" s="646"/>
      <c r="B552" s="647" t="str">
        <f>IFERROR(__xludf.DUMMYFUNCTION("""COMPUTED_VALUE"""),"Seeding comment detail")</f>
        <v>Seeding comment detail</v>
      </c>
      <c r="C552" s="646"/>
      <c r="D552" s="648" t="str">
        <f>IFERROR(__xludf.DUMMYFUNCTION("""COMPUTED_VALUE"""),"PMAX")</f>
        <v>PMAX</v>
      </c>
      <c r="E552" s="649" t="str">
        <f>IFERROR(__xludf.DUMMYFUNCTION("""COMPUTED_VALUE"""),"Not start yet")</f>
        <v>Not start yet</v>
      </c>
      <c r="F552" s="651"/>
      <c r="G552" s="652"/>
    </row>
    <row r="553">
      <c r="A553" s="646"/>
      <c r="B553" s="647" t="str">
        <f>IFERROR(__xludf.DUMMYFUNCTION("""COMPUTED_VALUE"""),"Feedback seeding")</f>
        <v>Feedback seeding</v>
      </c>
      <c r="C553" s="646"/>
      <c r="D553" s="648" t="str">
        <f>IFERROR(__xludf.DUMMYFUNCTION("""COMPUTED_VALUE"""),"BRAND")</f>
        <v>BRAND</v>
      </c>
      <c r="E553" s="649" t="str">
        <f>IFERROR(__xludf.DUMMYFUNCTION("""COMPUTED_VALUE"""),"Not start yet")</f>
        <v>Not start yet</v>
      </c>
      <c r="F553" s="652"/>
      <c r="G553" s="652"/>
    </row>
    <row r="554">
      <c r="A554" s="646"/>
      <c r="B554" s="647" t="str">
        <f>IFERROR(__xludf.DUMMYFUNCTION("""COMPUTED_VALUE"""),"Finalize seeding")</f>
        <v>Finalize seeding</v>
      </c>
      <c r="C554" s="646"/>
      <c r="D554" s="648" t="str">
        <f>IFERROR(__xludf.DUMMYFUNCTION("""COMPUTED_VALUE"""),"PMAX")</f>
        <v>PMAX</v>
      </c>
      <c r="E554" s="649" t="str">
        <f>IFERROR(__xludf.DUMMYFUNCTION("""COMPUTED_VALUE"""),"Not start yet")</f>
        <v>Not start yet</v>
      </c>
      <c r="F554" s="652"/>
      <c r="G554" s="652"/>
    </row>
    <row r="555">
      <c r="A555" s="646"/>
      <c r="B555" s="647" t="str">
        <f>IFERROR(__xludf.DUMMYFUNCTION("""COMPUTED_VALUE"""),"Seeding")</f>
        <v>Seeding</v>
      </c>
      <c r="C555" s="646"/>
      <c r="D555" s="648" t="str">
        <f>IFERROR(__xludf.DUMMYFUNCTION("""COMPUTED_VALUE"""),"PMAX")</f>
        <v>PMAX</v>
      </c>
      <c r="E555" s="649" t="str">
        <f>IFERROR(__xludf.DUMMYFUNCTION("""COMPUTED_VALUE"""),"Not start yet")</f>
        <v>Not start yet</v>
      </c>
      <c r="F555" s="652"/>
      <c r="G555" s="653"/>
    </row>
    <row r="556">
      <c r="B556" s="654"/>
    </row>
  </sheetData>
  <mergeCells count="39">
    <mergeCell ref="A2:G2"/>
    <mergeCell ref="A22:G22"/>
    <mergeCell ref="C26:C38"/>
    <mergeCell ref="C40:C52"/>
    <mergeCell ref="C54:C66"/>
    <mergeCell ref="C68:C80"/>
    <mergeCell ref="C82:C94"/>
    <mergeCell ref="C96:C108"/>
    <mergeCell ref="C110:C122"/>
    <mergeCell ref="C124:C136"/>
    <mergeCell ref="C138:C150"/>
    <mergeCell ref="C154:C166"/>
    <mergeCell ref="C168:C180"/>
    <mergeCell ref="C182:C194"/>
    <mergeCell ref="C196:C208"/>
    <mergeCell ref="C210:C222"/>
    <mergeCell ref="C224:C236"/>
    <mergeCell ref="C238:C250"/>
    <mergeCell ref="C252:C264"/>
    <mergeCell ref="C267:C279"/>
    <mergeCell ref="C281:C293"/>
    <mergeCell ref="C295:C307"/>
    <mergeCell ref="C309:C321"/>
    <mergeCell ref="C323:C335"/>
    <mergeCell ref="C338:C350"/>
    <mergeCell ref="C352:C364"/>
    <mergeCell ref="C366:C378"/>
    <mergeCell ref="C380:C392"/>
    <mergeCell ref="C494:C506"/>
    <mergeCell ref="C508:C520"/>
    <mergeCell ref="C522:C534"/>
    <mergeCell ref="C536:C548"/>
    <mergeCell ref="C395:C407"/>
    <mergeCell ref="C410:C422"/>
    <mergeCell ref="C424:C436"/>
    <mergeCell ref="C438:C450"/>
    <mergeCell ref="C452:C464"/>
    <mergeCell ref="C466:C478"/>
    <mergeCell ref="C480:C492"/>
  </mergeCells>
  <dataValidations>
    <dataValidation type="list" allowBlank="1" sqref="C5:C15 C17:C19 D26:D38 D40:D52 D54:D66 D68:D80 D82:D94 D96:D108 D110:D122 D124:D136 D138:D150 D154:D166 D168:D180 D182:D194 D196:D208 D210:D222 D224:D236 D238:D250 D252:D264 D267:D279 D281:D293 D295:D307 D309:D321 D323:D335 D338:D350 D352:D364 D366:D378 D380:D392 D395:D407 D410:D422 D424:D436 D438:D450 D452:D464 D466:D478 D480:D492 D494:D506 D508:D520 D522:D534 D536:D548 D550:D555">
      <formula1>"PMAX,BRAND,PMAX-BRAND"</formula1>
    </dataValidation>
    <dataValidation type="list" allowBlank="1" showErrorMessage="1" sqref="E26:E38 E40:E52 E54:E66 E68:E80 E82:E94 E96:E108 E110:E122 E124:E136 E138:E150 E154:E166 E168:E180 E182:E194 E196:E208 E210:E222 E224:E236 E238:E250 E252:E264 E267:E279 E281:E293 E295:E307 E309:E321 E323:E335 E338:E350 E352:E364 E366:E378 E380:E392 E395:E407 E410:E422 E424:E436 E438:E450 E452:E464 E466:E478 E480:E492 E494:E506 E508:E520 E522:E534 E536:E548 E550:E555">
      <formula1>"Done,On going,Not start yet"</formula1>
    </dataValidation>
    <dataValidation type="list" allowBlank="1" showErrorMessage="1" sqref="G6:G12 G14:G15 G17:G19">
      <formula1>"Not yet,On going,Done,Pending,Skip,TBU"</formula1>
    </dataValidation>
  </dataValidations>
  <hyperlinks>
    <hyperlink r:id="rId1" location="gid=401671460" ref="J2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Row="1"/>
  <cols>
    <col customWidth="1" min="2" max="2" width="28.63"/>
    <col customWidth="1" min="8" max="8" width="67.38"/>
    <col customWidth="1" min="9" max="9" width="11.38"/>
    <col customWidth="1" min="10" max="10" width="35.38"/>
    <col customWidth="1" min="11" max="14" width="28.13"/>
    <col customWidth="1" min="15" max="15" width="66.75"/>
    <col customWidth="1" min="16" max="30" width="28.13"/>
  </cols>
  <sheetData>
    <row r="1">
      <c r="A1" s="227" t="str">
        <f>IFERROR(__xludf.DUMMYFUNCTION("importrange(""https://docs.google.com/spreadsheets/d/1vaepmEWZwQPcFnJybT7zJVCFQxsVk_MSW_pJStnUg6U/edit?gid=1162097568#gid=1162097568"",""'INT | Influencer Execution Tracking'!1:970"")"),"PMAX | C.P.GROUP VIETNAM - INFLUENCERS WORKPLAN")</f>
        <v>PMAX | C.P.GROUP VIETNAM - INFLUENCERS WORKPLAN</v>
      </c>
      <c r="B1" s="228"/>
      <c r="C1" s="228"/>
      <c r="D1" s="228"/>
      <c r="E1" s="228"/>
      <c r="F1" s="228"/>
      <c r="G1" s="228"/>
      <c r="H1" s="229" t="str">
        <f>IFERROR(__xludf.DUMMYFUNCTION("""COMPUTED_VALUE"""),"XM")</f>
        <v>XM</v>
      </c>
      <c r="I1" s="230"/>
      <c r="J1" s="655" t="str">
        <f>IFERROR(__xludf.DUMMYFUNCTION("""COMPUTED_VALUE"""),"Meci")</f>
        <v>Meci</v>
      </c>
      <c r="K1" s="232"/>
      <c r="L1" s="232"/>
      <c r="M1" s="234" t="str">
        <f>IFERROR(__xludf.DUMMYFUNCTION("""COMPUTED_VALUE"""),"T5A")</f>
        <v>T5A</v>
      </c>
      <c r="N1" s="228"/>
      <c r="O1" s="236"/>
      <c r="P1" s="228"/>
      <c r="Q1" s="228"/>
      <c r="R1" s="228"/>
      <c r="S1" s="228"/>
      <c r="T1" s="228"/>
      <c r="U1" s="228"/>
      <c r="V1" s="228"/>
      <c r="W1" s="228"/>
      <c r="X1" s="228"/>
      <c r="Y1" s="228"/>
      <c r="Z1" s="228"/>
      <c r="AA1" s="228"/>
      <c r="AB1" s="228"/>
      <c r="AC1" s="228"/>
      <c r="AD1" s="228"/>
      <c r="AE1" s="228"/>
      <c r="AF1" s="228"/>
      <c r="AG1" s="228"/>
      <c r="AH1" s="228"/>
      <c r="AI1" s="228"/>
      <c r="AJ1" s="228"/>
      <c r="AK1" s="228"/>
      <c r="AL1" s="228"/>
      <c r="AM1" s="228"/>
    </row>
    <row r="2">
      <c r="A2" s="242"/>
      <c r="B2" s="228"/>
      <c r="C2" s="228"/>
      <c r="D2" s="228"/>
      <c r="E2" s="228"/>
      <c r="F2" s="228"/>
      <c r="G2" s="228"/>
      <c r="H2" s="241"/>
      <c r="I2" s="243"/>
      <c r="J2" s="246" t="str">
        <f>IFERROR(__xludf.DUMMYFUNCTION("""COMPUTED_VALUE"""),"30/37")</f>
        <v>30/37</v>
      </c>
      <c r="K2" s="243"/>
      <c r="L2" s="243"/>
      <c r="M2" s="246" t="str">
        <f>IFERROR(__xludf.DUMMYFUNCTION("""COMPUTED_VALUE"""),"34/37")</f>
        <v>34/37</v>
      </c>
      <c r="N2" s="246" t="str">
        <f>IFERROR(__xludf.DUMMYFUNCTION("""COMPUTED_VALUE"""),"8/37")</f>
        <v>8/37</v>
      </c>
      <c r="O2" s="246" t="str">
        <f>IFERROR(__xludf.DUMMYFUNCTION("""COMPUTED_VALUE"""),"33/37")</f>
        <v>33/37</v>
      </c>
      <c r="P2" s="246" t="str">
        <f>IFERROR(__xludf.DUMMYFUNCTION("""COMPUTED_VALUE"""),"12/37")</f>
        <v>12/37</v>
      </c>
      <c r="Q2" s="246" t="str">
        <f>IFERROR(__xludf.DUMMYFUNCTION("""COMPUTED_VALUE"""),"11/37")</f>
        <v>11/37</v>
      </c>
      <c r="R2" s="246" t="str">
        <f>IFERROR(__xludf.DUMMYFUNCTION("""COMPUTED_VALUE"""),"5/37")</f>
        <v>5/37</v>
      </c>
      <c r="S2" s="246" t="str">
        <f>IFERROR(__xludf.DUMMYFUNCTION("""COMPUTED_VALUE"""),"0/37")</f>
        <v>0/37</v>
      </c>
      <c r="T2" s="246" t="str">
        <f>IFERROR(__xludf.DUMMYFUNCTION("""COMPUTED_VALUE"""),"0/37")</f>
        <v>0/37</v>
      </c>
      <c r="U2" s="246" t="str">
        <f>IFERROR(__xludf.DUMMYFUNCTION("""COMPUTED_VALUE"""),"0/37")</f>
        <v>0/37</v>
      </c>
      <c r="V2" s="246" t="str">
        <f>IFERROR(__xludf.DUMMYFUNCTION("""COMPUTED_VALUE"""),"0/37")</f>
        <v>0/37</v>
      </c>
      <c r="W2" s="246" t="str">
        <f>IFERROR(__xludf.DUMMYFUNCTION("""COMPUTED_VALUE"""),"0/37")</f>
        <v>0/37</v>
      </c>
      <c r="X2" s="246" t="str">
        <f>IFERROR(__xludf.DUMMYFUNCTION("""COMPUTED_VALUE"""),"0/37")</f>
        <v>0/37</v>
      </c>
      <c r="Y2" s="246" t="str">
        <f>IFERROR(__xludf.DUMMYFUNCTION("""COMPUTED_VALUE"""),"0/37")</f>
        <v>0/37</v>
      </c>
      <c r="Z2" s="246" t="str">
        <f>IFERROR(__xludf.DUMMYFUNCTION("""COMPUTED_VALUE"""),"0/37")</f>
        <v>0/37</v>
      </c>
      <c r="AA2" s="246" t="str">
        <f>IFERROR(__xludf.DUMMYFUNCTION("""COMPUTED_VALUE"""),"0/37")</f>
        <v>0/37</v>
      </c>
      <c r="AB2" s="246" t="str">
        <f>IFERROR(__xludf.DUMMYFUNCTION("""COMPUTED_VALUE"""),"0/37")</f>
        <v>0/37</v>
      </c>
      <c r="AC2" s="246" t="str">
        <f>IFERROR(__xludf.DUMMYFUNCTION("""COMPUTED_VALUE"""),"0/37")</f>
        <v>0/37</v>
      </c>
      <c r="AD2" s="228"/>
      <c r="AE2" s="228"/>
      <c r="AF2" s="228"/>
      <c r="AG2" s="228"/>
      <c r="AH2" s="228"/>
      <c r="AI2" s="228"/>
      <c r="AJ2" s="228"/>
      <c r="AK2" s="228"/>
      <c r="AL2" s="228"/>
      <c r="AM2" s="228"/>
    </row>
    <row r="3" ht="30.0" customHeight="1">
      <c r="A3" s="250" t="str">
        <f>IFERROR(__xludf.DUMMYFUNCTION("""COMPUTED_VALUE"""),"No.")</f>
        <v>No.</v>
      </c>
      <c r="B3" s="252" t="str">
        <f>IFERROR(__xludf.DUMMYFUNCTION("""COMPUTED_VALUE"""),"Name")</f>
        <v>Name</v>
      </c>
      <c r="C3" s="252" t="str">
        <f>IFERROR(__xludf.DUMMYFUNCTION("""COMPUTED_VALUE"""),"Platform")</f>
        <v>Platform</v>
      </c>
      <c r="D3" s="253" t="str">
        <f>IFERROR(__xludf.DUMMYFUNCTION("""COMPUTED_VALUE"""),"Followers")</f>
        <v>Followers</v>
      </c>
      <c r="E3" s="254" t="str">
        <f>IFERROR(__xludf.DUMMYFUNCTION("""COMPUTED_VALUE"""),"Tiers")</f>
        <v>Tiers</v>
      </c>
      <c r="F3" s="255" t="str">
        <f>IFERROR(__xludf.DUMMYFUNCTION("""COMPUTED_VALUE"""),"Link")</f>
        <v>Link</v>
      </c>
      <c r="G3" s="252" t="str">
        <f>IFERROR(__xludf.DUMMYFUNCTION("""COMPUTED_VALUE"""),"Location")</f>
        <v>Location</v>
      </c>
      <c r="H3" s="256" t="str">
        <f>IFERROR(__xludf.DUMMYFUNCTION("""COMPUTED_VALUE"""),"SOW")</f>
        <v>SOW</v>
      </c>
      <c r="I3" s="252" t="str">
        <f>IFERROR(__xludf.DUMMYFUNCTION("""COMPUTED_VALUE"""),"Outfit Tracking")</f>
        <v>Outfit Tracking</v>
      </c>
      <c r="J3" s="252" t="str">
        <f>IFERROR(__xludf.DUMMYFUNCTION("""COMPUTED_VALUE"""),"Địa điểm quay + thời gian")</f>
        <v>Địa điểm quay + thời gian</v>
      </c>
      <c r="K3" s="252" t="str">
        <f>IFERROR(__xludf.DUMMYFUNCTION("""COMPUTED_VALUE"""),"Outfit")</f>
        <v>Outfit</v>
      </c>
      <c r="L3" s="252" t="str">
        <f>IFERROR(__xludf.DUMMYFUNCTION("""COMPUTED_VALUE"""),"Outfit")</f>
        <v>Outfit</v>
      </c>
      <c r="M3" s="252" t="str">
        <f>IFERROR(__xludf.DUMMYFUNCTION("""COMPUTED_VALUE"""),"SCRIPT R1")</f>
        <v>SCRIPT R1</v>
      </c>
      <c r="N3" s="252" t="str">
        <f>IFERROR(__xludf.DUMMYFUNCTION("""COMPUTED_VALUE"""),"Feedback PMAX R1")</f>
        <v>Feedback PMAX R1</v>
      </c>
      <c r="O3" s="252" t="str">
        <f>IFERROR(__xludf.DUMMYFUNCTION("""COMPUTED_VALUE"""),"Feedback Brand team R1")</f>
        <v>Feedback Brand team R1</v>
      </c>
      <c r="P3" s="252" t="str">
        <f>IFERROR(__xludf.DUMMYFUNCTION("""COMPUTED_VALUE"""),"SCRIPT R2")</f>
        <v>SCRIPT R2</v>
      </c>
      <c r="Q3" s="252" t="str">
        <f>IFERROR(__xludf.DUMMYFUNCTION("""COMPUTED_VALUE"""),"Feedback PMAX R2")</f>
        <v>Feedback PMAX R2</v>
      </c>
      <c r="R3" s="252" t="str">
        <f>IFERROR(__xludf.DUMMYFUNCTION("""COMPUTED_VALUE"""),"Feedback Brand team R2")</f>
        <v>Feedback Brand team R2</v>
      </c>
      <c r="S3" s="252" t="str">
        <f>IFERROR(__xludf.DUMMYFUNCTION("""COMPUTED_VALUE"""),"DEMO")</f>
        <v>DEMO</v>
      </c>
      <c r="T3" s="252" t="str">
        <f>IFERROR(__xludf.DUMMYFUNCTION("""COMPUTED_VALUE"""),"DEMO R1")</f>
        <v>DEMO R1</v>
      </c>
      <c r="U3" s="252" t="str">
        <f>IFERROR(__xludf.DUMMYFUNCTION("""COMPUTED_VALUE"""),"Feedback PMAX R1")</f>
        <v>Feedback PMAX R1</v>
      </c>
      <c r="V3" s="252" t="str">
        <f>IFERROR(__xludf.DUMMYFUNCTION("""COMPUTED_VALUE"""),"Feedback Brand team R1")</f>
        <v>Feedback Brand team R1</v>
      </c>
      <c r="W3" s="252" t="str">
        <f>IFERROR(__xludf.DUMMYFUNCTION("""COMPUTED_VALUE"""),"DEMO R2")</f>
        <v>DEMO R2</v>
      </c>
      <c r="X3" s="252" t="str">
        <f>IFERROR(__xludf.DUMMYFUNCTION("""COMPUTED_VALUE"""),"Feedback PMAX R2")</f>
        <v>Feedback PMAX R2</v>
      </c>
      <c r="Y3" s="252" t="str">
        <f>IFERROR(__xludf.DUMMYFUNCTION("""COMPUTED_VALUE"""),"Feedback Brand team R2")</f>
        <v>Feedback Brand team R2</v>
      </c>
      <c r="Z3" s="252" t="str">
        <f>IFERROR(__xludf.DUMMYFUNCTION("""COMPUTED_VALUE"""),"Final Demo")</f>
        <v>Final Demo</v>
      </c>
      <c r="AA3" s="252" t="str">
        <f>IFERROR(__xludf.DUMMYFUNCTION("""COMPUTED_VALUE"""),"Caption")</f>
        <v>Caption</v>
      </c>
      <c r="AB3" s="252" t="str">
        <f>IFERROR(__xludf.DUMMYFUNCTION("""COMPUTED_VALUE"""),"Lịch Air dự kiến")</f>
        <v>Lịch Air dự kiến</v>
      </c>
      <c r="AC3" s="252" t="str">
        <f>IFERROR(__xludf.DUMMYFUNCTION("""COMPUTED_VALUE"""),"LINK AIR")</f>
        <v>LINK AIR</v>
      </c>
      <c r="AD3" s="252" t="str">
        <f>IFERROR(__xludf.DUMMYFUNCTION("""COMPUTED_VALUE"""),"GHI CHÚ")</f>
        <v>GHI CHÚ</v>
      </c>
      <c r="AE3" s="656"/>
      <c r="AF3" s="656"/>
      <c r="AG3" s="656"/>
      <c r="AH3" s="656"/>
      <c r="AI3" s="656"/>
      <c r="AJ3" s="656"/>
      <c r="AK3" s="656"/>
      <c r="AL3" s="656"/>
      <c r="AM3" s="656"/>
    </row>
    <row r="4" ht="35.25" customHeight="1" outlineLevel="1">
      <c r="A4" s="262" t="str">
        <f>IFERROR(__xludf.DUMMYFUNCTION("""COMPUTED_VALUE"""),"FOODY REVIEWER")</f>
        <v>FOODY REVIEWER</v>
      </c>
      <c r="B4" s="263"/>
      <c r="C4" s="263"/>
      <c r="D4" s="263"/>
      <c r="E4" s="263"/>
      <c r="F4" s="263"/>
      <c r="G4" s="263"/>
      <c r="H4" s="264"/>
      <c r="I4" s="263"/>
      <c r="J4" s="263"/>
      <c r="K4" s="263"/>
      <c r="L4" s="263"/>
      <c r="M4" s="263"/>
      <c r="N4" s="263"/>
      <c r="O4" s="265"/>
      <c r="P4" s="263"/>
      <c r="Q4" s="263"/>
      <c r="R4" s="263"/>
      <c r="S4" s="263"/>
      <c r="T4" s="263"/>
      <c r="U4" s="263"/>
      <c r="V4" s="263"/>
      <c r="W4" s="263"/>
      <c r="X4" s="263"/>
      <c r="Y4" s="263"/>
      <c r="Z4" s="263"/>
      <c r="AA4" s="263"/>
      <c r="AB4" s="263"/>
      <c r="AC4" s="263"/>
      <c r="AD4" s="263"/>
      <c r="AE4" s="263"/>
      <c r="AF4" s="263"/>
      <c r="AG4" s="263"/>
      <c r="AH4" s="263"/>
      <c r="AI4" s="263"/>
      <c r="AJ4" s="263"/>
      <c r="AK4" s="263"/>
      <c r="AL4" s="263"/>
      <c r="AM4" s="263"/>
    </row>
    <row r="5" ht="219.0" customHeight="1">
      <c r="A5" s="379">
        <f>IFERROR(__xludf.DUMMYFUNCTION("""COMPUTED_VALUE"""),1.0)</f>
        <v>1</v>
      </c>
      <c r="B5" s="270" t="str">
        <f>IFERROR(__xludf.DUMMYFUNCTION("""COMPUTED_VALUE"""),"Thắng Lợi")</f>
        <v>Thắng Lợi</v>
      </c>
      <c r="C5" s="271" t="str">
        <f>IFERROR(__xludf.DUMMYFUNCTION("""COMPUTED_VALUE"""),"Tiktok")</f>
        <v>Tiktok</v>
      </c>
      <c r="D5" s="272" t="str">
        <f>IFERROR(__xludf.DUMMYFUNCTION("""COMPUTED_VALUE"""),"426.5K")</f>
        <v>426.5K</v>
      </c>
      <c r="E5" s="273" t="str">
        <f>IFERROR(__xludf.DUMMYFUNCTION("""COMPUTED_VALUE"""),"Micro")</f>
        <v>Micro</v>
      </c>
      <c r="F5" s="274" t="str">
        <f>IFERROR(__xludf.DUMMYFUNCTION("""COMPUTED_VALUE"""),"Link")</f>
        <v>Link</v>
      </c>
      <c r="G5" s="275" t="str">
        <f>IFERROR(__xludf.DUMMYFUNCTION("""COMPUTED_VALUE"""),"Đồng Nai")</f>
        <v>Đồng Nai</v>
      </c>
      <c r="H5" s="276"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5" s="300" t="b">
        <f>IFERROR(__xludf.DUMMYFUNCTION("""COMPUTED_VALUE"""),FALSE)</f>
        <v>0</v>
      </c>
      <c r="J5" s="279" t="str">
        <f>IFERROR(__xludf.DUMMYFUNCTION("""COMPUTED_VALUE"""),"Phạm Thắng Lợi - Đồng Nai
7h tối
13/5")</f>
        <v>Phạm Thắng Lợi - Đồng Nai
7h tối
13/5</v>
      </c>
      <c r="K5" s="279"/>
      <c r="L5" s="279"/>
      <c r="M5" s="281" t="str">
        <f>IFERROR(__xludf.DUMMYFUNCTION("""COMPUTED_VALUE"""),"https://docs.google.com/spreadsheets/d/1sek28q8dSpx6DU8QYhlKU5FqtCePEZaUhxd1o63zgyI/edit?gid=1935125103#gid=1935125103")</f>
        <v>https://docs.google.com/spreadsheets/d/1sek28q8dSpx6DU8QYhlKU5FqtCePEZaUhxd1o63zgyI/edit?gid=1935125103#gid=1935125103</v>
      </c>
      <c r="N5" s="279"/>
      <c r="O5" s="277" t="str">
        <f>IFERROR(__xludf.DUMMYFUNCTION("""COMPUTED_VALUE"""),"- Câu hook đầu tiên có thể gắn thêm context rõ ràng để tạo sự quen thuộc &gt; ví dụ: có những hôm trời mưa lạnh lạnh bụng thì đói mà không đi đâu xa được. đang đi trên đường mà bụng đói.v.v.
- “Chỗ cứu đói cực nhanh” hiện còn khá generic. vì brand fastfood n"&amp;"ào cũng có thể nói vậy. Có thể bổ sung chi tiết về kiosk Five Star nổi bật hoặc độ phủ quen thuộc ở nhiều góc phố để tạo cảm giác gần gũi.
- Phần review món ăn hiện tại hơi flat &gt; có thể thêm reaction. thêm chi tiết về món ăn (hương vị. độ giòn.v.v.) để t"&amp;"ạo sự hấp dẫn  
- CTA chưa đủ mạnh. có thể thay bằng “Món nào ở Five Star mọi người thấy underrated nhất?”; “Ai giống mình. đi ngang chỉ định mua 1 món nhưng cuối cùng cầm nguyên bịch?”; “Có ai ban đầu không kỳ vọng nhiều nhưng ăn rồi bị ghiền không?”
- G"&amp;"ắn thêm địa chỉ về địa điểm Five Star mà bạn đã ghé")</f>
        <v>- Câu hook đầu tiên có thể gắn thêm context rõ ràng để tạo sự quen thuộc &gt; ví dụ: có những hôm trời mưa lạnh lạnh bụng thì đói mà không đi đâu xa được. đang đi trên đường mà bụng đói.v.v.
- “Chỗ cứu đói cực nhanh” hiện còn khá generic. vì brand fastfood nào cũng có thể nói vậy. Có thể bổ sung chi tiết về kiosk Five Star nổi bật hoặc độ phủ quen thuộc ở nhiều góc phố để tạo cảm giác gần gũi.
- Phần review món ăn hiện tại hơi flat &gt; có thể thêm reaction. thêm chi tiết về món ăn (hương vị. độ giòn.v.v.) để tạo sự hấp dẫn  
- CTA chưa đủ mạnh. có thể thay bằng “Món nào ở Five Star mọi người thấy underrated nhất?”; “Ai giống mình. đi ngang chỉ định mua 1 món nhưng cuối cùng cầm nguyên bịch?”; “Có ai ban đầu không kỳ vọng nhiều nhưng ăn rồi bị ghiền không?”
- Gắn thêm địa chỉ về địa điểm Five Star mà bạn đã ghé</v>
      </c>
      <c r="P5" s="279"/>
      <c r="Q5" s="279"/>
      <c r="R5" s="279"/>
      <c r="S5" s="279"/>
      <c r="T5" s="279"/>
      <c r="U5" s="279"/>
      <c r="V5" s="279"/>
      <c r="W5" s="279"/>
      <c r="X5" s="279"/>
      <c r="Y5" s="279"/>
      <c r="Z5" s="279"/>
      <c r="AA5" s="279"/>
      <c r="AB5" s="279"/>
      <c r="AC5" s="279"/>
      <c r="AD5" s="279"/>
      <c r="AE5" s="279"/>
      <c r="AF5" s="279"/>
      <c r="AG5" s="279"/>
      <c r="AH5" s="279"/>
      <c r="AI5" s="279"/>
      <c r="AJ5" s="279"/>
      <c r="AK5" s="279"/>
      <c r="AL5" s="279"/>
      <c r="AM5" s="279"/>
    </row>
    <row r="6" ht="207.0" customHeight="1" outlineLevel="1">
      <c r="A6" s="294">
        <f>IFERROR(__xludf.DUMMYFUNCTION("""COMPUTED_VALUE"""),2.0)</f>
        <v>2</v>
      </c>
      <c r="B6" s="295" t="str">
        <f>IFERROR(__xludf.DUMMYFUNCTION("""COMPUTED_VALUE"""),"Lulu Review")</f>
        <v>Lulu Review</v>
      </c>
      <c r="C6" s="296" t="str">
        <f>IFERROR(__xludf.DUMMYFUNCTION("""COMPUTED_VALUE"""),"Tiktok")</f>
        <v>Tiktok</v>
      </c>
      <c r="D6" s="297" t="str">
        <f>IFERROR(__xludf.DUMMYFUNCTION("""COMPUTED_VALUE"""),"336.4K")</f>
        <v>336.4K</v>
      </c>
      <c r="E6" s="298" t="str">
        <f>IFERROR(__xludf.DUMMYFUNCTION("""COMPUTED_VALUE"""),"Micro")</f>
        <v>Micro</v>
      </c>
      <c r="F6" s="299" t="str">
        <f>IFERROR(__xludf.DUMMYFUNCTION("""COMPUTED_VALUE"""),"Link")</f>
        <v>Link</v>
      </c>
      <c r="G6" s="300" t="str">
        <f>IFERROR(__xludf.DUMMYFUNCTION("""COMPUTED_VALUE"""),"Hồ Chí Minh")</f>
        <v>Hồ Chí Minh</v>
      </c>
      <c r="H6"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6" s="300" t="b">
        <f>IFERROR(__xludf.DUMMYFUNCTION("""COMPUTED_VALUE"""),FALSE)</f>
        <v>0</v>
      </c>
      <c r="J6" s="657" t="str">
        <f>IFERROR(__xludf.DUMMYFUNCTION("""COMPUTED_VALUE"""),"9h00 sáng T5-14/5: 
Địa điểm quay: B8/28M Đường Hưng Nhơn. xã Tân Nhựt. huyện Bình Chánh ")</f>
        <v>9h00 sáng T5-14/5: 
Địa điểm quay: B8/28M Đường Hưng Nhơn. xã Tân Nhựt. huyện Bình Chánh </v>
      </c>
      <c r="K6" s="279"/>
      <c r="L6" s="279"/>
      <c r="M6" s="281" t="str">
        <f>IFERROR(__xludf.DUMMYFUNCTION("""COMPUTED_VALUE"""),"https://docs.google.com/spreadsheets/d/1vaRBTbnZy9dvsd-SpvXhO76Gg-InJKD2u8IGmvjbPTo/edit?gid=0#gid=0")</f>
        <v>https://docs.google.com/spreadsheets/d/1vaRBTbnZy9dvsd-SpvXhO76Gg-InJKD2u8IGmvjbPTo/edit?gid=0#gid=0</v>
      </c>
      <c r="N6" s="279"/>
      <c r="O6" s="303" t="str">
        <f>IFERROR(__xludf.DUMMYFUNCTION("""COMPUTED_VALUE"""),"Cảnh 2: 
- Chỉnh lại lời thoại — chi tiết “màu vàng huyền thoại của Five Star” chưa thật sự đúng vì màu nhận diện chính của Five Star là đỏ và vàng.
- Thêm lời thoại theo hướng đi ngang nghe tiếng “xèo xèo” hoặc ngửi thấy mùi gà chiên quá hấp dẫn nên bị t"&amp;"hu hút và quẹo vào mua. dù ban đầu chỉ định ghé mua nước.
Cảnh 3: Chỉnh text - Gần 1000 điểm bán trên 30+ tỉnh thành
Cảnh 4: 
- Chỉnh text - Menu siêu đa dạng Nhanh - Gọn - Ngon &gt; mình ko nhấn mạnh về giá rẻ &gt;&gt; Note point này cho các bạn KOL luôn nha
C"&amp;"ảnh 5: Câu thoại đầu chưa link rõ ràng tới đoạn sau &gt; gợi ý có thể nói rõ là tại sao những món này lại phù hợp với người lười đợi từ đầu luôn. 
Gắn text thêm địa chỉ về địa điểm Five Star mà bạn đã ghé 
Overall ok có thể quay cận món nhiều hơn")</f>
        <v>Cảnh 2: 
- Chỉnh lại lời thoại — chi tiết “màu vàng huyền thoại của Five Star” chưa thật sự đúng vì màu nhận diện chính của Five Star là đỏ và vàng.
- Thêm lời thoại theo hướng đi ngang nghe tiếng “xèo xèo” hoặc ngửi thấy mùi gà chiên quá hấp dẫn nên bị thu hút và quẹo vào mua. dù ban đầu chỉ định ghé mua nước.
Cảnh 3: Chỉnh text - Gần 1000 điểm bán trên 30+ tỉnh thành
Cảnh 4: 
- Chỉnh text - Menu siêu đa dạng Nhanh - Gọn - Ngon &gt; mình ko nhấn mạnh về giá rẻ &gt;&gt; Note point này cho các bạn KOL luôn nha
Cảnh 5: Câu thoại đầu chưa link rõ ràng tới đoạn sau &gt; gợi ý có thể nói rõ là tại sao những món này lại phù hợp với người lười đợi từ đầu luôn. 
Gắn text thêm địa chỉ về địa điểm Five Star mà bạn đã ghé 
Overall ok có thể quay cận món nhiều hơn</v>
      </c>
      <c r="P6" s="658" t="str">
        <f>IFERROR(__xludf.DUMMYFUNCTION("""COMPUTED_VALUE"""),"https://docs.google.com/spreadsheets/d/1vaRBTbnZy9dvsd-SpvXhO76Gg-InJKD2u8IGmvjbPTo/edit?gid=1396100120#gid=1396100120")</f>
        <v>https://docs.google.com/spreadsheets/d/1vaRBTbnZy9dvsd-SpvXhO76Gg-InJKD2u8IGmvjbPTo/edit?gid=1396100120#gid=1396100120</v>
      </c>
      <c r="Q6" s="279" t="str">
        <f>IFERROR(__xludf.DUMMYFUNCTION("""COMPUTED_VALUE"""),"Đã input thêm Outfit
Team KOC đã điều chỉnh theo feedback của brand")</f>
        <v>Đã input thêm Outfit
Team KOC đã điều chỉnh theo feedback của brand</v>
      </c>
      <c r="R6" s="279"/>
      <c r="S6" s="279"/>
      <c r="T6" s="279"/>
      <c r="U6" s="279"/>
      <c r="V6" s="279"/>
      <c r="W6" s="279"/>
      <c r="X6" s="279"/>
      <c r="Y6" s="279"/>
      <c r="Z6" s="279"/>
      <c r="AA6" s="279"/>
      <c r="AB6" s="279"/>
      <c r="AC6" s="279"/>
      <c r="AD6" s="279"/>
      <c r="AE6" s="279"/>
      <c r="AF6" s="279"/>
      <c r="AG6" s="279"/>
      <c r="AH6" s="279"/>
      <c r="AI6" s="279"/>
      <c r="AJ6" s="279"/>
      <c r="AK6" s="279"/>
      <c r="AL6" s="279"/>
      <c r="AM6" s="279"/>
    </row>
    <row r="7" ht="198.0" customHeight="1" outlineLevel="1">
      <c r="A7" s="294">
        <f>IFERROR(__xludf.DUMMYFUNCTION("""COMPUTED_VALUE"""),3.0)</f>
        <v>3</v>
      </c>
      <c r="B7" s="310" t="str">
        <f>IFERROR(__xludf.DUMMYFUNCTION("""COMPUTED_VALUE"""),"Hello Lập Đây")</f>
        <v>Hello Lập Đây</v>
      </c>
      <c r="C7" s="296" t="str">
        <f>IFERROR(__xludf.DUMMYFUNCTION("""COMPUTED_VALUE"""),"Tiktok")</f>
        <v>Tiktok</v>
      </c>
      <c r="D7" s="297" t="str">
        <f>IFERROR(__xludf.DUMMYFUNCTION("""COMPUTED_VALUE"""),"260K")</f>
        <v>260K</v>
      </c>
      <c r="E7" s="298" t="str">
        <f>IFERROR(__xludf.DUMMYFUNCTION("""COMPUTED_VALUE"""),"Micro")</f>
        <v>Micro</v>
      </c>
      <c r="F7" s="299" t="str">
        <f>IFERROR(__xludf.DUMMYFUNCTION("""COMPUTED_VALUE"""),"Link")</f>
        <v>Link</v>
      </c>
      <c r="G7" s="300" t="str">
        <f>IFERROR(__xludf.DUMMYFUNCTION("""COMPUTED_VALUE"""),"Hồ Chí Minh")</f>
        <v>Hồ Chí Minh</v>
      </c>
      <c r="H7"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7" s="300" t="b">
        <f>IFERROR(__xludf.DUMMYFUNCTION("""COMPUTED_VALUE"""),FALSE)</f>
        <v>0</v>
      </c>
      <c r="J7" s="279" t="str">
        <f>IFERROR(__xludf.DUMMYFUNCTION("""COMPUTED_VALUE"""),"- 16h ngày 12/5
- OUTLET - HKD GÀ RÁN FIVE STAR THU HÀ - 37/3 Huỳnh Tấn Phát. Xã Nhà Bè. TPHCM")</f>
        <v>- 16h ngày 12/5
- OUTLET - HKD GÀ RÁN FIVE STAR THU HÀ - 37/3 Huỳnh Tấn Phát. Xã Nhà Bè. TPHCM</v>
      </c>
      <c r="K7" s="279"/>
      <c r="L7" s="279"/>
      <c r="M7" s="281" t="str">
        <f>IFERROR(__xludf.DUMMYFUNCTION("""COMPUTED_VALUE"""),"https://docs.google.com/spreadsheets/d/161njDQndXtRs8o07Zhz1nU0rtGGgw4RpJvwe5s0bWPc/edit?gid=0#gid=0")</f>
        <v>https://docs.google.com/spreadsheets/d/161njDQndXtRs8o07Zhz1nU0rtGGgw4RpJvwe5s0bWPc/edit?gid=0#gid=0</v>
      </c>
      <c r="N7" s="279"/>
      <c r="O7" s="277" t="str">
        <f>IFERROR(__xludf.DUMMYFUNCTION("""COMPUTED_VALUE"""),"Trang phục: nhờ bạn chọn áo màu tươi hơn (đỏ hoặc vàng)
Phân cảnh Body:
- Đã đi ăn ngoài phải chọn ăn ngon &gt; Sau câu này thêm 1 câu tại sao lại chọn Five Star &gt; gợi ý: do gần nhà. do đi ngang qua thấy thèm. v.v.
- Về giá &gt; mình ko nhắc từ khóa rẻ hay mắc"&amp;" &gt; chỉnh lại theo hướng phần ăn đầy đặn / xịn so với mức giá hoặc sử dụng các từ khóa như giá dễ chịu. ai cũng mua dc
Cảnh outro: Câu còn lập thì có quan tâm ko &gt; hơi bị khó hiểu
Gắn text thêm địa chỉ về địa điểm Five Star mà bạn đã ghé ")</f>
        <v>Trang phục: nhờ bạn chọn áo màu tươi hơn (đỏ hoặc vàng)
Phân cảnh Body:
- Đã đi ăn ngoài phải chọn ăn ngon &gt; Sau câu này thêm 1 câu tại sao lại chọn Five Star &gt; gợi ý: do gần nhà. do đi ngang qua thấy thèm. v.v.
- Về giá &gt; mình ko nhắc từ khóa rẻ hay mắc &gt; chỉnh lại theo hướng phần ăn đầy đặn / xịn so với mức giá hoặc sử dụng các từ khóa như giá dễ chịu. ai cũng mua dc
Cảnh outro: Câu còn lập thì có quan tâm ko &gt; hơi bị khó hiểu
Gắn text thêm địa chỉ về địa điểm Five Star mà bạn đã ghé </v>
      </c>
      <c r="P7" s="658" t="str">
        <f>IFERROR(__xludf.DUMMYFUNCTION("""COMPUTED_VALUE"""),"https://docs.google.com/spreadsheets/d/161njDQndXtRs8o07Zhz1nU0rtGGgw4RpJvwe5s0bWPc/edit?gid=972901149#gid=972901149")</f>
        <v>https://docs.google.com/spreadsheets/d/161njDQndXtRs8o07Zhz1nU0rtGGgw4RpJvwe5s0bWPc/edit?gid=972901149#gid=972901149</v>
      </c>
      <c r="Q7" s="279" t="str">
        <f>IFERROR(__xludf.DUMMYFUNCTION("""COMPUTED_VALUE"""),"Team KOC đã review nội dung và thay đổi outfit tươi hơn 
Hiện đang thiêu Địa chỉ cụ thể. team sẽ input sau")</f>
        <v>Team KOC đã review nội dung và thay đổi outfit tươi hơn 
Hiện đang thiêu Địa chỉ cụ thể. team sẽ input sau</v>
      </c>
      <c r="R7" s="279"/>
      <c r="S7" s="279"/>
      <c r="T7" s="279"/>
      <c r="U7" s="279"/>
      <c r="V7" s="279"/>
      <c r="W7" s="279"/>
      <c r="X7" s="279"/>
      <c r="Y7" s="279"/>
      <c r="Z7" s="279"/>
      <c r="AA7" s="279"/>
      <c r="AB7" s="279"/>
      <c r="AC7" s="279"/>
      <c r="AD7" s="279"/>
      <c r="AE7" s="279"/>
      <c r="AF7" s="279"/>
      <c r="AG7" s="279"/>
      <c r="AH7" s="279"/>
      <c r="AI7" s="279"/>
      <c r="AJ7" s="279"/>
      <c r="AK7" s="279"/>
      <c r="AL7" s="279"/>
      <c r="AM7" s="279"/>
    </row>
    <row r="8" ht="150.75" customHeight="1" outlineLevel="1">
      <c r="A8" s="294">
        <f>IFERROR(__xludf.DUMMYFUNCTION("""COMPUTED_VALUE"""),4.0)</f>
        <v>4</v>
      </c>
      <c r="B8" s="295" t="str">
        <f>IFERROR(__xludf.DUMMYFUNCTION("""COMPUTED_VALUE"""),"Huyền Nhi")</f>
        <v>Huyền Nhi</v>
      </c>
      <c r="C8" s="296" t="str">
        <f>IFERROR(__xludf.DUMMYFUNCTION("""COMPUTED_VALUE"""),"Tiktok")</f>
        <v>Tiktok</v>
      </c>
      <c r="D8" s="297" t="str">
        <f>IFERROR(__xludf.DUMMYFUNCTION("""COMPUTED_VALUE"""),"118.1K")</f>
        <v>118.1K</v>
      </c>
      <c r="E8" s="298" t="str">
        <f>IFERROR(__xludf.DUMMYFUNCTION("""COMPUTED_VALUE"""),"Micro")</f>
        <v>Micro</v>
      </c>
      <c r="F8" s="299" t="str">
        <f>IFERROR(__xludf.DUMMYFUNCTION("""COMPUTED_VALUE"""),"Link")</f>
        <v>Link</v>
      </c>
      <c r="G8" s="300" t="str">
        <f>IFERROR(__xludf.DUMMYFUNCTION("""COMPUTED_VALUE"""),"Hồ Chí Minh")</f>
        <v>Hồ Chí Minh</v>
      </c>
      <c r="H8"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8" s="415" t="b">
        <f>IFERROR(__xludf.DUMMYFUNCTION("""COMPUTED_VALUE"""),TRUE)</f>
        <v>1</v>
      </c>
      <c r="J8" s="279" t="str">
        <f>IFERROR(__xludf.DUMMYFUNCTION("""COMPUTED_VALUE"""),"Dự kiến trưa t7 quay. 
ĐỊa điểm: BASIC SHOP -  Nguyễn Thị Thuận - Số 67 Đường 9. phường Trường Thọ. TP. Thủ Đức. TP. HCM")</f>
        <v>Dự kiến trưa t7 quay. 
ĐỊa điểm: BASIC SHOP -  Nguyễn Thị Thuận - Số 67 Đường 9. phường Trường Thọ. TP. Thủ Đức. TP. HCM</v>
      </c>
      <c r="K8" s="279"/>
      <c r="L8" s="279"/>
      <c r="M8" s="281" t="str">
        <f>IFERROR(__xludf.DUMMYFUNCTION("""COMPUTED_VALUE"""),"https://docs.google.com/spreadsheets/d/1TlMiQyjUC_8vG--FMqD48heIruNjrv0a_-BycV6vMug/edit?gid=2103508750#gid=2103508750")</f>
        <v>https://docs.google.com/spreadsheets/d/1TlMiQyjUC_8vG--FMqD48heIruNjrv0a_-BycV6vMug/edit?gid=2103508750#gid=2103508750</v>
      </c>
      <c r="N8" s="279"/>
      <c r="O8" s="303" t="str">
        <f>IFERROR(__xludf.DUMMYFUNCTION("""COMPUTED_VALUE"""),"Trang phục ok
Tập đoàn CP Group &gt; Bỏ chữ Group
Bổ sung thêm ý về việc an tâm về chất lượng và an toàn thực phẩm
Bỏ đoạn ""mà ko thấy áp lực chi phí""
- Add thêm địa chỉ Five Star")</f>
        <v>Trang phục ok
Tập đoàn CP Group &gt; Bỏ chữ Group
Bổ sung thêm ý về việc an tâm về chất lượng và an toàn thực phẩm
Bỏ đoạn "mà ko thấy áp lực chi phí"
- Add thêm địa chỉ Five Star</v>
      </c>
      <c r="P8" s="279" t="str">
        <f>IFERROR(__xludf.DUMMYFUNCTION("""COMPUTED_VALUE"""),"19h00 11/5 back")</f>
        <v>19h00 11/5 back</v>
      </c>
      <c r="Q8" s="279"/>
      <c r="R8" s="279"/>
      <c r="S8" s="279"/>
      <c r="T8" s="279"/>
      <c r="U8" s="279"/>
      <c r="V8" s="279"/>
      <c r="W8" s="279"/>
      <c r="X8" s="279"/>
      <c r="Y8" s="279"/>
      <c r="Z8" s="279"/>
      <c r="AA8" s="279"/>
      <c r="AB8" s="279"/>
      <c r="AC8" s="279"/>
      <c r="AD8" s="279"/>
      <c r="AE8" s="279"/>
      <c r="AF8" s="279"/>
      <c r="AG8" s="279"/>
      <c r="AH8" s="279"/>
      <c r="AI8" s="279"/>
      <c r="AJ8" s="279"/>
      <c r="AK8" s="279"/>
      <c r="AL8" s="279"/>
      <c r="AM8" s="279"/>
    </row>
    <row r="9" ht="204.0" customHeight="1" outlineLevel="1">
      <c r="A9" s="294">
        <f>IFERROR(__xludf.DUMMYFUNCTION("""COMPUTED_VALUE"""),5.0)</f>
        <v>5</v>
      </c>
      <c r="B9" s="295" t="str">
        <f>IFERROR(__xludf.DUMMYFUNCTION("""COMPUTED_VALUE"""),"Thư Bonny")</f>
        <v>Thư Bonny</v>
      </c>
      <c r="C9" s="296" t="str">
        <f>IFERROR(__xludf.DUMMYFUNCTION("""COMPUTED_VALUE"""),"Tiktok")</f>
        <v>Tiktok</v>
      </c>
      <c r="D9" s="297" t="str">
        <f>IFERROR(__xludf.DUMMYFUNCTION("""COMPUTED_VALUE"""),"114.7K")</f>
        <v>114.7K</v>
      </c>
      <c r="E9" s="298" t="str">
        <f>IFERROR(__xludf.DUMMYFUNCTION("""COMPUTED_VALUE"""),"Micro")</f>
        <v>Micro</v>
      </c>
      <c r="F9" s="299" t="str">
        <f>IFERROR(__xludf.DUMMYFUNCTION("""COMPUTED_VALUE"""),"Link")</f>
        <v>Link</v>
      </c>
      <c r="G9" s="300" t="str">
        <f>IFERROR(__xludf.DUMMYFUNCTION("""COMPUTED_VALUE"""),"Hồ Chí Minh")</f>
        <v>Hồ Chí Minh</v>
      </c>
      <c r="H9"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9" s="300" t="b">
        <f>IFERROR(__xludf.DUMMYFUNCTION("""COMPUTED_VALUE"""),FALSE)</f>
        <v>0</v>
      </c>
      <c r="J9" s="279" t="str">
        <f>IFERROR(__xludf.DUMMYFUNCTION("""COMPUTED_VALUE"""),"Lịch quay: 10h 12/5
Địa điểm: BASIC SHOP -  Nguyễn Thị Thuận - Số 67 Đường 9. phường Trường Thọ. TP. Thủ Đức. TP. HCM")</f>
        <v>Lịch quay: 10h 12/5
Địa điểm: BASIC SHOP -  Nguyễn Thị Thuận - Số 67 Đường 9. phường Trường Thọ. TP. Thủ Đức. TP. HCM</v>
      </c>
      <c r="K9" s="279"/>
      <c r="L9" s="279"/>
      <c r="M9" s="281" t="str">
        <f>IFERROR(__xludf.DUMMYFUNCTION("""COMPUTED_VALUE"""),"https://docs.google.com/spreadsheets/d/11qQ5wa_wLzoqxwxYWqwWOeh0TAKOK7_d4tXx9pgrw0M/edit?gid=0#gid=0")</f>
        <v>https://docs.google.com/spreadsheets/d/11qQ5wa_wLzoqxwxYWqwWOeh0TAKOK7_d4tXx9pgrw0M/edit?gid=0#gid=0</v>
      </c>
      <c r="N9" s="279"/>
      <c r="O9" s="303" t="str">
        <f>IFERROR(__xludf.DUMMYFUNCTION("""COMPUTED_VALUE"""),"- Highlight thêm về sự tiện lợi. giá dễ chịu / khẩu phần đầy đặn so với mức giá / ai cũng có thể thưởng thức
- Gắn thêm địa chỉ về địa điểm Five Star mà bạn đã ghé và thêm CTA")</f>
        <v>- Highlight thêm về sự tiện lợi. giá dễ chịu / khẩu phần đầy đặn so với mức giá / ai cũng có thể thưởng thức
- Gắn thêm địa chỉ về địa điểm Five Star mà bạn đã ghé và thêm CTA</v>
      </c>
      <c r="P9" s="658" t="str">
        <f>IFERROR(__xludf.DUMMYFUNCTION("""COMPUTED_VALUE"""),"https://docs.google.com/spreadsheets/d/11qQ5wa_wLzoqxwxYWqwWOeh0TAKOK7_d4tXx9pgrw0M/edit?gid=1343518029#gid=1343518029")</f>
        <v>https://docs.google.com/spreadsheets/d/11qQ5wa_wLzoqxwxYWqwWOeh0TAKOK7_d4tXx9pgrw0M/edit?gid=1343518029#gid=1343518029</v>
      </c>
      <c r="Q9" s="279" t="str">
        <f>IFERROR(__xludf.DUMMYFUNCTION("""COMPUTED_VALUE"""),"Đã add thêm outfit
KOC NOTE: chi tiết khẩu phần. mức giá thì sau khi trải nghiệm KOC mới có cơ sở để đánh giá nên sẽ tinh chỉnh kịch bản sau
KOC đã thêm địa chỉ và CTA vào script ")</f>
        <v>Đã add thêm outfit
KOC NOTE: chi tiết khẩu phần. mức giá thì sau khi trải nghiệm KOC mới có cơ sở để đánh giá nên sẽ tinh chỉnh kịch bản sau
KOC đã thêm địa chỉ và CTA vào script </v>
      </c>
      <c r="R9" s="279"/>
      <c r="S9" s="279"/>
      <c r="T9" s="279"/>
      <c r="U9" s="279"/>
      <c r="V9" s="279"/>
      <c r="W9" s="279"/>
      <c r="X9" s="279"/>
      <c r="Y9" s="279"/>
      <c r="Z9" s="279"/>
      <c r="AA9" s="279"/>
      <c r="AB9" s="279"/>
      <c r="AC9" s="279"/>
      <c r="AD9" s="279"/>
      <c r="AE9" s="279"/>
      <c r="AF9" s="279"/>
      <c r="AG9" s="279"/>
      <c r="AH9" s="279"/>
      <c r="AI9" s="279"/>
      <c r="AJ9" s="279"/>
      <c r="AK9" s="279"/>
      <c r="AL9" s="279"/>
      <c r="AM9" s="279"/>
    </row>
    <row r="10" ht="115.5" customHeight="1" outlineLevel="1">
      <c r="A10" s="294">
        <f>IFERROR(__xludf.DUMMYFUNCTION("""COMPUTED_VALUE"""),6.0)</f>
        <v>6</v>
      </c>
      <c r="B10" s="327" t="str">
        <f>IFERROR(__xludf.DUMMYFUNCTION("""COMPUTED_VALUE"""),"Nuchuu nè")</f>
        <v>Nuchuu nè</v>
      </c>
      <c r="C10" s="296" t="str">
        <f>IFERROR(__xludf.DUMMYFUNCTION("""COMPUTED_VALUE"""),"Tiktok")</f>
        <v>Tiktok</v>
      </c>
      <c r="D10" s="297" t="str">
        <f>IFERROR(__xludf.DUMMYFUNCTION("""COMPUTED_VALUE"""),"756K")</f>
        <v>756K</v>
      </c>
      <c r="E10" s="298" t="str">
        <f>IFERROR(__xludf.DUMMYFUNCTION("""COMPUTED_VALUE"""),"Micro")</f>
        <v>Micro</v>
      </c>
      <c r="F10" s="299" t="str">
        <f>IFERROR(__xludf.DUMMYFUNCTION("""COMPUTED_VALUE"""),"Link")</f>
        <v>Link</v>
      </c>
      <c r="G10" s="300" t="str">
        <f>IFERROR(__xludf.DUMMYFUNCTION("""COMPUTED_VALUE"""),"Hồ Chí Minh")</f>
        <v>Hồ Chí Minh</v>
      </c>
      <c r="H10"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0" s="300" t="b">
        <f>IFERROR(__xludf.DUMMYFUNCTION("""COMPUTED_VALUE"""),FALSE)</f>
        <v>0</v>
      </c>
      <c r="J10" s="657" t="str">
        <f>IFERROR(__xludf.DUMMYFUNCTION("""COMPUTED_VALUE"""),"- 15-17h ngày 12/5
- PREAMIUM KIOSK 3*3 - HKD FIVE STAR ĐINH ĐỨC THIỆN - 1/26 Đinh Đức Thiện. xã Bình Chánh. TP HCM")</f>
        <v>- 15-17h ngày 12/5
- PREAMIUM KIOSK 3*3 - HKD FIVE STAR ĐINH ĐỨC THIỆN - 1/26 Đinh Đức Thiện. xã Bình Chánh. TP HCM</v>
      </c>
      <c r="K10" s="279"/>
      <c r="L10" s="279"/>
      <c r="M10" s="281" t="str">
        <f>IFERROR(__xludf.DUMMYFUNCTION("""COMPUTED_VALUE"""),"https://docs.google.com/spreadsheets/d/1SNimKtZBUz4pm9ejeDfbgV1a815ex8d26sGSutaoT0A/edit?gid=0#gid=0")</f>
        <v>https://docs.google.com/spreadsheets/d/1SNimKtZBUz4pm9ejeDfbgV1a815ex8d26sGSutaoT0A/edit?gid=0#gid=0</v>
      </c>
      <c r="N10" s="279"/>
      <c r="O10" s="277" t="str">
        <f>IFERROR(__xludf.DUMMYFUNCTION("""COMPUTED_VALUE"""),"- Nhờ bạn chọn áo nào màu tươi hơn. năng động hơn nhe
- Bên cạnh mùi vị tuổi thơ &gt; add thêm những câu nhận xét là so với ký ức tuổi thơ thì Five Star có gì mới hơn (ví dụ store nhìn chuẩn chỉnh hơn. chuyên nghiệp hơn. món ăn đa dạng hơn. v.v)
- Ko nhắc tớ"&amp;"i từ khóa ""rẻ"" &gt; thay bằng giá dễ chịu. giá hợp lý. khẩu phần chất lượng hơn so với giá
- Gắn thêm địa chỉ về địa điểm Five Star mà bạn đã ghé")</f>
        <v>- Nhờ bạn chọn áo nào màu tươi hơn. năng động hơn nhe
- Bên cạnh mùi vị tuổi thơ &gt; add thêm những câu nhận xét là so với ký ức tuổi thơ thì Five Star có gì mới hơn (ví dụ store nhìn chuẩn chỉnh hơn. chuyên nghiệp hơn. món ăn đa dạng hơn. v.v)
- Ko nhắc tới từ khóa "rẻ" &gt; thay bằng giá dễ chịu. giá hợp lý. khẩu phần chất lượng hơn so với giá
- Gắn thêm địa chỉ về địa điểm Five Star mà bạn đã ghé</v>
      </c>
      <c r="P10" s="658" t="str">
        <f>IFERROR(__xludf.DUMMYFUNCTION("""COMPUTED_VALUE"""),"https://docs.google.com/spreadsheets/d/1SNimKtZBUz4pm9ejeDfbgV1a815ex8d26sGSutaoT0A/edit?gid=1256513125#gid=1256513125")</f>
        <v>https://docs.google.com/spreadsheets/d/1SNimKtZBUz4pm9ejeDfbgV1a815ex8d26sGSutaoT0A/edit?gid=1256513125#gid=1256513125</v>
      </c>
      <c r="Q10" s="279" t="str">
        <f>IFERROR(__xludf.DUMMYFUNCTION("""COMPUTED_VALUE"""),"Hiện team KOC đã update nội dung nhưng thiếu địa chỉ cụ thể
Đã thay đổi option outfit chờ team check")</f>
        <v>Hiện team KOC đã update nội dung nhưng thiếu địa chỉ cụ thể
Đã thay đổi option outfit chờ team check</v>
      </c>
      <c r="R10" s="279"/>
      <c r="S10" s="279"/>
      <c r="T10" s="279"/>
      <c r="U10" s="279"/>
      <c r="V10" s="279"/>
      <c r="W10" s="279"/>
      <c r="X10" s="279"/>
      <c r="Y10" s="279"/>
      <c r="Z10" s="279"/>
      <c r="AA10" s="279"/>
      <c r="AB10" s="279"/>
      <c r="AC10" s="279"/>
      <c r="AD10" s="279"/>
      <c r="AE10" s="279"/>
      <c r="AF10" s="279"/>
      <c r="AG10" s="279"/>
      <c r="AH10" s="279"/>
      <c r="AI10" s="279"/>
      <c r="AJ10" s="279"/>
      <c r="AK10" s="279"/>
      <c r="AL10" s="279"/>
      <c r="AM10" s="279"/>
    </row>
    <row r="11" ht="144.75" customHeight="1" outlineLevel="1">
      <c r="A11" s="294">
        <f>IFERROR(__xludf.DUMMYFUNCTION("""COMPUTED_VALUE"""),7.0)</f>
        <v>7</v>
      </c>
      <c r="B11" s="331" t="str">
        <f>IFERROR(__xludf.DUMMYFUNCTION("""COMPUTED_VALUE"""),"Ăn ngon cùng Puu")</f>
        <v>Ăn ngon cùng Puu</v>
      </c>
      <c r="C11" s="296" t="str">
        <f>IFERROR(__xludf.DUMMYFUNCTION("""COMPUTED_VALUE"""),"Tiktok")</f>
        <v>Tiktok</v>
      </c>
      <c r="D11" s="297" t="str">
        <f>IFERROR(__xludf.DUMMYFUNCTION("""COMPUTED_VALUE"""),"345.4K")</f>
        <v>345.4K</v>
      </c>
      <c r="E11" s="298" t="str">
        <f>IFERROR(__xludf.DUMMYFUNCTION("""COMPUTED_VALUE"""),"Micro")</f>
        <v>Micro</v>
      </c>
      <c r="F11" s="299" t="str">
        <f>IFERROR(__xludf.DUMMYFUNCTION("""COMPUTED_VALUE"""),"Link")</f>
        <v>Link</v>
      </c>
      <c r="G11" s="300" t="str">
        <f>IFERROR(__xludf.DUMMYFUNCTION("""COMPUTED_VALUE"""),"Hồ Chí Minh")</f>
        <v>Hồ Chí Minh</v>
      </c>
      <c r="H11"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v>
      </c>
      <c r="I11" s="300" t="b">
        <f>IFERROR(__xludf.DUMMYFUNCTION("""COMPUTED_VALUE"""),FALSE)</f>
        <v>0</v>
      </c>
      <c r="J11" s="279" t="str">
        <f>IFERROR(__xludf.DUMMYFUNCTION("""COMPUTED_VALUE"""),"Quay ngày 12/5")</f>
        <v>Quay ngày 12/5</v>
      </c>
      <c r="K11" s="332"/>
      <c r="L11" s="332"/>
      <c r="M11" s="659" t="str">
        <f>IFERROR(__xludf.DUMMYFUNCTION("""COMPUTED_VALUE"""),"https://docs.google.com/spreadsheets/d/1jC0a00h3FsNPkNZqCO8tCfHq8Ux2lS9cjcq9OYS5YDw/edit?gid=0#gid=0")</f>
        <v>https://docs.google.com/spreadsheets/d/1jC0a00h3FsNPkNZqCO8tCfHq8Ux2lS9cjcq9OYS5YDw/edit?gid=0#gid=0</v>
      </c>
      <c r="N11" s="279"/>
      <c r="O11" s="277" t="str">
        <f>IFERROR(__xludf.DUMMYFUNCTION("""COMPUTED_VALUE"""),"- CP Group &gt; đổi thành tập đoàn CP
- Bổ sung thêm ý về sự đa dạng (nhiều món người lớn con nít đều ăn được. từ món ăn no tới món ăn vặt)  
- Thêm ý về việc ăn 1 mình hay ăn nhiều người đều siêu hợp 
- Gắn thêm địa chỉ về địa điểm Five Star mà bạn đã ghé")</f>
        <v>- CP Group &gt; đổi thành tập đoàn CP
- Bổ sung thêm ý về sự đa dạng (nhiều món người lớn con nít đều ăn được. từ món ăn no tới món ăn vặt)  
- Thêm ý về việc ăn 1 mình hay ăn nhiều người đều siêu hợp 
- Gắn thêm địa chỉ về địa điểm Five Star mà bạn đã ghé</v>
      </c>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row>
    <row r="12" ht="67.5" customHeight="1" outlineLevel="1">
      <c r="A12" s="341"/>
      <c r="B12" s="355" t="str">
        <f>IFERROR(__xludf.DUMMYFUNCTION("""COMPUTED_VALUE"""),"Đi Ăn Chưa 🍪")</f>
        <v>Đi Ăn Chưa 🍪</v>
      </c>
      <c r="C12" s="242" t="str">
        <f>IFERROR(__xludf.DUMMYFUNCTION("""COMPUTED_VALUE"""),"Tiktok")</f>
        <v>Tiktok</v>
      </c>
      <c r="D12" s="356" t="str">
        <f>IFERROR(__xludf.DUMMYFUNCTION("""COMPUTED_VALUE"""),"289.3K")</f>
        <v>289.3K</v>
      </c>
      <c r="E12" s="357" t="str">
        <f>IFERROR(__xludf.DUMMYFUNCTION("""COMPUTED_VALUE"""),"Micro")</f>
        <v>Micro</v>
      </c>
      <c r="F12" s="660" t="str">
        <f>IFERROR(__xludf.DUMMYFUNCTION("""COMPUTED_VALUE"""),"https://www.tiktok.com/@bobiengan?_t=ZS-8tu0m1Vyokq&amp;_r=1u0odLK9R3&amp;_r=1")</f>
        <v>https://www.tiktok.com/@bobiengan?_t=ZS-8tu0m1Vyokq&amp;_r=1u0odLK9R3&amp;_r=1</v>
      </c>
      <c r="G12" s="356" t="str">
        <f>IFERROR(__xludf.DUMMYFUNCTION("""COMPUTED_VALUE"""),"Hà Nội ")</f>
        <v>Hà Nội </v>
      </c>
      <c r="H12" s="358"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2" s="661" t="b">
        <f>IFERROR(__xludf.DUMMYFUNCTION("""COMPUTED_VALUE"""),FALSE)</f>
        <v>0</v>
      </c>
      <c r="J12" s="279"/>
      <c r="K12" s="279"/>
      <c r="L12" s="279"/>
      <c r="M12" s="279"/>
      <c r="N12" s="279"/>
      <c r="O12" s="277"/>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row>
    <row r="13" ht="160.5" customHeight="1" outlineLevel="1">
      <c r="A13" s="294">
        <f>IFERROR(__xludf.DUMMYFUNCTION("""COMPUTED_VALUE"""),9.0)</f>
        <v>9</v>
      </c>
      <c r="B13" s="395" t="str">
        <f>IFERROR(__xludf.DUMMYFUNCTION("""COMPUTED_VALUE"""),"A dinosaur in the kitchen")</f>
        <v>A dinosaur in the kitchen</v>
      </c>
      <c r="C13" s="296" t="str">
        <f>IFERROR(__xludf.DUMMYFUNCTION("""COMPUTED_VALUE"""),"Tiktok")</f>
        <v>Tiktok</v>
      </c>
      <c r="D13" s="300" t="str">
        <f>IFERROR(__xludf.DUMMYFUNCTION("""COMPUTED_VALUE"""),"294.8K")</f>
        <v>294.8K</v>
      </c>
      <c r="E13" s="298" t="str">
        <f>IFERROR(__xludf.DUMMYFUNCTION("""COMPUTED_VALUE"""),"Micro")</f>
        <v>Micro</v>
      </c>
      <c r="F13" s="343" t="str">
        <f>IFERROR(__xludf.DUMMYFUNCTION("""COMPUTED_VALUE"""),"https://www.tiktok.com/@phamtrang.2401")</f>
        <v>https://www.tiktok.com/@phamtrang.2401</v>
      </c>
      <c r="G13" s="300" t="str">
        <f>IFERROR(__xludf.DUMMYFUNCTION("""COMPUTED_VALUE"""),"Hà Nội ")</f>
        <v>Hà Nội </v>
      </c>
      <c r="H13"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3" s="415" t="b">
        <f>IFERROR(__xludf.DUMMYFUNCTION("""COMPUTED_VALUE"""),FALSE)</f>
        <v>0</v>
      </c>
      <c r="J13" s="300" t="str">
        <f>IFERROR(__xludf.DUMMYFUNCTION("""COMPUTED_VALUE""")," shop Five star ngãi cầu: Ngã 3 ngãi cầu - an khánh- Hà Nội
https://fivestarnearyou.cp.com.vn/?Longtitude=105.72529189288616&amp;Latitude=20.990128247353965
14h 14/5")</f>
        <v> shop Five star ngãi cầu: Ngã 3 ngãi cầu - an khánh- Hà Nội
https://fivestarnearyou.cp.com.vn/?Longtitude=105.72529189288616&amp;Latitude=20.990128247353965
14h 14/5</v>
      </c>
      <c r="K13" s="279"/>
      <c r="L13" s="279"/>
      <c r="M13" s="281" t="str">
        <f>IFERROR(__xludf.DUMMYFUNCTION("""COMPUTED_VALUE"""),"https://docs.google.com/spreadsheets/d/1z-HdLijlKbGSj5qe5SrB_0F34ISWgdy1XuSDOjDegrg/edit?gid=0#gid=0")</f>
        <v>https://docs.google.com/spreadsheets/d/1z-HdLijlKbGSj5qe5SrB_0F34ISWgdy1XuSDOjDegrg/edit?gid=0#gid=0</v>
      </c>
      <c r="N13" s="279"/>
      <c r="O13" s="394" t="str">
        <f>IFERROR(__xludf.DUMMYFUNCTION("""COMPUTED_VALUE"""),"Trang phục ok
- Opening &gt; chỉnh lại ko nhấn mạnh vào việc rẻ mà đổi thành giá dễ chịu. ko đau ví mà khẩu phần thì chất lượng
- 7 Eleven k thuộc CP &gt; remove
- Chỉnh CP Group &gt; Tập đoàn C.P.  
- Nội dung đang focus vào giá rẻ. giá mềm khá nhiều &gt; chỉnh lại "&amp;"để tập trung vào sự tiện lợi. chất lượng món ăn ")</f>
        <v>Trang phục ok
- Opening &gt; chỉnh lại ko nhấn mạnh vào việc rẻ mà đổi thành giá dễ chịu. ko đau ví mà khẩu phần thì chất lượng
- 7 Eleven k thuộc CP &gt; remove
- Chỉnh CP Group &gt; Tập đoàn C.P.  
- Nội dung đang focus vào giá rẻ. giá mềm khá nhiều &gt; chỉnh lại để tập trung vào sự tiện lợi. chất lượng món ăn </v>
      </c>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row>
    <row r="14" ht="45.75" customHeight="1" outlineLevel="1">
      <c r="A14" s="262" t="str">
        <f>IFERROR(__xludf.DUMMYFUNCTION("""COMPUTED_VALUE"""),"FOODY UGC")</f>
        <v>FOODY UGC</v>
      </c>
      <c r="B14" s="263"/>
      <c r="C14" s="263"/>
      <c r="D14" s="263"/>
      <c r="E14" s="263"/>
      <c r="F14" s="263"/>
      <c r="G14" s="263"/>
      <c r="H14" s="264"/>
      <c r="I14" s="662" t="b">
        <f>IFERROR(__xludf.DUMMYFUNCTION("""COMPUTED_VALUE"""),FALSE)</f>
        <v>0</v>
      </c>
      <c r="J14" s="263"/>
      <c r="K14" s="263"/>
      <c r="L14" s="263"/>
      <c r="M14" s="263"/>
      <c r="N14" s="263"/>
      <c r="O14" s="265"/>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row>
    <row r="15" ht="33.0" customHeight="1" outlineLevel="1">
      <c r="A15" s="367" t="str">
        <f>IFERROR(__xludf.DUMMYFUNCTION("""COMPUTED_VALUE"""),"a")</f>
        <v>a</v>
      </c>
      <c r="B15" s="368" t="str">
        <f>IFERROR(__xludf.DUMMYFUNCTION("""COMPUTED_VALUE"""),"TP HCM")</f>
        <v>TP HCM</v>
      </c>
      <c r="C15" s="242"/>
      <c r="D15" s="370"/>
      <c r="E15" s="242"/>
      <c r="F15" s="369"/>
      <c r="G15" s="369"/>
      <c r="H15" s="371"/>
      <c r="I15" s="663" t="b">
        <f>IFERROR(__xludf.DUMMYFUNCTION("""COMPUTED_VALUE"""),FALSE)</f>
        <v>0</v>
      </c>
      <c r="J15" s="369"/>
      <c r="K15" s="369"/>
      <c r="L15" s="369"/>
      <c r="M15" s="369"/>
      <c r="N15" s="369"/>
      <c r="O15" s="372"/>
      <c r="P15" s="369"/>
      <c r="Q15" s="369"/>
      <c r="R15" s="369"/>
      <c r="S15" s="369"/>
      <c r="T15" s="369"/>
      <c r="U15" s="369"/>
      <c r="V15" s="369"/>
      <c r="W15" s="369"/>
      <c r="X15" s="369"/>
      <c r="Y15" s="369"/>
      <c r="Z15" s="369"/>
      <c r="AA15" s="369"/>
      <c r="AB15" s="369"/>
      <c r="AC15" s="369"/>
      <c r="AD15" s="369"/>
      <c r="AE15" s="369"/>
      <c r="AF15" s="369"/>
      <c r="AG15" s="369"/>
      <c r="AH15" s="369"/>
      <c r="AI15" s="369"/>
      <c r="AJ15" s="369"/>
      <c r="AK15" s="369"/>
      <c r="AL15" s="369"/>
      <c r="AM15" s="369"/>
    </row>
    <row r="16" ht="154.5" customHeight="1" outlineLevel="1">
      <c r="A16" s="294">
        <f>IFERROR(__xludf.DUMMYFUNCTION("""COMPUTED_VALUE"""),10.0)</f>
        <v>10</v>
      </c>
      <c r="B16" s="331" t="str">
        <f>IFERROR(__xludf.DUMMYFUNCTION("""COMPUTED_VALUE"""),"Nhà Mây")</f>
        <v>Nhà Mây</v>
      </c>
      <c r="C16" s="296" t="str">
        <f>IFERROR(__xludf.DUMMYFUNCTION("""COMPUTED_VALUE"""),"Tiktok")</f>
        <v>Tiktok</v>
      </c>
      <c r="D16" s="297" t="str">
        <f>IFERROR(__xludf.DUMMYFUNCTION("""COMPUTED_VALUE"""),"187.9K")</f>
        <v>187.9K</v>
      </c>
      <c r="E16" s="298" t="str">
        <f>IFERROR(__xludf.DUMMYFUNCTION("""COMPUTED_VALUE"""),"Micro")</f>
        <v>Micro</v>
      </c>
      <c r="F16" s="299" t="str">
        <f>IFERROR(__xludf.DUMMYFUNCTION("""COMPUTED_VALUE"""),"link")</f>
        <v>link</v>
      </c>
      <c r="G16" s="300" t="str">
        <f>IFERROR(__xludf.DUMMYFUNCTION("""COMPUTED_VALUE"""),"Hồ Chí Minh")</f>
        <v>Hồ Chí Minh</v>
      </c>
      <c r="H16"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6" s="300" t="b">
        <f>IFERROR(__xludf.DUMMYFUNCTION("""COMPUTED_VALUE"""),TRUE)</f>
        <v>1</v>
      </c>
      <c r="J16" s="279" t="str">
        <f>IFERROR(__xludf.DUMMYFUNCTION("""COMPUTED_VALUE"""),"Quay TPHCM 16/5")</f>
        <v>Quay TPHCM 16/5</v>
      </c>
      <c r="K16" s="279"/>
      <c r="L16" s="279"/>
      <c r="M16" s="281" t="str">
        <f>IFERROR(__xludf.DUMMYFUNCTION("""COMPUTED_VALUE"""),"https://docs.google.com/spreadsheets/d/1xQ1mD1D5YIQbOnp-TcVfi31RHqUWCR8Z0vOrkp-JFkc/edit?gid=0#gid=0")</f>
        <v>https://docs.google.com/spreadsheets/d/1xQ1mD1D5YIQbOnp-TcVfi31RHqUWCR8Z0vOrkp-JFkc/edit?gid=0#gid=0</v>
      </c>
      <c r="N16" s="279"/>
      <c r="O16" s="277" t="str">
        <f>IFERROR(__xludf.DUMMYFUNCTION("""COMPUTED_VALUE"""),"Trang phục opt 3
- Bổ sung thêm context ở khúc đầu để rõ ý với tạo sự quen thuộc hơn &gt; đón bé từ trường học về 
- Thêm góc nhìn của bé &gt; ý kiến của bé về món ăn. reaction khi ăn &gt; bé yêu thích như thế nào
- Có thể bổ sung thêm yếu tố đa dạng. nhiều món t"&amp;"ừ ăn no tới ăn vặt
- CTA chưa hấp dẫn&gt; có thể chỉnh theo hướng ""Muốn ăn nhanh. tiện mà vẫn ngon miệng thì Five Star là một option khá đáng thử"" hoặc là ""Hôm nào muốn đổi bữa cho đỡ ngán cơm nhà mà ko phải đi xa. thử dẫn bé ghé Five Star ăn nhanh một bữ"&amp;"a nóng giòn nhé!""")</f>
        <v>Trang phục opt 3
- Bổ sung thêm context ở khúc đầu để rõ ý với tạo sự quen thuộc hơn &gt; đón bé từ trường học về 
- Thêm góc nhìn của bé &gt; ý kiến của bé về món ăn. reaction khi ăn &gt; bé yêu thích như thế nào
- Có thể bổ sung thêm yếu tố đa dạng. nhiều món từ ăn no tới ăn vặt
- CTA chưa hấp dẫn&gt; có thể chỉnh theo hướng "Muốn ăn nhanh. tiện mà vẫn ngon miệng thì Five Star là một option khá đáng thử" hoặc là "Hôm nào muốn đổi bữa cho đỡ ngán cơm nhà mà ko phải đi xa. thử dẫn bé ghé Five Star ăn nhanh một bữa nóng giòn nhé!"</v>
      </c>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row>
    <row r="17" ht="120.0" customHeight="1">
      <c r="A17" s="379">
        <f>IFERROR(__xludf.DUMMYFUNCTION("""COMPUTED_VALUE"""),11.0)</f>
        <v>11</v>
      </c>
      <c r="B17" s="380" t="str">
        <f>IFERROR(__xludf.DUMMYFUNCTION("""COMPUTED_VALUE"""),"Đi chill cùng Phương phiêu ")</f>
        <v>Đi chill cùng Phương phiêu </v>
      </c>
      <c r="C17" s="271" t="str">
        <f>IFERROR(__xludf.DUMMYFUNCTION("""COMPUTED_VALUE"""),"Tiktok")</f>
        <v>Tiktok</v>
      </c>
      <c r="D17" s="272" t="str">
        <f>IFERROR(__xludf.DUMMYFUNCTION("""COMPUTED_VALUE"""),"57.7K")</f>
        <v>57.7K</v>
      </c>
      <c r="E17" s="273" t="str">
        <f>IFERROR(__xludf.DUMMYFUNCTION("""COMPUTED_VALUE"""),"Nano")</f>
        <v>Nano</v>
      </c>
      <c r="F17" s="274" t="str">
        <f>IFERROR(__xludf.DUMMYFUNCTION("""COMPUTED_VALUE"""),"link")</f>
        <v>link</v>
      </c>
      <c r="G17" s="275" t="str">
        <f>IFERROR(__xludf.DUMMYFUNCTION("""COMPUTED_VALUE"""),"Hồ Chí Minh")</f>
        <v>Hồ Chí Minh</v>
      </c>
      <c r="H17" s="276"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7" s="664" t="b">
        <f>IFERROR(__xludf.DUMMYFUNCTION("""COMPUTED_VALUE"""),FALSE)</f>
        <v>0</v>
      </c>
      <c r="J17" s="279" t="str">
        <f>IFERROR(__xludf.DUMMYFUNCTION("""COMPUTED_VALUE""")," Hà Nội 
12/5 13h")</f>
        <v> Hà Nội 
12/5 13h</v>
      </c>
      <c r="K17" s="381"/>
      <c r="L17" s="381"/>
      <c r="M17" s="665" t="str">
        <f>IFERROR(__xludf.DUMMYFUNCTION("""COMPUTED_VALUE"""),"https://docs.google.com/spreadsheets/d/1fpgklNz15kb8DM2y7cMvWmIrrpZJ52PQO1AcoqBHmEA/edit?gid=0#gid=0")</f>
        <v>https://docs.google.com/spreadsheets/d/1fpgklNz15kb8DM2y7cMvWmIrrpZJ52PQO1AcoqBHmEA/edit?gid=0#gid=0</v>
      </c>
      <c r="N17" s="279"/>
      <c r="O17" s="277" t="str">
        <f>IFERROR(__xludf.DUMMYFUNCTION("""COMPUTED_VALUE"""),"- Review thêm hương vị các món xiên que (nóng hổi. thơm ngon. v.v.)
- Add thêm tiếng cắn gà / tiếng ăn các món cho thêm hấp dẫn
- Add thêm địa chỉ Five Star")</f>
        <v>- Review thêm hương vị các món xiên que (nóng hổi. thơm ngon. v.v.)
- Add thêm tiếng cắn gà / tiếng ăn các món cho thêm hấp dẫn
- Add thêm địa chỉ Five Star</v>
      </c>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row>
    <row r="18" ht="204.75" customHeight="1" outlineLevel="1">
      <c r="A18" s="294">
        <f>IFERROR(__xludf.DUMMYFUNCTION("""COMPUTED_VALUE"""),12.0)</f>
        <v>12</v>
      </c>
      <c r="B18" s="385" t="str">
        <f>IFERROR(__xludf.DUMMYFUNCTION("""COMPUTED_VALUE"""),"🍊𝐕 𝐈 𝐓 𝐀 𝐌 𝐈 𝐍 𝐂🍊")</f>
        <v>🍊𝐕 𝐈 𝐓 𝐀 𝐌 𝐈 𝐍 𝐂🍊</v>
      </c>
      <c r="C18" s="296" t="str">
        <f>IFERROR(__xludf.DUMMYFUNCTION("""COMPUTED_VALUE"""),"Tiktok")</f>
        <v>Tiktok</v>
      </c>
      <c r="D18" s="297" t="str">
        <f>IFERROR(__xludf.DUMMYFUNCTION("""COMPUTED_VALUE"""),"10.1K")</f>
        <v>10.1K</v>
      </c>
      <c r="E18" s="298" t="str">
        <f>IFERROR(__xludf.DUMMYFUNCTION("""COMPUTED_VALUE"""),"Nano")</f>
        <v>Nano</v>
      </c>
      <c r="F18" s="299" t="str">
        <f>IFERROR(__xludf.DUMMYFUNCTION("""COMPUTED_VALUE"""),"link")</f>
        <v>link</v>
      </c>
      <c r="G18" s="300" t="str">
        <f>IFERROR(__xludf.DUMMYFUNCTION("""COMPUTED_VALUE"""),"Hồ Chí Minh")</f>
        <v>Hồ Chí Minh</v>
      </c>
      <c r="H18"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8" s="300" t="b">
        <f>IFERROR(__xludf.DUMMYFUNCTION("""COMPUTED_VALUE"""),FALSE)</f>
        <v>0</v>
      </c>
      <c r="J18" s="279" t="str">
        <f>IFERROR(__xludf.DUMMYFUNCTION("""COMPUTED_VALUE"""),"Ngày 11/5/2026
Time : 11H30")</f>
        <v>Ngày 11/5/2026
Time : 11H30</v>
      </c>
      <c r="K18" s="279"/>
      <c r="L18" s="279"/>
      <c r="M18" s="281" t="str">
        <f>IFERROR(__xludf.DUMMYFUNCTION("""COMPUTED_VALUE"""),"https://docs.google.com/spreadsheets/d/1Zs-sbAumg9ydXNKSreenvInyRfXK3lg9oVTB-V7R3bY/edit?gid=0#gid=0")</f>
        <v>https://docs.google.com/spreadsheets/d/1Zs-sbAumg9ydXNKSreenvInyRfXK3lg9oVTB-V7R3bY/edit?gid=0#gid=0</v>
      </c>
      <c r="N18" s="279"/>
      <c r="O18" s="277" t="str">
        <f>IFERROR(__xludf.DUMMYFUNCTION("""COMPUTED_VALUE"""),"- Thay vì rủ bạn NV chính đi bằng cách nói đi cái này hay nè &gt; chỉnh thành hướng tạo cảm giác “Five Star là chỗ quen thuộc nhưng lúc nào cũng thấy thích ghé”. để tăng sự yêu thích và cảm giác đặc biệt hơn với brand. Ví dụ như : “Đi Five Star hông. lâu rồi"&amp;" chưa ăn lại mà tự nhiên nhớ.”. “Không biết ăn gì là auto nghĩ tới Five Star luôn á.”. “Em biết chỗ này nè. mỗi lần bí kèo ăn là lại muốn ghé.”
- Review thêm về độ phủ của Five Star (ở nhiều nơi. nhất là mấy khu dân cư / trường học &gt; tùy theo quan sát của"&amp;" bạn KOC)
- Review thêm hương vị của các món xiên que hoặc về độ nóng. độ giòn. độ juicy / dai ngon ăn kèm sốt thì ntn
- Add thêm địa chỉ Five Star")</f>
        <v>- Thay vì rủ bạn NV chính đi bằng cách nói đi cái này hay nè &gt; chỉnh thành hướng tạo cảm giác “Five Star là chỗ quen thuộc nhưng lúc nào cũng thấy thích ghé”. để tăng sự yêu thích và cảm giác đặc biệt hơn với brand. Ví dụ như : “Đi Five Star hông. lâu rồi chưa ăn lại mà tự nhiên nhớ.”. “Không biết ăn gì là auto nghĩ tới Five Star luôn á.”. “Em biết chỗ này nè. mỗi lần bí kèo ăn là lại muốn ghé.”
- Review thêm về độ phủ của Five Star (ở nhiều nơi. nhất là mấy khu dân cư / trường học &gt; tùy theo quan sát của bạn KOC)
- Review thêm hương vị của các món xiên que hoặc về độ nóng. độ giòn. độ juicy / dai ngon ăn kèm sốt thì ntn
- Add thêm địa chỉ Five Star</v>
      </c>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row>
    <row r="19" ht="126.0" customHeight="1" outlineLevel="1">
      <c r="A19" s="294">
        <f>IFERROR(__xludf.DUMMYFUNCTION("""COMPUTED_VALUE"""),13.0)</f>
        <v>13</v>
      </c>
      <c r="B19" s="331" t="str">
        <f>IFERROR(__xludf.DUMMYFUNCTION("""COMPUTED_VALUE"""),"Chu Cao Food")</f>
        <v>Chu Cao Food</v>
      </c>
      <c r="C19" s="296" t="str">
        <f>IFERROR(__xludf.DUMMYFUNCTION("""COMPUTED_VALUE"""),"Tiktok")</f>
        <v>Tiktok</v>
      </c>
      <c r="D19" s="297" t="str">
        <f>IFERROR(__xludf.DUMMYFUNCTION("""COMPUTED_VALUE"""),"67.4K")</f>
        <v>67.4K</v>
      </c>
      <c r="E19" s="298" t="str">
        <f>IFERROR(__xludf.DUMMYFUNCTION("""COMPUTED_VALUE"""),"Nano")</f>
        <v>Nano</v>
      </c>
      <c r="F19" s="299" t="str">
        <f>IFERROR(__xludf.DUMMYFUNCTION("""COMPUTED_VALUE"""),"Link")</f>
        <v>Link</v>
      </c>
      <c r="G19" s="300" t="str">
        <f>IFERROR(__xludf.DUMMYFUNCTION("""COMPUTED_VALUE"""),"Hồ Chí Minh")</f>
        <v>Hồ Chí Minh</v>
      </c>
      <c r="H19"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19" s="300" t="b">
        <f>IFERROR(__xludf.DUMMYFUNCTION("""COMPUTED_VALUE"""),FALSE)</f>
        <v>0</v>
      </c>
      <c r="J19" s="279" t="str">
        <f>IFERROR(__xludf.DUMMYFUNCTION("""COMPUTED_VALUE"""),"14:00 thứ T2 11/5")</f>
        <v>14:00 thứ T2 11/5</v>
      </c>
      <c r="K19" s="279"/>
      <c r="L19" s="279"/>
      <c r="M19" s="281" t="str">
        <f>IFERROR(__xludf.DUMMYFUNCTION("""COMPUTED_VALUE"""),"https://docs.google.com/spreadsheets/d/191E4WQVYqKQGCKUc6VNpr6XcIAnFaPVzZakBmOWs_dE/edit?gid=0#gid=0")</f>
        <v>https://docs.google.com/spreadsheets/d/191E4WQVYqKQGCKUc6VNpr6XcIAnFaPVzZakBmOWs_dE/edit?gid=0#gid=0</v>
      </c>
      <c r="N19" s="279"/>
      <c r="O19" s="277" t="str">
        <f>IFERROR(__xludf.DUMMYFUNCTION("""COMPUTED_VALUE"""),"- Khi nói về mọng nước. có thể quay cận cảnh miếng gà
- Nên có khúc trả lời cho câu ""Hôm nay mình ăn thử lại xem còn ngon như trong trí nhớ không nha.""
- Add thêm địa chỉ Five Star")</f>
        <v>- Khi nói về mọng nước. có thể quay cận cảnh miếng gà
- Nên có khúc trả lời cho câu "Hôm nay mình ăn thử lại xem còn ngon như trong trí nhớ không nha."
- Add thêm địa chỉ Five Star</v>
      </c>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row>
    <row r="20" ht="189.0" customHeight="1" outlineLevel="1">
      <c r="A20" s="294">
        <f>IFERROR(__xludf.DUMMYFUNCTION("""COMPUTED_VALUE"""),14.0)</f>
        <v>14</v>
      </c>
      <c r="B20" s="331" t="str">
        <f>IFERROR(__xludf.DUMMYFUNCTION("""COMPUTED_VALUE"""),"Hi Ân nè")</f>
        <v>Hi Ân nè</v>
      </c>
      <c r="C20" s="296" t="str">
        <f>IFERROR(__xludf.DUMMYFUNCTION("""COMPUTED_VALUE"""),"Tiktok")</f>
        <v>Tiktok</v>
      </c>
      <c r="D20" s="297">
        <f>IFERROR(__xludf.DUMMYFUNCTION("""COMPUTED_VALUE"""),6489.0)</f>
        <v>6489</v>
      </c>
      <c r="E20" s="298" t="str">
        <f>IFERROR(__xludf.DUMMYFUNCTION("""COMPUTED_VALUE"""),"Nano")</f>
        <v>Nano</v>
      </c>
      <c r="F20" s="299" t="str">
        <f>IFERROR(__xludf.DUMMYFUNCTION("""COMPUTED_VALUE"""),"link")</f>
        <v>link</v>
      </c>
      <c r="G20" s="300" t="str">
        <f>IFERROR(__xludf.DUMMYFUNCTION("""COMPUTED_VALUE"""),"Hồ Chí Minh")</f>
        <v>Hồ Chí Minh</v>
      </c>
      <c r="H20"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0" s="300" t="b">
        <f>IFERROR(__xludf.DUMMYFUNCTION("""COMPUTED_VALUE"""),FALSE)</f>
        <v>0</v>
      </c>
      <c r="J20" s="279" t="str">
        <f>IFERROR(__xludf.DUMMYFUNCTION("""COMPUTED_VALUE"""),"11:00 thứ 2 11/5 Hoặc")</f>
        <v>11:00 thứ 2 11/5 Hoặc</v>
      </c>
      <c r="K20" s="279"/>
      <c r="L20" s="279"/>
      <c r="M20" s="281" t="str">
        <f>IFERROR(__xludf.DUMMYFUNCTION("""COMPUTED_VALUE"""),"https://docs.google.com/spreadsheets/d/14zMYJFq84bLogXppl5iBijvsYFm90xU8MuxJDdbrRZ4/edit?gid=0#gid=0")</f>
        <v>https://docs.google.com/spreadsheets/d/14zMYJFq84bLogXppl5iBijvsYFm90xU8MuxJDdbrRZ4/edit?gid=0#gid=0</v>
      </c>
      <c r="N20" s="279"/>
      <c r="O20" s="394" t="str">
        <f>IFERROR(__xludf.DUMMYFUNCTION("""COMPUTED_VALUE"""),"- Bổ sung thêm context hoặc cảm xúc cá nhân / đặc điểm unique mà bạn thấy Fivestar có mà chỗ khác chưa có để tạo sự khác biệt. gần gũi và đáng nhớ cho ng xem hơn")</f>
        <v>- Bổ sung thêm context hoặc cảm xúc cá nhân / đặc điểm unique mà bạn thấy Fivestar có mà chỗ khác chưa có để tạo sự khác biệt. gần gũi và đáng nhớ cho ng xem hơn</v>
      </c>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279"/>
    </row>
    <row r="21" ht="197.25" customHeight="1" outlineLevel="1">
      <c r="A21" s="294">
        <f>IFERROR(__xludf.DUMMYFUNCTION("""COMPUTED_VALUE"""),15.0)</f>
        <v>15</v>
      </c>
      <c r="B21" s="395" t="str">
        <f>IFERROR(__xludf.DUMMYFUNCTION("""COMPUTED_VALUE"""),"vuvicungyuhi")</f>
        <v>vuvicungyuhi</v>
      </c>
      <c r="C21" s="296" t="str">
        <f>IFERROR(__xludf.DUMMYFUNCTION("""COMPUTED_VALUE"""),"Tiktok")</f>
        <v>Tiktok</v>
      </c>
      <c r="D21" s="297" t="str">
        <f>IFERROR(__xludf.DUMMYFUNCTION("""COMPUTED_VALUE"""),"82.9K")</f>
        <v>82.9K</v>
      </c>
      <c r="E21" s="298" t="str">
        <f>IFERROR(__xludf.DUMMYFUNCTION("""COMPUTED_VALUE"""),"Nano")</f>
        <v>Nano</v>
      </c>
      <c r="F21" s="299" t="str">
        <f>IFERROR(__xludf.DUMMYFUNCTION("""COMPUTED_VALUE"""),"https://www.tiktok.com/@vuvicungyuhi")</f>
        <v>https://www.tiktok.com/@vuvicungyuhi</v>
      </c>
      <c r="G21" s="300" t="str">
        <f>IFERROR(__xludf.DUMMYFUNCTION("""COMPUTED_VALUE"""),"Hồ Chí Minh")</f>
        <v>Hồ Chí Minh</v>
      </c>
      <c r="H21"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1" s="300" t="b">
        <f>IFERROR(__xludf.DUMMYFUNCTION("""COMPUTED_VALUE"""),FALSE)</f>
        <v>0</v>
      </c>
      <c r="J21" s="279" t="str">
        <f>IFERROR(__xludf.DUMMYFUNCTION("""COMPUTED_VALUE"""),"487 Huỳnh Tấn Phát. P. Tân Thuận Đông. Quận 7.")</f>
        <v>487 Huỳnh Tấn Phát. P. Tân Thuận Đông. Quận 7.</v>
      </c>
      <c r="K21" s="279"/>
      <c r="L21" s="279"/>
      <c r="M21" s="344" t="str">
        <f>IFERROR(__xludf.DUMMYFUNCTION("""COMPUTED_VALUE"""),"https://docs.google.com/spreadsheets/d/1hY2b8b5_EtKYxGXaNgirKjOArXXbMdXlIgAe3-7WkNw/edit?gid=0#gid=0")</f>
        <v>https://docs.google.com/spreadsheets/d/1hY2b8b5_EtKYxGXaNgirKjOArXXbMdXlIgAe3-7WkNw/edit?gid=0#gid=0</v>
      </c>
      <c r="N21" s="279"/>
      <c r="O21" s="394" t="str">
        <f>IFERROR(__xludf.DUMMYFUNCTION("""COMPUTED_VALUE"""),"Trang phục năng động hơn. màu tươi hơn
- Idea opening về việc từng thấy kiosk Five Star ở Thái ok. 
- Đoạn nói về “gà rán Thái Lan” hơi chưa thực tế vì thực ra trải nghiệm khác biệt giữa Thái và Việt Nam chủ yếu nằm ở phần sốt/vị địa phương hóa hơn là bản"&amp;" thân món gà.
- Đoạn “không biết ở Việt Nam cũng có Five Star” đang chưa tự nhiên và thiếu hợp lý. Có thể chỉnh theo hướng cảm giác bất ngờ vì gặp lại brand từng thấy ở VN ngay tại Thái Lan &gt; nên giờ muốn thử để xem có giống vị ko.
- Chỉnh lại ""Five Star"&amp;" là thương hiệu thức ăn nhanh đến từ Thái Lan với hơn 5000 điểm bán. thuộc tập đoàn CP Việt Nam"" &gt; Five Star là thương hiệu thức ăn nhanh đến từ tập đoàn CP của Thái Lan với gần 1000 điểm bán.")</f>
        <v>Trang phục năng động hơn. màu tươi hơn
- Idea opening về việc từng thấy kiosk Five Star ở Thái ok. 
- Đoạn nói về “gà rán Thái Lan” hơi chưa thực tế vì thực ra trải nghiệm khác biệt giữa Thái và Việt Nam chủ yếu nằm ở phần sốt/vị địa phương hóa hơn là bản thân món gà.
- Đoạn “không biết ở Việt Nam cũng có Five Star” đang chưa tự nhiên và thiếu hợp lý. Có thể chỉnh theo hướng cảm giác bất ngờ vì gặp lại brand từng thấy ở VN ngay tại Thái Lan &gt; nên giờ muốn thử để xem có giống vị ko.
- Chỉnh lại "Five Star là thương hiệu thức ăn nhanh đến từ Thái Lan với hơn 5000 điểm bán. thuộc tập đoàn CP Việt Nam" &gt; Five Star là thương hiệu thức ăn nhanh đến từ tập đoàn CP của Thái Lan với gần 1000 điểm bán.</v>
      </c>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row>
    <row r="22" ht="114.0" customHeight="1" outlineLevel="1">
      <c r="A22" s="294">
        <f>IFERROR(__xludf.DUMMYFUNCTION("""COMPUTED_VALUE"""),16.0)</f>
        <v>16</v>
      </c>
      <c r="B22" s="342" t="str">
        <f>IFERROR(__xludf.DUMMYFUNCTION("""COMPUTED_VALUE"""),"Koi Nam Ăng")</f>
        <v>Koi Nam Ăng</v>
      </c>
      <c r="C22" s="296" t="str">
        <f>IFERROR(__xludf.DUMMYFUNCTION("""COMPUTED_VALUE"""),"Tiktok")</f>
        <v>Tiktok</v>
      </c>
      <c r="D22" s="297" t="str">
        <f>IFERROR(__xludf.DUMMYFUNCTION("""COMPUTED_VALUE"""),"70.5K")</f>
        <v>70.5K</v>
      </c>
      <c r="E22" s="298" t="str">
        <f>IFERROR(__xludf.DUMMYFUNCTION("""COMPUTED_VALUE"""),"Nano")</f>
        <v>Nano</v>
      </c>
      <c r="F22" s="299" t="str">
        <f>IFERROR(__xludf.DUMMYFUNCTION("""COMPUTED_VALUE"""),"https://www.tiktok.com/@koinamang")</f>
        <v>https://www.tiktok.com/@koinamang</v>
      </c>
      <c r="G22" s="300" t="str">
        <f>IFERROR(__xludf.DUMMYFUNCTION("""COMPUTED_VALUE"""),"Hồ Chí Minh")</f>
        <v>Hồ Chí Minh</v>
      </c>
      <c r="H22"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2" s="300" t="b">
        <f>IFERROR(__xludf.DUMMYFUNCTION("""COMPUTED_VALUE"""),FALSE)</f>
        <v>0</v>
      </c>
      <c r="J22" s="658" t="str">
        <f>IFERROR(__xludf.DUMMYFUNCTION("""COMPUTED_VALUE"""),"https://maps.app.goo.gl/8nfYco4okWjL8bpN7?g_st=ipc
11/5  quay 10:00")</f>
        <v>https://maps.app.goo.gl/8nfYco4okWjL8bpN7?g_st=ipc
11/5  quay 10:00</v>
      </c>
      <c r="K22" s="279"/>
      <c r="L22" s="279"/>
      <c r="M22" s="281" t="str">
        <f>IFERROR(__xludf.DUMMYFUNCTION("""COMPUTED_VALUE"""),"https://docs.google.com/spreadsheets/d/1ElUYUftJAo28QUTzMDf6W8D9d5rKU9kobs52VaXPhHo/edit?gid=0#gid=0")</f>
        <v>https://docs.google.com/spreadsheets/d/1ElUYUftJAo28QUTzMDf6W8D9d5rKU9kobs52VaXPhHo/edit?gid=0#gid=0</v>
      </c>
      <c r="N22" s="279"/>
      <c r="O22" s="346" t="str">
        <f>IFERROR(__xludf.DUMMYFUNCTION("""COMPUTED_VALUE"""),"- Đổi màu áo vàng hoặc đỏ nha
- Giá mềm &gt; đổi hết thành giá hợp lý hoặc chất lượng so với giá
- Nếu được có thể bổ sung thêm vài tình huống/thời điểm cụ thể để gợi mở nhu cầu ăn một cách tự nhiên hơn. giúp Five Star xuất hiện như lựa chọn quen thuộc trong"&amp;" nhiều khoảnh khắc hằng ngày.
- Add địa chỉ FS bạn ghé")</f>
        <v>- Đổi màu áo vàng hoặc đỏ nha
- Giá mềm &gt; đổi hết thành giá hợp lý hoặc chất lượng so với giá
- Nếu được có thể bổ sung thêm vài tình huống/thời điểm cụ thể để gợi mở nhu cầu ăn một cách tự nhiên hơn. giúp Five Star xuất hiện như lựa chọn quen thuộc trong nhiều khoảnh khắc hằng ngày.
- Add địa chỉ FS bạn ghé</v>
      </c>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row>
    <row r="23" ht="131.25" customHeight="1" outlineLevel="1">
      <c r="A23" s="294">
        <f>IFERROR(__xludf.DUMMYFUNCTION("""COMPUTED_VALUE"""),17.0)</f>
        <v>17</v>
      </c>
      <c r="B23" s="310" t="str">
        <f>IFERROR(__xludf.DUMMYFUNCTION("""COMPUTED_VALUE"""),"Vie ở sài gòn")</f>
        <v>Vie ở sài gòn</v>
      </c>
      <c r="C23" s="296" t="str">
        <f>IFERROR(__xludf.DUMMYFUNCTION("""COMPUTED_VALUE"""),"Tiktok")</f>
        <v>Tiktok</v>
      </c>
      <c r="D23" s="297" t="str">
        <f>IFERROR(__xludf.DUMMYFUNCTION("""COMPUTED_VALUE"""),"64.7K")</f>
        <v>64.7K</v>
      </c>
      <c r="E23" s="298" t="str">
        <f>IFERROR(__xludf.DUMMYFUNCTION("""COMPUTED_VALUE"""),"Nano")</f>
        <v>Nano</v>
      </c>
      <c r="F23" s="299" t="str">
        <f>IFERROR(__xludf.DUMMYFUNCTION("""COMPUTED_VALUE"""),"link")</f>
        <v>link</v>
      </c>
      <c r="G23" s="300" t="str">
        <f>IFERROR(__xludf.DUMMYFUNCTION("""COMPUTED_VALUE"""),"Hồ Chí Minh")</f>
        <v>Hồ Chí Minh</v>
      </c>
      <c r="H23"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3" s="300" t="b">
        <f>IFERROR(__xludf.DUMMYFUNCTION("""COMPUTED_VALUE"""),FALSE)</f>
        <v>0</v>
      </c>
      <c r="J23" s="279" t="str">
        <f>IFERROR(__xludf.DUMMYFUNCTION("""COMPUTED_VALUE"""),"- 11-12h ngày 14/5
- 280C Hoàng Hoa Thám. Phường 5. Quận Bình Thạnh. TP. HCM")</f>
        <v>- 11-12h ngày 14/5
- 280C Hoàng Hoa Thám. Phường 5. Quận Bình Thạnh. TP. HCM</v>
      </c>
      <c r="K23" s="279"/>
      <c r="L23" s="279"/>
      <c r="M23" s="281" t="str">
        <f>IFERROR(__xludf.DUMMYFUNCTION("""COMPUTED_VALUE"""),"https://docs.google.com/spreadsheets/d/1sFqEAfN8N0lcOoXThx0t58Z8JdMal5nNG1sEjaYr_5A/edit?gid=1051730808#gid=1051730808")</f>
        <v>https://docs.google.com/spreadsheets/d/1sFqEAfN8N0lcOoXThx0t58Z8JdMal5nNG1sEjaYr_5A/edit?gid=1051730808#gid=1051730808</v>
      </c>
      <c r="N23" s="279"/>
      <c r="O23" s="346" t="str">
        <f>IFERROR(__xludf.DUMMYFUNCTION("""COMPUTED_VALUE"""),"- Khi nói về giá dễ chịu. nhắc kèm với chất lượng món. Ví dụ: Khẩu phần / chất lượng thơm ngon an toàn 
- CTA ghé Five Star + add địa chỉ
- Trang phục ok ")</f>
        <v>- Khi nói về giá dễ chịu. nhắc kèm với chất lượng món. Ví dụ: Khẩu phần / chất lượng thơm ngon an toàn 
- CTA ghé Five Star + add địa chỉ
- Trang phục ok </v>
      </c>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row>
    <row r="24" ht="46.5" customHeight="1" outlineLevel="1">
      <c r="A24" s="367" t="str">
        <f>IFERROR(__xludf.DUMMYFUNCTION("""COMPUTED_VALUE"""),"b")</f>
        <v>b</v>
      </c>
      <c r="B24" s="368" t="str">
        <f>IFERROR(__xludf.DUMMYFUNCTION("""COMPUTED_VALUE"""),"Khu Vực miền Bắc")</f>
        <v>Khu Vực miền Bắc</v>
      </c>
      <c r="C24" s="369"/>
      <c r="D24" s="370"/>
      <c r="E24" s="369"/>
      <c r="F24" s="369"/>
      <c r="G24" s="369"/>
      <c r="H24" s="371"/>
      <c r="I24" s="663" t="b">
        <f>IFERROR(__xludf.DUMMYFUNCTION("""COMPUTED_VALUE"""),FALSE)</f>
        <v>0</v>
      </c>
      <c r="J24" s="369"/>
      <c r="K24" s="369"/>
      <c r="L24" s="369"/>
      <c r="M24" s="369"/>
      <c r="N24" s="369"/>
      <c r="O24" s="372"/>
      <c r="P24" s="369"/>
      <c r="Q24" s="369"/>
      <c r="R24" s="369"/>
      <c r="S24" s="369"/>
      <c r="T24" s="369"/>
      <c r="U24" s="369"/>
      <c r="V24" s="369"/>
      <c r="W24" s="369"/>
      <c r="X24" s="369"/>
      <c r="Y24" s="369"/>
      <c r="Z24" s="369"/>
      <c r="AA24" s="369"/>
      <c r="AB24" s="369"/>
      <c r="AC24" s="369"/>
      <c r="AD24" s="369"/>
      <c r="AE24" s="369"/>
      <c r="AF24" s="369"/>
      <c r="AG24" s="369"/>
      <c r="AH24" s="369"/>
      <c r="AI24" s="369"/>
      <c r="AJ24" s="369"/>
      <c r="AK24" s="369"/>
      <c r="AL24" s="369"/>
      <c r="AM24" s="369"/>
    </row>
    <row r="25" ht="111.75" customHeight="1" outlineLevel="1">
      <c r="A25" s="294">
        <f>IFERROR(__xludf.DUMMYFUNCTION("""COMPUTED_VALUE"""),18.0)</f>
        <v>18</v>
      </c>
      <c r="B25" s="331" t="str">
        <f>IFERROR(__xludf.DUMMYFUNCTION("""COMPUTED_VALUE"""),"Dương Bảo Anh")</f>
        <v>Dương Bảo Anh</v>
      </c>
      <c r="C25" s="296" t="str">
        <f>IFERROR(__xludf.DUMMYFUNCTION("""COMPUTED_VALUE"""),"Tiktok")</f>
        <v>Tiktok</v>
      </c>
      <c r="D25" s="297" t="str">
        <f>IFERROR(__xludf.DUMMYFUNCTION("""COMPUTED_VALUE"""),"20.1K")</f>
        <v>20.1K</v>
      </c>
      <c r="E25" s="298" t="str">
        <f>IFERROR(__xludf.DUMMYFUNCTION("""COMPUTED_VALUE"""),"Nano")</f>
        <v>Nano</v>
      </c>
      <c r="F25" s="299" t="str">
        <f>IFERROR(__xludf.DUMMYFUNCTION("""COMPUTED_VALUE"""),"https://www.tiktok.com/@duongbaoanh2kk?_r=1&amp;_t=ZS-94n5aTW7D9A")</f>
        <v>https://www.tiktok.com/@duongbaoanh2kk?_r=1&amp;_t=ZS-94n5aTW7D9A</v>
      </c>
      <c r="G25" s="300" t="str">
        <f>IFERROR(__xludf.DUMMYFUNCTION("""COMPUTED_VALUE"""),"Hà Nội ")</f>
        <v>Hà Nội </v>
      </c>
      <c r="H25"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5" s="300" t="b">
        <f>IFERROR(__xludf.DUMMYFUNCTION("""COMPUTED_VALUE"""),FALSE)</f>
        <v>0</v>
      </c>
      <c r="J25" s="279" t="str">
        <f>IFERROR(__xludf.DUMMYFUNCTION("""COMPUTED_VALUE"""),"11h trưa 12/5/2026")</f>
        <v>11h trưa 12/5/2026</v>
      </c>
      <c r="K25" s="279"/>
      <c r="L25" s="279"/>
      <c r="M25" s="281" t="str">
        <f>IFERROR(__xludf.DUMMYFUNCTION("""COMPUTED_VALUE"""),"https://docs.google.com/spreadsheets/d/1v_4l8kffwO5HDSDp9f0NMZ20h7cM9EQfqTMr2OwgAO4/edit?gid=0#gid=0")</f>
        <v>https://docs.google.com/spreadsheets/d/1v_4l8kffwO5HDSDp9f0NMZ20h7cM9EQfqTMr2OwgAO4/edit?gid=0#gid=0</v>
      </c>
      <c r="N25" s="279"/>
      <c r="O25" s="311" t="str">
        <f>IFERROR(__xludf.DUMMYFUNCTION("""COMPUTED_VALUE"""),"- Không dùng từ rẻ &gt; giá hợp lý. mềm. dễ chịu
- CTA khúc cuối &gt; bổ sung ý như đoạn opening là kêu gọi ghé khi bận bù đầu mà vẫn muốn ăn gì ngon tiện nhanh")</f>
        <v>- Không dùng từ rẻ &gt; giá hợp lý. mềm. dễ chịu
- CTA khúc cuối &gt; bổ sung ý như đoạn opening là kêu gọi ghé khi bận bù đầu mà vẫn muốn ăn gì ngon tiện nhanh</v>
      </c>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row>
    <row r="26" ht="210.0" customHeight="1" outlineLevel="1">
      <c r="A26" s="294">
        <f>IFERROR(__xludf.DUMMYFUNCTION("""COMPUTED_VALUE"""),19.0)</f>
        <v>19</v>
      </c>
      <c r="B26" s="405" t="str">
        <f>IFERROR(__xludf.DUMMYFUNCTION("""COMPUTED_VALUE"""),"Nguyệt Thư")</f>
        <v>Nguyệt Thư</v>
      </c>
      <c r="C26" s="296" t="str">
        <f>IFERROR(__xludf.DUMMYFUNCTION("""COMPUTED_VALUE"""),"Tiktok")</f>
        <v>Tiktok</v>
      </c>
      <c r="D26" s="297">
        <f>IFERROR(__xludf.DUMMYFUNCTION("""COMPUTED_VALUE"""),45000.0)</f>
        <v>45000</v>
      </c>
      <c r="E26" s="298" t="str">
        <f>IFERROR(__xludf.DUMMYFUNCTION("""COMPUTED_VALUE"""),"Nano")</f>
        <v>Nano</v>
      </c>
      <c r="F26" s="299" t="str">
        <f>IFERROR(__xludf.DUMMYFUNCTION("""COMPUTED_VALUE"""),"tiktok.com/@vunguyetthu")</f>
        <v>tiktok.com/@vunguyetthu</v>
      </c>
      <c r="G26" s="300" t="str">
        <f>IFERROR(__xludf.DUMMYFUNCTION("""COMPUTED_VALUE"""),"Hải Dương")</f>
        <v>Hải Dương</v>
      </c>
      <c r="H26"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6" s="300" t="b">
        <f>IFERROR(__xludf.DUMMYFUNCTION("""COMPUTED_VALUE"""),FALSE)</f>
        <v>0</v>
      </c>
      <c r="J26" s="279" t="str">
        <f>IFERROR(__xludf.DUMMYFUNCTION("""COMPUTED_VALUE"""),"11h30 - 13/5 - Hà Nội 
Cô Sâu thích đi chơi")</f>
        <v>11h30 - 13/5 - Hà Nội 
Cô Sâu thích đi chơi</v>
      </c>
      <c r="K26" s="279"/>
      <c r="L26" s="279"/>
      <c r="M26" s="658" t="str">
        <f>IFERROR(__xludf.DUMMYFUNCTION("""COMPUTED_VALUE"""),"https://docs.google.com/spreadsheets/d/1cj90244KvR8OqH9KZFgowQ9lYz0p3GYlqiGHupXlQK4/edit?gid=0#gid=0")</f>
        <v>https://docs.google.com/spreadsheets/d/1cj90244KvR8OqH9KZFgowQ9lYz0p3GYlqiGHupXlQK4/edit?gid=0#gid=0</v>
      </c>
      <c r="N26" s="279"/>
      <c r="O26" s="277"/>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row>
    <row r="27" ht="67.5" customHeight="1" outlineLevel="1">
      <c r="A27" s="294">
        <f>IFERROR(__xludf.DUMMYFUNCTION("""COMPUTED_VALUE"""),20.0)</f>
        <v>20</v>
      </c>
      <c r="B27" s="395" t="str">
        <f>IFERROR(__xludf.DUMMYFUNCTION("""COMPUTED_VALUE"""),"Nguyen Mai Ha My")</f>
        <v>Nguyen Mai Ha My</v>
      </c>
      <c r="C27" s="296" t="str">
        <f>IFERROR(__xludf.DUMMYFUNCTION("""COMPUTED_VALUE"""),"Tiktok")</f>
        <v>Tiktok</v>
      </c>
      <c r="D27" s="297" t="str">
        <f>IFERROR(__xludf.DUMMYFUNCTION("""COMPUTED_VALUE"""),"47.9K")</f>
        <v>47.9K</v>
      </c>
      <c r="E27" s="298" t="str">
        <f>IFERROR(__xludf.DUMMYFUNCTION("""COMPUTED_VALUE"""),"Nano")</f>
        <v>Nano</v>
      </c>
      <c r="F27" s="299" t="str">
        <f>IFERROR(__xludf.DUMMYFUNCTION("""COMPUTED_VALUE"""),"https://www.tiktok.com/@ng.hamii")</f>
        <v>https://www.tiktok.com/@ng.hamii</v>
      </c>
      <c r="G27" s="300" t="str">
        <f>IFERROR(__xludf.DUMMYFUNCTION("""COMPUTED_VALUE"""),"Hà Nội ")</f>
        <v>Hà Nội </v>
      </c>
      <c r="H27"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7" s="300" t="b">
        <f>IFERROR(__xludf.DUMMYFUNCTION("""COMPUTED_VALUE"""),FALSE)</f>
        <v>0</v>
      </c>
      <c r="J27" s="279" t="str">
        <f>IFERROR(__xludf.DUMMYFUNCTION("""COMPUTED_VALUE"""),"Five Star Tân Triều")</f>
        <v>Five Star Tân Triều</v>
      </c>
      <c r="K27" s="279"/>
      <c r="L27" s="279"/>
      <c r="M27" s="281" t="str">
        <f>IFERROR(__xludf.DUMMYFUNCTION("""COMPUTED_VALUE"""),"https://docs.google.com/spreadsheets/d/1-Tou9o64WjWdG5dHbESWyKyghnsgtgjtYtvRWVBT8eM/edit?gid=0#gid=0")</f>
        <v>https://docs.google.com/spreadsheets/d/1-Tou9o64WjWdG5dHbESWyKyghnsgtgjtYtvRWVBT8eM/edit?gid=0#gid=0</v>
      </c>
      <c r="N27" s="666" t="str">
        <f>IFERROR(__xludf.DUMMYFUNCTION("""COMPUTED_VALUE"""),"PMAX Note: Kênh thường không xây dựng kịch bản chi tiết. mà muốn lồng ghép tuyến nội dung tự nhiên phù hợp với kênh. nên chỉ lên khung kịch bản và sẽ follow sát theo brief từ brand team")</f>
        <v>PMAX Note: Kênh thường không xây dựng kịch bản chi tiết. mà muốn lồng ghép tuyến nội dung tự nhiên phù hợp với kênh. nên chỉ lên khung kịch bản và sẽ follow sát theo brief từ brand team</v>
      </c>
      <c r="O27" s="346" t="str">
        <f>IFERROR(__xludf.DUMMYFUNCTION("""COMPUTED_VALUE"""),"- Bổ sung thêm tình huống hoặc thời điểm hoặc lý do để thuyết phục người xem ghé Five Star. Ví dụ như: những hôm thèm gà ngang mà ko biết đi đâu. down mood. v.v.")</f>
        <v>- Bổ sung thêm tình huống hoặc thời điểm hoặc lý do để thuyết phục người xem ghé Five Star. Ví dụ như: những hôm thèm gà ngang mà ko biết đi đâu. down mood. v.v.</v>
      </c>
      <c r="P27" s="279"/>
      <c r="Q27" s="279"/>
      <c r="R27" s="279"/>
      <c r="S27" s="279"/>
      <c r="T27" s="279"/>
      <c r="U27" s="279"/>
      <c r="V27" s="279"/>
      <c r="W27" s="279"/>
      <c r="X27" s="279"/>
      <c r="Y27" s="279"/>
      <c r="Z27" s="279"/>
      <c r="AA27" s="279"/>
      <c r="AB27" s="279"/>
      <c r="AC27" s="279"/>
      <c r="AD27" s="279"/>
      <c r="AE27" s="279"/>
      <c r="AF27" s="279"/>
      <c r="AG27" s="279"/>
      <c r="AH27" s="279"/>
      <c r="AI27" s="279"/>
      <c r="AJ27" s="279"/>
      <c r="AK27" s="279"/>
      <c r="AL27" s="279"/>
      <c r="AM27" s="279"/>
    </row>
    <row r="28" outlineLevel="1">
      <c r="A28" s="294">
        <f>IFERROR(__xludf.DUMMYFUNCTION("""COMPUTED_VALUE"""),21.0)</f>
        <v>21</v>
      </c>
      <c r="B28" s="667" t="str">
        <f>IFERROR(__xludf.DUMMYFUNCTION("""COMPUTED_VALUE"""),"Bộ trưởng bộ tích cực")</f>
        <v>Bộ trưởng bộ tích cực</v>
      </c>
      <c r="C28" s="296" t="str">
        <f>IFERROR(__xludf.DUMMYFUNCTION("""COMPUTED_VALUE"""),"Tiktok")</f>
        <v>Tiktok</v>
      </c>
      <c r="D28" s="297" t="str">
        <f>IFERROR(__xludf.DUMMYFUNCTION("""COMPUTED_VALUE"""),"20.5K")</f>
        <v>20.5K</v>
      </c>
      <c r="E28" s="298" t="str">
        <f>IFERROR(__xludf.DUMMYFUNCTION("""COMPUTED_VALUE"""),"Nano")</f>
        <v>Nano</v>
      </c>
      <c r="F28" s="299" t="str">
        <f>IFERROR(__xludf.DUMMYFUNCTION("""COMPUTED_VALUE"""),"https://www.tiktok.com/@ahthunek_")</f>
        <v>https://www.tiktok.com/@ahthunek_</v>
      </c>
      <c r="G28" s="300" t="str">
        <f>IFERROR(__xludf.DUMMYFUNCTION("""COMPUTED_VALUE"""),"Hà Nội ")</f>
        <v>Hà Nội </v>
      </c>
      <c r="H28"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8" s="300" t="b">
        <f>IFERROR(__xludf.DUMMYFUNCTION("""COMPUTED_VALUE"""),FALSE)</f>
        <v>0</v>
      </c>
      <c r="J28" s="658" t="str">
        <f>IFERROR(__xludf.DUMMYFUNCTION("""COMPUTED_VALUE"""),"https://maps.app.goo.gl/iksHBBkVmUmfAYXT9?g_st=ic")</f>
        <v>https://maps.app.goo.gl/iksHBBkVmUmfAYXT9?g_st=ic</v>
      </c>
      <c r="K28" s="279"/>
      <c r="L28" s="279"/>
      <c r="M28" s="281" t="str">
        <f>IFERROR(__xludf.DUMMYFUNCTION("""COMPUTED_VALUE"""),"https://docs.google.com/document/d/1D5DM5DGA7yCuF0R81ZZ8XLLPmdljjHWhg2k0IP53AWU/edit?tab=t.0")</f>
        <v>https://docs.google.com/document/d/1D5DM5DGA7yCuF0R81ZZ8XLLPmdljjHWhg2k0IP53AWU/edit?tab=t.0</v>
      </c>
      <c r="N28" s="279"/>
      <c r="O28" s="346" t="str">
        <f>IFERROR(__xludf.DUMMYFUNCTION("""COMPUTED_VALUE"""),"- Review sơ qua về hương vị và chất lượng xiên que &gt; thơm ngon. ko bị bở 
- Add thêm địa chỉ")</f>
        <v>- Review sơ qua về hương vị và chất lượng xiên que &gt; thơm ngon. ko bị bở 
- Add thêm địa chỉ</v>
      </c>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row>
    <row r="29" ht="131.25" customHeight="1" outlineLevel="1">
      <c r="A29" s="294">
        <f>IFERROR(__xludf.DUMMYFUNCTION("""COMPUTED_VALUE"""),22.0)</f>
        <v>22</v>
      </c>
      <c r="B29" s="395" t="str">
        <f>IFERROR(__xludf.DUMMYFUNCTION("""COMPUTED_VALUE"""),"Tuấn food không phét")</f>
        <v>Tuấn food không phét</v>
      </c>
      <c r="C29" s="296" t="str">
        <f>IFERROR(__xludf.DUMMYFUNCTION("""COMPUTED_VALUE"""),"Tiktok")</f>
        <v>Tiktok</v>
      </c>
      <c r="D29" s="297" t="str">
        <f>IFERROR(__xludf.DUMMYFUNCTION("""COMPUTED_VALUE"""),"18.5K")</f>
        <v>18.5K</v>
      </c>
      <c r="E29" s="298" t="str">
        <f>IFERROR(__xludf.DUMMYFUNCTION("""COMPUTED_VALUE"""),"Nano")</f>
        <v>Nano</v>
      </c>
      <c r="F29" s="299" t="str">
        <f>IFERROR(__xludf.DUMMYFUNCTION("""COMPUTED_VALUE"""),"https://www.tiktok.com/@tuanfoodkhongphet")</f>
        <v>https://www.tiktok.com/@tuanfoodkhongphet</v>
      </c>
      <c r="G29" s="300" t="str">
        <f>IFERROR(__xludf.DUMMYFUNCTION("""COMPUTED_VALUE"""),"Hà Nội ")</f>
        <v>Hà Nội </v>
      </c>
      <c r="H29"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Lin"&amp;"k 
""01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nơi sinh sống
Map Five Star Kiosk: Link 
"01 tháng Sử dụng hình ảnh không độc quyền trên digital only
*Bao gồm: Code Ads và reup kênh brand có chạy quảng cáo"</v>
      </c>
      <c r="I29" s="415" t="b">
        <f>IFERROR(__xludf.DUMMYFUNCTION("""COMPUTED_VALUE"""),TRUE)</f>
        <v>1</v>
      </c>
      <c r="J29" s="279" t="str">
        <f>IFERROR(__xludf.DUMMYFUNCTION("""COMPUTED_VALUE"""),"593 Thuỵ Khuê - HN")</f>
        <v>593 Thuỵ Khuê - HN</v>
      </c>
      <c r="K29" s="279"/>
      <c r="L29" s="279"/>
      <c r="M29" s="281" t="str">
        <f>IFERROR(__xludf.DUMMYFUNCTION("""COMPUTED_VALUE"""),"https://docs.google.com/spreadsheets/d/1dJYfbH8b6VPdopiloXVCki9tb8tEfNmJswmXBej_IuY/edit?gid=0#gid=0")</f>
        <v>https://docs.google.com/spreadsheets/d/1dJYfbH8b6VPdopiloXVCki9tb8tEfNmJswmXBej_IuY/edit?gid=0#gid=0</v>
      </c>
      <c r="N29" s="666" t="str">
        <f>IFERROR(__xludf.DUMMYFUNCTION("""COMPUTED_VALUE"""),"PMAX Note: Kênh thường không xây dựng kịch bản chi tiết. mà muốn lồng ghép tuyến nội dung tự nhiên phù hợp với kênh. nên chỉ lên khung kịch bản và sẽ follow sát theo brief từ brand team")</f>
        <v>PMAX Note: Kênh thường không xây dựng kịch bản chi tiết. mà muốn lồng ghép tuyến nội dung tự nhiên phù hợp với kênh. nên chỉ lên khung kịch bản và sẽ follow sát theo brief từ brand team</v>
      </c>
      <c r="O29" s="311" t="str">
        <f>IFERROR(__xludf.DUMMYFUNCTION("""COMPUTED_VALUE"""),"Trang phục ok
- Bổ sung thêm tình huống hoặc thời điểm hoặc lý do để thuyết phục người xem ghé Five Star. Ví dụ như: những hôm thèm gà ngang mà ko biết đi đâu. down mood. v.v.
- Review luôn các món khác bên cạnh gà nha")</f>
        <v>Trang phục ok
- Bổ sung thêm tình huống hoặc thời điểm hoặc lý do để thuyết phục người xem ghé Five Star. Ví dụ như: những hôm thèm gà ngang mà ko biết đi đâu. down mood. v.v.
- Review luôn các món khác bên cạnh gà nha</v>
      </c>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row>
    <row r="30" ht="35.25" customHeight="1" outlineLevel="1">
      <c r="A30" s="367" t="str">
        <f>IFERROR(__xludf.DUMMYFUNCTION("""COMPUTED_VALUE"""),"c")</f>
        <v>c</v>
      </c>
      <c r="B30" s="368" t="str">
        <f>IFERROR(__xludf.DUMMYFUNCTION("""COMPUTED_VALUE"""),"Khu vực miền Nam ")</f>
        <v>Khu vực miền Nam </v>
      </c>
      <c r="C30" s="369"/>
      <c r="D30" s="370"/>
      <c r="E30" s="369"/>
      <c r="F30" s="369"/>
      <c r="G30" s="369"/>
      <c r="H30" s="371"/>
      <c r="I30" s="663" t="b">
        <f>IFERROR(__xludf.DUMMYFUNCTION("""COMPUTED_VALUE"""),FALSE)</f>
        <v>0</v>
      </c>
      <c r="J30" s="369"/>
      <c r="K30" s="369"/>
      <c r="L30" s="369"/>
      <c r="M30" s="369"/>
      <c r="N30" s="369"/>
      <c r="O30" s="372"/>
      <c r="P30" s="369"/>
      <c r="Q30" s="369"/>
      <c r="R30" s="369"/>
      <c r="S30" s="369"/>
      <c r="T30" s="369"/>
      <c r="U30" s="369"/>
      <c r="V30" s="369"/>
      <c r="W30" s="369"/>
      <c r="X30" s="369"/>
      <c r="Y30" s="369"/>
      <c r="Z30" s="369"/>
      <c r="AA30" s="369"/>
      <c r="AB30" s="369"/>
      <c r="AC30" s="369"/>
      <c r="AD30" s="369"/>
      <c r="AE30" s="369"/>
      <c r="AF30" s="369"/>
      <c r="AG30" s="369"/>
      <c r="AH30" s="369"/>
      <c r="AI30" s="369"/>
      <c r="AJ30" s="369"/>
      <c r="AK30" s="369"/>
      <c r="AL30" s="369"/>
      <c r="AM30" s="369"/>
    </row>
    <row r="31" ht="126.0" customHeight="1" outlineLevel="1">
      <c r="A31" s="294">
        <f>IFERROR(__xludf.DUMMYFUNCTION("""COMPUTED_VALUE"""),23.0)</f>
        <v>23</v>
      </c>
      <c r="B31" s="331" t="str">
        <f>IFERROR(__xludf.DUMMYFUNCTION("""COMPUTED_VALUE"""),"Zăn Zăn Daily ✨")</f>
        <v>Zăn Zăn Daily ✨</v>
      </c>
      <c r="C31" s="296" t="str">
        <f>IFERROR(__xludf.DUMMYFUNCTION("""COMPUTED_VALUE"""),"Tiktok")</f>
        <v>Tiktok</v>
      </c>
      <c r="D31" s="297" t="str">
        <f>IFERROR(__xludf.DUMMYFUNCTION("""COMPUTED_VALUE"""),"60K")</f>
        <v>60K</v>
      </c>
      <c r="E31" s="298" t="str">
        <f>IFERROR(__xludf.DUMMYFUNCTION("""COMPUTED_VALUE"""),"Nano")</f>
        <v>Nano</v>
      </c>
      <c r="F31" s="299" t="str">
        <f>IFERROR(__xludf.DUMMYFUNCTION("""COMPUTED_VALUE"""),"https://www.tiktok.com/@zan.riviu?_r=1&amp;_t=ZS-94n3uOkLyE8")</f>
        <v>https://www.tiktok.com/@zan.riviu?_r=1&amp;_t=ZS-94n3uOkLyE8</v>
      </c>
      <c r="G31" s="300" t="str">
        <f>IFERROR(__xludf.DUMMYFUNCTION("""COMPUTED_VALUE"""),"Bình Dương")</f>
        <v>Bình Dương</v>
      </c>
      <c r="H31"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"""&amp;"01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v>
      </c>
      <c r="I31" s="300" t="b">
        <f>IFERROR(__xludf.DUMMYFUNCTION("""COMPUTED_VALUE"""),FALSE)</f>
        <v>0</v>
      </c>
      <c r="J31" s="279" t="str">
        <f>IFERROR(__xludf.DUMMYFUNCTION("""COMPUTED_VALUE"""),"T4 15h 13/05/2026 
Bình Dương")</f>
        <v>T4 15h 13/05/2026 
Bình Dương</v>
      </c>
      <c r="K31" s="279"/>
      <c r="L31" s="279"/>
      <c r="M31" s="281" t="str">
        <f>IFERROR(__xludf.DUMMYFUNCTION("""COMPUTED_VALUE"""),"https://docs.google.com/spreadsheets/d/1ZhzA7f0EEVZSZERZ6T98bKeCW85zp9ua9X8yo01_CDM/edit?gid=0#gid=0")</f>
        <v>https://docs.google.com/spreadsheets/d/1ZhzA7f0EEVZSZERZ6T98bKeCW85zp9ua9X8yo01_CDM/edit?gid=0#gid=0</v>
      </c>
      <c r="N31" s="666" t="str">
        <f>IFERROR(__xludf.DUMMYFUNCTION("""COMPUTED_VALUE"""),"Đổi trang phục theo Tone mood brand ")</f>
        <v>Đổi trang phục theo Tone mood brand </v>
      </c>
      <c r="O31" s="346" t="str">
        <f>IFERROR(__xludf.DUMMYFUNCTION("""COMPUTED_VALUE"""),"- Review thêm vị của 1 số món khác cạnh Gà 
- Add text địa chỉ kiosk")</f>
        <v>- Review thêm vị của 1 số món khác cạnh Gà 
- Add text địa chỉ kiosk</v>
      </c>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row>
    <row r="32" ht="126.0" customHeight="1" outlineLevel="1">
      <c r="A32" s="294">
        <f>IFERROR(__xludf.DUMMYFUNCTION("""COMPUTED_VALUE"""),24.0)</f>
        <v>24</v>
      </c>
      <c r="B32" s="405" t="str">
        <f>IFERROR(__xludf.DUMMYFUNCTION("""COMPUTED_VALUE"""),"Nguyễn Ly")</f>
        <v>Nguyễn Ly</v>
      </c>
      <c r="C32" s="296" t="str">
        <f>IFERROR(__xludf.DUMMYFUNCTION("""COMPUTED_VALUE"""),"Tiktok")</f>
        <v>Tiktok</v>
      </c>
      <c r="D32" s="425" t="str">
        <f>IFERROR(__xludf.DUMMYFUNCTION("""COMPUTED_VALUE"""),"130K")</f>
        <v>130K</v>
      </c>
      <c r="E32" s="298" t="str">
        <f>IFERROR(__xludf.DUMMYFUNCTION("""COMPUTED_VALUE"""),"Nano")</f>
        <v>Nano</v>
      </c>
      <c r="F32" s="299" t="str">
        <f>IFERROR(__xludf.DUMMYFUNCTION("""COMPUTED_VALUE"""),"http://www.tiktok.com/@lysambonreview")</f>
        <v>http://www.tiktok.com/@lysambonreview</v>
      </c>
      <c r="G32" s="300" t="str">
        <f>IFERROR(__xludf.DUMMYFUNCTION("""COMPUTED_VALUE"""),"Đồng Nai")</f>
        <v>Đồng Nai</v>
      </c>
      <c r="H32"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"""&amp;"01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v>
      </c>
      <c r="I32" s="300" t="b">
        <f>IFERROR(__xludf.DUMMYFUNCTION("""COMPUTED_VALUE"""),FALSE)</f>
        <v>0</v>
      </c>
      <c r="J32" s="279" t="str">
        <f>IFERROR(__xludf.DUMMYFUNCTION("""COMPUTED_VALUE"""),"18g -18g30 ngày 12/05 - Đồng nai")</f>
        <v>18g -18g30 ngày 12/05 - Đồng nai</v>
      </c>
      <c r="K32" s="279"/>
      <c r="L32" s="279"/>
      <c r="M32" s="281" t="str">
        <f>IFERROR(__xludf.DUMMYFUNCTION("""COMPUTED_VALUE"""),"https://docs.google.com/spreadsheets/d/1jtk6BCNAw-jnbFSu2pxRRbrxpwCHVeCHGWt7dLAr_9E/edit?gid=0#gid=0")</f>
        <v>https://docs.google.com/spreadsheets/d/1jtk6BCNAw-jnbFSu2pxRRbrxpwCHVeCHGWt7dLAr_9E/edit?gid=0#gid=0</v>
      </c>
      <c r="N32" s="279"/>
      <c r="O32" s="346" t="str">
        <f>IFERROR(__xludf.DUMMYFUNCTION("""COMPUTED_VALUE"""),"- Khúc đầu chưa có điểm nhấn. hạn chế nhắc từ review
- Review kỹ hơn phần hương vị và chất lượng món ăn so với giá 
- Add text địa chỉ kiosk")</f>
        <v>- Khúc đầu chưa có điểm nhấn. hạn chế nhắc từ review
- Review kỹ hơn phần hương vị và chất lượng món ăn so với giá 
- Add text địa chỉ kiosk</v>
      </c>
      <c r="P32" s="279"/>
      <c r="Q32" s="279"/>
      <c r="R32" s="279"/>
      <c r="S32" s="279"/>
      <c r="T32" s="279"/>
      <c r="U32" s="279"/>
      <c r="V32" s="279"/>
      <c r="W32" s="279"/>
      <c r="X32" s="279"/>
      <c r="Y32" s="279"/>
      <c r="Z32" s="279"/>
      <c r="AA32" s="279"/>
      <c r="AB32" s="279"/>
      <c r="AC32" s="279"/>
      <c r="AD32" s="279"/>
      <c r="AE32" s="279"/>
      <c r="AF32" s="279"/>
      <c r="AG32" s="279"/>
      <c r="AH32" s="279"/>
      <c r="AI32" s="279"/>
      <c r="AJ32" s="279"/>
      <c r="AK32" s="279"/>
      <c r="AL32" s="279"/>
      <c r="AM32" s="279"/>
    </row>
    <row r="33" ht="126.0" customHeight="1" outlineLevel="1">
      <c r="A33" s="294">
        <f>IFERROR(__xludf.DUMMYFUNCTION("""COMPUTED_VALUE"""),25.0)</f>
        <v>25</v>
      </c>
      <c r="B33" s="331" t="str">
        <f>IFERROR(__xludf.DUMMYFUNCTION("""COMPUTED_VALUE"""),"Phương Đi Chill 🌈")</f>
        <v>Phương Đi Chill 🌈</v>
      </c>
      <c r="C33" s="296" t="str">
        <f>IFERROR(__xludf.DUMMYFUNCTION("""COMPUTED_VALUE"""),"Tiktok")</f>
        <v>Tiktok</v>
      </c>
      <c r="D33" s="297">
        <f>IFERROR(__xludf.DUMMYFUNCTION("""COMPUTED_VALUE"""),13600.0)</f>
        <v>13600</v>
      </c>
      <c r="E33" s="298" t="str">
        <f>IFERROR(__xludf.DUMMYFUNCTION("""COMPUTED_VALUE"""),"Nano")</f>
        <v>Nano</v>
      </c>
      <c r="F33" s="299" t="str">
        <f>IFERROR(__xludf.DUMMYFUNCTION("""COMPUTED_VALUE"""),"https://www.tiktok.com/@phuongoychillthoy")</f>
        <v>https://www.tiktok.com/@phuongoychillthoy</v>
      </c>
      <c r="G33" s="300" t="str">
        <f>IFERROR(__xludf.DUMMYFUNCTION("""COMPUTED_VALUE"""),"Đồng Nai")</f>
        <v>Đồng Nai</v>
      </c>
      <c r="H33"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"""&amp;"01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v>
      </c>
      <c r="I33" s="300" t="b">
        <f>IFERROR(__xludf.DUMMYFUNCTION("""COMPUTED_VALUE"""),FALSE)</f>
        <v>0</v>
      </c>
      <c r="J33" s="279" t="str">
        <f>IFERROR(__xludf.DUMMYFUNCTION("""COMPUTED_VALUE"""),"12h trưa 13/5 HN")</f>
        <v>12h trưa 13/5 HN</v>
      </c>
      <c r="K33" s="279"/>
      <c r="L33" s="279"/>
      <c r="M33" s="281" t="str">
        <f>IFERROR(__xludf.DUMMYFUNCTION("""COMPUTED_VALUE"""),"https://docs.google.com/spreadsheets/d/1uFmHyUA8c77qUKk6WPFkRM-bCzcgemvAJT4YpHjKU1M/edit?gid=0#gid=0")</f>
        <v>https://docs.google.com/spreadsheets/d/1uFmHyUA8c77qUKk6WPFkRM-bCzcgemvAJT4YpHjKU1M/edit?gid=0#gid=0</v>
      </c>
      <c r="N33" s="279"/>
      <c r="O33" s="346" t="str">
        <f>IFERROR(__xludf.DUMMYFUNCTION("""COMPUTED_VALUE"""),"- Review thêm vị và chất lượng các món xiên que
- ""Không cần lên kế hoạch trước. không cần chờ đợi lâu. chỉ cần ghé qua là có ngay một phần ăn"" &gt; phần ăn như thế nào?
- add text địa chỉ kiosk")</f>
        <v>- Review thêm vị và chất lượng các món xiên que
- "Không cần lên kế hoạch trước. không cần chờ đợi lâu. chỉ cần ghé qua là có ngay một phần ăn" &gt; phần ăn như thế nào?
- add text địa chỉ kiosk</v>
      </c>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row>
    <row r="34" ht="126.0" customHeight="1" outlineLevel="1">
      <c r="A34" s="294">
        <f>IFERROR(__xludf.DUMMYFUNCTION("""COMPUTED_VALUE"""),26.0)</f>
        <v>26</v>
      </c>
      <c r="B34" s="331" t="str">
        <f>IFERROR(__xludf.DUMMYFUNCTION("""COMPUTED_VALUE"""),"Đức Tân Bình")</f>
        <v>Đức Tân Bình</v>
      </c>
      <c r="C34" s="296" t="str">
        <f>IFERROR(__xludf.DUMMYFUNCTION("""COMPUTED_VALUE"""),"Tiktok")</f>
        <v>Tiktok</v>
      </c>
      <c r="D34" s="297" t="str">
        <f>IFERROR(__xludf.DUMMYFUNCTION("""COMPUTED_VALUE"""),"42.4K")</f>
        <v>42.4K</v>
      </c>
      <c r="E34" s="298" t="str">
        <f>IFERROR(__xludf.DUMMYFUNCTION("""COMPUTED_VALUE"""),"Nano")</f>
        <v>Nano</v>
      </c>
      <c r="F34" s="299" t="str">
        <f>IFERROR(__xludf.DUMMYFUNCTION("""COMPUTED_VALUE"""),"https://www.tiktok.com/@huynhhongocduc")</f>
        <v>https://www.tiktok.com/@huynhhongocduc</v>
      </c>
      <c r="G34" s="300" t="str">
        <f>IFERROR(__xludf.DUMMYFUNCTION("""COMPUTED_VALUE"""),"Bình Dương")</f>
        <v>Bình Dương</v>
      </c>
      <c r="H34"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"""&amp;"01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v>
      </c>
      <c r="I34" s="300" t="b">
        <f>IFERROR(__xludf.DUMMYFUNCTION("""COMPUTED_VALUE"""),FALSE)</f>
        <v>0</v>
      </c>
      <c r="J34" s="279" t="str">
        <f>IFERROR(__xludf.DUMMYFUNCTION("""COMPUTED_VALUE"""),"18g -18g30 ngày 12/05 - Đồng nai")</f>
        <v>18g -18g30 ngày 12/05 - Đồng nai</v>
      </c>
      <c r="K34" s="279"/>
      <c r="L34" s="279"/>
      <c r="M34" s="281" t="str">
        <f>IFERROR(__xludf.DUMMYFUNCTION("""COMPUTED_VALUE"""),"https://docs.google.com/spreadsheets/d/1lt3E1B2b2qUAC6cYVT7NB805xBZGdfWfOiL1656BC0g/edit?gid=0#gid=0")</f>
        <v>https://docs.google.com/spreadsheets/d/1lt3E1B2b2qUAC6cYVT7NB805xBZGdfWfOiL1656BC0g/edit?gid=0#gid=0</v>
      </c>
      <c r="N34" s="279"/>
      <c r="O34" s="346" t="str">
        <f>IFERROR(__xludf.DUMMYFUNCTION("""COMPUTED_VALUE"""),"- Chưa biết CN nào nên ko biết phải CN mới không &gt; nên để đảm bảo thì KOC có thể đưa địa chỉ quán để team check nha. hoặc ko thì remove ý về CN mới
- Không mở đầu với việc hết tiền cuối tháng &gt; vì team ko muốn gắn liền với giá rẻ
- Ko nhắc giá hạt dẻ &gt; đổ"&amp;"i thành giá hợp lý. giá dễ chịu. mềm ")</f>
        <v>- Chưa biết CN nào nên ko biết phải CN mới không &gt; nên để đảm bảo thì KOC có thể đưa địa chỉ quán để team check nha. hoặc ko thì remove ý về CN mới
- Không mở đầu với việc hết tiền cuối tháng &gt; vì team ko muốn gắn liền với giá rẻ
- Ko nhắc giá hạt dẻ &gt; đổi thành giá hợp lý. giá dễ chịu. mềm </v>
      </c>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row>
    <row r="35" ht="39.0" customHeight="1" outlineLevel="1">
      <c r="A35" s="367" t="str">
        <f>IFERROR(__xludf.DUMMYFUNCTION("""COMPUTED_VALUE"""),"d")</f>
        <v>d</v>
      </c>
      <c r="B35" s="368" t="str">
        <f>IFERROR(__xludf.DUMMYFUNCTION("""COMPUTED_VALUE"""),"Khu vực miền Tây")</f>
        <v>Khu vực miền Tây</v>
      </c>
      <c r="C35" s="242"/>
      <c r="D35" s="370"/>
      <c r="E35" s="242"/>
      <c r="F35" s="369"/>
      <c r="G35" s="369"/>
      <c r="H35" s="371"/>
      <c r="I35" s="663" t="b">
        <f>IFERROR(__xludf.DUMMYFUNCTION("""COMPUTED_VALUE"""),FALSE)</f>
        <v>0</v>
      </c>
      <c r="J35" s="369"/>
      <c r="K35" s="369"/>
      <c r="L35" s="369"/>
      <c r="M35" s="369"/>
      <c r="N35" s="369"/>
      <c r="O35" s="372"/>
      <c r="P35" s="369"/>
      <c r="Q35" s="369"/>
      <c r="R35" s="369"/>
      <c r="S35" s="369"/>
      <c r="T35" s="369"/>
      <c r="U35" s="369"/>
      <c r="V35" s="369"/>
      <c r="W35" s="369"/>
      <c r="X35" s="369"/>
      <c r="Y35" s="369"/>
      <c r="Z35" s="369"/>
      <c r="AA35" s="369"/>
      <c r="AB35" s="369"/>
      <c r="AC35" s="369"/>
      <c r="AD35" s="369"/>
      <c r="AE35" s="369"/>
      <c r="AF35" s="369"/>
      <c r="AG35" s="369"/>
      <c r="AH35" s="369"/>
      <c r="AI35" s="369"/>
      <c r="AJ35" s="369"/>
      <c r="AK35" s="369"/>
      <c r="AL35" s="369"/>
      <c r="AM35" s="369"/>
    </row>
    <row r="36" outlineLevel="1">
      <c r="A36" s="294">
        <f>IFERROR(__xludf.DUMMYFUNCTION("""COMPUTED_VALUE"""),27.0)</f>
        <v>27</v>
      </c>
      <c r="B36" s="385" t="str">
        <f>IFERROR(__xludf.DUMMYFUNCTION("""COMPUTED_VALUE"""),"Nhà Bé Sushi")</f>
        <v>Nhà Bé Sushi</v>
      </c>
      <c r="C36" s="296" t="str">
        <f>IFERROR(__xludf.DUMMYFUNCTION("""COMPUTED_VALUE"""),"Tiktok")</f>
        <v>Tiktok</v>
      </c>
      <c r="D36" s="297">
        <f>IFERROR(__xludf.DUMMYFUNCTION("""COMPUTED_VALUE"""),270000.0)</f>
        <v>270000</v>
      </c>
      <c r="E36" s="298" t="str">
        <f>IFERROR(__xludf.DUMMYFUNCTION("""COMPUTED_VALUE"""),"Micro")</f>
        <v>Micro</v>
      </c>
      <c r="F36" s="299" t="str">
        <f>IFERROR(__xludf.DUMMYFUNCTION("""COMPUTED_VALUE"""),"https://www.tiktok.com/@meshushi121")</f>
        <v>https://www.tiktok.com/@meshushi121</v>
      </c>
      <c r="G36" s="300" t="str">
        <f>IFERROR(__xludf.DUMMYFUNCTION("""COMPUTED_VALUE"""),"Cần Thơ")</f>
        <v>Cần Thơ</v>
      </c>
      <c r="H36" s="301" t="str">
        <f>IFERROR(__xludf.DUMMYFUNCTION("""COMPUTED_VALUE"""),"Sản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"""&amp;"01 tháng Sử dụng hình ảnh không độc quyền trên digital only
*Bao gồm: Code Ads và reup kênh brand có chạy quảng cáo""")</f>
        <v>Sản xuất và đăng tải 01 Tiktok Video Review sản phẩm tại điểm bán Five Star Kiosk. theo định hướng nội dung của nhãn hàng 
- Thời lượng: 60-120s
- Chất lượng: phù hợp điện thoại 
- Địa điểm: tại các Five Star Kiosk ở Tp. HCM
Map Five Star Kiosk: Link 
"01 tháng Sử dụng hình ảnh không độc quyền trên digital only
*Bao gồm: Code Ads và reup kênh brand có chạy quảng cáo"</v>
      </c>
      <c r="I36" s="300" t="b">
        <f>IFERROR(__xludf.DUMMYFUNCTION("""COMPUTED_VALUE"""),FALSE)</f>
        <v>0</v>
      </c>
      <c r="J36" s="279" t="str">
        <f>IFERROR(__xludf.DUMMYFUNCTION("""COMPUTED_VALUE"""),"13/5- 13h - Cần Thơ")</f>
        <v>13/5- 13h - Cần Thơ</v>
      </c>
      <c r="K36" s="279"/>
      <c r="L36" s="279"/>
      <c r="M36" s="279"/>
      <c r="N36" s="279"/>
      <c r="O36" s="277"/>
      <c r="P36" s="279"/>
      <c r="Q36" s="279"/>
      <c r="R36" s="279"/>
      <c r="S36" s="279"/>
      <c r="T36" s="279"/>
      <c r="U36" s="279"/>
      <c r="V36" s="279"/>
      <c r="W36" s="279"/>
      <c r="X36" s="279"/>
      <c r="Y36" s="279"/>
      <c r="Z36" s="279"/>
      <c r="AA36" s="279"/>
      <c r="AB36" s="279"/>
      <c r="AC36" s="279"/>
      <c r="AD36" s="279"/>
      <c r="AE36" s="279"/>
      <c r="AF36" s="279"/>
      <c r="AG36" s="279"/>
      <c r="AH36" s="279"/>
      <c r="AI36" s="279"/>
      <c r="AJ36" s="279"/>
      <c r="AK36" s="279"/>
      <c r="AL36" s="279"/>
      <c r="AM36" s="279"/>
    </row>
    <row r="37" ht="60.0" customHeight="1" outlineLevel="1">
      <c r="A37" s="668" t="str">
        <f>IFERROR(__xludf.DUMMYFUNCTION("""COMPUTED_VALUE"""),"FOODY COMMUNITY")</f>
        <v>FOODY COMMUNITY</v>
      </c>
      <c r="B37" s="263"/>
      <c r="C37" s="263"/>
      <c r="D37" s="263"/>
      <c r="E37" s="263"/>
      <c r="F37" s="263"/>
      <c r="G37" s="263"/>
      <c r="H37" s="264"/>
      <c r="I37" s="662" t="b">
        <f>IFERROR(__xludf.DUMMYFUNCTION("""COMPUTED_VALUE"""),FALSE)</f>
        <v>0</v>
      </c>
      <c r="J37" s="263"/>
      <c r="K37" s="263"/>
      <c r="L37" s="263"/>
      <c r="M37" s="263"/>
      <c r="N37" s="263"/>
      <c r="O37" s="265"/>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row>
    <row r="38" ht="231.0" customHeight="1" outlineLevel="1">
      <c r="A38" s="298">
        <f>IFERROR(__xludf.DUMMYFUNCTION("""COMPUTED_VALUE"""),28.0)</f>
        <v>28</v>
      </c>
      <c r="B38" s="327" t="str">
        <f>IFERROR(__xludf.DUMMYFUNCTION("""COMPUTED_VALUE"""),"Địa điểm ăn uống (Fanpage)")</f>
        <v>Địa điểm ăn uống (Fanpage)</v>
      </c>
      <c r="C38" s="296" t="str">
        <f>IFERROR(__xludf.DUMMYFUNCTION("""COMPUTED_VALUE"""),"Facebook")</f>
        <v>Facebook</v>
      </c>
      <c r="D38" s="436" t="str">
        <f>IFERROR(__xludf.DUMMYFUNCTION("""COMPUTED_VALUE"""),"5.2M")</f>
        <v>5.2M</v>
      </c>
      <c r="E38" s="437" t="str">
        <f>IFERROR(__xludf.DUMMYFUNCTION("""COMPUTED_VALUE"""),"Macro")</f>
        <v>Macro</v>
      </c>
      <c r="F38" s="438" t="str">
        <f>IFERROR(__xludf.DUMMYFUNCTION("""COMPUTED_VALUE"""),"Link")</f>
        <v>Link</v>
      </c>
      <c r="G38" s="300" t="str">
        <f>IFERROR(__xludf.DUMMYFUNCTION("""COMPUTED_VALUE"""),"Mass")</f>
        <v>Mass</v>
      </c>
      <c r="H38" s="439" t="str">
        <f>IFERROR(__xludf.DUMMYFUNCTION("""COMPUTED_VALUE"""),"Sản xuất và đăng tải Photo Post (rối đa 10 ảnh) check-in tại Five Star Kiosk. đưa tin và review sản phẩm gà rán. theo định hướng nhãn hàng.")</f>
        <v>Sản xuất và đăng tải Photo Post (rối đa 10 ảnh) check-in tại Five Star Kiosk. đưa tin và review sản phẩm gà rán. theo định hướng nhãn hàng.</v>
      </c>
      <c r="I38" s="317" t="b">
        <f>IFERROR(__xludf.DUMMYFUNCTION("""COMPUTED_VALUE"""),FALSE)</f>
        <v>0</v>
      </c>
      <c r="J38" s="242"/>
      <c r="K38" s="242"/>
      <c r="L38" s="242"/>
      <c r="M38" s="440" t="str">
        <f>IFERROR(__xludf.DUMMYFUNCTION("""COMPUTED_VALUE"""),"Photo Post không update hạng mục này")</f>
        <v>Photo Post không update hạng mục này</v>
      </c>
      <c r="N38" s="440" t="str">
        <f>IFERROR(__xludf.DUMMYFUNCTION("""COMPUTED_VALUE"""),"Photo Post không update hạng mục này")</f>
        <v>Photo Post không update hạng mục này</v>
      </c>
      <c r="O38" s="440" t="str">
        <f>IFERROR(__xludf.DUMMYFUNCTION("""COMPUTED_VALUE"""),"Photo Post không update hạng mục này")</f>
        <v>Photo Post không update hạng mục này</v>
      </c>
      <c r="P38" s="440" t="str">
        <f>IFERROR(__xludf.DUMMYFUNCTION("""COMPUTED_VALUE"""),"Photo Post không update hạng mục này")</f>
        <v>Photo Post không update hạng mục này</v>
      </c>
      <c r="Q38" s="440" t="str">
        <f>IFERROR(__xludf.DUMMYFUNCTION("""COMPUTED_VALUE"""),"Photo Post không update hạng mục này")</f>
        <v>Photo Post không update hạng mục này</v>
      </c>
      <c r="R38" s="440" t="str">
        <f>IFERROR(__xludf.DUMMYFUNCTION("""COMPUTED_VALUE"""),"Photo Post không update hạng mục này")</f>
        <v>Photo Post không update hạng mục này</v>
      </c>
      <c r="S38" s="242"/>
      <c r="T38" s="242"/>
      <c r="U38" s="242"/>
      <c r="V38" s="242"/>
      <c r="W38" s="242"/>
      <c r="X38" s="242"/>
      <c r="Y38" s="242"/>
      <c r="Z38" s="242"/>
      <c r="AA38" s="242"/>
      <c r="AB38" s="242"/>
      <c r="AC38" s="242"/>
      <c r="AD38" s="242"/>
      <c r="AE38" s="242"/>
      <c r="AF38" s="242"/>
      <c r="AG38" s="242"/>
      <c r="AH38" s="242"/>
      <c r="AI38" s="242"/>
      <c r="AJ38" s="242"/>
      <c r="AK38" s="242"/>
      <c r="AL38" s="242"/>
      <c r="AM38" s="242"/>
    </row>
    <row r="39" ht="42.75" customHeight="1" outlineLevel="1">
      <c r="A39" s="298">
        <f>IFERROR(__xludf.DUMMYFUNCTION("""COMPUTED_VALUE"""),29.0)</f>
        <v>29</v>
      </c>
      <c r="B39" s="327" t="str">
        <f>IFERROR(__xludf.DUMMYFUNCTION("""COMPUTED_VALUE"""),"Thèm (Fanpage)")</f>
        <v>Thèm (Fanpage)</v>
      </c>
      <c r="C39" s="296" t="str">
        <f>IFERROR(__xludf.DUMMYFUNCTION("""COMPUTED_VALUE"""),"Facebook")</f>
        <v>Facebook</v>
      </c>
      <c r="D39" s="436" t="str">
        <f>IFERROR(__xludf.DUMMYFUNCTION("""COMPUTED_VALUE"""),"2M")</f>
        <v>2M</v>
      </c>
      <c r="E39" s="437" t="str">
        <f>IFERROR(__xludf.DUMMYFUNCTION("""COMPUTED_VALUE"""),"Macro")</f>
        <v>Macro</v>
      </c>
      <c r="F39" s="438" t="str">
        <f>IFERROR(__xludf.DUMMYFUNCTION("""COMPUTED_VALUE"""),"link")</f>
        <v>link</v>
      </c>
      <c r="G39" s="300" t="str">
        <f>IFERROR(__xludf.DUMMYFUNCTION("""COMPUTED_VALUE"""),"Mass")</f>
        <v>Mass</v>
      </c>
      <c r="H39" s="439" t="str">
        <f>IFERROR(__xludf.DUMMYFUNCTION("""COMPUTED_VALUE"""),"Sản xuất và đăng tải Photo Post (rối đa 10 ảnh) check-in tại Five Star Kiosk. đưa tin và review sản phẩm gà rán. theo định hướng nhãn hàng.")</f>
        <v>Sản xuất và đăng tải Photo Post (rối đa 10 ảnh) check-in tại Five Star Kiosk. đưa tin và review sản phẩm gà rán. theo định hướng nhãn hàng.</v>
      </c>
      <c r="I39" s="317" t="b">
        <f>IFERROR(__xludf.DUMMYFUNCTION("""COMPUTED_VALUE"""),FALSE)</f>
        <v>0</v>
      </c>
      <c r="J39" s="242"/>
      <c r="K39" s="242"/>
      <c r="L39" s="242"/>
      <c r="M39" s="440" t="str">
        <f>IFERROR(__xludf.DUMMYFUNCTION("""COMPUTED_VALUE"""),"Photo Post không update hạng mục này")</f>
        <v>Photo Post không update hạng mục này</v>
      </c>
      <c r="N39" s="440" t="str">
        <f>IFERROR(__xludf.DUMMYFUNCTION("""COMPUTED_VALUE"""),"Photo Post không update hạng mục này")</f>
        <v>Photo Post không update hạng mục này</v>
      </c>
      <c r="O39" s="440" t="str">
        <f>IFERROR(__xludf.DUMMYFUNCTION("""COMPUTED_VALUE"""),"Photo Post không update hạng mục này")</f>
        <v>Photo Post không update hạng mục này</v>
      </c>
      <c r="P39" s="440" t="str">
        <f>IFERROR(__xludf.DUMMYFUNCTION("""COMPUTED_VALUE"""),"Photo Post không update hạng mục này")</f>
        <v>Photo Post không update hạng mục này</v>
      </c>
      <c r="Q39" s="440" t="str">
        <f>IFERROR(__xludf.DUMMYFUNCTION("""COMPUTED_VALUE"""),"Photo Post không update hạng mục này")</f>
        <v>Photo Post không update hạng mục này</v>
      </c>
      <c r="R39" s="440" t="str">
        <f>IFERROR(__xludf.DUMMYFUNCTION("""COMPUTED_VALUE"""),"Photo Post không update hạng mục này")</f>
        <v>Photo Post không update hạng mục này</v>
      </c>
      <c r="S39" s="242"/>
      <c r="T39" s="242"/>
      <c r="U39" s="242"/>
      <c r="V39" s="242"/>
      <c r="W39" s="242"/>
      <c r="X39" s="242"/>
      <c r="Y39" s="242"/>
      <c r="Z39" s="242"/>
      <c r="AA39" s="242"/>
      <c r="AB39" s="242"/>
      <c r="AC39" s="242"/>
      <c r="AD39" s="242"/>
      <c r="AE39" s="242"/>
      <c r="AF39" s="242"/>
      <c r="AG39" s="242"/>
      <c r="AH39" s="242"/>
      <c r="AI39" s="242"/>
      <c r="AJ39" s="242"/>
      <c r="AK39" s="242"/>
      <c r="AL39" s="242"/>
      <c r="AM39" s="242"/>
    </row>
    <row r="40" ht="42.75" customHeight="1" outlineLevel="1">
      <c r="A40" s="298">
        <f>IFERROR(__xludf.DUMMYFUNCTION("""COMPUTED_VALUE"""),30.0)</f>
        <v>30</v>
      </c>
      <c r="B40" s="327" t="str">
        <f>IFERROR(__xludf.DUMMYFUNCTION("""COMPUTED_VALUE"""),"Không Sợ Đói (Group)")</f>
        <v>Không Sợ Đói (Group)</v>
      </c>
      <c r="C40" s="296" t="str">
        <f>IFERROR(__xludf.DUMMYFUNCTION("""COMPUTED_VALUE"""),"Facebook")</f>
        <v>Facebook</v>
      </c>
      <c r="D40" s="436" t="str">
        <f>IFERROR(__xludf.DUMMYFUNCTION("""COMPUTED_VALUE"""),"1.3M")</f>
        <v>1.3M</v>
      </c>
      <c r="E40" s="437" t="str">
        <f>IFERROR(__xludf.DUMMYFUNCTION("""COMPUTED_VALUE"""),"Macro")</f>
        <v>Macro</v>
      </c>
      <c r="F40" s="438" t="str">
        <f>IFERROR(__xludf.DUMMYFUNCTION("""COMPUTED_VALUE"""),"Link")</f>
        <v>Link</v>
      </c>
      <c r="G40" s="300" t="str">
        <f>IFERROR(__xludf.DUMMYFUNCTION("""COMPUTED_VALUE"""),"Mass")</f>
        <v>Mass</v>
      </c>
      <c r="H40" s="439" t="str">
        <f>IFERROR(__xludf.DUMMYFUNCTION("""COMPUTED_VALUE"""),"Sản xuất và đăng tải Photo Post (rối đa 10 ảnh) check-in tại Five Star Kiosk. đưa tin và review sản phẩm gà rán. theo định hướng nhãn hàng.")</f>
        <v>Sản xuất và đăng tải Photo Post (rối đa 10 ảnh) check-in tại Five Star Kiosk. đưa tin và review sản phẩm gà rán. theo định hướng nhãn hàng.</v>
      </c>
      <c r="I40" s="317" t="b">
        <f>IFERROR(__xludf.DUMMYFUNCTION("""COMPUTED_VALUE"""),FALSE)</f>
        <v>0</v>
      </c>
      <c r="J40" s="242"/>
      <c r="K40" s="242"/>
      <c r="L40" s="242"/>
      <c r="M40" s="440" t="str">
        <f>IFERROR(__xludf.DUMMYFUNCTION("""COMPUTED_VALUE"""),"Photo Post không update hạng mục này")</f>
        <v>Photo Post không update hạng mục này</v>
      </c>
      <c r="N40" s="440" t="str">
        <f>IFERROR(__xludf.DUMMYFUNCTION("""COMPUTED_VALUE"""),"Photo Post không update hạng mục này")</f>
        <v>Photo Post không update hạng mục này</v>
      </c>
      <c r="O40" s="440" t="str">
        <f>IFERROR(__xludf.DUMMYFUNCTION("""COMPUTED_VALUE"""),"Photo Post không update hạng mục này")</f>
        <v>Photo Post không update hạng mục này</v>
      </c>
      <c r="P40" s="440" t="str">
        <f>IFERROR(__xludf.DUMMYFUNCTION("""COMPUTED_VALUE"""),"Photo Post không update hạng mục này")</f>
        <v>Photo Post không update hạng mục này</v>
      </c>
      <c r="Q40" s="440" t="str">
        <f>IFERROR(__xludf.DUMMYFUNCTION("""COMPUTED_VALUE"""),"Photo Post không update hạng mục này")</f>
        <v>Photo Post không update hạng mục này</v>
      </c>
      <c r="R40" s="440" t="str">
        <f>IFERROR(__xludf.DUMMYFUNCTION("""COMPUTED_VALUE"""),"Photo Post không update hạng mục này")</f>
        <v>Photo Post không update hạng mục này</v>
      </c>
      <c r="S40" s="242"/>
      <c r="T40" s="242"/>
      <c r="U40" s="242"/>
      <c r="V40" s="242"/>
      <c r="W40" s="242"/>
      <c r="X40" s="242"/>
      <c r="Y40" s="242"/>
      <c r="Z40" s="242"/>
      <c r="AA40" s="242"/>
      <c r="AB40" s="242"/>
      <c r="AC40" s="242"/>
      <c r="AD40" s="242"/>
      <c r="AE40" s="242"/>
      <c r="AF40" s="242"/>
      <c r="AG40" s="242"/>
      <c r="AH40" s="242"/>
      <c r="AI40" s="242"/>
      <c r="AJ40" s="242"/>
      <c r="AK40" s="242"/>
      <c r="AL40" s="242"/>
      <c r="AM40" s="242"/>
    </row>
    <row r="41" ht="42.75" customHeight="1" outlineLevel="1">
      <c r="A41" s="298">
        <f>IFERROR(__xludf.DUMMYFUNCTION("""COMPUTED_VALUE"""),31.0)</f>
        <v>31</v>
      </c>
      <c r="B41" s="327" t="str">
        <f>IFERROR(__xludf.DUMMYFUNCTION("""COMPUTED_VALUE"""),"Măm Măn Sài gòn (Group)")</f>
        <v>Măm Măn Sài gòn (Group)</v>
      </c>
      <c r="C41" s="296" t="str">
        <f>IFERROR(__xludf.DUMMYFUNCTION("""COMPUTED_VALUE"""),"Facebook")</f>
        <v>Facebook</v>
      </c>
      <c r="D41" s="436" t="str">
        <f>IFERROR(__xludf.DUMMYFUNCTION("""COMPUTED_VALUE"""),"780.6K")</f>
        <v>780.6K</v>
      </c>
      <c r="E41" s="437" t="str">
        <f>IFERROR(__xludf.DUMMYFUNCTION("""COMPUTED_VALUE"""),"Micro")</f>
        <v>Micro</v>
      </c>
      <c r="F41" s="438" t="str">
        <f>IFERROR(__xludf.DUMMYFUNCTION("""COMPUTED_VALUE"""),"Link")</f>
        <v>Link</v>
      </c>
      <c r="G41" s="300" t="str">
        <f>IFERROR(__xludf.DUMMYFUNCTION("""COMPUTED_VALUE"""),"Hồ Chí Minh")</f>
        <v>Hồ Chí Minh</v>
      </c>
      <c r="H41" s="439" t="str">
        <f>IFERROR(__xludf.DUMMYFUNCTION("""COMPUTED_VALUE"""),"Sản xuất và đăng tải Photo Post (rối đa 10 ảnh) check-in tại Five Star Kiosk. đưa tin và review sản phẩm gà rán. theo định hướng nhãn hàng.")</f>
        <v>Sản xuất và đăng tải Photo Post (rối đa 10 ảnh) check-in tại Five Star Kiosk. đưa tin và review sản phẩm gà rán. theo định hướng nhãn hàng.</v>
      </c>
      <c r="I41" s="317" t="b">
        <f>IFERROR(__xludf.DUMMYFUNCTION("""COMPUTED_VALUE"""),FALSE)</f>
        <v>0</v>
      </c>
      <c r="J41" s="242"/>
      <c r="K41" s="242"/>
      <c r="L41" s="242"/>
      <c r="M41" s="440" t="str">
        <f>IFERROR(__xludf.DUMMYFUNCTION("""COMPUTED_VALUE"""),"Photo Post không update hạng mục này")</f>
        <v>Photo Post không update hạng mục này</v>
      </c>
      <c r="N41" s="440" t="str">
        <f>IFERROR(__xludf.DUMMYFUNCTION("""COMPUTED_VALUE"""),"Photo Post không update hạng mục này")</f>
        <v>Photo Post không update hạng mục này</v>
      </c>
      <c r="O41" s="440" t="str">
        <f>IFERROR(__xludf.DUMMYFUNCTION("""COMPUTED_VALUE"""),"Photo Post không update hạng mục này")</f>
        <v>Photo Post không update hạng mục này</v>
      </c>
      <c r="P41" s="440" t="str">
        <f>IFERROR(__xludf.DUMMYFUNCTION("""COMPUTED_VALUE"""),"Photo Post không update hạng mục này")</f>
        <v>Photo Post không update hạng mục này</v>
      </c>
      <c r="Q41" s="440" t="str">
        <f>IFERROR(__xludf.DUMMYFUNCTION("""COMPUTED_VALUE"""),"Photo Post không update hạng mục này")</f>
        <v>Photo Post không update hạng mục này</v>
      </c>
      <c r="R41" s="440" t="str">
        <f>IFERROR(__xludf.DUMMYFUNCTION("""COMPUTED_VALUE"""),"Photo Post không update hạng mục này")</f>
        <v>Photo Post không update hạng mục này</v>
      </c>
      <c r="S41" s="242"/>
      <c r="T41" s="242"/>
      <c r="U41" s="242"/>
      <c r="V41" s="242"/>
      <c r="W41" s="242"/>
      <c r="X41" s="242"/>
      <c r="Y41" s="242"/>
      <c r="Z41" s="242"/>
      <c r="AA41" s="242"/>
      <c r="AB41" s="242"/>
      <c r="AC41" s="242"/>
      <c r="AD41" s="242"/>
      <c r="AE41" s="242"/>
      <c r="AF41" s="242"/>
      <c r="AG41" s="242"/>
      <c r="AH41" s="242"/>
      <c r="AI41" s="242"/>
      <c r="AJ41" s="242"/>
      <c r="AK41" s="242"/>
      <c r="AL41" s="242"/>
      <c r="AM41" s="242"/>
    </row>
    <row r="42" ht="42.75" customHeight="1" outlineLevel="1">
      <c r="A42" s="298">
        <f>IFERROR(__xludf.DUMMYFUNCTION("""COMPUTED_VALUE"""),32.0)</f>
        <v>32</v>
      </c>
      <c r="B42" s="464" t="str">
        <f>IFERROR(__xludf.DUMMYFUNCTION("""COMPUTED_VALUE"""),"Đảo Đồ Ăn (Group)")</f>
        <v>Đảo Đồ Ăn (Group)</v>
      </c>
      <c r="C42" s="296" t="str">
        <f>IFERROR(__xludf.DUMMYFUNCTION("""COMPUTED_VALUE"""),"Facebook")</f>
        <v>Facebook</v>
      </c>
      <c r="D42" s="436" t="str">
        <f>IFERROR(__xludf.DUMMYFUNCTION("""COMPUTED_VALUE"""),"508.4K")</f>
        <v>508.4K</v>
      </c>
      <c r="E42" s="437" t="str">
        <f>IFERROR(__xludf.DUMMYFUNCTION("""COMPUTED_VALUE"""),"Micro")</f>
        <v>Micro</v>
      </c>
      <c r="F42" s="438" t="str">
        <f>IFERROR(__xludf.DUMMYFUNCTION("""COMPUTED_VALUE"""),"Link")</f>
        <v>Link</v>
      </c>
      <c r="G42" s="300" t="str">
        <f>IFERROR(__xludf.DUMMYFUNCTION("""COMPUTED_VALUE"""),"Mass")</f>
        <v>Mass</v>
      </c>
      <c r="H42" s="439" t="str">
        <f>IFERROR(__xludf.DUMMYFUNCTION("""COMPUTED_VALUE"""),"Sản xuất và đăng tải Photo Post (tối đa 10 ảnh) check-in tại Five Star Kiosk. đưa tin và review sản phẩm gà rán. theo định hướng nhãn hàng.")</f>
        <v>Sản xuất và đăng tải Photo Post (tối đa 10 ảnh) check-in tại Five Star Kiosk. đưa tin và review sản phẩm gà rán. theo định hướng nhãn hàng.</v>
      </c>
      <c r="I42" s="317" t="b">
        <f>IFERROR(__xludf.DUMMYFUNCTION("""COMPUTED_VALUE"""),FALSE)</f>
        <v>0</v>
      </c>
      <c r="J42" s="242"/>
      <c r="K42" s="242"/>
      <c r="L42" s="242"/>
      <c r="M42" s="440" t="str">
        <f>IFERROR(__xludf.DUMMYFUNCTION("""COMPUTED_VALUE"""),"Photo Post không update hạng mục này")</f>
        <v>Photo Post không update hạng mục này</v>
      </c>
      <c r="N42" s="440" t="str">
        <f>IFERROR(__xludf.DUMMYFUNCTION("""COMPUTED_VALUE"""),"Photo Post không update hạng mục này")</f>
        <v>Photo Post không update hạng mục này</v>
      </c>
      <c r="O42" s="440" t="str">
        <f>IFERROR(__xludf.DUMMYFUNCTION("""COMPUTED_VALUE"""),"Photo Post không update hạng mục này")</f>
        <v>Photo Post không update hạng mục này</v>
      </c>
      <c r="P42" s="440" t="str">
        <f>IFERROR(__xludf.DUMMYFUNCTION("""COMPUTED_VALUE"""),"Photo Post không update hạng mục này")</f>
        <v>Photo Post không update hạng mục này</v>
      </c>
      <c r="Q42" s="440" t="str">
        <f>IFERROR(__xludf.DUMMYFUNCTION("""COMPUTED_VALUE"""),"Photo Post không update hạng mục này")</f>
        <v>Photo Post không update hạng mục này</v>
      </c>
      <c r="R42" s="440" t="str">
        <f>IFERROR(__xludf.DUMMYFUNCTION("""COMPUTED_VALUE"""),"Photo Post không update hạng mục này")</f>
        <v>Photo Post không update hạng mục này</v>
      </c>
      <c r="S42" s="242"/>
      <c r="T42" s="242"/>
      <c r="U42" s="242"/>
      <c r="V42" s="242"/>
      <c r="W42" s="242"/>
      <c r="X42" s="242"/>
      <c r="Y42" s="242"/>
      <c r="Z42" s="242"/>
      <c r="AA42" s="242"/>
      <c r="AB42" s="242"/>
      <c r="AC42" s="242"/>
      <c r="AD42" s="242"/>
      <c r="AE42" s="242"/>
      <c r="AF42" s="242"/>
      <c r="AG42" s="242"/>
      <c r="AH42" s="242"/>
      <c r="AI42" s="242"/>
      <c r="AJ42" s="242"/>
      <c r="AK42" s="242"/>
      <c r="AL42" s="242"/>
      <c r="AM42" s="242"/>
    </row>
    <row r="43" ht="156.75" customHeight="1" outlineLevel="1">
      <c r="A43" s="298">
        <f>IFERROR(__xludf.DUMMYFUNCTION("""COMPUTED_VALUE"""),33.0)</f>
        <v>33</v>
      </c>
      <c r="B43" s="327" t="str">
        <f>IFERROR(__xludf.DUMMYFUNCTION("""COMPUTED_VALUE"""),"Hà Nội Ăn Gì?")</f>
        <v>Hà Nội Ăn Gì?</v>
      </c>
      <c r="C43" s="296" t="str">
        <f>IFERROR(__xludf.DUMMYFUNCTION("""COMPUTED_VALUE"""),"Tiktok")</f>
        <v>Tiktok</v>
      </c>
      <c r="D43" s="436" t="str">
        <f>IFERROR(__xludf.DUMMYFUNCTION("""COMPUTED_VALUE"""),"1M")</f>
        <v>1M</v>
      </c>
      <c r="E43" s="437" t="str">
        <f>IFERROR(__xludf.DUMMYFUNCTION("""COMPUTED_VALUE"""),"Macro")</f>
        <v>Macro</v>
      </c>
      <c r="F43" s="438" t="str">
        <f>IFERROR(__xludf.DUMMYFUNCTION("""COMPUTED_VALUE"""),"Link")</f>
        <v>Link</v>
      </c>
      <c r="G43" s="300" t="str">
        <f>IFERROR(__xludf.DUMMYFUNCTION("""COMPUTED_VALUE"""),"Hà Nội ")</f>
        <v>Hà Nội </v>
      </c>
      <c r="H43" s="439" t="str">
        <f>IFERROR(__xludf.DUMMYFUNCTION("""COMPUTED_VALUE"""),"Sản xuất và đăng tải Video Post (60-120s) check-in tại Five Star Kiosk. đưa tin và review sản phẩm gà rán. theo định hướng nhãn hàng.")</f>
        <v>Sản xuất và đăng tải Video Post (60-120s) check-in tại Five Star Kiosk. đưa tin và review sản phẩm gà rán. theo định hướng nhãn hàng.</v>
      </c>
      <c r="I43" s="288" t="b">
        <f>IFERROR(__xludf.DUMMYFUNCTION("""COMPUTED_VALUE"""),FALSE)</f>
        <v>0</v>
      </c>
      <c r="J43" s="242" t="str">
        <f>IFERROR(__xludf.DUMMYFUNCTION("""COMPUTED_VALUE"""),"- 13h ngày 14/5
- basic shop Thị Thắm: Viết Xuân - Hà Đông hà nội")</f>
        <v>- 13h ngày 14/5
- basic shop Thị Thắm: Viết Xuân - Hà Đông hà nội</v>
      </c>
      <c r="K43" s="242"/>
      <c r="L43" s="242"/>
      <c r="M43" s="287" t="str">
        <f>IFERROR(__xludf.DUMMYFUNCTION("""COMPUTED_VALUE"""),"https://docs.google.com/spreadsheets/d/1VVMeHf2sGW8ymO4iXQtvCgyoT4rc0OuQeg-j3A20B_o/edit?gid=719708239#gid=719708239")</f>
        <v>https://docs.google.com/spreadsheets/d/1VVMeHf2sGW8ymO4iXQtvCgyoT4rc0OuQeg-j3A20B_o/edit?gid=719708239#gid=719708239</v>
      </c>
      <c r="N43" s="242"/>
      <c r="O43" s="391" t="str">
        <f>IFERROR(__xludf.DUMMYFUNCTION("""COMPUTED_VALUE"""),"""- Trang phục ok
- Nhờ dùng gà chuẩn quy trình 3F (Feed - Farm - Food) từ trang trại đến bàn ăn &gt; bỏ ý này. ghi đơn giản theo giọng của người tiêu dùng. highlight là gà từ tập đoàn CP thì tiêu chuẩn an tâm. chất lượng cao nên thịt tươi ngon. mọng nước
- "&amp;"Có thể bổ sung ý hương vị ai cũng thích. đa dạng các món ai cũng mê
- Add thêm text vị trí địa điểm five star mà bạn vừa ghé""")</f>
        <v>"- Trang phục ok
- Nhờ dùng gà chuẩn quy trình 3F (Feed - Farm - Food) từ trang trại đến bàn ăn &gt; bỏ ý này. ghi đơn giản theo giọng của người tiêu dùng. highlight là gà từ tập đoàn CP thì tiêu chuẩn an tâm. chất lượng cao nên thịt tươi ngon. mọng nước
- Có thể bổ sung ý hương vị ai cũng thích. đa dạng các món ai cũng mê
- Add thêm text vị trí địa điểm five star mà bạn vừa ghé"</v>
      </c>
      <c r="P43" s="242"/>
      <c r="Q43" s="242"/>
      <c r="R43" s="242"/>
      <c r="S43" s="242"/>
      <c r="T43" s="242"/>
      <c r="U43" s="242"/>
      <c r="V43" s="242"/>
      <c r="W43" s="242"/>
      <c r="X43" s="242"/>
      <c r="Y43" s="242"/>
      <c r="Z43" s="242"/>
      <c r="AA43" s="242"/>
      <c r="AB43" s="242"/>
      <c r="AC43" s="242"/>
      <c r="AD43" s="242"/>
      <c r="AE43" s="242"/>
      <c r="AF43" s="242"/>
      <c r="AG43" s="242"/>
      <c r="AH43" s="242"/>
      <c r="AI43" s="242"/>
      <c r="AJ43" s="242"/>
      <c r="AK43" s="242"/>
      <c r="AL43" s="242"/>
      <c r="AM43" s="242"/>
    </row>
    <row r="44" ht="155.25" customHeight="1">
      <c r="A44" s="476">
        <f>IFERROR(__xludf.DUMMYFUNCTION("""COMPUTED_VALUE"""),34.0)</f>
        <v>34</v>
      </c>
      <c r="B44" s="477" t="str">
        <f>IFERROR(__xludf.DUMMYFUNCTION("""COMPUTED_VALUE"""),"Vi vu Sài Gòn")</f>
        <v>Vi vu Sài Gòn</v>
      </c>
      <c r="C44" s="271" t="str">
        <f>IFERROR(__xludf.DUMMYFUNCTION("""COMPUTED_VALUE"""),"Tiktok")</f>
        <v>Tiktok</v>
      </c>
      <c r="D44" s="478" t="str">
        <f>IFERROR(__xludf.DUMMYFUNCTION("""COMPUTED_VALUE"""),"292.7K")</f>
        <v>292.7K</v>
      </c>
      <c r="E44" s="479" t="str">
        <f>IFERROR(__xludf.DUMMYFUNCTION("""COMPUTED_VALUE"""),"Micro")</f>
        <v>Micro</v>
      </c>
      <c r="F44" s="480" t="str">
        <f>IFERROR(__xludf.DUMMYFUNCTION("""COMPUTED_VALUE"""),"Link")</f>
        <v>Link</v>
      </c>
      <c r="G44" s="275" t="str">
        <f>IFERROR(__xludf.DUMMYFUNCTION("""COMPUTED_VALUE"""),"Hồ Chí Minh")</f>
        <v>Hồ Chí Minh</v>
      </c>
      <c r="H44" s="481" t="str">
        <f>IFERROR(__xludf.DUMMYFUNCTION("""COMPUTED_VALUE"""),"Sản xuất và đăng tải Video Post (60-120s) check-in tại Five Star Kiosk. đưa tin và review sản phẩm gà rán. theo định hướng nhãn hàng.")</f>
        <v>Sản xuất và đăng tải Video Post (60-120s) check-in tại Five Star Kiosk. đưa tin và review sản phẩm gà rán. theo định hướng nhãn hàng.</v>
      </c>
      <c r="I44" s="669" t="b">
        <f>IFERROR(__xludf.DUMMYFUNCTION("""COMPUTED_VALUE"""),TRUE)</f>
        <v>1</v>
      </c>
      <c r="J44" s="317" t="str">
        <f>IFERROR(__xludf.DUMMYFUNCTION("""COMPUTED_VALUE"""),"MINI SHOP - Five Star Mega Q12 - Số 2 đường Trương Thị Hoa. KP 4A. Tân Thới Hiệp. TPHCM
Thời gian: 16H ngày 12/5 (chiều mai)")</f>
        <v>MINI SHOP - Five Star Mega Q12 - Số 2 đường Trương Thị Hoa. KP 4A. Tân Thới Hiệp. TPHCM
Thời gian: 16H ngày 12/5 (chiều mai)</v>
      </c>
      <c r="K44" s="242"/>
      <c r="L44" s="242"/>
      <c r="M44" s="287" t="str">
        <f>IFERROR(__xludf.DUMMYFUNCTION("""COMPUTED_VALUE"""),"https://docs.google.com/spreadsheets/d/1ExKareGYH9VR7c6hXA2BPlNn2qL7U879Nzgg7lYOoyk/edit?gid=0#gid=0")</f>
        <v>https://docs.google.com/spreadsheets/d/1ExKareGYH9VR7c6hXA2BPlNn2qL7U879Nzgg7lYOoyk/edit?gid=0#gid=0</v>
      </c>
      <c r="N44" s="242"/>
      <c r="O44" s="303" t="str">
        <f>IFERROR(__xludf.DUMMYFUNCTION("""COMPUTED_VALUE"""),"- Trang phục ok 
- Add thêm các cảnh cận món xiên que 
- Highlight thêm gà Five Star giòn lâu &gt; dù có bớt nóng chút nhưng gà vẫn giữ đc độ giòn
- Đoạn ""Người bước vào cửa hàng / order món"" và ""Khách đang ăn vui vẻ. mua mang về/  Nhân viên đang vui vẻ t"&amp;"ư vấn cho khách"" &gt; add thêm keyword ""đa dạng"" / ""nhiều món để lựa chọn"" 
- Add thêm text vị trí địa điểm five star mà bạn vừa ghé")</f>
        <v>- Trang phục ok 
- Add thêm các cảnh cận món xiên que 
- Highlight thêm gà Five Star giòn lâu &gt; dù có bớt nóng chút nhưng gà vẫn giữ đc độ giòn
- Đoạn "Người bước vào cửa hàng / order món" và "Khách đang ăn vui vẻ. mua mang về/  Nhân viên đang vui vẻ tư vấn cho khách" &gt; add thêm keyword "đa dạng" / "nhiều món để lựa chọn" 
- Add thêm text vị trí địa điểm five star mà bạn vừa ghé</v>
      </c>
      <c r="P44" s="670" t="str">
        <f>IFERROR(__xludf.DUMMYFUNCTION("""COMPUTED_VALUE"""),"https://docs.google.com/spreadsheets/d/1ExKareGYH9VR7c6hXA2BPlNn2qL7U879Nzgg7lYOoyk/edit?gid=1350617545#gid=1350617545")</f>
        <v>https://docs.google.com/spreadsheets/d/1ExKareGYH9VR7c6hXA2BPlNn2qL7U879Nzgg7lYOoyk/edit?gid=1350617545#gid=1350617545</v>
      </c>
      <c r="Q44" s="242" t="str">
        <f>IFERROR(__xludf.DUMMYFUNCTION("""COMPUTED_VALUE"""),"Team KOC đã điều chỉnh theo feedback của brand từ round trước")</f>
        <v>Team KOC đã điều chỉnh theo feedback của brand từ round trước</v>
      </c>
      <c r="R44" s="242"/>
      <c r="S44" s="242"/>
      <c r="T44" s="242"/>
      <c r="U44" s="242"/>
      <c r="V44" s="242"/>
      <c r="W44" s="242"/>
      <c r="X44" s="242"/>
      <c r="Y44" s="242"/>
      <c r="Z44" s="242"/>
      <c r="AA44" s="242"/>
      <c r="AB44" s="242"/>
      <c r="AC44" s="242"/>
      <c r="AD44" s="242"/>
      <c r="AE44" s="242"/>
      <c r="AF44" s="242"/>
      <c r="AG44" s="242"/>
      <c r="AH44" s="242"/>
      <c r="AI44" s="242"/>
      <c r="AJ44" s="242"/>
      <c r="AK44" s="242"/>
      <c r="AL44" s="242"/>
      <c r="AM44" s="242"/>
    </row>
    <row r="45" ht="75.0" customHeight="1" outlineLevel="1">
      <c r="A45" s="298">
        <f>IFERROR(__xludf.DUMMYFUNCTION("""COMPUTED_VALUE"""),35.0)</f>
        <v>35</v>
      </c>
      <c r="B45" s="464" t="str">
        <f>IFERROR(__xludf.DUMMYFUNCTION("""COMPUTED_VALUE"""),"Thong dong đó đây")</f>
        <v>Thong dong đó đây</v>
      </c>
      <c r="C45" s="296" t="str">
        <f>IFERROR(__xludf.DUMMYFUNCTION("""COMPUTED_VALUE"""),"Tiktok")</f>
        <v>Tiktok</v>
      </c>
      <c r="D45" s="436" t="str">
        <f>IFERROR(__xludf.DUMMYFUNCTION("""COMPUTED_VALUE"""),"100.2K")</f>
        <v>100.2K</v>
      </c>
      <c r="E45" s="437" t="str">
        <f>IFERROR(__xludf.DUMMYFUNCTION("""COMPUTED_VALUE"""),"Micro")</f>
        <v>Micro</v>
      </c>
      <c r="F45" s="438" t="str">
        <f>IFERROR(__xludf.DUMMYFUNCTION("""COMPUTED_VALUE"""),"Link")</f>
        <v>Link</v>
      </c>
      <c r="G45" s="300" t="str">
        <f>IFERROR(__xludf.DUMMYFUNCTION("""COMPUTED_VALUE"""),"Mass")</f>
        <v>Mass</v>
      </c>
      <c r="H45" s="439" t="str">
        <f>IFERROR(__xludf.DUMMYFUNCTION("""COMPUTED_VALUE"""),"Sản xuất và đăng tải Video Post (60-120s) check-in tại Five Star Kiosk. đưa tin và review sản phẩm gà rán. theo định hướng nhãn hàng.")</f>
        <v>Sản xuất và đăng tải Video Post (60-120s) check-in tại Five Star Kiosk. đưa tin và review sản phẩm gà rán. theo định hướng nhãn hàng.</v>
      </c>
      <c r="I45" s="317" t="b">
        <f>IFERROR(__xludf.DUMMYFUNCTION("""COMPUTED_VALUE"""),FALSE)</f>
        <v>0</v>
      </c>
      <c r="J45" s="317" t="str">
        <f>IFERROR(__xludf.DUMMYFUNCTION("""COMPUTED_VALUE"""),"- 13h30 - 14h ngày 13/5
- BASIC SHOP: Nguyễn Thị Thuận - 67 Đường 9. P. Trường Thọ. Thành Phố Thủ Đức. TP. HCM")</f>
        <v>- 13h30 - 14h ngày 13/5
- BASIC SHOP: Nguyễn Thị Thuận - 67 Đường 9. P. Trường Thọ. Thành Phố Thủ Đức. TP. HCM</v>
      </c>
      <c r="K45" s="242"/>
      <c r="L45" s="242"/>
      <c r="M45" s="287" t="str">
        <f>IFERROR(__xludf.DUMMYFUNCTION("""COMPUTED_VALUE"""),"https://docs.google.com/spreadsheets/d/19KBHFXJZdTSkntAMXMrEZpTkm9ELKraMsDFSVYrKolo/edit?gid=1454906472#gid=1454906472")</f>
        <v>https://docs.google.com/spreadsheets/d/19KBHFXJZdTSkntAMXMrEZpTkm9ELKraMsDFSVYrKolo/edit?gid=1454906472#gid=1454906472</v>
      </c>
      <c r="N45" s="242"/>
      <c r="O45" s="483" t="str">
        <f>IFERROR(__xludf.DUMMYFUNCTION("""COMPUTED_VALUE"""),"- Bổ sung thêm tình huống hoặc thời điểm hoặc lý do để thuyết phục người xem ghé Five Star. Ví dụ như: những hôm thèm gà ngang mà ko biết đi đâu. down mood. v.v.
- Review luôn các món khác bên cạnh gà nha")</f>
        <v>- Bổ sung thêm tình huống hoặc thời điểm hoặc lý do để thuyết phục người xem ghé Five Star. Ví dụ như: những hôm thèm gà ngang mà ko biết đi đâu. down mood. v.v.
- Review luôn các món khác bên cạnh gà nha</v>
      </c>
      <c r="P45" s="242"/>
      <c r="Q45" s="242"/>
      <c r="R45" s="242"/>
      <c r="S45" s="242"/>
      <c r="T45" s="242"/>
      <c r="U45" s="242"/>
      <c r="V45" s="242"/>
      <c r="W45" s="242"/>
      <c r="X45" s="242"/>
      <c r="Y45" s="242"/>
      <c r="Z45" s="242"/>
      <c r="AA45" s="242"/>
      <c r="AB45" s="242"/>
      <c r="AC45" s="242"/>
      <c r="AD45" s="242"/>
      <c r="AE45" s="242"/>
      <c r="AF45" s="242"/>
      <c r="AG45" s="242"/>
      <c r="AH45" s="242"/>
      <c r="AI45" s="242"/>
      <c r="AJ45" s="242"/>
      <c r="AK45" s="242"/>
      <c r="AL45" s="242"/>
      <c r="AM45" s="242"/>
    </row>
    <row r="46" ht="170.25" customHeight="1" outlineLevel="1">
      <c r="A46" s="298">
        <f>IFERROR(__xludf.DUMMYFUNCTION("""COMPUTED_VALUE"""),36.0)</f>
        <v>36</v>
      </c>
      <c r="B46" s="488" t="str">
        <f>IFERROR(__xludf.DUMMYFUNCTION("""COMPUTED_VALUE"""),"SÀI GÒN MAP")</f>
        <v>SÀI GÒN MAP</v>
      </c>
      <c r="C46" s="296" t="str">
        <f>IFERROR(__xludf.DUMMYFUNCTION("""COMPUTED_VALUE"""),"Tiktok")</f>
        <v>Tiktok</v>
      </c>
      <c r="D46" s="436" t="str">
        <f>IFERROR(__xludf.DUMMYFUNCTION("""COMPUTED_VALUE"""),"154.5K")</f>
        <v>154.5K</v>
      </c>
      <c r="E46" s="437" t="str">
        <f>IFERROR(__xludf.DUMMYFUNCTION("""COMPUTED_VALUE"""),"Micro")</f>
        <v>Micro</v>
      </c>
      <c r="F46" s="438" t="str">
        <f>IFERROR(__xludf.DUMMYFUNCTION("""COMPUTED_VALUE"""),"Link")</f>
        <v>Link</v>
      </c>
      <c r="G46" s="300" t="str">
        <f>IFERROR(__xludf.DUMMYFUNCTION("""COMPUTED_VALUE"""),"Hồ Chí Minh")</f>
        <v>Hồ Chí Minh</v>
      </c>
      <c r="H46" s="439" t="str">
        <f>IFERROR(__xludf.DUMMYFUNCTION("""COMPUTED_VALUE"""),"Sản xuất và đăng tải Video Post (60-120s) check-in tại Five Star Kiosk. đưa tin và review sản phẩm gà rán. theo định hướng nhãn hàng.")</f>
        <v>Sản xuất và đăng tải Video Post (60-120s) check-in tại Five Star Kiosk. đưa tin và review sản phẩm gà rán. theo định hướng nhãn hàng.</v>
      </c>
      <c r="I46" s="317" t="b">
        <f>IFERROR(__xludf.DUMMYFUNCTION("""COMPUTED_VALUE"""),FALSE)</f>
        <v>0</v>
      </c>
      <c r="J46" s="317" t="str">
        <f>IFERROR(__xludf.DUMMYFUNCTION("""COMPUTED_VALUE"""),"17g - 14/5 quay chi nhánh Huỳnh Tấn Phát. Nhà Bè. TP HCM")</f>
        <v>17g - 14/5 quay chi nhánh Huỳnh Tấn Phát. Nhà Bè. TP HCM</v>
      </c>
      <c r="K46" s="242"/>
      <c r="L46" s="242"/>
      <c r="M46" s="287" t="str">
        <f>IFERROR(__xludf.DUMMYFUNCTION("""COMPUTED_VALUE"""),"https://docs.google.com/spreadsheets/d/165wHINGJNG6u-TKltL9IFycAvysmlg8PM9SMb5b7ZEI/edit?gid=0#gid=0")</f>
        <v>https://docs.google.com/spreadsheets/d/165wHINGJNG6u-TKltL9IFycAvysmlg8PM9SMb5b7ZEI/edit?gid=0#gid=0</v>
      </c>
      <c r="N46" s="242"/>
      <c r="O46" s="303" t="str">
        <f>IFERROR(__xludf.DUMMYFUNCTION("""COMPUTED_VALUE"""),"- Đoạn đầu khi dẫn về Five Star chưa có sự liên kết &gt; có thể nói về việc nghĩ tới gà rán là nghĩ tới Five Star hoặc là nghĩ tới gà rán mà mềm mọng. vừa nhanh gọn lẹ ngon thì Five Star là lựa chọn đầu tiên. 
- Highlight thêm về giá cả &gt; giá hợp lý. giá dễ "&amp;"chịu. khẩu phần chất lượng hơn so với giá &gt; ko nhắc tới keyword rẻ hay mắc
- Review thêm về tính đa dạng trong menu &gt; ăn no hay ăn vặt đều hợp. các món mà người lớn con nít đều yêu thích")</f>
        <v>- Đoạn đầu khi dẫn về Five Star chưa có sự liên kết &gt; có thể nói về việc nghĩ tới gà rán là nghĩ tới Five Star hoặc là nghĩ tới gà rán mà mềm mọng. vừa nhanh gọn lẹ ngon thì Five Star là lựa chọn đầu tiên. 
- Highlight thêm về giá cả &gt; giá hợp lý. giá dễ chịu. khẩu phần chất lượng hơn so với giá &gt; ko nhắc tới keyword rẻ hay mắc
- Review thêm về tính đa dạng trong menu &gt; ăn no hay ăn vặt đều hợp. các món mà người lớn con nít đều yêu thích</v>
      </c>
      <c r="P46" s="670" t="str">
        <f>IFERROR(__xludf.DUMMYFUNCTION("""COMPUTED_VALUE"""),"https://docs.google.com/spreadsheets/d/165wHINGJNG6u-TKltL9IFycAvysmlg8PM9SMb5b7ZEI/edit?gid=369007203#gid=369007203")</f>
        <v>https://docs.google.com/spreadsheets/d/165wHINGJNG6u-TKltL9IFycAvysmlg8PM9SMb5b7ZEI/edit?gid=369007203#gid=369007203</v>
      </c>
      <c r="Q46" s="242" t="str">
        <f>IFERROR(__xludf.DUMMYFUNCTION("""COMPUTED_VALUE"""),"Đã bổ sung outfit
Team KOC đã điều chỉnh theo feedback")</f>
        <v>Đã bổ sung outfit
Team KOC đã điều chỉnh theo feedback</v>
      </c>
      <c r="R46" s="242"/>
      <c r="S46" s="242"/>
      <c r="T46" s="242"/>
      <c r="U46" s="242"/>
      <c r="V46" s="242"/>
      <c r="W46" s="242"/>
      <c r="X46" s="242"/>
      <c r="Y46" s="242"/>
      <c r="Z46" s="242"/>
      <c r="AA46" s="242"/>
      <c r="AB46" s="242"/>
      <c r="AC46" s="242"/>
      <c r="AD46" s="242"/>
      <c r="AE46" s="242"/>
      <c r="AF46" s="242"/>
      <c r="AG46" s="242"/>
      <c r="AH46" s="242"/>
      <c r="AI46" s="242"/>
      <c r="AJ46" s="242"/>
      <c r="AK46" s="242"/>
      <c r="AL46" s="242"/>
      <c r="AM46" s="242"/>
    </row>
    <row r="47" ht="99.75" customHeight="1" outlineLevel="1">
      <c r="A47" s="298">
        <f>IFERROR(__xludf.DUMMYFUNCTION("""COMPUTED_VALUE"""),37.0)</f>
        <v>37</v>
      </c>
      <c r="B47" s="464" t="str">
        <f>IFERROR(__xludf.DUMMYFUNCTION("""COMPUTED_VALUE"""),"Yến Vy ( Miên Man Hà Nội )")</f>
        <v>Yến Vy ( Miên Man Hà Nội )</v>
      </c>
      <c r="C47" s="296" t="str">
        <f>IFERROR(__xludf.DUMMYFUNCTION("""COMPUTED_VALUE"""),"Tiktok")</f>
        <v>Tiktok</v>
      </c>
      <c r="D47" s="436" t="str">
        <f>IFERROR(__xludf.DUMMYFUNCTION("""COMPUTED_VALUE"""),"141.2K")</f>
        <v>141.2K</v>
      </c>
      <c r="E47" s="437" t="str">
        <f>IFERROR(__xludf.DUMMYFUNCTION("""COMPUTED_VALUE"""),"Micro")</f>
        <v>Micro</v>
      </c>
      <c r="F47" s="438" t="str">
        <f>IFERROR(__xludf.DUMMYFUNCTION("""COMPUTED_VALUE"""),"Link")</f>
        <v>Link</v>
      </c>
      <c r="G47" s="300" t="str">
        <f>IFERROR(__xludf.DUMMYFUNCTION("""COMPUTED_VALUE"""),"Hà Nội ")</f>
        <v>Hà Nội </v>
      </c>
      <c r="H47" s="439" t="str">
        <f>IFERROR(__xludf.DUMMYFUNCTION("""COMPUTED_VALUE"""),"Sản xuất và đăng tải Video Post (60-120s) check-in tại Five Star Kiosk. đưa tin và review sản phẩm gà rán. theo định hướng nhãn hàng.")</f>
        <v>Sản xuất và đăng tải Video Post (60-120s) check-in tại Five Star Kiosk. đưa tin và review sản phẩm gà rán. theo định hướng nhãn hàng.</v>
      </c>
      <c r="I47" s="288" t="b">
        <f>IFERROR(__xludf.DUMMYFUNCTION("""COMPUTED_VALUE"""),FALSE)</f>
        <v>0</v>
      </c>
      <c r="J47" s="242" t="str">
        <f>IFERROR(__xludf.DUMMYFUNCTION("""COMPUTED_VALUE"""),"- 15h ngày 12/5
- HKD Mai Thị Tươi - 593 Thuỵ Khuê. Phường Tây Hồ. TP Hà Nội")</f>
        <v>- 15h ngày 12/5
- HKD Mai Thị Tươi - 593 Thuỵ Khuê. Phường Tây Hồ. TP Hà Nội</v>
      </c>
      <c r="K47" s="242"/>
      <c r="L47" s="242"/>
      <c r="M47" s="287" t="str">
        <f>IFERROR(__xludf.DUMMYFUNCTION("""COMPUTED_VALUE"""),"https://docs.google.com/spreadsheets/d/1s73hp06B3Mcm2XxooLuX0PBD9R1WJN7cKVv-1JsxMNo/edit?usp=sharing")</f>
        <v>https://docs.google.com/spreadsheets/d/1s73hp06B3Mcm2XxooLuX0PBD9R1WJN7cKVv-1JsxMNo/edit?usp=sharing</v>
      </c>
      <c r="N47" s="242"/>
      <c r="O47" s="483" t="str">
        <f>IFERROR(__xludf.DUMMYFUNCTION("""COMPUTED_VALUE"""),"Trang phục ok
- Tập đoàn CP Food &gt; chỉnh lại là Tập đoàn CP
- Giá cả bình dân &gt; đổi thành giá hợp lý
- Bổ sung thêm ý về chất lượng tươi ngon của món (ví dụ ko bị bở. tươi. .vv.)")</f>
        <v>Trang phục ok
- Tập đoàn CP Food &gt; chỉnh lại là Tập đoàn CP
- Giá cả bình dân &gt; đổi thành giá hợp lý
- Bổ sung thêm ý về chất lượng tươi ngon của món (ví dụ ko bị bở. tươi. .vv.)</v>
      </c>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row>
    <row r="48" ht="54.0" customHeight="1">
      <c r="A48" s="494" t="str">
        <f>IFERROR(__xludf.DUMMYFUNCTION("""COMPUTED_VALUE"""),"SEEDING PACKAGE")</f>
        <v>SEEDING PACKAGE</v>
      </c>
      <c r="B48" s="495"/>
      <c r="C48" s="495"/>
      <c r="D48" s="495"/>
      <c r="E48" s="495"/>
      <c r="F48" s="495"/>
      <c r="G48" s="495"/>
      <c r="H48" s="496"/>
      <c r="I48" s="497"/>
      <c r="J48" s="263"/>
      <c r="K48" s="263"/>
      <c r="L48" s="263"/>
      <c r="M48" s="263"/>
      <c r="N48" s="263"/>
      <c r="O48" s="265"/>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row>
    <row r="49" ht="59.25" customHeight="1" outlineLevel="1">
      <c r="A49" s="298">
        <f>IFERROR(__xludf.DUMMYFUNCTION("""COMPUTED_VALUE"""),1.0)</f>
        <v>1</v>
      </c>
      <c r="B49" s="498" t="str">
        <f>IFERROR(__xludf.DUMMYFUNCTION("""COMPUTED_VALUE"""),"Comment Seeding")</f>
        <v>Comment Seeding</v>
      </c>
      <c r="C49" s="499" t="str">
        <f>IFERROR(__xludf.DUMMYFUNCTION("""COMPUTED_VALUE"""),"Gói Seeding (bao gồm sản xuất nội dung) theo yêu cầu và dán bình luận trên các post được chỉ định của Nhãn hàng
- Account: người thật. nam &amp; nữ. trong khoảng 18 - 30 tuổi. Việt Nam only. hình ảnh liên quan đến lifestyle. sinh viên. người đi làm. gia đìn"&amp;"h
- Bao gồm chi phí soạn nội dung comment
- Số lượng comment: 2.000 comments")</f>
        <v>Gói Seeding (bao gồm sản xuất nội dung) theo yêu cầu và dán bình luận trên các post được chỉ định của Nhãn hàng
- Account: người thật. nam &amp; nữ. trong khoảng 18 - 30 tuổi. Việt Nam only. hình ảnh liên quan đến lifestyle. sinh viên. người đi làm. gia đình
- Bao gồm chi phí soạn nội dung comment
- Số lượng comment: 2.000 comments</v>
      </c>
      <c r="D49" s="500"/>
      <c r="E49" s="500"/>
      <c r="F49" s="500"/>
      <c r="G49" s="500"/>
      <c r="H49" s="501"/>
      <c r="I49" s="242"/>
      <c r="J49" s="242"/>
      <c r="K49" s="242"/>
      <c r="L49" s="242"/>
      <c r="M49" s="242"/>
      <c r="N49" s="242"/>
      <c r="O49" s="296"/>
      <c r="P49" s="242"/>
      <c r="Q49" s="242"/>
      <c r="R49" s="242"/>
      <c r="S49" s="242"/>
      <c r="T49" s="242"/>
      <c r="U49" s="242"/>
      <c r="V49" s="242"/>
      <c r="W49" s="242"/>
      <c r="X49" s="242"/>
      <c r="Y49" s="242"/>
      <c r="Z49" s="242"/>
      <c r="AA49" s="242"/>
      <c r="AB49" s="242"/>
      <c r="AC49" s="242"/>
      <c r="AD49" s="242"/>
      <c r="AE49" s="242"/>
      <c r="AF49" s="242"/>
      <c r="AG49" s="242"/>
      <c r="AH49" s="242"/>
      <c r="AI49" s="242"/>
      <c r="AJ49" s="242"/>
      <c r="AK49" s="242"/>
      <c r="AL49" s="242"/>
      <c r="AM49" s="242"/>
    </row>
    <row r="50">
      <c r="A50" s="228"/>
      <c r="B50" s="228"/>
      <c r="C50" s="228"/>
      <c r="D50" s="228"/>
      <c r="E50" s="228"/>
      <c r="F50" s="228"/>
      <c r="G50" s="228"/>
      <c r="H50" s="241"/>
      <c r="I50" s="228"/>
      <c r="J50" s="228"/>
      <c r="K50" s="228"/>
      <c r="L50" s="228"/>
      <c r="M50" s="228"/>
      <c r="N50" s="228"/>
      <c r="O50" s="236"/>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row>
    <row r="51">
      <c r="A51" s="228"/>
      <c r="B51" s="228"/>
      <c r="C51" s="228"/>
      <c r="D51" s="228"/>
      <c r="E51" s="228"/>
      <c r="F51" s="228"/>
      <c r="G51" s="228"/>
      <c r="H51" s="241"/>
      <c r="I51" s="228"/>
      <c r="J51" s="228"/>
      <c r="K51" s="228"/>
      <c r="L51" s="228"/>
      <c r="M51" s="228"/>
      <c r="N51" s="228"/>
      <c r="O51" s="236"/>
      <c r="P51" s="228"/>
      <c r="Q51" s="228"/>
      <c r="R51" s="228"/>
      <c r="S51" s="228"/>
      <c r="T51" s="228"/>
      <c r="U51" s="228"/>
      <c r="V51" s="228"/>
      <c r="W51" s="228"/>
      <c r="X51" s="228"/>
      <c r="Y51" s="228"/>
      <c r="Z51" s="228"/>
      <c r="AA51" s="228"/>
      <c r="AB51" s="228"/>
      <c r="AC51" s="228"/>
      <c r="AD51" s="228"/>
      <c r="AE51" s="228"/>
      <c r="AF51" s="228"/>
      <c r="AG51" s="228"/>
      <c r="AH51" s="228"/>
      <c r="AI51" s="228"/>
      <c r="AJ51" s="228"/>
      <c r="AK51" s="228"/>
      <c r="AL51" s="228"/>
      <c r="AM51" s="228"/>
    </row>
    <row r="52">
      <c r="A52" s="228"/>
      <c r="B52" s="228"/>
      <c r="C52" s="228"/>
      <c r="D52" s="228"/>
      <c r="E52" s="228"/>
      <c r="F52" s="228"/>
      <c r="G52" s="228"/>
      <c r="H52" s="241"/>
      <c r="I52" s="228"/>
      <c r="J52" s="228"/>
      <c r="K52" s="228"/>
      <c r="L52" s="228"/>
      <c r="M52" s="228"/>
      <c r="N52" s="228"/>
      <c r="O52" s="236"/>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row>
    <row r="53">
      <c r="A53" s="228"/>
      <c r="B53" s="228"/>
      <c r="C53" s="228"/>
      <c r="D53" s="228"/>
      <c r="E53" s="228"/>
      <c r="F53" s="228"/>
      <c r="G53" s="228"/>
      <c r="H53" s="241"/>
      <c r="I53" s="228"/>
      <c r="J53" s="228"/>
      <c r="K53" s="228"/>
      <c r="L53" s="228"/>
      <c r="M53" s="228"/>
      <c r="N53" s="228"/>
      <c r="O53" s="236"/>
      <c r="P53" s="228"/>
      <c r="Q53" s="228"/>
      <c r="R53" s="228"/>
      <c r="S53" s="228"/>
      <c r="T53" s="228"/>
      <c r="U53" s="228"/>
      <c r="V53" s="228"/>
      <c r="W53" s="228"/>
      <c r="X53" s="228"/>
      <c r="Y53" s="228"/>
      <c r="Z53" s="228"/>
      <c r="AA53" s="228"/>
      <c r="AB53" s="228"/>
      <c r="AC53" s="228"/>
      <c r="AD53" s="228"/>
      <c r="AE53" s="228"/>
      <c r="AF53" s="228"/>
      <c r="AG53" s="228"/>
      <c r="AH53" s="228"/>
      <c r="AI53" s="228"/>
      <c r="AJ53" s="228"/>
      <c r="AK53" s="228"/>
      <c r="AL53" s="228"/>
      <c r="AM53" s="228"/>
    </row>
    <row r="54">
      <c r="A54" s="228"/>
      <c r="B54" s="228"/>
      <c r="C54" s="228"/>
      <c r="D54" s="228"/>
      <c r="E54" s="228"/>
      <c r="F54" s="228"/>
      <c r="G54" s="228"/>
      <c r="H54" s="241"/>
      <c r="I54" s="228"/>
      <c r="J54" s="228"/>
      <c r="K54" s="228"/>
      <c r="L54" s="228"/>
      <c r="M54" s="228"/>
      <c r="N54" s="228"/>
      <c r="O54" s="236"/>
      <c r="P54" s="228"/>
      <c r="Q54" s="228"/>
      <c r="R54" s="228"/>
      <c r="S54" s="228"/>
      <c r="T54" s="228"/>
      <c r="U54" s="228"/>
      <c r="V54" s="228"/>
      <c r="W54" s="228"/>
      <c r="X54" s="228"/>
      <c r="Y54" s="228"/>
      <c r="Z54" s="228"/>
      <c r="AA54" s="228"/>
      <c r="AB54" s="228"/>
      <c r="AC54" s="228"/>
      <c r="AD54" s="228"/>
      <c r="AE54" s="228"/>
      <c r="AF54" s="228"/>
      <c r="AG54" s="228"/>
      <c r="AH54" s="228"/>
      <c r="AI54" s="228"/>
      <c r="AJ54" s="228"/>
      <c r="AK54" s="228"/>
      <c r="AL54" s="228"/>
      <c r="AM54" s="228"/>
    </row>
    <row r="55">
      <c r="A55" s="228"/>
      <c r="B55" s="228"/>
      <c r="C55" s="228"/>
      <c r="D55" s="228"/>
      <c r="E55" s="228"/>
      <c r="F55" s="228"/>
      <c r="G55" s="228"/>
      <c r="H55" s="241"/>
      <c r="I55" s="228"/>
      <c r="J55" s="228"/>
      <c r="K55" s="228"/>
      <c r="L55" s="228"/>
      <c r="M55" s="228"/>
      <c r="N55" s="228"/>
      <c r="O55" s="236"/>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row>
    <row r="56">
      <c r="A56" s="228"/>
      <c r="B56" s="228"/>
      <c r="C56" s="228"/>
      <c r="D56" s="228"/>
      <c r="E56" s="228"/>
      <c r="F56" s="228"/>
      <c r="G56" s="228"/>
      <c r="H56" s="241"/>
      <c r="I56" s="228"/>
      <c r="J56" s="228"/>
      <c r="K56" s="228"/>
      <c r="L56" s="228"/>
      <c r="M56" s="228"/>
      <c r="N56" s="228"/>
      <c r="O56" s="236"/>
      <c r="P56" s="228"/>
      <c r="Q56" s="228"/>
      <c r="R56" s="228"/>
      <c r="S56" s="228"/>
      <c r="T56" s="228"/>
      <c r="U56" s="228"/>
      <c r="V56" s="228"/>
      <c r="W56" s="228"/>
      <c r="X56" s="228"/>
      <c r="Y56" s="228"/>
      <c r="Z56" s="228"/>
      <c r="AA56" s="228"/>
      <c r="AB56" s="228"/>
      <c r="AC56" s="228"/>
      <c r="AD56" s="228"/>
      <c r="AE56" s="228"/>
      <c r="AF56" s="228"/>
      <c r="AG56" s="228"/>
      <c r="AH56" s="228"/>
      <c r="AI56" s="228"/>
      <c r="AJ56" s="228"/>
      <c r="AK56" s="228"/>
      <c r="AL56" s="228"/>
      <c r="AM56" s="228"/>
    </row>
    <row r="57">
      <c r="A57" s="228"/>
      <c r="B57" s="228"/>
      <c r="C57" s="228"/>
      <c r="D57" s="228"/>
      <c r="E57" s="228"/>
      <c r="F57" s="228"/>
      <c r="G57" s="228"/>
      <c r="H57" s="241"/>
      <c r="I57" s="228"/>
      <c r="J57" s="228"/>
      <c r="K57" s="228"/>
      <c r="L57" s="228"/>
      <c r="M57" s="228"/>
      <c r="N57" s="228"/>
      <c r="O57" s="236"/>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row>
    <row r="58">
      <c r="A58" s="228"/>
      <c r="B58" s="228"/>
      <c r="C58" s="228"/>
      <c r="D58" s="228"/>
      <c r="E58" s="228"/>
      <c r="F58" s="228"/>
      <c r="G58" s="228"/>
      <c r="H58" s="241"/>
      <c r="I58" s="228"/>
      <c r="J58" s="228"/>
      <c r="K58" s="228"/>
      <c r="L58" s="228"/>
      <c r="M58" s="228"/>
      <c r="N58" s="228"/>
      <c r="O58" s="236"/>
      <c r="P58" s="228"/>
      <c r="Q58" s="228"/>
      <c r="R58" s="228"/>
      <c r="S58" s="228"/>
      <c r="T58" s="228"/>
      <c r="U58" s="228"/>
      <c r="V58" s="228"/>
      <c r="W58" s="228"/>
      <c r="X58" s="228"/>
      <c r="Y58" s="228"/>
      <c r="Z58" s="228"/>
      <c r="AA58" s="228"/>
      <c r="AB58" s="228"/>
      <c r="AC58" s="228"/>
      <c r="AD58" s="228"/>
      <c r="AE58" s="228"/>
      <c r="AF58" s="228"/>
      <c r="AG58" s="228"/>
      <c r="AH58" s="228"/>
      <c r="AI58" s="228"/>
      <c r="AJ58" s="228"/>
      <c r="AK58" s="228"/>
      <c r="AL58" s="228"/>
      <c r="AM58" s="228"/>
    </row>
    <row r="59">
      <c r="A59" s="228"/>
      <c r="B59" s="228"/>
      <c r="C59" s="228"/>
      <c r="D59" s="228"/>
      <c r="E59" s="228"/>
      <c r="F59" s="228"/>
      <c r="G59" s="228"/>
      <c r="H59" s="241"/>
      <c r="I59" s="228"/>
      <c r="J59" s="228"/>
      <c r="K59" s="228"/>
      <c r="L59" s="228"/>
      <c r="M59" s="228"/>
      <c r="N59" s="228"/>
      <c r="O59" s="236"/>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row>
    <row r="60">
      <c r="A60" s="228"/>
      <c r="B60" s="228"/>
      <c r="C60" s="228"/>
      <c r="D60" s="228"/>
      <c r="E60" s="228"/>
      <c r="F60" s="228"/>
      <c r="G60" s="228"/>
      <c r="H60" s="241"/>
      <c r="I60" s="228"/>
      <c r="J60" s="228"/>
      <c r="K60" s="228"/>
      <c r="L60" s="228"/>
      <c r="M60" s="228"/>
      <c r="N60" s="228"/>
      <c r="O60" s="236"/>
      <c r="P60" s="228"/>
      <c r="Q60" s="228"/>
      <c r="R60" s="228"/>
      <c r="S60" s="228"/>
      <c r="T60" s="228"/>
      <c r="U60" s="228"/>
      <c r="V60" s="228"/>
      <c r="W60" s="228"/>
      <c r="X60" s="228"/>
      <c r="Y60" s="228"/>
      <c r="Z60" s="228"/>
      <c r="AA60" s="228"/>
      <c r="AB60" s="228"/>
      <c r="AC60" s="228"/>
      <c r="AD60" s="228"/>
      <c r="AE60" s="228"/>
      <c r="AF60" s="228"/>
      <c r="AG60" s="228"/>
      <c r="AH60" s="228"/>
      <c r="AI60" s="228"/>
      <c r="AJ60" s="228"/>
      <c r="AK60" s="228"/>
      <c r="AL60" s="228"/>
      <c r="AM60" s="228"/>
    </row>
    <row r="61">
      <c r="A61" s="228"/>
      <c r="B61" s="228"/>
      <c r="C61" s="228"/>
      <c r="D61" s="228"/>
      <c r="E61" s="228"/>
      <c r="F61" s="228"/>
      <c r="G61" s="228"/>
      <c r="H61" s="241"/>
      <c r="I61" s="228"/>
      <c r="J61" s="228"/>
      <c r="K61" s="228"/>
      <c r="L61" s="228"/>
      <c r="M61" s="228"/>
      <c r="N61" s="228"/>
      <c r="O61" s="236"/>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row>
    <row r="62">
      <c r="A62" s="228"/>
      <c r="B62" s="228"/>
      <c r="C62" s="228"/>
      <c r="D62" s="228"/>
      <c r="E62" s="228"/>
      <c r="F62" s="228"/>
      <c r="G62" s="228"/>
      <c r="H62" s="241"/>
      <c r="I62" s="228"/>
      <c r="J62" s="228"/>
      <c r="K62" s="228"/>
      <c r="L62" s="228"/>
      <c r="M62" s="228"/>
      <c r="N62" s="228"/>
      <c r="O62" s="236"/>
      <c r="P62" s="228"/>
      <c r="Q62" s="228"/>
      <c r="R62" s="228"/>
      <c r="S62" s="228"/>
      <c r="T62" s="228"/>
      <c r="U62" s="228"/>
      <c r="V62" s="228"/>
      <c r="W62" s="228"/>
      <c r="X62" s="228"/>
      <c r="Y62" s="228"/>
      <c r="Z62" s="228"/>
      <c r="AA62" s="228"/>
      <c r="AB62" s="228"/>
      <c r="AC62" s="228"/>
      <c r="AD62" s="228"/>
      <c r="AE62" s="228"/>
      <c r="AF62" s="228"/>
      <c r="AG62" s="228"/>
      <c r="AH62" s="228"/>
      <c r="AI62" s="228"/>
      <c r="AJ62" s="228"/>
      <c r="AK62" s="228"/>
      <c r="AL62" s="228"/>
      <c r="AM62" s="228"/>
    </row>
    <row r="63">
      <c r="A63" s="228"/>
      <c r="B63" s="228"/>
      <c r="C63" s="228"/>
      <c r="D63" s="228"/>
      <c r="E63" s="228"/>
      <c r="F63" s="228"/>
      <c r="G63" s="228"/>
      <c r="H63" s="241"/>
      <c r="I63" s="228"/>
      <c r="J63" s="228"/>
      <c r="K63" s="228"/>
      <c r="L63" s="228"/>
      <c r="M63" s="228"/>
      <c r="N63" s="228"/>
      <c r="O63" s="236"/>
      <c r="P63" s="228"/>
      <c r="Q63" s="228"/>
      <c r="R63" s="228"/>
      <c r="S63" s="228"/>
      <c r="T63" s="228"/>
      <c r="U63" s="228"/>
      <c r="V63" s="228"/>
      <c r="W63" s="228"/>
      <c r="X63" s="228"/>
      <c r="Y63" s="228"/>
      <c r="Z63" s="228"/>
      <c r="AA63" s="228"/>
      <c r="AB63" s="228"/>
      <c r="AC63" s="228"/>
      <c r="AD63" s="228"/>
      <c r="AE63" s="228"/>
      <c r="AF63" s="228"/>
      <c r="AG63" s="228"/>
      <c r="AH63" s="228"/>
      <c r="AI63" s="228"/>
      <c r="AJ63" s="228"/>
      <c r="AK63" s="228"/>
      <c r="AL63" s="228"/>
      <c r="AM63" s="228"/>
    </row>
    <row r="64">
      <c r="A64" s="228"/>
      <c r="B64" s="228"/>
      <c r="C64" s="228"/>
      <c r="D64" s="228"/>
      <c r="E64" s="228"/>
      <c r="F64" s="228"/>
      <c r="G64" s="228"/>
      <c r="H64" s="241"/>
      <c r="I64" s="228"/>
      <c r="J64" s="228"/>
      <c r="K64" s="228"/>
      <c r="L64" s="228"/>
      <c r="M64" s="228"/>
      <c r="N64" s="228"/>
      <c r="O64" s="236"/>
      <c r="P64" s="228"/>
      <c r="Q64" s="228"/>
      <c r="R64" s="228"/>
      <c r="S64" s="228"/>
      <c r="T64" s="228"/>
      <c r="U64" s="228"/>
      <c r="V64" s="228"/>
      <c r="W64" s="228"/>
      <c r="X64" s="228"/>
      <c r="Y64" s="228"/>
      <c r="Z64" s="228"/>
      <c r="AA64" s="228"/>
      <c r="AB64" s="228"/>
      <c r="AC64" s="228"/>
      <c r="AD64" s="228"/>
      <c r="AE64" s="228"/>
      <c r="AF64" s="228"/>
      <c r="AG64" s="228"/>
      <c r="AH64" s="228"/>
      <c r="AI64" s="228"/>
      <c r="AJ64" s="228"/>
      <c r="AK64" s="228"/>
      <c r="AL64" s="228"/>
      <c r="AM64" s="228"/>
    </row>
    <row r="65">
      <c r="A65" s="228"/>
      <c r="B65" s="228"/>
      <c r="C65" s="228"/>
      <c r="D65" s="228"/>
      <c r="E65" s="228"/>
      <c r="F65" s="228"/>
      <c r="G65" s="228"/>
      <c r="H65" s="241"/>
      <c r="I65" s="228"/>
      <c r="J65" s="228"/>
      <c r="K65" s="228"/>
      <c r="L65" s="228"/>
      <c r="M65" s="228"/>
      <c r="N65" s="228"/>
      <c r="O65" s="236"/>
      <c r="P65" s="228"/>
      <c r="Q65" s="228"/>
      <c r="R65" s="228"/>
      <c r="S65" s="228"/>
      <c r="T65" s="228"/>
      <c r="U65" s="228"/>
      <c r="V65" s="228"/>
      <c r="W65" s="228"/>
      <c r="X65" s="228"/>
      <c r="Y65" s="228"/>
      <c r="Z65" s="228"/>
      <c r="AA65" s="228"/>
      <c r="AB65" s="228"/>
      <c r="AC65" s="228"/>
      <c r="AD65" s="228"/>
      <c r="AE65" s="228"/>
      <c r="AF65" s="228"/>
      <c r="AG65" s="228"/>
      <c r="AH65" s="228"/>
      <c r="AI65" s="228"/>
      <c r="AJ65" s="228"/>
      <c r="AK65" s="228"/>
      <c r="AL65" s="228"/>
      <c r="AM65" s="228"/>
    </row>
    <row r="66">
      <c r="A66" s="228"/>
      <c r="B66" s="228"/>
      <c r="C66" s="228"/>
      <c r="D66" s="228"/>
      <c r="E66" s="228"/>
      <c r="F66" s="228"/>
      <c r="G66" s="228"/>
      <c r="H66" s="241"/>
      <c r="I66" s="228"/>
      <c r="J66" s="228"/>
      <c r="K66" s="228"/>
      <c r="L66" s="228"/>
      <c r="M66" s="228"/>
      <c r="N66" s="228"/>
      <c r="O66" s="236"/>
      <c r="P66" s="228"/>
      <c r="Q66" s="228"/>
      <c r="R66" s="228"/>
      <c r="S66" s="228"/>
      <c r="T66" s="228"/>
      <c r="U66" s="228"/>
      <c r="V66" s="228"/>
      <c r="W66" s="228"/>
      <c r="X66" s="228"/>
      <c r="Y66" s="228"/>
      <c r="Z66" s="228"/>
      <c r="AA66" s="228"/>
      <c r="AB66" s="228"/>
      <c r="AC66" s="228"/>
      <c r="AD66" s="228"/>
      <c r="AE66" s="228"/>
      <c r="AF66" s="228"/>
      <c r="AG66" s="228"/>
      <c r="AH66" s="228"/>
      <c r="AI66" s="228"/>
      <c r="AJ66" s="228"/>
      <c r="AK66" s="228"/>
      <c r="AL66" s="228"/>
      <c r="AM66" s="228"/>
    </row>
    <row r="67">
      <c r="A67" s="228"/>
      <c r="B67" s="228"/>
      <c r="C67" s="228"/>
      <c r="D67" s="228"/>
      <c r="E67" s="228"/>
      <c r="F67" s="228"/>
      <c r="G67" s="228"/>
      <c r="H67" s="241"/>
      <c r="I67" s="228"/>
      <c r="J67" s="228"/>
      <c r="K67" s="228"/>
      <c r="L67" s="228"/>
      <c r="M67" s="228"/>
      <c r="N67" s="228"/>
      <c r="O67" s="236"/>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row>
    <row r="68">
      <c r="A68" s="228"/>
      <c r="B68" s="228"/>
      <c r="C68" s="228"/>
      <c r="D68" s="228"/>
      <c r="E68" s="228"/>
      <c r="F68" s="228"/>
      <c r="G68" s="228"/>
      <c r="H68" s="241"/>
      <c r="I68" s="228"/>
      <c r="J68" s="228"/>
      <c r="K68" s="228"/>
      <c r="L68" s="228"/>
      <c r="M68" s="228"/>
      <c r="N68" s="228"/>
      <c r="O68" s="236"/>
      <c r="P68" s="228"/>
      <c r="Q68" s="228"/>
      <c r="R68" s="228"/>
      <c r="S68" s="228"/>
      <c r="T68" s="228"/>
      <c r="U68" s="228"/>
      <c r="V68" s="228"/>
      <c r="W68" s="228"/>
      <c r="X68" s="228"/>
      <c r="Y68" s="228"/>
      <c r="Z68" s="228"/>
      <c r="AA68" s="228"/>
      <c r="AB68" s="228"/>
      <c r="AC68" s="228"/>
      <c r="AD68" s="228"/>
      <c r="AE68" s="228"/>
      <c r="AF68" s="228"/>
      <c r="AG68" s="228"/>
      <c r="AH68" s="228"/>
      <c r="AI68" s="228"/>
      <c r="AJ68" s="228"/>
      <c r="AK68" s="228"/>
      <c r="AL68" s="228"/>
      <c r="AM68" s="228"/>
    </row>
    <row r="69">
      <c r="A69" s="228"/>
      <c r="B69" s="228"/>
      <c r="C69" s="228"/>
      <c r="D69" s="228"/>
      <c r="E69" s="228"/>
      <c r="F69" s="228"/>
      <c r="G69" s="228"/>
      <c r="H69" s="241"/>
      <c r="I69" s="228"/>
      <c r="J69" s="228"/>
      <c r="K69" s="228"/>
      <c r="L69" s="228"/>
      <c r="M69" s="228"/>
      <c r="N69" s="228"/>
      <c r="O69" s="236"/>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row>
    <row r="70">
      <c r="A70" s="228"/>
      <c r="B70" s="228"/>
      <c r="C70" s="228"/>
      <c r="D70" s="228"/>
      <c r="E70" s="228"/>
      <c r="F70" s="228"/>
      <c r="G70" s="228"/>
      <c r="H70" s="241"/>
      <c r="I70" s="228"/>
      <c r="J70" s="228"/>
      <c r="K70" s="228"/>
      <c r="L70" s="228"/>
      <c r="M70" s="228"/>
      <c r="N70" s="228"/>
      <c r="O70" s="236"/>
      <c r="P70" s="228"/>
      <c r="Q70" s="228"/>
      <c r="R70" s="228"/>
      <c r="S70" s="228"/>
      <c r="T70" s="228"/>
      <c r="U70" s="228"/>
      <c r="V70" s="228"/>
      <c r="W70" s="228"/>
      <c r="X70" s="228"/>
      <c r="Y70" s="228"/>
      <c r="Z70" s="228"/>
      <c r="AA70" s="228"/>
      <c r="AB70" s="228"/>
      <c r="AC70" s="228"/>
      <c r="AD70" s="228"/>
      <c r="AE70" s="228"/>
      <c r="AF70" s="228"/>
      <c r="AG70" s="228"/>
      <c r="AH70" s="228"/>
      <c r="AI70" s="228"/>
      <c r="AJ70" s="228"/>
      <c r="AK70" s="228"/>
      <c r="AL70" s="228"/>
      <c r="AM70" s="228"/>
    </row>
    <row r="71">
      <c r="A71" s="228"/>
      <c r="B71" s="228"/>
      <c r="C71" s="228"/>
      <c r="D71" s="228"/>
      <c r="E71" s="228"/>
      <c r="F71" s="228"/>
      <c r="G71" s="228"/>
      <c r="H71" s="241"/>
      <c r="I71" s="228"/>
      <c r="J71" s="228"/>
      <c r="K71" s="228"/>
      <c r="L71" s="228"/>
      <c r="M71" s="228"/>
      <c r="N71" s="228"/>
      <c r="O71" s="236"/>
      <c r="P71" s="228"/>
      <c r="Q71" s="228"/>
      <c r="R71" s="228"/>
      <c r="S71" s="228"/>
      <c r="T71" s="228"/>
      <c r="U71" s="228"/>
      <c r="V71" s="228"/>
      <c r="W71" s="228"/>
      <c r="X71" s="228"/>
      <c r="Y71" s="228"/>
      <c r="Z71" s="228"/>
      <c r="AA71" s="228"/>
      <c r="AB71" s="228"/>
      <c r="AC71" s="228"/>
      <c r="AD71" s="228"/>
      <c r="AE71" s="228"/>
      <c r="AF71" s="228"/>
      <c r="AG71" s="228"/>
      <c r="AH71" s="228"/>
      <c r="AI71" s="228"/>
      <c r="AJ71" s="228"/>
      <c r="AK71" s="228"/>
      <c r="AL71" s="228"/>
      <c r="AM71" s="228"/>
    </row>
    <row r="72">
      <c r="A72" s="228"/>
      <c r="B72" s="228"/>
      <c r="C72" s="228"/>
      <c r="D72" s="228"/>
      <c r="E72" s="228"/>
      <c r="F72" s="228"/>
      <c r="G72" s="228"/>
      <c r="H72" s="241"/>
      <c r="I72" s="228"/>
      <c r="J72" s="228"/>
      <c r="K72" s="228"/>
      <c r="L72" s="228"/>
      <c r="M72" s="228"/>
      <c r="N72" s="228"/>
      <c r="O72" s="236"/>
      <c r="P72" s="228"/>
      <c r="Q72" s="228"/>
      <c r="R72" s="228"/>
      <c r="S72" s="228"/>
      <c r="T72" s="228"/>
      <c r="U72" s="228"/>
      <c r="V72" s="228"/>
      <c r="W72" s="228"/>
      <c r="X72" s="228"/>
      <c r="Y72" s="228"/>
      <c r="Z72" s="228"/>
      <c r="AA72" s="228"/>
      <c r="AB72" s="228"/>
      <c r="AC72" s="228"/>
      <c r="AD72" s="228"/>
      <c r="AE72" s="228"/>
      <c r="AF72" s="228"/>
      <c r="AG72" s="228"/>
      <c r="AH72" s="228"/>
      <c r="AI72" s="228"/>
      <c r="AJ72" s="228"/>
      <c r="AK72" s="228"/>
      <c r="AL72" s="228"/>
      <c r="AM72" s="228"/>
    </row>
    <row r="73">
      <c r="A73" s="228"/>
      <c r="B73" s="228"/>
      <c r="C73" s="228"/>
      <c r="D73" s="228"/>
      <c r="E73" s="228"/>
      <c r="F73" s="228"/>
      <c r="G73" s="228"/>
      <c r="H73" s="241"/>
      <c r="I73" s="228"/>
      <c r="J73" s="228"/>
      <c r="K73" s="228"/>
      <c r="L73" s="228"/>
      <c r="M73" s="228"/>
      <c r="N73" s="228"/>
      <c r="O73" s="236"/>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row>
    <row r="74">
      <c r="A74" s="228"/>
      <c r="B74" s="228"/>
      <c r="C74" s="228"/>
      <c r="D74" s="228"/>
      <c r="E74" s="228"/>
      <c r="F74" s="228"/>
      <c r="G74" s="228"/>
      <c r="H74" s="241"/>
      <c r="I74" s="228"/>
      <c r="J74" s="228"/>
      <c r="K74" s="228"/>
      <c r="L74" s="228"/>
      <c r="M74" s="228"/>
      <c r="N74" s="228"/>
      <c r="O74" s="236"/>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row>
    <row r="75">
      <c r="A75" s="228"/>
      <c r="B75" s="228"/>
      <c r="C75" s="228"/>
      <c r="D75" s="228"/>
      <c r="E75" s="228"/>
      <c r="F75" s="228"/>
      <c r="G75" s="228"/>
      <c r="H75" s="241"/>
      <c r="I75" s="228"/>
      <c r="J75" s="228"/>
      <c r="K75" s="228"/>
      <c r="L75" s="228"/>
      <c r="M75" s="228"/>
      <c r="N75" s="228"/>
      <c r="O75" s="236"/>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row>
    <row r="76">
      <c r="A76" s="228"/>
      <c r="B76" s="228"/>
      <c r="C76" s="228"/>
      <c r="D76" s="228"/>
      <c r="E76" s="228"/>
      <c r="F76" s="228"/>
      <c r="G76" s="228"/>
      <c r="H76" s="241"/>
      <c r="I76" s="228"/>
      <c r="J76" s="228"/>
      <c r="K76" s="228"/>
      <c r="L76" s="228"/>
      <c r="M76" s="228"/>
      <c r="N76" s="228"/>
      <c r="O76" s="236"/>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row>
    <row r="77">
      <c r="A77" s="228"/>
      <c r="B77" s="228"/>
      <c r="C77" s="228"/>
      <c r="D77" s="228"/>
      <c r="E77" s="228"/>
      <c r="F77" s="228"/>
      <c r="G77" s="228"/>
      <c r="H77" s="241"/>
      <c r="I77" s="228"/>
      <c r="J77" s="228"/>
      <c r="K77" s="228"/>
      <c r="L77" s="228"/>
      <c r="M77" s="228"/>
      <c r="N77" s="228"/>
      <c r="O77" s="236"/>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row>
    <row r="78">
      <c r="A78" s="228"/>
      <c r="B78" s="228"/>
      <c r="C78" s="228"/>
      <c r="D78" s="228"/>
      <c r="E78" s="228"/>
      <c r="F78" s="228"/>
      <c r="G78" s="228"/>
      <c r="H78" s="241"/>
      <c r="I78" s="228"/>
      <c r="J78" s="228"/>
      <c r="K78" s="228"/>
      <c r="L78" s="228"/>
      <c r="M78" s="228"/>
      <c r="N78" s="228"/>
      <c r="O78" s="236"/>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row>
    <row r="79">
      <c r="A79" s="228"/>
      <c r="B79" s="228"/>
      <c r="C79" s="228"/>
      <c r="D79" s="228"/>
      <c r="E79" s="228"/>
      <c r="F79" s="228"/>
      <c r="G79" s="228"/>
      <c r="H79" s="241"/>
      <c r="I79" s="228"/>
      <c r="J79" s="228"/>
      <c r="K79" s="228"/>
      <c r="L79" s="228"/>
      <c r="M79" s="228"/>
      <c r="N79" s="228"/>
      <c r="O79" s="236"/>
      <c r="P79" s="228"/>
      <c r="Q79" s="228"/>
      <c r="R79" s="228"/>
      <c r="S79" s="228"/>
      <c r="T79" s="228"/>
      <c r="U79" s="228"/>
      <c r="V79" s="228"/>
      <c r="W79" s="228"/>
      <c r="X79" s="228"/>
      <c r="Y79" s="228"/>
      <c r="Z79" s="228"/>
      <c r="AA79" s="228"/>
      <c r="AB79" s="228"/>
      <c r="AC79" s="228"/>
      <c r="AD79" s="228"/>
      <c r="AE79" s="228"/>
      <c r="AF79" s="228"/>
      <c r="AG79" s="228"/>
      <c r="AH79" s="228"/>
      <c r="AI79" s="228"/>
      <c r="AJ79" s="228"/>
      <c r="AK79" s="228"/>
      <c r="AL79" s="228"/>
      <c r="AM79" s="228"/>
    </row>
    <row r="80">
      <c r="A80" s="228"/>
      <c r="B80" s="228"/>
      <c r="C80" s="228"/>
      <c r="D80" s="228"/>
      <c r="E80" s="228"/>
      <c r="F80" s="228"/>
      <c r="G80" s="228"/>
      <c r="H80" s="241"/>
      <c r="I80" s="228"/>
      <c r="J80" s="228"/>
      <c r="K80" s="228"/>
      <c r="L80" s="228"/>
      <c r="M80" s="228"/>
      <c r="N80" s="228"/>
      <c r="O80" s="236"/>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row>
    <row r="81">
      <c r="A81" s="228"/>
      <c r="B81" s="228"/>
      <c r="C81" s="228"/>
      <c r="D81" s="228"/>
      <c r="E81" s="228"/>
      <c r="F81" s="228"/>
      <c r="G81" s="228"/>
      <c r="H81" s="241"/>
      <c r="I81" s="228"/>
      <c r="J81" s="228"/>
      <c r="K81" s="228"/>
      <c r="L81" s="228"/>
      <c r="M81" s="228"/>
      <c r="N81" s="228"/>
      <c r="O81" s="236"/>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row>
    <row r="82">
      <c r="A82" s="228"/>
      <c r="B82" s="228"/>
      <c r="C82" s="228"/>
      <c r="D82" s="228"/>
      <c r="E82" s="228"/>
      <c r="F82" s="228"/>
      <c r="G82" s="228"/>
      <c r="H82" s="241"/>
      <c r="I82" s="228"/>
      <c r="J82" s="228"/>
      <c r="K82" s="228"/>
      <c r="L82" s="228"/>
      <c r="M82" s="228"/>
      <c r="N82" s="228"/>
      <c r="O82" s="236"/>
      <c r="P82" s="228"/>
      <c r="Q82" s="228"/>
      <c r="R82" s="228"/>
      <c r="S82" s="228"/>
      <c r="T82" s="228"/>
      <c r="U82" s="228"/>
      <c r="V82" s="228"/>
      <c r="W82" s="228"/>
      <c r="X82" s="228"/>
      <c r="Y82" s="228"/>
      <c r="Z82" s="228"/>
      <c r="AA82" s="228"/>
      <c r="AB82" s="228"/>
      <c r="AC82" s="228"/>
      <c r="AD82" s="228"/>
      <c r="AE82" s="228"/>
      <c r="AF82" s="228"/>
      <c r="AG82" s="228"/>
      <c r="AH82" s="228"/>
      <c r="AI82" s="228"/>
      <c r="AJ82" s="228"/>
      <c r="AK82" s="228"/>
      <c r="AL82" s="228"/>
      <c r="AM82" s="228"/>
    </row>
    <row r="83">
      <c r="A83" s="228"/>
      <c r="B83" s="228"/>
      <c r="C83" s="228"/>
      <c r="D83" s="228"/>
      <c r="E83" s="228"/>
      <c r="F83" s="228"/>
      <c r="G83" s="228"/>
      <c r="H83" s="241"/>
      <c r="I83" s="228"/>
      <c r="J83" s="228"/>
      <c r="K83" s="228"/>
      <c r="L83" s="228"/>
      <c r="M83" s="228"/>
      <c r="N83" s="228"/>
      <c r="O83" s="236"/>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row>
    <row r="84">
      <c r="A84" s="228"/>
      <c r="B84" s="228"/>
      <c r="C84" s="228"/>
      <c r="D84" s="228"/>
      <c r="E84" s="228"/>
      <c r="F84" s="228"/>
      <c r="G84" s="228"/>
      <c r="H84" s="241"/>
      <c r="I84" s="228"/>
      <c r="J84" s="228"/>
      <c r="K84" s="228"/>
      <c r="L84" s="228"/>
      <c r="M84" s="228"/>
      <c r="N84" s="228"/>
      <c r="O84" s="236"/>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row>
    <row r="85">
      <c r="A85" s="228"/>
      <c r="B85" s="228"/>
      <c r="C85" s="228"/>
      <c r="D85" s="228"/>
      <c r="E85" s="228"/>
      <c r="F85" s="228"/>
      <c r="G85" s="228"/>
      <c r="H85" s="241"/>
      <c r="I85" s="228"/>
      <c r="J85" s="228"/>
      <c r="K85" s="228"/>
      <c r="L85" s="228"/>
      <c r="M85" s="228"/>
      <c r="N85" s="228"/>
      <c r="O85" s="236"/>
      <c r="P85" s="228"/>
      <c r="Q85" s="228"/>
      <c r="R85" s="228"/>
      <c r="S85" s="228"/>
      <c r="T85" s="228"/>
      <c r="U85" s="228"/>
      <c r="V85" s="228"/>
      <c r="W85" s="228"/>
      <c r="X85" s="228"/>
      <c r="Y85" s="228"/>
      <c r="Z85" s="228"/>
      <c r="AA85" s="228"/>
      <c r="AB85" s="228"/>
      <c r="AC85" s="228"/>
      <c r="AD85" s="228"/>
      <c r="AE85" s="228"/>
      <c r="AF85" s="228"/>
      <c r="AG85" s="228"/>
      <c r="AH85" s="228"/>
      <c r="AI85" s="228"/>
      <c r="AJ85" s="228"/>
      <c r="AK85" s="228"/>
      <c r="AL85" s="228"/>
      <c r="AM85" s="228"/>
    </row>
    <row r="86">
      <c r="A86" s="228"/>
      <c r="B86" s="228"/>
      <c r="C86" s="228"/>
      <c r="D86" s="228"/>
      <c r="E86" s="228"/>
      <c r="F86" s="228"/>
      <c r="G86" s="228"/>
      <c r="H86" s="241"/>
      <c r="I86" s="228"/>
      <c r="J86" s="228"/>
      <c r="K86" s="228"/>
      <c r="L86" s="228"/>
      <c r="M86" s="228"/>
      <c r="N86" s="228"/>
      <c r="O86" s="236"/>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row>
    <row r="87">
      <c r="A87" s="228"/>
      <c r="B87" s="228"/>
      <c r="C87" s="228"/>
      <c r="D87" s="228"/>
      <c r="E87" s="228"/>
      <c r="F87" s="228"/>
      <c r="G87" s="228"/>
      <c r="H87" s="241"/>
      <c r="I87" s="228"/>
      <c r="J87" s="228"/>
      <c r="K87" s="228"/>
      <c r="L87" s="228"/>
      <c r="M87" s="228"/>
      <c r="N87" s="228"/>
      <c r="O87" s="236"/>
      <c r="P87" s="228"/>
      <c r="Q87" s="228"/>
      <c r="R87" s="228"/>
      <c r="S87" s="228"/>
      <c r="T87" s="228"/>
      <c r="U87" s="228"/>
      <c r="V87" s="228"/>
      <c r="W87" s="228"/>
      <c r="X87" s="228"/>
      <c r="Y87" s="228"/>
      <c r="Z87" s="228"/>
      <c r="AA87" s="228"/>
      <c r="AB87" s="228"/>
      <c r="AC87" s="228"/>
      <c r="AD87" s="228"/>
      <c r="AE87" s="228"/>
      <c r="AF87" s="228"/>
      <c r="AG87" s="228"/>
      <c r="AH87" s="228"/>
      <c r="AI87" s="228"/>
      <c r="AJ87" s="228"/>
      <c r="AK87" s="228"/>
      <c r="AL87" s="228"/>
      <c r="AM87" s="228"/>
    </row>
    <row r="88">
      <c r="A88" s="228"/>
      <c r="B88" s="228"/>
      <c r="C88" s="228"/>
      <c r="D88" s="228"/>
      <c r="E88" s="228"/>
      <c r="F88" s="228"/>
      <c r="G88" s="228"/>
      <c r="H88" s="241"/>
      <c r="I88" s="228"/>
      <c r="J88" s="228"/>
      <c r="K88" s="228"/>
      <c r="L88" s="228"/>
      <c r="M88" s="228"/>
      <c r="N88" s="228"/>
      <c r="O88" s="236"/>
      <c r="P88" s="228"/>
      <c r="Q88" s="228"/>
      <c r="R88" s="228"/>
      <c r="S88" s="228"/>
      <c r="T88" s="228"/>
      <c r="U88" s="228"/>
      <c r="V88" s="228"/>
      <c r="W88" s="228"/>
      <c r="X88" s="228"/>
      <c r="Y88" s="228"/>
      <c r="Z88" s="228"/>
      <c r="AA88" s="228"/>
      <c r="AB88" s="228"/>
      <c r="AC88" s="228"/>
      <c r="AD88" s="228"/>
      <c r="AE88" s="228"/>
      <c r="AF88" s="228"/>
      <c r="AG88" s="228"/>
      <c r="AH88" s="228"/>
      <c r="AI88" s="228"/>
      <c r="AJ88" s="228"/>
      <c r="AK88" s="228"/>
      <c r="AL88" s="228"/>
      <c r="AM88" s="228"/>
    </row>
    <row r="89">
      <c r="A89" s="228"/>
      <c r="B89" s="228"/>
      <c r="C89" s="228"/>
      <c r="D89" s="228"/>
      <c r="E89" s="228"/>
      <c r="F89" s="228"/>
      <c r="G89" s="228"/>
      <c r="H89" s="241"/>
      <c r="I89" s="228"/>
      <c r="J89" s="228"/>
      <c r="K89" s="228"/>
      <c r="L89" s="228"/>
      <c r="M89" s="228"/>
      <c r="N89" s="228"/>
      <c r="O89" s="236"/>
      <c r="P89" s="228"/>
      <c r="Q89" s="228"/>
      <c r="R89" s="228"/>
      <c r="S89" s="228"/>
      <c r="T89" s="228"/>
      <c r="U89" s="228"/>
      <c r="V89" s="228"/>
      <c r="W89" s="228"/>
      <c r="X89" s="228"/>
      <c r="Y89" s="228"/>
      <c r="Z89" s="228"/>
      <c r="AA89" s="228"/>
      <c r="AB89" s="228"/>
      <c r="AC89" s="228"/>
      <c r="AD89" s="228"/>
      <c r="AE89" s="228"/>
      <c r="AF89" s="228"/>
      <c r="AG89" s="228"/>
      <c r="AH89" s="228"/>
      <c r="AI89" s="228"/>
      <c r="AJ89" s="228"/>
      <c r="AK89" s="228"/>
      <c r="AL89" s="228"/>
      <c r="AM89" s="228"/>
    </row>
    <row r="90">
      <c r="A90" s="228"/>
      <c r="B90" s="228"/>
      <c r="C90" s="228"/>
      <c r="D90" s="228"/>
      <c r="E90" s="228"/>
      <c r="F90" s="228"/>
      <c r="G90" s="228"/>
      <c r="H90" s="241"/>
      <c r="I90" s="228"/>
      <c r="J90" s="228"/>
      <c r="K90" s="228"/>
      <c r="L90" s="228"/>
      <c r="M90" s="228"/>
      <c r="N90" s="228"/>
      <c r="O90" s="236"/>
      <c r="P90" s="228"/>
      <c r="Q90" s="228"/>
      <c r="R90" s="228"/>
      <c r="S90" s="228"/>
      <c r="T90" s="228"/>
      <c r="U90" s="228"/>
      <c r="V90" s="228"/>
      <c r="W90" s="228"/>
      <c r="X90" s="228"/>
      <c r="Y90" s="228"/>
      <c r="Z90" s="228"/>
      <c r="AA90" s="228"/>
      <c r="AB90" s="228"/>
      <c r="AC90" s="228"/>
      <c r="AD90" s="228"/>
      <c r="AE90" s="228"/>
      <c r="AF90" s="228"/>
      <c r="AG90" s="228"/>
      <c r="AH90" s="228"/>
      <c r="AI90" s="228"/>
      <c r="AJ90" s="228"/>
      <c r="AK90" s="228"/>
      <c r="AL90" s="228"/>
      <c r="AM90" s="228"/>
    </row>
    <row r="91">
      <c r="A91" s="228"/>
      <c r="B91" s="228"/>
      <c r="C91" s="228"/>
      <c r="D91" s="228"/>
      <c r="E91" s="228"/>
      <c r="F91" s="228"/>
      <c r="G91" s="228"/>
      <c r="H91" s="241"/>
      <c r="I91" s="228"/>
      <c r="J91" s="228"/>
      <c r="K91" s="228"/>
      <c r="L91" s="228"/>
      <c r="M91" s="228"/>
      <c r="N91" s="228"/>
      <c r="O91" s="236"/>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row>
    <row r="92">
      <c r="A92" s="228"/>
      <c r="B92" s="228"/>
      <c r="C92" s="228"/>
      <c r="D92" s="228"/>
      <c r="E92" s="228"/>
      <c r="F92" s="228"/>
      <c r="G92" s="228"/>
      <c r="H92" s="241"/>
      <c r="I92" s="228"/>
      <c r="J92" s="228"/>
      <c r="K92" s="228"/>
      <c r="L92" s="228"/>
      <c r="M92" s="228"/>
      <c r="N92" s="228"/>
      <c r="O92" s="236"/>
      <c r="P92" s="228"/>
      <c r="Q92" s="228"/>
      <c r="R92" s="228"/>
      <c r="S92" s="228"/>
      <c r="T92" s="228"/>
      <c r="U92" s="228"/>
      <c r="V92" s="228"/>
      <c r="W92" s="228"/>
      <c r="X92" s="228"/>
      <c r="Y92" s="228"/>
      <c r="Z92" s="228"/>
      <c r="AA92" s="228"/>
      <c r="AB92" s="228"/>
      <c r="AC92" s="228"/>
      <c r="AD92" s="228"/>
      <c r="AE92" s="228"/>
      <c r="AF92" s="228"/>
      <c r="AG92" s="228"/>
      <c r="AH92" s="228"/>
      <c r="AI92" s="228"/>
      <c r="AJ92" s="228"/>
      <c r="AK92" s="228"/>
      <c r="AL92" s="228"/>
      <c r="AM92" s="228"/>
    </row>
    <row r="93">
      <c r="A93" s="228"/>
      <c r="B93" s="228"/>
      <c r="C93" s="228"/>
      <c r="D93" s="228"/>
      <c r="E93" s="228"/>
      <c r="F93" s="228"/>
      <c r="G93" s="228"/>
      <c r="H93" s="241"/>
      <c r="I93" s="228"/>
      <c r="J93" s="228"/>
      <c r="K93" s="228"/>
      <c r="L93" s="228"/>
      <c r="M93" s="228"/>
      <c r="N93" s="228"/>
      <c r="O93" s="236"/>
      <c r="P93" s="228"/>
      <c r="Q93" s="228"/>
      <c r="R93" s="228"/>
      <c r="S93" s="228"/>
      <c r="T93" s="228"/>
      <c r="U93" s="228"/>
      <c r="V93" s="228"/>
      <c r="W93" s="228"/>
      <c r="X93" s="228"/>
      <c r="Y93" s="228"/>
      <c r="Z93" s="228"/>
      <c r="AA93" s="228"/>
      <c r="AB93" s="228"/>
      <c r="AC93" s="228"/>
      <c r="AD93" s="228"/>
      <c r="AE93" s="228"/>
      <c r="AF93" s="228"/>
      <c r="AG93" s="228"/>
      <c r="AH93" s="228"/>
      <c r="AI93" s="228"/>
      <c r="AJ93" s="228"/>
      <c r="AK93" s="228"/>
      <c r="AL93" s="228"/>
      <c r="AM93" s="228"/>
    </row>
    <row r="94">
      <c r="A94" s="228"/>
      <c r="B94" s="228"/>
      <c r="C94" s="228"/>
      <c r="D94" s="228"/>
      <c r="E94" s="228"/>
      <c r="F94" s="228"/>
      <c r="G94" s="228"/>
      <c r="H94" s="241"/>
      <c r="I94" s="228"/>
      <c r="J94" s="228"/>
      <c r="K94" s="228"/>
      <c r="L94" s="228"/>
      <c r="M94" s="228"/>
      <c r="N94" s="228"/>
      <c r="O94" s="236"/>
      <c r="P94" s="228"/>
      <c r="Q94" s="228"/>
      <c r="R94" s="228"/>
      <c r="S94" s="228"/>
      <c r="T94" s="228"/>
      <c r="U94" s="228"/>
      <c r="V94" s="228"/>
      <c r="W94" s="228"/>
      <c r="X94" s="228"/>
      <c r="Y94" s="228"/>
      <c r="Z94" s="228"/>
      <c r="AA94" s="228"/>
      <c r="AB94" s="228"/>
      <c r="AC94" s="228"/>
      <c r="AD94" s="228"/>
      <c r="AE94" s="228"/>
      <c r="AF94" s="228"/>
      <c r="AG94" s="228"/>
      <c r="AH94" s="228"/>
      <c r="AI94" s="228"/>
      <c r="AJ94" s="228"/>
      <c r="AK94" s="228"/>
      <c r="AL94" s="228"/>
      <c r="AM94" s="228"/>
    </row>
    <row r="95">
      <c r="A95" s="228"/>
      <c r="B95" s="228"/>
      <c r="C95" s="228"/>
      <c r="D95" s="228"/>
      <c r="E95" s="228"/>
      <c r="F95" s="228"/>
      <c r="G95" s="228"/>
      <c r="H95" s="241"/>
      <c r="I95" s="228"/>
      <c r="J95" s="228"/>
      <c r="K95" s="228"/>
      <c r="L95" s="228"/>
      <c r="M95" s="228"/>
      <c r="N95" s="228"/>
      <c r="O95" s="236"/>
      <c r="P95" s="228"/>
      <c r="Q95" s="228"/>
      <c r="R95" s="228"/>
      <c r="S95" s="228"/>
      <c r="T95" s="228"/>
      <c r="U95" s="228"/>
      <c r="V95" s="228"/>
      <c r="W95" s="228"/>
      <c r="X95" s="228"/>
      <c r="Y95" s="228"/>
      <c r="Z95" s="228"/>
      <c r="AA95" s="228"/>
      <c r="AB95" s="228"/>
      <c r="AC95" s="228"/>
      <c r="AD95" s="228"/>
      <c r="AE95" s="228"/>
      <c r="AF95" s="228"/>
      <c r="AG95" s="228"/>
      <c r="AH95" s="228"/>
      <c r="AI95" s="228"/>
      <c r="AJ95" s="228"/>
      <c r="AK95" s="228"/>
      <c r="AL95" s="228"/>
      <c r="AM95" s="228"/>
    </row>
    <row r="96">
      <c r="A96" s="228"/>
      <c r="B96" s="228"/>
      <c r="C96" s="228"/>
      <c r="D96" s="228"/>
      <c r="E96" s="228"/>
      <c r="F96" s="228"/>
      <c r="G96" s="228"/>
      <c r="H96" s="241"/>
      <c r="I96" s="228"/>
      <c r="J96" s="228"/>
      <c r="K96" s="228"/>
      <c r="L96" s="228"/>
      <c r="M96" s="228"/>
      <c r="N96" s="228"/>
      <c r="O96" s="236"/>
      <c r="P96" s="228"/>
      <c r="Q96" s="228"/>
      <c r="R96" s="228"/>
      <c r="S96" s="228"/>
      <c r="T96" s="228"/>
      <c r="U96" s="228"/>
      <c r="V96" s="228"/>
      <c r="W96" s="228"/>
      <c r="X96" s="228"/>
      <c r="Y96" s="228"/>
      <c r="Z96" s="228"/>
      <c r="AA96" s="228"/>
      <c r="AB96" s="228"/>
      <c r="AC96" s="228"/>
      <c r="AD96" s="228"/>
      <c r="AE96" s="228"/>
      <c r="AF96" s="228"/>
      <c r="AG96" s="228"/>
      <c r="AH96" s="228"/>
      <c r="AI96" s="228"/>
      <c r="AJ96" s="228"/>
      <c r="AK96" s="228"/>
      <c r="AL96" s="228"/>
      <c r="AM96" s="228"/>
    </row>
    <row r="97">
      <c r="A97" s="228"/>
      <c r="B97" s="228"/>
      <c r="C97" s="228"/>
      <c r="D97" s="228"/>
      <c r="E97" s="228"/>
      <c r="F97" s="228"/>
      <c r="G97" s="228"/>
      <c r="H97" s="241"/>
      <c r="I97" s="228"/>
      <c r="J97" s="228"/>
      <c r="K97" s="228"/>
      <c r="L97" s="228"/>
      <c r="M97" s="228"/>
      <c r="N97" s="228"/>
      <c r="O97" s="236"/>
      <c r="P97" s="228"/>
      <c r="Q97" s="228"/>
      <c r="R97" s="228"/>
      <c r="S97" s="228"/>
      <c r="T97" s="228"/>
      <c r="U97" s="228"/>
      <c r="V97" s="228"/>
      <c r="W97" s="228"/>
      <c r="X97" s="228"/>
      <c r="Y97" s="228"/>
      <c r="Z97" s="228"/>
      <c r="AA97" s="228"/>
      <c r="AB97" s="228"/>
      <c r="AC97" s="228"/>
      <c r="AD97" s="228"/>
      <c r="AE97" s="228"/>
      <c r="AF97" s="228"/>
      <c r="AG97" s="228"/>
      <c r="AH97" s="228"/>
      <c r="AI97" s="228"/>
      <c r="AJ97" s="228"/>
      <c r="AK97" s="228"/>
      <c r="AL97" s="228"/>
      <c r="AM97" s="228"/>
    </row>
    <row r="98">
      <c r="A98" s="228"/>
      <c r="B98" s="228"/>
      <c r="C98" s="228"/>
      <c r="D98" s="228"/>
      <c r="E98" s="228"/>
      <c r="F98" s="228"/>
      <c r="G98" s="228"/>
      <c r="H98" s="241"/>
      <c r="I98" s="228"/>
      <c r="J98" s="228"/>
      <c r="K98" s="228"/>
      <c r="L98" s="228"/>
      <c r="M98" s="228"/>
      <c r="N98" s="228"/>
      <c r="O98" s="236"/>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row>
    <row r="99">
      <c r="A99" s="228"/>
      <c r="B99" s="228"/>
      <c r="C99" s="228"/>
      <c r="D99" s="228"/>
      <c r="E99" s="228"/>
      <c r="F99" s="228"/>
      <c r="G99" s="228"/>
      <c r="H99" s="241"/>
      <c r="I99" s="228"/>
      <c r="J99" s="228"/>
      <c r="K99" s="228"/>
      <c r="L99" s="228"/>
      <c r="M99" s="228"/>
      <c r="N99" s="228"/>
      <c r="O99" s="236"/>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row>
    <row r="100">
      <c r="A100" s="228"/>
      <c r="B100" s="228"/>
      <c r="C100" s="228"/>
      <c r="D100" s="228"/>
      <c r="E100" s="228"/>
      <c r="F100" s="228"/>
      <c r="G100" s="228"/>
      <c r="H100" s="241"/>
      <c r="I100" s="228"/>
      <c r="J100" s="228"/>
      <c r="K100" s="228"/>
      <c r="L100" s="228"/>
      <c r="M100" s="228"/>
      <c r="N100" s="228"/>
      <c r="O100" s="236"/>
      <c r="P100" s="228"/>
      <c r="Q100" s="228"/>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row>
    <row r="101">
      <c r="A101" s="228"/>
      <c r="B101" s="228"/>
      <c r="C101" s="228"/>
      <c r="D101" s="228"/>
      <c r="E101" s="228"/>
      <c r="F101" s="228"/>
      <c r="G101" s="228"/>
      <c r="H101" s="241"/>
      <c r="I101" s="228"/>
      <c r="J101" s="228"/>
      <c r="K101" s="228"/>
      <c r="L101" s="228"/>
      <c r="M101" s="228"/>
      <c r="N101" s="228"/>
      <c r="O101" s="236"/>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row>
    <row r="102">
      <c r="A102" s="228"/>
      <c r="B102" s="228"/>
      <c r="C102" s="228"/>
      <c r="D102" s="228"/>
      <c r="E102" s="228"/>
      <c r="F102" s="228"/>
      <c r="G102" s="228"/>
      <c r="H102" s="241"/>
      <c r="I102" s="228"/>
      <c r="J102" s="228"/>
      <c r="K102" s="228"/>
      <c r="L102" s="228"/>
      <c r="M102" s="228"/>
      <c r="N102" s="228"/>
      <c r="O102" s="236"/>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row>
    <row r="103">
      <c r="A103" s="228"/>
      <c r="B103" s="228"/>
      <c r="C103" s="228"/>
      <c r="D103" s="228"/>
      <c r="E103" s="228"/>
      <c r="F103" s="228"/>
      <c r="G103" s="228"/>
      <c r="H103" s="241"/>
      <c r="I103" s="228"/>
      <c r="J103" s="228"/>
      <c r="K103" s="228"/>
      <c r="L103" s="228"/>
      <c r="M103" s="228"/>
      <c r="N103" s="228"/>
      <c r="O103" s="236"/>
      <c r="P103" s="228"/>
      <c r="Q103" s="228"/>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row>
    <row r="104">
      <c r="A104" s="228"/>
      <c r="B104" s="228"/>
      <c r="C104" s="228"/>
      <c r="D104" s="228"/>
      <c r="E104" s="228"/>
      <c r="F104" s="228"/>
      <c r="G104" s="228"/>
      <c r="H104" s="241"/>
      <c r="I104" s="228"/>
      <c r="J104" s="228"/>
      <c r="K104" s="228"/>
      <c r="L104" s="228"/>
      <c r="M104" s="228"/>
      <c r="N104" s="228"/>
      <c r="O104" s="236"/>
      <c r="P104" s="228"/>
      <c r="Q104" s="228"/>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row>
    <row r="105">
      <c r="A105" s="228"/>
      <c r="B105" s="228"/>
      <c r="C105" s="228"/>
      <c r="D105" s="228"/>
      <c r="E105" s="228"/>
      <c r="F105" s="228"/>
      <c r="G105" s="228"/>
      <c r="H105" s="241"/>
      <c r="I105" s="228"/>
      <c r="J105" s="228"/>
      <c r="K105" s="228"/>
      <c r="L105" s="228"/>
      <c r="M105" s="228"/>
      <c r="N105" s="228"/>
      <c r="O105" s="236"/>
      <c r="P105" s="228"/>
      <c r="Q105" s="228"/>
      <c r="R105" s="228"/>
      <c r="S105" s="228"/>
      <c r="T105" s="228"/>
      <c r="U105" s="228"/>
      <c r="V105" s="228"/>
      <c r="W105" s="228"/>
      <c r="X105" s="228"/>
      <c r="Y105" s="228"/>
      <c r="Z105" s="228"/>
      <c r="AA105" s="228"/>
      <c r="AB105" s="228"/>
      <c r="AC105" s="228"/>
      <c r="AD105" s="228"/>
      <c r="AE105" s="228"/>
      <c r="AF105" s="228"/>
      <c r="AG105" s="228"/>
      <c r="AH105" s="228"/>
      <c r="AI105" s="228"/>
      <c r="AJ105" s="228"/>
      <c r="AK105" s="228"/>
      <c r="AL105" s="228"/>
      <c r="AM105" s="228"/>
    </row>
    <row r="106">
      <c r="A106" s="228"/>
      <c r="B106" s="228"/>
      <c r="C106" s="228"/>
      <c r="D106" s="228"/>
      <c r="E106" s="228"/>
      <c r="F106" s="228"/>
      <c r="G106" s="228"/>
      <c r="H106" s="241"/>
      <c r="I106" s="228"/>
      <c r="J106" s="228"/>
      <c r="K106" s="228"/>
      <c r="L106" s="228"/>
      <c r="M106" s="228"/>
      <c r="N106" s="228"/>
      <c r="O106" s="236"/>
      <c r="P106" s="228"/>
      <c r="Q106" s="228"/>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row>
    <row r="107">
      <c r="A107" s="228"/>
      <c r="B107" s="228"/>
      <c r="C107" s="228"/>
      <c r="D107" s="228"/>
      <c r="E107" s="228"/>
      <c r="F107" s="228"/>
      <c r="G107" s="228"/>
      <c r="H107" s="241"/>
      <c r="I107" s="228"/>
      <c r="J107" s="228"/>
      <c r="K107" s="228"/>
      <c r="L107" s="228"/>
      <c r="M107" s="228"/>
      <c r="N107" s="228"/>
      <c r="O107" s="236"/>
      <c r="P107" s="228"/>
      <c r="Q107" s="228"/>
      <c r="R107" s="228"/>
      <c r="S107" s="228"/>
      <c r="T107" s="228"/>
      <c r="U107" s="228"/>
      <c r="V107" s="228"/>
      <c r="W107" s="228"/>
      <c r="X107" s="228"/>
      <c r="Y107" s="228"/>
      <c r="Z107" s="228"/>
      <c r="AA107" s="228"/>
      <c r="AB107" s="228"/>
      <c r="AC107" s="228"/>
      <c r="AD107" s="228"/>
      <c r="AE107" s="228"/>
      <c r="AF107" s="228"/>
      <c r="AG107" s="228"/>
      <c r="AH107" s="228"/>
      <c r="AI107" s="228"/>
      <c r="AJ107" s="228"/>
      <c r="AK107" s="228"/>
      <c r="AL107" s="228"/>
      <c r="AM107" s="228"/>
    </row>
    <row r="108">
      <c r="A108" s="228"/>
      <c r="B108" s="228"/>
      <c r="C108" s="228"/>
      <c r="D108" s="228"/>
      <c r="E108" s="228"/>
      <c r="F108" s="228"/>
      <c r="G108" s="228"/>
      <c r="H108" s="241"/>
      <c r="I108" s="228"/>
      <c r="J108" s="228"/>
      <c r="K108" s="228"/>
      <c r="L108" s="228"/>
      <c r="M108" s="228"/>
      <c r="N108" s="228"/>
      <c r="O108" s="236"/>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row>
    <row r="109">
      <c r="A109" s="228"/>
      <c r="B109" s="228"/>
      <c r="C109" s="228"/>
      <c r="D109" s="228"/>
      <c r="E109" s="228"/>
      <c r="F109" s="228"/>
      <c r="G109" s="228"/>
      <c r="H109" s="241"/>
      <c r="I109" s="228"/>
      <c r="J109" s="228"/>
      <c r="K109" s="228"/>
      <c r="L109" s="228"/>
      <c r="M109" s="228"/>
      <c r="N109" s="228"/>
      <c r="O109" s="236"/>
      <c r="P109" s="228"/>
      <c r="Q109" s="228"/>
      <c r="R109" s="228"/>
      <c r="S109" s="228"/>
      <c r="T109" s="228"/>
      <c r="U109" s="228"/>
      <c r="V109" s="228"/>
      <c r="W109" s="228"/>
      <c r="X109" s="228"/>
      <c r="Y109" s="228"/>
      <c r="Z109" s="228"/>
      <c r="AA109" s="228"/>
      <c r="AB109" s="228"/>
      <c r="AC109" s="228"/>
      <c r="AD109" s="228"/>
      <c r="AE109" s="228"/>
      <c r="AF109" s="228"/>
      <c r="AG109" s="228"/>
      <c r="AH109" s="228"/>
      <c r="AI109" s="228"/>
      <c r="AJ109" s="228"/>
      <c r="AK109" s="228"/>
      <c r="AL109" s="228"/>
      <c r="AM109" s="228"/>
    </row>
    <row r="110">
      <c r="A110" s="228"/>
      <c r="B110" s="228"/>
      <c r="C110" s="228"/>
      <c r="D110" s="228"/>
      <c r="E110" s="228"/>
      <c r="F110" s="228"/>
      <c r="G110" s="228"/>
      <c r="H110" s="241"/>
      <c r="I110" s="228"/>
      <c r="J110" s="228"/>
      <c r="K110" s="228"/>
      <c r="L110" s="228"/>
      <c r="M110" s="228"/>
      <c r="N110" s="228"/>
      <c r="O110" s="236"/>
      <c r="P110" s="228"/>
      <c r="Q110" s="228"/>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row>
    <row r="111">
      <c r="A111" s="228"/>
      <c r="B111" s="228"/>
      <c r="C111" s="228"/>
      <c r="D111" s="228"/>
      <c r="E111" s="228"/>
      <c r="F111" s="228"/>
      <c r="G111" s="228"/>
      <c r="H111" s="241"/>
      <c r="I111" s="228"/>
      <c r="J111" s="228"/>
      <c r="K111" s="228"/>
      <c r="L111" s="228"/>
      <c r="M111" s="228"/>
      <c r="N111" s="228"/>
      <c r="O111" s="236"/>
      <c r="P111" s="228"/>
      <c r="Q111" s="228"/>
      <c r="R111" s="228"/>
      <c r="S111" s="228"/>
      <c r="T111" s="228"/>
      <c r="U111" s="228"/>
      <c r="V111" s="228"/>
      <c r="W111" s="228"/>
      <c r="X111" s="228"/>
      <c r="Y111" s="228"/>
      <c r="Z111" s="228"/>
      <c r="AA111" s="228"/>
      <c r="AB111" s="228"/>
      <c r="AC111" s="228"/>
      <c r="AD111" s="228"/>
      <c r="AE111" s="228"/>
      <c r="AF111" s="228"/>
      <c r="AG111" s="228"/>
      <c r="AH111" s="228"/>
      <c r="AI111" s="228"/>
      <c r="AJ111" s="228"/>
      <c r="AK111" s="228"/>
      <c r="AL111" s="228"/>
      <c r="AM111" s="228"/>
    </row>
    <row r="112">
      <c r="A112" s="228"/>
      <c r="B112" s="228"/>
      <c r="C112" s="228"/>
      <c r="D112" s="228"/>
      <c r="E112" s="228"/>
      <c r="F112" s="228"/>
      <c r="G112" s="228"/>
      <c r="H112" s="241"/>
      <c r="I112" s="228"/>
      <c r="J112" s="228"/>
      <c r="K112" s="228"/>
      <c r="L112" s="228"/>
      <c r="M112" s="228"/>
      <c r="N112" s="228"/>
      <c r="O112" s="236"/>
      <c r="P112" s="228"/>
      <c r="Q112" s="228"/>
      <c r="R112" s="228"/>
      <c r="S112" s="228"/>
      <c r="T112" s="228"/>
      <c r="U112" s="228"/>
      <c r="V112" s="228"/>
      <c r="W112" s="228"/>
      <c r="X112" s="228"/>
      <c r="Y112" s="228"/>
      <c r="Z112" s="228"/>
      <c r="AA112" s="228"/>
      <c r="AB112" s="228"/>
      <c r="AC112" s="228"/>
      <c r="AD112" s="228"/>
      <c r="AE112" s="228"/>
      <c r="AF112" s="228"/>
      <c r="AG112" s="228"/>
      <c r="AH112" s="228"/>
      <c r="AI112" s="228"/>
      <c r="AJ112" s="228"/>
      <c r="AK112" s="228"/>
      <c r="AL112" s="228"/>
      <c r="AM112" s="228"/>
    </row>
    <row r="113">
      <c r="A113" s="228"/>
      <c r="B113" s="228"/>
      <c r="C113" s="228"/>
      <c r="D113" s="228"/>
      <c r="E113" s="228"/>
      <c r="F113" s="228"/>
      <c r="G113" s="228"/>
      <c r="H113" s="241"/>
      <c r="I113" s="228"/>
      <c r="J113" s="228"/>
      <c r="K113" s="228"/>
      <c r="L113" s="228"/>
      <c r="M113" s="228"/>
      <c r="N113" s="228"/>
      <c r="O113" s="236"/>
      <c r="P113" s="228"/>
      <c r="Q113" s="228"/>
      <c r="R113" s="228"/>
      <c r="S113" s="228"/>
      <c r="T113" s="228"/>
      <c r="U113" s="228"/>
      <c r="V113" s="228"/>
      <c r="W113" s="228"/>
      <c r="X113" s="228"/>
      <c r="Y113" s="228"/>
      <c r="Z113" s="228"/>
      <c r="AA113" s="228"/>
      <c r="AB113" s="228"/>
      <c r="AC113" s="228"/>
      <c r="AD113" s="228"/>
      <c r="AE113" s="228"/>
      <c r="AF113" s="228"/>
      <c r="AG113" s="228"/>
      <c r="AH113" s="228"/>
      <c r="AI113" s="228"/>
      <c r="AJ113" s="228"/>
      <c r="AK113" s="228"/>
      <c r="AL113" s="228"/>
      <c r="AM113" s="228"/>
    </row>
    <row r="114">
      <c r="A114" s="228"/>
      <c r="B114" s="228"/>
      <c r="C114" s="228"/>
      <c r="D114" s="228"/>
      <c r="E114" s="228"/>
      <c r="F114" s="228"/>
      <c r="G114" s="228"/>
      <c r="H114" s="241"/>
      <c r="I114" s="228"/>
      <c r="J114" s="228"/>
      <c r="K114" s="228"/>
      <c r="L114" s="228"/>
      <c r="M114" s="228"/>
      <c r="N114" s="228"/>
      <c r="O114" s="236"/>
      <c r="P114" s="228"/>
      <c r="Q114" s="228"/>
      <c r="R114" s="228"/>
      <c r="S114" s="228"/>
      <c r="T114" s="228"/>
      <c r="U114" s="228"/>
      <c r="V114" s="228"/>
      <c r="W114" s="228"/>
      <c r="X114" s="228"/>
      <c r="Y114" s="228"/>
      <c r="Z114" s="228"/>
      <c r="AA114" s="228"/>
      <c r="AB114" s="228"/>
      <c r="AC114" s="228"/>
      <c r="AD114" s="228"/>
      <c r="AE114" s="228"/>
      <c r="AF114" s="228"/>
      <c r="AG114" s="228"/>
      <c r="AH114" s="228"/>
      <c r="AI114" s="228"/>
      <c r="AJ114" s="228"/>
      <c r="AK114" s="228"/>
      <c r="AL114" s="228"/>
      <c r="AM114" s="228"/>
    </row>
    <row r="115">
      <c r="A115" s="228"/>
      <c r="B115" s="228"/>
      <c r="C115" s="228"/>
      <c r="D115" s="228"/>
      <c r="E115" s="228"/>
      <c r="F115" s="228"/>
      <c r="G115" s="228"/>
      <c r="H115" s="241"/>
      <c r="I115" s="228"/>
      <c r="J115" s="228"/>
      <c r="K115" s="228"/>
      <c r="L115" s="228"/>
      <c r="M115" s="228"/>
      <c r="N115" s="228"/>
      <c r="O115" s="236"/>
      <c r="P115" s="228"/>
      <c r="Q115" s="228"/>
      <c r="R115" s="228"/>
      <c r="S115" s="228"/>
      <c r="T115" s="228"/>
      <c r="U115" s="228"/>
      <c r="V115" s="228"/>
      <c r="W115" s="228"/>
      <c r="X115" s="228"/>
      <c r="Y115" s="228"/>
      <c r="Z115" s="228"/>
      <c r="AA115" s="228"/>
      <c r="AB115" s="228"/>
      <c r="AC115" s="228"/>
      <c r="AD115" s="228"/>
      <c r="AE115" s="228"/>
      <c r="AF115" s="228"/>
      <c r="AG115" s="228"/>
      <c r="AH115" s="228"/>
      <c r="AI115" s="228"/>
      <c r="AJ115" s="228"/>
      <c r="AK115" s="228"/>
      <c r="AL115" s="228"/>
      <c r="AM115" s="228"/>
    </row>
    <row r="116">
      <c r="A116" s="228"/>
      <c r="B116" s="228"/>
      <c r="C116" s="228"/>
      <c r="D116" s="228"/>
      <c r="E116" s="228"/>
      <c r="F116" s="228"/>
      <c r="G116" s="228"/>
      <c r="H116" s="241"/>
      <c r="I116" s="228"/>
      <c r="J116" s="228"/>
      <c r="K116" s="228"/>
      <c r="L116" s="228"/>
      <c r="M116" s="228"/>
      <c r="N116" s="228"/>
      <c r="O116" s="236"/>
      <c r="P116" s="228"/>
      <c r="Q116" s="228"/>
      <c r="R116" s="228"/>
      <c r="S116" s="228"/>
      <c r="T116" s="228"/>
      <c r="U116" s="228"/>
      <c r="V116" s="228"/>
      <c r="W116" s="228"/>
      <c r="X116" s="228"/>
      <c r="Y116" s="228"/>
      <c r="Z116" s="228"/>
      <c r="AA116" s="228"/>
      <c r="AB116" s="228"/>
      <c r="AC116" s="228"/>
      <c r="AD116" s="228"/>
      <c r="AE116" s="228"/>
      <c r="AF116" s="228"/>
      <c r="AG116" s="228"/>
      <c r="AH116" s="228"/>
      <c r="AI116" s="228"/>
      <c r="AJ116" s="228"/>
      <c r="AK116" s="228"/>
      <c r="AL116" s="228"/>
      <c r="AM116" s="228"/>
    </row>
    <row r="117">
      <c r="A117" s="228"/>
      <c r="B117" s="228"/>
      <c r="C117" s="228"/>
      <c r="D117" s="228"/>
      <c r="E117" s="228"/>
      <c r="F117" s="228"/>
      <c r="G117" s="228"/>
      <c r="H117" s="241"/>
      <c r="I117" s="228"/>
      <c r="J117" s="228"/>
      <c r="K117" s="228"/>
      <c r="L117" s="228"/>
      <c r="M117" s="228"/>
      <c r="N117" s="228"/>
      <c r="O117" s="236"/>
      <c r="P117" s="228"/>
      <c r="Q117" s="228"/>
      <c r="R117" s="228"/>
      <c r="S117" s="228"/>
      <c r="T117" s="228"/>
      <c r="U117" s="228"/>
      <c r="V117" s="228"/>
      <c r="W117" s="228"/>
      <c r="X117" s="228"/>
      <c r="Y117" s="228"/>
      <c r="Z117" s="228"/>
      <c r="AA117" s="228"/>
      <c r="AB117" s="228"/>
      <c r="AC117" s="228"/>
      <c r="AD117" s="228"/>
      <c r="AE117" s="228"/>
      <c r="AF117" s="228"/>
      <c r="AG117" s="228"/>
      <c r="AH117" s="228"/>
      <c r="AI117" s="228"/>
      <c r="AJ117" s="228"/>
      <c r="AK117" s="228"/>
      <c r="AL117" s="228"/>
      <c r="AM117" s="228"/>
    </row>
    <row r="118">
      <c r="A118" s="228"/>
      <c r="B118" s="228"/>
      <c r="C118" s="228"/>
      <c r="D118" s="228"/>
      <c r="E118" s="228"/>
      <c r="F118" s="228"/>
      <c r="G118" s="228"/>
      <c r="H118" s="241"/>
      <c r="I118" s="228"/>
      <c r="J118" s="228"/>
      <c r="K118" s="228"/>
      <c r="L118" s="228"/>
      <c r="M118" s="228"/>
      <c r="N118" s="228"/>
      <c r="O118" s="236"/>
      <c r="P118" s="228"/>
      <c r="Q118" s="228"/>
      <c r="R118" s="228"/>
      <c r="S118" s="228"/>
      <c r="T118" s="228"/>
      <c r="U118" s="228"/>
      <c r="V118" s="228"/>
      <c r="W118" s="228"/>
      <c r="X118" s="228"/>
      <c r="Y118" s="228"/>
      <c r="Z118" s="228"/>
      <c r="AA118" s="228"/>
      <c r="AB118" s="228"/>
      <c r="AC118" s="228"/>
      <c r="AD118" s="228"/>
      <c r="AE118" s="228"/>
      <c r="AF118" s="228"/>
      <c r="AG118" s="228"/>
      <c r="AH118" s="228"/>
      <c r="AI118" s="228"/>
      <c r="AJ118" s="228"/>
      <c r="AK118" s="228"/>
      <c r="AL118" s="228"/>
      <c r="AM118" s="228"/>
    </row>
    <row r="119">
      <c r="A119" s="228"/>
      <c r="B119" s="228"/>
      <c r="C119" s="228"/>
      <c r="D119" s="228"/>
      <c r="E119" s="228"/>
      <c r="F119" s="228"/>
      <c r="G119" s="228"/>
      <c r="H119" s="241"/>
      <c r="I119" s="228"/>
      <c r="J119" s="228"/>
      <c r="K119" s="228"/>
      <c r="L119" s="228"/>
      <c r="M119" s="228"/>
      <c r="N119" s="228"/>
      <c r="O119" s="236"/>
      <c r="P119" s="228"/>
      <c r="Q119" s="228"/>
      <c r="R119" s="228"/>
      <c r="S119" s="228"/>
      <c r="T119" s="228"/>
      <c r="U119" s="228"/>
      <c r="V119" s="228"/>
      <c r="W119" s="228"/>
      <c r="X119" s="228"/>
      <c r="Y119" s="228"/>
      <c r="Z119" s="228"/>
      <c r="AA119" s="228"/>
      <c r="AB119" s="228"/>
      <c r="AC119" s="228"/>
      <c r="AD119" s="228"/>
      <c r="AE119" s="228"/>
      <c r="AF119" s="228"/>
      <c r="AG119" s="228"/>
      <c r="AH119" s="228"/>
      <c r="AI119" s="228"/>
      <c r="AJ119" s="228"/>
      <c r="AK119" s="228"/>
      <c r="AL119" s="228"/>
      <c r="AM119" s="228"/>
    </row>
    <row r="120">
      <c r="A120" s="228"/>
      <c r="B120" s="228"/>
      <c r="C120" s="228"/>
      <c r="D120" s="228"/>
      <c r="E120" s="228"/>
      <c r="F120" s="228"/>
      <c r="G120" s="228"/>
      <c r="H120" s="241"/>
      <c r="I120" s="228"/>
      <c r="J120" s="228"/>
      <c r="K120" s="228"/>
      <c r="L120" s="228"/>
      <c r="M120" s="228"/>
      <c r="N120" s="228"/>
      <c r="O120" s="236"/>
      <c r="P120" s="228"/>
      <c r="Q120" s="228"/>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row>
    <row r="121">
      <c r="A121" s="228"/>
      <c r="B121" s="228"/>
      <c r="C121" s="228"/>
      <c r="D121" s="228"/>
      <c r="E121" s="228"/>
      <c r="F121" s="228"/>
      <c r="G121" s="228"/>
      <c r="H121" s="241"/>
      <c r="I121" s="228"/>
      <c r="J121" s="228"/>
      <c r="K121" s="228"/>
      <c r="L121" s="228"/>
      <c r="M121" s="228"/>
      <c r="N121" s="228"/>
      <c r="O121" s="236"/>
      <c r="P121" s="228"/>
      <c r="Q121" s="228"/>
      <c r="R121" s="228"/>
      <c r="S121" s="228"/>
      <c r="T121" s="228"/>
      <c r="U121" s="228"/>
      <c r="V121" s="228"/>
      <c r="W121" s="228"/>
      <c r="X121" s="228"/>
      <c r="Y121" s="228"/>
      <c r="Z121" s="228"/>
      <c r="AA121" s="228"/>
      <c r="AB121" s="228"/>
      <c r="AC121" s="228"/>
      <c r="AD121" s="228"/>
      <c r="AE121" s="228"/>
      <c r="AF121" s="228"/>
      <c r="AG121" s="228"/>
      <c r="AH121" s="228"/>
      <c r="AI121" s="228"/>
      <c r="AJ121" s="228"/>
      <c r="AK121" s="228"/>
      <c r="AL121" s="228"/>
      <c r="AM121" s="228"/>
    </row>
    <row r="122">
      <c r="A122" s="228"/>
      <c r="B122" s="228"/>
      <c r="C122" s="228"/>
      <c r="D122" s="228"/>
      <c r="E122" s="228"/>
      <c r="F122" s="228"/>
      <c r="G122" s="228"/>
      <c r="H122" s="241"/>
      <c r="I122" s="228"/>
      <c r="J122" s="228"/>
      <c r="K122" s="228"/>
      <c r="L122" s="228"/>
      <c r="M122" s="228"/>
      <c r="N122" s="228"/>
      <c r="O122" s="236"/>
      <c r="P122" s="228"/>
      <c r="Q122" s="228"/>
      <c r="R122" s="228"/>
      <c r="S122" s="228"/>
      <c r="T122" s="228"/>
      <c r="U122" s="228"/>
      <c r="V122" s="228"/>
      <c r="W122" s="228"/>
      <c r="X122" s="228"/>
      <c r="Y122" s="228"/>
      <c r="Z122" s="228"/>
      <c r="AA122" s="228"/>
      <c r="AB122" s="228"/>
      <c r="AC122" s="228"/>
      <c r="AD122" s="228"/>
      <c r="AE122" s="228"/>
      <c r="AF122" s="228"/>
      <c r="AG122" s="228"/>
      <c r="AH122" s="228"/>
      <c r="AI122" s="228"/>
      <c r="AJ122" s="228"/>
      <c r="AK122" s="228"/>
      <c r="AL122" s="228"/>
      <c r="AM122" s="228"/>
    </row>
    <row r="123">
      <c r="A123" s="228"/>
      <c r="B123" s="228"/>
      <c r="C123" s="228"/>
      <c r="D123" s="228"/>
      <c r="E123" s="228"/>
      <c r="F123" s="228"/>
      <c r="G123" s="228"/>
      <c r="H123" s="241"/>
      <c r="I123" s="228"/>
      <c r="J123" s="228"/>
      <c r="K123" s="228"/>
      <c r="L123" s="228"/>
      <c r="M123" s="228"/>
      <c r="N123" s="228"/>
      <c r="O123" s="236"/>
      <c r="P123" s="228"/>
      <c r="Q123" s="228"/>
      <c r="R123" s="228"/>
      <c r="S123" s="228"/>
      <c r="T123" s="228"/>
      <c r="U123" s="228"/>
      <c r="V123" s="228"/>
      <c r="W123" s="228"/>
      <c r="X123" s="228"/>
      <c r="Y123" s="228"/>
      <c r="Z123" s="228"/>
      <c r="AA123" s="228"/>
      <c r="AB123" s="228"/>
      <c r="AC123" s="228"/>
      <c r="AD123" s="228"/>
      <c r="AE123" s="228"/>
      <c r="AF123" s="228"/>
      <c r="AG123" s="228"/>
      <c r="AH123" s="228"/>
      <c r="AI123" s="228"/>
      <c r="AJ123" s="228"/>
      <c r="AK123" s="228"/>
      <c r="AL123" s="228"/>
      <c r="AM123" s="228"/>
    </row>
    <row r="124">
      <c r="A124" s="228"/>
      <c r="B124" s="228"/>
      <c r="C124" s="228"/>
      <c r="D124" s="228"/>
      <c r="E124" s="228"/>
      <c r="F124" s="228"/>
      <c r="G124" s="228"/>
      <c r="H124" s="241"/>
      <c r="I124" s="228"/>
      <c r="J124" s="228"/>
      <c r="K124" s="228"/>
      <c r="L124" s="228"/>
      <c r="M124" s="228"/>
      <c r="N124" s="228"/>
      <c r="O124" s="236"/>
      <c r="P124" s="228"/>
      <c r="Q124" s="228"/>
      <c r="R124" s="228"/>
      <c r="S124" s="228"/>
      <c r="T124" s="228"/>
      <c r="U124" s="228"/>
      <c r="V124" s="228"/>
      <c r="W124" s="228"/>
      <c r="X124" s="228"/>
      <c r="Y124" s="228"/>
      <c r="Z124" s="228"/>
      <c r="AA124" s="228"/>
      <c r="AB124" s="228"/>
      <c r="AC124" s="228"/>
      <c r="AD124" s="228"/>
      <c r="AE124" s="228"/>
      <c r="AF124" s="228"/>
      <c r="AG124" s="228"/>
      <c r="AH124" s="228"/>
      <c r="AI124" s="228"/>
      <c r="AJ124" s="228"/>
      <c r="AK124" s="228"/>
      <c r="AL124" s="228"/>
      <c r="AM124" s="228"/>
    </row>
    <row r="125">
      <c r="A125" s="228"/>
      <c r="B125" s="228"/>
      <c r="C125" s="228"/>
      <c r="D125" s="228"/>
      <c r="E125" s="228"/>
      <c r="F125" s="228"/>
      <c r="G125" s="228"/>
      <c r="H125" s="241"/>
      <c r="I125" s="228"/>
      <c r="J125" s="228"/>
      <c r="K125" s="228"/>
      <c r="L125" s="228"/>
      <c r="M125" s="228"/>
      <c r="N125" s="228"/>
      <c r="O125" s="236"/>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row>
    <row r="126">
      <c r="A126" s="228"/>
      <c r="B126" s="228"/>
      <c r="C126" s="228"/>
      <c r="D126" s="228"/>
      <c r="E126" s="228"/>
      <c r="F126" s="228"/>
      <c r="G126" s="228"/>
      <c r="H126" s="241"/>
      <c r="I126" s="228"/>
      <c r="J126" s="228"/>
      <c r="K126" s="228"/>
      <c r="L126" s="228"/>
      <c r="M126" s="228"/>
      <c r="N126" s="228"/>
      <c r="O126" s="236"/>
      <c r="P126" s="228"/>
      <c r="Q126" s="228"/>
      <c r="R126" s="228"/>
      <c r="S126" s="228"/>
      <c r="T126" s="228"/>
      <c r="U126" s="228"/>
      <c r="V126" s="228"/>
      <c r="W126" s="228"/>
      <c r="X126" s="228"/>
      <c r="Y126" s="228"/>
      <c r="Z126" s="228"/>
      <c r="AA126" s="228"/>
      <c r="AB126" s="228"/>
      <c r="AC126" s="228"/>
      <c r="AD126" s="228"/>
      <c r="AE126" s="228"/>
      <c r="AF126" s="228"/>
      <c r="AG126" s="228"/>
      <c r="AH126" s="228"/>
      <c r="AI126" s="228"/>
      <c r="AJ126" s="228"/>
      <c r="AK126" s="228"/>
      <c r="AL126" s="228"/>
      <c r="AM126" s="228"/>
    </row>
    <row r="127">
      <c r="A127" s="228"/>
      <c r="B127" s="228"/>
      <c r="C127" s="228"/>
      <c r="D127" s="228"/>
      <c r="E127" s="228"/>
      <c r="F127" s="228"/>
      <c r="G127" s="228"/>
      <c r="H127" s="241"/>
      <c r="I127" s="228"/>
      <c r="J127" s="228"/>
      <c r="K127" s="228"/>
      <c r="L127" s="228"/>
      <c r="M127" s="228"/>
      <c r="N127" s="228"/>
      <c r="O127" s="236"/>
      <c r="P127" s="228"/>
      <c r="Q127" s="228"/>
      <c r="R127" s="228"/>
      <c r="S127" s="228"/>
      <c r="T127" s="228"/>
      <c r="U127" s="228"/>
      <c r="V127" s="228"/>
      <c r="W127" s="228"/>
      <c r="X127" s="228"/>
      <c r="Y127" s="228"/>
      <c r="Z127" s="228"/>
      <c r="AA127" s="228"/>
      <c r="AB127" s="228"/>
      <c r="AC127" s="228"/>
      <c r="AD127" s="228"/>
      <c r="AE127" s="228"/>
      <c r="AF127" s="228"/>
      <c r="AG127" s="228"/>
      <c r="AH127" s="228"/>
      <c r="AI127" s="228"/>
      <c r="AJ127" s="228"/>
      <c r="AK127" s="228"/>
      <c r="AL127" s="228"/>
      <c r="AM127" s="228"/>
    </row>
    <row r="128">
      <c r="A128" s="228"/>
      <c r="B128" s="228"/>
      <c r="C128" s="228"/>
      <c r="D128" s="228"/>
      <c r="E128" s="228"/>
      <c r="F128" s="228"/>
      <c r="G128" s="228"/>
      <c r="H128" s="241"/>
      <c r="I128" s="228"/>
      <c r="J128" s="228"/>
      <c r="K128" s="228"/>
      <c r="L128" s="228"/>
      <c r="M128" s="228"/>
      <c r="N128" s="228"/>
      <c r="O128" s="236"/>
      <c r="P128" s="228"/>
      <c r="Q128" s="228"/>
      <c r="R128" s="228"/>
      <c r="S128" s="228"/>
      <c r="T128" s="228"/>
      <c r="U128" s="228"/>
      <c r="V128" s="228"/>
      <c r="W128" s="228"/>
      <c r="X128" s="228"/>
      <c r="Y128" s="228"/>
      <c r="Z128" s="228"/>
      <c r="AA128" s="228"/>
      <c r="AB128" s="228"/>
      <c r="AC128" s="228"/>
      <c r="AD128" s="228"/>
      <c r="AE128" s="228"/>
      <c r="AF128" s="228"/>
      <c r="AG128" s="228"/>
      <c r="AH128" s="228"/>
      <c r="AI128" s="228"/>
      <c r="AJ128" s="228"/>
      <c r="AK128" s="228"/>
      <c r="AL128" s="228"/>
      <c r="AM128" s="228"/>
    </row>
    <row r="129">
      <c r="A129" s="228"/>
      <c r="B129" s="228"/>
      <c r="C129" s="228"/>
      <c r="D129" s="228"/>
      <c r="E129" s="228"/>
      <c r="F129" s="228"/>
      <c r="G129" s="228"/>
      <c r="H129" s="241"/>
      <c r="I129" s="228"/>
      <c r="J129" s="228"/>
      <c r="K129" s="228"/>
      <c r="L129" s="228"/>
      <c r="M129" s="228"/>
      <c r="N129" s="228"/>
      <c r="O129" s="236"/>
      <c r="P129" s="228"/>
      <c r="Q129" s="228"/>
      <c r="R129" s="228"/>
      <c r="S129" s="228"/>
      <c r="T129" s="228"/>
      <c r="U129" s="228"/>
      <c r="V129" s="228"/>
      <c r="W129" s="228"/>
      <c r="X129" s="228"/>
      <c r="Y129" s="228"/>
      <c r="Z129" s="228"/>
      <c r="AA129" s="228"/>
      <c r="AB129" s="228"/>
      <c r="AC129" s="228"/>
      <c r="AD129" s="228"/>
      <c r="AE129" s="228"/>
      <c r="AF129" s="228"/>
      <c r="AG129" s="228"/>
      <c r="AH129" s="228"/>
      <c r="AI129" s="228"/>
      <c r="AJ129" s="228"/>
      <c r="AK129" s="228"/>
      <c r="AL129" s="228"/>
      <c r="AM129" s="228"/>
    </row>
    <row r="130">
      <c r="A130" s="228"/>
      <c r="B130" s="228"/>
      <c r="C130" s="228"/>
      <c r="D130" s="228"/>
      <c r="E130" s="228"/>
      <c r="F130" s="228"/>
      <c r="G130" s="228"/>
      <c r="H130" s="241"/>
      <c r="I130" s="228"/>
      <c r="J130" s="228"/>
      <c r="K130" s="228"/>
      <c r="L130" s="228"/>
      <c r="M130" s="228"/>
      <c r="N130" s="228"/>
      <c r="O130" s="236"/>
      <c r="P130" s="228"/>
      <c r="Q130" s="228"/>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row>
    <row r="131">
      <c r="A131" s="228"/>
      <c r="B131" s="228"/>
      <c r="C131" s="228"/>
      <c r="D131" s="228"/>
      <c r="E131" s="228"/>
      <c r="F131" s="228"/>
      <c r="G131" s="228"/>
      <c r="H131" s="241"/>
      <c r="I131" s="228"/>
      <c r="J131" s="228"/>
      <c r="K131" s="228"/>
      <c r="L131" s="228"/>
      <c r="M131" s="228"/>
      <c r="N131" s="228"/>
      <c r="O131" s="236"/>
      <c r="P131" s="228"/>
      <c r="Q131" s="228"/>
      <c r="R131" s="228"/>
      <c r="S131" s="228"/>
      <c r="T131" s="228"/>
      <c r="U131" s="228"/>
      <c r="V131" s="228"/>
      <c r="W131" s="228"/>
      <c r="X131" s="228"/>
      <c r="Y131" s="228"/>
      <c r="Z131" s="228"/>
      <c r="AA131" s="228"/>
      <c r="AB131" s="228"/>
      <c r="AC131" s="228"/>
      <c r="AD131" s="228"/>
      <c r="AE131" s="228"/>
      <c r="AF131" s="228"/>
      <c r="AG131" s="228"/>
      <c r="AH131" s="228"/>
      <c r="AI131" s="228"/>
      <c r="AJ131" s="228"/>
      <c r="AK131" s="228"/>
      <c r="AL131" s="228"/>
      <c r="AM131" s="228"/>
    </row>
    <row r="132">
      <c r="A132" s="228"/>
      <c r="B132" s="228"/>
      <c r="C132" s="228"/>
      <c r="D132" s="228"/>
      <c r="E132" s="228"/>
      <c r="F132" s="228"/>
      <c r="G132" s="228"/>
      <c r="H132" s="241"/>
      <c r="I132" s="228"/>
      <c r="J132" s="228"/>
      <c r="K132" s="228"/>
      <c r="L132" s="228"/>
      <c r="M132" s="228"/>
      <c r="N132" s="228"/>
      <c r="O132" s="236"/>
      <c r="P132" s="228"/>
      <c r="Q132" s="228"/>
      <c r="R132" s="228"/>
      <c r="S132" s="228"/>
      <c r="T132" s="228"/>
      <c r="U132" s="228"/>
      <c r="V132" s="228"/>
      <c r="W132" s="228"/>
      <c r="X132" s="228"/>
      <c r="Y132" s="228"/>
      <c r="Z132" s="228"/>
      <c r="AA132" s="228"/>
      <c r="AB132" s="228"/>
      <c r="AC132" s="228"/>
      <c r="AD132" s="228"/>
      <c r="AE132" s="228"/>
      <c r="AF132" s="228"/>
      <c r="AG132" s="228"/>
      <c r="AH132" s="228"/>
      <c r="AI132" s="228"/>
      <c r="AJ132" s="228"/>
      <c r="AK132" s="228"/>
      <c r="AL132" s="228"/>
      <c r="AM132" s="228"/>
    </row>
    <row r="133">
      <c r="A133" s="228"/>
      <c r="B133" s="228"/>
      <c r="C133" s="228"/>
      <c r="D133" s="228"/>
      <c r="E133" s="228"/>
      <c r="F133" s="228"/>
      <c r="G133" s="228"/>
      <c r="H133" s="241"/>
      <c r="I133" s="228"/>
      <c r="J133" s="228"/>
      <c r="K133" s="228"/>
      <c r="L133" s="228"/>
      <c r="M133" s="228"/>
      <c r="N133" s="228"/>
      <c r="O133" s="236"/>
      <c r="P133" s="228"/>
      <c r="Q133" s="228"/>
      <c r="R133" s="228"/>
      <c r="S133" s="228"/>
      <c r="T133" s="228"/>
      <c r="U133" s="228"/>
      <c r="V133" s="228"/>
      <c r="W133" s="228"/>
      <c r="X133" s="228"/>
      <c r="Y133" s="228"/>
      <c r="Z133" s="228"/>
      <c r="AA133" s="228"/>
      <c r="AB133" s="228"/>
      <c r="AC133" s="228"/>
      <c r="AD133" s="228"/>
      <c r="AE133" s="228"/>
      <c r="AF133" s="228"/>
      <c r="AG133" s="228"/>
      <c r="AH133" s="228"/>
      <c r="AI133" s="228"/>
      <c r="AJ133" s="228"/>
      <c r="AK133" s="228"/>
      <c r="AL133" s="228"/>
      <c r="AM133" s="228"/>
    </row>
    <row r="134">
      <c r="A134" s="228"/>
      <c r="B134" s="228"/>
      <c r="C134" s="228"/>
      <c r="D134" s="228"/>
      <c r="E134" s="228"/>
      <c r="F134" s="228"/>
      <c r="G134" s="228"/>
      <c r="H134" s="241"/>
      <c r="I134" s="228"/>
      <c r="J134" s="228"/>
      <c r="K134" s="228"/>
      <c r="L134" s="228"/>
      <c r="M134" s="228"/>
      <c r="N134" s="228"/>
      <c r="O134" s="236"/>
      <c r="P134" s="228"/>
      <c r="Q134" s="228"/>
      <c r="R134" s="228"/>
      <c r="S134" s="228"/>
      <c r="T134" s="228"/>
      <c r="U134" s="228"/>
      <c r="V134" s="228"/>
      <c r="W134" s="228"/>
      <c r="X134" s="228"/>
      <c r="Y134" s="228"/>
      <c r="Z134" s="228"/>
      <c r="AA134" s="228"/>
      <c r="AB134" s="228"/>
      <c r="AC134" s="228"/>
      <c r="AD134" s="228"/>
      <c r="AE134" s="228"/>
      <c r="AF134" s="228"/>
      <c r="AG134" s="228"/>
      <c r="AH134" s="228"/>
      <c r="AI134" s="228"/>
      <c r="AJ134" s="228"/>
      <c r="AK134" s="228"/>
      <c r="AL134" s="228"/>
      <c r="AM134" s="228"/>
    </row>
    <row r="135">
      <c r="A135" s="228"/>
      <c r="B135" s="228"/>
      <c r="C135" s="228"/>
      <c r="D135" s="228"/>
      <c r="E135" s="228"/>
      <c r="F135" s="228"/>
      <c r="G135" s="228"/>
      <c r="H135" s="241"/>
      <c r="I135" s="228"/>
      <c r="J135" s="228"/>
      <c r="K135" s="228"/>
      <c r="L135" s="228"/>
      <c r="M135" s="228"/>
      <c r="N135" s="228"/>
      <c r="O135" s="236"/>
      <c r="P135" s="228"/>
      <c r="Q135" s="228"/>
      <c r="R135" s="228"/>
      <c r="S135" s="228"/>
      <c r="T135" s="228"/>
      <c r="U135" s="228"/>
      <c r="V135" s="228"/>
      <c r="W135" s="228"/>
      <c r="X135" s="228"/>
      <c r="Y135" s="228"/>
      <c r="Z135" s="228"/>
      <c r="AA135" s="228"/>
      <c r="AB135" s="228"/>
      <c r="AC135" s="228"/>
      <c r="AD135" s="228"/>
      <c r="AE135" s="228"/>
      <c r="AF135" s="228"/>
      <c r="AG135" s="228"/>
      <c r="AH135" s="228"/>
      <c r="AI135" s="228"/>
      <c r="AJ135" s="228"/>
      <c r="AK135" s="228"/>
      <c r="AL135" s="228"/>
      <c r="AM135" s="228"/>
    </row>
    <row r="136">
      <c r="A136" s="228"/>
      <c r="B136" s="228"/>
      <c r="C136" s="228"/>
      <c r="D136" s="228"/>
      <c r="E136" s="228"/>
      <c r="F136" s="228"/>
      <c r="G136" s="228"/>
      <c r="H136" s="241"/>
      <c r="I136" s="228"/>
      <c r="J136" s="228"/>
      <c r="K136" s="228"/>
      <c r="L136" s="228"/>
      <c r="M136" s="228"/>
      <c r="N136" s="228"/>
      <c r="O136" s="236"/>
      <c r="P136" s="228"/>
      <c r="Q136" s="228"/>
      <c r="R136" s="228"/>
      <c r="S136" s="228"/>
      <c r="T136" s="228"/>
      <c r="U136" s="228"/>
      <c r="V136" s="228"/>
      <c r="W136" s="228"/>
      <c r="X136" s="228"/>
      <c r="Y136" s="228"/>
      <c r="Z136" s="228"/>
      <c r="AA136" s="228"/>
      <c r="AB136" s="228"/>
      <c r="AC136" s="228"/>
      <c r="AD136" s="228"/>
      <c r="AE136" s="228"/>
      <c r="AF136" s="228"/>
      <c r="AG136" s="228"/>
      <c r="AH136" s="228"/>
      <c r="AI136" s="228"/>
      <c r="AJ136" s="228"/>
      <c r="AK136" s="228"/>
      <c r="AL136" s="228"/>
      <c r="AM136" s="228"/>
    </row>
    <row r="137">
      <c r="A137" s="228"/>
      <c r="B137" s="228"/>
      <c r="C137" s="228"/>
      <c r="D137" s="228"/>
      <c r="E137" s="228"/>
      <c r="F137" s="228"/>
      <c r="G137" s="228"/>
      <c r="H137" s="241"/>
      <c r="I137" s="228"/>
      <c r="J137" s="228"/>
      <c r="K137" s="228"/>
      <c r="L137" s="228"/>
      <c r="M137" s="228"/>
      <c r="N137" s="228"/>
      <c r="O137" s="236"/>
      <c r="P137" s="228"/>
      <c r="Q137" s="228"/>
      <c r="R137" s="228"/>
      <c r="S137" s="228"/>
      <c r="T137" s="228"/>
      <c r="U137" s="228"/>
      <c r="V137" s="228"/>
      <c r="W137" s="228"/>
      <c r="X137" s="228"/>
      <c r="Y137" s="228"/>
      <c r="Z137" s="228"/>
      <c r="AA137" s="228"/>
      <c r="AB137" s="228"/>
      <c r="AC137" s="228"/>
      <c r="AD137" s="228"/>
      <c r="AE137" s="228"/>
      <c r="AF137" s="228"/>
      <c r="AG137" s="228"/>
      <c r="AH137" s="228"/>
      <c r="AI137" s="228"/>
      <c r="AJ137" s="228"/>
      <c r="AK137" s="228"/>
      <c r="AL137" s="228"/>
      <c r="AM137" s="228"/>
    </row>
    <row r="138">
      <c r="A138" s="228"/>
      <c r="B138" s="228"/>
      <c r="C138" s="228"/>
      <c r="D138" s="228"/>
      <c r="E138" s="228"/>
      <c r="F138" s="228"/>
      <c r="G138" s="228"/>
      <c r="H138" s="241"/>
      <c r="I138" s="228"/>
      <c r="J138" s="228"/>
      <c r="K138" s="228"/>
      <c r="L138" s="228"/>
      <c r="M138" s="228"/>
      <c r="N138" s="228"/>
      <c r="O138" s="236"/>
      <c r="P138" s="228"/>
      <c r="Q138" s="228"/>
      <c r="R138" s="228"/>
      <c r="S138" s="228"/>
      <c r="T138" s="228"/>
      <c r="U138" s="228"/>
      <c r="V138" s="228"/>
      <c r="W138" s="228"/>
      <c r="X138" s="228"/>
      <c r="Y138" s="228"/>
      <c r="Z138" s="228"/>
      <c r="AA138" s="228"/>
      <c r="AB138" s="228"/>
      <c r="AC138" s="228"/>
      <c r="AD138" s="228"/>
      <c r="AE138" s="228"/>
      <c r="AF138" s="228"/>
      <c r="AG138" s="228"/>
      <c r="AH138" s="228"/>
      <c r="AI138" s="228"/>
      <c r="AJ138" s="228"/>
      <c r="AK138" s="228"/>
      <c r="AL138" s="228"/>
      <c r="AM138" s="228"/>
    </row>
    <row r="139">
      <c r="A139" s="228"/>
      <c r="B139" s="228"/>
      <c r="C139" s="228"/>
      <c r="D139" s="228"/>
      <c r="E139" s="228"/>
      <c r="F139" s="228"/>
      <c r="G139" s="228"/>
      <c r="H139" s="241"/>
      <c r="I139" s="228"/>
      <c r="J139" s="228"/>
      <c r="K139" s="228"/>
      <c r="L139" s="228"/>
      <c r="M139" s="228"/>
      <c r="N139" s="228"/>
      <c r="O139" s="236"/>
      <c r="P139" s="228"/>
      <c r="Q139" s="228"/>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row>
    <row r="140">
      <c r="A140" s="228"/>
      <c r="B140" s="228"/>
      <c r="C140" s="228"/>
      <c r="D140" s="228"/>
      <c r="E140" s="228"/>
      <c r="F140" s="228"/>
      <c r="G140" s="228"/>
      <c r="H140" s="241"/>
      <c r="I140" s="228"/>
      <c r="J140" s="228"/>
      <c r="K140" s="228"/>
      <c r="L140" s="228"/>
      <c r="M140" s="228"/>
      <c r="N140" s="228"/>
      <c r="O140" s="236"/>
      <c r="P140" s="228"/>
      <c r="Q140" s="228"/>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row>
    <row r="141">
      <c r="A141" s="228"/>
      <c r="B141" s="228"/>
      <c r="C141" s="228"/>
      <c r="D141" s="228"/>
      <c r="E141" s="228"/>
      <c r="F141" s="228"/>
      <c r="G141" s="228"/>
      <c r="H141" s="241"/>
      <c r="I141" s="228"/>
      <c r="J141" s="228"/>
      <c r="K141" s="228"/>
      <c r="L141" s="228"/>
      <c r="M141" s="228"/>
      <c r="N141" s="228"/>
      <c r="O141" s="236"/>
      <c r="P141" s="228"/>
      <c r="Q141" s="228"/>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row>
    <row r="142">
      <c r="A142" s="228"/>
      <c r="B142" s="228"/>
      <c r="C142" s="228"/>
      <c r="D142" s="228"/>
      <c r="E142" s="228"/>
      <c r="F142" s="228"/>
      <c r="G142" s="228"/>
      <c r="H142" s="241"/>
      <c r="I142" s="228"/>
      <c r="J142" s="228"/>
      <c r="K142" s="228"/>
      <c r="L142" s="228"/>
      <c r="M142" s="228"/>
      <c r="N142" s="228"/>
      <c r="O142" s="236"/>
      <c r="P142" s="228"/>
      <c r="Q142" s="228"/>
      <c r="R142" s="228"/>
      <c r="S142" s="228"/>
      <c r="T142" s="228"/>
      <c r="U142" s="228"/>
      <c r="V142" s="228"/>
      <c r="W142" s="228"/>
      <c r="X142" s="228"/>
      <c r="Y142" s="228"/>
      <c r="Z142" s="228"/>
      <c r="AA142" s="228"/>
      <c r="AB142" s="228"/>
      <c r="AC142" s="228"/>
      <c r="AD142" s="228"/>
      <c r="AE142" s="228"/>
      <c r="AF142" s="228"/>
      <c r="AG142" s="228"/>
      <c r="AH142" s="228"/>
      <c r="AI142" s="228"/>
      <c r="AJ142" s="228"/>
      <c r="AK142" s="228"/>
      <c r="AL142" s="228"/>
      <c r="AM142" s="228"/>
    </row>
    <row r="143">
      <c r="A143" s="228"/>
      <c r="B143" s="228"/>
      <c r="C143" s="228"/>
      <c r="D143" s="228"/>
      <c r="E143" s="228"/>
      <c r="F143" s="228"/>
      <c r="G143" s="228"/>
      <c r="H143" s="241"/>
      <c r="I143" s="228"/>
      <c r="J143" s="228"/>
      <c r="K143" s="228"/>
      <c r="L143" s="228"/>
      <c r="M143" s="228"/>
      <c r="N143" s="228"/>
      <c r="O143" s="236"/>
      <c r="P143" s="228"/>
      <c r="Q143" s="228"/>
      <c r="R143" s="228"/>
      <c r="S143" s="228"/>
      <c r="T143" s="228"/>
      <c r="U143" s="228"/>
      <c r="V143" s="228"/>
      <c r="W143" s="228"/>
      <c r="X143" s="228"/>
      <c r="Y143" s="228"/>
      <c r="Z143" s="228"/>
      <c r="AA143" s="228"/>
      <c r="AB143" s="228"/>
      <c r="AC143" s="228"/>
      <c r="AD143" s="228"/>
      <c r="AE143" s="228"/>
      <c r="AF143" s="228"/>
      <c r="AG143" s="228"/>
      <c r="AH143" s="228"/>
      <c r="AI143" s="228"/>
      <c r="AJ143" s="228"/>
      <c r="AK143" s="228"/>
      <c r="AL143" s="228"/>
      <c r="AM143" s="228"/>
    </row>
    <row r="144">
      <c r="A144" s="228"/>
      <c r="B144" s="228"/>
      <c r="C144" s="228"/>
      <c r="D144" s="228"/>
      <c r="E144" s="228"/>
      <c r="F144" s="228"/>
      <c r="G144" s="228"/>
      <c r="H144" s="241"/>
      <c r="I144" s="228"/>
      <c r="J144" s="228"/>
      <c r="K144" s="228"/>
      <c r="L144" s="228"/>
      <c r="M144" s="228"/>
      <c r="N144" s="228"/>
      <c r="O144" s="236"/>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row>
    <row r="145">
      <c r="A145" s="228"/>
      <c r="B145" s="228"/>
      <c r="C145" s="228"/>
      <c r="D145" s="228"/>
      <c r="E145" s="228"/>
      <c r="F145" s="228"/>
      <c r="G145" s="228"/>
      <c r="H145" s="241"/>
      <c r="I145" s="228"/>
      <c r="J145" s="228"/>
      <c r="K145" s="228"/>
      <c r="L145" s="228"/>
      <c r="M145" s="228"/>
      <c r="N145" s="228"/>
      <c r="O145" s="236"/>
      <c r="P145" s="228"/>
      <c r="Q145" s="228"/>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row>
    <row r="146">
      <c r="A146" s="228"/>
      <c r="B146" s="228"/>
      <c r="C146" s="228"/>
      <c r="D146" s="228"/>
      <c r="E146" s="228"/>
      <c r="F146" s="228"/>
      <c r="G146" s="228"/>
      <c r="H146" s="241"/>
      <c r="I146" s="228"/>
      <c r="J146" s="228"/>
      <c r="K146" s="228"/>
      <c r="L146" s="228"/>
      <c r="M146" s="228"/>
      <c r="N146" s="228"/>
      <c r="O146" s="236"/>
      <c r="P146" s="228"/>
      <c r="Q146" s="228"/>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row>
    <row r="147">
      <c r="A147" s="228"/>
      <c r="B147" s="228"/>
      <c r="C147" s="228"/>
      <c r="D147" s="228"/>
      <c r="E147" s="228"/>
      <c r="F147" s="228"/>
      <c r="G147" s="228"/>
      <c r="H147" s="241"/>
      <c r="I147" s="228"/>
      <c r="J147" s="228"/>
      <c r="K147" s="228"/>
      <c r="L147" s="228"/>
      <c r="M147" s="228"/>
      <c r="N147" s="228"/>
      <c r="O147" s="236"/>
      <c r="P147" s="228"/>
      <c r="Q147" s="228"/>
      <c r="R147" s="228"/>
      <c r="S147" s="228"/>
      <c r="T147" s="228"/>
      <c r="U147" s="228"/>
      <c r="V147" s="228"/>
      <c r="W147" s="228"/>
      <c r="X147" s="228"/>
      <c r="Y147" s="228"/>
      <c r="Z147" s="228"/>
      <c r="AA147" s="228"/>
      <c r="AB147" s="228"/>
      <c r="AC147" s="228"/>
      <c r="AD147" s="228"/>
      <c r="AE147" s="228"/>
      <c r="AF147" s="228"/>
      <c r="AG147" s="228"/>
      <c r="AH147" s="228"/>
      <c r="AI147" s="228"/>
      <c r="AJ147" s="228"/>
      <c r="AK147" s="228"/>
      <c r="AL147" s="228"/>
      <c r="AM147" s="228"/>
    </row>
    <row r="148">
      <c r="A148" s="228"/>
      <c r="B148" s="228"/>
      <c r="C148" s="228"/>
      <c r="D148" s="228"/>
      <c r="E148" s="228"/>
      <c r="F148" s="228"/>
      <c r="G148" s="228"/>
      <c r="H148" s="241"/>
      <c r="I148" s="228"/>
      <c r="J148" s="228"/>
      <c r="K148" s="228"/>
      <c r="L148" s="228"/>
      <c r="M148" s="228"/>
      <c r="N148" s="228"/>
      <c r="O148" s="236"/>
      <c r="P148" s="228"/>
      <c r="Q148" s="228"/>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row>
    <row r="149">
      <c r="A149" s="228"/>
      <c r="B149" s="228"/>
      <c r="C149" s="228"/>
      <c r="D149" s="228"/>
      <c r="E149" s="228"/>
      <c r="F149" s="228"/>
      <c r="G149" s="228"/>
      <c r="H149" s="241"/>
      <c r="I149" s="228"/>
      <c r="J149" s="228"/>
      <c r="K149" s="228"/>
      <c r="L149" s="228"/>
      <c r="M149" s="228"/>
      <c r="N149" s="228"/>
      <c r="O149" s="236"/>
      <c r="P149" s="228"/>
      <c r="Q149" s="228"/>
      <c r="R149" s="228"/>
      <c r="S149" s="228"/>
      <c r="T149" s="228"/>
      <c r="U149" s="228"/>
      <c r="V149" s="228"/>
      <c r="W149" s="228"/>
      <c r="X149" s="228"/>
      <c r="Y149" s="228"/>
      <c r="Z149" s="228"/>
      <c r="AA149" s="228"/>
      <c r="AB149" s="228"/>
      <c r="AC149" s="228"/>
      <c r="AD149" s="228"/>
      <c r="AE149" s="228"/>
      <c r="AF149" s="228"/>
      <c r="AG149" s="228"/>
      <c r="AH149" s="228"/>
      <c r="AI149" s="228"/>
      <c r="AJ149" s="228"/>
      <c r="AK149" s="228"/>
      <c r="AL149" s="228"/>
      <c r="AM149" s="228"/>
    </row>
    <row r="150">
      <c r="A150" s="228"/>
      <c r="B150" s="228"/>
      <c r="C150" s="228"/>
      <c r="D150" s="228"/>
      <c r="E150" s="228"/>
      <c r="F150" s="228"/>
      <c r="G150" s="228"/>
      <c r="H150" s="241"/>
      <c r="I150" s="228"/>
      <c r="J150" s="228"/>
      <c r="K150" s="228"/>
      <c r="L150" s="228"/>
      <c r="M150" s="228"/>
      <c r="N150" s="228"/>
      <c r="O150" s="236"/>
      <c r="P150" s="228"/>
      <c r="Q150" s="228"/>
      <c r="R150" s="228"/>
      <c r="S150" s="228"/>
      <c r="T150" s="228"/>
      <c r="U150" s="228"/>
      <c r="V150" s="228"/>
      <c r="W150" s="228"/>
      <c r="X150" s="228"/>
      <c r="Y150" s="228"/>
      <c r="Z150" s="228"/>
      <c r="AA150" s="228"/>
      <c r="AB150" s="228"/>
      <c r="AC150" s="228"/>
      <c r="AD150" s="228"/>
      <c r="AE150" s="228"/>
      <c r="AF150" s="228"/>
      <c r="AG150" s="228"/>
      <c r="AH150" s="228"/>
      <c r="AI150" s="228"/>
      <c r="AJ150" s="228"/>
      <c r="AK150" s="228"/>
      <c r="AL150" s="228"/>
      <c r="AM150" s="228"/>
    </row>
    <row r="151">
      <c r="A151" s="228"/>
      <c r="B151" s="228"/>
      <c r="C151" s="228"/>
      <c r="D151" s="228"/>
      <c r="E151" s="228"/>
      <c r="F151" s="228"/>
      <c r="G151" s="228"/>
      <c r="H151" s="241"/>
      <c r="I151" s="228"/>
      <c r="J151" s="228"/>
      <c r="K151" s="228"/>
      <c r="L151" s="228"/>
      <c r="M151" s="228"/>
      <c r="N151" s="228"/>
      <c r="O151" s="236"/>
      <c r="P151" s="228"/>
      <c r="Q151" s="228"/>
      <c r="R151" s="228"/>
      <c r="S151" s="228"/>
      <c r="T151" s="228"/>
      <c r="U151" s="228"/>
      <c r="V151" s="228"/>
      <c r="W151" s="228"/>
      <c r="X151" s="228"/>
      <c r="Y151" s="228"/>
      <c r="Z151" s="228"/>
      <c r="AA151" s="228"/>
      <c r="AB151" s="228"/>
      <c r="AC151" s="228"/>
      <c r="AD151" s="228"/>
      <c r="AE151" s="228"/>
      <c r="AF151" s="228"/>
      <c r="AG151" s="228"/>
      <c r="AH151" s="228"/>
      <c r="AI151" s="228"/>
      <c r="AJ151" s="228"/>
      <c r="AK151" s="228"/>
      <c r="AL151" s="228"/>
      <c r="AM151" s="228"/>
    </row>
    <row r="152">
      <c r="A152" s="228"/>
      <c r="B152" s="228"/>
      <c r="C152" s="228"/>
      <c r="D152" s="228"/>
      <c r="E152" s="228"/>
      <c r="F152" s="228"/>
      <c r="G152" s="228"/>
      <c r="H152" s="241"/>
      <c r="I152" s="228"/>
      <c r="J152" s="228"/>
      <c r="K152" s="228"/>
      <c r="L152" s="228"/>
      <c r="M152" s="228"/>
      <c r="N152" s="228"/>
      <c r="O152" s="236"/>
      <c r="P152" s="228"/>
      <c r="Q152" s="228"/>
      <c r="R152" s="228"/>
      <c r="S152" s="228"/>
      <c r="T152" s="228"/>
      <c r="U152" s="228"/>
      <c r="V152" s="228"/>
      <c r="W152" s="228"/>
      <c r="X152" s="228"/>
      <c r="Y152" s="228"/>
      <c r="Z152" s="228"/>
      <c r="AA152" s="228"/>
      <c r="AB152" s="228"/>
      <c r="AC152" s="228"/>
      <c r="AD152" s="228"/>
      <c r="AE152" s="228"/>
      <c r="AF152" s="228"/>
      <c r="AG152" s="228"/>
      <c r="AH152" s="228"/>
      <c r="AI152" s="228"/>
      <c r="AJ152" s="228"/>
      <c r="AK152" s="228"/>
      <c r="AL152" s="228"/>
      <c r="AM152" s="228"/>
    </row>
    <row r="153">
      <c r="A153" s="228"/>
      <c r="B153" s="228"/>
      <c r="C153" s="228"/>
      <c r="D153" s="228"/>
      <c r="E153" s="228"/>
      <c r="F153" s="228"/>
      <c r="G153" s="228"/>
      <c r="H153" s="241"/>
      <c r="I153" s="228"/>
      <c r="J153" s="228"/>
      <c r="K153" s="228"/>
      <c r="L153" s="228"/>
      <c r="M153" s="228"/>
      <c r="N153" s="228"/>
      <c r="O153" s="236"/>
      <c r="P153" s="228"/>
      <c r="Q153" s="228"/>
      <c r="R153" s="228"/>
      <c r="S153" s="228"/>
      <c r="T153" s="228"/>
      <c r="U153" s="228"/>
      <c r="V153" s="228"/>
      <c r="W153" s="228"/>
      <c r="X153" s="228"/>
      <c r="Y153" s="228"/>
      <c r="Z153" s="228"/>
      <c r="AA153" s="228"/>
      <c r="AB153" s="228"/>
      <c r="AC153" s="228"/>
      <c r="AD153" s="228"/>
      <c r="AE153" s="228"/>
      <c r="AF153" s="228"/>
      <c r="AG153" s="228"/>
      <c r="AH153" s="228"/>
      <c r="AI153" s="228"/>
      <c r="AJ153" s="228"/>
      <c r="AK153" s="228"/>
      <c r="AL153" s="228"/>
      <c r="AM153" s="228"/>
    </row>
    <row r="154">
      <c r="A154" s="228"/>
      <c r="B154" s="228"/>
      <c r="C154" s="228"/>
      <c r="D154" s="228"/>
      <c r="E154" s="228"/>
      <c r="F154" s="228"/>
      <c r="G154" s="228"/>
      <c r="H154" s="241"/>
      <c r="I154" s="228"/>
      <c r="J154" s="228"/>
      <c r="K154" s="228"/>
      <c r="L154" s="228"/>
      <c r="M154" s="228"/>
      <c r="N154" s="228"/>
      <c r="O154" s="236"/>
      <c r="P154" s="228"/>
      <c r="Q154" s="228"/>
      <c r="R154" s="228"/>
      <c r="S154" s="228"/>
      <c r="T154" s="228"/>
      <c r="U154" s="228"/>
      <c r="V154" s="228"/>
      <c r="W154" s="228"/>
      <c r="X154" s="228"/>
      <c r="Y154" s="228"/>
      <c r="Z154" s="228"/>
      <c r="AA154" s="228"/>
      <c r="AB154" s="228"/>
      <c r="AC154" s="228"/>
      <c r="AD154" s="228"/>
      <c r="AE154" s="228"/>
      <c r="AF154" s="228"/>
      <c r="AG154" s="228"/>
      <c r="AH154" s="228"/>
      <c r="AI154" s="228"/>
      <c r="AJ154" s="228"/>
      <c r="AK154" s="228"/>
      <c r="AL154" s="228"/>
      <c r="AM154" s="228"/>
    </row>
    <row r="155">
      <c r="A155" s="228"/>
      <c r="B155" s="228"/>
      <c r="C155" s="228"/>
      <c r="D155" s="228"/>
      <c r="E155" s="228"/>
      <c r="F155" s="228"/>
      <c r="G155" s="228"/>
      <c r="H155" s="241"/>
      <c r="I155" s="228"/>
      <c r="J155" s="228"/>
      <c r="K155" s="228"/>
      <c r="L155" s="228"/>
      <c r="M155" s="228"/>
      <c r="N155" s="228"/>
      <c r="O155" s="236"/>
      <c r="P155" s="228"/>
      <c r="Q155" s="228"/>
      <c r="R155" s="228"/>
      <c r="S155" s="228"/>
      <c r="T155" s="228"/>
      <c r="U155" s="228"/>
      <c r="V155" s="228"/>
      <c r="W155" s="228"/>
      <c r="X155" s="228"/>
      <c r="Y155" s="228"/>
      <c r="Z155" s="228"/>
      <c r="AA155" s="228"/>
      <c r="AB155" s="228"/>
      <c r="AC155" s="228"/>
      <c r="AD155" s="228"/>
      <c r="AE155" s="228"/>
      <c r="AF155" s="228"/>
      <c r="AG155" s="228"/>
      <c r="AH155" s="228"/>
      <c r="AI155" s="228"/>
      <c r="AJ155" s="228"/>
      <c r="AK155" s="228"/>
      <c r="AL155" s="228"/>
      <c r="AM155" s="228"/>
    </row>
    <row r="156">
      <c r="A156" s="228"/>
      <c r="B156" s="228"/>
      <c r="C156" s="228"/>
      <c r="D156" s="228"/>
      <c r="E156" s="228"/>
      <c r="F156" s="228"/>
      <c r="G156" s="228"/>
      <c r="H156" s="241"/>
      <c r="I156" s="228"/>
      <c r="J156" s="228"/>
      <c r="K156" s="228"/>
      <c r="L156" s="228"/>
      <c r="M156" s="228"/>
      <c r="N156" s="228"/>
      <c r="O156" s="236"/>
      <c r="P156" s="228"/>
      <c r="Q156" s="228"/>
      <c r="R156" s="228"/>
      <c r="S156" s="228"/>
      <c r="T156" s="228"/>
      <c r="U156" s="228"/>
      <c r="V156" s="228"/>
      <c r="W156" s="228"/>
      <c r="X156" s="228"/>
      <c r="Y156" s="228"/>
      <c r="Z156" s="228"/>
      <c r="AA156" s="228"/>
      <c r="AB156" s="228"/>
      <c r="AC156" s="228"/>
      <c r="AD156" s="228"/>
      <c r="AE156" s="228"/>
      <c r="AF156" s="228"/>
      <c r="AG156" s="228"/>
      <c r="AH156" s="228"/>
      <c r="AI156" s="228"/>
      <c r="AJ156" s="228"/>
      <c r="AK156" s="228"/>
      <c r="AL156" s="228"/>
      <c r="AM156" s="228"/>
    </row>
    <row r="157">
      <c r="A157" s="228"/>
      <c r="B157" s="228"/>
      <c r="C157" s="228"/>
      <c r="D157" s="228"/>
      <c r="E157" s="228"/>
      <c r="F157" s="228"/>
      <c r="G157" s="228"/>
      <c r="H157" s="241"/>
      <c r="I157" s="228"/>
      <c r="J157" s="228"/>
      <c r="K157" s="228"/>
      <c r="L157" s="228"/>
      <c r="M157" s="228"/>
      <c r="N157" s="228"/>
      <c r="O157" s="236"/>
      <c r="P157" s="228"/>
      <c r="Q157" s="228"/>
      <c r="R157" s="228"/>
      <c r="S157" s="228"/>
      <c r="T157" s="228"/>
      <c r="U157" s="228"/>
      <c r="V157" s="228"/>
      <c r="W157" s="228"/>
      <c r="X157" s="228"/>
      <c r="Y157" s="228"/>
      <c r="Z157" s="228"/>
      <c r="AA157" s="228"/>
      <c r="AB157" s="228"/>
      <c r="AC157" s="228"/>
      <c r="AD157" s="228"/>
      <c r="AE157" s="228"/>
      <c r="AF157" s="228"/>
      <c r="AG157" s="228"/>
      <c r="AH157" s="228"/>
      <c r="AI157" s="228"/>
      <c r="AJ157" s="228"/>
      <c r="AK157" s="228"/>
      <c r="AL157" s="228"/>
      <c r="AM157" s="228"/>
    </row>
    <row r="158">
      <c r="A158" s="228"/>
      <c r="B158" s="228"/>
      <c r="C158" s="228"/>
      <c r="D158" s="228"/>
      <c r="E158" s="228"/>
      <c r="F158" s="228"/>
      <c r="G158" s="228"/>
      <c r="H158" s="241"/>
      <c r="I158" s="228"/>
      <c r="J158" s="228"/>
      <c r="K158" s="228"/>
      <c r="L158" s="228"/>
      <c r="M158" s="228"/>
      <c r="N158" s="228"/>
      <c r="O158" s="236"/>
      <c r="P158" s="228"/>
      <c r="Q158" s="228"/>
      <c r="R158" s="228"/>
      <c r="S158" s="228"/>
      <c r="T158" s="228"/>
      <c r="U158" s="228"/>
      <c r="V158" s="228"/>
      <c r="W158" s="228"/>
      <c r="X158" s="228"/>
      <c r="Y158" s="228"/>
      <c r="Z158" s="228"/>
      <c r="AA158" s="228"/>
      <c r="AB158" s="228"/>
      <c r="AC158" s="228"/>
      <c r="AD158" s="228"/>
      <c r="AE158" s="228"/>
      <c r="AF158" s="228"/>
      <c r="AG158" s="228"/>
      <c r="AH158" s="228"/>
      <c r="AI158" s="228"/>
      <c r="AJ158" s="228"/>
      <c r="AK158" s="228"/>
      <c r="AL158" s="228"/>
      <c r="AM158" s="228"/>
    </row>
    <row r="159">
      <c r="A159" s="228"/>
      <c r="B159" s="228"/>
      <c r="C159" s="228"/>
      <c r="D159" s="228"/>
      <c r="E159" s="228"/>
      <c r="F159" s="228"/>
      <c r="G159" s="228"/>
      <c r="H159" s="241"/>
      <c r="I159" s="228"/>
      <c r="J159" s="228"/>
      <c r="K159" s="228"/>
      <c r="L159" s="228"/>
      <c r="M159" s="228"/>
      <c r="N159" s="228"/>
      <c r="O159" s="236"/>
      <c r="P159" s="228"/>
      <c r="Q159" s="228"/>
      <c r="R159" s="228"/>
      <c r="S159" s="228"/>
      <c r="T159" s="228"/>
      <c r="U159" s="228"/>
      <c r="V159" s="228"/>
      <c r="W159" s="228"/>
      <c r="X159" s="228"/>
      <c r="Y159" s="228"/>
      <c r="Z159" s="228"/>
      <c r="AA159" s="228"/>
      <c r="AB159" s="228"/>
      <c r="AC159" s="228"/>
      <c r="AD159" s="228"/>
      <c r="AE159" s="228"/>
      <c r="AF159" s="228"/>
      <c r="AG159" s="228"/>
      <c r="AH159" s="228"/>
      <c r="AI159" s="228"/>
      <c r="AJ159" s="228"/>
      <c r="AK159" s="228"/>
      <c r="AL159" s="228"/>
      <c r="AM159" s="228"/>
    </row>
    <row r="160">
      <c r="A160" s="228"/>
      <c r="B160" s="228"/>
      <c r="C160" s="228"/>
      <c r="D160" s="228"/>
      <c r="E160" s="228"/>
      <c r="F160" s="228"/>
      <c r="G160" s="228"/>
      <c r="H160" s="241"/>
      <c r="I160" s="228"/>
      <c r="J160" s="228"/>
      <c r="K160" s="228"/>
      <c r="L160" s="228"/>
      <c r="M160" s="228"/>
      <c r="N160" s="228"/>
      <c r="O160" s="236"/>
      <c r="P160" s="228"/>
      <c r="Q160" s="228"/>
      <c r="R160" s="228"/>
      <c r="S160" s="228"/>
      <c r="T160" s="228"/>
      <c r="U160" s="228"/>
      <c r="V160" s="228"/>
      <c r="W160" s="228"/>
      <c r="X160" s="228"/>
      <c r="Y160" s="228"/>
      <c r="Z160" s="228"/>
      <c r="AA160" s="228"/>
      <c r="AB160" s="228"/>
      <c r="AC160" s="228"/>
      <c r="AD160" s="228"/>
      <c r="AE160" s="228"/>
      <c r="AF160" s="228"/>
      <c r="AG160" s="228"/>
      <c r="AH160" s="228"/>
      <c r="AI160" s="228"/>
      <c r="AJ160" s="228"/>
      <c r="AK160" s="228"/>
      <c r="AL160" s="228"/>
      <c r="AM160" s="228"/>
    </row>
    <row r="161">
      <c r="A161" s="228"/>
      <c r="B161" s="228"/>
      <c r="C161" s="228"/>
      <c r="D161" s="228"/>
      <c r="E161" s="228"/>
      <c r="F161" s="228"/>
      <c r="G161" s="228"/>
      <c r="H161" s="241"/>
      <c r="I161" s="228"/>
      <c r="J161" s="228"/>
      <c r="K161" s="228"/>
      <c r="L161" s="228"/>
      <c r="M161" s="228"/>
      <c r="N161" s="228"/>
      <c r="O161" s="236"/>
      <c r="P161" s="228"/>
      <c r="Q161" s="228"/>
      <c r="R161" s="228"/>
      <c r="S161" s="228"/>
      <c r="T161" s="228"/>
      <c r="U161" s="228"/>
      <c r="V161" s="228"/>
      <c r="W161" s="228"/>
      <c r="X161" s="228"/>
      <c r="Y161" s="228"/>
      <c r="Z161" s="228"/>
      <c r="AA161" s="228"/>
      <c r="AB161" s="228"/>
      <c r="AC161" s="228"/>
      <c r="AD161" s="228"/>
      <c r="AE161" s="228"/>
      <c r="AF161" s="228"/>
      <c r="AG161" s="228"/>
      <c r="AH161" s="228"/>
      <c r="AI161" s="228"/>
      <c r="AJ161" s="228"/>
      <c r="AK161" s="228"/>
      <c r="AL161" s="228"/>
      <c r="AM161" s="228"/>
    </row>
    <row r="162">
      <c r="A162" s="228"/>
      <c r="B162" s="228"/>
      <c r="C162" s="228"/>
      <c r="D162" s="228"/>
      <c r="E162" s="228"/>
      <c r="F162" s="228"/>
      <c r="G162" s="228"/>
      <c r="H162" s="241"/>
      <c r="I162" s="228"/>
      <c r="J162" s="228"/>
      <c r="K162" s="228"/>
      <c r="L162" s="228"/>
      <c r="M162" s="228"/>
      <c r="N162" s="228"/>
      <c r="O162" s="236"/>
      <c r="P162" s="228"/>
      <c r="Q162" s="228"/>
      <c r="R162" s="228"/>
      <c r="S162" s="228"/>
      <c r="T162" s="228"/>
      <c r="U162" s="228"/>
      <c r="V162" s="228"/>
      <c r="W162" s="228"/>
      <c r="X162" s="228"/>
      <c r="Y162" s="228"/>
      <c r="Z162" s="228"/>
      <c r="AA162" s="228"/>
      <c r="AB162" s="228"/>
      <c r="AC162" s="228"/>
      <c r="AD162" s="228"/>
      <c r="AE162" s="228"/>
      <c r="AF162" s="228"/>
      <c r="AG162" s="228"/>
      <c r="AH162" s="228"/>
      <c r="AI162" s="228"/>
      <c r="AJ162" s="228"/>
      <c r="AK162" s="228"/>
      <c r="AL162" s="228"/>
      <c r="AM162" s="228"/>
    </row>
    <row r="163">
      <c r="A163" s="228"/>
      <c r="B163" s="228"/>
      <c r="C163" s="228"/>
      <c r="D163" s="228"/>
      <c r="E163" s="228"/>
      <c r="F163" s="228"/>
      <c r="G163" s="228"/>
      <c r="H163" s="241"/>
      <c r="I163" s="228"/>
      <c r="J163" s="228"/>
      <c r="K163" s="228"/>
      <c r="L163" s="228"/>
      <c r="M163" s="228"/>
      <c r="N163" s="228"/>
      <c r="O163" s="236"/>
      <c r="P163" s="228"/>
      <c r="Q163" s="228"/>
      <c r="R163" s="228"/>
      <c r="S163" s="228"/>
      <c r="T163" s="228"/>
      <c r="U163" s="228"/>
      <c r="V163" s="228"/>
      <c r="W163" s="228"/>
      <c r="X163" s="228"/>
      <c r="Y163" s="228"/>
      <c r="Z163" s="228"/>
      <c r="AA163" s="228"/>
      <c r="AB163" s="228"/>
      <c r="AC163" s="228"/>
      <c r="AD163" s="228"/>
      <c r="AE163" s="228"/>
      <c r="AF163" s="228"/>
      <c r="AG163" s="228"/>
      <c r="AH163" s="228"/>
      <c r="AI163" s="228"/>
      <c r="AJ163" s="228"/>
      <c r="AK163" s="228"/>
      <c r="AL163" s="228"/>
      <c r="AM163" s="228"/>
    </row>
    <row r="164">
      <c r="A164" s="228"/>
      <c r="B164" s="228"/>
      <c r="C164" s="228"/>
      <c r="D164" s="228"/>
      <c r="E164" s="228"/>
      <c r="F164" s="228"/>
      <c r="G164" s="228"/>
      <c r="H164" s="241"/>
      <c r="I164" s="228"/>
      <c r="J164" s="228"/>
      <c r="K164" s="228"/>
      <c r="L164" s="228"/>
      <c r="M164" s="228"/>
      <c r="N164" s="228"/>
      <c r="O164" s="236"/>
      <c r="P164" s="228"/>
      <c r="Q164" s="228"/>
      <c r="R164" s="228"/>
      <c r="S164" s="228"/>
      <c r="T164" s="228"/>
      <c r="U164" s="228"/>
      <c r="V164" s="228"/>
      <c r="W164" s="228"/>
      <c r="X164" s="228"/>
      <c r="Y164" s="228"/>
      <c r="Z164" s="228"/>
      <c r="AA164" s="228"/>
      <c r="AB164" s="228"/>
      <c r="AC164" s="228"/>
      <c r="AD164" s="228"/>
      <c r="AE164" s="228"/>
      <c r="AF164" s="228"/>
      <c r="AG164" s="228"/>
      <c r="AH164" s="228"/>
      <c r="AI164" s="228"/>
      <c r="AJ164" s="228"/>
      <c r="AK164" s="228"/>
      <c r="AL164" s="228"/>
      <c r="AM164" s="228"/>
    </row>
    <row r="165">
      <c r="A165" s="228"/>
      <c r="B165" s="228"/>
      <c r="C165" s="228"/>
      <c r="D165" s="228"/>
      <c r="E165" s="228"/>
      <c r="F165" s="228"/>
      <c r="G165" s="228"/>
      <c r="H165" s="241"/>
      <c r="I165" s="228"/>
      <c r="J165" s="228"/>
      <c r="K165" s="228"/>
      <c r="L165" s="228"/>
      <c r="M165" s="228"/>
      <c r="N165" s="228"/>
      <c r="O165" s="236"/>
      <c r="P165" s="228"/>
      <c r="Q165" s="228"/>
      <c r="R165" s="228"/>
      <c r="S165" s="228"/>
      <c r="T165" s="228"/>
      <c r="U165" s="228"/>
      <c r="V165" s="228"/>
      <c r="W165" s="228"/>
      <c r="X165" s="228"/>
      <c r="Y165" s="228"/>
      <c r="Z165" s="228"/>
      <c r="AA165" s="228"/>
      <c r="AB165" s="228"/>
      <c r="AC165" s="228"/>
      <c r="AD165" s="228"/>
      <c r="AE165" s="228"/>
      <c r="AF165" s="228"/>
      <c r="AG165" s="228"/>
      <c r="AH165" s="228"/>
      <c r="AI165" s="228"/>
      <c r="AJ165" s="228"/>
      <c r="AK165" s="228"/>
      <c r="AL165" s="228"/>
      <c r="AM165" s="228"/>
    </row>
    <row r="166">
      <c r="A166" s="228"/>
      <c r="B166" s="228"/>
      <c r="C166" s="228"/>
      <c r="D166" s="228"/>
      <c r="E166" s="228"/>
      <c r="F166" s="228"/>
      <c r="G166" s="228"/>
      <c r="H166" s="241"/>
      <c r="I166" s="228"/>
      <c r="J166" s="228"/>
      <c r="K166" s="228"/>
      <c r="L166" s="228"/>
      <c r="M166" s="228"/>
      <c r="N166" s="228"/>
      <c r="O166" s="236"/>
      <c r="P166" s="228"/>
      <c r="Q166" s="228"/>
      <c r="R166" s="228"/>
      <c r="S166" s="228"/>
      <c r="T166" s="228"/>
      <c r="U166" s="228"/>
      <c r="V166" s="228"/>
      <c r="W166" s="228"/>
      <c r="X166" s="228"/>
      <c r="Y166" s="228"/>
      <c r="Z166" s="228"/>
      <c r="AA166" s="228"/>
      <c r="AB166" s="228"/>
      <c r="AC166" s="228"/>
      <c r="AD166" s="228"/>
      <c r="AE166" s="228"/>
      <c r="AF166" s="228"/>
      <c r="AG166" s="228"/>
      <c r="AH166" s="228"/>
      <c r="AI166" s="228"/>
      <c r="AJ166" s="228"/>
      <c r="AK166" s="228"/>
      <c r="AL166" s="228"/>
      <c r="AM166" s="228"/>
    </row>
    <row r="167">
      <c r="A167" s="228"/>
      <c r="B167" s="228"/>
      <c r="C167" s="228"/>
      <c r="D167" s="228"/>
      <c r="E167" s="228"/>
      <c r="F167" s="228"/>
      <c r="G167" s="228"/>
      <c r="H167" s="241"/>
      <c r="I167" s="228"/>
      <c r="J167" s="228"/>
      <c r="K167" s="228"/>
      <c r="L167" s="228"/>
      <c r="M167" s="228"/>
      <c r="N167" s="228"/>
      <c r="O167" s="236"/>
      <c r="P167" s="228"/>
      <c r="Q167" s="228"/>
      <c r="R167" s="228"/>
      <c r="S167" s="228"/>
      <c r="T167" s="228"/>
      <c r="U167" s="228"/>
      <c r="V167" s="228"/>
      <c r="W167" s="228"/>
      <c r="X167" s="228"/>
      <c r="Y167" s="228"/>
      <c r="Z167" s="228"/>
      <c r="AA167" s="228"/>
      <c r="AB167" s="228"/>
      <c r="AC167" s="228"/>
      <c r="AD167" s="228"/>
      <c r="AE167" s="228"/>
      <c r="AF167" s="228"/>
      <c r="AG167" s="228"/>
      <c r="AH167" s="228"/>
      <c r="AI167" s="228"/>
      <c r="AJ167" s="228"/>
      <c r="AK167" s="228"/>
      <c r="AL167" s="228"/>
      <c r="AM167" s="228"/>
    </row>
    <row r="168">
      <c r="A168" s="228"/>
      <c r="B168" s="228"/>
      <c r="C168" s="228"/>
      <c r="D168" s="228"/>
      <c r="E168" s="228"/>
      <c r="F168" s="228"/>
      <c r="G168" s="228"/>
      <c r="H168" s="241"/>
      <c r="I168" s="228"/>
      <c r="J168" s="228"/>
      <c r="K168" s="228"/>
      <c r="L168" s="228"/>
      <c r="M168" s="228"/>
      <c r="N168" s="228"/>
      <c r="O168" s="236"/>
      <c r="P168" s="228"/>
      <c r="Q168" s="228"/>
      <c r="R168" s="228"/>
      <c r="S168" s="228"/>
      <c r="T168" s="228"/>
      <c r="U168" s="228"/>
      <c r="V168" s="228"/>
      <c r="W168" s="228"/>
      <c r="X168" s="228"/>
      <c r="Y168" s="228"/>
      <c r="Z168" s="228"/>
      <c r="AA168" s="228"/>
      <c r="AB168" s="228"/>
      <c r="AC168" s="228"/>
      <c r="AD168" s="228"/>
      <c r="AE168" s="228"/>
      <c r="AF168" s="228"/>
      <c r="AG168" s="228"/>
      <c r="AH168" s="228"/>
      <c r="AI168" s="228"/>
      <c r="AJ168" s="228"/>
      <c r="AK168" s="228"/>
      <c r="AL168" s="228"/>
      <c r="AM168" s="228"/>
    </row>
    <row r="169">
      <c r="A169" s="228"/>
      <c r="B169" s="228"/>
      <c r="C169" s="228"/>
      <c r="D169" s="228"/>
      <c r="E169" s="228"/>
      <c r="F169" s="228"/>
      <c r="G169" s="228"/>
      <c r="H169" s="241"/>
      <c r="I169" s="228"/>
      <c r="J169" s="228"/>
      <c r="K169" s="228"/>
      <c r="L169" s="228"/>
      <c r="M169" s="228"/>
      <c r="N169" s="228"/>
      <c r="O169" s="236"/>
      <c r="P169" s="228"/>
      <c r="Q169" s="228"/>
      <c r="R169" s="228"/>
      <c r="S169" s="228"/>
      <c r="T169" s="228"/>
      <c r="U169" s="228"/>
      <c r="V169" s="228"/>
      <c r="W169" s="228"/>
      <c r="X169" s="228"/>
      <c r="Y169" s="228"/>
      <c r="Z169" s="228"/>
      <c r="AA169" s="228"/>
      <c r="AB169" s="228"/>
      <c r="AC169" s="228"/>
      <c r="AD169" s="228"/>
      <c r="AE169" s="228"/>
      <c r="AF169" s="228"/>
      <c r="AG169" s="228"/>
      <c r="AH169" s="228"/>
      <c r="AI169" s="228"/>
      <c r="AJ169" s="228"/>
      <c r="AK169" s="228"/>
      <c r="AL169" s="228"/>
      <c r="AM169" s="228"/>
    </row>
    <row r="170">
      <c r="A170" s="228"/>
      <c r="B170" s="228"/>
      <c r="C170" s="228"/>
      <c r="D170" s="228"/>
      <c r="E170" s="228"/>
      <c r="F170" s="228"/>
      <c r="G170" s="228"/>
      <c r="H170" s="241"/>
      <c r="I170" s="228"/>
      <c r="J170" s="228"/>
      <c r="K170" s="228"/>
      <c r="L170" s="228"/>
      <c r="M170" s="228"/>
      <c r="N170" s="228"/>
      <c r="O170" s="236"/>
      <c r="P170" s="228"/>
      <c r="Q170" s="228"/>
      <c r="R170" s="228"/>
      <c r="S170" s="228"/>
      <c r="T170" s="228"/>
      <c r="U170" s="228"/>
      <c r="V170" s="228"/>
      <c r="W170" s="228"/>
      <c r="X170" s="228"/>
      <c r="Y170" s="228"/>
      <c r="Z170" s="228"/>
      <c r="AA170" s="228"/>
      <c r="AB170" s="228"/>
      <c r="AC170" s="228"/>
      <c r="AD170" s="228"/>
      <c r="AE170" s="228"/>
      <c r="AF170" s="228"/>
      <c r="AG170" s="228"/>
      <c r="AH170" s="228"/>
      <c r="AI170" s="228"/>
      <c r="AJ170" s="228"/>
      <c r="AK170" s="228"/>
      <c r="AL170" s="228"/>
      <c r="AM170" s="228"/>
    </row>
    <row r="171">
      <c r="A171" s="228"/>
      <c r="B171" s="228"/>
      <c r="C171" s="228"/>
      <c r="D171" s="228"/>
      <c r="E171" s="228"/>
      <c r="F171" s="228"/>
      <c r="G171" s="228"/>
      <c r="H171" s="241"/>
      <c r="I171" s="228"/>
      <c r="J171" s="228"/>
      <c r="K171" s="228"/>
      <c r="L171" s="228"/>
      <c r="M171" s="228"/>
      <c r="N171" s="228"/>
      <c r="O171" s="236"/>
      <c r="P171" s="228"/>
      <c r="Q171" s="228"/>
      <c r="R171" s="228"/>
      <c r="S171" s="228"/>
      <c r="T171" s="228"/>
      <c r="U171" s="228"/>
      <c r="V171" s="228"/>
      <c r="W171" s="228"/>
      <c r="X171" s="228"/>
      <c r="Y171" s="228"/>
      <c r="Z171" s="228"/>
      <c r="AA171" s="228"/>
      <c r="AB171" s="228"/>
      <c r="AC171" s="228"/>
      <c r="AD171" s="228"/>
      <c r="AE171" s="228"/>
      <c r="AF171" s="228"/>
      <c r="AG171" s="228"/>
      <c r="AH171" s="228"/>
      <c r="AI171" s="228"/>
      <c r="AJ171" s="228"/>
      <c r="AK171" s="228"/>
      <c r="AL171" s="228"/>
      <c r="AM171" s="228"/>
    </row>
    <row r="172">
      <c r="A172" s="228"/>
      <c r="B172" s="228"/>
      <c r="C172" s="228"/>
      <c r="D172" s="228"/>
      <c r="E172" s="228"/>
      <c r="F172" s="228"/>
      <c r="G172" s="228"/>
      <c r="H172" s="241"/>
      <c r="I172" s="228"/>
      <c r="J172" s="228"/>
      <c r="K172" s="228"/>
      <c r="L172" s="228"/>
      <c r="M172" s="228"/>
      <c r="N172" s="228"/>
      <c r="O172" s="236"/>
      <c r="P172" s="228"/>
      <c r="Q172" s="228"/>
      <c r="R172" s="228"/>
      <c r="S172" s="228"/>
      <c r="T172" s="228"/>
      <c r="U172" s="228"/>
      <c r="V172" s="228"/>
      <c r="W172" s="228"/>
      <c r="X172" s="228"/>
      <c r="Y172" s="228"/>
      <c r="Z172" s="228"/>
      <c r="AA172" s="228"/>
      <c r="AB172" s="228"/>
      <c r="AC172" s="228"/>
      <c r="AD172" s="228"/>
      <c r="AE172" s="228"/>
      <c r="AF172" s="228"/>
      <c r="AG172" s="228"/>
      <c r="AH172" s="228"/>
      <c r="AI172" s="228"/>
      <c r="AJ172" s="228"/>
      <c r="AK172" s="228"/>
      <c r="AL172" s="228"/>
      <c r="AM172" s="228"/>
    </row>
    <row r="173">
      <c r="A173" s="228"/>
      <c r="B173" s="228"/>
      <c r="C173" s="228"/>
      <c r="D173" s="228"/>
      <c r="E173" s="228"/>
      <c r="F173" s="228"/>
      <c r="G173" s="228"/>
      <c r="H173" s="241"/>
      <c r="I173" s="228"/>
      <c r="J173" s="228"/>
      <c r="K173" s="228"/>
      <c r="L173" s="228"/>
      <c r="M173" s="228"/>
      <c r="N173" s="228"/>
      <c r="O173" s="236"/>
      <c r="P173" s="228"/>
      <c r="Q173" s="228"/>
      <c r="R173" s="228"/>
      <c r="S173" s="228"/>
      <c r="T173" s="228"/>
      <c r="U173" s="228"/>
      <c r="V173" s="228"/>
      <c r="W173" s="228"/>
      <c r="X173" s="228"/>
      <c r="Y173" s="228"/>
      <c r="Z173" s="228"/>
      <c r="AA173" s="228"/>
      <c r="AB173" s="228"/>
      <c r="AC173" s="228"/>
      <c r="AD173" s="228"/>
      <c r="AE173" s="228"/>
      <c r="AF173" s="228"/>
      <c r="AG173" s="228"/>
      <c r="AH173" s="228"/>
      <c r="AI173" s="228"/>
      <c r="AJ173" s="228"/>
      <c r="AK173" s="228"/>
      <c r="AL173" s="228"/>
      <c r="AM173" s="228"/>
    </row>
    <row r="174">
      <c r="A174" s="228"/>
      <c r="B174" s="228"/>
      <c r="C174" s="228"/>
      <c r="D174" s="228"/>
      <c r="E174" s="228"/>
      <c r="F174" s="228"/>
      <c r="G174" s="228"/>
      <c r="H174" s="241"/>
      <c r="I174" s="228"/>
      <c r="J174" s="228"/>
      <c r="K174" s="228"/>
      <c r="L174" s="228"/>
      <c r="M174" s="228"/>
      <c r="N174" s="228"/>
      <c r="O174" s="236"/>
      <c r="P174" s="228"/>
      <c r="Q174" s="228"/>
      <c r="R174" s="228"/>
      <c r="S174" s="228"/>
      <c r="T174" s="228"/>
      <c r="U174" s="228"/>
      <c r="V174" s="228"/>
      <c r="W174" s="228"/>
      <c r="X174" s="228"/>
      <c r="Y174" s="228"/>
      <c r="Z174" s="228"/>
      <c r="AA174" s="228"/>
      <c r="AB174" s="228"/>
      <c r="AC174" s="228"/>
      <c r="AD174" s="228"/>
      <c r="AE174" s="228"/>
      <c r="AF174" s="228"/>
      <c r="AG174" s="228"/>
      <c r="AH174" s="228"/>
      <c r="AI174" s="228"/>
      <c r="AJ174" s="228"/>
      <c r="AK174" s="228"/>
      <c r="AL174" s="228"/>
      <c r="AM174" s="228"/>
    </row>
    <row r="175">
      <c r="A175" s="228"/>
      <c r="B175" s="228"/>
      <c r="C175" s="228"/>
      <c r="D175" s="228"/>
      <c r="E175" s="228"/>
      <c r="F175" s="228"/>
      <c r="G175" s="228"/>
      <c r="H175" s="241"/>
      <c r="I175" s="228"/>
      <c r="J175" s="228"/>
      <c r="K175" s="228"/>
      <c r="L175" s="228"/>
      <c r="M175" s="228"/>
      <c r="N175" s="228"/>
      <c r="O175" s="236"/>
      <c r="P175" s="228"/>
      <c r="Q175" s="228"/>
      <c r="R175" s="228"/>
      <c r="S175" s="228"/>
      <c r="T175" s="228"/>
      <c r="U175" s="228"/>
      <c r="V175" s="228"/>
      <c r="W175" s="228"/>
      <c r="X175" s="228"/>
      <c r="Y175" s="228"/>
      <c r="Z175" s="228"/>
      <c r="AA175" s="228"/>
      <c r="AB175" s="228"/>
      <c r="AC175" s="228"/>
      <c r="AD175" s="228"/>
      <c r="AE175" s="228"/>
      <c r="AF175" s="228"/>
      <c r="AG175" s="228"/>
      <c r="AH175" s="228"/>
      <c r="AI175" s="228"/>
      <c r="AJ175" s="228"/>
      <c r="AK175" s="228"/>
      <c r="AL175" s="228"/>
      <c r="AM175" s="228"/>
    </row>
    <row r="176">
      <c r="A176" s="228"/>
      <c r="B176" s="228"/>
      <c r="C176" s="228"/>
      <c r="D176" s="228"/>
      <c r="E176" s="228"/>
      <c r="F176" s="228"/>
      <c r="G176" s="228"/>
      <c r="H176" s="241"/>
      <c r="I176" s="228"/>
      <c r="J176" s="228"/>
      <c r="K176" s="228"/>
      <c r="L176" s="228"/>
      <c r="M176" s="228"/>
      <c r="N176" s="228"/>
      <c r="O176" s="236"/>
      <c r="P176" s="228"/>
      <c r="Q176" s="228"/>
      <c r="R176" s="228"/>
      <c r="S176" s="228"/>
      <c r="T176" s="228"/>
      <c r="U176" s="228"/>
      <c r="V176" s="228"/>
      <c r="W176" s="228"/>
      <c r="X176" s="228"/>
      <c r="Y176" s="228"/>
      <c r="Z176" s="228"/>
      <c r="AA176" s="228"/>
      <c r="AB176" s="228"/>
      <c r="AC176" s="228"/>
      <c r="AD176" s="228"/>
      <c r="AE176" s="228"/>
      <c r="AF176" s="228"/>
      <c r="AG176" s="228"/>
      <c r="AH176" s="228"/>
      <c r="AI176" s="228"/>
      <c r="AJ176" s="228"/>
      <c r="AK176" s="228"/>
      <c r="AL176" s="228"/>
      <c r="AM176" s="228"/>
    </row>
    <row r="177">
      <c r="A177" s="228"/>
      <c r="B177" s="228"/>
      <c r="C177" s="228"/>
      <c r="D177" s="228"/>
      <c r="E177" s="228"/>
      <c r="F177" s="228"/>
      <c r="G177" s="228"/>
      <c r="H177" s="241"/>
      <c r="I177" s="228"/>
      <c r="J177" s="228"/>
      <c r="K177" s="228"/>
      <c r="L177" s="228"/>
      <c r="M177" s="228"/>
      <c r="N177" s="228"/>
      <c r="O177" s="236"/>
      <c r="P177" s="228"/>
      <c r="Q177" s="228"/>
      <c r="R177" s="228"/>
      <c r="S177" s="228"/>
      <c r="T177" s="228"/>
      <c r="U177" s="228"/>
      <c r="V177" s="228"/>
      <c r="W177" s="228"/>
      <c r="X177" s="228"/>
      <c r="Y177" s="228"/>
      <c r="Z177" s="228"/>
      <c r="AA177" s="228"/>
      <c r="AB177" s="228"/>
      <c r="AC177" s="228"/>
      <c r="AD177" s="228"/>
      <c r="AE177" s="228"/>
      <c r="AF177" s="228"/>
      <c r="AG177" s="228"/>
      <c r="AH177" s="228"/>
      <c r="AI177" s="228"/>
      <c r="AJ177" s="228"/>
      <c r="AK177" s="228"/>
      <c r="AL177" s="228"/>
      <c r="AM177" s="228"/>
    </row>
    <row r="178">
      <c r="A178" s="228"/>
      <c r="B178" s="228"/>
      <c r="C178" s="228"/>
      <c r="D178" s="228"/>
      <c r="E178" s="228"/>
      <c r="F178" s="228"/>
      <c r="G178" s="228"/>
      <c r="H178" s="241"/>
      <c r="I178" s="228"/>
      <c r="J178" s="228"/>
      <c r="K178" s="228"/>
      <c r="L178" s="228"/>
      <c r="M178" s="228"/>
      <c r="N178" s="228"/>
      <c r="O178" s="236"/>
      <c r="P178" s="228"/>
      <c r="Q178" s="228"/>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28"/>
      <c r="AM178" s="228"/>
    </row>
    <row r="179">
      <c r="A179" s="228"/>
      <c r="B179" s="228"/>
      <c r="C179" s="228"/>
      <c r="D179" s="228"/>
      <c r="E179" s="228"/>
      <c r="F179" s="228"/>
      <c r="G179" s="228"/>
      <c r="H179" s="241"/>
      <c r="I179" s="228"/>
      <c r="J179" s="228"/>
      <c r="K179" s="228"/>
      <c r="L179" s="228"/>
      <c r="M179" s="228"/>
      <c r="N179" s="228"/>
      <c r="O179" s="236"/>
      <c r="P179" s="228"/>
      <c r="Q179" s="228"/>
      <c r="R179" s="228"/>
      <c r="S179" s="228"/>
      <c r="T179" s="228"/>
      <c r="U179" s="228"/>
      <c r="V179" s="228"/>
      <c r="W179" s="228"/>
      <c r="X179" s="228"/>
      <c r="Y179" s="228"/>
      <c r="Z179" s="228"/>
      <c r="AA179" s="228"/>
      <c r="AB179" s="228"/>
      <c r="AC179" s="228"/>
      <c r="AD179" s="228"/>
      <c r="AE179" s="228"/>
      <c r="AF179" s="228"/>
      <c r="AG179" s="228"/>
      <c r="AH179" s="228"/>
      <c r="AI179" s="228"/>
      <c r="AJ179" s="228"/>
      <c r="AK179" s="228"/>
      <c r="AL179" s="228"/>
      <c r="AM179" s="228"/>
    </row>
    <row r="180">
      <c r="A180" s="228"/>
      <c r="B180" s="228"/>
      <c r="C180" s="228"/>
      <c r="D180" s="228"/>
      <c r="E180" s="228"/>
      <c r="F180" s="228"/>
      <c r="G180" s="228"/>
      <c r="H180" s="241"/>
      <c r="I180" s="228"/>
      <c r="J180" s="228"/>
      <c r="K180" s="228"/>
      <c r="L180" s="228"/>
      <c r="M180" s="228"/>
      <c r="N180" s="228"/>
      <c r="O180" s="236"/>
      <c r="P180" s="228"/>
      <c r="Q180" s="228"/>
      <c r="R180" s="228"/>
      <c r="S180" s="228"/>
      <c r="T180" s="228"/>
      <c r="U180" s="228"/>
      <c r="V180" s="228"/>
      <c r="W180" s="228"/>
      <c r="X180" s="228"/>
      <c r="Y180" s="228"/>
      <c r="Z180" s="228"/>
      <c r="AA180" s="228"/>
      <c r="AB180" s="228"/>
      <c r="AC180" s="228"/>
      <c r="AD180" s="228"/>
      <c r="AE180" s="228"/>
      <c r="AF180" s="228"/>
      <c r="AG180" s="228"/>
      <c r="AH180" s="228"/>
      <c r="AI180" s="228"/>
      <c r="AJ180" s="228"/>
      <c r="AK180" s="228"/>
      <c r="AL180" s="228"/>
      <c r="AM180" s="228"/>
    </row>
    <row r="181">
      <c r="A181" s="228"/>
      <c r="B181" s="228"/>
      <c r="C181" s="228"/>
      <c r="D181" s="228"/>
      <c r="E181" s="228"/>
      <c r="F181" s="228"/>
      <c r="G181" s="228"/>
      <c r="H181" s="241"/>
      <c r="I181" s="228"/>
      <c r="J181" s="228"/>
      <c r="K181" s="228"/>
      <c r="L181" s="228"/>
      <c r="M181" s="228"/>
      <c r="N181" s="228"/>
      <c r="O181" s="236"/>
      <c r="P181" s="228"/>
      <c r="Q181" s="228"/>
      <c r="R181" s="228"/>
      <c r="S181" s="228"/>
      <c r="T181" s="228"/>
      <c r="U181" s="228"/>
      <c r="V181" s="228"/>
      <c r="W181" s="228"/>
      <c r="X181" s="228"/>
      <c r="Y181" s="228"/>
      <c r="Z181" s="228"/>
      <c r="AA181" s="228"/>
      <c r="AB181" s="228"/>
      <c r="AC181" s="228"/>
      <c r="AD181" s="228"/>
      <c r="AE181" s="228"/>
      <c r="AF181" s="228"/>
      <c r="AG181" s="228"/>
      <c r="AH181" s="228"/>
      <c r="AI181" s="228"/>
      <c r="AJ181" s="228"/>
      <c r="AK181" s="228"/>
      <c r="AL181" s="228"/>
      <c r="AM181" s="228"/>
    </row>
    <row r="182">
      <c r="A182" s="228"/>
      <c r="B182" s="228"/>
      <c r="C182" s="228"/>
      <c r="D182" s="228"/>
      <c r="E182" s="228"/>
      <c r="F182" s="228"/>
      <c r="G182" s="228"/>
      <c r="H182" s="241"/>
      <c r="I182" s="228"/>
      <c r="J182" s="228"/>
      <c r="K182" s="228"/>
      <c r="L182" s="228"/>
      <c r="M182" s="228"/>
      <c r="N182" s="228"/>
      <c r="O182" s="236"/>
      <c r="P182" s="228"/>
      <c r="Q182" s="228"/>
      <c r="R182" s="228"/>
      <c r="S182" s="228"/>
      <c r="T182" s="228"/>
      <c r="U182" s="228"/>
      <c r="V182" s="228"/>
      <c r="W182" s="228"/>
      <c r="X182" s="228"/>
      <c r="Y182" s="228"/>
      <c r="Z182" s="228"/>
      <c r="AA182" s="228"/>
      <c r="AB182" s="228"/>
      <c r="AC182" s="228"/>
      <c r="AD182" s="228"/>
      <c r="AE182" s="228"/>
      <c r="AF182" s="228"/>
      <c r="AG182" s="228"/>
      <c r="AH182" s="228"/>
      <c r="AI182" s="228"/>
      <c r="AJ182" s="228"/>
      <c r="AK182" s="228"/>
      <c r="AL182" s="228"/>
      <c r="AM182" s="228"/>
    </row>
    <row r="183">
      <c r="A183" s="228"/>
      <c r="B183" s="228"/>
      <c r="C183" s="228"/>
      <c r="D183" s="228"/>
      <c r="E183" s="228"/>
      <c r="F183" s="228"/>
      <c r="G183" s="228"/>
      <c r="H183" s="241"/>
      <c r="I183" s="228"/>
      <c r="J183" s="228"/>
      <c r="K183" s="228"/>
      <c r="L183" s="228"/>
      <c r="M183" s="228"/>
      <c r="N183" s="228"/>
      <c r="O183" s="236"/>
      <c r="P183" s="228"/>
      <c r="Q183" s="228"/>
      <c r="R183" s="228"/>
      <c r="S183" s="228"/>
      <c r="T183" s="228"/>
      <c r="U183" s="228"/>
      <c r="V183" s="228"/>
      <c r="W183" s="228"/>
      <c r="X183" s="228"/>
      <c r="Y183" s="228"/>
      <c r="Z183" s="228"/>
      <c r="AA183" s="228"/>
      <c r="AB183" s="228"/>
      <c r="AC183" s="228"/>
      <c r="AD183" s="228"/>
      <c r="AE183" s="228"/>
      <c r="AF183" s="228"/>
      <c r="AG183" s="228"/>
      <c r="AH183" s="228"/>
      <c r="AI183" s="228"/>
      <c r="AJ183" s="228"/>
      <c r="AK183" s="228"/>
      <c r="AL183" s="228"/>
      <c r="AM183" s="228"/>
    </row>
    <row r="184">
      <c r="A184" s="228"/>
      <c r="B184" s="228"/>
      <c r="C184" s="228"/>
      <c r="D184" s="228"/>
      <c r="E184" s="228"/>
      <c r="F184" s="228"/>
      <c r="G184" s="228"/>
      <c r="H184" s="241"/>
      <c r="I184" s="228"/>
      <c r="J184" s="228"/>
      <c r="K184" s="228"/>
      <c r="L184" s="228"/>
      <c r="M184" s="228"/>
      <c r="N184" s="228"/>
      <c r="O184" s="236"/>
      <c r="P184" s="228"/>
      <c r="Q184" s="228"/>
      <c r="R184" s="228"/>
      <c r="S184" s="228"/>
      <c r="T184" s="228"/>
      <c r="U184" s="228"/>
      <c r="V184" s="228"/>
      <c r="W184" s="228"/>
      <c r="X184" s="228"/>
      <c r="Y184" s="228"/>
      <c r="Z184" s="228"/>
      <c r="AA184" s="228"/>
      <c r="AB184" s="228"/>
      <c r="AC184" s="228"/>
      <c r="AD184" s="228"/>
      <c r="AE184" s="228"/>
      <c r="AF184" s="228"/>
      <c r="AG184" s="228"/>
      <c r="AH184" s="228"/>
      <c r="AI184" s="228"/>
      <c r="AJ184" s="228"/>
      <c r="AK184" s="228"/>
      <c r="AL184" s="228"/>
      <c r="AM184" s="228"/>
    </row>
    <row r="185">
      <c r="A185" s="228"/>
      <c r="B185" s="228"/>
      <c r="C185" s="228"/>
      <c r="D185" s="228"/>
      <c r="E185" s="228"/>
      <c r="F185" s="228"/>
      <c r="G185" s="228"/>
      <c r="H185" s="241"/>
      <c r="I185" s="228"/>
      <c r="J185" s="228"/>
      <c r="K185" s="228"/>
      <c r="L185" s="228"/>
      <c r="M185" s="228"/>
      <c r="N185" s="228"/>
      <c r="O185" s="236"/>
      <c r="P185" s="228"/>
      <c r="Q185" s="228"/>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28"/>
      <c r="AM185" s="228"/>
    </row>
    <row r="186">
      <c r="A186" s="228"/>
      <c r="B186" s="228"/>
      <c r="C186" s="228"/>
      <c r="D186" s="228"/>
      <c r="E186" s="228"/>
      <c r="F186" s="228"/>
      <c r="G186" s="228"/>
      <c r="H186" s="241"/>
      <c r="I186" s="228"/>
      <c r="J186" s="228"/>
      <c r="K186" s="228"/>
      <c r="L186" s="228"/>
      <c r="M186" s="228"/>
      <c r="N186" s="228"/>
      <c r="O186" s="236"/>
      <c r="P186" s="228"/>
      <c r="Q186" s="228"/>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row>
    <row r="187">
      <c r="A187" s="228"/>
      <c r="B187" s="228"/>
      <c r="C187" s="228"/>
      <c r="D187" s="228"/>
      <c r="E187" s="228"/>
      <c r="F187" s="228"/>
      <c r="G187" s="228"/>
      <c r="H187" s="241"/>
      <c r="I187" s="228"/>
      <c r="J187" s="228"/>
      <c r="K187" s="228"/>
      <c r="L187" s="228"/>
      <c r="M187" s="228"/>
      <c r="N187" s="228"/>
      <c r="O187" s="236"/>
      <c r="P187" s="228"/>
      <c r="Q187" s="228"/>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28"/>
      <c r="AM187" s="228"/>
    </row>
    <row r="188">
      <c r="A188" s="228"/>
      <c r="B188" s="228"/>
      <c r="C188" s="228"/>
      <c r="D188" s="228"/>
      <c r="E188" s="228"/>
      <c r="F188" s="228"/>
      <c r="G188" s="228"/>
      <c r="H188" s="241"/>
      <c r="I188" s="228"/>
      <c r="J188" s="228"/>
      <c r="K188" s="228"/>
      <c r="L188" s="228"/>
      <c r="M188" s="228"/>
      <c r="N188" s="228"/>
      <c r="O188" s="236"/>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row>
    <row r="189">
      <c r="A189" s="228"/>
      <c r="B189" s="228"/>
      <c r="C189" s="228"/>
      <c r="D189" s="228"/>
      <c r="E189" s="228"/>
      <c r="F189" s="228"/>
      <c r="G189" s="228"/>
      <c r="H189" s="241"/>
      <c r="I189" s="228"/>
      <c r="J189" s="228"/>
      <c r="K189" s="228"/>
      <c r="L189" s="228"/>
      <c r="M189" s="228"/>
      <c r="N189" s="228"/>
      <c r="O189" s="236"/>
      <c r="P189" s="228"/>
      <c r="Q189" s="228"/>
      <c r="R189" s="228"/>
      <c r="S189" s="228"/>
      <c r="T189" s="228"/>
      <c r="U189" s="228"/>
      <c r="V189" s="228"/>
      <c r="W189" s="228"/>
      <c r="X189" s="228"/>
      <c r="Y189" s="228"/>
      <c r="Z189" s="228"/>
      <c r="AA189" s="228"/>
      <c r="AB189" s="228"/>
      <c r="AC189" s="228"/>
      <c r="AD189" s="228"/>
      <c r="AE189" s="228"/>
      <c r="AF189" s="228"/>
      <c r="AG189" s="228"/>
      <c r="AH189" s="228"/>
      <c r="AI189" s="228"/>
      <c r="AJ189" s="228"/>
      <c r="AK189" s="228"/>
      <c r="AL189" s="228"/>
      <c r="AM189" s="228"/>
    </row>
    <row r="190">
      <c r="A190" s="228"/>
      <c r="B190" s="228"/>
      <c r="C190" s="228"/>
      <c r="D190" s="228"/>
      <c r="E190" s="228"/>
      <c r="F190" s="228"/>
      <c r="G190" s="228"/>
      <c r="H190" s="241"/>
      <c r="I190" s="228"/>
      <c r="J190" s="228"/>
      <c r="K190" s="228"/>
      <c r="L190" s="228"/>
      <c r="M190" s="228"/>
      <c r="N190" s="228"/>
      <c r="O190" s="236"/>
      <c r="P190" s="228"/>
      <c r="Q190" s="228"/>
      <c r="R190" s="228"/>
      <c r="S190" s="228"/>
      <c r="T190" s="228"/>
      <c r="U190" s="228"/>
      <c r="V190" s="228"/>
      <c r="W190" s="228"/>
      <c r="X190" s="228"/>
      <c r="Y190" s="228"/>
      <c r="Z190" s="228"/>
      <c r="AA190" s="228"/>
      <c r="AB190" s="228"/>
      <c r="AC190" s="228"/>
      <c r="AD190" s="228"/>
      <c r="AE190" s="228"/>
      <c r="AF190" s="228"/>
      <c r="AG190" s="228"/>
      <c r="AH190" s="228"/>
      <c r="AI190" s="228"/>
      <c r="AJ190" s="228"/>
      <c r="AK190" s="228"/>
      <c r="AL190" s="228"/>
      <c r="AM190" s="228"/>
    </row>
    <row r="191">
      <c r="A191" s="228"/>
      <c r="B191" s="228"/>
      <c r="C191" s="228"/>
      <c r="D191" s="228"/>
      <c r="E191" s="228"/>
      <c r="F191" s="228"/>
      <c r="G191" s="228"/>
      <c r="H191" s="241"/>
      <c r="I191" s="228"/>
      <c r="J191" s="228"/>
      <c r="K191" s="228"/>
      <c r="L191" s="228"/>
      <c r="M191" s="228"/>
      <c r="N191" s="228"/>
      <c r="O191" s="236"/>
      <c r="P191" s="228"/>
      <c r="Q191" s="228"/>
      <c r="R191" s="228"/>
      <c r="S191" s="228"/>
      <c r="T191" s="228"/>
      <c r="U191" s="228"/>
      <c r="V191" s="228"/>
      <c r="W191" s="228"/>
      <c r="X191" s="228"/>
      <c r="Y191" s="228"/>
      <c r="Z191" s="228"/>
      <c r="AA191" s="228"/>
      <c r="AB191" s="228"/>
      <c r="AC191" s="228"/>
      <c r="AD191" s="228"/>
      <c r="AE191" s="228"/>
      <c r="AF191" s="228"/>
      <c r="AG191" s="228"/>
      <c r="AH191" s="228"/>
      <c r="AI191" s="228"/>
      <c r="AJ191" s="228"/>
      <c r="AK191" s="228"/>
      <c r="AL191" s="228"/>
      <c r="AM191" s="228"/>
    </row>
    <row r="192">
      <c r="A192" s="228"/>
      <c r="B192" s="228"/>
      <c r="C192" s="228"/>
      <c r="D192" s="228"/>
      <c r="E192" s="228"/>
      <c r="F192" s="228"/>
      <c r="G192" s="228"/>
      <c r="H192" s="241"/>
      <c r="I192" s="228"/>
      <c r="J192" s="228"/>
      <c r="K192" s="228"/>
      <c r="L192" s="228"/>
      <c r="M192" s="228"/>
      <c r="N192" s="228"/>
      <c r="O192" s="236"/>
      <c r="P192" s="228"/>
      <c r="Q192" s="228"/>
      <c r="R192" s="228"/>
      <c r="S192" s="228"/>
      <c r="T192" s="228"/>
      <c r="U192" s="228"/>
      <c r="V192" s="228"/>
      <c r="W192" s="228"/>
      <c r="X192" s="228"/>
      <c r="Y192" s="228"/>
      <c r="Z192" s="228"/>
      <c r="AA192" s="228"/>
      <c r="AB192" s="228"/>
      <c r="AC192" s="228"/>
      <c r="AD192" s="228"/>
      <c r="AE192" s="228"/>
      <c r="AF192" s="228"/>
      <c r="AG192" s="228"/>
      <c r="AH192" s="228"/>
      <c r="AI192" s="228"/>
      <c r="AJ192" s="228"/>
      <c r="AK192" s="228"/>
      <c r="AL192" s="228"/>
      <c r="AM192" s="228"/>
    </row>
    <row r="193">
      <c r="A193" s="228"/>
      <c r="B193" s="228"/>
      <c r="C193" s="228"/>
      <c r="D193" s="228"/>
      <c r="E193" s="228"/>
      <c r="F193" s="228"/>
      <c r="G193" s="228"/>
      <c r="H193" s="241"/>
      <c r="I193" s="228"/>
      <c r="J193" s="228"/>
      <c r="K193" s="228"/>
      <c r="L193" s="228"/>
      <c r="M193" s="228"/>
      <c r="N193" s="228"/>
      <c r="O193" s="236"/>
      <c r="P193" s="228"/>
      <c r="Q193" s="228"/>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row>
    <row r="194">
      <c r="A194" s="228"/>
      <c r="B194" s="228"/>
      <c r="C194" s="228"/>
      <c r="D194" s="228"/>
      <c r="E194" s="228"/>
      <c r="F194" s="228"/>
      <c r="G194" s="228"/>
      <c r="H194" s="241"/>
      <c r="I194" s="228"/>
      <c r="J194" s="228"/>
      <c r="K194" s="228"/>
      <c r="L194" s="228"/>
      <c r="M194" s="228"/>
      <c r="N194" s="228"/>
      <c r="O194" s="236"/>
      <c r="P194" s="228"/>
      <c r="Q194" s="228"/>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row>
    <row r="195">
      <c r="A195" s="228"/>
      <c r="B195" s="228"/>
      <c r="C195" s="228"/>
      <c r="D195" s="228"/>
      <c r="E195" s="228"/>
      <c r="F195" s="228"/>
      <c r="G195" s="228"/>
      <c r="H195" s="241"/>
      <c r="I195" s="228"/>
      <c r="J195" s="228"/>
      <c r="K195" s="228"/>
      <c r="L195" s="228"/>
      <c r="M195" s="228"/>
      <c r="N195" s="228"/>
      <c r="O195" s="236"/>
      <c r="P195" s="228"/>
      <c r="Q195" s="228"/>
      <c r="R195" s="228"/>
      <c r="S195" s="228"/>
      <c r="T195" s="228"/>
      <c r="U195" s="228"/>
      <c r="V195" s="228"/>
      <c r="W195" s="228"/>
      <c r="X195" s="228"/>
      <c r="Y195" s="228"/>
      <c r="Z195" s="228"/>
      <c r="AA195" s="228"/>
      <c r="AB195" s="228"/>
      <c r="AC195" s="228"/>
      <c r="AD195" s="228"/>
      <c r="AE195" s="228"/>
      <c r="AF195" s="228"/>
      <c r="AG195" s="228"/>
      <c r="AH195" s="228"/>
      <c r="AI195" s="228"/>
      <c r="AJ195" s="228"/>
      <c r="AK195" s="228"/>
      <c r="AL195" s="228"/>
      <c r="AM195" s="228"/>
    </row>
    <row r="196">
      <c r="A196" s="228"/>
      <c r="B196" s="228"/>
      <c r="C196" s="228"/>
      <c r="D196" s="228"/>
      <c r="E196" s="228"/>
      <c r="F196" s="228"/>
      <c r="G196" s="228"/>
      <c r="H196" s="241"/>
      <c r="I196" s="228"/>
      <c r="J196" s="228"/>
      <c r="K196" s="228"/>
      <c r="L196" s="228"/>
      <c r="M196" s="228"/>
      <c r="N196" s="228"/>
      <c r="O196" s="236"/>
      <c r="P196" s="228"/>
      <c r="Q196" s="228"/>
      <c r="R196" s="228"/>
      <c r="S196" s="228"/>
      <c r="T196" s="228"/>
      <c r="U196" s="228"/>
      <c r="V196" s="228"/>
      <c r="W196" s="228"/>
      <c r="X196" s="228"/>
      <c r="Y196" s="228"/>
      <c r="Z196" s="228"/>
      <c r="AA196" s="228"/>
      <c r="AB196" s="228"/>
      <c r="AC196" s="228"/>
      <c r="AD196" s="228"/>
      <c r="AE196" s="228"/>
      <c r="AF196" s="228"/>
      <c r="AG196" s="228"/>
      <c r="AH196" s="228"/>
      <c r="AI196" s="228"/>
      <c r="AJ196" s="228"/>
      <c r="AK196" s="228"/>
      <c r="AL196" s="228"/>
      <c r="AM196" s="228"/>
    </row>
    <row r="197">
      <c r="A197" s="228"/>
      <c r="B197" s="228"/>
      <c r="C197" s="228"/>
      <c r="D197" s="228"/>
      <c r="E197" s="228"/>
      <c r="F197" s="228"/>
      <c r="G197" s="228"/>
      <c r="H197" s="241"/>
      <c r="I197" s="228"/>
      <c r="J197" s="228"/>
      <c r="K197" s="228"/>
      <c r="L197" s="228"/>
      <c r="M197" s="228"/>
      <c r="N197" s="228"/>
      <c r="O197" s="236"/>
      <c r="P197" s="228"/>
      <c r="Q197" s="228"/>
      <c r="R197" s="228"/>
      <c r="S197" s="228"/>
      <c r="T197" s="228"/>
      <c r="U197" s="228"/>
      <c r="V197" s="228"/>
      <c r="W197" s="228"/>
      <c r="X197" s="228"/>
      <c r="Y197" s="228"/>
      <c r="Z197" s="228"/>
      <c r="AA197" s="228"/>
      <c r="AB197" s="228"/>
      <c r="AC197" s="228"/>
      <c r="AD197" s="228"/>
      <c r="AE197" s="228"/>
      <c r="AF197" s="228"/>
      <c r="AG197" s="228"/>
      <c r="AH197" s="228"/>
      <c r="AI197" s="228"/>
      <c r="AJ197" s="228"/>
      <c r="AK197" s="228"/>
      <c r="AL197" s="228"/>
      <c r="AM197" s="228"/>
    </row>
    <row r="198">
      <c r="A198" s="228"/>
      <c r="B198" s="228"/>
      <c r="C198" s="228"/>
      <c r="D198" s="228"/>
      <c r="E198" s="228"/>
      <c r="F198" s="228"/>
      <c r="G198" s="228"/>
      <c r="H198" s="241"/>
      <c r="I198" s="228"/>
      <c r="J198" s="228"/>
      <c r="K198" s="228"/>
      <c r="L198" s="228"/>
      <c r="M198" s="228"/>
      <c r="N198" s="228"/>
      <c r="O198" s="236"/>
      <c r="P198" s="228"/>
      <c r="Q198" s="228"/>
      <c r="R198" s="228"/>
      <c r="S198" s="228"/>
      <c r="T198" s="228"/>
      <c r="U198" s="228"/>
      <c r="V198" s="228"/>
      <c r="W198" s="228"/>
      <c r="X198" s="228"/>
      <c r="Y198" s="228"/>
      <c r="Z198" s="228"/>
      <c r="AA198" s="228"/>
      <c r="AB198" s="228"/>
      <c r="AC198" s="228"/>
      <c r="AD198" s="228"/>
      <c r="AE198" s="228"/>
      <c r="AF198" s="228"/>
      <c r="AG198" s="228"/>
      <c r="AH198" s="228"/>
      <c r="AI198" s="228"/>
      <c r="AJ198" s="228"/>
      <c r="AK198" s="228"/>
      <c r="AL198" s="228"/>
      <c r="AM198" s="228"/>
    </row>
    <row r="199">
      <c r="A199" s="228"/>
      <c r="B199" s="228"/>
      <c r="C199" s="228"/>
      <c r="D199" s="228"/>
      <c r="E199" s="228"/>
      <c r="F199" s="228"/>
      <c r="G199" s="228"/>
      <c r="H199" s="241"/>
      <c r="I199" s="228"/>
      <c r="J199" s="228"/>
      <c r="K199" s="228"/>
      <c r="L199" s="228"/>
      <c r="M199" s="228"/>
      <c r="N199" s="228"/>
      <c r="O199" s="236"/>
      <c r="P199" s="228"/>
      <c r="Q199" s="228"/>
      <c r="R199" s="228"/>
      <c r="S199" s="228"/>
      <c r="T199" s="228"/>
      <c r="U199" s="228"/>
      <c r="V199" s="228"/>
      <c r="W199" s="228"/>
      <c r="X199" s="228"/>
      <c r="Y199" s="228"/>
      <c r="Z199" s="228"/>
      <c r="AA199" s="228"/>
      <c r="AB199" s="228"/>
      <c r="AC199" s="228"/>
      <c r="AD199" s="228"/>
      <c r="AE199" s="228"/>
      <c r="AF199" s="228"/>
      <c r="AG199" s="228"/>
      <c r="AH199" s="228"/>
      <c r="AI199" s="228"/>
      <c r="AJ199" s="228"/>
      <c r="AK199" s="228"/>
      <c r="AL199" s="228"/>
      <c r="AM199" s="228"/>
    </row>
    <row r="200">
      <c r="A200" s="228"/>
      <c r="B200" s="228"/>
      <c r="C200" s="228"/>
      <c r="D200" s="228"/>
      <c r="E200" s="228"/>
      <c r="F200" s="228"/>
      <c r="G200" s="228"/>
      <c r="H200" s="241"/>
      <c r="I200" s="228"/>
      <c r="J200" s="228"/>
      <c r="K200" s="228"/>
      <c r="L200" s="228"/>
      <c r="M200" s="228"/>
      <c r="N200" s="228"/>
      <c r="O200" s="236"/>
      <c r="P200" s="228"/>
      <c r="Q200" s="228"/>
      <c r="R200" s="228"/>
      <c r="S200" s="228"/>
      <c r="T200" s="228"/>
      <c r="U200" s="228"/>
      <c r="V200" s="228"/>
      <c r="W200" s="228"/>
      <c r="X200" s="228"/>
      <c r="Y200" s="228"/>
      <c r="Z200" s="228"/>
      <c r="AA200" s="228"/>
      <c r="AB200" s="228"/>
      <c r="AC200" s="228"/>
      <c r="AD200" s="228"/>
      <c r="AE200" s="228"/>
      <c r="AF200" s="228"/>
      <c r="AG200" s="228"/>
      <c r="AH200" s="228"/>
      <c r="AI200" s="228"/>
      <c r="AJ200" s="228"/>
      <c r="AK200" s="228"/>
      <c r="AL200" s="228"/>
      <c r="AM200" s="228"/>
    </row>
    <row r="201">
      <c r="A201" s="228"/>
      <c r="B201" s="228"/>
      <c r="C201" s="228"/>
      <c r="D201" s="228"/>
      <c r="E201" s="228"/>
      <c r="F201" s="228"/>
      <c r="G201" s="228"/>
      <c r="H201" s="241"/>
      <c r="I201" s="228"/>
      <c r="J201" s="228"/>
      <c r="K201" s="228"/>
      <c r="L201" s="228"/>
      <c r="M201" s="228"/>
      <c r="N201" s="228"/>
      <c r="O201" s="236"/>
      <c r="P201" s="228"/>
      <c r="Q201" s="228"/>
      <c r="R201" s="228"/>
      <c r="S201" s="228"/>
      <c r="T201" s="228"/>
      <c r="U201" s="228"/>
      <c r="V201" s="228"/>
      <c r="W201" s="228"/>
      <c r="X201" s="228"/>
      <c r="Y201" s="228"/>
      <c r="Z201" s="228"/>
      <c r="AA201" s="228"/>
      <c r="AB201" s="228"/>
      <c r="AC201" s="228"/>
      <c r="AD201" s="228"/>
      <c r="AE201" s="228"/>
      <c r="AF201" s="228"/>
      <c r="AG201" s="228"/>
      <c r="AH201" s="228"/>
      <c r="AI201" s="228"/>
      <c r="AJ201" s="228"/>
      <c r="AK201" s="228"/>
      <c r="AL201" s="228"/>
      <c r="AM201" s="228"/>
    </row>
    <row r="202">
      <c r="A202" s="228"/>
      <c r="B202" s="228"/>
      <c r="C202" s="228"/>
      <c r="D202" s="228"/>
      <c r="E202" s="228"/>
      <c r="F202" s="228"/>
      <c r="G202" s="228"/>
      <c r="H202" s="241"/>
      <c r="I202" s="228"/>
      <c r="J202" s="228"/>
      <c r="K202" s="228"/>
      <c r="L202" s="228"/>
      <c r="M202" s="228"/>
      <c r="N202" s="228"/>
      <c r="O202" s="236"/>
      <c r="P202" s="228"/>
      <c r="Q202" s="228"/>
      <c r="R202" s="228"/>
      <c r="S202" s="228"/>
      <c r="T202" s="228"/>
      <c r="U202" s="228"/>
      <c r="V202" s="228"/>
      <c r="W202" s="228"/>
      <c r="X202" s="228"/>
      <c r="Y202" s="228"/>
      <c r="Z202" s="228"/>
      <c r="AA202" s="228"/>
      <c r="AB202" s="228"/>
      <c r="AC202" s="228"/>
      <c r="AD202" s="228"/>
      <c r="AE202" s="228"/>
      <c r="AF202" s="228"/>
      <c r="AG202" s="228"/>
      <c r="AH202" s="228"/>
      <c r="AI202" s="228"/>
      <c r="AJ202" s="228"/>
      <c r="AK202" s="228"/>
      <c r="AL202" s="228"/>
      <c r="AM202" s="228"/>
    </row>
    <row r="203">
      <c r="A203" s="228"/>
      <c r="B203" s="228"/>
      <c r="C203" s="228"/>
      <c r="D203" s="228"/>
      <c r="E203" s="228"/>
      <c r="F203" s="228"/>
      <c r="G203" s="228"/>
      <c r="H203" s="241"/>
      <c r="I203" s="228"/>
      <c r="J203" s="228"/>
      <c r="K203" s="228"/>
      <c r="L203" s="228"/>
      <c r="M203" s="228"/>
      <c r="N203" s="228"/>
      <c r="O203" s="236"/>
      <c r="P203" s="228"/>
      <c r="Q203" s="228"/>
      <c r="R203" s="228"/>
      <c r="S203" s="228"/>
      <c r="T203" s="228"/>
      <c r="U203" s="228"/>
      <c r="V203" s="228"/>
      <c r="W203" s="228"/>
      <c r="X203" s="228"/>
      <c r="Y203" s="228"/>
      <c r="Z203" s="228"/>
      <c r="AA203" s="228"/>
      <c r="AB203" s="228"/>
      <c r="AC203" s="228"/>
      <c r="AD203" s="228"/>
      <c r="AE203" s="228"/>
      <c r="AF203" s="228"/>
      <c r="AG203" s="228"/>
      <c r="AH203" s="228"/>
      <c r="AI203" s="228"/>
      <c r="AJ203" s="228"/>
      <c r="AK203" s="228"/>
      <c r="AL203" s="228"/>
      <c r="AM203" s="228"/>
    </row>
    <row r="204">
      <c r="A204" s="228"/>
      <c r="B204" s="228"/>
      <c r="C204" s="228"/>
      <c r="D204" s="228"/>
      <c r="E204" s="228"/>
      <c r="F204" s="228"/>
      <c r="G204" s="228"/>
      <c r="H204" s="241"/>
      <c r="I204" s="228"/>
      <c r="J204" s="228"/>
      <c r="K204" s="228"/>
      <c r="L204" s="228"/>
      <c r="M204" s="228"/>
      <c r="N204" s="228"/>
      <c r="O204" s="236"/>
      <c r="P204" s="228"/>
      <c r="Q204" s="228"/>
      <c r="R204" s="228"/>
      <c r="S204" s="228"/>
      <c r="T204" s="228"/>
      <c r="U204" s="228"/>
      <c r="V204" s="228"/>
      <c r="W204" s="228"/>
      <c r="X204" s="228"/>
      <c r="Y204" s="228"/>
      <c r="Z204" s="228"/>
      <c r="AA204" s="228"/>
      <c r="AB204" s="228"/>
      <c r="AC204" s="228"/>
      <c r="AD204" s="228"/>
      <c r="AE204" s="228"/>
      <c r="AF204" s="228"/>
      <c r="AG204" s="228"/>
      <c r="AH204" s="228"/>
      <c r="AI204" s="228"/>
      <c r="AJ204" s="228"/>
      <c r="AK204" s="228"/>
      <c r="AL204" s="228"/>
      <c r="AM204" s="228"/>
    </row>
    <row r="205">
      <c r="A205" s="228"/>
      <c r="B205" s="228"/>
      <c r="C205" s="228"/>
      <c r="D205" s="228"/>
      <c r="E205" s="228"/>
      <c r="F205" s="228"/>
      <c r="G205" s="228"/>
      <c r="H205" s="241"/>
      <c r="I205" s="228"/>
      <c r="J205" s="228"/>
      <c r="K205" s="228"/>
      <c r="L205" s="228"/>
      <c r="M205" s="228"/>
      <c r="N205" s="228"/>
      <c r="O205" s="236"/>
      <c r="P205" s="228"/>
      <c r="Q205" s="228"/>
      <c r="R205" s="228"/>
      <c r="S205" s="228"/>
      <c r="T205" s="228"/>
      <c r="U205" s="228"/>
      <c r="V205" s="228"/>
      <c r="W205" s="228"/>
      <c r="X205" s="228"/>
      <c r="Y205" s="228"/>
      <c r="Z205" s="228"/>
      <c r="AA205" s="228"/>
      <c r="AB205" s="228"/>
      <c r="AC205" s="228"/>
      <c r="AD205" s="228"/>
      <c r="AE205" s="228"/>
      <c r="AF205" s="228"/>
      <c r="AG205" s="228"/>
      <c r="AH205" s="228"/>
      <c r="AI205" s="228"/>
      <c r="AJ205" s="228"/>
      <c r="AK205" s="228"/>
      <c r="AL205" s="228"/>
      <c r="AM205" s="228"/>
    </row>
    <row r="206">
      <c r="A206" s="228"/>
      <c r="B206" s="228"/>
      <c r="C206" s="228"/>
      <c r="D206" s="228"/>
      <c r="E206" s="228"/>
      <c r="F206" s="228"/>
      <c r="G206" s="228"/>
      <c r="H206" s="241"/>
      <c r="I206" s="228"/>
      <c r="J206" s="228"/>
      <c r="K206" s="228"/>
      <c r="L206" s="228"/>
      <c r="M206" s="228"/>
      <c r="N206" s="228"/>
      <c r="O206" s="236"/>
      <c r="P206" s="228"/>
      <c r="Q206" s="228"/>
      <c r="R206" s="228"/>
      <c r="S206" s="228"/>
      <c r="T206" s="228"/>
      <c r="U206" s="228"/>
      <c r="V206" s="228"/>
      <c r="W206" s="228"/>
      <c r="X206" s="228"/>
      <c r="Y206" s="228"/>
      <c r="Z206" s="228"/>
      <c r="AA206" s="228"/>
      <c r="AB206" s="228"/>
      <c r="AC206" s="228"/>
      <c r="AD206" s="228"/>
      <c r="AE206" s="228"/>
      <c r="AF206" s="228"/>
      <c r="AG206" s="228"/>
      <c r="AH206" s="228"/>
      <c r="AI206" s="228"/>
      <c r="AJ206" s="228"/>
      <c r="AK206" s="228"/>
      <c r="AL206" s="228"/>
      <c r="AM206" s="228"/>
    </row>
    <row r="207">
      <c r="A207" s="228"/>
      <c r="B207" s="228"/>
      <c r="C207" s="228"/>
      <c r="D207" s="228"/>
      <c r="E207" s="228"/>
      <c r="F207" s="228"/>
      <c r="G207" s="228"/>
      <c r="H207" s="241"/>
      <c r="I207" s="228"/>
      <c r="J207" s="228"/>
      <c r="K207" s="228"/>
      <c r="L207" s="228"/>
      <c r="M207" s="228"/>
      <c r="N207" s="228"/>
      <c r="O207" s="236"/>
      <c r="P207" s="228"/>
      <c r="Q207" s="228"/>
      <c r="R207" s="228"/>
      <c r="S207" s="228"/>
      <c r="T207" s="228"/>
      <c r="U207" s="228"/>
      <c r="V207" s="228"/>
      <c r="W207" s="228"/>
      <c r="X207" s="228"/>
      <c r="Y207" s="228"/>
      <c r="Z207" s="228"/>
      <c r="AA207" s="228"/>
      <c r="AB207" s="228"/>
      <c r="AC207" s="228"/>
      <c r="AD207" s="228"/>
      <c r="AE207" s="228"/>
      <c r="AF207" s="228"/>
      <c r="AG207" s="228"/>
      <c r="AH207" s="228"/>
      <c r="AI207" s="228"/>
      <c r="AJ207" s="228"/>
      <c r="AK207" s="228"/>
      <c r="AL207" s="228"/>
      <c r="AM207" s="228"/>
    </row>
    <row r="208">
      <c r="A208" s="228"/>
      <c r="B208" s="228"/>
      <c r="C208" s="228"/>
      <c r="D208" s="228"/>
      <c r="E208" s="228"/>
      <c r="F208" s="228"/>
      <c r="G208" s="228"/>
      <c r="H208" s="241"/>
      <c r="I208" s="228"/>
      <c r="J208" s="228"/>
      <c r="K208" s="228"/>
      <c r="L208" s="228"/>
      <c r="M208" s="228"/>
      <c r="N208" s="228"/>
      <c r="O208" s="236"/>
      <c r="P208" s="228"/>
      <c r="Q208" s="228"/>
      <c r="R208" s="228"/>
      <c r="S208" s="228"/>
      <c r="T208" s="228"/>
      <c r="U208" s="228"/>
      <c r="V208" s="228"/>
      <c r="W208" s="228"/>
      <c r="X208" s="228"/>
      <c r="Y208" s="228"/>
      <c r="Z208" s="228"/>
      <c r="AA208" s="228"/>
      <c r="AB208" s="228"/>
      <c r="AC208" s="228"/>
      <c r="AD208" s="228"/>
      <c r="AE208" s="228"/>
      <c r="AF208" s="228"/>
      <c r="AG208" s="228"/>
      <c r="AH208" s="228"/>
      <c r="AI208" s="228"/>
      <c r="AJ208" s="228"/>
      <c r="AK208" s="228"/>
      <c r="AL208" s="228"/>
      <c r="AM208" s="228"/>
    </row>
    <row r="209">
      <c r="A209" s="228"/>
      <c r="B209" s="228"/>
      <c r="C209" s="228"/>
      <c r="D209" s="228"/>
      <c r="E209" s="228"/>
      <c r="F209" s="228"/>
      <c r="G209" s="228"/>
      <c r="H209" s="241"/>
      <c r="I209" s="228"/>
      <c r="J209" s="228"/>
      <c r="K209" s="228"/>
      <c r="L209" s="228"/>
      <c r="M209" s="228"/>
      <c r="N209" s="228"/>
      <c r="O209" s="236"/>
      <c r="P209" s="228"/>
      <c r="Q209" s="228"/>
      <c r="R209" s="228"/>
      <c r="S209" s="228"/>
      <c r="T209" s="228"/>
      <c r="U209" s="228"/>
      <c r="V209" s="228"/>
      <c r="W209" s="228"/>
      <c r="X209" s="228"/>
      <c r="Y209" s="228"/>
      <c r="Z209" s="228"/>
      <c r="AA209" s="228"/>
      <c r="AB209" s="228"/>
      <c r="AC209" s="228"/>
      <c r="AD209" s="228"/>
      <c r="AE209" s="228"/>
      <c r="AF209" s="228"/>
      <c r="AG209" s="228"/>
      <c r="AH209" s="228"/>
      <c r="AI209" s="228"/>
      <c r="AJ209" s="228"/>
      <c r="AK209" s="228"/>
      <c r="AL209" s="228"/>
      <c r="AM209" s="228"/>
    </row>
    <row r="210">
      <c r="A210" s="228"/>
      <c r="B210" s="228"/>
      <c r="C210" s="228"/>
      <c r="D210" s="228"/>
      <c r="E210" s="228"/>
      <c r="F210" s="228"/>
      <c r="G210" s="228"/>
      <c r="H210" s="241"/>
      <c r="I210" s="228"/>
      <c r="J210" s="228"/>
      <c r="K210" s="228"/>
      <c r="L210" s="228"/>
      <c r="M210" s="228"/>
      <c r="N210" s="228"/>
      <c r="O210" s="236"/>
      <c r="P210" s="228"/>
      <c r="Q210" s="228"/>
      <c r="R210" s="228"/>
      <c r="S210" s="228"/>
      <c r="T210" s="228"/>
      <c r="U210" s="228"/>
      <c r="V210" s="228"/>
      <c r="W210" s="228"/>
      <c r="X210" s="228"/>
      <c r="Y210" s="228"/>
      <c r="Z210" s="228"/>
      <c r="AA210" s="228"/>
      <c r="AB210" s="228"/>
      <c r="AC210" s="228"/>
      <c r="AD210" s="228"/>
      <c r="AE210" s="228"/>
      <c r="AF210" s="228"/>
      <c r="AG210" s="228"/>
      <c r="AH210" s="228"/>
      <c r="AI210" s="228"/>
      <c r="AJ210" s="228"/>
      <c r="AK210" s="228"/>
      <c r="AL210" s="228"/>
      <c r="AM210" s="228"/>
    </row>
    <row r="211">
      <c r="A211" s="228"/>
      <c r="B211" s="228"/>
      <c r="C211" s="228"/>
      <c r="D211" s="228"/>
      <c r="E211" s="228"/>
      <c r="F211" s="228"/>
      <c r="G211" s="228"/>
      <c r="H211" s="241"/>
      <c r="I211" s="228"/>
      <c r="J211" s="228"/>
      <c r="K211" s="228"/>
      <c r="L211" s="228"/>
      <c r="M211" s="228"/>
      <c r="N211" s="228"/>
      <c r="O211" s="236"/>
      <c r="P211" s="228"/>
      <c r="Q211" s="228"/>
      <c r="R211" s="228"/>
      <c r="S211" s="228"/>
      <c r="T211" s="228"/>
      <c r="U211" s="228"/>
      <c r="V211" s="228"/>
      <c r="W211" s="228"/>
      <c r="X211" s="228"/>
      <c r="Y211" s="228"/>
      <c r="Z211" s="228"/>
      <c r="AA211" s="228"/>
      <c r="AB211" s="228"/>
      <c r="AC211" s="228"/>
      <c r="AD211" s="228"/>
      <c r="AE211" s="228"/>
      <c r="AF211" s="228"/>
      <c r="AG211" s="228"/>
      <c r="AH211" s="228"/>
      <c r="AI211" s="228"/>
      <c r="AJ211" s="228"/>
      <c r="AK211" s="228"/>
      <c r="AL211" s="228"/>
      <c r="AM211" s="228"/>
    </row>
    <row r="212">
      <c r="A212" s="228"/>
      <c r="B212" s="228"/>
      <c r="C212" s="228"/>
      <c r="D212" s="228"/>
      <c r="E212" s="228"/>
      <c r="F212" s="228"/>
      <c r="G212" s="228"/>
      <c r="H212" s="241"/>
      <c r="I212" s="228"/>
      <c r="J212" s="228"/>
      <c r="K212" s="228"/>
      <c r="L212" s="228"/>
      <c r="M212" s="228"/>
      <c r="N212" s="228"/>
      <c r="O212" s="236"/>
      <c r="P212" s="228"/>
      <c r="Q212" s="228"/>
      <c r="R212" s="228"/>
      <c r="S212" s="228"/>
      <c r="T212" s="228"/>
      <c r="U212" s="228"/>
      <c r="V212" s="228"/>
      <c r="W212" s="228"/>
      <c r="X212" s="228"/>
      <c r="Y212" s="228"/>
      <c r="Z212" s="228"/>
      <c r="AA212" s="228"/>
      <c r="AB212" s="228"/>
      <c r="AC212" s="228"/>
      <c r="AD212" s="228"/>
      <c r="AE212" s="228"/>
      <c r="AF212" s="228"/>
      <c r="AG212" s="228"/>
      <c r="AH212" s="228"/>
      <c r="AI212" s="228"/>
      <c r="AJ212" s="228"/>
      <c r="AK212" s="228"/>
      <c r="AL212" s="228"/>
      <c r="AM212" s="228"/>
    </row>
    <row r="213">
      <c r="A213" s="228"/>
      <c r="B213" s="228"/>
      <c r="C213" s="228"/>
      <c r="D213" s="228"/>
      <c r="E213" s="228"/>
      <c r="F213" s="228"/>
      <c r="G213" s="228"/>
      <c r="H213" s="241"/>
      <c r="I213" s="228"/>
      <c r="J213" s="228"/>
      <c r="K213" s="228"/>
      <c r="L213" s="228"/>
      <c r="M213" s="228"/>
      <c r="N213" s="228"/>
      <c r="O213" s="236"/>
      <c r="P213" s="228"/>
      <c r="Q213" s="228"/>
      <c r="R213" s="228"/>
      <c r="S213" s="228"/>
      <c r="T213" s="228"/>
      <c r="U213" s="228"/>
      <c r="V213" s="228"/>
      <c r="W213" s="228"/>
      <c r="X213" s="228"/>
      <c r="Y213" s="228"/>
      <c r="Z213" s="228"/>
      <c r="AA213" s="228"/>
      <c r="AB213" s="228"/>
      <c r="AC213" s="228"/>
      <c r="AD213" s="228"/>
      <c r="AE213" s="228"/>
      <c r="AF213" s="228"/>
      <c r="AG213" s="228"/>
      <c r="AH213" s="228"/>
      <c r="AI213" s="228"/>
      <c r="AJ213" s="228"/>
      <c r="AK213" s="228"/>
      <c r="AL213" s="228"/>
      <c r="AM213" s="228"/>
    </row>
    <row r="214">
      <c r="A214" s="228"/>
      <c r="B214" s="228"/>
      <c r="C214" s="228"/>
      <c r="D214" s="228"/>
      <c r="E214" s="228"/>
      <c r="F214" s="228"/>
      <c r="G214" s="228"/>
      <c r="H214" s="241"/>
      <c r="I214" s="228"/>
      <c r="J214" s="228"/>
      <c r="K214" s="228"/>
      <c r="L214" s="228"/>
      <c r="M214" s="228"/>
      <c r="N214" s="228"/>
      <c r="O214" s="236"/>
      <c r="P214" s="228"/>
      <c r="Q214" s="228"/>
      <c r="R214" s="228"/>
      <c r="S214" s="228"/>
      <c r="T214" s="228"/>
      <c r="U214" s="228"/>
      <c r="V214" s="228"/>
      <c r="W214" s="228"/>
      <c r="X214" s="228"/>
      <c r="Y214" s="228"/>
      <c r="Z214" s="228"/>
      <c r="AA214" s="228"/>
      <c r="AB214" s="228"/>
      <c r="AC214" s="228"/>
      <c r="AD214" s="228"/>
      <c r="AE214" s="228"/>
      <c r="AF214" s="228"/>
      <c r="AG214" s="228"/>
      <c r="AH214" s="228"/>
      <c r="AI214" s="228"/>
      <c r="AJ214" s="228"/>
      <c r="AK214" s="228"/>
      <c r="AL214" s="228"/>
      <c r="AM214" s="228"/>
    </row>
    <row r="215">
      <c r="A215" s="228"/>
      <c r="B215" s="228"/>
      <c r="C215" s="228"/>
      <c r="D215" s="228"/>
      <c r="E215" s="228"/>
      <c r="F215" s="228"/>
      <c r="G215" s="228"/>
      <c r="H215" s="241"/>
      <c r="I215" s="228"/>
      <c r="J215" s="228"/>
      <c r="K215" s="228"/>
      <c r="L215" s="228"/>
      <c r="M215" s="228"/>
      <c r="N215" s="228"/>
      <c r="O215" s="236"/>
      <c r="P215" s="228"/>
      <c r="Q215" s="228"/>
      <c r="R215" s="228"/>
      <c r="S215" s="228"/>
      <c r="T215" s="228"/>
      <c r="U215" s="228"/>
      <c r="V215" s="228"/>
      <c r="W215" s="228"/>
      <c r="X215" s="228"/>
      <c r="Y215" s="228"/>
      <c r="Z215" s="228"/>
      <c r="AA215" s="228"/>
      <c r="AB215" s="228"/>
      <c r="AC215" s="228"/>
      <c r="AD215" s="228"/>
      <c r="AE215" s="228"/>
      <c r="AF215" s="228"/>
      <c r="AG215" s="228"/>
      <c r="AH215" s="228"/>
      <c r="AI215" s="228"/>
      <c r="AJ215" s="228"/>
      <c r="AK215" s="228"/>
      <c r="AL215" s="228"/>
      <c r="AM215" s="228"/>
    </row>
    <row r="216">
      <c r="A216" s="228"/>
      <c r="B216" s="228"/>
      <c r="C216" s="228"/>
      <c r="D216" s="228"/>
      <c r="E216" s="228"/>
      <c r="F216" s="228"/>
      <c r="G216" s="228"/>
      <c r="H216" s="241"/>
      <c r="I216" s="228"/>
      <c r="J216" s="228"/>
      <c r="K216" s="228"/>
      <c r="L216" s="228"/>
      <c r="M216" s="228"/>
      <c r="N216" s="228"/>
      <c r="O216" s="236"/>
      <c r="P216" s="228"/>
      <c r="Q216" s="228"/>
      <c r="R216" s="228"/>
      <c r="S216" s="228"/>
      <c r="T216" s="228"/>
      <c r="U216" s="228"/>
      <c r="V216" s="228"/>
      <c r="W216" s="228"/>
      <c r="X216" s="228"/>
      <c r="Y216" s="228"/>
      <c r="Z216" s="228"/>
      <c r="AA216" s="228"/>
      <c r="AB216" s="228"/>
      <c r="AC216" s="228"/>
      <c r="AD216" s="228"/>
      <c r="AE216" s="228"/>
      <c r="AF216" s="228"/>
      <c r="AG216" s="228"/>
      <c r="AH216" s="228"/>
      <c r="AI216" s="228"/>
      <c r="AJ216" s="228"/>
      <c r="AK216" s="228"/>
      <c r="AL216" s="228"/>
      <c r="AM216" s="228"/>
    </row>
    <row r="217">
      <c r="A217" s="228"/>
      <c r="B217" s="228"/>
      <c r="C217" s="228"/>
      <c r="D217" s="228"/>
      <c r="E217" s="228"/>
      <c r="F217" s="228"/>
      <c r="G217" s="228"/>
      <c r="H217" s="241"/>
      <c r="I217" s="228"/>
      <c r="J217" s="228"/>
      <c r="K217" s="228"/>
      <c r="L217" s="228"/>
      <c r="M217" s="228"/>
      <c r="N217" s="228"/>
      <c r="O217" s="236"/>
      <c r="P217" s="228"/>
      <c r="Q217" s="228"/>
      <c r="R217" s="228"/>
      <c r="S217" s="228"/>
      <c r="T217" s="228"/>
      <c r="U217" s="228"/>
      <c r="V217" s="228"/>
      <c r="W217" s="228"/>
      <c r="X217" s="228"/>
      <c r="Y217" s="228"/>
      <c r="Z217" s="228"/>
      <c r="AA217" s="228"/>
      <c r="AB217" s="228"/>
      <c r="AC217" s="228"/>
      <c r="AD217" s="228"/>
      <c r="AE217" s="228"/>
      <c r="AF217" s="228"/>
      <c r="AG217" s="228"/>
      <c r="AH217" s="228"/>
      <c r="AI217" s="228"/>
      <c r="AJ217" s="228"/>
      <c r="AK217" s="228"/>
      <c r="AL217" s="228"/>
      <c r="AM217" s="228"/>
    </row>
    <row r="218">
      <c r="A218" s="228"/>
      <c r="B218" s="228"/>
      <c r="C218" s="228"/>
      <c r="D218" s="228"/>
      <c r="E218" s="228"/>
      <c r="F218" s="228"/>
      <c r="G218" s="228"/>
      <c r="H218" s="241"/>
      <c r="I218" s="228"/>
      <c r="J218" s="228"/>
      <c r="K218" s="228"/>
      <c r="L218" s="228"/>
      <c r="M218" s="228"/>
      <c r="N218" s="228"/>
      <c r="O218" s="236"/>
      <c r="P218" s="228"/>
      <c r="Q218" s="228"/>
      <c r="R218" s="228"/>
      <c r="S218" s="228"/>
      <c r="T218" s="228"/>
      <c r="U218" s="228"/>
      <c r="V218" s="228"/>
      <c r="W218" s="228"/>
      <c r="X218" s="228"/>
      <c r="Y218" s="228"/>
      <c r="Z218" s="228"/>
      <c r="AA218" s="228"/>
      <c r="AB218" s="228"/>
      <c r="AC218" s="228"/>
      <c r="AD218" s="228"/>
      <c r="AE218" s="228"/>
      <c r="AF218" s="228"/>
      <c r="AG218" s="228"/>
      <c r="AH218" s="228"/>
      <c r="AI218" s="228"/>
      <c r="AJ218" s="228"/>
      <c r="AK218" s="228"/>
      <c r="AL218" s="228"/>
      <c r="AM218" s="228"/>
    </row>
    <row r="219">
      <c r="A219" s="228"/>
      <c r="B219" s="228"/>
      <c r="C219" s="228"/>
      <c r="D219" s="228"/>
      <c r="E219" s="228"/>
      <c r="F219" s="228"/>
      <c r="G219" s="228"/>
      <c r="H219" s="241"/>
      <c r="I219" s="228"/>
      <c r="J219" s="228"/>
      <c r="K219" s="228"/>
      <c r="L219" s="228"/>
      <c r="M219" s="228"/>
      <c r="N219" s="228"/>
      <c r="O219" s="236"/>
      <c r="P219" s="228"/>
      <c r="Q219" s="228"/>
      <c r="R219" s="228"/>
      <c r="S219" s="228"/>
      <c r="T219" s="228"/>
      <c r="U219" s="228"/>
      <c r="V219" s="228"/>
      <c r="W219" s="228"/>
      <c r="X219" s="228"/>
      <c r="Y219" s="228"/>
      <c r="Z219" s="228"/>
      <c r="AA219" s="228"/>
      <c r="AB219" s="228"/>
      <c r="AC219" s="228"/>
      <c r="AD219" s="228"/>
      <c r="AE219" s="228"/>
      <c r="AF219" s="228"/>
      <c r="AG219" s="228"/>
      <c r="AH219" s="228"/>
      <c r="AI219" s="228"/>
      <c r="AJ219" s="228"/>
      <c r="AK219" s="228"/>
      <c r="AL219" s="228"/>
      <c r="AM219" s="228"/>
    </row>
    <row r="220">
      <c r="A220" s="228"/>
      <c r="B220" s="228"/>
      <c r="C220" s="228"/>
      <c r="D220" s="228"/>
      <c r="E220" s="228"/>
      <c r="F220" s="228"/>
      <c r="G220" s="228"/>
      <c r="H220" s="241"/>
      <c r="I220" s="228"/>
      <c r="J220" s="228"/>
      <c r="K220" s="228"/>
      <c r="L220" s="228"/>
      <c r="M220" s="228"/>
      <c r="N220" s="228"/>
      <c r="O220" s="236"/>
      <c r="P220" s="228"/>
      <c r="Q220" s="228"/>
      <c r="R220" s="228"/>
      <c r="S220" s="228"/>
      <c r="T220" s="228"/>
      <c r="U220" s="228"/>
      <c r="V220" s="228"/>
      <c r="W220" s="228"/>
      <c r="X220" s="228"/>
      <c r="Y220" s="228"/>
      <c r="Z220" s="228"/>
      <c r="AA220" s="228"/>
      <c r="AB220" s="228"/>
      <c r="AC220" s="228"/>
      <c r="AD220" s="228"/>
      <c r="AE220" s="228"/>
      <c r="AF220" s="228"/>
      <c r="AG220" s="228"/>
      <c r="AH220" s="228"/>
      <c r="AI220" s="228"/>
      <c r="AJ220" s="228"/>
      <c r="AK220" s="228"/>
      <c r="AL220" s="228"/>
      <c r="AM220" s="228"/>
    </row>
    <row r="221">
      <c r="A221" s="228"/>
      <c r="B221" s="228"/>
      <c r="C221" s="228"/>
      <c r="D221" s="228"/>
      <c r="E221" s="228"/>
      <c r="F221" s="228"/>
      <c r="G221" s="228"/>
      <c r="H221" s="241"/>
      <c r="I221" s="228"/>
      <c r="J221" s="228"/>
      <c r="K221" s="228"/>
      <c r="L221" s="228"/>
      <c r="M221" s="228"/>
      <c r="N221" s="228"/>
      <c r="O221" s="236"/>
      <c r="P221" s="228"/>
      <c r="Q221" s="228"/>
      <c r="R221" s="228"/>
      <c r="S221" s="228"/>
      <c r="T221" s="228"/>
      <c r="U221" s="228"/>
      <c r="V221" s="228"/>
      <c r="W221" s="228"/>
      <c r="X221" s="228"/>
      <c r="Y221" s="228"/>
      <c r="Z221" s="228"/>
      <c r="AA221" s="228"/>
      <c r="AB221" s="228"/>
      <c r="AC221" s="228"/>
      <c r="AD221" s="228"/>
      <c r="AE221" s="228"/>
      <c r="AF221" s="228"/>
      <c r="AG221" s="228"/>
      <c r="AH221" s="228"/>
      <c r="AI221" s="228"/>
      <c r="AJ221" s="228"/>
      <c r="AK221" s="228"/>
      <c r="AL221" s="228"/>
      <c r="AM221" s="228"/>
    </row>
    <row r="222">
      <c r="A222" s="228"/>
      <c r="B222" s="228"/>
      <c r="C222" s="228"/>
      <c r="D222" s="228"/>
      <c r="E222" s="228"/>
      <c r="F222" s="228"/>
      <c r="G222" s="228"/>
      <c r="H222" s="241"/>
      <c r="I222" s="228"/>
      <c r="J222" s="228"/>
      <c r="K222" s="228"/>
      <c r="L222" s="228"/>
      <c r="M222" s="228"/>
      <c r="N222" s="228"/>
      <c r="O222" s="236"/>
      <c r="P222" s="228"/>
      <c r="Q222" s="228"/>
      <c r="R222" s="228"/>
      <c r="S222" s="228"/>
      <c r="T222" s="228"/>
      <c r="U222" s="228"/>
      <c r="V222" s="228"/>
      <c r="W222" s="228"/>
      <c r="X222" s="228"/>
      <c r="Y222" s="228"/>
      <c r="Z222" s="228"/>
      <c r="AA222" s="228"/>
      <c r="AB222" s="228"/>
      <c r="AC222" s="228"/>
      <c r="AD222" s="228"/>
      <c r="AE222" s="228"/>
      <c r="AF222" s="228"/>
      <c r="AG222" s="228"/>
      <c r="AH222" s="228"/>
      <c r="AI222" s="228"/>
      <c r="AJ222" s="228"/>
      <c r="AK222" s="228"/>
      <c r="AL222" s="228"/>
      <c r="AM222" s="228"/>
    </row>
    <row r="223">
      <c r="A223" s="228"/>
      <c r="B223" s="228"/>
      <c r="C223" s="228"/>
      <c r="D223" s="228"/>
      <c r="E223" s="228"/>
      <c r="F223" s="228"/>
      <c r="G223" s="228"/>
      <c r="H223" s="241"/>
      <c r="I223" s="228"/>
      <c r="J223" s="228"/>
      <c r="K223" s="228"/>
      <c r="L223" s="228"/>
      <c r="M223" s="228"/>
      <c r="N223" s="228"/>
      <c r="O223" s="236"/>
      <c r="P223" s="228"/>
      <c r="Q223" s="228"/>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row>
    <row r="224">
      <c r="A224" s="228"/>
      <c r="B224" s="228"/>
      <c r="C224" s="228"/>
      <c r="D224" s="228"/>
      <c r="E224" s="228"/>
      <c r="F224" s="228"/>
      <c r="G224" s="228"/>
      <c r="H224" s="241"/>
      <c r="I224" s="228"/>
      <c r="J224" s="228"/>
      <c r="K224" s="228"/>
      <c r="L224" s="228"/>
      <c r="M224" s="228"/>
      <c r="N224" s="228"/>
      <c r="O224" s="236"/>
      <c r="P224" s="228"/>
      <c r="Q224" s="228"/>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row>
    <row r="225">
      <c r="A225" s="228"/>
      <c r="B225" s="228"/>
      <c r="C225" s="228"/>
      <c r="D225" s="228"/>
      <c r="E225" s="228"/>
      <c r="F225" s="228"/>
      <c r="G225" s="228"/>
      <c r="H225" s="241"/>
      <c r="I225" s="228"/>
      <c r="J225" s="228"/>
      <c r="K225" s="228"/>
      <c r="L225" s="228"/>
      <c r="M225" s="228"/>
      <c r="N225" s="228"/>
      <c r="O225" s="236"/>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row>
    <row r="226">
      <c r="A226" s="228"/>
      <c r="B226" s="228"/>
      <c r="C226" s="228"/>
      <c r="D226" s="228"/>
      <c r="E226" s="228"/>
      <c r="F226" s="228"/>
      <c r="G226" s="228"/>
      <c r="H226" s="241"/>
      <c r="I226" s="228"/>
      <c r="J226" s="228"/>
      <c r="K226" s="228"/>
      <c r="L226" s="228"/>
      <c r="M226" s="228"/>
      <c r="N226" s="228"/>
      <c r="O226" s="236"/>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row>
    <row r="227">
      <c r="A227" s="228"/>
      <c r="B227" s="228"/>
      <c r="C227" s="228"/>
      <c r="D227" s="228"/>
      <c r="E227" s="228"/>
      <c r="F227" s="228"/>
      <c r="G227" s="228"/>
      <c r="H227" s="241"/>
      <c r="I227" s="228"/>
      <c r="J227" s="228"/>
      <c r="K227" s="228"/>
      <c r="L227" s="228"/>
      <c r="M227" s="228"/>
      <c r="N227" s="228"/>
      <c r="O227" s="236"/>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row>
    <row r="228">
      <c r="A228" s="228"/>
      <c r="B228" s="228"/>
      <c r="C228" s="228"/>
      <c r="D228" s="228"/>
      <c r="E228" s="228"/>
      <c r="F228" s="228"/>
      <c r="G228" s="228"/>
      <c r="H228" s="241"/>
      <c r="I228" s="228"/>
      <c r="J228" s="228"/>
      <c r="K228" s="228"/>
      <c r="L228" s="228"/>
      <c r="M228" s="228"/>
      <c r="N228" s="228"/>
      <c r="O228" s="236"/>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row>
    <row r="229">
      <c r="A229" s="228"/>
      <c r="B229" s="228"/>
      <c r="C229" s="228"/>
      <c r="D229" s="228"/>
      <c r="E229" s="228"/>
      <c r="F229" s="228"/>
      <c r="G229" s="228"/>
      <c r="H229" s="241"/>
      <c r="I229" s="228"/>
      <c r="J229" s="228"/>
      <c r="K229" s="228"/>
      <c r="L229" s="228"/>
      <c r="M229" s="228"/>
      <c r="N229" s="228"/>
      <c r="O229" s="236"/>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row>
    <row r="230">
      <c r="A230" s="228"/>
      <c r="B230" s="228"/>
      <c r="C230" s="228"/>
      <c r="D230" s="228"/>
      <c r="E230" s="228"/>
      <c r="F230" s="228"/>
      <c r="G230" s="228"/>
      <c r="H230" s="241"/>
      <c r="I230" s="228"/>
      <c r="J230" s="228"/>
      <c r="K230" s="228"/>
      <c r="L230" s="228"/>
      <c r="M230" s="228"/>
      <c r="N230" s="228"/>
      <c r="O230" s="236"/>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row>
    <row r="231">
      <c r="A231" s="228"/>
      <c r="B231" s="228"/>
      <c r="C231" s="228"/>
      <c r="D231" s="228"/>
      <c r="E231" s="228"/>
      <c r="F231" s="228"/>
      <c r="G231" s="228"/>
      <c r="H231" s="241"/>
      <c r="I231" s="228"/>
      <c r="J231" s="228"/>
      <c r="K231" s="228"/>
      <c r="L231" s="228"/>
      <c r="M231" s="228"/>
      <c r="N231" s="228"/>
      <c r="O231" s="236"/>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row>
    <row r="232">
      <c r="A232" s="228"/>
      <c r="B232" s="228"/>
      <c r="C232" s="228"/>
      <c r="D232" s="228"/>
      <c r="E232" s="228"/>
      <c r="F232" s="228"/>
      <c r="G232" s="228"/>
      <c r="H232" s="241"/>
      <c r="I232" s="228"/>
      <c r="J232" s="228"/>
      <c r="K232" s="228"/>
      <c r="L232" s="228"/>
      <c r="M232" s="228"/>
      <c r="N232" s="228"/>
      <c r="O232" s="236"/>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row>
    <row r="233">
      <c r="A233" s="228"/>
      <c r="B233" s="228"/>
      <c r="C233" s="228"/>
      <c r="D233" s="228"/>
      <c r="E233" s="228"/>
      <c r="F233" s="228"/>
      <c r="G233" s="228"/>
      <c r="H233" s="241"/>
      <c r="I233" s="228"/>
      <c r="J233" s="228"/>
      <c r="K233" s="228"/>
      <c r="L233" s="228"/>
      <c r="M233" s="228"/>
      <c r="N233" s="228"/>
      <c r="O233" s="236"/>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row>
    <row r="234">
      <c r="A234" s="228"/>
      <c r="B234" s="228"/>
      <c r="C234" s="228"/>
      <c r="D234" s="228"/>
      <c r="E234" s="228"/>
      <c r="F234" s="228"/>
      <c r="G234" s="228"/>
      <c r="H234" s="241"/>
      <c r="I234" s="228"/>
      <c r="J234" s="228"/>
      <c r="K234" s="228"/>
      <c r="L234" s="228"/>
      <c r="M234" s="228"/>
      <c r="N234" s="228"/>
      <c r="O234" s="236"/>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row>
    <row r="235">
      <c r="A235" s="228"/>
      <c r="B235" s="228"/>
      <c r="C235" s="228"/>
      <c r="D235" s="228"/>
      <c r="E235" s="228"/>
      <c r="F235" s="228"/>
      <c r="G235" s="228"/>
      <c r="H235" s="241"/>
      <c r="I235" s="228"/>
      <c r="J235" s="228"/>
      <c r="K235" s="228"/>
      <c r="L235" s="228"/>
      <c r="M235" s="228"/>
      <c r="N235" s="228"/>
      <c r="O235" s="236"/>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row>
    <row r="236">
      <c r="A236" s="228"/>
      <c r="B236" s="228"/>
      <c r="C236" s="228"/>
      <c r="D236" s="228"/>
      <c r="E236" s="228"/>
      <c r="F236" s="228"/>
      <c r="G236" s="228"/>
      <c r="H236" s="241"/>
      <c r="I236" s="228"/>
      <c r="J236" s="228"/>
      <c r="K236" s="228"/>
      <c r="L236" s="228"/>
      <c r="M236" s="228"/>
      <c r="N236" s="228"/>
      <c r="O236" s="236"/>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row>
    <row r="237">
      <c r="A237" s="228"/>
      <c r="B237" s="228"/>
      <c r="C237" s="228"/>
      <c r="D237" s="228"/>
      <c r="E237" s="228"/>
      <c r="F237" s="228"/>
      <c r="G237" s="228"/>
      <c r="H237" s="241"/>
      <c r="I237" s="228"/>
      <c r="J237" s="228"/>
      <c r="K237" s="228"/>
      <c r="L237" s="228"/>
      <c r="M237" s="228"/>
      <c r="N237" s="228"/>
      <c r="O237" s="236"/>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row>
    <row r="238">
      <c r="A238" s="228"/>
      <c r="B238" s="228"/>
      <c r="C238" s="228"/>
      <c r="D238" s="228"/>
      <c r="E238" s="228"/>
      <c r="F238" s="228"/>
      <c r="G238" s="228"/>
      <c r="H238" s="241"/>
      <c r="I238" s="228"/>
      <c r="J238" s="228"/>
      <c r="K238" s="228"/>
      <c r="L238" s="228"/>
      <c r="M238" s="228"/>
      <c r="N238" s="228"/>
      <c r="O238" s="236"/>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row>
    <row r="239">
      <c r="A239" s="228"/>
      <c r="B239" s="228"/>
      <c r="C239" s="228"/>
      <c r="D239" s="228"/>
      <c r="E239" s="228"/>
      <c r="F239" s="228"/>
      <c r="G239" s="228"/>
      <c r="H239" s="241"/>
      <c r="I239" s="228"/>
      <c r="J239" s="228"/>
      <c r="K239" s="228"/>
      <c r="L239" s="228"/>
      <c r="M239" s="228"/>
      <c r="N239" s="228"/>
      <c r="O239" s="236"/>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row>
    <row r="240">
      <c r="A240" s="228"/>
      <c r="B240" s="228"/>
      <c r="C240" s="228"/>
      <c r="D240" s="228"/>
      <c r="E240" s="228"/>
      <c r="F240" s="228"/>
      <c r="G240" s="228"/>
      <c r="H240" s="241"/>
      <c r="I240" s="228"/>
      <c r="J240" s="228"/>
      <c r="K240" s="228"/>
      <c r="L240" s="228"/>
      <c r="M240" s="228"/>
      <c r="N240" s="228"/>
      <c r="O240" s="236"/>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row>
    <row r="241">
      <c r="A241" s="228"/>
      <c r="B241" s="228"/>
      <c r="C241" s="228"/>
      <c r="D241" s="228"/>
      <c r="E241" s="228"/>
      <c r="F241" s="228"/>
      <c r="G241" s="228"/>
      <c r="H241" s="241"/>
      <c r="I241" s="228"/>
      <c r="J241" s="228"/>
      <c r="K241" s="228"/>
      <c r="L241" s="228"/>
      <c r="M241" s="228"/>
      <c r="N241" s="228"/>
      <c r="O241" s="236"/>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row>
    <row r="242">
      <c r="A242" s="228"/>
      <c r="B242" s="228"/>
      <c r="C242" s="228"/>
      <c r="D242" s="228"/>
      <c r="E242" s="228"/>
      <c r="F242" s="228"/>
      <c r="G242" s="228"/>
      <c r="H242" s="241"/>
      <c r="I242" s="228"/>
      <c r="J242" s="228"/>
      <c r="K242" s="228"/>
      <c r="L242" s="228"/>
      <c r="M242" s="228"/>
      <c r="N242" s="228"/>
      <c r="O242" s="236"/>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row>
    <row r="243">
      <c r="A243" s="228"/>
      <c r="B243" s="228"/>
      <c r="C243" s="228"/>
      <c r="D243" s="228"/>
      <c r="E243" s="228"/>
      <c r="F243" s="228"/>
      <c r="G243" s="228"/>
      <c r="H243" s="241"/>
      <c r="I243" s="228"/>
      <c r="J243" s="228"/>
      <c r="K243" s="228"/>
      <c r="L243" s="228"/>
      <c r="M243" s="228"/>
      <c r="N243" s="228"/>
      <c r="O243" s="236"/>
      <c r="P243" s="228"/>
      <c r="Q243" s="228"/>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row>
    <row r="244">
      <c r="A244" s="228"/>
      <c r="B244" s="228"/>
      <c r="C244" s="228"/>
      <c r="D244" s="228"/>
      <c r="E244" s="228"/>
      <c r="F244" s="228"/>
      <c r="G244" s="228"/>
      <c r="H244" s="241"/>
      <c r="I244" s="228"/>
      <c r="J244" s="228"/>
      <c r="K244" s="228"/>
      <c r="L244" s="228"/>
      <c r="M244" s="228"/>
      <c r="N244" s="228"/>
      <c r="O244" s="236"/>
      <c r="P244" s="228"/>
      <c r="Q244" s="228"/>
      <c r="R244" s="228"/>
      <c r="S244" s="228"/>
      <c r="T244" s="228"/>
      <c r="U244" s="228"/>
      <c r="V244" s="228"/>
      <c r="W244" s="228"/>
      <c r="X244" s="228"/>
      <c r="Y244" s="228"/>
      <c r="Z244" s="228"/>
      <c r="AA244" s="228"/>
      <c r="AB244" s="228"/>
      <c r="AC244" s="228"/>
      <c r="AD244" s="228"/>
      <c r="AE244" s="228"/>
      <c r="AF244" s="228"/>
      <c r="AG244" s="228"/>
      <c r="AH244" s="228"/>
      <c r="AI244" s="228"/>
      <c r="AJ244" s="228"/>
      <c r="AK244" s="228"/>
      <c r="AL244" s="228"/>
      <c r="AM244" s="228"/>
    </row>
    <row r="245">
      <c r="A245" s="228"/>
      <c r="B245" s="228"/>
      <c r="C245" s="228"/>
      <c r="D245" s="228"/>
      <c r="E245" s="228"/>
      <c r="F245" s="228"/>
      <c r="G245" s="228"/>
      <c r="H245" s="241"/>
      <c r="I245" s="228"/>
      <c r="J245" s="228"/>
      <c r="K245" s="228"/>
      <c r="L245" s="228"/>
      <c r="M245" s="228"/>
      <c r="N245" s="228"/>
      <c r="O245" s="236"/>
      <c r="P245" s="228"/>
      <c r="Q245" s="228"/>
      <c r="R245" s="228"/>
      <c r="S245" s="228"/>
      <c r="T245" s="228"/>
      <c r="U245" s="228"/>
      <c r="V245" s="228"/>
      <c r="W245" s="228"/>
      <c r="X245" s="228"/>
      <c r="Y245" s="228"/>
      <c r="Z245" s="228"/>
      <c r="AA245" s="228"/>
      <c r="AB245" s="228"/>
      <c r="AC245" s="228"/>
      <c r="AD245" s="228"/>
      <c r="AE245" s="228"/>
      <c r="AF245" s="228"/>
      <c r="AG245" s="228"/>
      <c r="AH245" s="228"/>
      <c r="AI245" s="228"/>
      <c r="AJ245" s="228"/>
      <c r="AK245" s="228"/>
      <c r="AL245" s="228"/>
      <c r="AM245" s="228"/>
    </row>
    <row r="246">
      <c r="A246" s="228"/>
      <c r="B246" s="228"/>
      <c r="C246" s="228"/>
      <c r="D246" s="228"/>
      <c r="E246" s="228"/>
      <c r="F246" s="228"/>
      <c r="G246" s="228"/>
      <c r="H246" s="241"/>
      <c r="I246" s="228"/>
      <c r="J246" s="228"/>
      <c r="K246" s="228"/>
      <c r="L246" s="228"/>
      <c r="M246" s="228"/>
      <c r="N246" s="228"/>
      <c r="O246" s="236"/>
      <c r="P246" s="228"/>
      <c r="Q246" s="228"/>
      <c r="R246" s="228"/>
      <c r="S246" s="228"/>
      <c r="T246" s="228"/>
      <c r="U246" s="228"/>
      <c r="V246" s="228"/>
      <c r="W246" s="228"/>
      <c r="X246" s="228"/>
      <c r="Y246" s="228"/>
      <c r="Z246" s="228"/>
      <c r="AA246" s="228"/>
      <c r="AB246" s="228"/>
      <c r="AC246" s="228"/>
      <c r="AD246" s="228"/>
      <c r="AE246" s="228"/>
      <c r="AF246" s="228"/>
      <c r="AG246" s="228"/>
      <c r="AH246" s="228"/>
      <c r="AI246" s="228"/>
      <c r="AJ246" s="228"/>
      <c r="AK246" s="228"/>
      <c r="AL246" s="228"/>
      <c r="AM246" s="228"/>
    </row>
    <row r="247">
      <c r="A247" s="228"/>
      <c r="B247" s="228"/>
      <c r="C247" s="228"/>
      <c r="D247" s="228"/>
      <c r="E247" s="228"/>
      <c r="F247" s="228"/>
      <c r="G247" s="228"/>
      <c r="H247" s="241"/>
      <c r="I247" s="228"/>
      <c r="J247" s="228"/>
      <c r="K247" s="228"/>
      <c r="L247" s="228"/>
      <c r="M247" s="228"/>
      <c r="N247" s="228"/>
      <c r="O247" s="236"/>
      <c r="P247" s="228"/>
      <c r="Q247" s="228"/>
      <c r="R247" s="228"/>
      <c r="S247" s="228"/>
      <c r="T247" s="228"/>
      <c r="U247" s="228"/>
      <c r="V247" s="228"/>
      <c r="W247" s="228"/>
      <c r="X247" s="228"/>
      <c r="Y247" s="228"/>
      <c r="Z247" s="228"/>
      <c r="AA247" s="228"/>
      <c r="AB247" s="228"/>
      <c r="AC247" s="228"/>
      <c r="AD247" s="228"/>
      <c r="AE247" s="228"/>
      <c r="AF247" s="228"/>
      <c r="AG247" s="228"/>
      <c r="AH247" s="228"/>
      <c r="AI247" s="228"/>
      <c r="AJ247" s="228"/>
      <c r="AK247" s="228"/>
      <c r="AL247" s="228"/>
      <c r="AM247" s="228"/>
    </row>
    <row r="248">
      <c r="A248" s="228"/>
      <c r="B248" s="228"/>
      <c r="C248" s="228"/>
      <c r="D248" s="228"/>
      <c r="E248" s="228"/>
      <c r="F248" s="228"/>
      <c r="G248" s="228"/>
      <c r="H248" s="241"/>
      <c r="I248" s="228"/>
      <c r="J248" s="228"/>
      <c r="K248" s="228"/>
      <c r="L248" s="228"/>
      <c r="M248" s="228"/>
      <c r="N248" s="228"/>
      <c r="O248" s="236"/>
      <c r="P248" s="228"/>
      <c r="Q248" s="228"/>
      <c r="R248" s="228"/>
      <c r="S248" s="228"/>
      <c r="T248" s="228"/>
      <c r="U248" s="228"/>
      <c r="V248" s="228"/>
      <c r="W248" s="228"/>
      <c r="X248" s="228"/>
      <c r="Y248" s="228"/>
      <c r="Z248" s="228"/>
      <c r="AA248" s="228"/>
      <c r="AB248" s="228"/>
      <c r="AC248" s="228"/>
      <c r="AD248" s="228"/>
      <c r="AE248" s="228"/>
      <c r="AF248" s="228"/>
      <c r="AG248" s="228"/>
      <c r="AH248" s="228"/>
      <c r="AI248" s="228"/>
      <c r="AJ248" s="228"/>
      <c r="AK248" s="228"/>
      <c r="AL248" s="228"/>
      <c r="AM248" s="228"/>
    </row>
    <row r="249">
      <c r="A249" s="228"/>
      <c r="B249" s="228"/>
      <c r="C249" s="228"/>
      <c r="D249" s="228"/>
      <c r="E249" s="228"/>
      <c r="F249" s="228"/>
      <c r="G249" s="228"/>
      <c r="H249" s="241"/>
      <c r="I249" s="228"/>
      <c r="J249" s="228"/>
      <c r="K249" s="228"/>
      <c r="L249" s="228"/>
      <c r="M249" s="228"/>
      <c r="N249" s="228"/>
      <c r="O249" s="236"/>
      <c r="P249" s="228"/>
      <c r="Q249" s="228"/>
      <c r="R249" s="228"/>
      <c r="S249" s="228"/>
      <c r="T249" s="228"/>
      <c r="U249" s="228"/>
      <c r="V249" s="228"/>
      <c r="W249" s="228"/>
      <c r="X249" s="228"/>
      <c r="Y249" s="228"/>
      <c r="Z249" s="228"/>
      <c r="AA249" s="228"/>
      <c r="AB249" s="228"/>
      <c r="AC249" s="228"/>
      <c r="AD249" s="228"/>
      <c r="AE249" s="228"/>
      <c r="AF249" s="228"/>
      <c r="AG249" s="228"/>
      <c r="AH249" s="228"/>
      <c r="AI249" s="228"/>
      <c r="AJ249" s="228"/>
      <c r="AK249" s="228"/>
      <c r="AL249" s="228"/>
      <c r="AM249" s="228"/>
    </row>
    <row r="250">
      <c r="A250" s="228"/>
      <c r="B250" s="228"/>
      <c r="C250" s="228"/>
      <c r="D250" s="228"/>
      <c r="E250" s="228"/>
      <c r="F250" s="228"/>
      <c r="G250" s="228"/>
      <c r="H250" s="241"/>
      <c r="I250" s="228"/>
      <c r="J250" s="228"/>
      <c r="K250" s="228"/>
      <c r="L250" s="228"/>
      <c r="M250" s="228"/>
      <c r="N250" s="228"/>
      <c r="O250" s="236"/>
      <c r="P250" s="228"/>
      <c r="Q250" s="228"/>
      <c r="R250" s="228"/>
      <c r="S250" s="228"/>
      <c r="T250" s="228"/>
      <c r="U250" s="228"/>
      <c r="V250" s="228"/>
      <c r="W250" s="228"/>
      <c r="X250" s="228"/>
      <c r="Y250" s="228"/>
      <c r="Z250" s="228"/>
      <c r="AA250" s="228"/>
      <c r="AB250" s="228"/>
      <c r="AC250" s="228"/>
      <c r="AD250" s="228"/>
      <c r="AE250" s="228"/>
      <c r="AF250" s="228"/>
      <c r="AG250" s="228"/>
      <c r="AH250" s="228"/>
      <c r="AI250" s="228"/>
      <c r="AJ250" s="228"/>
      <c r="AK250" s="228"/>
      <c r="AL250" s="228"/>
      <c r="AM250" s="228"/>
    </row>
    <row r="251">
      <c r="A251" s="228"/>
      <c r="B251" s="228"/>
      <c r="C251" s="228"/>
      <c r="D251" s="228"/>
      <c r="E251" s="228"/>
      <c r="F251" s="228"/>
      <c r="G251" s="228"/>
      <c r="H251" s="241"/>
      <c r="I251" s="228"/>
      <c r="J251" s="228"/>
      <c r="K251" s="228"/>
      <c r="L251" s="228"/>
      <c r="M251" s="228"/>
      <c r="N251" s="228"/>
      <c r="O251" s="236"/>
      <c r="P251" s="228"/>
      <c r="Q251" s="228"/>
      <c r="R251" s="228"/>
      <c r="S251" s="228"/>
      <c r="T251" s="228"/>
      <c r="U251" s="228"/>
      <c r="V251" s="228"/>
      <c r="W251" s="228"/>
      <c r="X251" s="228"/>
      <c r="Y251" s="228"/>
      <c r="Z251" s="228"/>
      <c r="AA251" s="228"/>
      <c r="AB251" s="228"/>
      <c r="AC251" s="228"/>
      <c r="AD251" s="228"/>
      <c r="AE251" s="228"/>
      <c r="AF251" s="228"/>
      <c r="AG251" s="228"/>
      <c r="AH251" s="228"/>
      <c r="AI251" s="228"/>
      <c r="AJ251" s="228"/>
      <c r="AK251" s="228"/>
      <c r="AL251" s="228"/>
      <c r="AM251" s="228"/>
    </row>
    <row r="252">
      <c r="A252" s="228"/>
      <c r="B252" s="228"/>
      <c r="C252" s="228"/>
      <c r="D252" s="228"/>
      <c r="E252" s="228"/>
      <c r="F252" s="228"/>
      <c r="G252" s="228"/>
      <c r="H252" s="241"/>
      <c r="I252" s="228"/>
      <c r="J252" s="228"/>
      <c r="K252" s="228"/>
      <c r="L252" s="228"/>
      <c r="M252" s="228"/>
      <c r="N252" s="228"/>
      <c r="O252" s="236"/>
      <c r="P252" s="228"/>
      <c r="Q252" s="228"/>
      <c r="R252" s="228"/>
      <c r="S252" s="228"/>
      <c r="T252" s="228"/>
      <c r="U252" s="228"/>
      <c r="V252" s="228"/>
      <c r="W252" s="228"/>
      <c r="X252" s="228"/>
      <c r="Y252" s="228"/>
      <c r="Z252" s="228"/>
      <c r="AA252" s="228"/>
      <c r="AB252" s="228"/>
      <c r="AC252" s="228"/>
      <c r="AD252" s="228"/>
      <c r="AE252" s="228"/>
      <c r="AF252" s="228"/>
      <c r="AG252" s="228"/>
      <c r="AH252" s="228"/>
      <c r="AI252" s="228"/>
      <c r="AJ252" s="228"/>
      <c r="AK252" s="228"/>
      <c r="AL252" s="228"/>
      <c r="AM252" s="228"/>
    </row>
    <row r="253">
      <c r="A253" s="228"/>
      <c r="B253" s="228"/>
      <c r="C253" s="228"/>
      <c r="D253" s="228"/>
      <c r="E253" s="228"/>
      <c r="F253" s="228"/>
      <c r="G253" s="228"/>
      <c r="H253" s="241"/>
      <c r="I253" s="228"/>
      <c r="J253" s="228"/>
      <c r="K253" s="228"/>
      <c r="L253" s="228"/>
      <c r="M253" s="228"/>
      <c r="N253" s="228"/>
      <c r="O253" s="236"/>
      <c r="P253" s="228"/>
      <c r="Q253" s="228"/>
      <c r="R253" s="228"/>
      <c r="S253" s="228"/>
      <c r="T253" s="228"/>
      <c r="U253" s="228"/>
      <c r="V253" s="228"/>
      <c r="W253" s="228"/>
      <c r="X253" s="228"/>
      <c r="Y253" s="228"/>
      <c r="Z253" s="228"/>
      <c r="AA253" s="228"/>
      <c r="AB253" s="228"/>
      <c r="AC253" s="228"/>
      <c r="AD253" s="228"/>
      <c r="AE253" s="228"/>
      <c r="AF253" s="228"/>
      <c r="AG253" s="228"/>
      <c r="AH253" s="228"/>
      <c r="AI253" s="228"/>
      <c r="AJ253" s="228"/>
      <c r="AK253" s="228"/>
      <c r="AL253" s="228"/>
      <c r="AM253" s="228"/>
    </row>
    <row r="254">
      <c r="A254" s="228"/>
      <c r="B254" s="228"/>
      <c r="C254" s="228"/>
      <c r="D254" s="228"/>
      <c r="E254" s="228"/>
      <c r="F254" s="228"/>
      <c r="G254" s="228"/>
      <c r="H254" s="241"/>
      <c r="I254" s="228"/>
      <c r="J254" s="228"/>
      <c r="K254" s="228"/>
      <c r="L254" s="228"/>
      <c r="M254" s="228"/>
      <c r="N254" s="228"/>
      <c r="O254" s="236"/>
      <c r="P254" s="228"/>
      <c r="Q254" s="228"/>
      <c r="R254" s="228"/>
      <c r="S254" s="228"/>
      <c r="T254" s="228"/>
      <c r="U254" s="228"/>
      <c r="V254" s="228"/>
      <c r="W254" s="228"/>
      <c r="X254" s="228"/>
      <c r="Y254" s="228"/>
      <c r="Z254" s="228"/>
      <c r="AA254" s="228"/>
      <c r="AB254" s="228"/>
      <c r="AC254" s="228"/>
      <c r="AD254" s="228"/>
      <c r="AE254" s="228"/>
      <c r="AF254" s="228"/>
      <c r="AG254" s="228"/>
      <c r="AH254" s="228"/>
      <c r="AI254" s="228"/>
      <c r="AJ254" s="228"/>
      <c r="AK254" s="228"/>
      <c r="AL254" s="228"/>
      <c r="AM254" s="228"/>
    </row>
    <row r="255">
      <c r="A255" s="228"/>
      <c r="B255" s="228"/>
      <c r="C255" s="228"/>
      <c r="D255" s="228"/>
      <c r="E255" s="228"/>
      <c r="F255" s="228"/>
      <c r="G255" s="228"/>
      <c r="H255" s="241"/>
      <c r="I255" s="228"/>
      <c r="J255" s="228"/>
      <c r="K255" s="228"/>
      <c r="L255" s="228"/>
      <c r="M255" s="228"/>
      <c r="N255" s="228"/>
      <c r="O255" s="236"/>
      <c r="P255" s="228"/>
      <c r="Q255" s="228"/>
      <c r="R255" s="228"/>
      <c r="S255" s="228"/>
      <c r="T255" s="228"/>
      <c r="U255" s="228"/>
      <c r="V255" s="228"/>
      <c r="W255" s="228"/>
      <c r="X255" s="228"/>
      <c r="Y255" s="228"/>
      <c r="Z255" s="228"/>
      <c r="AA255" s="228"/>
      <c r="AB255" s="228"/>
      <c r="AC255" s="228"/>
      <c r="AD255" s="228"/>
      <c r="AE255" s="228"/>
      <c r="AF255" s="228"/>
      <c r="AG255" s="228"/>
      <c r="AH255" s="228"/>
      <c r="AI255" s="228"/>
      <c r="AJ255" s="228"/>
      <c r="AK255" s="228"/>
      <c r="AL255" s="228"/>
      <c r="AM255" s="228"/>
    </row>
    <row r="256">
      <c r="A256" s="228"/>
      <c r="B256" s="228"/>
      <c r="C256" s="228"/>
      <c r="D256" s="228"/>
      <c r="E256" s="228"/>
      <c r="F256" s="228"/>
      <c r="G256" s="228"/>
      <c r="H256" s="241"/>
      <c r="I256" s="228"/>
      <c r="J256" s="228"/>
      <c r="K256" s="228"/>
      <c r="L256" s="228"/>
      <c r="M256" s="228"/>
      <c r="N256" s="228"/>
      <c r="O256" s="236"/>
      <c r="P256" s="228"/>
      <c r="Q256" s="228"/>
      <c r="R256" s="228"/>
      <c r="S256" s="228"/>
      <c r="T256" s="228"/>
      <c r="U256" s="228"/>
      <c r="V256" s="228"/>
      <c r="W256" s="228"/>
      <c r="X256" s="228"/>
      <c r="Y256" s="228"/>
      <c r="Z256" s="228"/>
      <c r="AA256" s="228"/>
      <c r="AB256" s="228"/>
      <c r="AC256" s="228"/>
      <c r="AD256" s="228"/>
      <c r="AE256" s="228"/>
      <c r="AF256" s="228"/>
      <c r="AG256" s="228"/>
      <c r="AH256" s="228"/>
      <c r="AI256" s="228"/>
      <c r="AJ256" s="228"/>
      <c r="AK256" s="228"/>
      <c r="AL256" s="228"/>
      <c r="AM256" s="228"/>
    </row>
    <row r="257">
      <c r="A257" s="228"/>
      <c r="B257" s="228"/>
      <c r="C257" s="228"/>
      <c r="D257" s="228"/>
      <c r="E257" s="228"/>
      <c r="F257" s="228"/>
      <c r="G257" s="228"/>
      <c r="H257" s="241"/>
      <c r="I257" s="228"/>
      <c r="J257" s="228"/>
      <c r="K257" s="228"/>
      <c r="L257" s="228"/>
      <c r="M257" s="228"/>
      <c r="N257" s="228"/>
      <c r="O257" s="236"/>
      <c r="P257" s="228"/>
      <c r="Q257" s="228"/>
      <c r="R257" s="228"/>
      <c r="S257" s="228"/>
      <c r="T257" s="228"/>
      <c r="U257" s="228"/>
      <c r="V257" s="228"/>
      <c r="W257" s="228"/>
      <c r="X257" s="228"/>
      <c r="Y257" s="228"/>
      <c r="Z257" s="228"/>
      <c r="AA257" s="228"/>
      <c r="AB257" s="228"/>
      <c r="AC257" s="228"/>
      <c r="AD257" s="228"/>
      <c r="AE257" s="228"/>
      <c r="AF257" s="228"/>
      <c r="AG257" s="228"/>
      <c r="AH257" s="228"/>
      <c r="AI257" s="228"/>
      <c r="AJ257" s="228"/>
      <c r="AK257" s="228"/>
      <c r="AL257" s="228"/>
      <c r="AM257" s="228"/>
    </row>
    <row r="258">
      <c r="A258" s="228"/>
      <c r="B258" s="228"/>
      <c r="C258" s="228"/>
      <c r="D258" s="228"/>
      <c r="E258" s="228"/>
      <c r="F258" s="228"/>
      <c r="G258" s="228"/>
      <c r="H258" s="241"/>
      <c r="I258" s="228"/>
      <c r="J258" s="228"/>
      <c r="K258" s="228"/>
      <c r="L258" s="228"/>
      <c r="M258" s="228"/>
      <c r="N258" s="228"/>
      <c r="O258" s="236"/>
      <c r="P258" s="228"/>
      <c r="Q258" s="228"/>
      <c r="R258" s="228"/>
      <c r="S258" s="228"/>
      <c r="T258" s="228"/>
      <c r="U258" s="228"/>
      <c r="V258" s="228"/>
      <c r="W258" s="228"/>
      <c r="X258" s="228"/>
      <c r="Y258" s="228"/>
      <c r="Z258" s="228"/>
      <c r="AA258" s="228"/>
      <c r="AB258" s="228"/>
      <c r="AC258" s="228"/>
      <c r="AD258" s="228"/>
      <c r="AE258" s="228"/>
      <c r="AF258" s="228"/>
      <c r="AG258" s="228"/>
      <c r="AH258" s="228"/>
      <c r="AI258" s="228"/>
      <c r="AJ258" s="228"/>
      <c r="AK258" s="228"/>
      <c r="AL258" s="228"/>
      <c r="AM258" s="228"/>
    </row>
    <row r="259">
      <c r="A259" s="228"/>
      <c r="B259" s="228"/>
      <c r="C259" s="228"/>
      <c r="D259" s="228"/>
      <c r="E259" s="228"/>
      <c r="F259" s="228"/>
      <c r="G259" s="228"/>
      <c r="H259" s="241"/>
      <c r="I259" s="228"/>
      <c r="J259" s="228"/>
      <c r="K259" s="228"/>
      <c r="L259" s="228"/>
      <c r="M259" s="228"/>
      <c r="N259" s="228"/>
      <c r="O259" s="236"/>
      <c r="P259" s="228"/>
      <c r="Q259" s="228"/>
      <c r="R259" s="228"/>
      <c r="S259" s="228"/>
      <c r="T259" s="228"/>
      <c r="U259" s="228"/>
      <c r="V259" s="228"/>
      <c r="W259" s="228"/>
      <c r="X259" s="228"/>
      <c r="Y259" s="228"/>
      <c r="Z259" s="228"/>
      <c r="AA259" s="228"/>
      <c r="AB259" s="228"/>
      <c r="AC259" s="228"/>
      <c r="AD259" s="228"/>
      <c r="AE259" s="228"/>
      <c r="AF259" s="228"/>
      <c r="AG259" s="228"/>
      <c r="AH259" s="228"/>
      <c r="AI259" s="228"/>
      <c r="AJ259" s="228"/>
      <c r="AK259" s="228"/>
      <c r="AL259" s="228"/>
      <c r="AM259" s="228"/>
    </row>
    <row r="260">
      <c r="A260" s="228"/>
      <c r="B260" s="228"/>
      <c r="C260" s="228"/>
      <c r="D260" s="228"/>
      <c r="E260" s="228"/>
      <c r="F260" s="228"/>
      <c r="G260" s="228"/>
      <c r="H260" s="241"/>
      <c r="I260" s="228"/>
      <c r="J260" s="228"/>
      <c r="K260" s="228"/>
      <c r="L260" s="228"/>
      <c r="M260" s="228"/>
      <c r="N260" s="228"/>
      <c r="O260" s="236"/>
      <c r="P260" s="228"/>
      <c r="Q260" s="228"/>
      <c r="R260" s="228"/>
      <c r="S260" s="228"/>
      <c r="T260" s="228"/>
      <c r="U260" s="228"/>
      <c r="V260" s="228"/>
      <c r="W260" s="228"/>
      <c r="X260" s="228"/>
      <c r="Y260" s="228"/>
      <c r="Z260" s="228"/>
      <c r="AA260" s="228"/>
      <c r="AB260" s="228"/>
      <c r="AC260" s="228"/>
      <c r="AD260" s="228"/>
      <c r="AE260" s="228"/>
      <c r="AF260" s="228"/>
      <c r="AG260" s="228"/>
      <c r="AH260" s="228"/>
      <c r="AI260" s="228"/>
      <c r="AJ260" s="228"/>
      <c r="AK260" s="228"/>
      <c r="AL260" s="228"/>
      <c r="AM260" s="228"/>
    </row>
    <row r="261">
      <c r="A261" s="228"/>
      <c r="B261" s="228"/>
      <c r="C261" s="228"/>
      <c r="D261" s="228"/>
      <c r="E261" s="228"/>
      <c r="F261" s="228"/>
      <c r="G261" s="228"/>
      <c r="H261" s="241"/>
      <c r="I261" s="228"/>
      <c r="J261" s="228"/>
      <c r="K261" s="228"/>
      <c r="L261" s="228"/>
      <c r="M261" s="228"/>
      <c r="N261" s="228"/>
      <c r="O261" s="236"/>
      <c r="P261" s="228"/>
      <c r="Q261" s="228"/>
      <c r="R261" s="228"/>
      <c r="S261" s="228"/>
      <c r="T261" s="228"/>
      <c r="U261" s="228"/>
      <c r="V261" s="228"/>
      <c r="W261" s="228"/>
      <c r="X261" s="228"/>
      <c r="Y261" s="228"/>
      <c r="Z261" s="228"/>
      <c r="AA261" s="228"/>
      <c r="AB261" s="228"/>
      <c r="AC261" s="228"/>
      <c r="AD261" s="228"/>
      <c r="AE261" s="228"/>
      <c r="AF261" s="228"/>
      <c r="AG261" s="228"/>
      <c r="AH261" s="228"/>
      <c r="AI261" s="228"/>
      <c r="AJ261" s="228"/>
      <c r="AK261" s="228"/>
      <c r="AL261" s="228"/>
      <c r="AM261" s="228"/>
    </row>
    <row r="262">
      <c r="A262" s="228"/>
      <c r="B262" s="228"/>
      <c r="C262" s="228"/>
      <c r="D262" s="228"/>
      <c r="E262" s="228"/>
      <c r="F262" s="228"/>
      <c r="G262" s="228"/>
      <c r="H262" s="241"/>
      <c r="I262" s="228"/>
      <c r="J262" s="228"/>
      <c r="K262" s="228"/>
      <c r="L262" s="228"/>
      <c r="M262" s="228"/>
      <c r="N262" s="228"/>
      <c r="O262" s="236"/>
      <c r="P262" s="228"/>
      <c r="Q262" s="228"/>
      <c r="R262" s="228"/>
      <c r="S262" s="228"/>
      <c r="T262" s="228"/>
      <c r="U262" s="228"/>
      <c r="V262" s="228"/>
      <c r="W262" s="228"/>
      <c r="X262" s="228"/>
      <c r="Y262" s="228"/>
      <c r="Z262" s="228"/>
      <c r="AA262" s="228"/>
      <c r="AB262" s="228"/>
      <c r="AC262" s="228"/>
      <c r="AD262" s="228"/>
      <c r="AE262" s="228"/>
      <c r="AF262" s="228"/>
      <c r="AG262" s="228"/>
      <c r="AH262" s="228"/>
      <c r="AI262" s="228"/>
      <c r="AJ262" s="228"/>
      <c r="AK262" s="228"/>
      <c r="AL262" s="228"/>
      <c r="AM262" s="228"/>
    </row>
    <row r="263">
      <c r="A263" s="228"/>
      <c r="B263" s="228"/>
      <c r="C263" s="228"/>
      <c r="D263" s="228"/>
      <c r="E263" s="228"/>
      <c r="F263" s="228"/>
      <c r="G263" s="228"/>
      <c r="H263" s="241"/>
      <c r="I263" s="228"/>
      <c r="J263" s="228"/>
      <c r="K263" s="228"/>
      <c r="L263" s="228"/>
      <c r="M263" s="228"/>
      <c r="N263" s="228"/>
      <c r="O263" s="236"/>
      <c r="P263" s="228"/>
      <c r="Q263" s="228"/>
      <c r="R263" s="228"/>
      <c r="S263" s="228"/>
      <c r="T263" s="228"/>
      <c r="U263" s="228"/>
      <c r="V263" s="228"/>
      <c r="W263" s="228"/>
      <c r="X263" s="228"/>
      <c r="Y263" s="228"/>
      <c r="Z263" s="228"/>
      <c r="AA263" s="228"/>
      <c r="AB263" s="228"/>
      <c r="AC263" s="228"/>
      <c r="AD263" s="228"/>
      <c r="AE263" s="228"/>
      <c r="AF263" s="228"/>
      <c r="AG263" s="228"/>
      <c r="AH263" s="228"/>
      <c r="AI263" s="228"/>
      <c r="AJ263" s="228"/>
      <c r="AK263" s="228"/>
      <c r="AL263" s="228"/>
      <c r="AM263" s="228"/>
    </row>
    <row r="264">
      <c r="A264" s="228"/>
      <c r="B264" s="228"/>
      <c r="C264" s="228"/>
      <c r="D264" s="228"/>
      <c r="E264" s="228"/>
      <c r="F264" s="228"/>
      <c r="G264" s="228"/>
      <c r="H264" s="241"/>
      <c r="I264" s="228"/>
      <c r="J264" s="228"/>
      <c r="K264" s="228"/>
      <c r="L264" s="228"/>
      <c r="M264" s="228"/>
      <c r="N264" s="228"/>
      <c r="O264" s="236"/>
      <c r="P264" s="228"/>
      <c r="Q264" s="228"/>
      <c r="R264" s="228"/>
      <c r="S264" s="228"/>
      <c r="T264" s="228"/>
      <c r="U264" s="228"/>
      <c r="V264" s="228"/>
      <c r="W264" s="228"/>
      <c r="X264" s="228"/>
      <c r="Y264" s="228"/>
      <c r="Z264" s="228"/>
      <c r="AA264" s="228"/>
      <c r="AB264" s="228"/>
      <c r="AC264" s="228"/>
      <c r="AD264" s="228"/>
      <c r="AE264" s="228"/>
      <c r="AF264" s="228"/>
      <c r="AG264" s="228"/>
      <c r="AH264" s="228"/>
      <c r="AI264" s="228"/>
      <c r="AJ264" s="228"/>
      <c r="AK264" s="228"/>
      <c r="AL264" s="228"/>
      <c r="AM264" s="228"/>
    </row>
    <row r="265">
      <c r="A265" s="228"/>
      <c r="B265" s="228"/>
      <c r="C265" s="228"/>
      <c r="D265" s="228"/>
      <c r="E265" s="228"/>
      <c r="F265" s="228"/>
      <c r="G265" s="228"/>
      <c r="H265" s="241"/>
      <c r="I265" s="228"/>
      <c r="J265" s="228"/>
      <c r="K265" s="228"/>
      <c r="L265" s="228"/>
      <c r="M265" s="228"/>
      <c r="N265" s="228"/>
      <c r="O265" s="236"/>
      <c r="P265" s="228"/>
      <c r="Q265" s="228"/>
      <c r="R265" s="228"/>
      <c r="S265" s="228"/>
      <c r="T265" s="228"/>
      <c r="U265" s="228"/>
      <c r="V265" s="228"/>
      <c r="W265" s="228"/>
      <c r="X265" s="228"/>
      <c r="Y265" s="228"/>
      <c r="Z265" s="228"/>
      <c r="AA265" s="228"/>
      <c r="AB265" s="228"/>
      <c r="AC265" s="228"/>
      <c r="AD265" s="228"/>
      <c r="AE265" s="228"/>
      <c r="AF265" s="228"/>
      <c r="AG265" s="228"/>
      <c r="AH265" s="228"/>
      <c r="AI265" s="228"/>
      <c r="AJ265" s="228"/>
      <c r="AK265" s="228"/>
      <c r="AL265" s="228"/>
      <c r="AM265" s="228"/>
    </row>
    <row r="266">
      <c r="A266" s="228"/>
      <c r="B266" s="228"/>
      <c r="C266" s="228"/>
      <c r="D266" s="228"/>
      <c r="E266" s="228"/>
      <c r="F266" s="228"/>
      <c r="G266" s="228"/>
      <c r="H266" s="241"/>
      <c r="I266" s="228"/>
      <c r="J266" s="228"/>
      <c r="K266" s="228"/>
      <c r="L266" s="228"/>
      <c r="M266" s="228"/>
      <c r="N266" s="228"/>
      <c r="O266" s="236"/>
      <c r="P266" s="228"/>
      <c r="Q266" s="228"/>
      <c r="R266" s="228"/>
      <c r="S266" s="228"/>
      <c r="T266" s="228"/>
      <c r="U266" s="228"/>
      <c r="V266" s="228"/>
      <c r="W266" s="228"/>
      <c r="X266" s="228"/>
      <c r="Y266" s="228"/>
      <c r="Z266" s="228"/>
      <c r="AA266" s="228"/>
      <c r="AB266" s="228"/>
      <c r="AC266" s="228"/>
      <c r="AD266" s="228"/>
      <c r="AE266" s="228"/>
      <c r="AF266" s="228"/>
      <c r="AG266" s="228"/>
      <c r="AH266" s="228"/>
      <c r="AI266" s="228"/>
      <c r="AJ266" s="228"/>
      <c r="AK266" s="228"/>
      <c r="AL266" s="228"/>
      <c r="AM266" s="228"/>
    </row>
    <row r="267">
      <c r="A267" s="228"/>
      <c r="B267" s="228"/>
      <c r="C267" s="228"/>
      <c r="D267" s="228"/>
      <c r="E267" s="228"/>
      <c r="F267" s="228"/>
      <c r="G267" s="228"/>
      <c r="H267" s="241"/>
      <c r="I267" s="228"/>
      <c r="J267" s="228"/>
      <c r="K267" s="228"/>
      <c r="L267" s="228"/>
      <c r="M267" s="228"/>
      <c r="N267" s="228"/>
      <c r="O267" s="236"/>
      <c r="P267" s="228"/>
      <c r="Q267" s="228"/>
      <c r="R267" s="228"/>
      <c r="S267" s="228"/>
      <c r="T267" s="228"/>
      <c r="U267" s="228"/>
      <c r="V267" s="228"/>
      <c r="W267" s="228"/>
      <c r="X267" s="228"/>
      <c r="Y267" s="228"/>
      <c r="Z267" s="228"/>
      <c r="AA267" s="228"/>
      <c r="AB267" s="228"/>
      <c r="AC267" s="228"/>
      <c r="AD267" s="228"/>
      <c r="AE267" s="228"/>
      <c r="AF267" s="228"/>
      <c r="AG267" s="228"/>
      <c r="AH267" s="228"/>
      <c r="AI267" s="228"/>
      <c r="AJ267" s="228"/>
      <c r="AK267" s="228"/>
      <c r="AL267" s="228"/>
      <c r="AM267" s="228"/>
    </row>
    <row r="268">
      <c r="A268" s="228"/>
      <c r="B268" s="228"/>
      <c r="C268" s="228"/>
      <c r="D268" s="228"/>
      <c r="E268" s="228"/>
      <c r="F268" s="228"/>
      <c r="G268" s="228"/>
      <c r="H268" s="241"/>
      <c r="I268" s="228"/>
      <c r="J268" s="228"/>
      <c r="K268" s="228"/>
      <c r="L268" s="228"/>
      <c r="M268" s="228"/>
      <c r="N268" s="228"/>
      <c r="O268" s="236"/>
      <c r="P268" s="228"/>
      <c r="Q268" s="228"/>
      <c r="R268" s="228"/>
      <c r="S268" s="228"/>
      <c r="T268" s="228"/>
      <c r="U268" s="228"/>
      <c r="V268" s="228"/>
      <c r="W268" s="228"/>
      <c r="X268" s="228"/>
      <c r="Y268" s="228"/>
      <c r="Z268" s="228"/>
      <c r="AA268" s="228"/>
      <c r="AB268" s="228"/>
      <c r="AC268" s="228"/>
      <c r="AD268" s="228"/>
      <c r="AE268" s="228"/>
      <c r="AF268" s="228"/>
      <c r="AG268" s="228"/>
      <c r="AH268" s="228"/>
      <c r="AI268" s="228"/>
      <c r="AJ268" s="228"/>
      <c r="AK268" s="228"/>
      <c r="AL268" s="228"/>
      <c r="AM268" s="228"/>
    </row>
    <row r="269">
      <c r="A269" s="228"/>
      <c r="B269" s="228"/>
      <c r="C269" s="228"/>
      <c r="D269" s="228"/>
      <c r="E269" s="228"/>
      <c r="F269" s="228"/>
      <c r="G269" s="228"/>
      <c r="H269" s="241"/>
      <c r="I269" s="228"/>
      <c r="J269" s="228"/>
      <c r="K269" s="228"/>
      <c r="L269" s="228"/>
      <c r="M269" s="228"/>
      <c r="N269" s="228"/>
      <c r="O269" s="236"/>
      <c r="P269" s="228"/>
      <c r="Q269" s="228"/>
      <c r="R269" s="228"/>
      <c r="S269" s="228"/>
      <c r="T269" s="228"/>
      <c r="U269" s="228"/>
      <c r="V269" s="228"/>
      <c r="W269" s="228"/>
      <c r="X269" s="228"/>
      <c r="Y269" s="228"/>
      <c r="Z269" s="228"/>
      <c r="AA269" s="228"/>
      <c r="AB269" s="228"/>
      <c r="AC269" s="228"/>
      <c r="AD269" s="228"/>
      <c r="AE269" s="228"/>
      <c r="AF269" s="228"/>
      <c r="AG269" s="228"/>
      <c r="AH269" s="228"/>
      <c r="AI269" s="228"/>
      <c r="AJ269" s="228"/>
      <c r="AK269" s="228"/>
      <c r="AL269" s="228"/>
      <c r="AM269" s="228"/>
    </row>
    <row r="270">
      <c r="A270" s="228"/>
      <c r="B270" s="228"/>
      <c r="C270" s="228"/>
      <c r="D270" s="228"/>
      <c r="E270" s="228"/>
      <c r="F270" s="228"/>
      <c r="G270" s="228"/>
      <c r="H270" s="241"/>
      <c r="I270" s="228"/>
      <c r="J270" s="228"/>
      <c r="K270" s="228"/>
      <c r="L270" s="228"/>
      <c r="M270" s="228"/>
      <c r="N270" s="228"/>
      <c r="O270" s="236"/>
      <c r="P270" s="228"/>
      <c r="Q270" s="228"/>
      <c r="R270" s="228"/>
      <c r="S270" s="228"/>
      <c r="T270" s="228"/>
      <c r="U270" s="228"/>
      <c r="V270" s="228"/>
      <c r="W270" s="228"/>
      <c r="X270" s="228"/>
      <c r="Y270" s="228"/>
      <c r="Z270" s="228"/>
      <c r="AA270" s="228"/>
      <c r="AB270" s="228"/>
      <c r="AC270" s="228"/>
      <c r="AD270" s="228"/>
      <c r="AE270" s="228"/>
      <c r="AF270" s="228"/>
      <c r="AG270" s="228"/>
      <c r="AH270" s="228"/>
      <c r="AI270" s="228"/>
      <c r="AJ270" s="228"/>
      <c r="AK270" s="228"/>
      <c r="AL270" s="228"/>
      <c r="AM270" s="228"/>
    </row>
    <row r="271">
      <c r="A271" s="228"/>
      <c r="B271" s="228"/>
      <c r="C271" s="228"/>
      <c r="D271" s="228"/>
      <c r="E271" s="228"/>
      <c r="F271" s="228"/>
      <c r="G271" s="228"/>
      <c r="H271" s="241"/>
      <c r="I271" s="228"/>
      <c r="J271" s="228"/>
      <c r="K271" s="228"/>
      <c r="L271" s="228"/>
      <c r="M271" s="228"/>
      <c r="N271" s="228"/>
      <c r="O271" s="236"/>
      <c r="P271" s="228"/>
      <c r="Q271" s="228"/>
      <c r="R271" s="228"/>
      <c r="S271" s="228"/>
      <c r="T271" s="228"/>
      <c r="U271" s="228"/>
      <c r="V271" s="228"/>
      <c r="W271" s="228"/>
      <c r="X271" s="228"/>
      <c r="Y271" s="228"/>
      <c r="Z271" s="228"/>
      <c r="AA271" s="228"/>
      <c r="AB271" s="228"/>
      <c r="AC271" s="228"/>
      <c r="AD271" s="228"/>
      <c r="AE271" s="228"/>
      <c r="AF271" s="228"/>
      <c r="AG271" s="228"/>
      <c r="AH271" s="228"/>
      <c r="AI271" s="228"/>
      <c r="AJ271" s="228"/>
      <c r="AK271" s="228"/>
      <c r="AL271" s="228"/>
      <c r="AM271" s="228"/>
    </row>
    <row r="272">
      <c r="A272" s="228"/>
      <c r="B272" s="228"/>
      <c r="C272" s="228"/>
      <c r="D272" s="228"/>
      <c r="E272" s="228"/>
      <c r="F272" s="228"/>
      <c r="G272" s="228"/>
      <c r="H272" s="241"/>
      <c r="I272" s="228"/>
      <c r="J272" s="228"/>
      <c r="K272" s="228"/>
      <c r="L272" s="228"/>
      <c r="M272" s="228"/>
      <c r="N272" s="228"/>
      <c r="O272" s="236"/>
      <c r="P272" s="228"/>
      <c r="Q272" s="228"/>
      <c r="R272" s="228"/>
      <c r="S272" s="228"/>
      <c r="T272" s="228"/>
      <c r="U272" s="228"/>
      <c r="V272" s="228"/>
      <c r="W272" s="228"/>
      <c r="X272" s="228"/>
      <c r="Y272" s="228"/>
      <c r="Z272" s="228"/>
      <c r="AA272" s="228"/>
      <c r="AB272" s="228"/>
      <c r="AC272" s="228"/>
      <c r="AD272" s="228"/>
      <c r="AE272" s="228"/>
      <c r="AF272" s="228"/>
      <c r="AG272" s="228"/>
      <c r="AH272" s="228"/>
      <c r="AI272" s="228"/>
      <c r="AJ272" s="228"/>
      <c r="AK272" s="228"/>
      <c r="AL272" s="228"/>
      <c r="AM272" s="228"/>
    </row>
    <row r="273">
      <c r="A273" s="228"/>
      <c r="B273" s="228"/>
      <c r="C273" s="228"/>
      <c r="D273" s="228"/>
      <c r="E273" s="228"/>
      <c r="F273" s="228"/>
      <c r="G273" s="228"/>
      <c r="H273" s="241"/>
      <c r="I273" s="228"/>
      <c r="J273" s="228"/>
      <c r="K273" s="228"/>
      <c r="L273" s="228"/>
      <c r="M273" s="228"/>
      <c r="N273" s="228"/>
      <c r="O273" s="236"/>
      <c r="P273" s="228"/>
      <c r="Q273" s="228"/>
      <c r="R273" s="228"/>
      <c r="S273" s="228"/>
      <c r="T273" s="228"/>
      <c r="U273" s="228"/>
      <c r="V273" s="228"/>
      <c r="W273" s="228"/>
      <c r="X273" s="228"/>
      <c r="Y273" s="228"/>
      <c r="Z273" s="228"/>
      <c r="AA273" s="228"/>
      <c r="AB273" s="228"/>
      <c r="AC273" s="228"/>
      <c r="AD273" s="228"/>
      <c r="AE273" s="228"/>
      <c r="AF273" s="228"/>
      <c r="AG273" s="228"/>
      <c r="AH273" s="228"/>
      <c r="AI273" s="228"/>
      <c r="AJ273" s="228"/>
      <c r="AK273" s="228"/>
      <c r="AL273" s="228"/>
      <c r="AM273" s="228"/>
    </row>
    <row r="274">
      <c r="A274" s="228"/>
      <c r="B274" s="228"/>
      <c r="C274" s="228"/>
      <c r="D274" s="228"/>
      <c r="E274" s="228"/>
      <c r="F274" s="228"/>
      <c r="G274" s="228"/>
      <c r="H274" s="241"/>
      <c r="I274" s="228"/>
      <c r="J274" s="228"/>
      <c r="K274" s="228"/>
      <c r="L274" s="228"/>
      <c r="M274" s="228"/>
      <c r="N274" s="228"/>
      <c r="O274" s="236"/>
      <c r="P274" s="228"/>
      <c r="Q274" s="228"/>
      <c r="R274" s="228"/>
      <c r="S274" s="228"/>
      <c r="T274" s="228"/>
      <c r="U274" s="228"/>
      <c r="V274" s="228"/>
      <c r="W274" s="228"/>
      <c r="X274" s="228"/>
      <c r="Y274" s="228"/>
      <c r="Z274" s="228"/>
      <c r="AA274" s="228"/>
      <c r="AB274" s="228"/>
      <c r="AC274" s="228"/>
      <c r="AD274" s="228"/>
      <c r="AE274" s="228"/>
      <c r="AF274" s="228"/>
      <c r="AG274" s="228"/>
      <c r="AH274" s="228"/>
      <c r="AI274" s="228"/>
      <c r="AJ274" s="228"/>
      <c r="AK274" s="228"/>
      <c r="AL274" s="228"/>
      <c r="AM274" s="228"/>
    </row>
    <row r="275">
      <c r="A275" s="228"/>
      <c r="B275" s="228"/>
      <c r="C275" s="228"/>
      <c r="D275" s="228"/>
      <c r="E275" s="228"/>
      <c r="F275" s="228"/>
      <c r="G275" s="228"/>
      <c r="H275" s="241"/>
      <c r="I275" s="228"/>
      <c r="J275" s="228"/>
      <c r="K275" s="228"/>
      <c r="L275" s="228"/>
      <c r="M275" s="228"/>
      <c r="N275" s="228"/>
      <c r="O275" s="236"/>
      <c r="P275" s="228"/>
      <c r="Q275" s="228"/>
      <c r="R275" s="228"/>
      <c r="S275" s="228"/>
      <c r="T275" s="228"/>
      <c r="U275" s="228"/>
      <c r="V275" s="228"/>
      <c r="W275" s="228"/>
      <c r="X275" s="228"/>
      <c r="Y275" s="228"/>
      <c r="Z275" s="228"/>
      <c r="AA275" s="228"/>
      <c r="AB275" s="228"/>
      <c r="AC275" s="228"/>
      <c r="AD275" s="228"/>
      <c r="AE275" s="228"/>
      <c r="AF275" s="228"/>
      <c r="AG275" s="228"/>
      <c r="AH275" s="228"/>
      <c r="AI275" s="228"/>
      <c r="AJ275" s="228"/>
      <c r="AK275" s="228"/>
      <c r="AL275" s="228"/>
      <c r="AM275" s="228"/>
    </row>
    <row r="276">
      <c r="A276" s="228"/>
      <c r="B276" s="228"/>
      <c r="C276" s="228"/>
      <c r="D276" s="228"/>
      <c r="E276" s="228"/>
      <c r="F276" s="228"/>
      <c r="G276" s="228"/>
      <c r="H276" s="241"/>
      <c r="I276" s="228"/>
      <c r="J276" s="228"/>
      <c r="K276" s="228"/>
      <c r="L276" s="228"/>
      <c r="M276" s="228"/>
      <c r="N276" s="228"/>
      <c r="O276" s="236"/>
      <c r="P276" s="228"/>
      <c r="Q276" s="228"/>
      <c r="R276" s="228"/>
      <c r="S276" s="228"/>
      <c r="T276" s="228"/>
      <c r="U276" s="228"/>
      <c r="V276" s="228"/>
      <c r="W276" s="228"/>
      <c r="X276" s="228"/>
      <c r="Y276" s="228"/>
      <c r="Z276" s="228"/>
      <c r="AA276" s="228"/>
      <c r="AB276" s="228"/>
      <c r="AC276" s="228"/>
      <c r="AD276" s="228"/>
      <c r="AE276" s="228"/>
      <c r="AF276" s="228"/>
      <c r="AG276" s="228"/>
      <c r="AH276" s="228"/>
      <c r="AI276" s="228"/>
      <c r="AJ276" s="228"/>
      <c r="AK276" s="228"/>
      <c r="AL276" s="228"/>
      <c r="AM276" s="228"/>
    </row>
    <row r="277">
      <c r="A277" s="228"/>
      <c r="B277" s="228"/>
      <c r="C277" s="228"/>
      <c r="D277" s="228"/>
      <c r="E277" s="228"/>
      <c r="F277" s="228"/>
      <c r="G277" s="228"/>
      <c r="H277" s="241"/>
      <c r="I277" s="228"/>
      <c r="J277" s="228"/>
      <c r="K277" s="228"/>
      <c r="L277" s="228"/>
      <c r="M277" s="228"/>
      <c r="N277" s="228"/>
      <c r="O277" s="236"/>
      <c r="P277" s="228"/>
      <c r="Q277" s="228"/>
      <c r="R277" s="228"/>
      <c r="S277" s="228"/>
      <c r="T277" s="228"/>
      <c r="U277" s="228"/>
      <c r="V277" s="228"/>
      <c r="W277" s="228"/>
      <c r="X277" s="228"/>
      <c r="Y277" s="228"/>
      <c r="Z277" s="228"/>
      <c r="AA277" s="228"/>
      <c r="AB277" s="228"/>
      <c r="AC277" s="228"/>
      <c r="AD277" s="228"/>
      <c r="AE277" s="228"/>
      <c r="AF277" s="228"/>
      <c r="AG277" s="228"/>
      <c r="AH277" s="228"/>
      <c r="AI277" s="228"/>
      <c r="AJ277" s="228"/>
      <c r="AK277" s="228"/>
      <c r="AL277" s="228"/>
      <c r="AM277" s="228"/>
    </row>
    <row r="278">
      <c r="A278" s="228"/>
      <c r="B278" s="228"/>
      <c r="C278" s="228"/>
      <c r="D278" s="228"/>
      <c r="E278" s="228"/>
      <c r="F278" s="228"/>
      <c r="G278" s="228"/>
      <c r="H278" s="241"/>
      <c r="I278" s="228"/>
      <c r="J278" s="228"/>
      <c r="K278" s="228"/>
      <c r="L278" s="228"/>
      <c r="M278" s="228"/>
      <c r="N278" s="228"/>
      <c r="O278" s="236"/>
      <c r="P278" s="228"/>
      <c r="Q278" s="228"/>
      <c r="R278" s="228"/>
      <c r="S278" s="228"/>
      <c r="T278" s="228"/>
      <c r="U278" s="228"/>
      <c r="V278" s="228"/>
      <c r="W278" s="228"/>
      <c r="X278" s="228"/>
      <c r="Y278" s="228"/>
      <c r="Z278" s="228"/>
      <c r="AA278" s="228"/>
      <c r="AB278" s="228"/>
      <c r="AC278" s="228"/>
      <c r="AD278" s="228"/>
      <c r="AE278" s="228"/>
      <c r="AF278" s="228"/>
      <c r="AG278" s="228"/>
      <c r="AH278" s="228"/>
      <c r="AI278" s="228"/>
      <c r="AJ278" s="228"/>
      <c r="AK278" s="228"/>
      <c r="AL278" s="228"/>
      <c r="AM278" s="228"/>
    </row>
    <row r="279">
      <c r="A279" s="228"/>
      <c r="B279" s="228"/>
      <c r="C279" s="228"/>
      <c r="D279" s="228"/>
      <c r="E279" s="228"/>
      <c r="F279" s="228"/>
      <c r="G279" s="228"/>
      <c r="H279" s="241"/>
      <c r="I279" s="228"/>
      <c r="J279" s="228"/>
      <c r="K279" s="228"/>
      <c r="L279" s="228"/>
      <c r="M279" s="228"/>
      <c r="N279" s="228"/>
      <c r="O279" s="236"/>
      <c r="P279" s="228"/>
      <c r="Q279" s="228"/>
      <c r="R279" s="228"/>
      <c r="S279" s="228"/>
      <c r="T279" s="228"/>
      <c r="U279" s="228"/>
      <c r="V279" s="228"/>
      <c r="W279" s="228"/>
      <c r="X279" s="228"/>
      <c r="Y279" s="228"/>
      <c r="Z279" s="228"/>
      <c r="AA279" s="228"/>
      <c r="AB279" s="228"/>
      <c r="AC279" s="228"/>
      <c r="AD279" s="228"/>
      <c r="AE279" s="228"/>
      <c r="AF279" s="228"/>
      <c r="AG279" s="228"/>
      <c r="AH279" s="228"/>
      <c r="AI279" s="228"/>
      <c r="AJ279" s="228"/>
      <c r="AK279" s="228"/>
      <c r="AL279" s="228"/>
      <c r="AM279" s="228"/>
    </row>
    <row r="280">
      <c r="A280" s="228"/>
      <c r="B280" s="228"/>
      <c r="C280" s="228"/>
      <c r="D280" s="228"/>
      <c r="E280" s="228"/>
      <c r="F280" s="228"/>
      <c r="G280" s="228"/>
      <c r="H280" s="241"/>
      <c r="I280" s="228"/>
      <c r="J280" s="228"/>
      <c r="K280" s="228"/>
      <c r="L280" s="228"/>
      <c r="M280" s="228"/>
      <c r="N280" s="228"/>
      <c r="O280" s="236"/>
      <c r="P280" s="228"/>
      <c r="Q280" s="228"/>
      <c r="R280" s="228"/>
      <c r="S280" s="228"/>
      <c r="T280" s="228"/>
      <c r="U280" s="228"/>
      <c r="V280" s="228"/>
      <c r="W280" s="228"/>
      <c r="X280" s="228"/>
      <c r="Y280" s="228"/>
      <c r="Z280" s="228"/>
      <c r="AA280" s="228"/>
      <c r="AB280" s="228"/>
      <c r="AC280" s="228"/>
      <c r="AD280" s="228"/>
      <c r="AE280" s="228"/>
      <c r="AF280" s="228"/>
      <c r="AG280" s="228"/>
      <c r="AH280" s="228"/>
      <c r="AI280" s="228"/>
      <c r="AJ280" s="228"/>
      <c r="AK280" s="228"/>
      <c r="AL280" s="228"/>
      <c r="AM280" s="228"/>
    </row>
    <row r="281">
      <c r="A281" s="228"/>
      <c r="B281" s="228"/>
      <c r="C281" s="228"/>
      <c r="D281" s="228"/>
      <c r="E281" s="228"/>
      <c r="F281" s="228"/>
      <c r="G281" s="228"/>
      <c r="H281" s="241"/>
      <c r="I281" s="228"/>
      <c r="J281" s="228"/>
      <c r="K281" s="228"/>
      <c r="L281" s="228"/>
      <c r="M281" s="228"/>
      <c r="N281" s="228"/>
      <c r="O281" s="236"/>
      <c r="P281" s="228"/>
      <c r="Q281" s="228"/>
      <c r="R281" s="228"/>
      <c r="S281" s="228"/>
      <c r="T281" s="228"/>
      <c r="U281" s="228"/>
      <c r="V281" s="228"/>
      <c r="W281" s="228"/>
      <c r="X281" s="228"/>
      <c r="Y281" s="228"/>
      <c r="Z281" s="228"/>
      <c r="AA281" s="228"/>
      <c r="AB281" s="228"/>
      <c r="AC281" s="228"/>
      <c r="AD281" s="228"/>
      <c r="AE281" s="228"/>
      <c r="AF281" s="228"/>
      <c r="AG281" s="228"/>
      <c r="AH281" s="228"/>
      <c r="AI281" s="228"/>
      <c r="AJ281" s="228"/>
      <c r="AK281" s="228"/>
      <c r="AL281" s="228"/>
      <c r="AM281" s="228"/>
    </row>
    <row r="282">
      <c r="A282" s="228"/>
      <c r="B282" s="228"/>
      <c r="C282" s="228"/>
      <c r="D282" s="228"/>
      <c r="E282" s="228"/>
      <c r="F282" s="228"/>
      <c r="G282" s="228"/>
      <c r="H282" s="241"/>
      <c r="I282" s="228"/>
      <c r="J282" s="228"/>
      <c r="K282" s="228"/>
      <c r="L282" s="228"/>
      <c r="M282" s="228"/>
      <c r="N282" s="228"/>
      <c r="O282" s="236"/>
      <c r="P282" s="228"/>
      <c r="Q282" s="228"/>
      <c r="R282" s="228"/>
      <c r="S282" s="228"/>
      <c r="T282" s="228"/>
      <c r="U282" s="228"/>
      <c r="V282" s="228"/>
      <c r="W282" s="228"/>
      <c r="X282" s="228"/>
      <c r="Y282" s="228"/>
      <c r="Z282" s="228"/>
      <c r="AA282" s="228"/>
      <c r="AB282" s="228"/>
      <c r="AC282" s="228"/>
      <c r="AD282" s="228"/>
      <c r="AE282" s="228"/>
      <c r="AF282" s="228"/>
      <c r="AG282" s="228"/>
      <c r="AH282" s="228"/>
      <c r="AI282" s="228"/>
      <c r="AJ282" s="228"/>
      <c r="AK282" s="228"/>
      <c r="AL282" s="228"/>
      <c r="AM282" s="228"/>
    </row>
    <row r="283">
      <c r="A283" s="228"/>
      <c r="B283" s="228"/>
      <c r="C283" s="228"/>
      <c r="D283" s="228"/>
      <c r="E283" s="228"/>
      <c r="F283" s="228"/>
      <c r="G283" s="228"/>
      <c r="H283" s="241"/>
      <c r="I283" s="228"/>
      <c r="J283" s="228"/>
      <c r="K283" s="228"/>
      <c r="L283" s="228"/>
      <c r="M283" s="228"/>
      <c r="N283" s="228"/>
      <c r="O283" s="236"/>
      <c r="P283" s="228"/>
      <c r="Q283" s="228"/>
      <c r="R283" s="228"/>
      <c r="S283" s="228"/>
      <c r="T283" s="228"/>
      <c r="U283" s="228"/>
      <c r="V283" s="228"/>
      <c r="W283" s="228"/>
      <c r="X283" s="228"/>
      <c r="Y283" s="228"/>
      <c r="Z283" s="228"/>
      <c r="AA283" s="228"/>
      <c r="AB283" s="228"/>
      <c r="AC283" s="228"/>
      <c r="AD283" s="228"/>
      <c r="AE283" s="228"/>
      <c r="AF283" s="228"/>
      <c r="AG283" s="228"/>
      <c r="AH283" s="228"/>
      <c r="AI283" s="228"/>
      <c r="AJ283" s="228"/>
      <c r="AK283" s="228"/>
      <c r="AL283" s="228"/>
      <c r="AM283" s="228"/>
    </row>
    <row r="284">
      <c r="A284" s="228"/>
      <c r="B284" s="228"/>
      <c r="C284" s="228"/>
      <c r="D284" s="228"/>
      <c r="E284" s="228"/>
      <c r="F284" s="228"/>
      <c r="G284" s="228"/>
      <c r="H284" s="241"/>
      <c r="I284" s="228"/>
      <c r="J284" s="228"/>
      <c r="K284" s="228"/>
      <c r="L284" s="228"/>
      <c r="M284" s="228"/>
      <c r="N284" s="228"/>
      <c r="O284" s="236"/>
      <c r="P284" s="228"/>
      <c r="Q284" s="228"/>
      <c r="R284" s="228"/>
      <c r="S284" s="228"/>
      <c r="T284" s="228"/>
      <c r="U284" s="228"/>
      <c r="V284" s="228"/>
      <c r="W284" s="228"/>
      <c r="X284" s="228"/>
      <c r="Y284" s="228"/>
      <c r="Z284" s="228"/>
      <c r="AA284" s="228"/>
      <c r="AB284" s="228"/>
      <c r="AC284" s="228"/>
      <c r="AD284" s="228"/>
      <c r="AE284" s="228"/>
      <c r="AF284" s="228"/>
      <c r="AG284" s="228"/>
      <c r="AH284" s="228"/>
      <c r="AI284" s="228"/>
      <c r="AJ284" s="228"/>
      <c r="AK284" s="228"/>
      <c r="AL284" s="228"/>
      <c r="AM284" s="228"/>
    </row>
    <row r="285">
      <c r="A285" s="228"/>
      <c r="B285" s="228"/>
      <c r="C285" s="228"/>
      <c r="D285" s="228"/>
      <c r="E285" s="228"/>
      <c r="F285" s="228"/>
      <c r="G285" s="228"/>
      <c r="H285" s="241"/>
      <c r="I285" s="228"/>
      <c r="J285" s="228"/>
      <c r="K285" s="228"/>
      <c r="L285" s="228"/>
      <c r="M285" s="228"/>
      <c r="N285" s="228"/>
      <c r="O285" s="236"/>
      <c r="P285" s="228"/>
      <c r="Q285" s="228"/>
      <c r="R285" s="228"/>
      <c r="S285" s="228"/>
      <c r="T285" s="228"/>
      <c r="U285" s="228"/>
      <c r="V285" s="228"/>
      <c r="W285" s="228"/>
      <c r="X285" s="228"/>
      <c r="Y285" s="228"/>
      <c r="Z285" s="228"/>
      <c r="AA285" s="228"/>
      <c r="AB285" s="228"/>
      <c r="AC285" s="228"/>
      <c r="AD285" s="228"/>
      <c r="AE285" s="228"/>
      <c r="AF285" s="228"/>
      <c r="AG285" s="228"/>
      <c r="AH285" s="228"/>
      <c r="AI285" s="228"/>
      <c r="AJ285" s="228"/>
      <c r="AK285" s="228"/>
      <c r="AL285" s="228"/>
      <c r="AM285" s="228"/>
    </row>
    <row r="286">
      <c r="A286" s="228"/>
      <c r="B286" s="228"/>
      <c r="C286" s="228"/>
      <c r="D286" s="228"/>
      <c r="E286" s="228"/>
      <c r="F286" s="228"/>
      <c r="G286" s="228"/>
      <c r="H286" s="241"/>
      <c r="I286" s="228"/>
      <c r="J286" s="228"/>
      <c r="K286" s="228"/>
      <c r="L286" s="228"/>
      <c r="M286" s="228"/>
      <c r="N286" s="228"/>
      <c r="O286" s="236"/>
      <c r="P286" s="228"/>
      <c r="Q286" s="228"/>
      <c r="R286" s="228"/>
      <c r="S286" s="228"/>
      <c r="T286" s="228"/>
      <c r="U286" s="228"/>
      <c r="V286" s="228"/>
      <c r="W286" s="228"/>
      <c r="X286" s="228"/>
      <c r="Y286" s="228"/>
      <c r="Z286" s="228"/>
      <c r="AA286" s="228"/>
      <c r="AB286" s="228"/>
      <c r="AC286" s="228"/>
      <c r="AD286" s="228"/>
      <c r="AE286" s="228"/>
      <c r="AF286" s="228"/>
      <c r="AG286" s="228"/>
      <c r="AH286" s="228"/>
      <c r="AI286" s="228"/>
      <c r="AJ286" s="228"/>
      <c r="AK286" s="228"/>
      <c r="AL286" s="228"/>
      <c r="AM286" s="228"/>
    </row>
    <row r="287">
      <c r="A287" s="228"/>
      <c r="B287" s="228"/>
      <c r="C287" s="228"/>
      <c r="D287" s="228"/>
      <c r="E287" s="228"/>
      <c r="F287" s="228"/>
      <c r="G287" s="228"/>
      <c r="H287" s="241"/>
      <c r="I287" s="228"/>
      <c r="J287" s="228"/>
      <c r="K287" s="228"/>
      <c r="L287" s="228"/>
      <c r="M287" s="228"/>
      <c r="N287" s="228"/>
      <c r="O287" s="236"/>
      <c r="P287" s="228"/>
      <c r="Q287" s="228"/>
      <c r="R287" s="228"/>
      <c r="S287" s="228"/>
      <c r="T287" s="228"/>
      <c r="U287" s="228"/>
      <c r="V287" s="228"/>
      <c r="W287" s="228"/>
      <c r="X287" s="228"/>
      <c r="Y287" s="228"/>
      <c r="Z287" s="228"/>
      <c r="AA287" s="228"/>
      <c r="AB287" s="228"/>
      <c r="AC287" s="228"/>
      <c r="AD287" s="228"/>
      <c r="AE287" s="228"/>
      <c r="AF287" s="228"/>
      <c r="AG287" s="228"/>
      <c r="AH287" s="228"/>
      <c r="AI287" s="228"/>
      <c r="AJ287" s="228"/>
      <c r="AK287" s="228"/>
      <c r="AL287" s="228"/>
      <c r="AM287" s="228"/>
    </row>
    <row r="288">
      <c r="A288" s="228"/>
      <c r="B288" s="228"/>
      <c r="C288" s="228"/>
      <c r="D288" s="228"/>
      <c r="E288" s="228"/>
      <c r="F288" s="228"/>
      <c r="G288" s="228"/>
      <c r="H288" s="241"/>
      <c r="I288" s="228"/>
      <c r="J288" s="228"/>
      <c r="K288" s="228"/>
      <c r="L288" s="228"/>
      <c r="M288" s="228"/>
      <c r="N288" s="228"/>
      <c r="O288" s="236"/>
      <c r="P288" s="228"/>
      <c r="Q288" s="228"/>
      <c r="R288" s="228"/>
      <c r="S288" s="228"/>
      <c r="T288" s="228"/>
      <c r="U288" s="228"/>
      <c r="V288" s="228"/>
      <c r="W288" s="228"/>
      <c r="X288" s="228"/>
      <c r="Y288" s="228"/>
      <c r="Z288" s="228"/>
      <c r="AA288" s="228"/>
      <c r="AB288" s="228"/>
      <c r="AC288" s="228"/>
      <c r="AD288" s="228"/>
      <c r="AE288" s="228"/>
      <c r="AF288" s="228"/>
      <c r="AG288" s="228"/>
      <c r="AH288" s="228"/>
      <c r="AI288" s="228"/>
      <c r="AJ288" s="228"/>
      <c r="AK288" s="228"/>
      <c r="AL288" s="228"/>
      <c r="AM288" s="228"/>
    </row>
    <row r="289">
      <c r="A289" s="228"/>
      <c r="B289" s="228"/>
      <c r="C289" s="228"/>
      <c r="D289" s="228"/>
      <c r="E289" s="228"/>
      <c r="F289" s="228"/>
      <c r="G289" s="228"/>
      <c r="H289" s="241"/>
      <c r="I289" s="228"/>
      <c r="J289" s="228"/>
      <c r="K289" s="228"/>
      <c r="L289" s="228"/>
      <c r="M289" s="228"/>
      <c r="N289" s="228"/>
      <c r="O289" s="236"/>
      <c r="P289" s="228"/>
      <c r="Q289" s="228"/>
      <c r="R289" s="228"/>
      <c r="S289" s="228"/>
      <c r="T289" s="228"/>
      <c r="U289" s="228"/>
      <c r="V289" s="228"/>
      <c r="W289" s="228"/>
      <c r="X289" s="228"/>
      <c r="Y289" s="228"/>
      <c r="Z289" s="228"/>
      <c r="AA289" s="228"/>
      <c r="AB289" s="228"/>
      <c r="AC289" s="228"/>
      <c r="AD289" s="228"/>
      <c r="AE289" s="228"/>
      <c r="AF289" s="228"/>
      <c r="AG289" s="228"/>
      <c r="AH289" s="228"/>
      <c r="AI289" s="228"/>
      <c r="AJ289" s="228"/>
      <c r="AK289" s="228"/>
      <c r="AL289" s="228"/>
      <c r="AM289" s="228"/>
    </row>
    <row r="290">
      <c r="A290" s="228"/>
      <c r="B290" s="228"/>
      <c r="C290" s="228"/>
      <c r="D290" s="228"/>
      <c r="E290" s="228"/>
      <c r="F290" s="228"/>
      <c r="G290" s="228"/>
      <c r="H290" s="241"/>
      <c r="I290" s="228"/>
      <c r="J290" s="228"/>
      <c r="K290" s="228"/>
      <c r="L290" s="228"/>
      <c r="M290" s="228"/>
      <c r="N290" s="228"/>
      <c r="O290" s="236"/>
      <c r="P290" s="228"/>
      <c r="Q290" s="228"/>
      <c r="R290" s="228"/>
      <c r="S290" s="228"/>
      <c r="T290" s="228"/>
      <c r="U290" s="228"/>
      <c r="V290" s="228"/>
      <c r="W290" s="228"/>
      <c r="X290" s="228"/>
      <c r="Y290" s="228"/>
      <c r="Z290" s="228"/>
      <c r="AA290" s="228"/>
      <c r="AB290" s="228"/>
      <c r="AC290" s="228"/>
      <c r="AD290" s="228"/>
      <c r="AE290" s="228"/>
      <c r="AF290" s="228"/>
      <c r="AG290" s="228"/>
      <c r="AH290" s="228"/>
      <c r="AI290" s="228"/>
      <c r="AJ290" s="228"/>
      <c r="AK290" s="228"/>
      <c r="AL290" s="228"/>
      <c r="AM290" s="228"/>
    </row>
    <row r="291">
      <c r="A291" s="228"/>
      <c r="B291" s="228"/>
      <c r="C291" s="228"/>
      <c r="D291" s="228"/>
      <c r="E291" s="228"/>
      <c r="F291" s="228"/>
      <c r="G291" s="228"/>
      <c r="H291" s="241"/>
      <c r="I291" s="228"/>
      <c r="J291" s="228"/>
      <c r="K291" s="228"/>
      <c r="L291" s="228"/>
      <c r="M291" s="228"/>
      <c r="N291" s="228"/>
      <c r="O291" s="236"/>
      <c r="P291" s="228"/>
      <c r="Q291" s="228"/>
      <c r="R291" s="228"/>
      <c r="S291" s="228"/>
      <c r="T291" s="228"/>
      <c r="U291" s="228"/>
      <c r="V291" s="228"/>
      <c r="W291" s="228"/>
      <c r="X291" s="228"/>
      <c r="Y291" s="228"/>
      <c r="Z291" s="228"/>
      <c r="AA291" s="228"/>
      <c r="AB291" s="228"/>
      <c r="AC291" s="228"/>
      <c r="AD291" s="228"/>
      <c r="AE291" s="228"/>
      <c r="AF291" s="228"/>
      <c r="AG291" s="228"/>
      <c r="AH291" s="228"/>
      <c r="AI291" s="228"/>
      <c r="AJ291" s="228"/>
      <c r="AK291" s="228"/>
      <c r="AL291" s="228"/>
      <c r="AM291" s="228"/>
    </row>
    <row r="292">
      <c r="A292" s="228"/>
      <c r="B292" s="228"/>
      <c r="C292" s="228"/>
      <c r="D292" s="228"/>
      <c r="E292" s="228"/>
      <c r="F292" s="228"/>
      <c r="G292" s="228"/>
      <c r="H292" s="241"/>
      <c r="I292" s="228"/>
      <c r="J292" s="228"/>
      <c r="K292" s="228"/>
      <c r="L292" s="228"/>
      <c r="M292" s="228"/>
      <c r="N292" s="228"/>
      <c r="O292" s="236"/>
      <c r="P292" s="228"/>
      <c r="Q292" s="228"/>
      <c r="R292" s="228"/>
      <c r="S292" s="228"/>
      <c r="T292" s="228"/>
      <c r="U292" s="228"/>
      <c r="V292" s="228"/>
      <c r="W292" s="228"/>
      <c r="X292" s="228"/>
      <c r="Y292" s="228"/>
      <c r="Z292" s="228"/>
      <c r="AA292" s="228"/>
      <c r="AB292" s="228"/>
      <c r="AC292" s="228"/>
      <c r="AD292" s="228"/>
      <c r="AE292" s="228"/>
      <c r="AF292" s="228"/>
      <c r="AG292" s="228"/>
      <c r="AH292" s="228"/>
      <c r="AI292" s="228"/>
      <c r="AJ292" s="228"/>
      <c r="AK292" s="228"/>
      <c r="AL292" s="228"/>
      <c r="AM292" s="228"/>
    </row>
    <row r="293">
      <c r="A293" s="228"/>
      <c r="B293" s="228"/>
      <c r="C293" s="228"/>
      <c r="D293" s="228"/>
      <c r="E293" s="228"/>
      <c r="F293" s="228"/>
      <c r="G293" s="228"/>
      <c r="H293" s="241"/>
      <c r="I293" s="228"/>
      <c r="J293" s="228"/>
      <c r="K293" s="228"/>
      <c r="L293" s="228"/>
      <c r="M293" s="228"/>
      <c r="N293" s="228"/>
      <c r="O293" s="236"/>
      <c r="P293" s="228"/>
      <c r="Q293" s="228"/>
      <c r="R293" s="228"/>
      <c r="S293" s="228"/>
      <c r="T293" s="228"/>
      <c r="U293" s="228"/>
      <c r="V293" s="228"/>
      <c r="W293" s="228"/>
      <c r="X293" s="228"/>
      <c r="Y293" s="228"/>
      <c r="Z293" s="228"/>
      <c r="AA293" s="228"/>
      <c r="AB293" s="228"/>
      <c r="AC293" s="228"/>
      <c r="AD293" s="228"/>
      <c r="AE293" s="228"/>
      <c r="AF293" s="228"/>
      <c r="AG293" s="228"/>
      <c r="AH293" s="228"/>
      <c r="AI293" s="228"/>
      <c r="AJ293" s="228"/>
      <c r="AK293" s="228"/>
      <c r="AL293" s="228"/>
      <c r="AM293" s="228"/>
    </row>
    <row r="294">
      <c r="A294" s="228"/>
      <c r="B294" s="228"/>
      <c r="C294" s="228"/>
      <c r="D294" s="228"/>
      <c r="E294" s="228"/>
      <c r="F294" s="228"/>
      <c r="G294" s="228"/>
      <c r="H294" s="241"/>
      <c r="I294" s="228"/>
      <c r="J294" s="228"/>
      <c r="K294" s="228"/>
      <c r="L294" s="228"/>
      <c r="M294" s="228"/>
      <c r="N294" s="228"/>
      <c r="O294" s="236"/>
      <c r="P294" s="228"/>
      <c r="Q294" s="228"/>
      <c r="R294" s="228"/>
      <c r="S294" s="228"/>
      <c r="T294" s="228"/>
      <c r="U294" s="228"/>
      <c r="V294" s="228"/>
      <c r="W294" s="228"/>
      <c r="X294" s="228"/>
      <c r="Y294" s="228"/>
      <c r="Z294" s="228"/>
      <c r="AA294" s="228"/>
      <c r="AB294" s="228"/>
      <c r="AC294" s="228"/>
      <c r="AD294" s="228"/>
      <c r="AE294" s="228"/>
      <c r="AF294" s="228"/>
      <c r="AG294" s="228"/>
      <c r="AH294" s="228"/>
      <c r="AI294" s="228"/>
      <c r="AJ294" s="228"/>
      <c r="AK294" s="228"/>
      <c r="AL294" s="228"/>
      <c r="AM294" s="228"/>
    </row>
    <row r="295">
      <c r="A295" s="228"/>
      <c r="B295" s="228"/>
      <c r="C295" s="228"/>
      <c r="D295" s="228"/>
      <c r="E295" s="228"/>
      <c r="F295" s="228"/>
      <c r="G295" s="228"/>
      <c r="H295" s="241"/>
      <c r="I295" s="228"/>
      <c r="J295" s="228"/>
      <c r="K295" s="228"/>
      <c r="L295" s="228"/>
      <c r="M295" s="228"/>
      <c r="N295" s="228"/>
      <c r="O295" s="236"/>
      <c r="P295" s="228"/>
      <c r="Q295" s="228"/>
      <c r="R295" s="228"/>
      <c r="S295" s="228"/>
      <c r="T295" s="228"/>
      <c r="U295" s="228"/>
      <c r="V295" s="228"/>
      <c r="W295" s="228"/>
      <c r="X295" s="228"/>
      <c r="Y295" s="228"/>
      <c r="Z295" s="228"/>
      <c r="AA295" s="228"/>
      <c r="AB295" s="228"/>
      <c r="AC295" s="228"/>
      <c r="AD295" s="228"/>
      <c r="AE295" s="228"/>
      <c r="AF295" s="228"/>
      <c r="AG295" s="228"/>
      <c r="AH295" s="228"/>
      <c r="AI295" s="228"/>
      <c r="AJ295" s="228"/>
      <c r="AK295" s="228"/>
      <c r="AL295" s="228"/>
      <c r="AM295" s="228"/>
    </row>
    <row r="296">
      <c r="A296" s="228"/>
      <c r="B296" s="228"/>
      <c r="C296" s="228"/>
      <c r="D296" s="228"/>
      <c r="E296" s="228"/>
      <c r="F296" s="228"/>
      <c r="G296" s="228"/>
      <c r="H296" s="241"/>
      <c r="I296" s="228"/>
      <c r="J296" s="228"/>
      <c r="K296" s="228"/>
      <c r="L296" s="228"/>
      <c r="M296" s="228"/>
      <c r="N296" s="228"/>
      <c r="O296" s="236"/>
      <c r="P296" s="228"/>
      <c r="Q296" s="228"/>
      <c r="R296" s="228"/>
      <c r="S296" s="228"/>
      <c r="T296" s="228"/>
      <c r="U296" s="228"/>
      <c r="V296" s="228"/>
      <c r="W296" s="228"/>
      <c r="X296" s="228"/>
      <c r="Y296" s="228"/>
      <c r="Z296" s="228"/>
      <c r="AA296" s="228"/>
      <c r="AB296" s="228"/>
      <c r="AC296" s="228"/>
      <c r="AD296" s="228"/>
      <c r="AE296" s="228"/>
      <c r="AF296" s="228"/>
      <c r="AG296" s="228"/>
      <c r="AH296" s="228"/>
      <c r="AI296" s="228"/>
      <c r="AJ296" s="228"/>
      <c r="AK296" s="228"/>
      <c r="AL296" s="228"/>
      <c r="AM296" s="228"/>
    </row>
    <row r="297">
      <c r="A297" s="228"/>
      <c r="B297" s="228"/>
      <c r="C297" s="228"/>
      <c r="D297" s="228"/>
      <c r="E297" s="228"/>
      <c r="F297" s="228"/>
      <c r="G297" s="228"/>
      <c r="H297" s="241"/>
      <c r="I297" s="228"/>
      <c r="J297" s="228"/>
      <c r="K297" s="228"/>
      <c r="L297" s="228"/>
      <c r="M297" s="228"/>
      <c r="N297" s="228"/>
      <c r="O297" s="236"/>
      <c r="P297" s="228"/>
      <c r="Q297" s="228"/>
      <c r="R297" s="228"/>
      <c r="S297" s="228"/>
      <c r="T297" s="228"/>
      <c r="U297" s="228"/>
      <c r="V297" s="228"/>
      <c r="W297" s="228"/>
      <c r="X297" s="228"/>
      <c r="Y297" s="228"/>
      <c r="Z297" s="228"/>
      <c r="AA297" s="228"/>
      <c r="AB297" s="228"/>
      <c r="AC297" s="228"/>
      <c r="AD297" s="228"/>
      <c r="AE297" s="228"/>
      <c r="AF297" s="228"/>
      <c r="AG297" s="228"/>
      <c r="AH297" s="228"/>
      <c r="AI297" s="228"/>
      <c r="AJ297" s="228"/>
      <c r="AK297" s="228"/>
      <c r="AL297" s="228"/>
      <c r="AM297" s="228"/>
    </row>
    <row r="298">
      <c r="A298" s="228"/>
      <c r="B298" s="228"/>
      <c r="C298" s="228"/>
      <c r="D298" s="228"/>
      <c r="E298" s="228"/>
      <c r="F298" s="228"/>
      <c r="G298" s="228"/>
      <c r="H298" s="241"/>
      <c r="I298" s="228"/>
      <c r="J298" s="228"/>
      <c r="K298" s="228"/>
      <c r="L298" s="228"/>
      <c r="M298" s="228"/>
      <c r="N298" s="228"/>
      <c r="O298" s="236"/>
      <c r="P298" s="228"/>
      <c r="Q298" s="228"/>
      <c r="R298" s="228"/>
      <c r="S298" s="228"/>
      <c r="T298" s="228"/>
      <c r="U298" s="228"/>
      <c r="V298" s="228"/>
      <c r="W298" s="228"/>
      <c r="X298" s="228"/>
      <c r="Y298" s="228"/>
      <c r="Z298" s="228"/>
      <c r="AA298" s="228"/>
      <c r="AB298" s="228"/>
      <c r="AC298" s="228"/>
      <c r="AD298" s="228"/>
      <c r="AE298" s="228"/>
      <c r="AF298" s="228"/>
      <c r="AG298" s="228"/>
      <c r="AH298" s="228"/>
      <c r="AI298" s="228"/>
      <c r="AJ298" s="228"/>
      <c r="AK298" s="228"/>
      <c r="AL298" s="228"/>
      <c r="AM298" s="228"/>
    </row>
    <row r="299">
      <c r="A299" s="228"/>
      <c r="B299" s="228"/>
      <c r="C299" s="228"/>
      <c r="D299" s="228"/>
      <c r="E299" s="228"/>
      <c r="F299" s="228"/>
      <c r="G299" s="228"/>
      <c r="H299" s="241"/>
      <c r="I299" s="228"/>
      <c r="J299" s="228"/>
      <c r="K299" s="228"/>
      <c r="L299" s="228"/>
      <c r="M299" s="228"/>
      <c r="N299" s="228"/>
      <c r="O299" s="236"/>
      <c r="P299" s="228"/>
      <c r="Q299" s="228"/>
      <c r="R299" s="228"/>
      <c r="S299" s="228"/>
      <c r="T299" s="228"/>
      <c r="U299" s="228"/>
      <c r="V299" s="228"/>
      <c r="W299" s="228"/>
      <c r="X299" s="228"/>
      <c r="Y299" s="228"/>
      <c r="Z299" s="228"/>
      <c r="AA299" s="228"/>
      <c r="AB299" s="228"/>
      <c r="AC299" s="228"/>
      <c r="AD299" s="228"/>
      <c r="AE299" s="228"/>
      <c r="AF299" s="228"/>
      <c r="AG299" s="228"/>
      <c r="AH299" s="228"/>
      <c r="AI299" s="228"/>
      <c r="AJ299" s="228"/>
      <c r="AK299" s="228"/>
      <c r="AL299" s="228"/>
      <c r="AM299" s="228"/>
    </row>
    <row r="300">
      <c r="A300" s="228"/>
      <c r="B300" s="228"/>
      <c r="C300" s="228"/>
      <c r="D300" s="228"/>
      <c r="E300" s="228"/>
      <c r="F300" s="228"/>
      <c r="G300" s="228"/>
      <c r="H300" s="241"/>
      <c r="I300" s="228"/>
      <c r="J300" s="228"/>
      <c r="K300" s="228"/>
      <c r="L300" s="228"/>
      <c r="M300" s="228"/>
      <c r="N300" s="228"/>
      <c r="O300" s="236"/>
      <c r="P300" s="228"/>
      <c r="Q300" s="228"/>
      <c r="R300" s="228"/>
      <c r="S300" s="228"/>
      <c r="T300" s="228"/>
      <c r="U300" s="228"/>
      <c r="V300" s="228"/>
      <c r="W300" s="228"/>
      <c r="X300" s="228"/>
      <c r="Y300" s="228"/>
      <c r="Z300" s="228"/>
      <c r="AA300" s="228"/>
      <c r="AB300" s="228"/>
      <c r="AC300" s="228"/>
      <c r="AD300" s="228"/>
      <c r="AE300" s="228"/>
      <c r="AF300" s="228"/>
      <c r="AG300" s="228"/>
      <c r="AH300" s="228"/>
      <c r="AI300" s="228"/>
      <c r="AJ300" s="228"/>
      <c r="AK300" s="228"/>
      <c r="AL300" s="228"/>
      <c r="AM300" s="228"/>
    </row>
    <row r="301">
      <c r="A301" s="228"/>
      <c r="B301" s="228"/>
      <c r="C301" s="228"/>
      <c r="D301" s="228"/>
      <c r="E301" s="228"/>
      <c r="F301" s="228"/>
      <c r="G301" s="228"/>
      <c r="H301" s="241"/>
      <c r="I301" s="228"/>
      <c r="J301" s="228"/>
      <c r="K301" s="228"/>
      <c r="L301" s="228"/>
      <c r="M301" s="228"/>
      <c r="N301" s="228"/>
      <c r="O301" s="236"/>
      <c r="P301" s="228"/>
      <c r="Q301" s="228"/>
      <c r="R301" s="228"/>
      <c r="S301" s="228"/>
      <c r="T301" s="228"/>
      <c r="U301" s="228"/>
      <c r="V301" s="228"/>
      <c r="W301" s="228"/>
      <c r="X301" s="228"/>
      <c r="Y301" s="228"/>
      <c r="Z301" s="228"/>
      <c r="AA301" s="228"/>
      <c r="AB301" s="228"/>
      <c r="AC301" s="228"/>
      <c r="AD301" s="228"/>
      <c r="AE301" s="228"/>
      <c r="AF301" s="228"/>
      <c r="AG301" s="228"/>
      <c r="AH301" s="228"/>
      <c r="AI301" s="228"/>
      <c r="AJ301" s="228"/>
      <c r="AK301" s="228"/>
      <c r="AL301" s="228"/>
      <c r="AM301" s="228"/>
    </row>
    <row r="302">
      <c r="A302" s="228"/>
      <c r="B302" s="228"/>
      <c r="C302" s="228"/>
      <c r="D302" s="228"/>
      <c r="E302" s="228"/>
      <c r="F302" s="228"/>
      <c r="G302" s="228"/>
      <c r="H302" s="241"/>
      <c r="I302" s="228"/>
      <c r="J302" s="228"/>
      <c r="K302" s="228"/>
      <c r="L302" s="228"/>
      <c r="M302" s="228"/>
      <c r="N302" s="228"/>
      <c r="O302" s="236"/>
      <c r="P302" s="228"/>
      <c r="Q302" s="228"/>
      <c r="R302" s="228"/>
      <c r="S302" s="228"/>
      <c r="T302" s="228"/>
      <c r="U302" s="228"/>
      <c r="V302" s="228"/>
      <c r="W302" s="228"/>
      <c r="X302" s="228"/>
      <c r="Y302" s="228"/>
      <c r="Z302" s="228"/>
      <c r="AA302" s="228"/>
      <c r="AB302" s="228"/>
      <c r="AC302" s="228"/>
      <c r="AD302" s="228"/>
      <c r="AE302" s="228"/>
      <c r="AF302" s="228"/>
      <c r="AG302" s="228"/>
      <c r="AH302" s="228"/>
      <c r="AI302" s="228"/>
      <c r="AJ302" s="228"/>
      <c r="AK302" s="228"/>
      <c r="AL302" s="228"/>
      <c r="AM302" s="228"/>
    </row>
    <row r="303">
      <c r="A303" s="228"/>
      <c r="B303" s="228"/>
      <c r="C303" s="228"/>
      <c r="D303" s="228"/>
      <c r="E303" s="228"/>
      <c r="F303" s="228"/>
      <c r="G303" s="228"/>
      <c r="H303" s="241"/>
      <c r="I303" s="228"/>
      <c r="J303" s="228"/>
      <c r="K303" s="228"/>
      <c r="L303" s="228"/>
      <c r="M303" s="228"/>
      <c r="N303" s="228"/>
      <c r="O303" s="236"/>
      <c r="P303" s="228"/>
      <c r="Q303" s="228"/>
      <c r="R303" s="228"/>
      <c r="S303" s="228"/>
      <c r="T303" s="228"/>
      <c r="U303" s="228"/>
      <c r="V303" s="228"/>
      <c r="W303" s="228"/>
      <c r="X303" s="228"/>
      <c r="Y303" s="228"/>
      <c r="Z303" s="228"/>
      <c r="AA303" s="228"/>
      <c r="AB303" s="228"/>
      <c r="AC303" s="228"/>
      <c r="AD303" s="228"/>
      <c r="AE303" s="228"/>
      <c r="AF303" s="228"/>
      <c r="AG303" s="228"/>
      <c r="AH303" s="228"/>
      <c r="AI303" s="228"/>
      <c r="AJ303" s="228"/>
      <c r="AK303" s="228"/>
      <c r="AL303" s="228"/>
      <c r="AM303" s="228"/>
    </row>
    <row r="304">
      <c r="A304" s="228"/>
      <c r="B304" s="228"/>
      <c r="C304" s="228"/>
      <c r="D304" s="228"/>
      <c r="E304" s="228"/>
      <c r="F304" s="228"/>
      <c r="G304" s="228"/>
      <c r="H304" s="241"/>
      <c r="I304" s="228"/>
      <c r="J304" s="228"/>
      <c r="K304" s="228"/>
      <c r="L304" s="228"/>
      <c r="M304" s="228"/>
      <c r="N304" s="228"/>
      <c r="O304" s="236"/>
      <c r="P304" s="228"/>
      <c r="Q304" s="228"/>
      <c r="R304" s="228"/>
      <c r="S304" s="228"/>
      <c r="T304" s="228"/>
      <c r="U304" s="228"/>
      <c r="V304" s="228"/>
      <c r="W304" s="228"/>
      <c r="X304" s="228"/>
      <c r="Y304" s="228"/>
      <c r="Z304" s="228"/>
      <c r="AA304" s="228"/>
      <c r="AB304" s="228"/>
      <c r="AC304" s="228"/>
      <c r="AD304" s="228"/>
      <c r="AE304" s="228"/>
      <c r="AF304" s="228"/>
      <c r="AG304" s="228"/>
      <c r="AH304" s="228"/>
      <c r="AI304" s="228"/>
      <c r="AJ304" s="228"/>
      <c r="AK304" s="228"/>
      <c r="AL304" s="228"/>
      <c r="AM304" s="228"/>
    </row>
    <row r="305">
      <c r="A305" s="228"/>
      <c r="B305" s="228"/>
      <c r="C305" s="228"/>
      <c r="D305" s="228"/>
      <c r="E305" s="228"/>
      <c r="F305" s="228"/>
      <c r="G305" s="228"/>
      <c r="H305" s="241"/>
      <c r="I305" s="228"/>
      <c r="J305" s="228"/>
      <c r="K305" s="228"/>
      <c r="L305" s="228"/>
      <c r="M305" s="228"/>
      <c r="N305" s="228"/>
      <c r="O305" s="236"/>
      <c r="P305" s="228"/>
      <c r="Q305" s="228"/>
      <c r="R305" s="228"/>
      <c r="S305" s="228"/>
      <c r="T305" s="228"/>
      <c r="U305" s="228"/>
      <c r="V305" s="228"/>
      <c r="W305" s="228"/>
      <c r="X305" s="228"/>
      <c r="Y305" s="228"/>
      <c r="Z305" s="228"/>
      <c r="AA305" s="228"/>
      <c r="AB305" s="228"/>
      <c r="AC305" s="228"/>
      <c r="AD305" s="228"/>
      <c r="AE305" s="228"/>
      <c r="AF305" s="228"/>
      <c r="AG305" s="228"/>
      <c r="AH305" s="228"/>
      <c r="AI305" s="228"/>
      <c r="AJ305" s="228"/>
      <c r="AK305" s="228"/>
      <c r="AL305" s="228"/>
      <c r="AM305" s="228"/>
    </row>
    <row r="306">
      <c r="A306" s="228"/>
      <c r="B306" s="228"/>
      <c r="C306" s="228"/>
      <c r="D306" s="228"/>
      <c r="E306" s="228"/>
      <c r="F306" s="228"/>
      <c r="G306" s="228"/>
      <c r="H306" s="241"/>
      <c r="I306" s="228"/>
      <c r="J306" s="228"/>
      <c r="K306" s="228"/>
      <c r="L306" s="228"/>
      <c r="M306" s="228"/>
      <c r="N306" s="228"/>
      <c r="O306" s="236"/>
      <c r="P306" s="228"/>
      <c r="Q306" s="228"/>
      <c r="R306" s="228"/>
      <c r="S306" s="228"/>
      <c r="T306" s="228"/>
      <c r="U306" s="228"/>
      <c r="V306" s="228"/>
      <c r="W306" s="228"/>
      <c r="X306" s="228"/>
      <c r="Y306" s="228"/>
      <c r="Z306" s="228"/>
      <c r="AA306" s="228"/>
      <c r="AB306" s="228"/>
      <c r="AC306" s="228"/>
      <c r="AD306" s="228"/>
      <c r="AE306" s="228"/>
      <c r="AF306" s="228"/>
      <c r="AG306" s="228"/>
      <c r="AH306" s="228"/>
      <c r="AI306" s="228"/>
      <c r="AJ306" s="228"/>
      <c r="AK306" s="228"/>
      <c r="AL306" s="228"/>
      <c r="AM306" s="228"/>
    </row>
    <row r="307">
      <c r="A307" s="228"/>
      <c r="B307" s="228"/>
      <c r="C307" s="228"/>
      <c r="D307" s="228"/>
      <c r="E307" s="228"/>
      <c r="F307" s="228"/>
      <c r="G307" s="228"/>
      <c r="H307" s="241"/>
      <c r="I307" s="228"/>
      <c r="J307" s="228"/>
      <c r="K307" s="228"/>
      <c r="L307" s="228"/>
      <c r="M307" s="228"/>
      <c r="N307" s="228"/>
      <c r="O307" s="236"/>
      <c r="P307" s="228"/>
      <c r="Q307" s="228"/>
      <c r="R307" s="228"/>
      <c r="S307" s="228"/>
      <c r="T307" s="228"/>
      <c r="U307" s="228"/>
      <c r="V307" s="228"/>
      <c r="W307" s="228"/>
      <c r="X307" s="228"/>
      <c r="Y307" s="228"/>
      <c r="Z307" s="228"/>
      <c r="AA307" s="228"/>
      <c r="AB307" s="228"/>
      <c r="AC307" s="228"/>
      <c r="AD307" s="228"/>
      <c r="AE307" s="228"/>
      <c r="AF307" s="228"/>
      <c r="AG307" s="228"/>
      <c r="AH307" s="228"/>
      <c r="AI307" s="228"/>
      <c r="AJ307" s="228"/>
      <c r="AK307" s="228"/>
      <c r="AL307" s="228"/>
      <c r="AM307" s="228"/>
    </row>
    <row r="308">
      <c r="A308" s="228"/>
      <c r="B308" s="228"/>
      <c r="C308" s="228"/>
      <c r="D308" s="228"/>
      <c r="E308" s="228"/>
      <c r="F308" s="228"/>
      <c r="G308" s="228"/>
      <c r="H308" s="241"/>
      <c r="I308" s="228"/>
      <c r="J308" s="228"/>
      <c r="K308" s="228"/>
      <c r="L308" s="228"/>
      <c r="M308" s="228"/>
      <c r="N308" s="228"/>
      <c r="O308" s="236"/>
      <c r="P308" s="228"/>
      <c r="Q308" s="228"/>
      <c r="R308" s="228"/>
      <c r="S308" s="228"/>
      <c r="T308" s="228"/>
      <c r="U308" s="228"/>
      <c r="V308" s="228"/>
      <c r="W308" s="228"/>
      <c r="X308" s="228"/>
      <c r="Y308" s="228"/>
      <c r="Z308" s="228"/>
      <c r="AA308" s="228"/>
      <c r="AB308" s="228"/>
      <c r="AC308" s="228"/>
      <c r="AD308" s="228"/>
      <c r="AE308" s="228"/>
      <c r="AF308" s="228"/>
      <c r="AG308" s="228"/>
      <c r="AH308" s="228"/>
      <c r="AI308" s="228"/>
      <c r="AJ308" s="228"/>
      <c r="AK308" s="228"/>
      <c r="AL308" s="228"/>
      <c r="AM308" s="228"/>
    </row>
    <row r="309">
      <c r="A309" s="228"/>
      <c r="B309" s="228"/>
      <c r="C309" s="228"/>
      <c r="D309" s="228"/>
      <c r="E309" s="228"/>
      <c r="F309" s="228"/>
      <c r="G309" s="228"/>
      <c r="H309" s="241"/>
      <c r="I309" s="228"/>
      <c r="J309" s="228"/>
      <c r="K309" s="228"/>
      <c r="L309" s="228"/>
      <c r="M309" s="228"/>
      <c r="N309" s="228"/>
      <c r="O309" s="236"/>
      <c r="P309" s="228"/>
      <c r="Q309" s="228"/>
      <c r="R309" s="228"/>
      <c r="S309" s="228"/>
      <c r="T309" s="228"/>
      <c r="U309" s="228"/>
      <c r="V309" s="228"/>
      <c r="W309" s="228"/>
      <c r="X309" s="228"/>
      <c r="Y309" s="228"/>
      <c r="Z309" s="228"/>
      <c r="AA309" s="228"/>
      <c r="AB309" s="228"/>
      <c r="AC309" s="228"/>
      <c r="AD309" s="228"/>
      <c r="AE309" s="228"/>
      <c r="AF309" s="228"/>
      <c r="AG309" s="228"/>
      <c r="AH309" s="228"/>
      <c r="AI309" s="228"/>
      <c r="AJ309" s="228"/>
      <c r="AK309" s="228"/>
      <c r="AL309" s="228"/>
      <c r="AM309" s="228"/>
    </row>
    <row r="310">
      <c r="A310" s="228"/>
      <c r="B310" s="228"/>
      <c r="C310" s="228"/>
      <c r="D310" s="228"/>
      <c r="E310" s="228"/>
      <c r="F310" s="228"/>
      <c r="G310" s="228"/>
      <c r="H310" s="241"/>
      <c r="I310" s="228"/>
      <c r="J310" s="228"/>
      <c r="K310" s="228"/>
      <c r="L310" s="228"/>
      <c r="M310" s="228"/>
      <c r="N310" s="228"/>
      <c r="O310" s="236"/>
      <c r="P310" s="228"/>
      <c r="Q310" s="228"/>
      <c r="R310" s="228"/>
      <c r="S310" s="228"/>
      <c r="T310" s="228"/>
      <c r="U310" s="228"/>
      <c r="V310" s="228"/>
      <c r="W310" s="228"/>
      <c r="X310" s="228"/>
      <c r="Y310" s="228"/>
      <c r="Z310" s="228"/>
      <c r="AA310" s="228"/>
      <c r="AB310" s="228"/>
      <c r="AC310" s="228"/>
      <c r="AD310" s="228"/>
      <c r="AE310" s="228"/>
      <c r="AF310" s="228"/>
      <c r="AG310" s="228"/>
      <c r="AH310" s="228"/>
      <c r="AI310" s="228"/>
      <c r="AJ310" s="228"/>
      <c r="AK310" s="228"/>
      <c r="AL310" s="228"/>
      <c r="AM310" s="228"/>
    </row>
    <row r="311">
      <c r="A311" s="228"/>
      <c r="B311" s="228"/>
      <c r="C311" s="228"/>
      <c r="D311" s="228"/>
      <c r="E311" s="228"/>
      <c r="F311" s="228"/>
      <c r="G311" s="228"/>
      <c r="H311" s="241"/>
      <c r="I311" s="228"/>
      <c r="J311" s="228"/>
      <c r="K311" s="228"/>
      <c r="L311" s="228"/>
      <c r="M311" s="228"/>
      <c r="N311" s="228"/>
      <c r="O311" s="236"/>
      <c r="P311" s="228"/>
      <c r="Q311" s="228"/>
      <c r="R311" s="228"/>
      <c r="S311" s="228"/>
      <c r="T311" s="228"/>
      <c r="U311" s="228"/>
      <c r="V311" s="228"/>
      <c r="W311" s="228"/>
      <c r="X311" s="228"/>
      <c r="Y311" s="228"/>
      <c r="Z311" s="228"/>
      <c r="AA311" s="228"/>
      <c r="AB311" s="228"/>
      <c r="AC311" s="228"/>
      <c r="AD311" s="228"/>
      <c r="AE311" s="228"/>
      <c r="AF311" s="228"/>
      <c r="AG311" s="228"/>
      <c r="AH311" s="228"/>
      <c r="AI311" s="228"/>
      <c r="AJ311" s="228"/>
      <c r="AK311" s="228"/>
      <c r="AL311" s="228"/>
      <c r="AM311" s="228"/>
    </row>
    <row r="312">
      <c r="A312" s="228"/>
      <c r="B312" s="228"/>
      <c r="C312" s="228"/>
      <c r="D312" s="228"/>
      <c r="E312" s="228"/>
      <c r="F312" s="228"/>
      <c r="G312" s="228"/>
      <c r="H312" s="241"/>
      <c r="I312" s="228"/>
      <c r="J312" s="228"/>
      <c r="K312" s="228"/>
      <c r="L312" s="228"/>
      <c r="M312" s="228"/>
      <c r="N312" s="228"/>
      <c r="O312" s="236"/>
      <c r="P312" s="228"/>
      <c r="Q312" s="228"/>
      <c r="R312" s="228"/>
      <c r="S312" s="228"/>
      <c r="T312" s="228"/>
      <c r="U312" s="228"/>
      <c r="V312" s="228"/>
      <c r="W312" s="228"/>
      <c r="X312" s="228"/>
      <c r="Y312" s="228"/>
      <c r="Z312" s="228"/>
      <c r="AA312" s="228"/>
      <c r="AB312" s="228"/>
      <c r="AC312" s="228"/>
      <c r="AD312" s="228"/>
      <c r="AE312" s="228"/>
      <c r="AF312" s="228"/>
      <c r="AG312" s="228"/>
      <c r="AH312" s="228"/>
      <c r="AI312" s="228"/>
      <c r="AJ312" s="228"/>
      <c r="AK312" s="228"/>
      <c r="AL312" s="228"/>
      <c r="AM312" s="228"/>
    </row>
    <row r="313">
      <c r="A313" s="228"/>
      <c r="B313" s="228"/>
      <c r="C313" s="228"/>
      <c r="D313" s="228"/>
      <c r="E313" s="228"/>
      <c r="F313" s="228"/>
      <c r="G313" s="228"/>
      <c r="H313" s="241"/>
      <c r="I313" s="228"/>
      <c r="J313" s="228"/>
      <c r="K313" s="228"/>
      <c r="L313" s="228"/>
      <c r="M313" s="228"/>
      <c r="N313" s="228"/>
      <c r="O313" s="236"/>
      <c r="P313" s="228"/>
      <c r="Q313" s="228"/>
      <c r="R313" s="228"/>
      <c r="S313" s="228"/>
      <c r="T313" s="228"/>
      <c r="U313" s="228"/>
      <c r="V313" s="228"/>
      <c r="W313" s="228"/>
      <c r="X313" s="228"/>
      <c r="Y313" s="228"/>
      <c r="Z313" s="228"/>
      <c r="AA313" s="228"/>
      <c r="AB313" s="228"/>
      <c r="AC313" s="228"/>
      <c r="AD313" s="228"/>
      <c r="AE313" s="228"/>
      <c r="AF313" s="228"/>
      <c r="AG313" s="228"/>
      <c r="AH313" s="228"/>
      <c r="AI313" s="228"/>
      <c r="AJ313" s="228"/>
      <c r="AK313" s="228"/>
      <c r="AL313" s="228"/>
      <c r="AM313" s="228"/>
    </row>
    <row r="314">
      <c r="A314" s="228"/>
      <c r="B314" s="228"/>
      <c r="C314" s="228"/>
      <c r="D314" s="228"/>
      <c r="E314" s="228"/>
      <c r="F314" s="228"/>
      <c r="G314" s="228"/>
      <c r="H314" s="241"/>
      <c r="I314" s="228"/>
      <c r="J314" s="228"/>
      <c r="K314" s="228"/>
      <c r="L314" s="228"/>
      <c r="M314" s="228"/>
      <c r="N314" s="228"/>
      <c r="O314" s="236"/>
      <c r="P314" s="228"/>
      <c r="Q314" s="228"/>
      <c r="R314" s="228"/>
      <c r="S314" s="228"/>
      <c r="T314" s="228"/>
      <c r="U314" s="228"/>
      <c r="V314" s="228"/>
      <c r="W314" s="228"/>
      <c r="X314" s="228"/>
      <c r="Y314" s="228"/>
      <c r="Z314" s="228"/>
      <c r="AA314" s="228"/>
      <c r="AB314" s="228"/>
      <c r="AC314" s="228"/>
      <c r="AD314" s="228"/>
      <c r="AE314" s="228"/>
      <c r="AF314" s="228"/>
      <c r="AG314" s="228"/>
      <c r="AH314" s="228"/>
      <c r="AI314" s="228"/>
      <c r="AJ314" s="228"/>
      <c r="AK314" s="228"/>
      <c r="AL314" s="228"/>
      <c r="AM314" s="228"/>
    </row>
    <row r="315">
      <c r="A315" s="228"/>
      <c r="B315" s="228"/>
      <c r="C315" s="228"/>
      <c r="D315" s="228"/>
      <c r="E315" s="228"/>
      <c r="F315" s="228"/>
      <c r="G315" s="228"/>
      <c r="H315" s="241"/>
      <c r="I315" s="228"/>
      <c r="J315" s="228"/>
      <c r="K315" s="228"/>
      <c r="L315" s="228"/>
      <c r="M315" s="228"/>
      <c r="N315" s="228"/>
      <c r="O315" s="236"/>
      <c r="P315" s="228"/>
      <c r="Q315" s="228"/>
      <c r="R315" s="228"/>
      <c r="S315" s="228"/>
      <c r="T315" s="228"/>
      <c r="U315" s="228"/>
      <c r="V315" s="228"/>
      <c r="W315" s="228"/>
      <c r="X315" s="228"/>
      <c r="Y315" s="228"/>
      <c r="Z315" s="228"/>
      <c r="AA315" s="228"/>
      <c r="AB315" s="228"/>
      <c r="AC315" s="228"/>
      <c r="AD315" s="228"/>
      <c r="AE315" s="228"/>
      <c r="AF315" s="228"/>
      <c r="AG315" s="228"/>
      <c r="AH315" s="228"/>
      <c r="AI315" s="228"/>
      <c r="AJ315" s="228"/>
      <c r="AK315" s="228"/>
      <c r="AL315" s="228"/>
      <c r="AM315" s="228"/>
    </row>
    <row r="316">
      <c r="A316" s="228"/>
      <c r="B316" s="228"/>
      <c r="C316" s="228"/>
      <c r="D316" s="228"/>
      <c r="E316" s="228"/>
      <c r="F316" s="228"/>
      <c r="G316" s="228"/>
      <c r="H316" s="241"/>
      <c r="I316" s="228"/>
      <c r="J316" s="228"/>
      <c r="K316" s="228"/>
      <c r="L316" s="228"/>
      <c r="M316" s="228"/>
      <c r="N316" s="228"/>
      <c r="O316" s="236"/>
      <c r="P316" s="228"/>
      <c r="Q316" s="228"/>
      <c r="R316" s="228"/>
      <c r="S316" s="228"/>
      <c r="T316" s="228"/>
      <c r="U316" s="228"/>
      <c r="V316" s="228"/>
      <c r="W316" s="228"/>
      <c r="X316" s="228"/>
      <c r="Y316" s="228"/>
      <c r="Z316" s="228"/>
      <c r="AA316" s="228"/>
      <c r="AB316" s="228"/>
      <c r="AC316" s="228"/>
      <c r="AD316" s="228"/>
      <c r="AE316" s="228"/>
      <c r="AF316" s="228"/>
      <c r="AG316" s="228"/>
      <c r="AH316" s="228"/>
      <c r="AI316" s="228"/>
      <c r="AJ316" s="228"/>
      <c r="AK316" s="228"/>
      <c r="AL316" s="228"/>
      <c r="AM316" s="228"/>
    </row>
    <row r="317">
      <c r="A317" s="228"/>
      <c r="B317" s="228"/>
      <c r="C317" s="228"/>
      <c r="D317" s="228"/>
      <c r="E317" s="228"/>
      <c r="F317" s="228"/>
      <c r="G317" s="228"/>
      <c r="H317" s="241"/>
      <c r="I317" s="228"/>
      <c r="J317" s="228"/>
      <c r="K317" s="228"/>
      <c r="L317" s="228"/>
      <c r="M317" s="228"/>
      <c r="N317" s="228"/>
      <c r="O317" s="236"/>
      <c r="P317" s="228"/>
      <c r="Q317" s="228"/>
      <c r="R317" s="228"/>
      <c r="S317" s="228"/>
      <c r="T317" s="228"/>
      <c r="U317" s="228"/>
      <c r="V317" s="228"/>
      <c r="W317" s="228"/>
      <c r="X317" s="228"/>
      <c r="Y317" s="228"/>
      <c r="Z317" s="228"/>
      <c r="AA317" s="228"/>
      <c r="AB317" s="228"/>
      <c r="AC317" s="228"/>
      <c r="AD317" s="228"/>
      <c r="AE317" s="228"/>
      <c r="AF317" s="228"/>
      <c r="AG317" s="228"/>
      <c r="AH317" s="228"/>
      <c r="AI317" s="228"/>
      <c r="AJ317" s="228"/>
      <c r="AK317" s="228"/>
      <c r="AL317" s="228"/>
      <c r="AM317" s="228"/>
    </row>
    <row r="318">
      <c r="A318" s="228"/>
      <c r="B318" s="228"/>
      <c r="C318" s="228"/>
      <c r="D318" s="228"/>
      <c r="E318" s="228"/>
      <c r="F318" s="228"/>
      <c r="G318" s="228"/>
      <c r="H318" s="241"/>
      <c r="I318" s="228"/>
      <c r="J318" s="228"/>
      <c r="K318" s="228"/>
      <c r="L318" s="228"/>
      <c r="M318" s="228"/>
      <c r="N318" s="228"/>
      <c r="O318" s="236"/>
      <c r="P318" s="228"/>
      <c r="Q318" s="228"/>
      <c r="R318" s="228"/>
      <c r="S318" s="228"/>
      <c r="T318" s="228"/>
      <c r="U318" s="228"/>
      <c r="V318" s="228"/>
      <c r="W318" s="228"/>
      <c r="X318" s="228"/>
      <c r="Y318" s="228"/>
      <c r="Z318" s="228"/>
      <c r="AA318" s="228"/>
      <c r="AB318" s="228"/>
      <c r="AC318" s="228"/>
      <c r="AD318" s="228"/>
      <c r="AE318" s="228"/>
      <c r="AF318" s="228"/>
      <c r="AG318" s="228"/>
      <c r="AH318" s="228"/>
      <c r="AI318" s="228"/>
      <c r="AJ318" s="228"/>
      <c r="AK318" s="228"/>
      <c r="AL318" s="228"/>
      <c r="AM318" s="228"/>
    </row>
    <row r="319">
      <c r="A319" s="228"/>
      <c r="B319" s="228"/>
      <c r="C319" s="228"/>
      <c r="D319" s="228"/>
      <c r="E319" s="228"/>
      <c r="F319" s="228"/>
      <c r="G319" s="228"/>
      <c r="H319" s="241"/>
      <c r="I319" s="228"/>
      <c r="J319" s="228"/>
      <c r="K319" s="228"/>
      <c r="L319" s="228"/>
      <c r="M319" s="228"/>
      <c r="N319" s="228"/>
      <c r="O319" s="236"/>
      <c r="P319" s="228"/>
      <c r="Q319" s="228"/>
      <c r="R319" s="228"/>
      <c r="S319" s="228"/>
      <c r="T319" s="228"/>
      <c r="U319" s="228"/>
      <c r="V319" s="228"/>
      <c r="W319" s="228"/>
      <c r="X319" s="228"/>
      <c r="Y319" s="228"/>
      <c r="Z319" s="228"/>
      <c r="AA319" s="228"/>
      <c r="AB319" s="228"/>
      <c r="AC319" s="228"/>
      <c r="AD319" s="228"/>
      <c r="AE319" s="228"/>
      <c r="AF319" s="228"/>
      <c r="AG319" s="228"/>
      <c r="AH319" s="228"/>
      <c r="AI319" s="228"/>
      <c r="AJ319" s="228"/>
      <c r="AK319" s="228"/>
      <c r="AL319" s="228"/>
      <c r="AM319" s="228"/>
    </row>
    <row r="320">
      <c r="A320" s="228"/>
      <c r="B320" s="228"/>
      <c r="C320" s="228"/>
      <c r="D320" s="228"/>
      <c r="E320" s="228"/>
      <c r="F320" s="228"/>
      <c r="G320" s="228"/>
      <c r="H320" s="241"/>
      <c r="I320" s="228"/>
      <c r="J320" s="228"/>
      <c r="K320" s="228"/>
      <c r="L320" s="228"/>
      <c r="M320" s="228"/>
      <c r="N320" s="228"/>
      <c r="O320" s="236"/>
      <c r="P320" s="228"/>
      <c r="Q320" s="228"/>
      <c r="R320" s="228"/>
      <c r="S320" s="228"/>
      <c r="T320" s="228"/>
      <c r="U320" s="228"/>
      <c r="V320" s="228"/>
      <c r="W320" s="228"/>
      <c r="X320" s="228"/>
      <c r="Y320" s="228"/>
      <c r="Z320" s="228"/>
      <c r="AA320" s="228"/>
      <c r="AB320" s="228"/>
      <c r="AC320" s="228"/>
      <c r="AD320" s="228"/>
      <c r="AE320" s="228"/>
      <c r="AF320" s="228"/>
      <c r="AG320" s="228"/>
      <c r="AH320" s="228"/>
      <c r="AI320" s="228"/>
      <c r="AJ320" s="228"/>
      <c r="AK320" s="228"/>
      <c r="AL320" s="228"/>
      <c r="AM320" s="228"/>
    </row>
    <row r="321">
      <c r="A321" s="228"/>
      <c r="B321" s="228"/>
      <c r="C321" s="228"/>
      <c r="D321" s="228"/>
      <c r="E321" s="228"/>
      <c r="F321" s="228"/>
      <c r="G321" s="228"/>
      <c r="H321" s="241"/>
      <c r="I321" s="228"/>
      <c r="J321" s="228"/>
      <c r="K321" s="228"/>
      <c r="L321" s="228"/>
      <c r="M321" s="228"/>
      <c r="N321" s="228"/>
      <c r="O321" s="236"/>
      <c r="P321" s="228"/>
      <c r="Q321" s="228"/>
      <c r="R321" s="228"/>
      <c r="S321" s="228"/>
      <c r="T321" s="228"/>
      <c r="U321" s="228"/>
      <c r="V321" s="228"/>
      <c r="W321" s="228"/>
      <c r="X321" s="228"/>
      <c r="Y321" s="228"/>
      <c r="Z321" s="228"/>
      <c r="AA321" s="228"/>
      <c r="AB321" s="228"/>
      <c r="AC321" s="228"/>
      <c r="AD321" s="228"/>
      <c r="AE321" s="228"/>
      <c r="AF321" s="228"/>
      <c r="AG321" s="228"/>
      <c r="AH321" s="228"/>
      <c r="AI321" s="228"/>
      <c r="AJ321" s="228"/>
      <c r="AK321" s="228"/>
      <c r="AL321" s="228"/>
      <c r="AM321" s="228"/>
    </row>
    <row r="322">
      <c r="A322" s="228"/>
      <c r="B322" s="228"/>
      <c r="C322" s="228"/>
      <c r="D322" s="228"/>
      <c r="E322" s="228"/>
      <c r="F322" s="228"/>
      <c r="G322" s="228"/>
      <c r="H322" s="241"/>
      <c r="I322" s="228"/>
      <c r="J322" s="228"/>
      <c r="K322" s="228"/>
      <c r="L322" s="228"/>
      <c r="M322" s="228"/>
      <c r="N322" s="228"/>
      <c r="O322" s="236"/>
      <c r="P322" s="228"/>
      <c r="Q322" s="228"/>
      <c r="R322" s="228"/>
      <c r="S322" s="228"/>
      <c r="T322" s="228"/>
      <c r="U322" s="228"/>
      <c r="V322" s="228"/>
      <c r="W322" s="228"/>
      <c r="X322" s="228"/>
      <c r="Y322" s="228"/>
      <c r="Z322" s="228"/>
      <c r="AA322" s="228"/>
      <c r="AB322" s="228"/>
      <c r="AC322" s="228"/>
      <c r="AD322" s="228"/>
      <c r="AE322" s="228"/>
      <c r="AF322" s="228"/>
      <c r="AG322" s="228"/>
      <c r="AH322" s="228"/>
      <c r="AI322" s="228"/>
      <c r="AJ322" s="228"/>
      <c r="AK322" s="228"/>
      <c r="AL322" s="228"/>
      <c r="AM322" s="228"/>
    </row>
    <row r="323">
      <c r="A323" s="228"/>
      <c r="B323" s="228"/>
      <c r="C323" s="228"/>
      <c r="D323" s="228"/>
      <c r="E323" s="228"/>
      <c r="F323" s="228"/>
      <c r="G323" s="228"/>
      <c r="H323" s="241"/>
      <c r="I323" s="228"/>
      <c r="J323" s="228"/>
      <c r="K323" s="228"/>
      <c r="L323" s="228"/>
      <c r="M323" s="228"/>
      <c r="N323" s="228"/>
      <c r="O323" s="236"/>
      <c r="P323" s="228"/>
      <c r="Q323" s="228"/>
      <c r="R323" s="228"/>
      <c r="S323" s="228"/>
      <c r="T323" s="228"/>
      <c r="U323" s="228"/>
      <c r="V323" s="228"/>
      <c r="W323" s="228"/>
      <c r="X323" s="228"/>
      <c r="Y323" s="228"/>
      <c r="Z323" s="228"/>
      <c r="AA323" s="228"/>
      <c r="AB323" s="228"/>
      <c r="AC323" s="228"/>
      <c r="AD323" s="228"/>
      <c r="AE323" s="228"/>
      <c r="AF323" s="228"/>
      <c r="AG323" s="228"/>
      <c r="AH323" s="228"/>
      <c r="AI323" s="228"/>
      <c r="AJ323" s="228"/>
      <c r="AK323" s="228"/>
      <c r="AL323" s="228"/>
      <c r="AM323" s="228"/>
    </row>
    <row r="324">
      <c r="A324" s="228"/>
      <c r="B324" s="228"/>
      <c r="C324" s="228"/>
      <c r="D324" s="228"/>
      <c r="E324" s="228"/>
      <c r="F324" s="228"/>
      <c r="G324" s="228"/>
      <c r="H324" s="241"/>
      <c r="I324" s="228"/>
      <c r="J324" s="228"/>
      <c r="K324" s="228"/>
      <c r="L324" s="228"/>
      <c r="M324" s="228"/>
      <c r="N324" s="228"/>
      <c r="O324" s="236"/>
      <c r="P324" s="228"/>
      <c r="Q324" s="228"/>
      <c r="R324" s="228"/>
      <c r="S324" s="228"/>
      <c r="T324" s="228"/>
      <c r="U324" s="228"/>
      <c r="V324" s="228"/>
      <c r="W324" s="228"/>
      <c r="X324" s="228"/>
      <c r="Y324" s="228"/>
      <c r="Z324" s="228"/>
      <c r="AA324" s="228"/>
      <c r="AB324" s="228"/>
      <c r="AC324" s="228"/>
      <c r="AD324" s="228"/>
      <c r="AE324" s="228"/>
      <c r="AF324" s="228"/>
      <c r="AG324" s="228"/>
      <c r="AH324" s="228"/>
      <c r="AI324" s="228"/>
      <c r="AJ324" s="228"/>
      <c r="AK324" s="228"/>
      <c r="AL324" s="228"/>
      <c r="AM324" s="228"/>
    </row>
    <row r="325">
      <c r="A325" s="228"/>
      <c r="B325" s="228"/>
      <c r="C325" s="228"/>
      <c r="D325" s="228"/>
      <c r="E325" s="228"/>
      <c r="F325" s="228"/>
      <c r="G325" s="228"/>
      <c r="H325" s="241"/>
      <c r="I325" s="228"/>
      <c r="J325" s="228"/>
      <c r="K325" s="228"/>
      <c r="L325" s="228"/>
      <c r="M325" s="228"/>
      <c r="N325" s="228"/>
      <c r="O325" s="236"/>
      <c r="P325" s="228"/>
      <c r="Q325" s="228"/>
      <c r="R325" s="228"/>
      <c r="S325" s="228"/>
      <c r="T325" s="228"/>
      <c r="U325" s="228"/>
      <c r="V325" s="228"/>
      <c r="W325" s="228"/>
      <c r="X325" s="228"/>
      <c r="Y325" s="228"/>
      <c r="Z325" s="228"/>
      <c r="AA325" s="228"/>
      <c r="AB325" s="228"/>
      <c r="AC325" s="228"/>
      <c r="AD325" s="228"/>
      <c r="AE325" s="228"/>
      <c r="AF325" s="228"/>
      <c r="AG325" s="228"/>
      <c r="AH325" s="228"/>
      <c r="AI325" s="228"/>
      <c r="AJ325" s="228"/>
      <c r="AK325" s="228"/>
      <c r="AL325" s="228"/>
      <c r="AM325" s="228"/>
    </row>
    <row r="326">
      <c r="A326" s="228"/>
      <c r="B326" s="228"/>
      <c r="C326" s="228"/>
      <c r="D326" s="228"/>
      <c r="E326" s="228"/>
      <c r="F326" s="228"/>
      <c r="G326" s="228"/>
      <c r="H326" s="241"/>
      <c r="I326" s="228"/>
      <c r="J326" s="228"/>
      <c r="K326" s="228"/>
      <c r="L326" s="228"/>
      <c r="M326" s="228"/>
      <c r="N326" s="228"/>
      <c r="O326" s="236"/>
      <c r="P326" s="228"/>
      <c r="Q326" s="228"/>
      <c r="R326" s="228"/>
      <c r="S326" s="228"/>
      <c r="T326" s="228"/>
      <c r="U326" s="228"/>
      <c r="V326" s="228"/>
      <c r="W326" s="228"/>
      <c r="X326" s="228"/>
      <c r="Y326" s="228"/>
      <c r="Z326" s="228"/>
      <c r="AA326" s="228"/>
      <c r="AB326" s="228"/>
      <c r="AC326" s="228"/>
      <c r="AD326" s="228"/>
      <c r="AE326" s="228"/>
      <c r="AF326" s="228"/>
      <c r="AG326" s="228"/>
      <c r="AH326" s="228"/>
      <c r="AI326" s="228"/>
      <c r="AJ326" s="228"/>
      <c r="AK326" s="228"/>
      <c r="AL326" s="228"/>
      <c r="AM326" s="228"/>
    </row>
    <row r="327">
      <c r="A327" s="228"/>
      <c r="B327" s="228"/>
      <c r="C327" s="228"/>
      <c r="D327" s="228"/>
      <c r="E327" s="228"/>
      <c r="F327" s="228"/>
      <c r="G327" s="228"/>
      <c r="H327" s="241"/>
      <c r="I327" s="228"/>
      <c r="J327" s="228"/>
      <c r="K327" s="228"/>
      <c r="L327" s="228"/>
      <c r="M327" s="228"/>
      <c r="N327" s="228"/>
      <c r="O327" s="236"/>
      <c r="P327" s="228"/>
      <c r="Q327" s="228"/>
      <c r="R327" s="228"/>
      <c r="S327" s="228"/>
      <c r="T327" s="228"/>
      <c r="U327" s="228"/>
      <c r="V327" s="228"/>
      <c r="W327" s="228"/>
      <c r="X327" s="228"/>
      <c r="Y327" s="228"/>
      <c r="Z327" s="228"/>
      <c r="AA327" s="228"/>
      <c r="AB327" s="228"/>
      <c r="AC327" s="228"/>
      <c r="AD327" s="228"/>
      <c r="AE327" s="228"/>
      <c r="AF327" s="228"/>
      <c r="AG327" s="228"/>
      <c r="AH327" s="228"/>
      <c r="AI327" s="228"/>
      <c r="AJ327" s="228"/>
      <c r="AK327" s="228"/>
      <c r="AL327" s="228"/>
      <c r="AM327" s="228"/>
    </row>
    <row r="328">
      <c r="A328" s="228"/>
      <c r="B328" s="228"/>
      <c r="C328" s="228"/>
      <c r="D328" s="228"/>
      <c r="E328" s="228"/>
      <c r="F328" s="228"/>
      <c r="G328" s="228"/>
      <c r="H328" s="241"/>
      <c r="I328" s="228"/>
      <c r="J328" s="228"/>
      <c r="K328" s="228"/>
      <c r="L328" s="228"/>
      <c r="M328" s="228"/>
      <c r="N328" s="228"/>
      <c r="O328" s="236"/>
      <c r="P328" s="228"/>
      <c r="Q328" s="228"/>
      <c r="R328" s="228"/>
      <c r="S328" s="228"/>
      <c r="T328" s="228"/>
      <c r="U328" s="228"/>
      <c r="V328" s="228"/>
      <c r="W328" s="228"/>
      <c r="X328" s="228"/>
      <c r="Y328" s="228"/>
      <c r="Z328" s="228"/>
      <c r="AA328" s="228"/>
      <c r="AB328" s="228"/>
      <c r="AC328" s="228"/>
      <c r="AD328" s="228"/>
      <c r="AE328" s="228"/>
      <c r="AF328" s="228"/>
      <c r="AG328" s="228"/>
      <c r="AH328" s="228"/>
      <c r="AI328" s="228"/>
      <c r="AJ328" s="228"/>
      <c r="AK328" s="228"/>
      <c r="AL328" s="228"/>
      <c r="AM328" s="228"/>
    </row>
    <row r="329">
      <c r="A329" s="228"/>
      <c r="B329" s="228"/>
      <c r="C329" s="228"/>
      <c r="D329" s="228"/>
      <c r="E329" s="228"/>
      <c r="F329" s="228"/>
      <c r="G329" s="228"/>
      <c r="H329" s="241"/>
      <c r="I329" s="228"/>
      <c r="J329" s="228"/>
      <c r="K329" s="228"/>
      <c r="L329" s="228"/>
      <c r="M329" s="228"/>
      <c r="N329" s="228"/>
      <c r="O329" s="236"/>
      <c r="P329" s="228"/>
      <c r="Q329" s="228"/>
      <c r="R329" s="228"/>
      <c r="S329" s="228"/>
      <c r="T329" s="228"/>
      <c r="U329" s="228"/>
      <c r="V329" s="228"/>
      <c r="W329" s="228"/>
      <c r="X329" s="228"/>
      <c r="Y329" s="228"/>
      <c r="Z329" s="228"/>
      <c r="AA329" s="228"/>
      <c r="AB329" s="228"/>
      <c r="AC329" s="228"/>
      <c r="AD329" s="228"/>
      <c r="AE329" s="228"/>
      <c r="AF329" s="228"/>
      <c r="AG329" s="228"/>
      <c r="AH329" s="228"/>
      <c r="AI329" s="228"/>
      <c r="AJ329" s="228"/>
      <c r="AK329" s="228"/>
      <c r="AL329" s="228"/>
      <c r="AM329" s="228"/>
    </row>
    <row r="330">
      <c r="A330" s="228"/>
      <c r="B330" s="228"/>
      <c r="C330" s="228"/>
      <c r="D330" s="228"/>
      <c r="E330" s="228"/>
      <c r="F330" s="228"/>
      <c r="G330" s="228"/>
      <c r="H330" s="241"/>
      <c r="I330" s="228"/>
      <c r="J330" s="228"/>
      <c r="K330" s="228"/>
      <c r="L330" s="228"/>
      <c r="M330" s="228"/>
      <c r="N330" s="228"/>
      <c r="O330" s="236"/>
      <c r="P330" s="228"/>
      <c r="Q330" s="228"/>
      <c r="R330" s="228"/>
      <c r="S330" s="228"/>
      <c r="T330" s="228"/>
      <c r="U330" s="228"/>
      <c r="V330" s="228"/>
      <c r="W330" s="228"/>
      <c r="X330" s="228"/>
      <c r="Y330" s="228"/>
      <c r="Z330" s="228"/>
      <c r="AA330" s="228"/>
      <c r="AB330" s="228"/>
      <c r="AC330" s="228"/>
      <c r="AD330" s="228"/>
      <c r="AE330" s="228"/>
      <c r="AF330" s="228"/>
      <c r="AG330" s="228"/>
      <c r="AH330" s="228"/>
      <c r="AI330" s="228"/>
      <c r="AJ330" s="228"/>
      <c r="AK330" s="228"/>
      <c r="AL330" s="228"/>
      <c r="AM330" s="228"/>
    </row>
    <row r="331">
      <c r="A331" s="228"/>
      <c r="B331" s="228"/>
      <c r="C331" s="228"/>
      <c r="D331" s="228"/>
      <c r="E331" s="228"/>
      <c r="F331" s="228"/>
      <c r="G331" s="228"/>
      <c r="H331" s="241"/>
      <c r="I331" s="228"/>
      <c r="J331" s="228"/>
      <c r="K331" s="228"/>
      <c r="L331" s="228"/>
      <c r="M331" s="228"/>
      <c r="N331" s="228"/>
      <c r="O331" s="236"/>
      <c r="P331" s="228"/>
      <c r="Q331" s="228"/>
      <c r="R331" s="228"/>
      <c r="S331" s="228"/>
      <c r="T331" s="228"/>
      <c r="U331" s="228"/>
      <c r="V331" s="228"/>
      <c r="W331" s="228"/>
      <c r="X331" s="228"/>
      <c r="Y331" s="228"/>
      <c r="Z331" s="228"/>
      <c r="AA331" s="228"/>
      <c r="AB331" s="228"/>
      <c r="AC331" s="228"/>
      <c r="AD331" s="228"/>
      <c r="AE331" s="228"/>
      <c r="AF331" s="228"/>
      <c r="AG331" s="228"/>
      <c r="AH331" s="228"/>
      <c r="AI331" s="228"/>
      <c r="AJ331" s="228"/>
      <c r="AK331" s="228"/>
      <c r="AL331" s="228"/>
      <c r="AM331" s="228"/>
    </row>
    <row r="332">
      <c r="A332" s="228"/>
      <c r="B332" s="228"/>
      <c r="C332" s="228"/>
      <c r="D332" s="228"/>
      <c r="E332" s="228"/>
      <c r="F332" s="228"/>
      <c r="G332" s="228"/>
      <c r="H332" s="241"/>
      <c r="I332" s="228"/>
      <c r="J332" s="228"/>
      <c r="K332" s="228"/>
      <c r="L332" s="228"/>
      <c r="M332" s="228"/>
      <c r="N332" s="228"/>
      <c r="O332" s="236"/>
      <c r="P332" s="228"/>
      <c r="Q332" s="228"/>
      <c r="R332" s="228"/>
      <c r="S332" s="228"/>
      <c r="T332" s="228"/>
      <c r="U332" s="228"/>
      <c r="V332" s="228"/>
      <c r="W332" s="228"/>
      <c r="X332" s="228"/>
      <c r="Y332" s="228"/>
      <c r="Z332" s="228"/>
      <c r="AA332" s="228"/>
      <c r="AB332" s="228"/>
      <c r="AC332" s="228"/>
      <c r="AD332" s="228"/>
      <c r="AE332" s="228"/>
      <c r="AF332" s="228"/>
      <c r="AG332" s="228"/>
      <c r="AH332" s="228"/>
      <c r="AI332" s="228"/>
      <c r="AJ332" s="228"/>
      <c r="AK332" s="228"/>
      <c r="AL332" s="228"/>
      <c r="AM332" s="228"/>
    </row>
    <row r="333">
      <c r="A333" s="228"/>
      <c r="B333" s="228"/>
      <c r="C333" s="228"/>
      <c r="D333" s="228"/>
      <c r="E333" s="228"/>
      <c r="F333" s="228"/>
      <c r="G333" s="228"/>
      <c r="H333" s="241"/>
      <c r="I333" s="228"/>
      <c r="J333" s="228"/>
      <c r="K333" s="228"/>
      <c r="L333" s="228"/>
      <c r="M333" s="228"/>
      <c r="N333" s="228"/>
      <c r="O333" s="236"/>
      <c r="P333" s="228"/>
      <c r="Q333" s="228"/>
      <c r="R333" s="228"/>
      <c r="S333" s="228"/>
      <c r="T333" s="228"/>
      <c r="U333" s="228"/>
      <c r="V333" s="228"/>
      <c r="W333" s="228"/>
      <c r="X333" s="228"/>
      <c r="Y333" s="228"/>
      <c r="Z333" s="228"/>
      <c r="AA333" s="228"/>
      <c r="AB333" s="228"/>
      <c r="AC333" s="228"/>
      <c r="AD333" s="228"/>
      <c r="AE333" s="228"/>
      <c r="AF333" s="228"/>
      <c r="AG333" s="228"/>
      <c r="AH333" s="228"/>
      <c r="AI333" s="228"/>
      <c r="AJ333" s="228"/>
      <c r="AK333" s="228"/>
      <c r="AL333" s="228"/>
      <c r="AM333" s="228"/>
    </row>
    <row r="334">
      <c r="A334" s="228"/>
      <c r="B334" s="228"/>
      <c r="C334" s="228"/>
      <c r="D334" s="228"/>
      <c r="E334" s="228"/>
      <c r="F334" s="228"/>
      <c r="G334" s="228"/>
      <c r="H334" s="241"/>
      <c r="I334" s="228"/>
      <c r="J334" s="228"/>
      <c r="K334" s="228"/>
      <c r="L334" s="228"/>
      <c r="M334" s="228"/>
      <c r="N334" s="228"/>
      <c r="O334" s="236"/>
      <c r="P334" s="228"/>
      <c r="Q334" s="228"/>
      <c r="R334" s="228"/>
      <c r="S334" s="228"/>
      <c r="T334" s="228"/>
      <c r="U334" s="228"/>
      <c r="V334" s="228"/>
      <c r="W334" s="228"/>
      <c r="X334" s="228"/>
      <c r="Y334" s="228"/>
      <c r="Z334" s="228"/>
      <c r="AA334" s="228"/>
      <c r="AB334" s="228"/>
      <c r="AC334" s="228"/>
      <c r="AD334" s="228"/>
      <c r="AE334" s="228"/>
      <c r="AF334" s="228"/>
      <c r="AG334" s="228"/>
      <c r="AH334" s="228"/>
      <c r="AI334" s="228"/>
      <c r="AJ334" s="228"/>
      <c r="AK334" s="228"/>
      <c r="AL334" s="228"/>
      <c r="AM334" s="228"/>
    </row>
    <row r="335">
      <c r="A335" s="228"/>
      <c r="B335" s="228"/>
      <c r="C335" s="228"/>
      <c r="D335" s="228"/>
      <c r="E335" s="228"/>
      <c r="F335" s="228"/>
      <c r="G335" s="228"/>
      <c r="H335" s="241"/>
      <c r="I335" s="228"/>
      <c r="J335" s="228"/>
      <c r="K335" s="228"/>
      <c r="L335" s="228"/>
      <c r="M335" s="228"/>
      <c r="N335" s="228"/>
      <c r="O335" s="236"/>
      <c r="P335" s="228"/>
      <c r="Q335" s="228"/>
      <c r="R335" s="228"/>
      <c r="S335" s="228"/>
      <c r="T335" s="228"/>
      <c r="U335" s="228"/>
      <c r="V335" s="228"/>
      <c r="W335" s="228"/>
      <c r="X335" s="228"/>
      <c r="Y335" s="228"/>
      <c r="Z335" s="228"/>
      <c r="AA335" s="228"/>
      <c r="AB335" s="228"/>
      <c r="AC335" s="228"/>
      <c r="AD335" s="228"/>
      <c r="AE335" s="228"/>
      <c r="AF335" s="228"/>
      <c r="AG335" s="228"/>
      <c r="AH335" s="228"/>
      <c r="AI335" s="228"/>
      <c r="AJ335" s="228"/>
      <c r="AK335" s="228"/>
      <c r="AL335" s="228"/>
      <c r="AM335" s="228"/>
    </row>
    <row r="336">
      <c r="A336" s="228"/>
      <c r="B336" s="228"/>
      <c r="C336" s="228"/>
      <c r="D336" s="228"/>
      <c r="E336" s="228"/>
      <c r="F336" s="228"/>
      <c r="G336" s="228"/>
      <c r="H336" s="241"/>
      <c r="I336" s="228"/>
      <c r="J336" s="228"/>
      <c r="K336" s="228"/>
      <c r="L336" s="228"/>
      <c r="M336" s="228"/>
      <c r="N336" s="228"/>
      <c r="O336" s="236"/>
      <c r="P336" s="228"/>
      <c r="Q336" s="228"/>
      <c r="R336" s="228"/>
      <c r="S336" s="228"/>
      <c r="T336" s="228"/>
      <c r="U336" s="228"/>
      <c r="V336" s="228"/>
      <c r="W336" s="228"/>
      <c r="X336" s="228"/>
      <c r="Y336" s="228"/>
      <c r="Z336" s="228"/>
      <c r="AA336" s="228"/>
      <c r="AB336" s="228"/>
      <c r="AC336" s="228"/>
      <c r="AD336" s="228"/>
      <c r="AE336" s="228"/>
      <c r="AF336" s="228"/>
      <c r="AG336" s="228"/>
      <c r="AH336" s="228"/>
      <c r="AI336" s="228"/>
      <c r="AJ336" s="228"/>
      <c r="AK336" s="228"/>
      <c r="AL336" s="228"/>
      <c r="AM336" s="228"/>
    </row>
    <row r="337">
      <c r="A337" s="228"/>
      <c r="B337" s="228"/>
      <c r="C337" s="228"/>
      <c r="D337" s="228"/>
      <c r="E337" s="228"/>
      <c r="F337" s="228"/>
      <c r="G337" s="228"/>
      <c r="H337" s="241"/>
      <c r="I337" s="228"/>
      <c r="J337" s="228"/>
      <c r="K337" s="228"/>
      <c r="L337" s="228"/>
      <c r="M337" s="228"/>
      <c r="N337" s="228"/>
      <c r="O337" s="236"/>
      <c r="P337" s="228"/>
      <c r="Q337" s="228"/>
      <c r="R337" s="228"/>
      <c r="S337" s="228"/>
      <c r="T337" s="228"/>
      <c r="U337" s="228"/>
      <c r="V337" s="228"/>
      <c r="W337" s="228"/>
      <c r="X337" s="228"/>
      <c r="Y337" s="228"/>
      <c r="Z337" s="228"/>
      <c r="AA337" s="228"/>
      <c r="AB337" s="228"/>
      <c r="AC337" s="228"/>
      <c r="AD337" s="228"/>
      <c r="AE337" s="228"/>
      <c r="AF337" s="228"/>
      <c r="AG337" s="228"/>
      <c r="AH337" s="228"/>
      <c r="AI337" s="228"/>
      <c r="AJ337" s="228"/>
      <c r="AK337" s="228"/>
      <c r="AL337" s="228"/>
      <c r="AM337" s="228"/>
    </row>
    <row r="338">
      <c r="A338" s="228"/>
      <c r="B338" s="228"/>
      <c r="C338" s="228"/>
      <c r="D338" s="228"/>
      <c r="E338" s="228"/>
      <c r="F338" s="228"/>
      <c r="G338" s="228"/>
      <c r="H338" s="241"/>
      <c r="I338" s="228"/>
      <c r="J338" s="228"/>
      <c r="K338" s="228"/>
      <c r="L338" s="228"/>
      <c r="M338" s="228"/>
      <c r="N338" s="228"/>
      <c r="O338" s="236"/>
      <c r="P338" s="228"/>
      <c r="Q338" s="228"/>
      <c r="R338" s="228"/>
      <c r="S338" s="228"/>
      <c r="T338" s="228"/>
      <c r="U338" s="228"/>
      <c r="V338" s="228"/>
      <c r="W338" s="228"/>
      <c r="X338" s="228"/>
      <c r="Y338" s="228"/>
      <c r="Z338" s="228"/>
      <c r="AA338" s="228"/>
      <c r="AB338" s="228"/>
      <c r="AC338" s="228"/>
      <c r="AD338" s="228"/>
      <c r="AE338" s="228"/>
      <c r="AF338" s="228"/>
      <c r="AG338" s="228"/>
      <c r="AH338" s="228"/>
      <c r="AI338" s="228"/>
      <c r="AJ338" s="228"/>
      <c r="AK338" s="228"/>
      <c r="AL338" s="228"/>
      <c r="AM338" s="228"/>
    </row>
    <row r="339">
      <c r="A339" s="228"/>
      <c r="B339" s="228"/>
      <c r="C339" s="228"/>
      <c r="D339" s="228"/>
      <c r="E339" s="228"/>
      <c r="F339" s="228"/>
      <c r="G339" s="228"/>
      <c r="H339" s="241"/>
      <c r="I339" s="228"/>
      <c r="J339" s="228"/>
      <c r="K339" s="228"/>
      <c r="L339" s="228"/>
      <c r="M339" s="228"/>
      <c r="N339" s="228"/>
      <c r="O339" s="236"/>
      <c r="P339" s="228"/>
      <c r="Q339" s="228"/>
      <c r="R339" s="228"/>
      <c r="S339" s="228"/>
      <c r="T339" s="228"/>
      <c r="U339" s="228"/>
      <c r="V339" s="228"/>
      <c r="W339" s="228"/>
      <c r="X339" s="228"/>
      <c r="Y339" s="228"/>
      <c r="Z339" s="228"/>
      <c r="AA339" s="228"/>
      <c r="AB339" s="228"/>
      <c r="AC339" s="228"/>
      <c r="AD339" s="228"/>
      <c r="AE339" s="228"/>
      <c r="AF339" s="228"/>
      <c r="AG339" s="228"/>
      <c r="AH339" s="228"/>
      <c r="AI339" s="228"/>
      <c r="AJ339" s="228"/>
      <c r="AK339" s="228"/>
      <c r="AL339" s="228"/>
      <c r="AM339" s="228"/>
    </row>
    <row r="340">
      <c r="A340" s="228"/>
      <c r="B340" s="228"/>
      <c r="C340" s="228"/>
      <c r="D340" s="228"/>
      <c r="E340" s="228"/>
      <c r="F340" s="228"/>
      <c r="G340" s="228"/>
      <c r="H340" s="241"/>
      <c r="I340" s="228"/>
      <c r="J340" s="228"/>
      <c r="K340" s="228"/>
      <c r="L340" s="228"/>
      <c r="M340" s="228"/>
      <c r="N340" s="228"/>
      <c r="O340" s="236"/>
      <c r="P340" s="228"/>
      <c r="Q340" s="228"/>
      <c r="R340" s="228"/>
      <c r="S340" s="228"/>
      <c r="T340" s="228"/>
      <c r="U340" s="228"/>
      <c r="V340" s="228"/>
      <c r="W340" s="228"/>
      <c r="X340" s="228"/>
      <c r="Y340" s="228"/>
      <c r="Z340" s="228"/>
      <c r="AA340" s="228"/>
      <c r="AB340" s="228"/>
      <c r="AC340" s="228"/>
      <c r="AD340" s="228"/>
      <c r="AE340" s="228"/>
      <c r="AF340" s="228"/>
      <c r="AG340" s="228"/>
      <c r="AH340" s="228"/>
      <c r="AI340" s="228"/>
      <c r="AJ340" s="228"/>
      <c r="AK340" s="228"/>
      <c r="AL340" s="228"/>
      <c r="AM340" s="228"/>
    </row>
    <row r="341">
      <c r="A341" s="228"/>
      <c r="B341" s="228"/>
      <c r="C341" s="228"/>
      <c r="D341" s="228"/>
      <c r="E341" s="228"/>
      <c r="F341" s="228"/>
      <c r="G341" s="228"/>
      <c r="H341" s="241"/>
      <c r="I341" s="228"/>
      <c r="J341" s="228"/>
      <c r="K341" s="228"/>
      <c r="L341" s="228"/>
      <c r="M341" s="228"/>
      <c r="N341" s="228"/>
      <c r="O341" s="236"/>
      <c r="P341" s="228"/>
      <c r="Q341" s="228"/>
      <c r="R341" s="228"/>
      <c r="S341" s="228"/>
      <c r="T341" s="228"/>
      <c r="U341" s="228"/>
      <c r="V341" s="228"/>
      <c r="W341" s="228"/>
      <c r="X341" s="228"/>
      <c r="Y341" s="228"/>
      <c r="Z341" s="228"/>
      <c r="AA341" s="228"/>
      <c r="AB341" s="228"/>
      <c r="AC341" s="228"/>
      <c r="AD341" s="228"/>
      <c r="AE341" s="228"/>
      <c r="AF341" s="228"/>
      <c r="AG341" s="228"/>
      <c r="AH341" s="228"/>
      <c r="AI341" s="228"/>
      <c r="AJ341" s="228"/>
      <c r="AK341" s="228"/>
      <c r="AL341" s="228"/>
      <c r="AM341" s="228"/>
    </row>
    <row r="342">
      <c r="A342" s="228"/>
      <c r="B342" s="228"/>
      <c r="C342" s="228"/>
      <c r="D342" s="228"/>
      <c r="E342" s="228"/>
      <c r="F342" s="228"/>
      <c r="G342" s="228"/>
      <c r="H342" s="241"/>
      <c r="I342" s="228"/>
      <c r="J342" s="228"/>
      <c r="K342" s="228"/>
      <c r="L342" s="228"/>
      <c r="M342" s="228"/>
      <c r="N342" s="228"/>
      <c r="O342" s="236"/>
      <c r="P342" s="228"/>
      <c r="Q342" s="228"/>
      <c r="R342" s="228"/>
      <c r="S342" s="228"/>
      <c r="T342" s="228"/>
      <c r="U342" s="228"/>
      <c r="V342" s="228"/>
      <c r="W342" s="228"/>
      <c r="X342" s="228"/>
      <c r="Y342" s="228"/>
      <c r="Z342" s="228"/>
      <c r="AA342" s="228"/>
      <c r="AB342" s="228"/>
      <c r="AC342" s="228"/>
      <c r="AD342" s="228"/>
      <c r="AE342" s="228"/>
      <c r="AF342" s="228"/>
      <c r="AG342" s="228"/>
      <c r="AH342" s="228"/>
      <c r="AI342" s="228"/>
      <c r="AJ342" s="228"/>
      <c r="AK342" s="228"/>
      <c r="AL342" s="228"/>
      <c r="AM342" s="228"/>
    </row>
    <row r="343">
      <c r="A343" s="228"/>
      <c r="B343" s="228"/>
      <c r="C343" s="228"/>
      <c r="D343" s="228"/>
      <c r="E343" s="228"/>
      <c r="F343" s="228"/>
      <c r="G343" s="228"/>
      <c r="H343" s="241"/>
      <c r="I343" s="228"/>
      <c r="J343" s="228"/>
      <c r="K343" s="228"/>
      <c r="L343" s="228"/>
      <c r="M343" s="228"/>
      <c r="N343" s="228"/>
      <c r="O343" s="236"/>
      <c r="P343" s="228"/>
      <c r="Q343" s="228"/>
      <c r="R343" s="228"/>
      <c r="S343" s="228"/>
      <c r="T343" s="228"/>
      <c r="U343" s="228"/>
      <c r="V343" s="228"/>
      <c r="W343" s="228"/>
      <c r="X343" s="228"/>
      <c r="Y343" s="228"/>
      <c r="Z343" s="228"/>
      <c r="AA343" s="228"/>
      <c r="AB343" s="228"/>
      <c r="AC343" s="228"/>
      <c r="AD343" s="228"/>
      <c r="AE343" s="228"/>
      <c r="AF343" s="228"/>
      <c r="AG343" s="228"/>
      <c r="AH343" s="228"/>
      <c r="AI343" s="228"/>
      <c r="AJ343" s="228"/>
      <c r="AK343" s="228"/>
      <c r="AL343" s="228"/>
      <c r="AM343" s="228"/>
    </row>
    <row r="344">
      <c r="A344" s="228"/>
      <c r="B344" s="228"/>
      <c r="C344" s="228"/>
      <c r="D344" s="228"/>
      <c r="E344" s="228"/>
      <c r="F344" s="228"/>
      <c r="G344" s="228"/>
      <c r="H344" s="241"/>
      <c r="I344" s="228"/>
      <c r="J344" s="228"/>
      <c r="K344" s="228"/>
      <c r="L344" s="228"/>
      <c r="M344" s="228"/>
      <c r="N344" s="228"/>
      <c r="O344" s="236"/>
      <c r="P344" s="228"/>
      <c r="Q344" s="228"/>
      <c r="R344" s="228"/>
      <c r="S344" s="228"/>
      <c r="T344" s="228"/>
      <c r="U344" s="228"/>
      <c r="V344" s="228"/>
      <c r="W344" s="228"/>
      <c r="X344" s="228"/>
      <c r="Y344" s="228"/>
      <c r="Z344" s="228"/>
      <c r="AA344" s="228"/>
      <c r="AB344" s="228"/>
      <c r="AC344" s="228"/>
      <c r="AD344" s="228"/>
      <c r="AE344" s="228"/>
      <c r="AF344" s="228"/>
      <c r="AG344" s="228"/>
      <c r="AH344" s="228"/>
      <c r="AI344" s="228"/>
      <c r="AJ344" s="228"/>
      <c r="AK344" s="228"/>
      <c r="AL344" s="228"/>
      <c r="AM344" s="228"/>
    </row>
    <row r="345">
      <c r="A345" s="228"/>
      <c r="B345" s="228"/>
      <c r="C345" s="228"/>
      <c r="D345" s="228"/>
      <c r="E345" s="228"/>
      <c r="F345" s="228"/>
      <c r="G345" s="228"/>
      <c r="H345" s="241"/>
      <c r="I345" s="228"/>
      <c r="J345" s="228"/>
      <c r="K345" s="228"/>
      <c r="L345" s="228"/>
      <c r="M345" s="228"/>
      <c r="N345" s="228"/>
      <c r="O345" s="236"/>
      <c r="P345" s="228"/>
      <c r="Q345" s="228"/>
      <c r="R345" s="228"/>
      <c r="S345" s="228"/>
      <c r="T345" s="228"/>
      <c r="U345" s="228"/>
      <c r="V345" s="228"/>
      <c r="W345" s="228"/>
      <c r="X345" s="228"/>
      <c r="Y345" s="228"/>
      <c r="Z345" s="228"/>
      <c r="AA345" s="228"/>
      <c r="AB345" s="228"/>
      <c r="AC345" s="228"/>
      <c r="AD345" s="228"/>
      <c r="AE345" s="228"/>
      <c r="AF345" s="228"/>
      <c r="AG345" s="228"/>
      <c r="AH345" s="228"/>
      <c r="AI345" s="228"/>
      <c r="AJ345" s="228"/>
      <c r="AK345" s="228"/>
      <c r="AL345" s="228"/>
      <c r="AM345" s="228"/>
    </row>
    <row r="346">
      <c r="A346" s="228"/>
      <c r="B346" s="228"/>
      <c r="C346" s="228"/>
      <c r="D346" s="228"/>
      <c r="E346" s="228"/>
      <c r="F346" s="228"/>
      <c r="G346" s="228"/>
      <c r="H346" s="241"/>
      <c r="I346" s="228"/>
      <c r="J346" s="228"/>
      <c r="K346" s="228"/>
      <c r="L346" s="228"/>
      <c r="M346" s="228"/>
      <c r="N346" s="228"/>
      <c r="O346" s="236"/>
      <c r="P346" s="228"/>
      <c r="Q346" s="228"/>
      <c r="R346" s="228"/>
      <c r="S346" s="228"/>
      <c r="T346" s="228"/>
      <c r="U346" s="228"/>
      <c r="V346" s="228"/>
      <c r="W346" s="228"/>
      <c r="X346" s="228"/>
      <c r="Y346" s="228"/>
      <c r="Z346" s="228"/>
      <c r="AA346" s="228"/>
      <c r="AB346" s="228"/>
      <c r="AC346" s="228"/>
      <c r="AD346" s="228"/>
      <c r="AE346" s="228"/>
      <c r="AF346" s="228"/>
      <c r="AG346" s="228"/>
      <c r="AH346" s="228"/>
      <c r="AI346" s="228"/>
      <c r="AJ346" s="228"/>
      <c r="AK346" s="228"/>
      <c r="AL346" s="228"/>
      <c r="AM346" s="228"/>
    </row>
    <row r="347">
      <c r="A347" s="228"/>
      <c r="B347" s="228"/>
      <c r="C347" s="228"/>
      <c r="D347" s="228"/>
      <c r="E347" s="228"/>
      <c r="F347" s="228"/>
      <c r="G347" s="228"/>
      <c r="H347" s="241"/>
      <c r="I347" s="228"/>
      <c r="J347" s="228"/>
      <c r="K347" s="228"/>
      <c r="L347" s="228"/>
      <c r="M347" s="228"/>
      <c r="N347" s="228"/>
      <c r="O347" s="236"/>
      <c r="P347" s="228"/>
      <c r="Q347" s="228"/>
      <c r="R347" s="228"/>
      <c r="S347" s="228"/>
      <c r="T347" s="228"/>
      <c r="U347" s="228"/>
      <c r="V347" s="228"/>
      <c r="W347" s="228"/>
      <c r="X347" s="228"/>
      <c r="Y347" s="228"/>
      <c r="Z347" s="228"/>
      <c r="AA347" s="228"/>
      <c r="AB347" s="228"/>
      <c r="AC347" s="228"/>
      <c r="AD347" s="228"/>
      <c r="AE347" s="228"/>
      <c r="AF347" s="228"/>
      <c r="AG347" s="228"/>
      <c r="AH347" s="228"/>
      <c r="AI347" s="228"/>
      <c r="AJ347" s="228"/>
      <c r="AK347" s="228"/>
      <c r="AL347" s="228"/>
      <c r="AM347" s="228"/>
    </row>
    <row r="348">
      <c r="A348" s="228"/>
      <c r="B348" s="228"/>
      <c r="C348" s="228"/>
      <c r="D348" s="228"/>
      <c r="E348" s="228"/>
      <c r="F348" s="228"/>
      <c r="G348" s="228"/>
      <c r="H348" s="241"/>
      <c r="I348" s="228"/>
      <c r="J348" s="228"/>
      <c r="K348" s="228"/>
      <c r="L348" s="228"/>
      <c r="M348" s="228"/>
      <c r="N348" s="228"/>
      <c r="O348" s="236"/>
      <c r="P348" s="228"/>
      <c r="Q348" s="228"/>
      <c r="R348" s="228"/>
      <c r="S348" s="228"/>
      <c r="T348" s="228"/>
      <c r="U348" s="228"/>
      <c r="V348" s="228"/>
      <c r="W348" s="228"/>
      <c r="X348" s="228"/>
      <c r="Y348" s="228"/>
      <c r="Z348" s="228"/>
      <c r="AA348" s="228"/>
      <c r="AB348" s="228"/>
      <c r="AC348" s="228"/>
      <c r="AD348" s="228"/>
      <c r="AE348" s="228"/>
      <c r="AF348" s="228"/>
      <c r="AG348" s="228"/>
      <c r="AH348" s="228"/>
      <c r="AI348" s="228"/>
      <c r="AJ348" s="228"/>
      <c r="AK348" s="228"/>
      <c r="AL348" s="228"/>
      <c r="AM348" s="228"/>
    </row>
    <row r="349">
      <c r="A349" s="228"/>
      <c r="B349" s="228"/>
      <c r="C349" s="228"/>
      <c r="D349" s="228"/>
      <c r="E349" s="228"/>
      <c r="F349" s="228"/>
      <c r="G349" s="228"/>
      <c r="H349" s="241"/>
      <c r="I349" s="228"/>
      <c r="J349" s="228"/>
      <c r="K349" s="228"/>
      <c r="L349" s="228"/>
      <c r="M349" s="228"/>
      <c r="N349" s="228"/>
      <c r="O349" s="236"/>
      <c r="P349" s="228"/>
      <c r="Q349" s="228"/>
      <c r="R349" s="228"/>
      <c r="S349" s="228"/>
      <c r="T349" s="228"/>
      <c r="U349" s="228"/>
      <c r="V349" s="228"/>
      <c r="W349" s="228"/>
      <c r="X349" s="228"/>
      <c r="Y349" s="228"/>
      <c r="Z349" s="228"/>
      <c r="AA349" s="228"/>
      <c r="AB349" s="228"/>
      <c r="AC349" s="228"/>
      <c r="AD349" s="228"/>
      <c r="AE349" s="228"/>
      <c r="AF349" s="228"/>
      <c r="AG349" s="228"/>
      <c r="AH349" s="228"/>
      <c r="AI349" s="228"/>
      <c r="AJ349" s="228"/>
      <c r="AK349" s="228"/>
      <c r="AL349" s="228"/>
      <c r="AM349" s="228"/>
    </row>
    <row r="350">
      <c r="A350" s="228"/>
      <c r="B350" s="228"/>
      <c r="C350" s="228"/>
      <c r="D350" s="228"/>
      <c r="E350" s="228"/>
      <c r="F350" s="228"/>
      <c r="G350" s="228"/>
      <c r="H350" s="241"/>
      <c r="I350" s="228"/>
      <c r="J350" s="228"/>
      <c r="K350" s="228"/>
      <c r="L350" s="228"/>
      <c r="M350" s="228"/>
      <c r="N350" s="228"/>
      <c r="O350" s="236"/>
      <c r="P350" s="228"/>
      <c r="Q350" s="228"/>
      <c r="R350" s="228"/>
      <c r="S350" s="228"/>
      <c r="T350" s="228"/>
      <c r="U350" s="228"/>
      <c r="V350" s="228"/>
      <c r="W350" s="228"/>
      <c r="X350" s="228"/>
      <c r="Y350" s="228"/>
      <c r="Z350" s="228"/>
      <c r="AA350" s="228"/>
      <c r="AB350" s="228"/>
      <c r="AC350" s="228"/>
      <c r="AD350" s="228"/>
      <c r="AE350" s="228"/>
      <c r="AF350" s="228"/>
      <c r="AG350" s="228"/>
      <c r="AH350" s="228"/>
      <c r="AI350" s="228"/>
      <c r="AJ350" s="228"/>
      <c r="AK350" s="228"/>
      <c r="AL350" s="228"/>
      <c r="AM350" s="228"/>
    </row>
    <row r="351">
      <c r="A351" s="228"/>
      <c r="B351" s="228"/>
      <c r="C351" s="228"/>
      <c r="D351" s="228"/>
      <c r="E351" s="228"/>
      <c r="F351" s="228"/>
      <c r="G351" s="228"/>
      <c r="H351" s="241"/>
      <c r="I351" s="228"/>
      <c r="J351" s="228"/>
      <c r="K351" s="228"/>
      <c r="L351" s="228"/>
      <c r="M351" s="228"/>
      <c r="N351" s="228"/>
      <c r="O351" s="236"/>
      <c r="P351" s="228"/>
      <c r="Q351" s="228"/>
      <c r="R351" s="228"/>
      <c r="S351" s="228"/>
      <c r="T351" s="228"/>
      <c r="U351" s="228"/>
      <c r="V351" s="228"/>
      <c r="W351" s="228"/>
      <c r="X351" s="228"/>
      <c r="Y351" s="228"/>
      <c r="Z351" s="228"/>
      <c r="AA351" s="228"/>
      <c r="AB351" s="228"/>
      <c r="AC351" s="228"/>
      <c r="AD351" s="228"/>
      <c r="AE351" s="228"/>
      <c r="AF351" s="228"/>
      <c r="AG351" s="228"/>
      <c r="AH351" s="228"/>
      <c r="AI351" s="228"/>
      <c r="AJ351" s="228"/>
      <c r="AK351" s="228"/>
      <c r="AL351" s="228"/>
      <c r="AM351" s="228"/>
    </row>
    <row r="352">
      <c r="A352" s="228"/>
      <c r="B352" s="228"/>
      <c r="C352" s="228"/>
      <c r="D352" s="228"/>
      <c r="E352" s="228"/>
      <c r="F352" s="228"/>
      <c r="G352" s="228"/>
      <c r="H352" s="241"/>
      <c r="I352" s="228"/>
      <c r="J352" s="228"/>
      <c r="K352" s="228"/>
      <c r="L352" s="228"/>
      <c r="M352" s="228"/>
      <c r="N352" s="228"/>
      <c r="O352" s="236"/>
      <c r="P352" s="228"/>
      <c r="Q352" s="228"/>
      <c r="R352" s="228"/>
      <c r="S352" s="228"/>
      <c r="T352" s="228"/>
      <c r="U352" s="228"/>
      <c r="V352" s="228"/>
      <c r="W352" s="228"/>
      <c r="X352" s="228"/>
      <c r="Y352" s="228"/>
      <c r="Z352" s="228"/>
      <c r="AA352" s="228"/>
      <c r="AB352" s="228"/>
      <c r="AC352" s="228"/>
      <c r="AD352" s="228"/>
      <c r="AE352" s="228"/>
      <c r="AF352" s="228"/>
      <c r="AG352" s="228"/>
      <c r="AH352" s="228"/>
      <c r="AI352" s="228"/>
      <c r="AJ352" s="228"/>
      <c r="AK352" s="228"/>
      <c r="AL352" s="228"/>
      <c r="AM352" s="228"/>
    </row>
    <row r="353">
      <c r="A353" s="228"/>
      <c r="B353" s="228"/>
      <c r="C353" s="228"/>
      <c r="D353" s="228"/>
      <c r="E353" s="228"/>
      <c r="F353" s="228"/>
      <c r="G353" s="228"/>
      <c r="H353" s="241"/>
      <c r="I353" s="228"/>
      <c r="J353" s="228"/>
      <c r="K353" s="228"/>
      <c r="L353" s="228"/>
      <c r="M353" s="228"/>
      <c r="N353" s="228"/>
      <c r="O353" s="236"/>
      <c r="P353" s="228"/>
      <c r="Q353" s="228"/>
      <c r="R353" s="228"/>
      <c r="S353" s="228"/>
      <c r="T353" s="228"/>
      <c r="U353" s="228"/>
      <c r="V353" s="228"/>
      <c r="W353" s="228"/>
      <c r="X353" s="228"/>
      <c r="Y353" s="228"/>
      <c r="Z353" s="228"/>
      <c r="AA353" s="228"/>
      <c r="AB353" s="228"/>
      <c r="AC353" s="228"/>
      <c r="AD353" s="228"/>
      <c r="AE353" s="228"/>
      <c r="AF353" s="228"/>
      <c r="AG353" s="228"/>
      <c r="AH353" s="228"/>
      <c r="AI353" s="228"/>
      <c r="AJ353" s="228"/>
      <c r="AK353" s="228"/>
      <c r="AL353" s="228"/>
      <c r="AM353" s="228"/>
    </row>
    <row r="354">
      <c r="A354" s="228"/>
      <c r="B354" s="228"/>
      <c r="C354" s="228"/>
      <c r="D354" s="228"/>
      <c r="E354" s="228"/>
      <c r="F354" s="228"/>
      <c r="G354" s="228"/>
      <c r="H354" s="241"/>
      <c r="I354" s="228"/>
      <c r="J354" s="228"/>
      <c r="K354" s="228"/>
      <c r="L354" s="228"/>
      <c r="M354" s="228"/>
      <c r="N354" s="228"/>
      <c r="O354" s="236"/>
      <c r="P354" s="228"/>
      <c r="Q354" s="228"/>
      <c r="R354" s="228"/>
      <c r="S354" s="228"/>
      <c r="T354" s="228"/>
      <c r="U354" s="228"/>
      <c r="V354" s="228"/>
      <c r="W354" s="228"/>
      <c r="X354" s="228"/>
      <c r="Y354" s="228"/>
      <c r="Z354" s="228"/>
      <c r="AA354" s="228"/>
      <c r="AB354" s="228"/>
      <c r="AC354" s="228"/>
      <c r="AD354" s="228"/>
      <c r="AE354" s="228"/>
      <c r="AF354" s="228"/>
      <c r="AG354" s="228"/>
      <c r="AH354" s="228"/>
      <c r="AI354" s="228"/>
      <c r="AJ354" s="228"/>
      <c r="AK354" s="228"/>
      <c r="AL354" s="228"/>
      <c r="AM354" s="228"/>
    </row>
    <row r="355">
      <c r="A355" s="228"/>
      <c r="B355" s="228"/>
      <c r="C355" s="228"/>
      <c r="D355" s="228"/>
      <c r="E355" s="228"/>
      <c r="F355" s="228"/>
      <c r="G355" s="228"/>
      <c r="H355" s="241"/>
      <c r="I355" s="228"/>
      <c r="J355" s="228"/>
      <c r="K355" s="228"/>
      <c r="L355" s="228"/>
      <c r="M355" s="228"/>
      <c r="N355" s="228"/>
      <c r="O355" s="236"/>
      <c r="P355" s="228"/>
      <c r="Q355" s="228"/>
      <c r="R355" s="228"/>
      <c r="S355" s="228"/>
      <c r="T355" s="228"/>
      <c r="U355" s="228"/>
      <c r="V355" s="228"/>
      <c r="W355" s="228"/>
      <c r="X355" s="228"/>
      <c r="Y355" s="228"/>
      <c r="Z355" s="228"/>
      <c r="AA355" s="228"/>
      <c r="AB355" s="228"/>
      <c r="AC355" s="228"/>
      <c r="AD355" s="228"/>
      <c r="AE355" s="228"/>
      <c r="AF355" s="228"/>
      <c r="AG355" s="228"/>
      <c r="AH355" s="228"/>
      <c r="AI355" s="228"/>
      <c r="AJ355" s="228"/>
      <c r="AK355" s="228"/>
      <c r="AL355" s="228"/>
      <c r="AM355" s="228"/>
    </row>
    <row r="356">
      <c r="A356" s="228"/>
      <c r="B356" s="228"/>
      <c r="C356" s="228"/>
      <c r="D356" s="228"/>
      <c r="E356" s="228"/>
      <c r="F356" s="228"/>
      <c r="G356" s="228"/>
      <c r="H356" s="241"/>
      <c r="I356" s="228"/>
      <c r="J356" s="228"/>
      <c r="K356" s="228"/>
      <c r="L356" s="228"/>
      <c r="M356" s="228"/>
      <c r="N356" s="228"/>
      <c r="O356" s="236"/>
      <c r="P356" s="228"/>
      <c r="Q356" s="228"/>
      <c r="R356" s="228"/>
      <c r="S356" s="228"/>
      <c r="T356" s="228"/>
      <c r="U356" s="228"/>
      <c r="V356" s="228"/>
      <c r="W356" s="228"/>
      <c r="X356" s="228"/>
      <c r="Y356" s="228"/>
      <c r="Z356" s="228"/>
      <c r="AA356" s="228"/>
      <c r="AB356" s="228"/>
      <c r="AC356" s="228"/>
      <c r="AD356" s="228"/>
      <c r="AE356" s="228"/>
      <c r="AF356" s="228"/>
      <c r="AG356" s="228"/>
      <c r="AH356" s="228"/>
      <c r="AI356" s="228"/>
      <c r="AJ356" s="228"/>
      <c r="AK356" s="228"/>
      <c r="AL356" s="228"/>
      <c r="AM356" s="228"/>
    </row>
    <row r="357">
      <c r="A357" s="228"/>
      <c r="B357" s="228"/>
      <c r="C357" s="228"/>
      <c r="D357" s="228"/>
      <c r="E357" s="228"/>
      <c r="F357" s="228"/>
      <c r="G357" s="228"/>
      <c r="H357" s="241"/>
      <c r="I357" s="228"/>
      <c r="J357" s="228"/>
      <c r="K357" s="228"/>
      <c r="L357" s="228"/>
      <c r="M357" s="228"/>
      <c r="N357" s="228"/>
      <c r="O357" s="236"/>
      <c r="P357" s="228"/>
      <c r="Q357" s="228"/>
      <c r="R357" s="228"/>
      <c r="S357" s="228"/>
      <c r="T357" s="228"/>
      <c r="U357" s="228"/>
      <c r="V357" s="228"/>
      <c r="W357" s="228"/>
      <c r="X357" s="228"/>
      <c r="Y357" s="228"/>
      <c r="Z357" s="228"/>
      <c r="AA357" s="228"/>
      <c r="AB357" s="228"/>
      <c r="AC357" s="228"/>
      <c r="AD357" s="228"/>
      <c r="AE357" s="228"/>
      <c r="AF357" s="228"/>
      <c r="AG357" s="228"/>
      <c r="AH357" s="228"/>
      <c r="AI357" s="228"/>
      <c r="AJ357" s="228"/>
      <c r="AK357" s="228"/>
      <c r="AL357" s="228"/>
      <c r="AM357" s="228"/>
    </row>
    <row r="358">
      <c r="A358" s="228"/>
      <c r="B358" s="228"/>
      <c r="C358" s="228"/>
      <c r="D358" s="228"/>
      <c r="E358" s="228"/>
      <c r="F358" s="228"/>
      <c r="G358" s="228"/>
      <c r="H358" s="241"/>
      <c r="I358" s="228"/>
      <c r="J358" s="228"/>
      <c r="K358" s="228"/>
      <c r="L358" s="228"/>
      <c r="M358" s="228"/>
      <c r="N358" s="228"/>
      <c r="O358" s="236"/>
      <c r="P358" s="228"/>
      <c r="Q358" s="228"/>
      <c r="R358" s="228"/>
      <c r="S358" s="228"/>
      <c r="T358" s="228"/>
      <c r="U358" s="228"/>
      <c r="V358" s="228"/>
      <c r="W358" s="228"/>
      <c r="X358" s="228"/>
      <c r="Y358" s="228"/>
      <c r="Z358" s="228"/>
      <c r="AA358" s="228"/>
      <c r="AB358" s="228"/>
      <c r="AC358" s="228"/>
      <c r="AD358" s="228"/>
      <c r="AE358" s="228"/>
      <c r="AF358" s="228"/>
      <c r="AG358" s="228"/>
      <c r="AH358" s="228"/>
      <c r="AI358" s="228"/>
      <c r="AJ358" s="228"/>
      <c r="AK358" s="228"/>
      <c r="AL358" s="228"/>
      <c r="AM358" s="228"/>
    </row>
    <row r="359">
      <c r="A359" s="228"/>
      <c r="B359" s="228"/>
      <c r="C359" s="228"/>
      <c r="D359" s="228"/>
      <c r="E359" s="228"/>
      <c r="F359" s="228"/>
      <c r="G359" s="228"/>
      <c r="H359" s="241"/>
      <c r="I359" s="228"/>
      <c r="J359" s="228"/>
      <c r="K359" s="228"/>
      <c r="L359" s="228"/>
      <c r="M359" s="228"/>
      <c r="N359" s="228"/>
      <c r="O359" s="236"/>
      <c r="P359" s="228"/>
      <c r="Q359" s="228"/>
      <c r="R359" s="228"/>
      <c r="S359" s="228"/>
      <c r="T359" s="228"/>
      <c r="U359" s="228"/>
      <c r="V359" s="228"/>
      <c r="W359" s="228"/>
      <c r="X359" s="228"/>
      <c r="Y359" s="228"/>
      <c r="Z359" s="228"/>
      <c r="AA359" s="228"/>
      <c r="AB359" s="228"/>
      <c r="AC359" s="228"/>
      <c r="AD359" s="228"/>
      <c r="AE359" s="228"/>
      <c r="AF359" s="228"/>
      <c r="AG359" s="228"/>
      <c r="AH359" s="228"/>
      <c r="AI359" s="228"/>
      <c r="AJ359" s="228"/>
      <c r="AK359" s="228"/>
      <c r="AL359" s="228"/>
      <c r="AM359" s="228"/>
    </row>
    <row r="360">
      <c r="A360" s="228"/>
      <c r="B360" s="228"/>
      <c r="C360" s="228"/>
      <c r="D360" s="228"/>
      <c r="E360" s="228"/>
      <c r="F360" s="228"/>
      <c r="G360" s="228"/>
      <c r="H360" s="241"/>
      <c r="I360" s="228"/>
      <c r="J360" s="228"/>
      <c r="K360" s="228"/>
      <c r="L360" s="228"/>
      <c r="M360" s="228"/>
      <c r="N360" s="228"/>
      <c r="O360" s="236"/>
      <c r="P360" s="228"/>
      <c r="Q360" s="228"/>
      <c r="R360" s="228"/>
      <c r="S360" s="228"/>
      <c r="T360" s="228"/>
      <c r="U360" s="228"/>
      <c r="V360" s="228"/>
      <c r="W360" s="228"/>
      <c r="X360" s="228"/>
      <c r="Y360" s="228"/>
      <c r="Z360" s="228"/>
      <c r="AA360" s="228"/>
      <c r="AB360" s="228"/>
      <c r="AC360" s="228"/>
      <c r="AD360" s="228"/>
      <c r="AE360" s="228"/>
      <c r="AF360" s="228"/>
      <c r="AG360" s="228"/>
      <c r="AH360" s="228"/>
      <c r="AI360" s="228"/>
      <c r="AJ360" s="228"/>
      <c r="AK360" s="228"/>
      <c r="AL360" s="228"/>
      <c r="AM360" s="228"/>
    </row>
    <row r="361">
      <c r="A361" s="228"/>
      <c r="B361" s="228"/>
      <c r="C361" s="228"/>
      <c r="D361" s="228"/>
      <c r="E361" s="228"/>
      <c r="F361" s="228"/>
      <c r="G361" s="228"/>
      <c r="H361" s="241"/>
      <c r="I361" s="228"/>
      <c r="J361" s="228"/>
      <c r="K361" s="228"/>
      <c r="L361" s="228"/>
      <c r="M361" s="228"/>
      <c r="N361" s="228"/>
      <c r="O361" s="236"/>
      <c r="P361" s="228"/>
      <c r="Q361" s="228"/>
      <c r="R361" s="228"/>
      <c r="S361" s="228"/>
      <c r="T361" s="228"/>
      <c r="U361" s="228"/>
      <c r="V361" s="228"/>
      <c r="W361" s="228"/>
      <c r="X361" s="228"/>
      <c r="Y361" s="228"/>
      <c r="Z361" s="228"/>
      <c r="AA361" s="228"/>
      <c r="AB361" s="228"/>
      <c r="AC361" s="228"/>
      <c r="AD361" s="228"/>
      <c r="AE361" s="228"/>
      <c r="AF361" s="228"/>
      <c r="AG361" s="228"/>
      <c r="AH361" s="228"/>
      <c r="AI361" s="228"/>
      <c r="AJ361" s="228"/>
      <c r="AK361" s="228"/>
      <c r="AL361" s="228"/>
      <c r="AM361" s="228"/>
    </row>
    <row r="362">
      <c r="A362" s="228"/>
      <c r="B362" s="228"/>
      <c r="C362" s="228"/>
      <c r="D362" s="228"/>
      <c r="E362" s="228"/>
      <c r="F362" s="228"/>
      <c r="G362" s="228"/>
      <c r="H362" s="241"/>
      <c r="I362" s="228"/>
      <c r="J362" s="228"/>
      <c r="K362" s="228"/>
      <c r="L362" s="228"/>
      <c r="M362" s="228"/>
      <c r="N362" s="228"/>
      <c r="O362" s="236"/>
      <c r="P362" s="228"/>
      <c r="Q362" s="228"/>
      <c r="R362" s="228"/>
      <c r="S362" s="228"/>
      <c r="T362" s="228"/>
      <c r="U362" s="228"/>
      <c r="V362" s="228"/>
      <c r="W362" s="228"/>
      <c r="X362" s="228"/>
      <c r="Y362" s="228"/>
      <c r="Z362" s="228"/>
      <c r="AA362" s="228"/>
      <c r="AB362" s="228"/>
      <c r="AC362" s="228"/>
      <c r="AD362" s="228"/>
      <c r="AE362" s="228"/>
      <c r="AF362" s="228"/>
      <c r="AG362" s="228"/>
      <c r="AH362" s="228"/>
      <c r="AI362" s="228"/>
      <c r="AJ362" s="228"/>
      <c r="AK362" s="228"/>
      <c r="AL362" s="228"/>
      <c r="AM362" s="228"/>
    </row>
    <row r="363">
      <c r="A363" s="228"/>
      <c r="B363" s="228"/>
      <c r="C363" s="228"/>
      <c r="D363" s="228"/>
      <c r="E363" s="228"/>
      <c r="F363" s="228"/>
      <c r="G363" s="228"/>
      <c r="H363" s="241"/>
      <c r="I363" s="228"/>
      <c r="J363" s="228"/>
      <c r="K363" s="228"/>
      <c r="L363" s="228"/>
      <c r="M363" s="228"/>
      <c r="N363" s="228"/>
      <c r="O363" s="236"/>
      <c r="P363" s="228"/>
      <c r="Q363" s="228"/>
      <c r="R363" s="228"/>
      <c r="S363" s="228"/>
      <c r="T363" s="228"/>
      <c r="U363" s="228"/>
      <c r="V363" s="228"/>
      <c r="W363" s="228"/>
      <c r="X363" s="228"/>
      <c r="Y363" s="228"/>
      <c r="Z363" s="228"/>
      <c r="AA363" s="228"/>
      <c r="AB363" s="228"/>
      <c r="AC363" s="228"/>
      <c r="AD363" s="228"/>
      <c r="AE363" s="228"/>
      <c r="AF363" s="228"/>
      <c r="AG363" s="228"/>
      <c r="AH363" s="228"/>
      <c r="AI363" s="228"/>
      <c r="AJ363" s="228"/>
      <c r="AK363" s="228"/>
      <c r="AL363" s="228"/>
      <c r="AM363" s="228"/>
    </row>
    <row r="364">
      <c r="A364" s="228"/>
      <c r="B364" s="228"/>
      <c r="C364" s="228"/>
      <c r="D364" s="228"/>
      <c r="E364" s="228"/>
      <c r="F364" s="228"/>
      <c r="G364" s="228"/>
      <c r="H364" s="241"/>
      <c r="I364" s="228"/>
      <c r="J364" s="228"/>
      <c r="K364" s="228"/>
      <c r="L364" s="228"/>
      <c r="M364" s="228"/>
      <c r="N364" s="228"/>
      <c r="O364" s="236"/>
      <c r="P364" s="228"/>
      <c r="Q364" s="228"/>
      <c r="R364" s="228"/>
      <c r="S364" s="228"/>
      <c r="T364" s="228"/>
      <c r="U364" s="228"/>
      <c r="V364" s="228"/>
      <c r="W364" s="228"/>
      <c r="X364" s="228"/>
      <c r="Y364" s="228"/>
      <c r="Z364" s="228"/>
      <c r="AA364" s="228"/>
      <c r="AB364" s="228"/>
      <c r="AC364" s="228"/>
      <c r="AD364" s="228"/>
      <c r="AE364" s="228"/>
      <c r="AF364" s="228"/>
      <c r="AG364" s="228"/>
      <c r="AH364" s="228"/>
      <c r="AI364" s="228"/>
      <c r="AJ364" s="228"/>
      <c r="AK364" s="228"/>
      <c r="AL364" s="228"/>
      <c r="AM364" s="228"/>
    </row>
    <row r="365">
      <c r="A365" s="228"/>
      <c r="B365" s="228"/>
      <c r="C365" s="228"/>
      <c r="D365" s="228"/>
      <c r="E365" s="228"/>
      <c r="F365" s="228"/>
      <c r="G365" s="228"/>
      <c r="H365" s="241"/>
      <c r="I365" s="228"/>
      <c r="J365" s="228"/>
      <c r="K365" s="228"/>
      <c r="L365" s="228"/>
      <c r="M365" s="228"/>
      <c r="N365" s="228"/>
      <c r="O365" s="236"/>
      <c r="P365" s="228"/>
      <c r="Q365" s="228"/>
      <c r="R365" s="228"/>
      <c r="S365" s="228"/>
      <c r="T365" s="228"/>
      <c r="U365" s="228"/>
      <c r="V365" s="228"/>
      <c r="W365" s="228"/>
      <c r="X365" s="228"/>
      <c r="Y365" s="228"/>
      <c r="Z365" s="228"/>
      <c r="AA365" s="228"/>
      <c r="AB365" s="228"/>
      <c r="AC365" s="228"/>
      <c r="AD365" s="228"/>
      <c r="AE365" s="228"/>
      <c r="AF365" s="228"/>
      <c r="AG365" s="228"/>
      <c r="AH365" s="228"/>
      <c r="AI365" s="228"/>
      <c r="AJ365" s="228"/>
      <c r="AK365" s="228"/>
      <c r="AL365" s="228"/>
      <c r="AM365" s="228"/>
    </row>
    <row r="366">
      <c r="A366" s="228"/>
      <c r="B366" s="228"/>
      <c r="C366" s="228"/>
      <c r="D366" s="228"/>
      <c r="E366" s="228"/>
      <c r="F366" s="228"/>
      <c r="G366" s="228"/>
      <c r="H366" s="241"/>
      <c r="I366" s="228"/>
      <c r="J366" s="228"/>
      <c r="K366" s="228"/>
      <c r="L366" s="228"/>
      <c r="M366" s="228"/>
      <c r="N366" s="228"/>
      <c r="O366" s="236"/>
      <c r="P366" s="228"/>
      <c r="Q366" s="228"/>
      <c r="R366" s="228"/>
      <c r="S366" s="228"/>
      <c r="T366" s="228"/>
      <c r="U366" s="228"/>
      <c r="V366" s="228"/>
      <c r="W366" s="228"/>
      <c r="X366" s="228"/>
      <c r="Y366" s="228"/>
      <c r="Z366" s="228"/>
      <c r="AA366" s="228"/>
      <c r="AB366" s="228"/>
      <c r="AC366" s="228"/>
      <c r="AD366" s="228"/>
      <c r="AE366" s="228"/>
      <c r="AF366" s="228"/>
      <c r="AG366" s="228"/>
      <c r="AH366" s="228"/>
      <c r="AI366" s="228"/>
      <c r="AJ366" s="228"/>
      <c r="AK366" s="228"/>
      <c r="AL366" s="228"/>
      <c r="AM366" s="228"/>
    </row>
    <row r="367">
      <c r="A367" s="228"/>
      <c r="B367" s="228"/>
      <c r="C367" s="228"/>
      <c r="D367" s="228"/>
      <c r="E367" s="228"/>
      <c r="F367" s="228"/>
      <c r="G367" s="228"/>
      <c r="H367" s="241"/>
      <c r="I367" s="228"/>
      <c r="J367" s="228"/>
      <c r="K367" s="228"/>
      <c r="L367" s="228"/>
      <c r="M367" s="228"/>
      <c r="N367" s="228"/>
      <c r="O367" s="236"/>
      <c r="P367" s="228"/>
      <c r="Q367" s="228"/>
      <c r="R367" s="228"/>
      <c r="S367" s="228"/>
      <c r="T367" s="228"/>
      <c r="U367" s="228"/>
      <c r="V367" s="228"/>
      <c r="W367" s="228"/>
      <c r="X367" s="228"/>
      <c r="Y367" s="228"/>
      <c r="Z367" s="228"/>
      <c r="AA367" s="228"/>
      <c r="AB367" s="228"/>
      <c r="AC367" s="228"/>
      <c r="AD367" s="228"/>
      <c r="AE367" s="228"/>
      <c r="AF367" s="228"/>
      <c r="AG367" s="228"/>
      <c r="AH367" s="228"/>
      <c r="AI367" s="228"/>
      <c r="AJ367" s="228"/>
      <c r="AK367" s="228"/>
      <c r="AL367" s="228"/>
      <c r="AM367" s="228"/>
    </row>
    <row r="368">
      <c r="A368" s="228"/>
      <c r="B368" s="228"/>
      <c r="C368" s="228"/>
      <c r="D368" s="228"/>
      <c r="E368" s="228"/>
      <c r="F368" s="228"/>
      <c r="G368" s="228"/>
      <c r="H368" s="241"/>
      <c r="I368" s="228"/>
      <c r="J368" s="228"/>
      <c r="K368" s="228"/>
      <c r="L368" s="228"/>
      <c r="M368" s="228"/>
      <c r="N368" s="228"/>
      <c r="O368" s="236"/>
      <c r="P368" s="228"/>
      <c r="Q368" s="228"/>
      <c r="R368" s="228"/>
      <c r="S368" s="228"/>
      <c r="T368" s="228"/>
      <c r="U368" s="228"/>
      <c r="V368" s="228"/>
      <c r="W368" s="228"/>
      <c r="X368" s="228"/>
      <c r="Y368" s="228"/>
      <c r="Z368" s="228"/>
      <c r="AA368" s="228"/>
      <c r="AB368" s="228"/>
      <c r="AC368" s="228"/>
      <c r="AD368" s="228"/>
      <c r="AE368" s="228"/>
      <c r="AF368" s="228"/>
      <c r="AG368" s="228"/>
      <c r="AH368" s="228"/>
      <c r="AI368" s="228"/>
      <c r="AJ368" s="228"/>
      <c r="AK368" s="228"/>
      <c r="AL368" s="228"/>
      <c r="AM368" s="228"/>
    </row>
    <row r="369">
      <c r="A369" s="228"/>
      <c r="B369" s="228"/>
      <c r="C369" s="228"/>
      <c r="D369" s="228"/>
      <c r="E369" s="228"/>
      <c r="F369" s="228"/>
      <c r="G369" s="228"/>
      <c r="H369" s="241"/>
      <c r="I369" s="228"/>
      <c r="J369" s="228"/>
      <c r="K369" s="228"/>
      <c r="L369" s="228"/>
      <c r="M369" s="228"/>
      <c r="N369" s="228"/>
      <c r="O369" s="236"/>
      <c r="P369" s="228"/>
      <c r="Q369" s="228"/>
      <c r="R369" s="228"/>
      <c r="S369" s="228"/>
      <c r="T369" s="228"/>
      <c r="U369" s="228"/>
      <c r="V369" s="228"/>
      <c r="W369" s="228"/>
      <c r="X369" s="228"/>
      <c r="Y369" s="228"/>
      <c r="Z369" s="228"/>
      <c r="AA369" s="228"/>
      <c r="AB369" s="228"/>
      <c r="AC369" s="228"/>
      <c r="AD369" s="228"/>
      <c r="AE369" s="228"/>
      <c r="AF369" s="228"/>
      <c r="AG369" s="228"/>
      <c r="AH369" s="228"/>
      <c r="AI369" s="228"/>
      <c r="AJ369" s="228"/>
      <c r="AK369" s="228"/>
      <c r="AL369" s="228"/>
      <c r="AM369" s="228"/>
    </row>
    <row r="370">
      <c r="A370" s="228"/>
      <c r="B370" s="228"/>
      <c r="C370" s="228"/>
      <c r="D370" s="228"/>
      <c r="E370" s="228"/>
      <c r="F370" s="228"/>
      <c r="G370" s="228"/>
      <c r="H370" s="241"/>
      <c r="I370" s="228"/>
      <c r="J370" s="228"/>
      <c r="K370" s="228"/>
      <c r="L370" s="228"/>
      <c r="M370" s="228"/>
      <c r="N370" s="228"/>
      <c r="O370" s="236"/>
      <c r="P370" s="228"/>
      <c r="Q370" s="228"/>
      <c r="R370" s="228"/>
      <c r="S370" s="228"/>
      <c r="T370" s="228"/>
      <c r="U370" s="228"/>
      <c r="V370" s="228"/>
      <c r="W370" s="228"/>
      <c r="X370" s="228"/>
      <c r="Y370" s="228"/>
      <c r="Z370" s="228"/>
      <c r="AA370" s="228"/>
      <c r="AB370" s="228"/>
      <c r="AC370" s="228"/>
      <c r="AD370" s="228"/>
      <c r="AE370" s="228"/>
      <c r="AF370" s="228"/>
      <c r="AG370" s="228"/>
      <c r="AH370" s="228"/>
      <c r="AI370" s="228"/>
      <c r="AJ370" s="228"/>
      <c r="AK370" s="228"/>
      <c r="AL370" s="228"/>
      <c r="AM370" s="228"/>
    </row>
    <row r="371">
      <c r="A371" s="228"/>
      <c r="B371" s="228"/>
      <c r="C371" s="228"/>
      <c r="D371" s="228"/>
      <c r="E371" s="228"/>
      <c r="F371" s="228"/>
      <c r="G371" s="228"/>
      <c r="H371" s="241"/>
      <c r="I371" s="228"/>
      <c r="J371" s="228"/>
      <c r="K371" s="228"/>
      <c r="L371" s="228"/>
      <c r="M371" s="228"/>
      <c r="N371" s="228"/>
      <c r="O371" s="236"/>
      <c r="P371" s="228"/>
      <c r="Q371" s="228"/>
      <c r="R371" s="228"/>
      <c r="S371" s="228"/>
      <c r="T371" s="228"/>
      <c r="U371" s="228"/>
      <c r="V371" s="228"/>
      <c r="W371" s="228"/>
      <c r="X371" s="228"/>
      <c r="Y371" s="228"/>
      <c r="Z371" s="228"/>
      <c r="AA371" s="228"/>
      <c r="AB371" s="228"/>
      <c r="AC371" s="228"/>
      <c r="AD371" s="228"/>
      <c r="AE371" s="228"/>
      <c r="AF371" s="228"/>
      <c r="AG371" s="228"/>
      <c r="AH371" s="228"/>
      <c r="AI371" s="228"/>
      <c r="AJ371" s="228"/>
      <c r="AK371" s="228"/>
      <c r="AL371" s="228"/>
      <c r="AM371" s="228"/>
    </row>
    <row r="372">
      <c r="A372" s="228"/>
      <c r="B372" s="228"/>
      <c r="C372" s="228"/>
      <c r="D372" s="228"/>
      <c r="E372" s="228"/>
      <c r="F372" s="228"/>
      <c r="G372" s="228"/>
      <c r="H372" s="241"/>
      <c r="I372" s="228"/>
      <c r="J372" s="228"/>
      <c r="K372" s="228"/>
      <c r="L372" s="228"/>
      <c r="M372" s="228"/>
      <c r="N372" s="228"/>
      <c r="O372" s="236"/>
      <c r="P372" s="228"/>
      <c r="Q372" s="228"/>
      <c r="R372" s="228"/>
      <c r="S372" s="228"/>
      <c r="T372" s="228"/>
      <c r="U372" s="228"/>
      <c r="V372" s="228"/>
      <c r="W372" s="228"/>
      <c r="X372" s="228"/>
      <c r="Y372" s="228"/>
      <c r="Z372" s="228"/>
      <c r="AA372" s="228"/>
      <c r="AB372" s="228"/>
      <c r="AC372" s="228"/>
      <c r="AD372" s="228"/>
      <c r="AE372" s="228"/>
      <c r="AF372" s="228"/>
      <c r="AG372" s="228"/>
      <c r="AH372" s="228"/>
      <c r="AI372" s="228"/>
      <c r="AJ372" s="228"/>
      <c r="AK372" s="228"/>
      <c r="AL372" s="228"/>
      <c r="AM372" s="228"/>
    </row>
    <row r="373">
      <c r="A373" s="228"/>
      <c r="B373" s="228"/>
      <c r="C373" s="228"/>
      <c r="D373" s="228"/>
      <c r="E373" s="228"/>
      <c r="F373" s="228"/>
      <c r="G373" s="228"/>
      <c r="H373" s="241"/>
      <c r="I373" s="228"/>
      <c r="J373" s="228"/>
      <c r="K373" s="228"/>
      <c r="L373" s="228"/>
      <c r="M373" s="228"/>
      <c r="N373" s="228"/>
      <c r="O373" s="236"/>
      <c r="P373" s="228"/>
      <c r="Q373" s="228"/>
      <c r="R373" s="228"/>
      <c r="S373" s="228"/>
      <c r="T373" s="228"/>
      <c r="U373" s="228"/>
      <c r="V373" s="228"/>
      <c r="W373" s="228"/>
      <c r="X373" s="228"/>
      <c r="Y373" s="228"/>
      <c r="Z373" s="228"/>
      <c r="AA373" s="228"/>
      <c r="AB373" s="228"/>
      <c r="AC373" s="228"/>
      <c r="AD373" s="228"/>
      <c r="AE373" s="228"/>
      <c r="AF373" s="228"/>
      <c r="AG373" s="228"/>
      <c r="AH373" s="228"/>
      <c r="AI373" s="228"/>
      <c r="AJ373" s="228"/>
      <c r="AK373" s="228"/>
      <c r="AL373" s="228"/>
      <c r="AM373" s="228"/>
    </row>
    <row r="374">
      <c r="A374" s="228"/>
      <c r="B374" s="228"/>
      <c r="C374" s="228"/>
      <c r="D374" s="228"/>
      <c r="E374" s="228"/>
      <c r="F374" s="228"/>
      <c r="G374" s="228"/>
      <c r="H374" s="241"/>
      <c r="I374" s="228"/>
      <c r="J374" s="228"/>
      <c r="K374" s="228"/>
      <c r="L374" s="228"/>
      <c r="M374" s="228"/>
      <c r="N374" s="228"/>
      <c r="O374" s="236"/>
      <c r="P374" s="228"/>
      <c r="Q374" s="228"/>
      <c r="R374" s="228"/>
      <c r="S374" s="228"/>
      <c r="T374" s="228"/>
      <c r="U374" s="228"/>
      <c r="V374" s="228"/>
      <c r="W374" s="228"/>
      <c r="X374" s="228"/>
      <c r="Y374" s="228"/>
      <c r="Z374" s="228"/>
      <c r="AA374" s="228"/>
      <c r="AB374" s="228"/>
      <c r="AC374" s="228"/>
      <c r="AD374" s="228"/>
      <c r="AE374" s="228"/>
      <c r="AF374" s="228"/>
      <c r="AG374" s="228"/>
      <c r="AH374" s="228"/>
      <c r="AI374" s="228"/>
      <c r="AJ374" s="228"/>
      <c r="AK374" s="228"/>
      <c r="AL374" s="228"/>
      <c r="AM374" s="228"/>
    </row>
    <row r="375">
      <c r="A375" s="228"/>
      <c r="B375" s="228"/>
      <c r="C375" s="228"/>
      <c r="D375" s="228"/>
      <c r="E375" s="228"/>
      <c r="F375" s="228"/>
      <c r="G375" s="228"/>
      <c r="H375" s="241"/>
      <c r="I375" s="228"/>
      <c r="J375" s="228"/>
      <c r="K375" s="228"/>
      <c r="L375" s="228"/>
      <c r="M375" s="228"/>
      <c r="N375" s="228"/>
      <c r="O375" s="236"/>
      <c r="P375" s="228"/>
      <c r="Q375" s="228"/>
      <c r="R375" s="228"/>
      <c r="S375" s="228"/>
      <c r="T375" s="228"/>
      <c r="U375" s="228"/>
      <c r="V375" s="228"/>
      <c r="W375" s="228"/>
      <c r="X375" s="228"/>
      <c r="Y375" s="228"/>
      <c r="Z375" s="228"/>
      <c r="AA375" s="228"/>
      <c r="AB375" s="228"/>
      <c r="AC375" s="228"/>
      <c r="AD375" s="228"/>
      <c r="AE375" s="228"/>
      <c r="AF375" s="228"/>
      <c r="AG375" s="228"/>
      <c r="AH375" s="228"/>
      <c r="AI375" s="228"/>
      <c r="AJ375" s="228"/>
      <c r="AK375" s="228"/>
      <c r="AL375" s="228"/>
      <c r="AM375" s="228"/>
    </row>
    <row r="376">
      <c r="A376" s="228"/>
      <c r="B376" s="228"/>
      <c r="C376" s="228"/>
      <c r="D376" s="228"/>
      <c r="E376" s="228"/>
      <c r="F376" s="228"/>
      <c r="G376" s="228"/>
      <c r="H376" s="241"/>
      <c r="I376" s="228"/>
      <c r="J376" s="228"/>
      <c r="K376" s="228"/>
      <c r="L376" s="228"/>
      <c r="M376" s="228"/>
      <c r="N376" s="228"/>
      <c r="O376" s="236"/>
      <c r="P376" s="228"/>
      <c r="Q376" s="228"/>
      <c r="R376" s="228"/>
      <c r="S376" s="228"/>
      <c r="T376" s="228"/>
      <c r="U376" s="228"/>
      <c r="V376" s="228"/>
      <c r="W376" s="228"/>
      <c r="X376" s="228"/>
      <c r="Y376" s="228"/>
      <c r="Z376" s="228"/>
      <c r="AA376" s="228"/>
      <c r="AB376" s="228"/>
      <c r="AC376" s="228"/>
      <c r="AD376" s="228"/>
      <c r="AE376" s="228"/>
      <c r="AF376" s="228"/>
      <c r="AG376" s="228"/>
      <c r="AH376" s="228"/>
      <c r="AI376" s="228"/>
      <c r="AJ376" s="228"/>
      <c r="AK376" s="228"/>
      <c r="AL376" s="228"/>
      <c r="AM376" s="228"/>
    </row>
    <row r="377">
      <c r="A377" s="228"/>
      <c r="B377" s="228"/>
      <c r="C377" s="228"/>
      <c r="D377" s="228"/>
      <c r="E377" s="228"/>
      <c r="F377" s="228"/>
      <c r="G377" s="228"/>
      <c r="H377" s="241"/>
      <c r="I377" s="228"/>
      <c r="J377" s="228"/>
      <c r="K377" s="228"/>
      <c r="L377" s="228"/>
      <c r="M377" s="228"/>
      <c r="N377" s="228"/>
      <c r="O377" s="236"/>
      <c r="P377" s="228"/>
      <c r="Q377" s="228"/>
      <c r="R377" s="228"/>
      <c r="S377" s="228"/>
      <c r="T377" s="228"/>
      <c r="U377" s="228"/>
      <c r="V377" s="228"/>
      <c r="W377" s="228"/>
      <c r="X377" s="228"/>
      <c r="Y377" s="228"/>
      <c r="Z377" s="228"/>
      <c r="AA377" s="228"/>
      <c r="AB377" s="228"/>
      <c r="AC377" s="228"/>
      <c r="AD377" s="228"/>
      <c r="AE377" s="228"/>
      <c r="AF377" s="228"/>
      <c r="AG377" s="228"/>
      <c r="AH377" s="228"/>
      <c r="AI377" s="228"/>
      <c r="AJ377" s="228"/>
      <c r="AK377" s="228"/>
      <c r="AL377" s="228"/>
      <c r="AM377" s="228"/>
    </row>
    <row r="378">
      <c r="A378" s="228"/>
      <c r="B378" s="228"/>
      <c r="C378" s="228"/>
      <c r="D378" s="228"/>
      <c r="E378" s="228"/>
      <c r="F378" s="228"/>
      <c r="G378" s="228"/>
      <c r="H378" s="241"/>
      <c r="I378" s="228"/>
      <c r="J378" s="228"/>
      <c r="K378" s="228"/>
      <c r="L378" s="228"/>
      <c r="M378" s="228"/>
      <c r="N378" s="228"/>
      <c r="O378" s="236"/>
      <c r="P378" s="228"/>
      <c r="Q378" s="228"/>
      <c r="R378" s="228"/>
      <c r="S378" s="228"/>
      <c r="T378" s="228"/>
      <c r="U378" s="228"/>
      <c r="V378" s="228"/>
      <c r="W378" s="228"/>
      <c r="X378" s="228"/>
      <c r="Y378" s="228"/>
      <c r="Z378" s="228"/>
      <c r="AA378" s="228"/>
      <c r="AB378" s="228"/>
      <c r="AC378" s="228"/>
      <c r="AD378" s="228"/>
      <c r="AE378" s="228"/>
      <c r="AF378" s="228"/>
      <c r="AG378" s="228"/>
      <c r="AH378" s="228"/>
      <c r="AI378" s="228"/>
      <c r="AJ378" s="228"/>
      <c r="AK378" s="228"/>
      <c r="AL378" s="228"/>
      <c r="AM378" s="228"/>
    </row>
    <row r="379">
      <c r="A379" s="228"/>
      <c r="B379" s="228"/>
      <c r="C379" s="228"/>
      <c r="D379" s="228"/>
      <c r="E379" s="228"/>
      <c r="F379" s="228"/>
      <c r="G379" s="228"/>
      <c r="H379" s="241"/>
      <c r="I379" s="228"/>
      <c r="J379" s="228"/>
      <c r="K379" s="228"/>
      <c r="L379" s="228"/>
      <c r="M379" s="228"/>
      <c r="N379" s="228"/>
      <c r="O379" s="236"/>
      <c r="P379" s="228"/>
      <c r="Q379" s="228"/>
      <c r="R379" s="228"/>
      <c r="S379" s="228"/>
      <c r="T379" s="228"/>
      <c r="U379" s="228"/>
      <c r="V379" s="228"/>
      <c r="W379" s="228"/>
      <c r="X379" s="228"/>
      <c r="Y379" s="228"/>
      <c r="Z379" s="228"/>
      <c r="AA379" s="228"/>
      <c r="AB379" s="228"/>
      <c r="AC379" s="228"/>
      <c r="AD379" s="228"/>
      <c r="AE379" s="228"/>
      <c r="AF379" s="228"/>
      <c r="AG379" s="228"/>
      <c r="AH379" s="228"/>
      <c r="AI379" s="228"/>
      <c r="AJ379" s="228"/>
      <c r="AK379" s="228"/>
      <c r="AL379" s="228"/>
      <c r="AM379" s="228"/>
    </row>
    <row r="380">
      <c r="A380" s="228"/>
      <c r="B380" s="228"/>
      <c r="C380" s="228"/>
      <c r="D380" s="228"/>
      <c r="E380" s="228"/>
      <c r="F380" s="228"/>
      <c r="G380" s="228"/>
      <c r="H380" s="241"/>
      <c r="I380" s="228"/>
      <c r="J380" s="228"/>
      <c r="K380" s="228"/>
      <c r="L380" s="228"/>
      <c r="M380" s="228"/>
      <c r="N380" s="228"/>
      <c r="O380" s="236"/>
      <c r="P380" s="228"/>
      <c r="Q380" s="228"/>
      <c r="R380" s="228"/>
      <c r="S380" s="228"/>
      <c r="T380" s="228"/>
      <c r="U380" s="228"/>
      <c r="V380" s="228"/>
      <c r="W380" s="228"/>
      <c r="X380" s="228"/>
      <c r="Y380" s="228"/>
      <c r="Z380" s="228"/>
      <c r="AA380" s="228"/>
      <c r="AB380" s="228"/>
      <c r="AC380" s="228"/>
      <c r="AD380" s="228"/>
      <c r="AE380" s="228"/>
      <c r="AF380" s="228"/>
      <c r="AG380" s="228"/>
      <c r="AH380" s="228"/>
      <c r="AI380" s="228"/>
      <c r="AJ380" s="228"/>
      <c r="AK380" s="228"/>
      <c r="AL380" s="228"/>
      <c r="AM380" s="228"/>
    </row>
    <row r="381">
      <c r="A381" s="228"/>
      <c r="B381" s="228"/>
      <c r="C381" s="228"/>
      <c r="D381" s="228"/>
      <c r="E381" s="228"/>
      <c r="F381" s="228"/>
      <c r="G381" s="228"/>
      <c r="H381" s="241"/>
      <c r="I381" s="228"/>
      <c r="J381" s="228"/>
      <c r="K381" s="228"/>
      <c r="L381" s="228"/>
      <c r="M381" s="228"/>
      <c r="N381" s="228"/>
      <c r="O381" s="236"/>
      <c r="P381" s="228"/>
      <c r="Q381" s="228"/>
      <c r="R381" s="228"/>
      <c r="S381" s="228"/>
      <c r="T381" s="228"/>
      <c r="U381" s="228"/>
      <c r="V381" s="228"/>
      <c r="W381" s="228"/>
      <c r="X381" s="228"/>
      <c r="Y381" s="228"/>
      <c r="Z381" s="228"/>
      <c r="AA381" s="228"/>
      <c r="AB381" s="228"/>
      <c r="AC381" s="228"/>
      <c r="AD381" s="228"/>
      <c r="AE381" s="228"/>
      <c r="AF381" s="228"/>
      <c r="AG381" s="228"/>
      <c r="AH381" s="228"/>
      <c r="AI381" s="228"/>
      <c r="AJ381" s="228"/>
      <c r="AK381" s="228"/>
      <c r="AL381" s="228"/>
      <c r="AM381" s="228"/>
    </row>
    <row r="382">
      <c r="A382" s="228"/>
      <c r="B382" s="228"/>
      <c r="C382" s="228"/>
      <c r="D382" s="228"/>
      <c r="E382" s="228"/>
      <c r="F382" s="228"/>
      <c r="G382" s="228"/>
      <c r="H382" s="241"/>
      <c r="I382" s="228"/>
      <c r="J382" s="228"/>
      <c r="K382" s="228"/>
      <c r="L382" s="228"/>
      <c r="M382" s="228"/>
      <c r="N382" s="228"/>
      <c r="O382" s="236"/>
      <c r="P382" s="228"/>
      <c r="Q382" s="228"/>
      <c r="R382" s="228"/>
      <c r="S382" s="228"/>
      <c r="T382" s="228"/>
      <c r="U382" s="228"/>
      <c r="V382" s="228"/>
      <c r="W382" s="228"/>
      <c r="X382" s="228"/>
      <c r="Y382" s="228"/>
      <c r="Z382" s="228"/>
      <c r="AA382" s="228"/>
      <c r="AB382" s="228"/>
      <c r="AC382" s="228"/>
      <c r="AD382" s="228"/>
      <c r="AE382" s="228"/>
      <c r="AF382" s="228"/>
      <c r="AG382" s="228"/>
      <c r="AH382" s="228"/>
      <c r="AI382" s="228"/>
      <c r="AJ382" s="228"/>
      <c r="AK382" s="228"/>
      <c r="AL382" s="228"/>
      <c r="AM382" s="228"/>
    </row>
    <row r="383">
      <c r="A383" s="228"/>
      <c r="B383" s="228"/>
      <c r="C383" s="228"/>
      <c r="D383" s="228"/>
      <c r="E383" s="228"/>
      <c r="F383" s="228"/>
      <c r="G383" s="228"/>
      <c r="H383" s="241"/>
      <c r="I383" s="228"/>
      <c r="J383" s="228"/>
      <c r="K383" s="228"/>
      <c r="L383" s="228"/>
      <c r="M383" s="228"/>
      <c r="N383" s="228"/>
      <c r="O383" s="236"/>
      <c r="P383" s="228"/>
      <c r="Q383" s="228"/>
      <c r="R383" s="228"/>
      <c r="S383" s="228"/>
      <c r="T383" s="228"/>
      <c r="U383" s="228"/>
      <c r="V383" s="228"/>
      <c r="W383" s="228"/>
      <c r="X383" s="228"/>
      <c r="Y383" s="228"/>
      <c r="Z383" s="228"/>
      <c r="AA383" s="228"/>
      <c r="AB383" s="228"/>
      <c r="AC383" s="228"/>
      <c r="AD383" s="228"/>
      <c r="AE383" s="228"/>
      <c r="AF383" s="228"/>
      <c r="AG383" s="228"/>
      <c r="AH383" s="228"/>
      <c r="AI383" s="228"/>
      <c r="AJ383" s="228"/>
      <c r="AK383" s="228"/>
      <c r="AL383" s="228"/>
      <c r="AM383" s="228"/>
    </row>
    <row r="384">
      <c r="A384" s="228"/>
      <c r="B384" s="228"/>
      <c r="C384" s="228"/>
      <c r="D384" s="228"/>
      <c r="E384" s="228"/>
      <c r="F384" s="228"/>
      <c r="G384" s="228"/>
      <c r="H384" s="241"/>
      <c r="I384" s="228"/>
      <c r="J384" s="228"/>
      <c r="K384" s="228"/>
      <c r="L384" s="228"/>
      <c r="M384" s="228"/>
      <c r="N384" s="228"/>
      <c r="O384" s="236"/>
      <c r="P384" s="228"/>
      <c r="Q384" s="228"/>
      <c r="R384" s="228"/>
      <c r="S384" s="228"/>
      <c r="T384" s="228"/>
      <c r="U384" s="228"/>
      <c r="V384" s="228"/>
      <c r="W384" s="228"/>
      <c r="X384" s="228"/>
      <c r="Y384" s="228"/>
      <c r="Z384" s="228"/>
      <c r="AA384" s="228"/>
      <c r="AB384" s="228"/>
      <c r="AC384" s="228"/>
      <c r="AD384" s="228"/>
      <c r="AE384" s="228"/>
      <c r="AF384" s="228"/>
      <c r="AG384" s="228"/>
      <c r="AH384" s="228"/>
      <c r="AI384" s="228"/>
      <c r="AJ384" s="228"/>
      <c r="AK384" s="228"/>
      <c r="AL384" s="228"/>
      <c r="AM384" s="228"/>
    </row>
    <row r="385">
      <c r="A385" s="228"/>
      <c r="B385" s="228"/>
      <c r="C385" s="228"/>
      <c r="D385" s="228"/>
      <c r="E385" s="228"/>
      <c r="F385" s="228"/>
      <c r="G385" s="228"/>
      <c r="H385" s="241"/>
      <c r="I385" s="228"/>
      <c r="J385" s="228"/>
      <c r="K385" s="228"/>
      <c r="L385" s="228"/>
      <c r="M385" s="228"/>
      <c r="N385" s="228"/>
      <c r="O385" s="236"/>
      <c r="P385" s="228"/>
      <c r="Q385" s="228"/>
      <c r="R385" s="228"/>
      <c r="S385" s="228"/>
      <c r="T385" s="228"/>
      <c r="U385" s="228"/>
      <c r="V385" s="228"/>
      <c r="W385" s="228"/>
      <c r="X385" s="228"/>
      <c r="Y385" s="228"/>
      <c r="Z385" s="228"/>
      <c r="AA385" s="228"/>
      <c r="AB385" s="228"/>
      <c r="AC385" s="228"/>
      <c r="AD385" s="228"/>
      <c r="AE385" s="228"/>
      <c r="AF385" s="228"/>
      <c r="AG385" s="228"/>
      <c r="AH385" s="228"/>
      <c r="AI385" s="228"/>
      <c r="AJ385" s="228"/>
      <c r="AK385" s="228"/>
      <c r="AL385" s="228"/>
      <c r="AM385" s="228"/>
    </row>
    <row r="386">
      <c r="A386" s="228"/>
      <c r="B386" s="228"/>
      <c r="C386" s="228"/>
      <c r="D386" s="228"/>
      <c r="E386" s="228"/>
      <c r="F386" s="228"/>
      <c r="G386" s="228"/>
      <c r="H386" s="241"/>
      <c r="I386" s="228"/>
      <c r="J386" s="228"/>
      <c r="K386" s="228"/>
      <c r="L386" s="228"/>
      <c r="M386" s="228"/>
      <c r="N386" s="228"/>
      <c r="O386" s="236"/>
      <c r="P386" s="228"/>
      <c r="Q386" s="228"/>
      <c r="R386" s="228"/>
      <c r="S386" s="228"/>
      <c r="T386" s="228"/>
      <c r="U386" s="228"/>
      <c r="V386" s="228"/>
      <c r="W386" s="228"/>
      <c r="X386" s="228"/>
      <c r="Y386" s="228"/>
      <c r="Z386" s="228"/>
      <c r="AA386" s="228"/>
      <c r="AB386" s="228"/>
      <c r="AC386" s="228"/>
      <c r="AD386" s="228"/>
      <c r="AE386" s="228"/>
      <c r="AF386" s="228"/>
      <c r="AG386" s="228"/>
      <c r="AH386" s="228"/>
      <c r="AI386" s="228"/>
      <c r="AJ386" s="228"/>
      <c r="AK386" s="228"/>
      <c r="AL386" s="228"/>
      <c r="AM386" s="228"/>
    </row>
    <row r="387">
      <c r="A387" s="228"/>
      <c r="B387" s="228"/>
      <c r="C387" s="228"/>
      <c r="D387" s="228"/>
      <c r="E387" s="228"/>
      <c r="F387" s="228"/>
      <c r="G387" s="228"/>
      <c r="H387" s="241"/>
      <c r="I387" s="228"/>
      <c r="J387" s="228"/>
      <c r="K387" s="228"/>
      <c r="L387" s="228"/>
      <c r="M387" s="228"/>
      <c r="N387" s="228"/>
      <c r="O387" s="236"/>
      <c r="P387" s="228"/>
      <c r="Q387" s="228"/>
      <c r="R387" s="228"/>
      <c r="S387" s="228"/>
      <c r="T387" s="228"/>
      <c r="U387" s="228"/>
      <c r="V387" s="228"/>
      <c r="W387" s="228"/>
      <c r="X387" s="228"/>
      <c r="Y387" s="228"/>
      <c r="Z387" s="228"/>
      <c r="AA387" s="228"/>
      <c r="AB387" s="228"/>
      <c r="AC387" s="228"/>
      <c r="AD387" s="228"/>
      <c r="AE387" s="228"/>
      <c r="AF387" s="228"/>
      <c r="AG387" s="228"/>
      <c r="AH387" s="228"/>
      <c r="AI387" s="228"/>
      <c r="AJ387" s="228"/>
      <c r="AK387" s="228"/>
      <c r="AL387" s="228"/>
      <c r="AM387" s="228"/>
    </row>
    <row r="388">
      <c r="A388" s="228"/>
      <c r="B388" s="228"/>
      <c r="C388" s="228"/>
      <c r="D388" s="228"/>
      <c r="E388" s="228"/>
      <c r="F388" s="228"/>
      <c r="G388" s="228"/>
      <c r="H388" s="241"/>
      <c r="I388" s="228"/>
      <c r="J388" s="228"/>
      <c r="K388" s="228"/>
      <c r="L388" s="228"/>
      <c r="M388" s="228"/>
      <c r="N388" s="228"/>
      <c r="O388" s="236"/>
      <c r="P388" s="228"/>
      <c r="Q388" s="228"/>
      <c r="R388" s="228"/>
      <c r="S388" s="228"/>
      <c r="T388" s="228"/>
      <c r="U388" s="228"/>
      <c r="V388" s="228"/>
      <c r="W388" s="228"/>
      <c r="X388" s="228"/>
      <c r="Y388" s="228"/>
      <c r="Z388" s="228"/>
      <c r="AA388" s="228"/>
      <c r="AB388" s="228"/>
      <c r="AC388" s="228"/>
      <c r="AD388" s="228"/>
      <c r="AE388" s="228"/>
      <c r="AF388" s="228"/>
      <c r="AG388" s="228"/>
      <c r="AH388" s="228"/>
      <c r="AI388" s="228"/>
      <c r="AJ388" s="228"/>
      <c r="AK388" s="228"/>
      <c r="AL388" s="228"/>
      <c r="AM388" s="228"/>
    </row>
    <row r="389">
      <c r="A389" s="228"/>
      <c r="B389" s="228"/>
      <c r="C389" s="228"/>
      <c r="D389" s="228"/>
      <c r="E389" s="228"/>
      <c r="F389" s="228"/>
      <c r="G389" s="228"/>
      <c r="H389" s="241"/>
      <c r="I389" s="228"/>
      <c r="J389" s="228"/>
      <c r="K389" s="228"/>
      <c r="L389" s="228"/>
      <c r="M389" s="228"/>
      <c r="N389" s="228"/>
      <c r="O389" s="236"/>
      <c r="P389" s="228"/>
      <c r="Q389" s="228"/>
      <c r="R389" s="228"/>
      <c r="S389" s="228"/>
      <c r="T389" s="228"/>
      <c r="U389" s="228"/>
      <c r="V389" s="228"/>
      <c r="W389" s="228"/>
      <c r="X389" s="228"/>
      <c r="Y389" s="228"/>
      <c r="Z389" s="228"/>
      <c r="AA389" s="228"/>
      <c r="AB389" s="228"/>
      <c r="AC389" s="228"/>
      <c r="AD389" s="228"/>
      <c r="AE389" s="228"/>
      <c r="AF389" s="228"/>
      <c r="AG389" s="228"/>
      <c r="AH389" s="228"/>
      <c r="AI389" s="228"/>
      <c r="AJ389" s="228"/>
      <c r="AK389" s="228"/>
      <c r="AL389" s="228"/>
      <c r="AM389" s="228"/>
    </row>
    <row r="390">
      <c r="A390" s="228"/>
      <c r="B390" s="228"/>
      <c r="C390" s="228"/>
      <c r="D390" s="228"/>
      <c r="E390" s="228"/>
      <c r="F390" s="228"/>
      <c r="G390" s="228"/>
      <c r="H390" s="241"/>
      <c r="I390" s="228"/>
      <c r="J390" s="228"/>
      <c r="K390" s="228"/>
      <c r="L390" s="228"/>
      <c r="M390" s="228"/>
      <c r="N390" s="228"/>
      <c r="O390" s="236"/>
      <c r="P390" s="228"/>
      <c r="Q390" s="228"/>
      <c r="R390" s="228"/>
      <c r="S390" s="228"/>
      <c r="T390" s="228"/>
      <c r="U390" s="228"/>
      <c r="V390" s="228"/>
      <c r="W390" s="228"/>
      <c r="X390" s="228"/>
      <c r="Y390" s="228"/>
      <c r="Z390" s="228"/>
      <c r="AA390" s="228"/>
      <c r="AB390" s="228"/>
      <c r="AC390" s="228"/>
      <c r="AD390" s="228"/>
      <c r="AE390" s="228"/>
      <c r="AF390" s="228"/>
      <c r="AG390" s="228"/>
      <c r="AH390" s="228"/>
      <c r="AI390" s="228"/>
      <c r="AJ390" s="228"/>
      <c r="AK390" s="228"/>
      <c r="AL390" s="228"/>
      <c r="AM390" s="228"/>
    </row>
    <row r="391">
      <c r="A391" s="228"/>
      <c r="B391" s="228"/>
      <c r="C391" s="228"/>
      <c r="D391" s="228"/>
      <c r="E391" s="228"/>
      <c r="F391" s="228"/>
      <c r="G391" s="228"/>
      <c r="H391" s="241"/>
      <c r="I391" s="228"/>
      <c r="J391" s="228"/>
      <c r="K391" s="228"/>
      <c r="L391" s="228"/>
      <c r="M391" s="228"/>
      <c r="N391" s="228"/>
      <c r="O391" s="236"/>
      <c r="P391" s="228"/>
      <c r="Q391" s="228"/>
      <c r="R391" s="228"/>
      <c r="S391" s="228"/>
      <c r="T391" s="228"/>
      <c r="U391" s="228"/>
      <c r="V391" s="228"/>
      <c r="W391" s="228"/>
      <c r="X391" s="228"/>
      <c r="Y391" s="228"/>
      <c r="Z391" s="228"/>
      <c r="AA391" s="228"/>
      <c r="AB391" s="228"/>
      <c r="AC391" s="228"/>
      <c r="AD391" s="228"/>
      <c r="AE391" s="228"/>
      <c r="AF391" s="228"/>
      <c r="AG391" s="228"/>
      <c r="AH391" s="228"/>
      <c r="AI391" s="228"/>
      <c r="AJ391" s="228"/>
      <c r="AK391" s="228"/>
      <c r="AL391" s="228"/>
      <c r="AM391" s="228"/>
    </row>
    <row r="392">
      <c r="A392" s="228"/>
      <c r="B392" s="228"/>
      <c r="C392" s="228"/>
      <c r="D392" s="228"/>
      <c r="E392" s="228"/>
      <c r="F392" s="228"/>
      <c r="G392" s="228"/>
      <c r="H392" s="241"/>
      <c r="I392" s="228"/>
      <c r="J392" s="228"/>
      <c r="K392" s="228"/>
      <c r="L392" s="228"/>
      <c r="M392" s="228"/>
      <c r="N392" s="228"/>
      <c r="O392" s="236"/>
      <c r="P392" s="228"/>
      <c r="Q392" s="228"/>
      <c r="R392" s="228"/>
      <c r="S392" s="228"/>
      <c r="T392" s="228"/>
      <c r="U392" s="228"/>
      <c r="V392" s="228"/>
      <c r="W392" s="228"/>
      <c r="X392" s="228"/>
      <c r="Y392" s="228"/>
      <c r="Z392" s="228"/>
      <c r="AA392" s="228"/>
      <c r="AB392" s="228"/>
      <c r="AC392" s="228"/>
      <c r="AD392" s="228"/>
      <c r="AE392" s="228"/>
      <c r="AF392" s="228"/>
      <c r="AG392" s="228"/>
      <c r="AH392" s="228"/>
      <c r="AI392" s="228"/>
      <c r="AJ392" s="228"/>
      <c r="AK392" s="228"/>
      <c r="AL392" s="228"/>
      <c r="AM392" s="228"/>
    </row>
    <row r="393">
      <c r="A393" s="228"/>
      <c r="B393" s="228"/>
      <c r="C393" s="228"/>
      <c r="D393" s="228"/>
      <c r="E393" s="228"/>
      <c r="F393" s="228"/>
      <c r="G393" s="228"/>
      <c r="H393" s="241"/>
      <c r="I393" s="228"/>
      <c r="J393" s="228"/>
      <c r="K393" s="228"/>
      <c r="L393" s="228"/>
      <c r="M393" s="228"/>
      <c r="N393" s="228"/>
      <c r="O393" s="236"/>
      <c r="P393" s="228"/>
      <c r="Q393" s="228"/>
      <c r="R393" s="228"/>
      <c r="S393" s="228"/>
      <c r="T393" s="228"/>
      <c r="U393" s="228"/>
      <c r="V393" s="228"/>
      <c r="W393" s="228"/>
      <c r="X393" s="228"/>
      <c r="Y393" s="228"/>
      <c r="Z393" s="228"/>
      <c r="AA393" s="228"/>
      <c r="AB393" s="228"/>
      <c r="AC393" s="228"/>
      <c r="AD393" s="228"/>
      <c r="AE393" s="228"/>
      <c r="AF393" s="228"/>
      <c r="AG393" s="228"/>
      <c r="AH393" s="228"/>
      <c r="AI393" s="228"/>
      <c r="AJ393" s="228"/>
      <c r="AK393" s="228"/>
      <c r="AL393" s="228"/>
      <c r="AM393" s="228"/>
    </row>
    <row r="394">
      <c r="A394" s="228"/>
      <c r="B394" s="228"/>
      <c r="C394" s="228"/>
      <c r="D394" s="228"/>
      <c r="E394" s="228"/>
      <c r="F394" s="228"/>
      <c r="G394" s="228"/>
      <c r="H394" s="241"/>
      <c r="I394" s="228"/>
      <c r="J394" s="228"/>
      <c r="K394" s="228"/>
      <c r="L394" s="228"/>
      <c r="M394" s="228"/>
      <c r="N394" s="228"/>
      <c r="O394" s="236"/>
      <c r="P394" s="228"/>
      <c r="Q394" s="228"/>
      <c r="R394" s="228"/>
      <c r="S394" s="228"/>
      <c r="T394" s="228"/>
      <c r="U394" s="228"/>
      <c r="V394" s="228"/>
      <c r="W394" s="228"/>
      <c r="X394" s="228"/>
      <c r="Y394" s="228"/>
      <c r="Z394" s="228"/>
      <c r="AA394" s="228"/>
      <c r="AB394" s="228"/>
      <c r="AC394" s="228"/>
      <c r="AD394" s="228"/>
      <c r="AE394" s="228"/>
      <c r="AF394" s="228"/>
      <c r="AG394" s="228"/>
      <c r="AH394" s="228"/>
      <c r="AI394" s="228"/>
      <c r="AJ394" s="228"/>
      <c r="AK394" s="228"/>
      <c r="AL394" s="228"/>
      <c r="AM394" s="228"/>
    </row>
    <row r="395">
      <c r="A395" s="228"/>
      <c r="B395" s="228"/>
      <c r="C395" s="228"/>
      <c r="D395" s="228"/>
      <c r="E395" s="228"/>
      <c r="F395" s="228"/>
      <c r="G395" s="228"/>
      <c r="H395" s="241"/>
      <c r="I395" s="228"/>
      <c r="J395" s="228"/>
      <c r="K395" s="228"/>
      <c r="L395" s="228"/>
      <c r="M395" s="228"/>
      <c r="N395" s="228"/>
      <c r="O395" s="236"/>
      <c r="P395" s="228"/>
      <c r="Q395" s="228"/>
      <c r="R395" s="228"/>
      <c r="S395" s="228"/>
      <c r="T395" s="228"/>
      <c r="U395" s="228"/>
      <c r="V395" s="228"/>
      <c r="W395" s="228"/>
      <c r="X395" s="228"/>
      <c r="Y395" s="228"/>
      <c r="Z395" s="228"/>
      <c r="AA395" s="228"/>
      <c r="AB395" s="228"/>
      <c r="AC395" s="228"/>
      <c r="AD395" s="228"/>
      <c r="AE395" s="228"/>
      <c r="AF395" s="228"/>
      <c r="AG395" s="228"/>
      <c r="AH395" s="228"/>
      <c r="AI395" s="228"/>
      <c r="AJ395" s="228"/>
      <c r="AK395" s="228"/>
      <c r="AL395" s="228"/>
      <c r="AM395" s="228"/>
    </row>
    <row r="396">
      <c r="A396" s="228"/>
      <c r="B396" s="228"/>
      <c r="C396" s="228"/>
      <c r="D396" s="228"/>
      <c r="E396" s="228"/>
      <c r="F396" s="228"/>
      <c r="G396" s="228"/>
      <c r="H396" s="241"/>
      <c r="I396" s="228"/>
      <c r="J396" s="228"/>
      <c r="K396" s="228"/>
      <c r="L396" s="228"/>
      <c r="M396" s="228"/>
      <c r="N396" s="228"/>
      <c r="O396" s="236"/>
      <c r="P396" s="228"/>
      <c r="Q396" s="228"/>
      <c r="R396" s="228"/>
      <c r="S396" s="228"/>
      <c r="T396" s="228"/>
      <c r="U396" s="228"/>
      <c r="V396" s="228"/>
      <c r="W396" s="228"/>
      <c r="X396" s="228"/>
      <c r="Y396" s="228"/>
      <c r="Z396" s="228"/>
      <c r="AA396" s="228"/>
      <c r="AB396" s="228"/>
      <c r="AC396" s="228"/>
      <c r="AD396" s="228"/>
      <c r="AE396" s="228"/>
      <c r="AF396" s="228"/>
      <c r="AG396" s="228"/>
      <c r="AH396" s="228"/>
      <c r="AI396" s="228"/>
      <c r="AJ396" s="228"/>
      <c r="AK396" s="228"/>
      <c r="AL396" s="228"/>
      <c r="AM396" s="228"/>
    </row>
    <row r="397">
      <c r="A397" s="228"/>
      <c r="B397" s="228"/>
      <c r="C397" s="228"/>
      <c r="D397" s="228"/>
      <c r="E397" s="228"/>
      <c r="F397" s="228"/>
      <c r="G397" s="228"/>
      <c r="H397" s="241"/>
      <c r="I397" s="228"/>
      <c r="J397" s="228"/>
      <c r="K397" s="228"/>
      <c r="L397" s="228"/>
      <c r="M397" s="228"/>
      <c r="N397" s="228"/>
      <c r="O397" s="236"/>
      <c r="P397" s="228"/>
      <c r="Q397" s="228"/>
      <c r="R397" s="228"/>
      <c r="S397" s="228"/>
      <c r="T397" s="228"/>
      <c r="U397" s="228"/>
      <c r="V397" s="228"/>
      <c r="W397" s="228"/>
      <c r="X397" s="228"/>
      <c r="Y397" s="228"/>
      <c r="Z397" s="228"/>
      <c r="AA397" s="228"/>
      <c r="AB397" s="228"/>
      <c r="AC397" s="228"/>
      <c r="AD397" s="228"/>
      <c r="AE397" s="228"/>
      <c r="AF397" s="228"/>
      <c r="AG397" s="228"/>
      <c r="AH397" s="228"/>
      <c r="AI397" s="228"/>
      <c r="AJ397" s="228"/>
      <c r="AK397" s="228"/>
      <c r="AL397" s="228"/>
      <c r="AM397" s="228"/>
    </row>
    <row r="398">
      <c r="A398" s="228"/>
      <c r="B398" s="228"/>
      <c r="C398" s="228"/>
      <c r="D398" s="228"/>
      <c r="E398" s="228"/>
      <c r="F398" s="228"/>
      <c r="G398" s="228"/>
      <c r="H398" s="241"/>
      <c r="I398" s="228"/>
      <c r="J398" s="228"/>
      <c r="K398" s="228"/>
      <c r="L398" s="228"/>
      <c r="M398" s="228"/>
      <c r="N398" s="228"/>
      <c r="O398" s="236"/>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228"/>
      <c r="AM398" s="228"/>
    </row>
    <row r="399">
      <c r="A399" s="228"/>
      <c r="B399" s="228"/>
      <c r="C399" s="228"/>
      <c r="D399" s="228"/>
      <c r="E399" s="228"/>
      <c r="F399" s="228"/>
      <c r="G399" s="228"/>
      <c r="H399" s="241"/>
      <c r="I399" s="228"/>
      <c r="J399" s="228"/>
      <c r="K399" s="228"/>
      <c r="L399" s="228"/>
      <c r="M399" s="228"/>
      <c r="N399" s="228"/>
      <c r="O399" s="236"/>
      <c r="P399" s="228"/>
      <c r="Q399" s="228"/>
      <c r="R399" s="228"/>
      <c r="S399" s="228"/>
      <c r="T399" s="228"/>
      <c r="U399" s="228"/>
      <c r="V399" s="228"/>
      <c r="W399" s="228"/>
      <c r="X399" s="228"/>
      <c r="Y399" s="228"/>
      <c r="Z399" s="228"/>
      <c r="AA399" s="228"/>
      <c r="AB399" s="228"/>
      <c r="AC399" s="228"/>
      <c r="AD399" s="228"/>
      <c r="AE399" s="228"/>
      <c r="AF399" s="228"/>
      <c r="AG399" s="228"/>
      <c r="AH399" s="228"/>
      <c r="AI399" s="228"/>
      <c r="AJ399" s="228"/>
      <c r="AK399" s="228"/>
      <c r="AL399" s="228"/>
      <c r="AM399" s="228"/>
    </row>
    <row r="400">
      <c r="A400" s="228"/>
      <c r="B400" s="228"/>
      <c r="C400" s="228"/>
      <c r="D400" s="228"/>
      <c r="E400" s="228"/>
      <c r="F400" s="228"/>
      <c r="G400" s="228"/>
      <c r="H400" s="241"/>
      <c r="I400" s="228"/>
      <c r="J400" s="228"/>
      <c r="K400" s="228"/>
      <c r="L400" s="228"/>
      <c r="M400" s="228"/>
      <c r="N400" s="228"/>
      <c r="O400" s="236"/>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228"/>
      <c r="AM400" s="228"/>
    </row>
    <row r="401">
      <c r="A401" s="228"/>
      <c r="B401" s="228"/>
      <c r="C401" s="228"/>
      <c r="D401" s="228"/>
      <c r="E401" s="228"/>
      <c r="F401" s="228"/>
      <c r="G401" s="228"/>
      <c r="H401" s="241"/>
      <c r="I401" s="228"/>
      <c r="J401" s="228"/>
      <c r="K401" s="228"/>
      <c r="L401" s="228"/>
      <c r="M401" s="228"/>
      <c r="N401" s="228"/>
      <c r="O401" s="236"/>
      <c r="P401" s="228"/>
      <c r="Q401" s="228"/>
      <c r="R401" s="228"/>
      <c r="S401" s="228"/>
      <c r="T401" s="228"/>
      <c r="U401" s="228"/>
      <c r="V401" s="228"/>
      <c r="W401" s="228"/>
      <c r="X401" s="228"/>
      <c r="Y401" s="228"/>
      <c r="Z401" s="228"/>
      <c r="AA401" s="228"/>
      <c r="AB401" s="228"/>
      <c r="AC401" s="228"/>
      <c r="AD401" s="228"/>
      <c r="AE401" s="228"/>
      <c r="AF401" s="228"/>
      <c r="AG401" s="228"/>
      <c r="AH401" s="228"/>
      <c r="AI401" s="228"/>
      <c r="AJ401" s="228"/>
      <c r="AK401" s="228"/>
      <c r="AL401" s="228"/>
      <c r="AM401" s="228"/>
    </row>
    <row r="402">
      <c r="A402" s="228"/>
      <c r="B402" s="228"/>
      <c r="C402" s="228"/>
      <c r="D402" s="228"/>
      <c r="E402" s="228"/>
      <c r="F402" s="228"/>
      <c r="G402" s="228"/>
      <c r="H402" s="241"/>
      <c r="I402" s="228"/>
      <c r="J402" s="228"/>
      <c r="K402" s="228"/>
      <c r="L402" s="228"/>
      <c r="M402" s="228"/>
      <c r="N402" s="228"/>
      <c r="O402" s="236"/>
      <c r="P402" s="228"/>
      <c r="Q402" s="228"/>
      <c r="R402" s="228"/>
      <c r="S402" s="228"/>
      <c r="T402" s="228"/>
      <c r="U402" s="228"/>
      <c r="V402" s="228"/>
      <c r="W402" s="228"/>
      <c r="X402" s="228"/>
      <c r="Y402" s="228"/>
      <c r="Z402" s="228"/>
      <c r="AA402" s="228"/>
      <c r="AB402" s="228"/>
      <c r="AC402" s="228"/>
      <c r="AD402" s="228"/>
      <c r="AE402" s="228"/>
      <c r="AF402" s="228"/>
      <c r="AG402" s="228"/>
      <c r="AH402" s="228"/>
      <c r="AI402" s="228"/>
      <c r="AJ402" s="228"/>
      <c r="AK402" s="228"/>
      <c r="AL402" s="228"/>
      <c r="AM402" s="228"/>
    </row>
    <row r="403">
      <c r="A403" s="228"/>
      <c r="B403" s="228"/>
      <c r="C403" s="228"/>
      <c r="D403" s="228"/>
      <c r="E403" s="228"/>
      <c r="F403" s="228"/>
      <c r="G403" s="228"/>
      <c r="H403" s="241"/>
      <c r="I403" s="228"/>
      <c r="J403" s="228"/>
      <c r="K403" s="228"/>
      <c r="L403" s="228"/>
      <c r="M403" s="228"/>
      <c r="N403" s="228"/>
      <c r="O403" s="236"/>
      <c r="P403" s="228"/>
      <c r="Q403" s="228"/>
      <c r="R403" s="228"/>
      <c r="S403" s="228"/>
      <c r="T403" s="228"/>
      <c r="U403" s="228"/>
      <c r="V403" s="228"/>
      <c r="W403" s="228"/>
      <c r="X403" s="228"/>
      <c r="Y403" s="228"/>
      <c r="Z403" s="228"/>
      <c r="AA403" s="228"/>
      <c r="AB403" s="228"/>
      <c r="AC403" s="228"/>
      <c r="AD403" s="228"/>
      <c r="AE403" s="228"/>
      <c r="AF403" s="228"/>
      <c r="AG403" s="228"/>
      <c r="AH403" s="228"/>
      <c r="AI403" s="228"/>
      <c r="AJ403" s="228"/>
      <c r="AK403" s="228"/>
      <c r="AL403" s="228"/>
      <c r="AM403" s="228"/>
    </row>
    <row r="404">
      <c r="A404" s="228"/>
      <c r="B404" s="228"/>
      <c r="C404" s="228"/>
      <c r="D404" s="228"/>
      <c r="E404" s="228"/>
      <c r="F404" s="228"/>
      <c r="G404" s="228"/>
      <c r="H404" s="241"/>
      <c r="I404" s="228"/>
      <c r="J404" s="228"/>
      <c r="K404" s="228"/>
      <c r="L404" s="228"/>
      <c r="M404" s="228"/>
      <c r="N404" s="228"/>
      <c r="O404" s="236"/>
      <c r="P404" s="228"/>
      <c r="Q404" s="228"/>
      <c r="R404" s="228"/>
      <c r="S404" s="228"/>
      <c r="T404" s="228"/>
      <c r="U404" s="228"/>
      <c r="V404" s="228"/>
      <c r="W404" s="228"/>
      <c r="X404" s="228"/>
      <c r="Y404" s="228"/>
      <c r="Z404" s="228"/>
      <c r="AA404" s="228"/>
      <c r="AB404" s="228"/>
      <c r="AC404" s="228"/>
      <c r="AD404" s="228"/>
      <c r="AE404" s="228"/>
      <c r="AF404" s="228"/>
      <c r="AG404" s="228"/>
      <c r="AH404" s="228"/>
      <c r="AI404" s="228"/>
      <c r="AJ404" s="228"/>
      <c r="AK404" s="228"/>
      <c r="AL404" s="228"/>
      <c r="AM404" s="228"/>
    </row>
    <row r="405">
      <c r="A405" s="228"/>
      <c r="B405" s="228"/>
      <c r="C405" s="228"/>
      <c r="D405" s="228"/>
      <c r="E405" s="228"/>
      <c r="F405" s="228"/>
      <c r="G405" s="228"/>
      <c r="H405" s="241"/>
      <c r="I405" s="228"/>
      <c r="J405" s="228"/>
      <c r="K405" s="228"/>
      <c r="L405" s="228"/>
      <c r="M405" s="228"/>
      <c r="N405" s="228"/>
      <c r="O405" s="236"/>
      <c r="P405" s="228"/>
      <c r="Q405" s="228"/>
      <c r="R405" s="228"/>
      <c r="S405" s="228"/>
      <c r="T405" s="228"/>
      <c r="U405" s="228"/>
      <c r="V405" s="228"/>
      <c r="W405" s="228"/>
      <c r="X405" s="228"/>
      <c r="Y405" s="228"/>
      <c r="Z405" s="228"/>
      <c r="AA405" s="228"/>
      <c r="AB405" s="228"/>
      <c r="AC405" s="228"/>
      <c r="AD405" s="228"/>
      <c r="AE405" s="228"/>
      <c r="AF405" s="228"/>
      <c r="AG405" s="228"/>
      <c r="AH405" s="228"/>
      <c r="AI405" s="228"/>
      <c r="AJ405" s="228"/>
      <c r="AK405" s="228"/>
      <c r="AL405" s="228"/>
      <c r="AM405" s="228"/>
    </row>
    <row r="406">
      <c r="A406" s="228"/>
      <c r="B406" s="228"/>
      <c r="C406" s="228"/>
      <c r="D406" s="228"/>
      <c r="E406" s="228"/>
      <c r="F406" s="228"/>
      <c r="G406" s="228"/>
      <c r="H406" s="241"/>
      <c r="I406" s="228"/>
      <c r="J406" s="228"/>
      <c r="K406" s="228"/>
      <c r="L406" s="228"/>
      <c r="M406" s="228"/>
      <c r="N406" s="228"/>
      <c r="O406" s="236"/>
      <c r="P406" s="228"/>
      <c r="Q406" s="228"/>
      <c r="R406" s="228"/>
      <c r="S406" s="228"/>
      <c r="T406" s="228"/>
      <c r="U406" s="228"/>
      <c r="V406" s="228"/>
      <c r="W406" s="228"/>
      <c r="X406" s="228"/>
      <c r="Y406" s="228"/>
      <c r="Z406" s="228"/>
      <c r="AA406" s="228"/>
      <c r="AB406" s="228"/>
      <c r="AC406" s="228"/>
      <c r="AD406" s="228"/>
      <c r="AE406" s="228"/>
      <c r="AF406" s="228"/>
      <c r="AG406" s="228"/>
      <c r="AH406" s="228"/>
      <c r="AI406" s="228"/>
      <c r="AJ406" s="228"/>
      <c r="AK406" s="228"/>
      <c r="AL406" s="228"/>
      <c r="AM406" s="228"/>
    </row>
    <row r="407">
      <c r="A407" s="228"/>
      <c r="B407" s="228"/>
      <c r="C407" s="228"/>
      <c r="D407" s="228"/>
      <c r="E407" s="228"/>
      <c r="F407" s="228"/>
      <c r="G407" s="228"/>
      <c r="H407" s="241"/>
      <c r="I407" s="228"/>
      <c r="J407" s="228"/>
      <c r="K407" s="228"/>
      <c r="L407" s="228"/>
      <c r="M407" s="228"/>
      <c r="N407" s="228"/>
      <c r="O407" s="236"/>
      <c r="P407" s="228"/>
      <c r="Q407" s="228"/>
      <c r="R407" s="228"/>
      <c r="S407" s="228"/>
      <c r="T407" s="228"/>
      <c r="U407" s="228"/>
      <c r="V407" s="228"/>
      <c r="W407" s="228"/>
      <c r="X407" s="228"/>
      <c r="Y407" s="228"/>
      <c r="Z407" s="228"/>
      <c r="AA407" s="228"/>
      <c r="AB407" s="228"/>
      <c r="AC407" s="228"/>
      <c r="AD407" s="228"/>
      <c r="AE407" s="228"/>
      <c r="AF407" s="228"/>
      <c r="AG407" s="228"/>
      <c r="AH407" s="228"/>
      <c r="AI407" s="228"/>
      <c r="AJ407" s="228"/>
      <c r="AK407" s="228"/>
      <c r="AL407" s="228"/>
      <c r="AM407" s="228"/>
    </row>
    <row r="408">
      <c r="A408" s="228"/>
      <c r="B408" s="228"/>
      <c r="C408" s="228"/>
      <c r="D408" s="228"/>
      <c r="E408" s="228"/>
      <c r="F408" s="228"/>
      <c r="G408" s="228"/>
      <c r="H408" s="241"/>
      <c r="I408" s="228"/>
      <c r="J408" s="228"/>
      <c r="K408" s="228"/>
      <c r="L408" s="228"/>
      <c r="M408" s="228"/>
      <c r="N408" s="228"/>
      <c r="O408" s="236"/>
      <c r="P408" s="228"/>
      <c r="Q408" s="228"/>
      <c r="R408" s="228"/>
      <c r="S408" s="228"/>
      <c r="T408" s="228"/>
      <c r="U408" s="228"/>
      <c r="V408" s="228"/>
      <c r="W408" s="228"/>
      <c r="X408" s="228"/>
      <c r="Y408" s="228"/>
      <c r="Z408" s="228"/>
      <c r="AA408" s="228"/>
      <c r="AB408" s="228"/>
      <c r="AC408" s="228"/>
      <c r="AD408" s="228"/>
      <c r="AE408" s="228"/>
      <c r="AF408" s="228"/>
      <c r="AG408" s="228"/>
      <c r="AH408" s="228"/>
      <c r="AI408" s="228"/>
      <c r="AJ408" s="228"/>
      <c r="AK408" s="228"/>
      <c r="AL408" s="228"/>
      <c r="AM408" s="228"/>
    </row>
    <row r="409">
      <c r="A409" s="228"/>
      <c r="B409" s="228"/>
      <c r="C409" s="228"/>
      <c r="D409" s="228"/>
      <c r="E409" s="228"/>
      <c r="F409" s="228"/>
      <c r="G409" s="228"/>
      <c r="H409" s="241"/>
      <c r="I409" s="228"/>
      <c r="J409" s="228"/>
      <c r="K409" s="228"/>
      <c r="L409" s="228"/>
      <c r="M409" s="228"/>
      <c r="N409" s="228"/>
      <c r="O409" s="236"/>
      <c r="P409" s="228"/>
      <c r="Q409" s="228"/>
      <c r="R409" s="228"/>
      <c r="S409" s="228"/>
      <c r="T409" s="228"/>
      <c r="U409" s="228"/>
      <c r="V409" s="228"/>
      <c r="W409" s="228"/>
      <c r="X409" s="228"/>
      <c r="Y409" s="228"/>
      <c r="Z409" s="228"/>
      <c r="AA409" s="228"/>
      <c r="AB409" s="228"/>
      <c r="AC409" s="228"/>
      <c r="AD409" s="228"/>
      <c r="AE409" s="228"/>
      <c r="AF409" s="228"/>
      <c r="AG409" s="228"/>
      <c r="AH409" s="228"/>
      <c r="AI409" s="228"/>
      <c r="AJ409" s="228"/>
      <c r="AK409" s="228"/>
      <c r="AL409" s="228"/>
      <c r="AM409" s="228"/>
    </row>
    <row r="410">
      <c r="A410" s="228"/>
      <c r="B410" s="228"/>
      <c r="C410" s="228"/>
      <c r="D410" s="228"/>
      <c r="E410" s="228"/>
      <c r="F410" s="228"/>
      <c r="G410" s="228"/>
      <c r="H410" s="241"/>
      <c r="I410" s="228"/>
      <c r="J410" s="228"/>
      <c r="K410" s="228"/>
      <c r="L410" s="228"/>
      <c r="M410" s="228"/>
      <c r="N410" s="228"/>
      <c r="O410" s="236"/>
      <c r="P410" s="228"/>
      <c r="Q410" s="228"/>
      <c r="R410" s="228"/>
      <c r="S410" s="228"/>
      <c r="T410" s="228"/>
      <c r="U410" s="228"/>
      <c r="V410" s="228"/>
      <c r="W410" s="228"/>
      <c r="X410" s="228"/>
      <c r="Y410" s="228"/>
      <c r="Z410" s="228"/>
      <c r="AA410" s="228"/>
      <c r="AB410" s="228"/>
      <c r="AC410" s="228"/>
      <c r="AD410" s="228"/>
      <c r="AE410" s="228"/>
      <c r="AF410" s="228"/>
      <c r="AG410" s="228"/>
      <c r="AH410" s="228"/>
      <c r="AI410" s="228"/>
      <c r="AJ410" s="228"/>
      <c r="AK410" s="228"/>
      <c r="AL410" s="228"/>
      <c r="AM410" s="228"/>
    </row>
    <row r="411">
      <c r="A411" s="228"/>
      <c r="B411" s="228"/>
      <c r="C411" s="228"/>
      <c r="D411" s="228"/>
      <c r="E411" s="228"/>
      <c r="F411" s="228"/>
      <c r="G411" s="228"/>
      <c r="H411" s="241"/>
      <c r="I411" s="228"/>
      <c r="J411" s="228"/>
      <c r="K411" s="228"/>
      <c r="L411" s="228"/>
      <c r="M411" s="228"/>
      <c r="N411" s="228"/>
      <c r="O411" s="236"/>
      <c r="P411" s="228"/>
      <c r="Q411" s="228"/>
      <c r="R411" s="228"/>
      <c r="S411" s="228"/>
      <c r="T411" s="228"/>
      <c r="U411" s="228"/>
      <c r="V411" s="228"/>
      <c r="W411" s="228"/>
      <c r="X411" s="228"/>
      <c r="Y411" s="228"/>
      <c r="Z411" s="228"/>
      <c r="AA411" s="228"/>
      <c r="AB411" s="228"/>
      <c r="AC411" s="228"/>
      <c r="AD411" s="228"/>
      <c r="AE411" s="228"/>
      <c r="AF411" s="228"/>
      <c r="AG411" s="228"/>
      <c r="AH411" s="228"/>
      <c r="AI411" s="228"/>
      <c r="AJ411" s="228"/>
      <c r="AK411" s="228"/>
      <c r="AL411" s="228"/>
      <c r="AM411" s="228"/>
    </row>
    <row r="412">
      <c r="A412" s="228"/>
      <c r="B412" s="228"/>
      <c r="C412" s="228"/>
      <c r="D412" s="228"/>
      <c r="E412" s="228"/>
      <c r="F412" s="228"/>
      <c r="G412" s="228"/>
      <c r="H412" s="241"/>
      <c r="I412" s="228"/>
      <c r="J412" s="228"/>
      <c r="K412" s="228"/>
      <c r="L412" s="228"/>
      <c r="M412" s="228"/>
      <c r="N412" s="228"/>
      <c r="O412" s="236"/>
      <c r="P412" s="228"/>
      <c r="Q412" s="228"/>
      <c r="R412" s="228"/>
      <c r="S412" s="228"/>
      <c r="T412" s="228"/>
      <c r="U412" s="228"/>
      <c r="V412" s="228"/>
      <c r="W412" s="228"/>
      <c r="X412" s="228"/>
      <c r="Y412" s="228"/>
      <c r="Z412" s="228"/>
      <c r="AA412" s="228"/>
      <c r="AB412" s="228"/>
      <c r="AC412" s="228"/>
      <c r="AD412" s="228"/>
      <c r="AE412" s="228"/>
      <c r="AF412" s="228"/>
      <c r="AG412" s="228"/>
      <c r="AH412" s="228"/>
      <c r="AI412" s="228"/>
      <c r="AJ412" s="228"/>
      <c r="AK412" s="228"/>
      <c r="AL412" s="228"/>
      <c r="AM412" s="228"/>
    </row>
    <row r="413">
      <c r="A413" s="228"/>
      <c r="B413" s="228"/>
      <c r="C413" s="228"/>
      <c r="D413" s="228"/>
      <c r="E413" s="228"/>
      <c r="F413" s="228"/>
      <c r="G413" s="228"/>
      <c r="H413" s="241"/>
      <c r="I413" s="228"/>
      <c r="J413" s="228"/>
      <c r="K413" s="228"/>
      <c r="L413" s="228"/>
      <c r="M413" s="228"/>
      <c r="N413" s="228"/>
      <c r="O413" s="236"/>
      <c r="P413" s="228"/>
      <c r="Q413" s="228"/>
      <c r="R413" s="228"/>
      <c r="S413" s="228"/>
      <c r="T413" s="228"/>
      <c r="U413" s="228"/>
      <c r="V413" s="228"/>
      <c r="W413" s="228"/>
      <c r="X413" s="228"/>
      <c r="Y413" s="228"/>
      <c r="Z413" s="228"/>
      <c r="AA413" s="228"/>
      <c r="AB413" s="228"/>
      <c r="AC413" s="228"/>
      <c r="AD413" s="228"/>
      <c r="AE413" s="228"/>
      <c r="AF413" s="228"/>
      <c r="AG413" s="228"/>
      <c r="AH413" s="228"/>
      <c r="AI413" s="228"/>
      <c r="AJ413" s="228"/>
      <c r="AK413" s="228"/>
      <c r="AL413" s="228"/>
      <c r="AM413" s="228"/>
    </row>
    <row r="414">
      <c r="A414" s="228"/>
      <c r="B414" s="228"/>
      <c r="C414" s="228"/>
      <c r="D414" s="228"/>
      <c r="E414" s="228"/>
      <c r="F414" s="228"/>
      <c r="G414" s="228"/>
      <c r="H414" s="241"/>
      <c r="I414" s="228"/>
      <c r="J414" s="228"/>
      <c r="K414" s="228"/>
      <c r="L414" s="228"/>
      <c r="M414" s="228"/>
      <c r="N414" s="228"/>
      <c r="O414" s="236"/>
      <c r="P414" s="228"/>
      <c r="Q414" s="228"/>
      <c r="R414" s="228"/>
      <c r="S414" s="228"/>
      <c r="T414" s="228"/>
      <c r="U414" s="228"/>
      <c r="V414" s="228"/>
      <c r="W414" s="228"/>
      <c r="X414" s="228"/>
      <c r="Y414" s="228"/>
      <c r="Z414" s="228"/>
      <c r="AA414" s="228"/>
      <c r="AB414" s="228"/>
      <c r="AC414" s="228"/>
      <c r="AD414" s="228"/>
      <c r="AE414" s="228"/>
      <c r="AF414" s="228"/>
      <c r="AG414" s="228"/>
      <c r="AH414" s="228"/>
      <c r="AI414" s="228"/>
      <c r="AJ414" s="228"/>
      <c r="AK414" s="228"/>
      <c r="AL414" s="228"/>
      <c r="AM414" s="228"/>
    </row>
    <row r="415">
      <c r="A415" s="228"/>
      <c r="B415" s="228"/>
      <c r="C415" s="228"/>
      <c r="D415" s="228"/>
      <c r="E415" s="228"/>
      <c r="F415" s="228"/>
      <c r="G415" s="228"/>
      <c r="H415" s="241"/>
      <c r="I415" s="228"/>
      <c r="J415" s="228"/>
      <c r="K415" s="228"/>
      <c r="L415" s="228"/>
      <c r="M415" s="228"/>
      <c r="N415" s="228"/>
      <c r="O415" s="236"/>
      <c r="P415" s="228"/>
      <c r="Q415" s="228"/>
      <c r="R415" s="228"/>
      <c r="S415" s="228"/>
      <c r="T415" s="228"/>
      <c r="U415" s="228"/>
      <c r="V415" s="228"/>
      <c r="W415" s="228"/>
      <c r="X415" s="228"/>
      <c r="Y415" s="228"/>
      <c r="Z415" s="228"/>
      <c r="AA415" s="228"/>
      <c r="AB415" s="228"/>
      <c r="AC415" s="228"/>
      <c r="AD415" s="228"/>
      <c r="AE415" s="228"/>
      <c r="AF415" s="228"/>
      <c r="AG415" s="228"/>
      <c r="AH415" s="228"/>
      <c r="AI415" s="228"/>
      <c r="AJ415" s="228"/>
      <c r="AK415" s="228"/>
      <c r="AL415" s="228"/>
      <c r="AM415" s="228"/>
    </row>
    <row r="416">
      <c r="A416" s="228"/>
      <c r="B416" s="228"/>
      <c r="C416" s="228"/>
      <c r="D416" s="228"/>
      <c r="E416" s="228"/>
      <c r="F416" s="228"/>
      <c r="G416" s="228"/>
      <c r="H416" s="241"/>
      <c r="I416" s="228"/>
      <c r="J416" s="228"/>
      <c r="K416" s="228"/>
      <c r="L416" s="228"/>
      <c r="M416" s="228"/>
      <c r="N416" s="228"/>
      <c r="O416" s="236"/>
      <c r="P416" s="228"/>
      <c r="Q416" s="228"/>
      <c r="R416" s="228"/>
      <c r="S416" s="228"/>
      <c r="T416" s="228"/>
      <c r="U416" s="228"/>
      <c r="V416" s="228"/>
      <c r="W416" s="228"/>
      <c r="X416" s="228"/>
      <c r="Y416" s="228"/>
      <c r="Z416" s="228"/>
      <c r="AA416" s="228"/>
      <c r="AB416" s="228"/>
      <c r="AC416" s="228"/>
      <c r="AD416" s="228"/>
      <c r="AE416" s="228"/>
      <c r="AF416" s="228"/>
      <c r="AG416" s="228"/>
      <c r="AH416" s="228"/>
      <c r="AI416" s="228"/>
      <c r="AJ416" s="228"/>
      <c r="AK416" s="228"/>
      <c r="AL416" s="228"/>
      <c r="AM416" s="228"/>
    </row>
    <row r="417">
      <c r="A417" s="228"/>
      <c r="B417" s="228"/>
      <c r="C417" s="228"/>
      <c r="D417" s="228"/>
      <c r="E417" s="228"/>
      <c r="F417" s="228"/>
      <c r="G417" s="228"/>
      <c r="H417" s="241"/>
      <c r="I417" s="228"/>
      <c r="J417" s="228"/>
      <c r="K417" s="228"/>
      <c r="L417" s="228"/>
      <c r="M417" s="228"/>
      <c r="N417" s="228"/>
      <c r="O417" s="236"/>
      <c r="P417" s="228"/>
      <c r="Q417" s="228"/>
      <c r="R417" s="228"/>
      <c r="S417" s="228"/>
      <c r="T417" s="228"/>
      <c r="U417" s="228"/>
      <c r="V417" s="228"/>
      <c r="W417" s="228"/>
      <c r="X417" s="228"/>
      <c r="Y417" s="228"/>
      <c r="Z417" s="228"/>
      <c r="AA417" s="228"/>
      <c r="AB417" s="228"/>
      <c r="AC417" s="228"/>
      <c r="AD417" s="228"/>
      <c r="AE417" s="228"/>
      <c r="AF417" s="228"/>
      <c r="AG417" s="228"/>
      <c r="AH417" s="228"/>
      <c r="AI417" s="228"/>
      <c r="AJ417" s="228"/>
      <c r="AK417" s="228"/>
      <c r="AL417" s="228"/>
      <c r="AM417" s="228"/>
    </row>
    <row r="418">
      <c r="A418" s="228"/>
      <c r="B418" s="228"/>
      <c r="C418" s="228"/>
      <c r="D418" s="228"/>
      <c r="E418" s="228"/>
      <c r="F418" s="228"/>
      <c r="G418" s="228"/>
      <c r="H418" s="241"/>
      <c r="I418" s="228"/>
      <c r="J418" s="228"/>
      <c r="K418" s="228"/>
      <c r="L418" s="228"/>
      <c r="M418" s="228"/>
      <c r="N418" s="228"/>
      <c r="O418" s="236"/>
      <c r="P418" s="228"/>
      <c r="Q418" s="228"/>
      <c r="R418" s="228"/>
      <c r="S418" s="228"/>
      <c r="T418" s="228"/>
      <c r="U418" s="228"/>
      <c r="V418" s="228"/>
      <c r="W418" s="228"/>
      <c r="X418" s="228"/>
      <c r="Y418" s="228"/>
      <c r="Z418" s="228"/>
      <c r="AA418" s="228"/>
      <c r="AB418" s="228"/>
      <c r="AC418" s="228"/>
      <c r="AD418" s="228"/>
      <c r="AE418" s="228"/>
      <c r="AF418" s="228"/>
      <c r="AG418" s="228"/>
      <c r="AH418" s="228"/>
      <c r="AI418" s="228"/>
      <c r="AJ418" s="228"/>
      <c r="AK418" s="228"/>
      <c r="AL418" s="228"/>
      <c r="AM418" s="228"/>
    </row>
    <row r="419">
      <c r="A419" s="228"/>
      <c r="B419" s="228"/>
      <c r="C419" s="228"/>
      <c r="D419" s="228"/>
      <c r="E419" s="228"/>
      <c r="F419" s="228"/>
      <c r="G419" s="228"/>
      <c r="H419" s="241"/>
      <c r="I419" s="228"/>
      <c r="J419" s="228"/>
      <c r="K419" s="228"/>
      <c r="L419" s="228"/>
      <c r="M419" s="228"/>
      <c r="N419" s="228"/>
      <c r="O419" s="236"/>
      <c r="P419" s="228"/>
      <c r="Q419" s="228"/>
      <c r="R419" s="228"/>
      <c r="S419" s="228"/>
      <c r="T419" s="228"/>
      <c r="U419" s="228"/>
      <c r="V419" s="228"/>
      <c r="W419" s="228"/>
      <c r="X419" s="228"/>
      <c r="Y419" s="228"/>
      <c r="Z419" s="228"/>
      <c r="AA419" s="228"/>
      <c r="AB419" s="228"/>
      <c r="AC419" s="228"/>
      <c r="AD419" s="228"/>
      <c r="AE419" s="228"/>
      <c r="AF419" s="228"/>
      <c r="AG419" s="228"/>
      <c r="AH419" s="228"/>
      <c r="AI419" s="228"/>
      <c r="AJ419" s="228"/>
      <c r="AK419" s="228"/>
      <c r="AL419" s="228"/>
      <c r="AM419" s="228"/>
    </row>
    <row r="420">
      <c r="A420" s="228"/>
      <c r="B420" s="228"/>
      <c r="C420" s="228"/>
      <c r="D420" s="228"/>
      <c r="E420" s="228"/>
      <c r="F420" s="228"/>
      <c r="G420" s="228"/>
      <c r="H420" s="241"/>
      <c r="I420" s="228"/>
      <c r="J420" s="228"/>
      <c r="K420" s="228"/>
      <c r="L420" s="228"/>
      <c r="M420" s="228"/>
      <c r="N420" s="228"/>
      <c r="O420" s="236"/>
      <c r="P420" s="228"/>
      <c r="Q420" s="228"/>
      <c r="R420" s="228"/>
      <c r="S420" s="228"/>
      <c r="T420" s="228"/>
      <c r="U420" s="228"/>
      <c r="V420" s="228"/>
      <c r="W420" s="228"/>
      <c r="X420" s="228"/>
      <c r="Y420" s="228"/>
      <c r="Z420" s="228"/>
      <c r="AA420" s="228"/>
      <c r="AB420" s="228"/>
      <c r="AC420" s="228"/>
      <c r="AD420" s="228"/>
      <c r="AE420" s="228"/>
      <c r="AF420" s="228"/>
      <c r="AG420" s="228"/>
      <c r="AH420" s="228"/>
      <c r="AI420" s="228"/>
      <c r="AJ420" s="228"/>
      <c r="AK420" s="228"/>
      <c r="AL420" s="228"/>
      <c r="AM420" s="228"/>
    </row>
    <row r="421">
      <c r="A421" s="228"/>
      <c r="B421" s="228"/>
      <c r="C421" s="228"/>
      <c r="D421" s="228"/>
      <c r="E421" s="228"/>
      <c r="F421" s="228"/>
      <c r="G421" s="228"/>
      <c r="H421" s="241"/>
      <c r="I421" s="228"/>
      <c r="J421" s="228"/>
      <c r="K421" s="228"/>
      <c r="L421" s="228"/>
      <c r="M421" s="228"/>
      <c r="N421" s="228"/>
      <c r="O421" s="236"/>
      <c r="P421" s="228"/>
      <c r="Q421" s="228"/>
      <c r="R421" s="228"/>
      <c r="S421" s="228"/>
      <c r="T421" s="228"/>
      <c r="U421" s="228"/>
      <c r="V421" s="228"/>
      <c r="W421" s="228"/>
      <c r="X421" s="228"/>
      <c r="Y421" s="228"/>
      <c r="Z421" s="228"/>
      <c r="AA421" s="228"/>
      <c r="AB421" s="228"/>
      <c r="AC421" s="228"/>
      <c r="AD421" s="228"/>
      <c r="AE421" s="228"/>
      <c r="AF421" s="228"/>
      <c r="AG421" s="228"/>
      <c r="AH421" s="228"/>
      <c r="AI421" s="228"/>
      <c r="AJ421" s="228"/>
      <c r="AK421" s="228"/>
      <c r="AL421" s="228"/>
      <c r="AM421" s="228"/>
    </row>
    <row r="422">
      <c r="A422" s="228"/>
      <c r="B422" s="228"/>
      <c r="C422" s="228"/>
      <c r="D422" s="228"/>
      <c r="E422" s="228"/>
      <c r="F422" s="228"/>
      <c r="G422" s="228"/>
      <c r="H422" s="241"/>
      <c r="I422" s="228"/>
      <c r="J422" s="228"/>
      <c r="K422" s="228"/>
      <c r="L422" s="228"/>
      <c r="M422" s="228"/>
      <c r="N422" s="228"/>
      <c r="O422" s="236"/>
      <c r="P422" s="228"/>
      <c r="Q422" s="228"/>
      <c r="R422" s="228"/>
      <c r="S422" s="228"/>
      <c r="T422" s="228"/>
      <c r="U422" s="228"/>
      <c r="V422" s="228"/>
      <c r="W422" s="228"/>
      <c r="X422" s="228"/>
      <c r="Y422" s="228"/>
      <c r="Z422" s="228"/>
      <c r="AA422" s="228"/>
      <c r="AB422" s="228"/>
      <c r="AC422" s="228"/>
      <c r="AD422" s="228"/>
      <c r="AE422" s="228"/>
      <c r="AF422" s="228"/>
      <c r="AG422" s="228"/>
      <c r="AH422" s="228"/>
      <c r="AI422" s="228"/>
      <c r="AJ422" s="228"/>
      <c r="AK422" s="228"/>
      <c r="AL422" s="228"/>
      <c r="AM422" s="228"/>
    </row>
    <row r="423">
      <c r="A423" s="228"/>
      <c r="B423" s="228"/>
      <c r="C423" s="228"/>
      <c r="D423" s="228"/>
      <c r="E423" s="228"/>
      <c r="F423" s="228"/>
      <c r="G423" s="228"/>
      <c r="H423" s="241"/>
      <c r="I423" s="228"/>
      <c r="J423" s="228"/>
      <c r="K423" s="228"/>
      <c r="L423" s="228"/>
      <c r="M423" s="228"/>
      <c r="N423" s="228"/>
      <c r="O423" s="236"/>
      <c r="P423" s="228"/>
      <c r="Q423" s="228"/>
      <c r="R423" s="228"/>
      <c r="S423" s="228"/>
      <c r="T423" s="228"/>
      <c r="U423" s="228"/>
      <c r="V423" s="228"/>
      <c r="W423" s="228"/>
      <c r="X423" s="228"/>
      <c r="Y423" s="228"/>
      <c r="Z423" s="228"/>
      <c r="AA423" s="228"/>
      <c r="AB423" s="228"/>
      <c r="AC423" s="228"/>
      <c r="AD423" s="228"/>
      <c r="AE423" s="228"/>
      <c r="AF423" s="228"/>
      <c r="AG423" s="228"/>
      <c r="AH423" s="228"/>
      <c r="AI423" s="228"/>
      <c r="AJ423" s="228"/>
      <c r="AK423" s="228"/>
      <c r="AL423" s="228"/>
      <c r="AM423" s="228"/>
    </row>
    <row r="424">
      <c r="A424" s="228"/>
      <c r="B424" s="228"/>
      <c r="C424" s="228"/>
      <c r="D424" s="228"/>
      <c r="E424" s="228"/>
      <c r="F424" s="228"/>
      <c r="G424" s="228"/>
      <c r="H424" s="241"/>
      <c r="I424" s="228"/>
      <c r="J424" s="228"/>
      <c r="K424" s="228"/>
      <c r="L424" s="228"/>
      <c r="M424" s="228"/>
      <c r="N424" s="228"/>
      <c r="O424" s="236"/>
      <c r="P424" s="228"/>
      <c r="Q424" s="228"/>
      <c r="R424" s="228"/>
      <c r="S424" s="228"/>
      <c r="T424" s="228"/>
      <c r="U424" s="228"/>
      <c r="V424" s="228"/>
      <c r="W424" s="228"/>
      <c r="X424" s="228"/>
      <c r="Y424" s="228"/>
      <c r="Z424" s="228"/>
      <c r="AA424" s="228"/>
      <c r="AB424" s="228"/>
      <c r="AC424" s="228"/>
      <c r="AD424" s="228"/>
      <c r="AE424" s="228"/>
      <c r="AF424" s="228"/>
      <c r="AG424" s="228"/>
      <c r="AH424" s="228"/>
      <c r="AI424" s="228"/>
      <c r="AJ424" s="228"/>
      <c r="AK424" s="228"/>
      <c r="AL424" s="228"/>
      <c r="AM424" s="228"/>
    </row>
    <row r="425">
      <c r="A425" s="228"/>
      <c r="B425" s="228"/>
      <c r="C425" s="228"/>
      <c r="D425" s="228"/>
      <c r="E425" s="228"/>
      <c r="F425" s="228"/>
      <c r="G425" s="228"/>
      <c r="H425" s="241"/>
      <c r="I425" s="228"/>
      <c r="J425" s="228"/>
      <c r="K425" s="228"/>
      <c r="L425" s="228"/>
      <c r="M425" s="228"/>
      <c r="N425" s="228"/>
      <c r="O425" s="236"/>
      <c r="P425" s="228"/>
      <c r="Q425" s="228"/>
      <c r="R425" s="228"/>
      <c r="S425" s="228"/>
      <c r="T425" s="228"/>
      <c r="U425" s="228"/>
      <c r="V425" s="228"/>
      <c r="W425" s="228"/>
      <c r="X425" s="228"/>
      <c r="Y425" s="228"/>
      <c r="Z425" s="228"/>
      <c r="AA425" s="228"/>
      <c r="AB425" s="228"/>
      <c r="AC425" s="228"/>
      <c r="AD425" s="228"/>
      <c r="AE425" s="228"/>
      <c r="AF425" s="228"/>
      <c r="AG425" s="228"/>
      <c r="AH425" s="228"/>
      <c r="AI425" s="228"/>
      <c r="AJ425" s="228"/>
      <c r="AK425" s="228"/>
      <c r="AL425" s="228"/>
      <c r="AM425" s="228"/>
    </row>
    <row r="426">
      <c r="A426" s="228"/>
      <c r="B426" s="228"/>
      <c r="C426" s="228"/>
      <c r="D426" s="228"/>
      <c r="E426" s="228"/>
      <c r="F426" s="228"/>
      <c r="G426" s="228"/>
      <c r="H426" s="241"/>
      <c r="I426" s="228"/>
      <c r="J426" s="228"/>
      <c r="K426" s="228"/>
      <c r="L426" s="228"/>
      <c r="M426" s="228"/>
      <c r="N426" s="228"/>
      <c r="O426" s="236"/>
      <c r="P426" s="228"/>
      <c r="Q426" s="228"/>
      <c r="R426" s="228"/>
      <c r="S426" s="228"/>
      <c r="T426" s="228"/>
      <c r="U426" s="228"/>
      <c r="V426" s="228"/>
      <c r="W426" s="228"/>
      <c r="X426" s="228"/>
      <c r="Y426" s="228"/>
      <c r="Z426" s="228"/>
      <c r="AA426" s="228"/>
      <c r="AB426" s="228"/>
      <c r="AC426" s="228"/>
      <c r="AD426" s="228"/>
      <c r="AE426" s="228"/>
      <c r="AF426" s="228"/>
      <c r="AG426" s="228"/>
      <c r="AH426" s="228"/>
      <c r="AI426" s="228"/>
      <c r="AJ426" s="228"/>
      <c r="AK426" s="228"/>
      <c r="AL426" s="228"/>
      <c r="AM426" s="228"/>
    </row>
    <row r="427">
      <c r="A427" s="228"/>
      <c r="B427" s="228"/>
      <c r="C427" s="228"/>
      <c r="D427" s="228"/>
      <c r="E427" s="228"/>
      <c r="F427" s="228"/>
      <c r="G427" s="228"/>
      <c r="H427" s="241"/>
      <c r="I427" s="228"/>
      <c r="J427" s="228"/>
      <c r="K427" s="228"/>
      <c r="L427" s="228"/>
      <c r="M427" s="228"/>
      <c r="N427" s="228"/>
      <c r="O427" s="236"/>
      <c r="P427" s="228"/>
      <c r="Q427" s="228"/>
      <c r="R427" s="228"/>
      <c r="S427" s="228"/>
      <c r="T427" s="228"/>
      <c r="U427" s="228"/>
      <c r="V427" s="228"/>
      <c r="W427" s="228"/>
      <c r="X427" s="228"/>
      <c r="Y427" s="228"/>
      <c r="Z427" s="228"/>
      <c r="AA427" s="228"/>
      <c r="AB427" s="228"/>
      <c r="AC427" s="228"/>
      <c r="AD427" s="228"/>
      <c r="AE427" s="228"/>
      <c r="AF427" s="228"/>
      <c r="AG427" s="228"/>
      <c r="AH427" s="228"/>
      <c r="AI427" s="228"/>
      <c r="AJ427" s="228"/>
      <c r="AK427" s="228"/>
      <c r="AL427" s="228"/>
      <c r="AM427" s="228"/>
    </row>
    <row r="428">
      <c r="A428" s="228"/>
      <c r="B428" s="228"/>
      <c r="C428" s="228"/>
      <c r="D428" s="228"/>
      <c r="E428" s="228"/>
      <c r="F428" s="228"/>
      <c r="G428" s="228"/>
      <c r="H428" s="241"/>
      <c r="I428" s="228"/>
      <c r="J428" s="228"/>
      <c r="K428" s="228"/>
      <c r="L428" s="228"/>
      <c r="M428" s="228"/>
      <c r="N428" s="228"/>
      <c r="O428" s="236"/>
      <c r="P428" s="228"/>
      <c r="Q428" s="228"/>
      <c r="R428" s="228"/>
      <c r="S428" s="228"/>
      <c r="T428" s="228"/>
      <c r="U428" s="228"/>
      <c r="V428" s="228"/>
      <c r="W428" s="228"/>
      <c r="X428" s="228"/>
      <c r="Y428" s="228"/>
      <c r="Z428" s="228"/>
      <c r="AA428" s="228"/>
      <c r="AB428" s="228"/>
      <c r="AC428" s="228"/>
      <c r="AD428" s="228"/>
      <c r="AE428" s="228"/>
      <c r="AF428" s="228"/>
      <c r="AG428" s="228"/>
      <c r="AH428" s="228"/>
      <c r="AI428" s="228"/>
      <c r="AJ428" s="228"/>
      <c r="AK428" s="228"/>
      <c r="AL428" s="228"/>
      <c r="AM428" s="228"/>
    </row>
    <row r="429">
      <c r="A429" s="228"/>
      <c r="B429" s="228"/>
      <c r="C429" s="228"/>
      <c r="D429" s="228"/>
      <c r="E429" s="228"/>
      <c r="F429" s="228"/>
      <c r="G429" s="228"/>
      <c r="H429" s="241"/>
      <c r="I429" s="228"/>
      <c r="J429" s="228"/>
      <c r="K429" s="228"/>
      <c r="L429" s="228"/>
      <c r="M429" s="228"/>
      <c r="N429" s="228"/>
      <c r="O429" s="236"/>
      <c r="P429" s="228"/>
      <c r="Q429" s="228"/>
      <c r="R429" s="228"/>
      <c r="S429" s="228"/>
      <c r="T429" s="228"/>
      <c r="U429" s="228"/>
      <c r="V429" s="228"/>
      <c r="W429" s="228"/>
      <c r="X429" s="228"/>
      <c r="Y429" s="228"/>
      <c r="Z429" s="228"/>
      <c r="AA429" s="228"/>
      <c r="AB429" s="228"/>
      <c r="AC429" s="228"/>
      <c r="AD429" s="228"/>
      <c r="AE429" s="228"/>
      <c r="AF429" s="228"/>
      <c r="AG429" s="228"/>
      <c r="AH429" s="228"/>
      <c r="AI429" s="228"/>
      <c r="AJ429" s="228"/>
      <c r="AK429" s="228"/>
      <c r="AL429" s="228"/>
      <c r="AM429" s="228"/>
    </row>
    <row r="430">
      <c r="A430" s="228"/>
      <c r="B430" s="228"/>
      <c r="C430" s="228"/>
      <c r="D430" s="228"/>
      <c r="E430" s="228"/>
      <c r="F430" s="228"/>
      <c r="G430" s="228"/>
      <c r="H430" s="241"/>
      <c r="I430" s="228"/>
      <c r="J430" s="228"/>
      <c r="K430" s="228"/>
      <c r="L430" s="228"/>
      <c r="M430" s="228"/>
      <c r="N430" s="228"/>
      <c r="O430" s="236"/>
      <c r="P430" s="228"/>
      <c r="Q430" s="228"/>
      <c r="R430" s="228"/>
      <c r="S430" s="228"/>
      <c r="T430" s="228"/>
      <c r="U430" s="228"/>
      <c r="V430" s="228"/>
      <c r="W430" s="228"/>
      <c r="X430" s="228"/>
      <c r="Y430" s="228"/>
      <c r="Z430" s="228"/>
      <c r="AA430" s="228"/>
      <c r="AB430" s="228"/>
      <c r="AC430" s="228"/>
      <c r="AD430" s="228"/>
      <c r="AE430" s="228"/>
      <c r="AF430" s="228"/>
      <c r="AG430" s="228"/>
      <c r="AH430" s="228"/>
      <c r="AI430" s="228"/>
      <c r="AJ430" s="228"/>
      <c r="AK430" s="228"/>
      <c r="AL430" s="228"/>
      <c r="AM430" s="228"/>
    </row>
    <row r="431">
      <c r="A431" s="228"/>
      <c r="B431" s="228"/>
      <c r="C431" s="228"/>
      <c r="D431" s="228"/>
      <c r="E431" s="228"/>
      <c r="F431" s="228"/>
      <c r="G431" s="228"/>
      <c r="H431" s="241"/>
      <c r="I431" s="228"/>
      <c r="J431" s="228"/>
      <c r="K431" s="228"/>
      <c r="L431" s="228"/>
      <c r="M431" s="228"/>
      <c r="N431" s="228"/>
      <c r="O431" s="236"/>
      <c r="P431" s="228"/>
      <c r="Q431" s="228"/>
      <c r="R431" s="228"/>
      <c r="S431" s="228"/>
      <c r="T431" s="228"/>
      <c r="U431" s="228"/>
      <c r="V431" s="228"/>
      <c r="W431" s="228"/>
      <c r="X431" s="228"/>
      <c r="Y431" s="228"/>
      <c r="Z431" s="228"/>
      <c r="AA431" s="228"/>
      <c r="AB431" s="228"/>
      <c r="AC431" s="228"/>
      <c r="AD431" s="228"/>
      <c r="AE431" s="228"/>
      <c r="AF431" s="228"/>
      <c r="AG431" s="228"/>
      <c r="AH431" s="228"/>
      <c r="AI431" s="228"/>
      <c r="AJ431" s="228"/>
      <c r="AK431" s="228"/>
      <c r="AL431" s="228"/>
      <c r="AM431" s="228"/>
    </row>
    <row r="432">
      <c r="A432" s="228"/>
      <c r="B432" s="228"/>
      <c r="C432" s="228"/>
      <c r="D432" s="228"/>
      <c r="E432" s="228"/>
      <c r="F432" s="228"/>
      <c r="G432" s="228"/>
      <c r="H432" s="241"/>
      <c r="I432" s="228"/>
      <c r="J432" s="228"/>
      <c r="K432" s="228"/>
      <c r="L432" s="228"/>
      <c r="M432" s="228"/>
      <c r="N432" s="228"/>
      <c r="O432" s="236"/>
      <c r="P432" s="228"/>
      <c r="Q432" s="228"/>
      <c r="R432" s="228"/>
      <c r="S432" s="228"/>
      <c r="T432" s="228"/>
      <c r="U432" s="228"/>
      <c r="V432" s="228"/>
      <c r="W432" s="228"/>
      <c r="X432" s="228"/>
      <c r="Y432" s="228"/>
      <c r="Z432" s="228"/>
      <c r="AA432" s="228"/>
      <c r="AB432" s="228"/>
      <c r="AC432" s="228"/>
      <c r="AD432" s="228"/>
      <c r="AE432" s="228"/>
      <c r="AF432" s="228"/>
      <c r="AG432" s="228"/>
      <c r="AH432" s="228"/>
      <c r="AI432" s="228"/>
      <c r="AJ432" s="228"/>
      <c r="AK432" s="228"/>
      <c r="AL432" s="228"/>
      <c r="AM432" s="228"/>
    </row>
    <row r="433">
      <c r="A433" s="228"/>
      <c r="B433" s="228"/>
      <c r="C433" s="228"/>
      <c r="D433" s="228"/>
      <c r="E433" s="228"/>
      <c r="F433" s="228"/>
      <c r="G433" s="228"/>
      <c r="H433" s="241"/>
      <c r="I433" s="228"/>
      <c r="J433" s="228"/>
      <c r="K433" s="228"/>
      <c r="L433" s="228"/>
      <c r="M433" s="228"/>
      <c r="N433" s="228"/>
      <c r="O433" s="236"/>
      <c r="P433" s="228"/>
      <c r="Q433" s="228"/>
      <c r="R433" s="228"/>
      <c r="S433" s="228"/>
      <c r="T433" s="228"/>
      <c r="U433" s="228"/>
      <c r="V433" s="228"/>
      <c r="W433" s="228"/>
      <c r="X433" s="228"/>
      <c r="Y433" s="228"/>
      <c r="Z433" s="228"/>
      <c r="AA433" s="228"/>
      <c r="AB433" s="228"/>
      <c r="AC433" s="228"/>
      <c r="AD433" s="228"/>
      <c r="AE433" s="228"/>
      <c r="AF433" s="228"/>
      <c r="AG433" s="228"/>
      <c r="AH433" s="228"/>
      <c r="AI433" s="228"/>
      <c r="AJ433" s="228"/>
      <c r="AK433" s="228"/>
      <c r="AL433" s="228"/>
      <c r="AM433" s="228"/>
    </row>
    <row r="434">
      <c r="A434" s="228"/>
      <c r="B434" s="228"/>
      <c r="C434" s="228"/>
      <c r="D434" s="228"/>
      <c r="E434" s="228"/>
      <c r="F434" s="228"/>
      <c r="G434" s="228"/>
      <c r="H434" s="241"/>
      <c r="I434" s="228"/>
      <c r="J434" s="228"/>
      <c r="K434" s="228"/>
      <c r="L434" s="228"/>
      <c r="M434" s="228"/>
      <c r="N434" s="228"/>
      <c r="O434" s="236"/>
      <c r="P434" s="228"/>
      <c r="Q434" s="228"/>
      <c r="R434" s="228"/>
      <c r="S434" s="228"/>
      <c r="T434" s="228"/>
      <c r="U434" s="228"/>
      <c r="V434" s="228"/>
      <c r="W434" s="228"/>
      <c r="X434" s="228"/>
      <c r="Y434" s="228"/>
      <c r="Z434" s="228"/>
      <c r="AA434" s="228"/>
      <c r="AB434" s="228"/>
      <c r="AC434" s="228"/>
      <c r="AD434" s="228"/>
      <c r="AE434" s="228"/>
      <c r="AF434" s="228"/>
      <c r="AG434" s="228"/>
      <c r="AH434" s="228"/>
      <c r="AI434" s="228"/>
      <c r="AJ434" s="228"/>
      <c r="AK434" s="228"/>
      <c r="AL434" s="228"/>
      <c r="AM434" s="228"/>
    </row>
    <row r="435">
      <c r="A435" s="228"/>
      <c r="B435" s="228"/>
      <c r="C435" s="228"/>
      <c r="D435" s="228"/>
      <c r="E435" s="228"/>
      <c r="F435" s="228"/>
      <c r="G435" s="228"/>
      <c r="H435" s="241"/>
      <c r="I435" s="228"/>
      <c r="J435" s="228"/>
      <c r="K435" s="228"/>
      <c r="L435" s="228"/>
      <c r="M435" s="228"/>
      <c r="N435" s="228"/>
      <c r="O435" s="236"/>
      <c r="P435" s="228"/>
      <c r="Q435" s="228"/>
      <c r="R435" s="228"/>
      <c r="S435" s="228"/>
      <c r="T435" s="228"/>
      <c r="U435" s="228"/>
      <c r="V435" s="228"/>
      <c r="W435" s="228"/>
      <c r="X435" s="228"/>
      <c r="Y435" s="228"/>
      <c r="Z435" s="228"/>
      <c r="AA435" s="228"/>
      <c r="AB435" s="228"/>
      <c r="AC435" s="228"/>
      <c r="AD435" s="228"/>
      <c r="AE435" s="228"/>
      <c r="AF435" s="228"/>
      <c r="AG435" s="228"/>
      <c r="AH435" s="228"/>
      <c r="AI435" s="228"/>
      <c r="AJ435" s="228"/>
      <c r="AK435" s="228"/>
      <c r="AL435" s="228"/>
      <c r="AM435" s="228"/>
    </row>
    <row r="436">
      <c r="A436" s="228"/>
      <c r="B436" s="228"/>
      <c r="C436" s="228"/>
      <c r="D436" s="228"/>
      <c r="E436" s="228"/>
      <c r="F436" s="228"/>
      <c r="G436" s="228"/>
      <c r="H436" s="241"/>
      <c r="I436" s="228"/>
      <c r="J436" s="228"/>
      <c r="K436" s="228"/>
      <c r="L436" s="228"/>
      <c r="M436" s="228"/>
      <c r="N436" s="228"/>
      <c r="O436" s="236"/>
      <c r="P436" s="228"/>
      <c r="Q436" s="228"/>
      <c r="R436" s="228"/>
      <c r="S436" s="228"/>
      <c r="T436" s="228"/>
      <c r="U436" s="228"/>
      <c r="V436" s="228"/>
      <c r="W436" s="228"/>
      <c r="X436" s="228"/>
      <c r="Y436" s="228"/>
      <c r="Z436" s="228"/>
      <c r="AA436" s="228"/>
      <c r="AB436" s="228"/>
      <c r="AC436" s="228"/>
      <c r="AD436" s="228"/>
      <c r="AE436" s="228"/>
      <c r="AF436" s="228"/>
      <c r="AG436" s="228"/>
      <c r="AH436" s="228"/>
      <c r="AI436" s="228"/>
      <c r="AJ436" s="228"/>
      <c r="AK436" s="228"/>
      <c r="AL436" s="228"/>
      <c r="AM436" s="228"/>
    </row>
    <row r="437">
      <c r="A437" s="228"/>
      <c r="B437" s="228"/>
      <c r="C437" s="228"/>
      <c r="D437" s="228"/>
      <c r="E437" s="228"/>
      <c r="F437" s="228"/>
      <c r="G437" s="228"/>
      <c r="H437" s="241"/>
      <c r="I437" s="228"/>
      <c r="J437" s="228"/>
      <c r="K437" s="228"/>
      <c r="L437" s="228"/>
      <c r="M437" s="228"/>
      <c r="N437" s="228"/>
      <c r="O437" s="236"/>
      <c r="P437" s="228"/>
      <c r="Q437" s="228"/>
      <c r="R437" s="228"/>
      <c r="S437" s="228"/>
      <c r="T437" s="228"/>
      <c r="U437" s="228"/>
      <c r="V437" s="228"/>
      <c r="W437" s="228"/>
      <c r="X437" s="228"/>
      <c r="Y437" s="228"/>
      <c r="Z437" s="228"/>
      <c r="AA437" s="228"/>
      <c r="AB437" s="228"/>
      <c r="AC437" s="228"/>
      <c r="AD437" s="228"/>
      <c r="AE437" s="228"/>
      <c r="AF437" s="228"/>
      <c r="AG437" s="228"/>
      <c r="AH437" s="228"/>
      <c r="AI437" s="228"/>
      <c r="AJ437" s="228"/>
      <c r="AK437" s="228"/>
      <c r="AL437" s="228"/>
      <c r="AM437" s="228"/>
    </row>
    <row r="438">
      <c r="A438" s="228"/>
      <c r="B438" s="228"/>
      <c r="C438" s="228"/>
      <c r="D438" s="228"/>
      <c r="E438" s="228"/>
      <c r="F438" s="228"/>
      <c r="G438" s="228"/>
      <c r="H438" s="241"/>
      <c r="I438" s="228"/>
      <c r="J438" s="228"/>
      <c r="K438" s="228"/>
      <c r="L438" s="228"/>
      <c r="M438" s="228"/>
      <c r="N438" s="228"/>
      <c r="O438" s="236"/>
      <c r="P438" s="228"/>
      <c r="Q438" s="228"/>
      <c r="R438" s="228"/>
      <c r="S438" s="228"/>
      <c r="T438" s="228"/>
      <c r="U438" s="228"/>
      <c r="V438" s="228"/>
      <c r="W438" s="228"/>
      <c r="X438" s="228"/>
      <c r="Y438" s="228"/>
      <c r="Z438" s="228"/>
      <c r="AA438" s="228"/>
      <c r="AB438" s="228"/>
      <c r="AC438" s="228"/>
      <c r="AD438" s="228"/>
      <c r="AE438" s="228"/>
      <c r="AF438" s="228"/>
      <c r="AG438" s="228"/>
      <c r="AH438" s="228"/>
      <c r="AI438" s="228"/>
      <c r="AJ438" s="228"/>
      <c r="AK438" s="228"/>
      <c r="AL438" s="228"/>
      <c r="AM438" s="228"/>
    </row>
    <row r="439">
      <c r="A439" s="228"/>
      <c r="B439" s="228"/>
      <c r="C439" s="228"/>
      <c r="D439" s="228"/>
      <c r="E439" s="228"/>
      <c r="F439" s="228"/>
      <c r="G439" s="228"/>
      <c r="H439" s="241"/>
      <c r="I439" s="228"/>
      <c r="J439" s="228"/>
      <c r="K439" s="228"/>
      <c r="L439" s="228"/>
      <c r="M439" s="228"/>
      <c r="N439" s="228"/>
      <c r="O439" s="236"/>
      <c r="P439" s="228"/>
      <c r="Q439" s="228"/>
      <c r="R439" s="228"/>
      <c r="S439" s="228"/>
      <c r="T439" s="228"/>
      <c r="U439" s="228"/>
      <c r="V439" s="228"/>
      <c r="W439" s="228"/>
      <c r="X439" s="228"/>
      <c r="Y439" s="228"/>
      <c r="Z439" s="228"/>
      <c r="AA439" s="228"/>
      <c r="AB439" s="228"/>
      <c r="AC439" s="228"/>
      <c r="AD439" s="228"/>
      <c r="AE439" s="228"/>
      <c r="AF439" s="228"/>
      <c r="AG439" s="228"/>
      <c r="AH439" s="228"/>
      <c r="AI439" s="228"/>
      <c r="AJ439" s="228"/>
      <c r="AK439" s="228"/>
      <c r="AL439" s="228"/>
      <c r="AM439" s="228"/>
    </row>
    <row r="440">
      <c r="A440" s="228"/>
      <c r="B440" s="228"/>
      <c r="C440" s="228"/>
      <c r="D440" s="228"/>
      <c r="E440" s="228"/>
      <c r="F440" s="228"/>
      <c r="G440" s="228"/>
      <c r="H440" s="241"/>
      <c r="I440" s="228"/>
      <c r="J440" s="228"/>
      <c r="K440" s="228"/>
      <c r="L440" s="228"/>
      <c r="M440" s="228"/>
      <c r="N440" s="228"/>
      <c r="O440" s="236"/>
      <c r="P440" s="228"/>
      <c r="Q440" s="228"/>
      <c r="R440" s="228"/>
      <c r="S440" s="228"/>
      <c r="T440" s="228"/>
      <c r="U440" s="228"/>
      <c r="V440" s="228"/>
      <c r="W440" s="228"/>
      <c r="X440" s="228"/>
      <c r="Y440" s="228"/>
      <c r="Z440" s="228"/>
      <c r="AA440" s="228"/>
      <c r="AB440" s="228"/>
      <c r="AC440" s="228"/>
      <c r="AD440" s="228"/>
      <c r="AE440" s="228"/>
      <c r="AF440" s="228"/>
      <c r="AG440" s="228"/>
      <c r="AH440" s="228"/>
      <c r="AI440" s="228"/>
      <c r="AJ440" s="228"/>
      <c r="AK440" s="228"/>
      <c r="AL440" s="228"/>
      <c r="AM440" s="228"/>
    </row>
    <row r="441">
      <c r="A441" s="228"/>
      <c r="B441" s="228"/>
      <c r="C441" s="228"/>
      <c r="D441" s="228"/>
      <c r="E441" s="228"/>
      <c r="F441" s="228"/>
      <c r="G441" s="228"/>
      <c r="H441" s="241"/>
      <c r="I441" s="228"/>
      <c r="J441" s="228"/>
      <c r="K441" s="228"/>
      <c r="L441" s="228"/>
      <c r="M441" s="228"/>
      <c r="N441" s="228"/>
      <c r="O441" s="236"/>
      <c r="P441" s="228"/>
      <c r="Q441" s="228"/>
      <c r="R441" s="228"/>
      <c r="S441" s="228"/>
      <c r="T441" s="228"/>
      <c r="U441" s="228"/>
      <c r="V441" s="228"/>
      <c r="W441" s="228"/>
      <c r="X441" s="228"/>
      <c r="Y441" s="228"/>
      <c r="Z441" s="228"/>
      <c r="AA441" s="228"/>
      <c r="AB441" s="228"/>
      <c r="AC441" s="228"/>
      <c r="AD441" s="228"/>
      <c r="AE441" s="228"/>
      <c r="AF441" s="228"/>
      <c r="AG441" s="228"/>
      <c r="AH441" s="228"/>
      <c r="AI441" s="228"/>
      <c r="AJ441" s="228"/>
      <c r="AK441" s="228"/>
      <c r="AL441" s="228"/>
      <c r="AM441" s="228"/>
    </row>
    <row r="442">
      <c r="A442" s="228"/>
      <c r="B442" s="228"/>
      <c r="C442" s="228"/>
      <c r="D442" s="228"/>
      <c r="E442" s="228"/>
      <c r="F442" s="228"/>
      <c r="G442" s="228"/>
      <c r="H442" s="241"/>
      <c r="I442" s="228"/>
      <c r="J442" s="228"/>
      <c r="K442" s="228"/>
      <c r="L442" s="228"/>
      <c r="M442" s="228"/>
      <c r="N442" s="228"/>
      <c r="O442" s="236"/>
      <c r="P442" s="228"/>
      <c r="Q442" s="228"/>
      <c r="R442" s="228"/>
      <c r="S442" s="228"/>
      <c r="T442" s="228"/>
      <c r="U442" s="228"/>
      <c r="V442" s="228"/>
      <c r="W442" s="228"/>
      <c r="X442" s="228"/>
      <c r="Y442" s="228"/>
      <c r="Z442" s="228"/>
      <c r="AA442" s="228"/>
      <c r="AB442" s="228"/>
      <c r="AC442" s="228"/>
      <c r="AD442" s="228"/>
      <c r="AE442" s="228"/>
      <c r="AF442" s="228"/>
      <c r="AG442" s="228"/>
      <c r="AH442" s="228"/>
      <c r="AI442" s="228"/>
      <c r="AJ442" s="228"/>
      <c r="AK442" s="228"/>
      <c r="AL442" s="228"/>
      <c r="AM442" s="228"/>
    </row>
    <row r="443">
      <c r="A443" s="228"/>
      <c r="B443" s="228"/>
      <c r="C443" s="228"/>
      <c r="D443" s="228"/>
      <c r="E443" s="228"/>
      <c r="F443" s="228"/>
      <c r="G443" s="228"/>
      <c r="H443" s="241"/>
      <c r="I443" s="228"/>
      <c r="J443" s="228"/>
      <c r="K443" s="228"/>
      <c r="L443" s="228"/>
      <c r="M443" s="228"/>
      <c r="N443" s="228"/>
      <c r="O443" s="236"/>
      <c r="P443" s="228"/>
      <c r="Q443" s="228"/>
      <c r="R443" s="228"/>
      <c r="S443" s="228"/>
      <c r="T443" s="228"/>
      <c r="U443" s="228"/>
      <c r="V443" s="228"/>
      <c r="W443" s="228"/>
      <c r="X443" s="228"/>
      <c r="Y443" s="228"/>
      <c r="Z443" s="228"/>
      <c r="AA443" s="228"/>
      <c r="AB443" s="228"/>
      <c r="AC443" s="228"/>
      <c r="AD443" s="228"/>
      <c r="AE443" s="228"/>
      <c r="AF443" s="228"/>
      <c r="AG443" s="228"/>
      <c r="AH443" s="228"/>
      <c r="AI443" s="228"/>
      <c r="AJ443" s="228"/>
      <c r="AK443" s="228"/>
      <c r="AL443" s="228"/>
      <c r="AM443" s="228"/>
    </row>
    <row r="444">
      <c r="A444" s="228"/>
      <c r="B444" s="228"/>
      <c r="C444" s="228"/>
      <c r="D444" s="228"/>
      <c r="E444" s="228"/>
      <c r="F444" s="228"/>
      <c r="G444" s="228"/>
      <c r="H444" s="241"/>
      <c r="I444" s="228"/>
      <c r="J444" s="228"/>
      <c r="K444" s="228"/>
      <c r="L444" s="228"/>
      <c r="M444" s="228"/>
      <c r="N444" s="228"/>
      <c r="O444" s="236"/>
      <c r="P444" s="228"/>
      <c r="Q444" s="228"/>
      <c r="R444" s="228"/>
      <c r="S444" s="228"/>
      <c r="T444" s="228"/>
      <c r="U444" s="228"/>
      <c r="V444" s="228"/>
      <c r="W444" s="228"/>
      <c r="X444" s="228"/>
      <c r="Y444" s="228"/>
      <c r="Z444" s="228"/>
      <c r="AA444" s="228"/>
      <c r="AB444" s="228"/>
      <c r="AC444" s="228"/>
      <c r="AD444" s="228"/>
      <c r="AE444" s="228"/>
      <c r="AF444" s="228"/>
      <c r="AG444" s="228"/>
      <c r="AH444" s="228"/>
      <c r="AI444" s="228"/>
      <c r="AJ444" s="228"/>
      <c r="AK444" s="228"/>
      <c r="AL444" s="228"/>
      <c r="AM444" s="228"/>
    </row>
    <row r="445">
      <c r="A445" s="228"/>
      <c r="B445" s="228"/>
      <c r="C445" s="228"/>
      <c r="D445" s="228"/>
      <c r="E445" s="228"/>
      <c r="F445" s="228"/>
      <c r="G445" s="228"/>
      <c r="H445" s="241"/>
      <c r="I445" s="228"/>
      <c r="J445" s="228"/>
      <c r="K445" s="228"/>
      <c r="L445" s="228"/>
      <c r="M445" s="228"/>
      <c r="N445" s="228"/>
      <c r="O445" s="236"/>
      <c r="P445" s="228"/>
      <c r="Q445" s="228"/>
      <c r="R445" s="228"/>
      <c r="S445" s="228"/>
      <c r="T445" s="228"/>
      <c r="U445" s="228"/>
      <c r="V445" s="228"/>
      <c r="W445" s="228"/>
      <c r="X445" s="228"/>
      <c r="Y445" s="228"/>
      <c r="Z445" s="228"/>
      <c r="AA445" s="228"/>
      <c r="AB445" s="228"/>
      <c r="AC445" s="228"/>
      <c r="AD445" s="228"/>
      <c r="AE445" s="228"/>
      <c r="AF445" s="228"/>
      <c r="AG445" s="228"/>
      <c r="AH445" s="228"/>
      <c r="AI445" s="228"/>
      <c r="AJ445" s="228"/>
      <c r="AK445" s="228"/>
      <c r="AL445" s="228"/>
      <c r="AM445" s="228"/>
    </row>
    <row r="446">
      <c r="A446" s="228"/>
      <c r="B446" s="228"/>
      <c r="C446" s="228"/>
      <c r="D446" s="228"/>
      <c r="E446" s="228"/>
      <c r="F446" s="228"/>
      <c r="G446" s="228"/>
      <c r="H446" s="241"/>
      <c r="I446" s="228"/>
      <c r="J446" s="228"/>
      <c r="K446" s="228"/>
      <c r="L446" s="228"/>
      <c r="M446" s="228"/>
      <c r="N446" s="228"/>
      <c r="O446" s="236"/>
      <c r="P446" s="228"/>
      <c r="Q446" s="228"/>
      <c r="R446" s="228"/>
      <c r="S446" s="228"/>
      <c r="T446" s="228"/>
      <c r="U446" s="228"/>
      <c r="V446" s="228"/>
      <c r="W446" s="228"/>
      <c r="X446" s="228"/>
      <c r="Y446" s="228"/>
      <c r="Z446" s="228"/>
      <c r="AA446" s="228"/>
      <c r="AB446" s="228"/>
      <c r="AC446" s="228"/>
      <c r="AD446" s="228"/>
      <c r="AE446" s="228"/>
      <c r="AF446" s="228"/>
      <c r="AG446" s="228"/>
      <c r="AH446" s="228"/>
      <c r="AI446" s="228"/>
      <c r="AJ446" s="228"/>
      <c r="AK446" s="228"/>
      <c r="AL446" s="228"/>
      <c r="AM446" s="228"/>
    </row>
    <row r="447">
      <c r="A447" s="228"/>
      <c r="B447" s="228"/>
      <c r="C447" s="228"/>
      <c r="D447" s="228"/>
      <c r="E447" s="228"/>
      <c r="F447" s="228"/>
      <c r="G447" s="228"/>
      <c r="H447" s="241"/>
      <c r="I447" s="228"/>
      <c r="J447" s="228"/>
      <c r="K447" s="228"/>
      <c r="L447" s="228"/>
      <c r="M447" s="228"/>
      <c r="N447" s="228"/>
      <c r="O447" s="236"/>
      <c r="P447" s="228"/>
      <c r="Q447" s="228"/>
      <c r="R447" s="228"/>
      <c r="S447" s="228"/>
      <c r="T447" s="228"/>
      <c r="U447" s="228"/>
      <c r="V447" s="228"/>
      <c r="W447" s="228"/>
      <c r="X447" s="228"/>
      <c r="Y447" s="228"/>
      <c r="Z447" s="228"/>
      <c r="AA447" s="228"/>
      <c r="AB447" s="228"/>
      <c r="AC447" s="228"/>
      <c r="AD447" s="228"/>
      <c r="AE447" s="228"/>
      <c r="AF447" s="228"/>
      <c r="AG447" s="228"/>
      <c r="AH447" s="228"/>
      <c r="AI447" s="228"/>
      <c r="AJ447" s="228"/>
      <c r="AK447" s="228"/>
      <c r="AL447" s="228"/>
      <c r="AM447" s="228"/>
    </row>
    <row r="448">
      <c r="A448" s="228"/>
      <c r="B448" s="228"/>
      <c r="C448" s="228"/>
      <c r="D448" s="228"/>
      <c r="E448" s="228"/>
      <c r="F448" s="228"/>
      <c r="G448" s="228"/>
      <c r="H448" s="241"/>
      <c r="I448" s="228"/>
      <c r="J448" s="228"/>
      <c r="K448" s="228"/>
      <c r="L448" s="228"/>
      <c r="M448" s="228"/>
      <c r="N448" s="228"/>
      <c r="O448" s="236"/>
      <c r="P448" s="228"/>
      <c r="Q448" s="228"/>
      <c r="R448" s="228"/>
      <c r="S448" s="228"/>
      <c r="T448" s="228"/>
      <c r="U448" s="228"/>
      <c r="V448" s="228"/>
      <c r="W448" s="228"/>
      <c r="X448" s="228"/>
      <c r="Y448" s="228"/>
      <c r="Z448" s="228"/>
      <c r="AA448" s="228"/>
      <c r="AB448" s="228"/>
      <c r="AC448" s="228"/>
      <c r="AD448" s="228"/>
      <c r="AE448" s="228"/>
      <c r="AF448" s="228"/>
      <c r="AG448" s="228"/>
      <c r="AH448" s="228"/>
      <c r="AI448" s="228"/>
      <c r="AJ448" s="228"/>
      <c r="AK448" s="228"/>
      <c r="AL448" s="228"/>
      <c r="AM448" s="228"/>
    </row>
    <row r="449">
      <c r="A449" s="228"/>
      <c r="B449" s="228"/>
      <c r="C449" s="228"/>
      <c r="D449" s="228"/>
      <c r="E449" s="228"/>
      <c r="F449" s="228"/>
      <c r="G449" s="228"/>
      <c r="H449" s="241"/>
      <c r="I449" s="228"/>
      <c r="J449" s="228"/>
      <c r="K449" s="228"/>
      <c r="L449" s="228"/>
      <c r="M449" s="228"/>
      <c r="N449" s="228"/>
      <c r="O449" s="236"/>
      <c r="P449" s="228"/>
      <c r="Q449" s="228"/>
      <c r="R449" s="228"/>
      <c r="S449" s="228"/>
      <c r="T449" s="228"/>
      <c r="U449" s="228"/>
      <c r="V449" s="228"/>
      <c r="W449" s="228"/>
      <c r="X449" s="228"/>
      <c r="Y449" s="228"/>
      <c r="Z449" s="228"/>
      <c r="AA449" s="228"/>
      <c r="AB449" s="228"/>
      <c r="AC449" s="228"/>
      <c r="AD449" s="228"/>
      <c r="AE449" s="228"/>
      <c r="AF449" s="228"/>
      <c r="AG449" s="228"/>
      <c r="AH449" s="228"/>
      <c r="AI449" s="228"/>
      <c r="AJ449" s="228"/>
      <c r="AK449" s="228"/>
      <c r="AL449" s="228"/>
      <c r="AM449" s="228"/>
    </row>
    <row r="450">
      <c r="A450" s="228"/>
      <c r="B450" s="228"/>
      <c r="C450" s="228"/>
      <c r="D450" s="228"/>
      <c r="E450" s="228"/>
      <c r="F450" s="228"/>
      <c r="G450" s="228"/>
      <c r="H450" s="241"/>
      <c r="I450" s="228"/>
      <c r="J450" s="228"/>
      <c r="K450" s="228"/>
      <c r="L450" s="228"/>
      <c r="M450" s="228"/>
      <c r="N450" s="228"/>
      <c r="O450" s="236"/>
      <c r="P450" s="228"/>
      <c r="Q450" s="228"/>
      <c r="R450" s="228"/>
      <c r="S450" s="228"/>
      <c r="T450" s="228"/>
      <c r="U450" s="228"/>
      <c r="V450" s="228"/>
      <c r="W450" s="228"/>
      <c r="X450" s="228"/>
      <c r="Y450" s="228"/>
      <c r="Z450" s="228"/>
      <c r="AA450" s="228"/>
      <c r="AB450" s="228"/>
      <c r="AC450" s="228"/>
      <c r="AD450" s="228"/>
      <c r="AE450" s="228"/>
      <c r="AF450" s="228"/>
      <c r="AG450" s="228"/>
      <c r="AH450" s="228"/>
      <c r="AI450" s="228"/>
      <c r="AJ450" s="228"/>
      <c r="AK450" s="228"/>
      <c r="AL450" s="228"/>
      <c r="AM450" s="228"/>
    </row>
    <row r="451">
      <c r="A451" s="228"/>
      <c r="B451" s="228"/>
      <c r="C451" s="228"/>
      <c r="D451" s="228"/>
      <c r="E451" s="228"/>
      <c r="F451" s="228"/>
      <c r="G451" s="228"/>
      <c r="H451" s="241"/>
      <c r="I451" s="228"/>
      <c r="J451" s="228"/>
      <c r="K451" s="228"/>
      <c r="L451" s="228"/>
      <c r="M451" s="228"/>
      <c r="N451" s="228"/>
      <c r="O451" s="236"/>
      <c r="P451" s="228"/>
      <c r="Q451" s="228"/>
      <c r="R451" s="228"/>
      <c r="S451" s="228"/>
      <c r="T451" s="228"/>
      <c r="U451" s="228"/>
      <c r="V451" s="228"/>
      <c r="W451" s="228"/>
      <c r="X451" s="228"/>
      <c r="Y451" s="228"/>
      <c r="Z451" s="228"/>
      <c r="AA451" s="228"/>
      <c r="AB451" s="228"/>
      <c r="AC451" s="228"/>
      <c r="AD451" s="228"/>
      <c r="AE451" s="228"/>
      <c r="AF451" s="228"/>
      <c r="AG451" s="228"/>
      <c r="AH451" s="228"/>
      <c r="AI451" s="228"/>
      <c r="AJ451" s="228"/>
      <c r="AK451" s="228"/>
      <c r="AL451" s="228"/>
      <c r="AM451" s="228"/>
    </row>
    <row r="452">
      <c r="A452" s="228"/>
      <c r="B452" s="228"/>
      <c r="C452" s="228"/>
      <c r="D452" s="228"/>
      <c r="E452" s="228"/>
      <c r="F452" s="228"/>
      <c r="G452" s="228"/>
      <c r="H452" s="241"/>
      <c r="I452" s="228"/>
      <c r="J452" s="228"/>
      <c r="K452" s="228"/>
      <c r="L452" s="228"/>
      <c r="M452" s="228"/>
      <c r="N452" s="228"/>
      <c r="O452" s="236"/>
      <c r="P452" s="228"/>
      <c r="Q452" s="228"/>
      <c r="R452" s="228"/>
      <c r="S452" s="228"/>
      <c r="T452" s="228"/>
      <c r="U452" s="228"/>
      <c r="V452" s="228"/>
      <c r="W452" s="228"/>
      <c r="X452" s="228"/>
      <c r="Y452" s="228"/>
      <c r="Z452" s="228"/>
      <c r="AA452" s="228"/>
      <c r="AB452" s="228"/>
      <c r="AC452" s="228"/>
      <c r="AD452" s="228"/>
      <c r="AE452" s="228"/>
      <c r="AF452" s="228"/>
      <c r="AG452" s="228"/>
      <c r="AH452" s="228"/>
      <c r="AI452" s="228"/>
      <c r="AJ452" s="228"/>
      <c r="AK452" s="228"/>
      <c r="AL452" s="228"/>
      <c r="AM452" s="228"/>
    </row>
    <row r="453">
      <c r="A453" s="228"/>
      <c r="B453" s="228"/>
      <c r="C453" s="228"/>
      <c r="D453" s="228"/>
      <c r="E453" s="228"/>
      <c r="F453" s="228"/>
      <c r="G453" s="228"/>
      <c r="H453" s="241"/>
      <c r="I453" s="228"/>
      <c r="J453" s="228"/>
      <c r="K453" s="228"/>
      <c r="L453" s="228"/>
      <c r="M453" s="228"/>
      <c r="N453" s="228"/>
      <c r="O453" s="236"/>
      <c r="P453" s="228"/>
      <c r="Q453" s="228"/>
      <c r="R453" s="228"/>
      <c r="S453" s="228"/>
      <c r="T453" s="228"/>
      <c r="U453" s="228"/>
      <c r="V453" s="228"/>
      <c r="W453" s="228"/>
      <c r="X453" s="228"/>
      <c r="Y453" s="228"/>
      <c r="Z453" s="228"/>
      <c r="AA453" s="228"/>
      <c r="AB453" s="228"/>
      <c r="AC453" s="228"/>
      <c r="AD453" s="228"/>
      <c r="AE453" s="228"/>
      <c r="AF453" s="228"/>
      <c r="AG453" s="228"/>
      <c r="AH453" s="228"/>
      <c r="AI453" s="228"/>
      <c r="AJ453" s="228"/>
      <c r="AK453" s="228"/>
      <c r="AL453" s="228"/>
      <c r="AM453" s="228"/>
    </row>
    <row r="454">
      <c r="A454" s="228"/>
      <c r="B454" s="228"/>
      <c r="C454" s="228"/>
      <c r="D454" s="228"/>
      <c r="E454" s="228"/>
      <c r="F454" s="228"/>
      <c r="G454" s="228"/>
      <c r="H454" s="241"/>
      <c r="I454" s="228"/>
      <c r="J454" s="228"/>
      <c r="K454" s="228"/>
      <c r="L454" s="228"/>
      <c r="M454" s="228"/>
      <c r="N454" s="228"/>
      <c r="O454" s="236"/>
      <c r="P454" s="228"/>
      <c r="Q454" s="228"/>
      <c r="R454" s="228"/>
      <c r="S454" s="228"/>
      <c r="T454" s="228"/>
      <c r="U454" s="228"/>
      <c r="V454" s="228"/>
      <c r="W454" s="228"/>
      <c r="X454" s="228"/>
      <c r="Y454" s="228"/>
      <c r="Z454" s="228"/>
      <c r="AA454" s="228"/>
      <c r="AB454" s="228"/>
      <c r="AC454" s="228"/>
      <c r="AD454" s="228"/>
      <c r="AE454" s="228"/>
      <c r="AF454" s="228"/>
      <c r="AG454" s="228"/>
      <c r="AH454" s="228"/>
      <c r="AI454" s="228"/>
      <c r="AJ454" s="228"/>
      <c r="AK454" s="228"/>
      <c r="AL454" s="228"/>
      <c r="AM454" s="228"/>
    </row>
    <row r="455">
      <c r="A455" s="228"/>
      <c r="B455" s="228"/>
      <c r="C455" s="228"/>
      <c r="D455" s="228"/>
      <c r="E455" s="228"/>
      <c r="F455" s="228"/>
      <c r="G455" s="228"/>
      <c r="H455" s="241"/>
      <c r="I455" s="228"/>
      <c r="J455" s="228"/>
      <c r="K455" s="228"/>
      <c r="L455" s="228"/>
      <c r="M455" s="228"/>
      <c r="N455" s="228"/>
      <c r="O455" s="236"/>
      <c r="P455" s="228"/>
      <c r="Q455" s="228"/>
      <c r="R455" s="228"/>
      <c r="S455" s="228"/>
      <c r="T455" s="228"/>
      <c r="U455" s="228"/>
      <c r="V455" s="228"/>
      <c r="W455" s="228"/>
      <c r="X455" s="228"/>
      <c r="Y455" s="228"/>
      <c r="Z455" s="228"/>
      <c r="AA455" s="228"/>
      <c r="AB455" s="228"/>
      <c r="AC455" s="228"/>
      <c r="AD455" s="228"/>
      <c r="AE455" s="228"/>
      <c r="AF455" s="228"/>
      <c r="AG455" s="228"/>
      <c r="AH455" s="228"/>
      <c r="AI455" s="228"/>
      <c r="AJ455" s="228"/>
      <c r="AK455" s="228"/>
      <c r="AL455" s="228"/>
      <c r="AM455" s="228"/>
    </row>
    <row r="456">
      <c r="A456" s="228"/>
      <c r="B456" s="228"/>
      <c r="C456" s="228"/>
      <c r="D456" s="228"/>
      <c r="E456" s="228"/>
      <c r="F456" s="228"/>
      <c r="G456" s="228"/>
      <c r="H456" s="241"/>
      <c r="I456" s="228"/>
      <c r="J456" s="228"/>
      <c r="K456" s="228"/>
      <c r="L456" s="228"/>
      <c r="M456" s="228"/>
      <c r="N456" s="228"/>
      <c r="O456" s="236"/>
      <c r="P456" s="228"/>
      <c r="Q456" s="228"/>
      <c r="R456" s="228"/>
      <c r="S456" s="228"/>
      <c r="T456" s="228"/>
      <c r="U456" s="228"/>
      <c r="V456" s="228"/>
      <c r="W456" s="228"/>
      <c r="X456" s="228"/>
      <c r="Y456" s="228"/>
      <c r="Z456" s="228"/>
      <c r="AA456" s="228"/>
      <c r="AB456" s="228"/>
      <c r="AC456" s="228"/>
      <c r="AD456" s="228"/>
      <c r="AE456" s="228"/>
      <c r="AF456" s="228"/>
      <c r="AG456" s="228"/>
      <c r="AH456" s="228"/>
      <c r="AI456" s="228"/>
      <c r="AJ456" s="228"/>
      <c r="AK456" s="228"/>
      <c r="AL456" s="228"/>
      <c r="AM456" s="228"/>
    </row>
    <row r="457">
      <c r="A457" s="228"/>
      <c r="B457" s="228"/>
      <c r="C457" s="228"/>
      <c r="D457" s="228"/>
      <c r="E457" s="228"/>
      <c r="F457" s="228"/>
      <c r="G457" s="228"/>
      <c r="H457" s="241"/>
      <c r="I457" s="228"/>
      <c r="J457" s="228"/>
      <c r="K457" s="228"/>
      <c r="L457" s="228"/>
      <c r="M457" s="228"/>
      <c r="N457" s="228"/>
      <c r="O457" s="236"/>
      <c r="P457" s="228"/>
      <c r="Q457" s="228"/>
      <c r="R457" s="228"/>
      <c r="S457" s="228"/>
      <c r="T457" s="228"/>
      <c r="U457" s="228"/>
      <c r="V457" s="228"/>
      <c r="W457" s="228"/>
      <c r="X457" s="228"/>
      <c r="Y457" s="228"/>
      <c r="Z457" s="228"/>
      <c r="AA457" s="228"/>
      <c r="AB457" s="228"/>
      <c r="AC457" s="228"/>
      <c r="AD457" s="228"/>
      <c r="AE457" s="228"/>
      <c r="AF457" s="228"/>
      <c r="AG457" s="228"/>
      <c r="AH457" s="228"/>
      <c r="AI457" s="228"/>
      <c r="AJ457" s="228"/>
      <c r="AK457" s="228"/>
      <c r="AL457" s="228"/>
      <c r="AM457" s="228"/>
    </row>
    <row r="458">
      <c r="A458" s="228"/>
      <c r="B458" s="228"/>
      <c r="C458" s="228"/>
      <c r="D458" s="228"/>
      <c r="E458" s="228"/>
      <c r="F458" s="228"/>
      <c r="G458" s="228"/>
      <c r="H458" s="241"/>
      <c r="I458" s="228"/>
      <c r="J458" s="228"/>
      <c r="K458" s="228"/>
      <c r="L458" s="228"/>
      <c r="M458" s="228"/>
      <c r="N458" s="228"/>
      <c r="O458" s="236"/>
      <c r="P458" s="228"/>
      <c r="Q458" s="228"/>
      <c r="R458" s="228"/>
      <c r="S458" s="228"/>
      <c r="T458" s="228"/>
      <c r="U458" s="228"/>
      <c r="V458" s="228"/>
      <c r="W458" s="228"/>
      <c r="X458" s="228"/>
      <c r="Y458" s="228"/>
      <c r="Z458" s="228"/>
      <c r="AA458" s="228"/>
      <c r="AB458" s="228"/>
      <c r="AC458" s="228"/>
      <c r="AD458" s="228"/>
      <c r="AE458" s="228"/>
      <c r="AF458" s="228"/>
      <c r="AG458" s="228"/>
      <c r="AH458" s="228"/>
      <c r="AI458" s="228"/>
      <c r="AJ458" s="228"/>
      <c r="AK458" s="228"/>
      <c r="AL458" s="228"/>
      <c r="AM458" s="228"/>
    </row>
    <row r="459">
      <c r="A459" s="228"/>
      <c r="B459" s="228"/>
      <c r="C459" s="228"/>
      <c r="D459" s="228"/>
      <c r="E459" s="228"/>
      <c r="F459" s="228"/>
      <c r="G459" s="228"/>
      <c r="H459" s="241"/>
      <c r="I459" s="228"/>
      <c r="J459" s="228"/>
      <c r="K459" s="228"/>
      <c r="L459" s="228"/>
      <c r="M459" s="228"/>
      <c r="N459" s="228"/>
      <c r="O459" s="236"/>
      <c r="P459" s="228"/>
      <c r="Q459" s="228"/>
      <c r="R459" s="228"/>
      <c r="S459" s="228"/>
      <c r="T459" s="228"/>
      <c r="U459" s="228"/>
      <c r="V459" s="228"/>
      <c r="W459" s="228"/>
      <c r="X459" s="228"/>
      <c r="Y459" s="228"/>
      <c r="Z459" s="228"/>
      <c r="AA459" s="228"/>
      <c r="AB459" s="228"/>
      <c r="AC459" s="228"/>
      <c r="AD459" s="228"/>
      <c r="AE459" s="228"/>
      <c r="AF459" s="228"/>
      <c r="AG459" s="228"/>
      <c r="AH459" s="228"/>
      <c r="AI459" s="228"/>
      <c r="AJ459" s="228"/>
      <c r="AK459" s="228"/>
      <c r="AL459" s="228"/>
      <c r="AM459" s="228"/>
    </row>
    <row r="460">
      <c r="A460" s="228"/>
      <c r="B460" s="228"/>
      <c r="C460" s="228"/>
      <c r="D460" s="228"/>
      <c r="E460" s="228"/>
      <c r="F460" s="228"/>
      <c r="G460" s="228"/>
      <c r="H460" s="241"/>
      <c r="I460" s="228"/>
      <c r="J460" s="228"/>
      <c r="K460" s="228"/>
      <c r="L460" s="228"/>
      <c r="M460" s="228"/>
      <c r="N460" s="228"/>
      <c r="O460" s="236"/>
      <c r="P460" s="228"/>
      <c r="Q460" s="228"/>
      <c r="R460" s="228"/>
      <c r="S460" s="228"/>
      <c r="T460" s="228"/>
      <c r="U460" s="228"/>
      <c r="V460" s="228"/>
      <c r="W460" s="228"/>
      <c r="X460" s="228"/>
      <c r="Y460" s="228"/>
      <c r="Z460" s="228"/>
      <c r="AA460" s="228"/>
      <c r="AB460" s="228"/>
      <c r="AC460" s="228"/>
      <c r="AD460" s="228"/>
      <c r="AE460" s="228"/>
      <c r="AF460" s="228"/>
      <c r="AG460" s="228"/>
      <c r="AH460" s="228"/>
      <c r="AI460" s="228"/>
      <c r="AJ460" s="228"/>
      <c r="AK460" s="228"/>
      <c r="AL460" s="228"/>
      <c r="AM460" s="228"/>
    </row>
    <row r="461">
      <c r="A461" s="228"/>
      <c r="B461" s="228"/>
      <c r="C461" s="228"/>
      <c r="D461" s="228"/>
      <c r="E461" s="228"/>
      <c r="F461" s="228"/>
      <c r="G461" s="228"/>
      <c r="H461" s="241"/>
      <c r="I461" s="228"/>
      <c r="J461" s="228"/>
      <c r="K461" s="228"/>
      <c r="L461" s="228"/>
      <c r="M461" s="228"/>
      <c r="N461" s="228"/>
      <c r="O461" s="236"/>
      <c r="P461" s="228"/>
      <c r="Q461" s="228"/>
      <c r="R461" s="228"/>
      <c r="S461" s="228"/>
      <c r="T461" s="228"/>
      <c r="U461" s="228"/>
      <c r="V461" s="228"/>
      <c r="W461" s="228"/>
      <c r="X461" s="228"/>
      <c r="Y461" s="228"/>
      <c r="Z461" s="228"/>
      <c r="AA461" s="228"/>
      <c r="AB461" s="228"/>
      <c r="AC461" s="228"/>
      <c r="AD461" s="228"/>
      <c r="AE461" s="228"/>
      <c r="AF461" s="228"/>
      <c r="AG461" s="228"/>
      <c r="AH461" s="228"/>
      <c r="AI461" s="228"/>
      <c r="AJ461" s="228"/>
      <c r="AK461" s="228"/>
      <c r="AL461" s="228"/>
      <c r="AM461" s="228"/>
    </row>
    <row r="462">
      <c r="A462" s="228"/>
      <c r="B462" s="228"/>
      <c r="C462" s="228"/>
      <c r="D462" s="228"/>
      <c r="E462" s="228"/>
      <c r="F462" s="228"/>
      <c r="G462" s="228"/>
      <c r="H462" s="241"/>
      <c r="I462" s="228"/>
      <c r="J462" s="228"/>
      <c r="K462" s="228"/>
      <c r="L462" s="228"/>
      <c r="M462" s="228"/>
      <c r="N462" s="228"/>
      <c r="O462" s="236"/>
      <c r="P462" s="228"/>
      <c r="Q462" s="228"/>
      <c r="R462" s="228"/>
      <c r="S462" s="228"/>
      <c r="T462" s="228"/>
      <c r="U462" s="228"/>
      <c r="V462" s="228"/>
      <c r="W462" s="228"/>
      <c r="X462" s="228"/>
      <c r="Y462" s="228"/>
      <c r="Z462" s="228"/>
      <c r="AA462" s="228"/>
      <c r="AB462" s="228"/>
      <c r="AC462" s="228"/>
      <c r="AD462" s="228"/>
      <c r="AE462" s="228"/>
      <c r="AF462" s="228"/>
      <c r="AG462" s="228"/>
      <c r="AH462" s="228"/>
      <c r="AI462" s="228"/>
      <c r="AJ462" s="228"/>
      <c r="AK462" s="228"/>
      <c r="AL462" s="228"/>
      <c r="AM462" s="228"/>
    </row>
    <row r="463">
      <c r="A463" s="228"/>
      <c r="B463" s="228"/>
      <c r="C463" s="228"/>
      <c r="D463" s="228"/>
      <c r="E463" s="228"/>
      <c r="F463" s="228"/>
      <c r="G463" s="228"/>
      <c r="H463" s="241"/>
      <c r="I463" s="228"/>
      <c r="J463" s="228"/>
      <c r="K463" s="228"/>
      <c r="L463" s="228"/>
      <c r="M463" s="228"/>
      <c r="N463" s="228"/>
      <c r="O463" s="236"/>
      <c r="P463" s="228"/>
      <c r="Q463" s="228"/>
      <c r="R463" s="228"/>
      <c r="S463" s="228"/>
      <c r="T463" s="228"/>
      <c r="U463" s="228"/>
      <c r="V463" s="228"/>
      <c r="W463" s="228"/>
      <c r="X463" s="228"/>
      <c r="Y463" s="228"/>
      <c r="Z463" s="228"/>
      <c r="AA463" s="228"/>
      <c r="AB463" s="228"/>
      <c r="AC463" s="228"/>
      <c r="AD463" s="228"/>
      <c r="AE463" s="228"/>
      <c r="AF463" s="228"/>
      <c r="AG463" s="228"/>
      <c r="AH463" s="228"/>
      <c r="AI463" s="228"/>
      <c r="AJ463" s="228"/>
      <c r="AK463" s="228"/>
      <c r="AL463" s="228"/>
      <c r="AM463" s="228"/>
    </row>
    <row r="464">
      <c r="A464" s="228"/>
      <c r="B464" s="228"/>
      <c r="C464" s="228"/>
      <c r="D464" s="228"/>
      <c r="E464" s="228"/>
      <c r="F464" s="228"/>
      <c r="G464" s="228"/>
      <c r="H464" s="241"/>
      <c r="I464" s="228"/>
      <c r="J464" s="228"/>
      <c r="K464" s="228"/>
      <c r="L464" s="228"/>
      <c r="M464" s="228"/>
      <c r="N464" s="228"/>
      <c r="O464" s="236"/>
      <c r="P464" s="228"/>
      <c r="Q464" s="228"/>
      <c r="R464" s="228"/>
      <c r="S464" s="228"/>
      <c r="T464" s="228"/>
      <c r="U464" s="228"/>
      <c r="V464" s="228"/>
      <c r="W464" s="228"/>
      <c r="X464" s="228"/>
      <c r="Y464" s="228"/>
      <c r="Z464" s="228"/>
      <c r="AA464" s="228"/>
      <c r="AB464" s="228"/>
      <c r="AC464" s="228"/>
      <c r="AD464" s="228"/>
      <c r="AE464" s="228"/>
      <c r="AF464" s="228"/>
      <c r="AG464" s="228"/>
      <c r="AH464" s="228"/>
      <c r="AI464" s="228"/>
      <c r="AJ464" s="228"/>
      <c r="AK464" s="228"/>
      <c r="AL464" s="228"/>
      <c r="AM464" s="228"/>
    </row>
    <row r="465">
      <c r="A465" s="228"/>
      <c r="B465" s="228"/>
      <c r="C465" s="228"/>
      <c r="D465" s="228"/>
      <c r="E465" s="228"/>
      <c r="F465" s="228"/>
      <c r="G465" s="228"/>
      <c r="H465" s="241"/>
      <c r="I465" s="228"/>
      <c r="J465" s="228"/>
      <c r="K465" s="228"/>
      <c r="L465" s="228"/>
      <c r="M465" s="228"/>
      <c r="N465" s="228"/>
      <c r="O465" s="236"/>
      <c r="P465" s="228"/>
      <c r="Q465" s="228"/>
      <c r="R465" s="228"/>
      <c r="S465" s="228"/>
      <c r="T465" s="228"/>
      <c r="U465" s="228"/>
      <c r="V465" s="228"/>
      <c r="W465" s="228"/>
      <c r="X465" s="228"/>
      <c r="Y465" s="228"/>
      <c r="Z465" s="228"/>
      <c r="AA465" s="228"/>
      <c r="AB465" s="228"/>
      <c r="AC465" s="228"/>
      <c r="AD465" s="228"/>
      <c r="AE465" s="228"/>
      <c r="AF465" s="228"/>
      <c r="AG465" s="228"/>
      <c r="AH465" s="228"/>
      <c r="AI465" s="228"/>
      <c r="AJ465" s="228"/>
      <c r="AK465" s="228"/>
      <c r="AL465" s="228"/>
      <c r="AM465" s="228"/>
    </row>
    <row r="466">
      <c r="A466" s="228"/>
      <c r="B466" s="228"/>
      <c r="C466" s="228"/>
      <c r="D466" s="228"/>
      <c r="E466" s="228"/>
      <c r="F466" s="228"/>
      <c r="G466" s="228"/>
      <c r="H466" s="241"/>
      <c r="I466" s="228"/>
      <c r="J466" s="228"/>
      <c r="K466" s="228"/>
      <c r="L466" s="228"/>
      <c r="M466" s="228"/>
      <c r="N466" s="228"/>
      <c r="O466" s="236"/>
      <c r="P466" s="228"/>
      <c r="Q466" s="228"/>
      <c r="R466" s="228"/>
      <c r="S466" s="228"/>
      <c r="T466" s="228"/>
      <c r="U466" s="228"/>
      <c r="V466" s="228"/>
      <c r="W466" s="228"/>
      <c r="X466" s="228"/>
      <c r="Y466" s="228"/>
      <c r="Z466" s="228"/>
      <c r="AA466" s="228"/>
      <c r="AB466" s="228"/>
      <c r="AC466" s="228"/>
      <c r="AD466" s="228"/>
      <c r="AE466" s="228"/>
      <c r="AF466" s="228"/>
      <c r="AG466" s="228"/>
      <c r="AH466" s="228"/>
      <c r="AI466" s="228"/>
      <c r="AJ466" s="228"/>
      <c r="AK466" s="228"/>
      <c r="AL466" s="228"/>
      <c r="AM466" s="228"/>
    </row>
    <row r="467">
      <c r="A467" s="228"/>
      <c r="B467" s="228"/>
      <c r="C467" s="228"/>
      <c r="D467" s="228"/>
      <c r="E467" s="228"/>
      <c r="F467" s="228"/>
      <c r="G467" s="228"/>
      <c r="H467" s="241"/>
      <c r="I467" s="228"/>
      <c r="J467" s="228"/>
      <c r="K467" s="228"/>
      <c r="L467" s="228"/>
      <c r="M467" s="228"/>
      <c r="N467" s="228"/>
      <c r="O467" s="236"/>
      <c r="P467" s="228"/>
      <c r="Q467" s="228"/>
      <c r="R467" s="228"/>
      <c r="S467" s="228"/>
      <c r="T467" s="228"/>
      <c r="U467" s="228"/>
      <c r="V467" s="228"/>
      <c r="W467" s="228"/>
      <c r="X467" s="228"/>
      <c r="Y467" s="228"/>
      <c r="Z467" s="228"/>
      <c r="AA467" s="228"/>
      <c r="AB467" s="228"/>
      <c r="AC467" s="228"/>
      <c r="AD467" s="228"/>
      <c r="AE467" s="228"/>
      <c r="AF467" s="228"/>
      <c r="AG467" s="228"/>
      <c r="AH467" s="228"/>
      <c r="AI467" s="228"/>
      <c r="AJ467" s="228"/>
      <c r="AK467" s="228"/>
      <c r="AL467" s="228"/>
      <c r="AM467" s="228"/>
    </row>
    <row r="468">
      <c r="A468" s="228"/>
      <c r="B468" s="228"/>
      <c r="C468" s="228"/>
      <c r="D468" s="228"/>
      <c r="E468" s="228"/>
      <c r="F468" s="228"/>
      <c r="G468" s="228"/>
      <c r="H468" s="241"/>
      <c r="I468" s="228"/>
      <c r="J468" s="228"/>
      <c r="K468" s="228"/>
      <c r="L468" s="228"/>
      <c r="M468" s="228"/>
      <c r="N468" s="228"/>
      <c r="O468" s="236"/>
      <c r="P468" s="228"/>
      <c r="Q468" s="228"/>
      <c r="R468" s="228"/>
      <c r="S468" s="228"/>
      <c r="T468" s="228"/>
      <c r="U468" s="228"/>
      <c r="V468" s="228"/>
      <c r="W468" s="228"/>
      <c r="X468" s="228"/>
      <c r="Y468" s="228"/>
      <c r="Z468" s="228"/>
      <c r="AA468" s="228"/>
      <c r="AB468" s="228"/>
      <c r="AC468" s="228"/>
      <c r="AD468" s="228"/>
      <c r="AE468" s="228"/>
      <c r="AF468" s="228"/>
      <c r="AG468" s="228"/>
      <c r="AH468" s="228"/>
      <c r="AI468" s="228"/>
      <c r="AJ468" s="228"/>
      <c r="AK468" s="228"/>
      <c r="AL468" s="228"/>
      <c r="AM468" s="228"/>
    </row>
    <row r="469">
      <c r="A469" s="228"/>
      <c r="B469" s="228"/>
      <c r="C469" s="228"/>
      <c r="D469" s="228"/>
      <c r="E469" s="228"/>
      <c r="F469" s="228"/>
      <c r="G469" s="228"/>
      <c r="H469" s="241"/>
      <c r="I469" s="228"/>
      <c r="J469" s="228"/>
      <c r="K469" s="228"/>
      <c r="L469" s="228"/>
      <c r="M469" s="228"/>
      <c r="N469" s="228"/>
      <c r="O469" s="236"/>
      <c r="P469" s="228"/>
      <c r="Q469" s="228"/>
      <c r="R469" s="228"/>
      <c r="S469" s="228"/>
      <c r="T469" s="228"/>
      <c r="U469" s="228"/>
      <c r="V469" s="228"/>
      <c r="W469" s="228"/>
      <c r="X469" s="228"/>
      <c r="Y469" s="228"/>
      <c r="Z469" s="228"/>
      <c r="AA469" s="228"/>
      <c r="AB469" s="228"/>
      <c r="AC469" s="228"/>
      <c r="AD469" s="228"/>
      <c r="AE469" s="228"/>
      <c r="AF469" s="228"/>
      <c r="AG469" s="228"/>
      <c r="AH469" s="228"/>
      <c r="AI469" s="228"/>
      <c r="AJ469" s="228"/>
      <c r="AK469" s="228"/>
      <c r="AL469" s="228"/>
      <c r="AM469" s="228"/>
    </row>
    <row r="470">
      <c r="A470" s="228"/>
      <c r="B470" s="228"/>
      <c r="C470" s="228"/>
      <c r="D470" s="228"/>
      <c r="E470" s="228"/>
      <c r="F470" s="228"/>
      <c r="G470" s="228"/>
      <c r="H470" s="241"/>
      <c r="I470" s="228"/>
      <c r="J470" s="228"/>
      <c r="K470" s="228"/>
      <c r="L470" s="228"/>
      <c r="M470" s="228"/>
      <c r="N470" s="228"/>
      <c r="O470" s="236"/>
      <c r="P470" s="228"/>
      <c r="Q470" s="228"/>
      <c r="R470" s="228"/>
      <c r="S470" s="228"/>
      <c r="T470" s="228"/>
      <c r="U470" s="228"/>
      <c r="V470" s="228"/>
      <c r="W470" s="228"/>
      <c r="X470" s="228"/>
      <c r="Y470" s="228"/>
      <c r="Z470" s="228"/>
      <c r="AA470" s="228"/>
      <c r="AB470" s="228"/>
      <c r="AC470" s="228"/>
      <c r="AD470" s="228"/>
      <c r="AE470" s="228"/>
      <c r="AF470" s="228"/>
      <c r="AG470" s="228"/>
      <c r="AH470" s="228"/>
      <c r="AI470" s="228"/>
      <c r="AJ470" s="228"/>
      <c r="AK470" s="228"/>
      <c r="AL470" s="228"/>
      <c r="AM470" s="228"/>
    </row>
    <row r="471">
      <c r="A471" s="228"/>
      <c r="B471" s="228"/>
      <c r="C471" s="228"/>
      <c r="D471" s="228"/>
      <c r="E471" s="228"/>
      <c r="F471" s="228"/>
      <c r="G471" s="228"/>
      <c r="H471" s="241"/>
      <c r="I471" s="228"/>
      <c r="J471" s="228"/>
      <c r="K471" s="228"/>
      <c r="L471" s="228"/>
      <c r="M471" s="228"/>
      <c r="N471" s="228"/>
      <c r="O471" s="236"/>
      <c r="P471" s="228"/>
      <c r="Q471" s="228"/>
      <c r="R471" s="228"/>
      <c r="S471" s="228"/>
      <c r="T471" s="228"/>
      <c r="U471" s="228"/>
      <c r="V471" s="228"/>
      <c r="W471" s="228"/>
      <c r="X471" s="228"/>
      <c r="Y471" s="228"/>
      <c r="Z471" s="228"/>
      <c r="AA471" s="228"/>
      <c r="AB471" s="228"/>
      <c r="AC471" s="228"/>
      <c r="AD471" s="228"/>
      <c r="AE471" s="228"/>
      <c r="AF471" s="228"/>
      <c r="AG471" s="228"/>
      <c r="AH471" s="228"/>
      <c r="AI471" s="228"/>
      <c r="AJ471" s="228"/>
      <c r="AK471" s="228"/>
      <c r="AL471" s="228"/>
      <c r="AM471" s="228"/>
    </row>
    <row r="472">
      <c r="A472" s="228"/>
      <c r="B472" s="228"/>
      <c r="C472" s="228"/>
      <c r="D472" s="228"/>
      <c r="E472" s="228"/>
      <c r="F472" s="228"/>
      <c r="G472" s="228"/>
      <c r="H472" s="241"/>
      <c r="I472" s="228"/>
      <c r="J472" s="228"/>
      <c r="K472" s="228"/>
      <c r="L472" s="228"/>
      <c r="M472" s="228"/>
      <c r="N472" s="228"/>
      <c r="O472" s="236"/>
      <c r="P472" s="228"/>
      <c r="Q472" s="228"/>
      <c r="R472" s="228"/>
      <c r="S472" s="228"/>
      <c r="T472" s="228"/>
      <c r="U472" s="228"/>
      <c r="V472" s="228"/>
      <c r="W472" s="228"/>
      <c r="X472" s="228"/>
      <c r="Y472" s="228"/>
      <c r="Z472" s="228"/>
      <c r="AA472" s="228"/>
      <c r="AB472" s="228"/>
      <c r="AC472" s="228"/>
      <c r="AD472" s="228"/>
      <c r="AE472" s="228"/>
      <c r="AF472" s="228"/>
      <c r="AG472" s="228"/>
      <c r="AH472" s="228"/>
      <c r="AI472" s="228"/>
      <c r="AJ472" s="228"/>
      <c r="AK472" s="228"/>
      <c r="AL472" s="228"/>
      <c r="AM472" s="228"/>
    </row>
    <row r="473">
      <c r="A473" s="228"/>
      <c r="B473" s="228"/>
      <c r="C473" s="228"/>
      <c r="D473" s="228"/>
      <c r="E473" s="228"/>
      <c r="F473" s="228"/>
      <c r="G473" s="228"/>
      <c r="H473" s="241"/>
      <c r="I473" s="228"/>
      <c r="J473" s="228"/>
      <c r="K473" s="228"/>
      <c r="L473" s="228"/>
      <c r="M473" s="228"/>
      <c r="N473" s="228"/>
      <c r="O473" s="236"/>
      <c r="P473" s="228"/>
      <c r="Q473" s="228"/>
      <c r="R473" s="228"/>
      <c r="S473" s="228"/>
      <c r="T473" s="228"/>
      <c r="U473" s="228"/>
      <c r="V473" s="228"/>
      <c r="W473" s="228"/>
      <c r="X473" s="228"/>
      <c r="Y473" s="228"/>
      <c r="Z473" s="228"/>
      <c r="AA473" s="228"/>
      <c r="AB473" s="228"/>
      <c r="AC473" s="228"/>
      <c r="AD473" s="228"/>
      <c r="AE473" s="228"/>
      <c r="AF473" s="228"/>
      <c r="AG473" s="228"/>
      <c r="AH473" s="228"/>
      <c r="AI473" s="228"/>
      <c r="AJ473" s="228"/>
      <c r="AK473" s="228"/>
      <c r="AL473" s="228"/>
      <c r="AM473" s="228"/>
    </row>
    <row r="474">
      <c r="A474" s="228"/>
      <c r="B474" s="228"/>
      <c r="C474" s="228"/>
      <c r="D474" s="228"/>
      <c r="E474" s="228"/>
      <c r="F474" s="228"/>
      <c r="G474" s="228"/>
      <c r="H474" s="241"/>
      <c r="I474" s="228"/>
      <c r="J474" s="228"/>
      <c r="K474" s="228"/>
      <c r="L474" s="228"/>
      <c r="M474" s="228"/>
      <c r="N474" s="228"/>
      <c r="O474" s="236"/>
      <c r="P474" s="228"/>
      <c r="Q474" s="228"/>
      <c r="R474" s="228"/>
      <c r="S474" s="228"/>
      <c r="T474" s="228"/>
      <c r="U474" s="228"/>
      <c r="V474" s="228"/>
      <c r="W474" s="228"/>
      <c r="X474" s="228"/>
      <c r="Y474" s="228"/>
      <c r="Z474" s="228"/>
      <c r="AA474" s="228"/>
      <c r="AB474" s="228"/>
      <c r="AC474" s="228"/>
      <c r="AD474" s="228"/>
      <c r="AE474" s="228"/>
      <c r="AF474" s="228"/>
      <c r="AG474" s="228"/>
      <c r="AH474" s="228"/>
      <c r="AI474" s="228"/>
      <c r="AJ474" s="228"/>
      <c r="AK474" s="228"/>
      <c r="AL474" s="228"/>
      <c r="AM474" s="228"/>
    </row>
    <row r="475">
      <c r="A475" s="228"/>
      <c r="B475" s="228"/>
      <c r="C475" s="228"/>
      <c r="D475" s="228"/>
      <c r="E475" s="228"/>
      <c r="F475" s="228"/>
      <c r="G475" s="228"/>
      <c r="H475" s="241"/>
      <c r="I475" s="228"/>
      <c r="J475" s="228"/>
      <c r="K475" s="228"/>
      <c r="L475" s="228"/>
      <c r="M475" s="228"/>
      <c r="N475" s="228"/>
      <c r="O475" s="236"/>
      <c r="P475" s="228"/>
      <c r="Q475" s="228"/>
      <c r="R475" s="228"/>
      <c r="S475" s="228"/>
      <c r="T475" s="228"/>
      <c r="U475" s="228"/>
      <c r="V475" s="228"/>
      <c r="W475" s="228"/>
      <c r="X475" s="228"/>
      <c r="Y475" s="228"/>
      <c r="Z475" s="228"/>
      <c r="AA475" s="228"/>
      <c r="AB475" s="228"/>
      <c r="AC475" s="228"/>
      <c r="AD475" s="228"/>
      <c r="AE475" s="228"/>
      <c r="AF475" s="228"/>
      <c r="AG475" s="228"/>
      <c r="AH475" s="228"/>
      <c r="AI475" s="228"/>
      <c r="AJ475" s="228"/>
      <c r="AK475" s="228"/>
      <c r="AL475" s="228"/>
      <c r="AM475" s="228"/>
    </row>
    <row r="476">
      <c r="A476" s="228"/>
      <c r="B476" s="228"/>
      <c r="C476" s="228"/>
      <c r="D476" s="228"/>
      <c r="E476" s="228"/>
      <c r="F476" s="228"/>
      <c r="G476" s="228"/>
      <c r="H476" s="241"/>
      <c r="I476" s="228"/>
      <c r="J476" s="228"/>
      <c r="K476" s="228"/>
      <c r="L476" s="228"/>
      <c r="M476" s="228"/>
      <c r="N476" s="228"/>
      <c r="O476" s="236"/>
      <c r="P476" s="228"/>
      <c r="Q476" s="228"/>
      <c r="R476" s="228"/>
      <c r="S476" s="228"/>
      <c r="T476" s="228"/>
      <c r="U476" s="228"/>
      <c r="V476" s="228"/>
      <c r="W476" s="228"/>
      <c r="X476" s="228"/>
      <c r="Y476" s="228"/>
      <c r="Z476" s="228"/>
      <c r="AA476" s="228"/>
      <c r="AB476" s="228"/>
      <c r="AC476" s="228"/>
      <c r="AD476" s="228"/>
      <c r="AE476" s="228"/>
      <c r="AF476" s="228"/>
      <c r="AG476" s="228"/>
      <c r="AH476" s="228"/>
      <c r="AI476" s="228"/>
      <c r="AJ476" s="228"/>
      <c r="AK476" s="228"/>
      <c r="AL476" s="228"/>
      <c r="AM476" s="228"/>
    </row>
    <row r="477">
      <c r="A477" s="228"/>
      <c r="B477" s="228"/>
      <c r="C477" s="228"/>
      <c r="D477" s="228"/>
      <c r="E477" s="228"/>
      <c r="F477" s="228"/>
      <c r="G477" s="228"/>
      <c r="H477" s="241"/>
      <c r="I477" s="228"/>
      <c r="J477" s="228"/>
      <c r="K477" s="228"/>
      <c r="L477" s="228"/>
      <c r="M477" s="228"/>
      <c r="N477" s="228"/>
      <c r="O477" s="236"/>
      <c r="P477" s="228"/>
      <c r="Q477" s="228"/>
      <c r="R477" s="228"/>
      <c r="S477" s="228"/>
      <c r="T477" s="228"/>
      <c r="U477" s="228"/>
      <c r="V477" s="228"/>
      <c r="W477" s="228"/>
      <c r="X477" s="228"/>
      <c r="Y477" s="228"/>
      <c r="Z477" s="228"/>
      <c r="AA477" s="228"/>
      <c r="AB477" s="228"/>
      <c r="AC477" s="228"/>
      <c r="AD477" s="228"/>
      <c r="AE477" s="228"/>
      <c r="AF477" s="228"/>
      <c r="AG477" s="228"/>
      <c r="AH477" s="228"/>
      <c r="AI477" s="228"/>
      <c r="AJ477" s="228"/>
      <c r="AK477" s="228"/>
      <c r="AL477" s="228"/>
      <c r="AM477" s="228"/>
    </row>
    <row r="478">
      <c r="A478" s="228"/>
      <c r="B478" s="228"/>
      <c r="C478" s="228"/>
      <c r="D478" s="228"/>
      <c r="E478" s="228"/>
      <c r="F478" s="228"/>
      <c r="G478" s="228"/>
      <c r="H478" s="241"/>
      <c r="I478" s="228"/>
      <c r="J478" s="228"/>
      <c r="K478" s="228"/>
      <c r="L478" s="228"/>
      <c r="M478" s="228"/>
      <c r="N478" s="228"/>
      <c r="O478" s="236"/>
      <c r="P478" s="228"/>
      <c r="Q478" s="228"/>
      <c r="R478" s="228"/>
      <c r="S478" s="228"/>
      <c r="T478" s="228"/>
      <c r="U478" s="228"/>
      <c r="V478" s="228"/>
      <c r="W478" s="228"/>
      <c r="X478" s="228"/>
      <c r="Y478" s="228"/>
      <c r="Z478" s="228"/>
      <c r="AA478" s="228"/>
      <c r="AB478" s="228"/>
      <c r="AC478" s="228"/>
      <c r="AD478" s="228"/>
      <c r="AE478" s="228"/>
      <c r="AF478" s="228"/>
      <c r="AG478" s="228"/>
      <c r="AH478" s="228"/>
      <c r="AI478" s="228"/>
      <c r="AJ478" s="228"/>
      <c r="AK478" s="228"/>
      <c r="AL478" s="228"/>
      <c r="AM478" s="228"/>
    </row>
    <row r="479">
      <c r="A479" s="228"/>
      <c r="B479" s="228"/>
      <c r="C479" s="228"/>
      <c r="D479" s="228"/>
      <c r="E479" s="228"/>
      <c r="F479" s="228"/>
      <c r="G479" s="228"/>
      <c r="H479" s="241"/>
      <c r="I479" s="228"/>
      <c r="J479" s="228"/>
      <c r="K479" s="228"/>
      <c r="L479" s="228"/>
      <c r="M479" s="228"/>
      <c r="N479" s="228"/>
      <c r="O479" s="236"/>
      <c r="P479" s="228"/>
      <c r="Q479" s="228"/>
      <c r="R479" s="228"/>
      <c r="S479" s="228"/>
      <c r="T479" s="228"/>
      <c r="U479" s="228"/>
      <c r="V479" s="228"/>
      <c r="W479" s="228"/>
      <c r="X479" s="228"/>
      <c r="Y479" s="228"/>
      <c r="Z479" s="228"/>
      <c r="AA479" s="228"/>
      <c r="AB479" s="228"/>
      <c r="AC479" s="228"/>
      <c r="AD479" s="228"/>
      <c r="AE479" s="228"/>
      <c r="AF479" s="228"/>
      <c r="AG479" s="228"/>
      <c r="AH479" s="228"/>
      <c r="AI479" s="228"/>
      <c r="AJ479" s="228"/>
      <c r="AK479" s="228"/>
      <c r="AL479" s="228"/>
      <c r="AM479" s="228"/>
    </row>
    <row r="480">
      <c r="A480" s="228"/>
      <c r="B480" s="228"/>
      <c r="C480" s="228"/>
      <c r="D480" s="228"/>
      <c r="E480" s="228"/>
      <c r="F480" s="228"/>
      <c r="G480" s="228"/>
      <c r="H480" s="241"/>
      <c r="I480" s="228"/>
      <c r="J480" s="228"/>
      <c r="K480" s="228"/>
      <c r="L480" s="228"/>
      <c r="M480" s="228"/>
      <c r="N480" s="228"/>
      <c r="O480" s="236"/>
      <c r="P480" s="228"/>
      <c r="Q480" s="228"/>
      <c r="R480" s="228"/>
      <c r="S480" s="228"/>
      <c r="T480" s="228"/>
      <c r="U480" s="228"/>
      <c r="V480" s="228"/>
      <c r="W480" s="228"/>
      <c r="X480" s="228"/>
      <c r="Y480" s="228"/>
      <c r="Z480" s="228"/>
      <c r="AA480" s="228"/>
      <c r="AB480" s="228"/>
      <c r="AC480" s="228"/>
      <c r="AD480" s="228"/>
      <c r="AE480" s="228"/>
      <c r="AF480" s="228"/>
      <c r="AG480" s="228"/>
      <c r="AH480" s="228"/>
      <c r="AI480" s="228"/>
      <c r="AJ480" s="228"/>
      <c r="AK480" s="228"/>
      <c r="AL480" s="228"/>
      <c r="AM480" s="228"/>
    </row>
    <row r="481">
      <c r="A481" s="228"/>
      <c r="B481" s="228"/>
      <c r="C481" s="228"/>
      <c r="D481" s="228"/>
      <c r="E481" s="228"/>
      <c r="F481" s="228"/>
      <c r="G481" s="228"/>
      <c r="H481" s="241"/>
      <c r="I481" s="228"/>
      <c r="J481" s="228"/>
      <c r="K481" s="228"/>
      <c r="L481" s="228"/>
      <c r="M481" s="228"/>
      <c r="N481" s="228"/>
      <c r="O481" s="236"/>
      <c r="P481" s="228"/>
      <c r="Q481" s="228"/>
      <c r="R481" s="228"/>
      <c r="S481" s="228"/>
      <c r="T481" s="228"/>
      <c r="U481" s="228"/>
      <c r="V481" s="228"/>
      <c r="W481" s="228"/>
      <c r="X481" s="228"/>
      <c r="Y481" s="228"/>
      <c r="Z481" s="228"/>
      <c r="AA481" s="228"/>
      <c r="AB481" s="228"/>
      <c r="AC481" s="228"/>
      <c r="AD481" s="228"/>
      <c r="AE481" s="228"/>
      <c r="AF481" s="228"/>
      <c r="AG481" s="228"/>
      <c r="AH481" s="228"/>
      <c r="AI481" s="228"/>
      <c r="AJ481" s="228"/>
      <c r="AK481" s="228"/>
      <c r="AL481" s="228"/>
      <c r="AM481" s="228"/>
    </row>
    <row r="482">
      <c r="A482" s="228"/>
      <c r="B482" s="228"/>
      <c r="C482" s="228"/>
      <c r="D482" s="228"/>
      <c r="E482" s="228"/>
      <c r="F482" s="228"/>
      <c r="G482" s="228"/>
      <c r="H482" s="241"/>
      <c r="I482" s="228"/>
      <c r="J482" s="228"/>
      <c r="K482" s="228"/>
      <c r="L482" s="228"/>
      <c r="M482" s="228"/>
      <c r="N482" s="228"/>
      <c r="O482" s="236"/>
      <c r="P482" s="228"/>
      <c r="Q482" s="228"/>
      <c r="R482" s="228"/>
      <c r="S482" s="228"/>
      <c r="T482" s="228"/>
      <c r="U482" s="228"/>
      <c r="V482" s="228"/>
      <c r="W482" s="228"/>
      <c r="X482" s="228"/>
      <c r="Y482" s="228"/>
      <c r="Z482" s="228"/>
      <c r="AA482" s="228"/>
      <c r="AB482" s="228"/>
      <c r="AC482" s="228"/>
      <c r="AD482" s="228"/>
      <c r="AE482" s="228"/>
      <c r="AF482" s="228"/>
      <c r="AG482" s="228"/>
      <c r="AH482" s="228"/>
      <c r="AI482" s="228"/>
      <c r="AJ482" s="228"/>
      <c r="AK482" s="228"/>
      <c r="AL482" s="228"/>
      <c r="AM482" s="228"/>
    </row>
    <row r="483">
      <c r="A483" s="228"/>
      <c r="B483" s="228"/>
      <c r="C483" s="228"/>
      <c r="D483" s="228"/>
      <c r="E483" s="228"/>
      <c r="F483" s="228"/>
      <c r="G483" s="228"/>
      <c r="H483" s="241"/>
      <c r="I483" s="228"/>
      <c r="J483" s="228"/>
      <c r="K483" s="228"/>
      <c r="L483" s="228"/>
      <c r="M483" s="228"/>
      <c r="N483" s="228"/>
      <c r="O483" s="236"/>
      <c r="P483" s="228"/>
      <c r="Q483" s="228"/>
      <c r="R483" s="228"/>
      <c r="S483" s="228"/>
      <c r="T483" s="228"/>
      <c r="U483" s="228"/>
      <c r="V483" s="228"/>
      <c r="W483" s="228"/>
      <c r="X483" s="228"/>
      <c r="Y483" s="228"/>
      <c r="Z483" s="228"/>
      <c r="AA483" s="228"/>
      <c r="AB483" s="228"/>
      <c r="AC483" s="228"/>
      <c r="AD483" s="228"/>
      <c r="AE483" s="228"/>
      <c r="AF483" s="228"/>
      <c r="AG483" s="228"/>
      <c r="AH483" s="228"/>
      <c r="AI483" s="228"/>
      <c r="AJ483" s="228"/>
      <c r="AK483" s="228"/>
      <c r="AL483" s="228"/>
      <c r="AM483" s="228"/>
    </row>
    <row r="484">
      <c r="A484" s="228"/>
      <c r="B484" s="228"/>
      <c r="C484" s="228"/>
      <c r="D484" s="228"/>
      <c r="E484" s="228"/>
      <c r="F484" s="228"/>
      <c r="G484" s="228"/>
      <c r="H484" s="241"/>
      <c r="I484" s="228"/>
      <c r="J484" s="228"/>
      <c r="K484" s="228"/>
      <c r="L484" s="228"/>
      <c r="M484" s="228"/>
      <c r="N484" s="228"/>
      <c r="O484" s="236"/>
      <c r="P484" s="228"/>
      <c r="Q484" s="228"/>
      <c r="R484" s="228"/>
      <c r="S484" s="228"/>
      <c r="T484" s="228"/>
      <c r="U484" s="228"/>
      <c r="V484" s="228"/>
      <c r="W484" s="228"/>
      <c r="X484" s="228"/>
      <c r="Y484" s="228"/>
      <c r="Z484" s="228"/>
      <c r="AA484" s="228"/>
      <c r="AB484" s="228"/>
      <c r="AC484" s="228"/>
      <c r="AD484" s="228"/>
      <c r="AE484" s="228"/>
      <c r="AF484" s="228"/>
      <c r="AG484" s="228"/>
      <c r="AH484" s="228"/>
      <c r="AI484" s="228"/>
      <c r="AJ484" s="228"/>
      <c r="AK484" s="228"/>
      <c r="AL484" s="228"/>
      <c r="AM484" s="228"/>
    </row>
    <row r="485">
      <c r="A485" s="228"/>
      <c r="B485" s="228"/>
      <c r="C485" s="228"/>
      <c r="D485" s="228"/>
      <c r="E485" s="228"/>
      <c r="F485" s="228"/>
      <c r="G485" s="228"/>
      <c r="H485" s="241"/>
      <c r="I485" s="228"/>
      <c r="J485" s="228"/>
      <c r="K485" s="228"/>
      <c r="L485" s="228"/>
      <c r="M485" s="228"/>
      <c r="N485" s="228"/>
      <c r="O485" s="236"/>
      <c r="P485" s="228"/>
      <c r="Q485" s="228"/>
      <c r="R485" s="228"/>
      <c r="S485" s="228"/>
      <c r="T485" s="228"/>
      <c r="U485" s="228"/>
      <c r="V485" s="228"/>
      <c r="W485" s="228"/>
      <c r="X485" s="228"/>
      <c r="Y485" s="228"/>
      <c r="Z485" s="228"/>
      <c r="AA485" s="228"/>
      <c r="AB485" s="228"/>
      <c r="AC485" s="228"/>
      <c r="AD485" s="228"/>
      <c r="AE485" s="228"/>
      <c r="AF485" s="228"/>
      <c r="AG485" s="228"/>
      <c r="AH485" s="228"/>
      <c r="AI485" s="228"/>
      <c r="AJ485" s="228"/>
      <c r="AK485" s="228"/>
      <c r="AL485" s="228"/>
      <c r="AM485" s="228"/>
    </row>
    <row r="486">
      <c r="A486" s="228"/>
      <c r="B486" s="228"/>
      <c r="C486" s="228"/>
      <c r="D486" s="228"/>
      <c r="E486" s="228"/>
      <c r="F486" s="228"/>
      <c r="G486" s="228"/>
      <c r="H486" s="241"/>
      <c r="I486" s="228"/>
      <c r="J486" s="228"/>
      <c r="K486" s="228"/>
      <c r="L486" s="228"/>
      <c r="M486" s="228"/>
      <c r="N486" s="228"/>
      <c r="O486" s="236"/>
      <c r="P486" s="228"/>
      <c r="Q486" s="228"/>
      <c r="R486" s="228"/>
      <c r="S486" s="228"/>
      <c r="T486" s="228"/>
      <c r="U486" s="228"/>
      <c r="V486" s="228"/>
      <c r="W486" s="228"/>
      <c r="X486" s="228"/>
      <c r="Y486" s="228"/>
      <c r="Z486" s="228"/>
      <c r="AA486" s="228"/>
      <c r="AB486" s="228"/>
      <c r="AC486" s="228"/>
      <c r="AD486" s="228"/>
      <c r="AE486" s="228"/>
      <c r="AF486" s="228"/>
      <c r="AG486" s="228"/>
      <c r="AH486" s="228"/>
      <c r="AI486" s="228"/>
      <c r="AJ486" s="228"/>
      <c r="AK486" s="228"/>
      <c r="AL486" s="228"/>
      <c r="AM486" s="228"/>
    </row>
    <row r="487">
      <c r="A487" s="228"/>
      <c r="B487" s="228"/>
      <c r="C487" s="228"/>
      <c r="D487" s="228"/>
      <c r="E487" s="228"/>
      <c r="F487" s="228"/>
      <c r="G487" s="228"/>
      <c r="H487" s="241"/>
      <c r="I487" s="228"/>
      <c r="J487" s="228"/>
      <c r="K487" s="228"/>
      <c r="L487" s="228"/>
      <c r="M487" s="228"/>
      <c r="N487" s="228"/>
      <c r="O487" s="236"/>
      <c r="P487" s="228"/>
      <c r="Q487" s="228"/>
      <c r="R487" s="228"/>
      <c r="S487" s="228"/>
      <c r="T487" s="228"/>
      <c r="U487" s="228"/>
      <c r="V487" s="228"/>
      <c r="W487" s="228"/>
      <c r="X487" s="228"/>
      <c r="Y487" s="228"/>
      <c r="Z487" s="228"/>
      <c r="AA487" s="228"/>
      <c r="AB487" s="228"/>
      <c r="AC487" s="228"/>
      <c r="AD487" s="228"/>
      <c r="AE487" s="228"/>
      <c r="AF487" s="228"/>
      <c r="AG487" s="228"/>
      <c r="AH487" s="228"/>
      <c r="AI487" s="228"/>
      <c r="AJ487" s="228"/>
      <c r="AK487" s="228"/>
      <c r="AL487" s="228"/>
      <c r="AM487" s="228"/>
    </row>
    <row r="488">
      <c r="A488" s="228"/>
      <c r="B488" s="228"/>
      <c r="C488" s="228"/>
      <c r="D488" s="228"/>
      <c r="E488" s="228"/>
      <c r="F488" s="228"/>
      <c r="G488" s="228"/>
      <c r="H488" s="241"/>
      <c r="I488" s="228"/>
      <c r="J488" s="228"/>
      <c r="K488" s="228"/>
      <c r="L488" s="228"/>
      <c r="M488" s="228"/>
      <c r="N488" s="228"/>
      <c r="O488" s="236"/>
      <c r="P488" s="228"/>
      <c r="Q488" s="228"/>
      <c r="R488" s="228"/>
      <c r="S488" s="228"/>
      <c r="T488" s="228"/>
      <c r="U488" s="228"/>
      <c r="V488" s="228"/>
      <c r="W488" s="228"/>
      <c r="X488" s="228"/>
      <c r="Y488" s="228"/>
      <c r="Z488" s="228"/>
      <c r="AA488" s="228"/>
      <c r="AB488" s="228"/>
      <c r="AC488" s="228"/>
      <c r="AD488" s="228"/>
      <c r="AE488" s="228"/>
      <c r="AF488" s="228"/>
      <c r="AG488" s="228"/>
      <c r="AH488" s="228"/>
      <c r="AI488" s="228"/>
      <c r="AJ488" s="228"/>
      <c r="AK488" s="228"/>
      <c r="AL488" s="228"/>
      <c r="AM488" s="228"/>
    </row>
    <row r="489">
      <c r="A489" s="228"/>
      <c r="B489" s="228"/>
      <c r="C489" s="228"/>
      <c r="D489" s="228"/>
      <c r="E489" s="228"/>
      <c r="F489" s="228"/>
      <c r="G489" s="228"/>
      <c r="H489" s="241"/>
      <c r="I489" s="228"/>
      <c r="J489" s="228"/>
      <c r="K489" s="228"/>
      <c r="L489" s="228"/>
      <c r="M489" s="228"/>
      <c r="N489" s="228"/>
      <c r="O489" s="236"/>
      <c r="P489" s="228"/>
      <c r="Q489" s="228"/>
      <c r="R489" s="228"/>
      <c r="S489" s="228"/>
      <c r="T489" s="228"/>
      <c r="U489" s="228"/>
      <c r="V489" s="228"/>
      <c r="W489" s="228"/>
      <c r="X489" s="228"/>
      <c r="Y489" s="228"/>
      <c r="Z489" s="228"/>
      <c r="AA489" s="228"/>
      <c r="AB489" s="228"/>
      <c r="AC489" s="228"/>
      <c r="AD489" s="228"/>
      <c r="AE489" s="228"/>
      <c r="AF489" s="228"/>
      <c r="AG489" s="228"/>
      <c r="AH489" s="228"/>
      <c r="AI489" s="228"/>
      <c r="AJ489" s="228"/>
      <c r="AK489" s="228"/>
      <c r="AL489" s="228"/>
      <c r="AM489" s="228"/>
    </row>
    <row r="490">
      <c r="A490" s="228"/>
      <c r="B490" s="228"/>
      <c r="C490" s="228"/>
      <c r="D490" s="228"/>
      <c r="E490" s="228"/>
      <c r="F490" s="228"/>
      <c r="G490" s="228"/>
      <c r="H490" s="241"/>
      <c r="I490" s="228"/>
      <c r="J490" s="228"/>
      <c r="K490" s="228"/>
      <c r="L490" s="228"/>
      <c r="M490" s="228"/>
      <c r="N490" s="228"/>
      <c r="O490" s="236"/>
      <c r="P490" s="228"/>
      <c r="Q490" s="228"/>
      <c r="R490" s="228"/>
      <c r="S490" s="228"/>
      <c r="T490" s="228"/>
      <c r="U490" s="228"/>
      <c r="V490" s="228"/>
      <c r="W490" s="228"/>
      <c r="X490" s="228"/>
      <c r="Y490" s="228"/>
      <c r="Z490" s="228"/>
      <c r="AA490" s="228"/>
      <c r="AB490" s="228"/>
      <c r="AC490" s="228"/>
      <c r="AD490" s="228"/>
      <c r="AE490" s="228"/>
      <c r="AF490" s="228"/>
      <c r="AG490" s="228"/>
      <c r="AH490" s="228"/>
      <c r="AI490" s="228"/>
      <c r="AJ490" s="228"/>
      <c r="AK490" s="228"/>
      <c r="AL490" s="228"/>
      <c r="AM490" s="228"/>
    </row>
    <row r="491">
      <c r="A491" s="228"/>
      <c r="B491" s="228"/>
      <c r="C491" s="228"/>
      <c r="D491" s="228"/>
      <c r="E491" s="228"/>
      <c r="F491" s="228"/>
      <c r="G491" s="228"/>
      <c r="H491" s="241"/>
      <c r="I491" s="228"/>
      <c r="J491" s="228"/>
      <c r="K491" s="228"/>
      <c r="L491" s="228"/>
      <c r="M491" s="228"/>
      <c r="N491" s="228"/>
      <c r="O491" s="236"/>
      <c r="P491" s="228"/>
      <c r="Q491" s="228"/>
      <c r="R491" s="228"/>
      <c r="S491" s="228"/>
      <c r="T491" s="228"/>
      <c r="U491" s="228"/>
      <c r="V491" s="228"/>
      <c r="W491" s="228"/>
      <c r="X491" s="228"/>
      <c r="Y491" s="228"/>
      <c r="Z491" s="228"/>
      <c r="AA491" s="228"/>
      <c r="AB491" s="228"/>
      <c r="AC491" s="228"/>
      <c r="AD491" s="228"/>
      <c r="AE491" s="228"/>
      <c r="AF491" s="228"/>
      <c r="AG491" s="228"/>
      <c r="AH491" s="228"/>
      <c r="AI491" s="228"/>
      <c r="AJ491" s="228"/>
      <c r="AK491" s="228"/>
      <c r="AL491" s="228"/>
      <c r="AM491" s="228"/>
    </row>
    <row r="492">
      <c r="A492" s="228"/>
      <c r="B492" s="228"/>
      <c r="C492" s="228"/>
      <c r="D492" s="228"/>
      <c r="E492" s="228"/>
      <c r="F492" s="228"/>
      <c r="G492" s="228"/>
      <c r="H492" s="241"/>
      <c r="I492" s="228"/>
      <c r="J492" s="228"/>
      <c r="K492" s="228"/>
      <c r="L492" s="228"/>
      <c r="M492" s="228"/>
      <c r="N492" s="228"/>
      <c r="O492" s="236"/>
      <c r="P492" s="228"/>
      <c r="Q492" s="228"/>
      <c r="R492" s="228"/>
      <c r="S492" s="228"/>
      <c r="T492" s="228"/>
      <c r="U492" s="228"/>
      <c r="V492" s="228"/>
      <c r="W492" s="228"/>
      <c r="X492" s="228"/>
      <c r="Y492" s="228"/>
      <c r="Z492" s="228"/>
      <c r="AA492" s="228"/>
      <c r="AB492" s="228"/>
      <c r="AC492" s="228"/>
      <c r="AD492" s="228"/>
      <c r="AE492" s="228"/>
      <c r="AF492" s="228"/>
      <c r="AG492" s="228"/>
      <c r="AH492" s="228"/>
      <c r="AI492" s="228"/>
      <c r="AJ492" s="228"/>
      <c r="AK492" s="228"/>
      <c r="AL492" s="228"/>
      <c r="AM492" s="228"/>
    </row>
    <row r="493">
      <c r="A493" s="228"/>
      <c r="B493" s="228"/>
      <c r="C493" s="228"/>
      <c r="D493" s="228"/>
      <c r="E493" s="228"/>
      <c r="F493" s="228"/>
      <c r="G493" s="228"/>
      <c r="H493" s="241"/>
      <c r="I493" s="228"/>
      <c r="J493" s="228"/>
      <c r="K493" s="228"/>
      <c r="L493" s="228"/>
      <c r="M493" s="228"/>
      <c r="N493" s="228"/>
      <c r="O493" s="236"/>
      <c r="P493" s="228"/>
      <c r="Q493" s="228"/>
      <c r="R493" s="228"/>
      <c r="S493" s="228"/>
      <c r="T493" s="228"/>
      <c r="U493" s="228"/>
      <c r="V493" s="228"/>
      <c r="W493" s="228"/>
      <c r="X493" s="228"/>
      <c r="Y493" s="228"/>
      <c r="Z493" s="228"/>
      <c r="AA493" s="228"/>
      <c r="AB493" s="228"/>
      <c r="AC493" s="228"/>
      <c r="AD493" s="228"/>
      <c r="AE493" s="228"/>
      <c r="AF493" s="228"/>
      <c r="AG493" s="228"/>
      <c r="AH493" s="228"/>
      <c r="AI493" s="228"/>
      <c r="AJ493" s="228"/>
      <c r="AK493" s="228"/>
      <c r="AL493" s="228"/>
      <c r="AM493" s="228"/>
    </row>
    <row r="494">
      <c r="A494" s="228"/>
      <c r="B494" s="228"/>
      <c r="C494" s="228"/>
      <c r="D494" s="228"/>
      <c r="E494" s="228"/>
      <c r="F494" s="228"/>
      <c r="G494" s="228"/>
      <c r="H494" s="241"/>
      <c r="I494" s="228"/>
      <c r="J494" s="228"/>
      <c r="K494" s="228"/>
      <c r="L494" s="228"/>
      <c r="M494" s="228"/>
      <c r="N494" s="228"/>
      <c r="O494" s="236"/>
      <c r="P494" s="228"/>
      <c r="Q494" s="228"/>
      <c r="R494" s="228"/>
      <c r="S494" s="228"/>
      <c r="T494" s="228"/>
      <c r="U494" s="228"/>
      <c r="V494" s="228"/>
      <c r="W494" s="228"/>
      <c r="X494" s="228"/>
      <c r="Y494" s="228"/>
      <c r="Z494" s="228"/>
      <c r="AA494" s="228"/>
      <c r="AB494" s="228"/>
      <c r="AC494" s="228"/>
      <c r="AD494" s="228"/>
      <c r="AE494" s="228"/>
      <c r="AF494" s="228"/>
      <c r="AG494" s="228"/>
      <c r="AH494" s="228"/>
      <c r="AI494" s="228"/>
      <c r="AJ494" s="228"/>
      <c r="AK494" s="228"/>
      <c r="AL494" s="228"/>
      <c r="AM494" s="228"/>
    </row>
    <row r="495">
      <c r="A495" s="228"/>
      <c r="B495" s="228"/>
      <c r="C495" s="228"/>
      <c r="D495" s="228"/>
      <c r="E495" s="228"/>
      <c r="F495" s="228"/>
      <c r="G495" s="228"/>
      <c r="H495" s="241"/>
      <c r="I495" s="228"/>
      <c r="J495" s="228"/>
      <c r="K495" s="228"/>
      <c r="L495" s="228"/>
      <c r="M495" s="228"/>
      <c r="N495" s="228"/>
      <c r="O495" s="236"/>
      <c r="P495" s="228"/>
      <c r="Q495" s="228"/>
      <c r="R495" s="228"/>
      <c r="S495" s="228"/>
      <c r="T495" s="228"/>
      <c r="U495" s="228"/>
      <c r="V495" s="228"/>
      <c r="W495" s="228"/>
      <c r="X495" s="228"/>
      <c r="Y495" s="228"/>
      <c r="Z495" s="228"/>
      <c r="AA495" s="228"/>
      <c r="AB495" s="228"/>
      <c r="AC495" s="228"/>
      <c r="AD495" s="228"/>
      <c r="AE495" s="228"/>
      <c r="AF495" s="228"/>
      <c r="AG495" s="228"/>
      <c r="AH495" s="228"/>
      <c r="AI495" s="228"/>
      <c r="AJ495" s="228"/>
      <c r="AK495" s="228"/>
      <c r="AL495" s="228"/>
      <c r="AM495" s="228"/>
    </row>
    <row r="496">
      <c r="A496" s="228"/>
      <c r="B496" s="228"/>
      <c r="C496" s="228"/>
      <c r="D496" s="228"/>
      <c r="E496" s="228"/>
      <c r="F496" s="228"/>
      <c r="G496" s="228"/>
      <c r="H496" s="241"/>
      <c r="I496" s="228"/>
      <c r="J496" s="228"/>
      <c r="K496" s="228"/>
      <c r="L496" s="228"/>
      <c r="M496" s="228"/>
      <c r="N496" s="228"/>
      <c r="O496" s="236"/>
      <c r="P496" s="228"/>
      <c r="Q496" s="228"/>
      <c r="R496" s="228"/>
      <c r="S496" s="228"/>
      <c r="T496" s="228"/>
      <c r="U496" s="228"/>
      <c r="V496" s="228"/>
      <c r="W496" s="228"/>
      <c r="X496" s="228"/>
      <c r="Y496" s="228"/>
      <c r="Z496" s="228"/>
      <c r="AA496" s="228"/>
      <c r="AB496" s="228"/>
      <c r="AC496" s="228"/>
      <c r="AD496" s="228"/>
      <c r="AE496" s="228"/>
      <c r="AF496" s="228"/>
      <c r="AG496" s="228"/>
      <c r="AH496" s="228"/>
      <c r="AI496" s="228"/>
      <c r="AJ496" s="228"/>
      <c r="AK496" s="228"/>
      <c r="AL496" s="228"/>
      <c r="AM496" s="228"/>
    </row>
    <row r="497">
      <c r="A497" s="228"/>
      <c r="B497" s="228"/>
      <c r="C497" s="228"/>
      <c r="D497" s="228"/>
      <c r="E497" s="228"/>
      <c r="F497" s="228"/>
      <c r="G497" s="228"/>
      <c r="H497" s="241"/>
      <c r="I497" s="228"/>
      <c r="J497" s="228"/>
      <c r="K497" s="228"/>
      <c r="L497" s="228"/>
      <c r="M497" s="228"/>
      <c r="N497" s="228"/>
      <c r="O497" s="236"/>
      <c r="P497" s="228"/>
      <c r="Q497" s="228"/>
      <c r="R497" s="228"/>
      <c r="S497" s="228"/>
      <c r="T497" s="228"/>
      <c r="U497" s="228"/>
      <c r="V497" s="228"/>
      <c r="W497" s="228"/>
      <c r="X497" s="228"/>
      <c r="Y497" s="228"/>
      <c r="Z497" s="228"/>
      <c r="AA497" s="228"/>
      <c r="AB497" s="228"/>
      <c r="AC497" s="228"/>
      <c r="AD497" s="228"/>
      <c r="AE497" s="228"/>
      <c r="AF497" s="228"/>
      <c r="AG497" s="228"/>
      <c r="AH497" s="228"/>
      <c r="AI497" s="228"/>
      <c r="AJ497" s="228"/>
      <c r="AK497" s="228"/>
      <c r="AL497" s="228"/>
      <c r="AM497" s="228"/>
    </row>
    <row r="498">
      <c r="A498" s="228"/>
      <c r="B498" s="228"/>
      <c r="C498" s="228"/>
      <c r="D498" s="228"/>
      <c r="E498" s="228"/>
      <c r="F498" s="228"/>
      <c r="G498" s="228"/>
      <c r="H498" s="241"/>
      <c r="I498" s="228"/>
      <c r="J498" s="228"/>
      <c r="K498" s="228"/>
      <c r="L498" s="228"/>
      <c r="M498" s="228"/>
      <c r="N498" s="228"/>
      <c r="O498" s="236"/>
      <c r="P498" s="228"/>
      <c r="Q498" s="228"/>
      <c r="R498" s="228"/>
      <c r="S498" s="228"/>
      <c r="T498" s="228"/>
      <c r="U498" s="228"/>
      <c r="V498" s="228"/>
      <c r="W498" s="228"/>
      <c r="X498" s="228"/>
      <c r="Y498" s="228"/>
      <c r="Z498" s="228"/>
      <c r="AA498" s="228"/>
      <c r="AB498" s="228"/>
      <c r="AC498" s="228"/>
      <c r="AD498" s="228"/>
      <c r="AE498" s="228"/>
      <c r="AF498" s="228"/>
      <c r="AG498" s="228"/>
      <c r="AH498" s="228"/>
      <c r="AI498" s="228"/>
      <c r="AJ498" s="228"/>
      <c r="AK498" s="228"/>
      <c r="AL498" s="228"/>
      <c r="AM498" s="228"/>
    </row>
    <row r="499">
      <c r="A499" s="228"/>
      <c r="B499" s="228"/>
      <c r="C499" s="228"/>
      <c r="D499" s="228"/>
      <c r="E499" s="228"/>
      <c r="F499" s="228"/>
      <c r="G499" s="228"/>
      <c r="H499" s="241"/>
      <c r="I499" s="228"/>
      <c r="J499" s="228"/>
      <c r="K499" s="228"/>
      <c r="L499" s="228"/>
      <c r="M499" s="228"/>
      <c r="N499" s="228"/>
      <c r="O499" s="236"/>
      <c r="P499" s="228"/>
      <c r="Q499" s="228"/>
      <c r="R499" s="228"/>
      <c r="S499" s="228"/>
      <c r="T499" s="228"/>
      <c r="U499" s="228"/>
      <c r="V499" s="228"/>
      <c r="W499" s="228"/>
      <c r="X499" s="228"/>
      <c r="Y499" s="228"/>
      <c r="Z499" s="228"/>
      <c r="AA499" s="228"/>
      <c r="AB499" s="228"/>
      <c r="AC499" s="228"/>
      <c r="AD499" s="228"/>
      <c r="AE499" s="228"/>
      <c r="AF499" s="228"/>
      <c r="AG499" s="228"/>
      <c r="AH499" s="228"/>
      <c r="AI499" s="228"/>
      <c r="AJ499" s="228"/>
      <c r="AK499" s="228"/>
      <c r="AL499" s="228"/>
      <c r="AM499" s="228"/>
    </row>
    <row r="500">
      <c r="A500" s="228"/>
      <c r="B500" s="228"/>
      <c r="C500" s="228"/>
      <c r="D500" s="228"/>
      <c r="E500" s="228"/>
      <c r="F500" s="228"/>
      <c r="G500" s="228"/>
      <c r="H500" s="241"/>
      <c r="I500" s="228"/>
      <c r="J500" s="228"/>
      <c r="K500" s="228"/>
      <c r="L500" s="228"/>
      <c r="M500" s="228"/>
      <c r="N500" s="228"/>
      <c r="O500" s="236"/>
      <c r="P500" s="228"/>
      <c r="Q500" s="228"/>
      <c r="R500" s="228"/>
      <c r="S500" s="228"/>
      <c r="T500" s="228"/>
      <c r="U500" s="228"/>
      <c r="V500" s="228"/>
      <c r="W500" s="228"/>
      <c r="X500" s="228"/>
      <c r="Y500" s="228"/>
      <c r="Z500" s="228"/>
      <c r="AA500" s="228"/>
      <c r="AB500" s="228"/>
      <c r="AC500" s="228"/>
      <c r="AD500" s="228"/>
      <c r="AE500" s="228"/>
      <c r="AF500" s="228"/>
      <c r="AG500" s="228"/>
      <c r="AH500" s="228"/>
      <c r="AI500" s="228"/>
      <c r="AJ500" s="228"/>
      <c r="AK500" s="228"/>
      <c r="AL500" s="228"/>
      <c r="AM500" s="228"/>
    </row>
    <row r="501">
      <c r="A501" s="228"/>
      <c r="B501" s="228"/>
      <c r="C501" s="228"/>
      <c r="D501" s="228"/>
      <c r="E501" s="228"/>
      <c r="F501" s="228"/>
      <c r="G501" s="228"/>
      <c r="H501" s="241"/>
      <c r="I501" s="228"/>
      <c r="J501" s="228"/>
      <c r="K501" s="228"/>
      <c r="L501" s="228"/>
      <c r="M501" s="228"/>
      <c r="N501" s="228"/>
      <c r="O501" s="236"/>
      <c r="P501" s="228"/>
      <c r="Q501" s="228"/>
      <c r="R501" s="228"/>
      <c r="S501" s="228"/>
      <c r="T501" s="228"/>
      <c r="U501" s="228"/>
      <c r="V501" s="228"/>
      <c r="W501" s="228"/>
      <c r="X501" s="228"/>
      <c r="Y501" s="228"/>
      <c r="Z501" s="228"/>
      <c r="AA501" s="228"/>
      <c r="AB501" s="228"/>
      <c r="AC501" s="228"/>
      <c r="AD501" s="228"/>
      <c r="AE501" s="228"/>
      <c r="AF501" s="228"/>
      <c r="AG501" s="228"/>
      <c r="AH501" s="228"/>
      <c r="AI501" s="228"/>
      <c r="AJ501" s="228"/>
      <c r="AK501" s="228"/>
      <c r="AL501" s="228"/>
      <c r="AM501" s="228"/>
    </row>
    <row r="502">
      <c r="A502" s="228"/>
      <c r="B502" s="228"/>
      <c r="C502" s="228"/>
      <c r="D502" s="228"/>
      <c r="E502" s="228"/>
      <c r="F502" s="228"/>
      <c r="G502" s="228"/>
      <c r="H502" s="241"/>
      <c r="I502" s="228"/>
      <c r="J502" s="228"/>
      <c r="K502" s="228"/>
      <c r="L502" s="228"/>
      <c r="M502" s="228"/>
      <c r="N502" s="228"/>
      <c r="O502" s="236"/>
      <c r="P502" s="228"/>
      <c r="Q502" s="228"/>
      <c r="R502" s="228"/>
      <c r="S502" s="228"/>
      <c r="T502" s="228"/>
      <c r="U502" s="228"/>
      <c r="V502" s="228"/>
      <c r="W502" s="228"/>
      <c r="X502" s="228"/>
      <c r="Y502" s="228"/>
      <c r="Z502" s="228"/>
      <c r="AA502" s="228"/>
      <c r="AB502" s="228"/>
      <c r="AC502" s="228"/>
      <c r="AD502" s="228"/>
      <c r="AE502" s="228"/>
      <c r="AF502" s="228"/>
      <c r="AG502" s="228"/>
      <c r="AH502" s="228"/>
      <c r="AI502" s="228"/>
      <c r="AJ502" s="228"/>
      <c r="AK502" s="228"/>
      <c r="AL502" s="228"/>
      <c r="AM502" s="228"/>
    </row>
    <row r="503">
      <c r="A503" s="228"/>
      <c r="B503" s="228"/>
      <c r="C503" s="228"/>
      <c r="D503" s="228"/>
      <c r="E503" s="228"/>
      <c r="F503" s="228"/>
      <c r="G503" s="228"/>
      <c r="H503" s="241"/>
      <c r="I503" s="228"/>
      <c r="J503" s="228"/>
      <c r="K503" s="228"/>
      <c r="L503" s="228"/>
      <c r="M503" s="228"/>
      <c r="N503" s="228"/>
      <c r="O503" s="236"/>
      <c r="P503" s="228"/>
      <c r="Q503" s="228"/>
      <c r="R503" s="228"/>
      <c r="S503" s="228"/>
      <c r="T503" s="228"/>
      <c r="U503" s="228"/>
      <c r="V503" s="228"/>
      <c r="W503" s="228"/>
      <c r="X503" s="228"/>
      <c r="Y503" s="228"/>
      <c r="Z503" s="228"/>
      <c r="AA503" s="228"/>
      <c r="AB503" s="228"/>
      <c r="AC503" s="228"/>
      <c r="AD503" s="228"/>
      <c r="AE503" s="228"/>
      <c r="AF503" s="228"/>
      <c r="AG503" s="228"/>
      <c r="AH503" s="228"/>
      <c r="AI503" s="228"/>
      <c r="AJ503" s="228"/>
      <c r="AK503" s="228"/>
      <c r="AL503" s="228"/>
      <c r="AM503" s="228"/>
    </row>
    <row r="504">
      <c r="A504" s="228"/>
      <c r="B504" s="228"/>
      <c r="C504" s="228"/>
      <c r="D504" s="228"/>
      <c r="E504" s="228"/>
      <c r="F504" s="228"/>
      <c r="G504" s="228"/>
      <c r="H504" s="241"/>
      <c r="I504" s="228"/>
      <c r="J504" s="228"/>
      <c r="K504" s="228"/>
      <c r="L504" s="228"/>
      <c r="M504" s="228"/>
      <c r="N504" s="228"/>
      <c r="O504" s="236"/>
      <c r="P504" s="228"/>
      <c r="Q504" s="228"/>
      <c r="R504" s="228"/>
      <c r="S504" s="228"/>
      <c r="T504" s="228"/>
      <c r="U504" s="228"/>
      <c r="V504" s="228"/>
      <c r="W504" s="228"/>
      <c r="X504" s="228"/>
      <c r="Y504" s="228"/>
      <c r="Z504" s="228"/>
      <c r="AA504" s="228"/>
      <c r="AB504" s="228"/>
      <c r="AC504" s="228"/>
      <c r="AD504" s="228"/>
      <c r="AE504" s="228"/>
      <c r="AF504" s="228"/>
      <c r="AG504" s="228"/>
      <c r="AH504" s="228"/>
      <c r="AI504" s="228"/>
      <c r="AJ504" s="228"/>
      <c r="AK504" s="228"/>
      <c r="AL504" s="228"/>
      <c r="AM504" s="228"/>
    </row>
    <row r="505">
      <c r="A505" s="228"/>
      <c r="B505" s="228"/>
      <c r="C505" s="228"/>
      <c r="D505" s="228"/>
      <c r="E505" s="228"/>
      <c r="F505" s="228"/>
      <c r="G505" s="228"/>
      <c r="H505" s="241"/>
      <c r="I505" s="228"/>
      <c r="J505" s="228"/>
      <c r="K505" s="228"/>
      <c r="L505" s="228"/>
      <c r="M505" s="228"/>
      <c r="N505" s="228"/>
      <c r="O505" s="236"/>
      <c r="P505" s="228"/>
      <c r="Q505" s="228"/>
      <c r="R505" s="228"/>
      <c r="S505" s="228"/>
      <c r="T505" s="228"/>
      <c r="U505" s="228"/>
      <c r="V505" s="228"/>
      <c r="W505" s="228"/>
      <c r="X505" s="228"/>
      <c r="Y505" s="228"/>
      <c r="Z505" s="228"/>
      <c r="AA505" s="228"/>
      <c r="AB505" s="228"/>
      <c r="AC505" s="228"/>
      <c r="AD505" s="228"/>
      <c r="AE505" s="228"/>
      <c r="AF505" s="228"/>
      <c r="AG505" s="228"/>
      <c r="AH505" s="228"/>
      <c r="AI505" s="228"/>
      <c r="AJ505" s="228"/>
      <c r="AK505" s="228"/>
      <c r="AL505" s="228"/>
      <c r="AM505" s="228"/>
    </row>
    <row r="506">
      <c r="A506" s="228"/>
      <c r="B506" s="228"/>
      <c r="C506" s="228"/>
      <c r="D506" s="228"/>
      <c r="E506" s="228"/>
      <c r="F506" s="228"/>
      <c r="G506" s="228"/>
      <c r="H506" s="241"/>
      <c r="I506" s="228"/>
      <c r="J506" s="228"/>
      <c r="K506" s="228"/>
      <c r="L506" s="228"/>
      <c r="M506" s="228"/>
      <c r="N506" s="228"/>
      <c r="O506" s="236"/>
      <c r="P506" s="228"/>
      <c r="Q506" s="228"/>
      <c r="R506" s="228"/>
      <c r="S506" s="228"/>
      <c r="T506" s="228"/>
      <c r="U506" s="228"/>
      <c r="V506" s="228"/>
      <c r="W506" s="228"/>
      <c r="X506" s="228"/>
      <c r="Y506" s="228"/>
      <c r="Z506" s="228"/>
      <c r="AA506" s="228"/>
      <c r="AB506" s="228"/>
      <c r="AC506" s="228"/>
      <c r="AD506" s="228"/>
      <c r="AE506" s="228"/>
      <c r="AF506" s="228"/>
      <c r="AG506" s="228"/>
      <c r="AH506" s="228"/>
      <c r="AI506" s="228"/>
      <c r="AJ506" s="228"/>
      <c r="AK506" s="228"/>
      <c r="AL506" s="228"/>
      <c r="AM506" s="228"/>
    </row>
    <row r="507">
      <c r="A507" s="228"/>
      <c r="B507" s="228"/>
      <c r="C507" s="228"/>
      <c r="D507" s="228"/>
      <c r="E507" s="228"/>
      <c r="F507" s="228"/>
      <c r="G507" s="228"/>
      <c r="H507" s="241"/>
      <c r="I507" s="228"/>
      <c r="J507" s="228"/>
      <c r="K507" s="228"/>
      <c r="L507" s="228"/>
      <c r="M507" s="228"/>
      <c r="N507" s="228"/>
      <c r="O507" s="236"/>
      <c r="P507" s="228"/>
      <c r="Q507" s="228"/>
      <c r="R507" s="228"/>
      <c r="S507" s="228"/>
      <c r="T507" s="228"/>
      <c r="U507" s="228"/>
      <c r="V507" s="228"/>
      <c r="W507" s="228"/>
      <c r="X507" s="228"/>
      <c r="Y507" s="228"/>
      <c r="Z507" s="228"/>
      <c r="AA507" s="228"/>
      <c r="AB507" s="228"/>
      <c r="AC507" s="228"/>
      <c r="AD507" s="228"/>
      <c r="AE507" s="228"/>
      <c r="AF507" s="228"/>
      <c r="AG507" s="228"/>
      <c r="AH507" s="228"/>
      <c r="AI507" s="228"/>
      <c r="AJ507" s="228"/>
      <c r="AK507" s="228"/>
      <c r="AL507" s="228"/>
      <c r="AM507" s="228"/>
    </row>
    <row r="508">
      <c r="A508" s="228"/>
      <c r="B508" s="228"/>
      <c r="C508" s="228"/>
      <c r="D508" s="228"/>
      <c r="E508" s="228"/>
      <c r="F508" s="228"/>
      <c r="G508" s="228"/>
      <c r="H508" s="241"/>
      <c r="I508" s="228"/>
      <c r="J508" s="228"/>
      <c r="K508" s="228"/>
      <c r="L508" s="228"/>
      <c r="M508" s="228"/>
      <c r="N508" s="228"/>
      <c r="O508" s="236"/>
      <c r="P508" s="228"/>
      <c r="Q508" s="228"/>
      <c r="R508" s="228"/>
      <c r="S508" s="228"/>
      <c r="T508" s="228"/>
      <c r="U508" s="228"/>
      <c r="V508" s="228"/>
      <c r="W508" s="228"/>
      <c r="X508" s="228"/>
      <c r="Y508" s="228"/>
      <c r="Z508" s="228"/>
      <c r="AA508" s="228"/>
      <c r="AB508" s="228"/>
      <c r="AC508" s="228"/>
      <c r="AD508" s="228"/>
      <c r="AE508" s="228"/>
      <c r="AF508" s="228"/>
      <c r="AG508" s="228"/>
      <c r="AH508" s="228"/>
      <c r="AI508" s="228"/>
      <c r="AJ508" s="228"/>
      <c r="AK508" s="228"/>
      <c r="AL508" s="228"/>
      <c r="AM508" s="228"/>
    </row>
    <row r="509">
      <c r="A509" s="228"/>
      <c r="B509" s="228"/>
      <c r="C509" s="228"/>
      <c r="D509" s="228"/>
      <c r="E509" s="228"/>
      <c r="F509" s="228"/>
      <c r="G509" s="228"/>
      <c r="H509" s="241"/>
      <c r="I509" s="228"/>
      <c r="J509" s="228"/>
      <c r="K509" s="228"/>
      <c r="L509" s="228"/>
      <c r="M509" s="228"/>
      <c r="N509" s="228"/>
      <c r="O509" s="236"/>
      <c r="P509" s="228"/>
      <c r="Q509" s="228"/>
      <c r="R509" s="228"/>
      <c r="S509" s="228"/>
      <c r="T509" s="228"/>
      <c r="U509" s="228"/>
      <c r="V509" s="228"/>
      <c r="W509" s="228"/>
      <c r="X509" s="228"/>
      <c r="Y509" s="228"/>
      <c r="Z509" s="228"/>
      <c r="AA509" s="228"/>
      <c r="AB509" s="228"/>
      <c r="AC509" s="228"/>
      <c r="AD509" s="228"/>
      <c r="AE509" s="228"/>
      <c r="AF509" s="228"/>
      <c r="AG509" s="228"/>
      <c r="AH509" s="228"/>
      <c r="AI509" s="228"/>
      <c r="AJ509" s="228"/>
      <c r="AK509" s="228"/>
      <c r="AL509" s="228"/>
      <c r="AM509" s="228"/>
    </row>
    <row r="510">
      <c r="A510" s="228"/>
      <c r="B510" s="228"/>
      <c r="C510" s="228"/>
      <c r="D510" s="228"/>
      <c r="E510" s="228"/>
      <c r="F510" s="228"/>
      <c r="G510" s="228"/>
      <c r="H510" s="241"/>
      <c r="I510" s="228"/>
      <c r="J510" s="228"/>
      <c r="K510" s="228"/>
      <c r="L510" s="228"/>
      <c r="M510" s="228"/>
      <c r="N510" s="228"/>
      <c r="O510" s="236"/>
      <c r="P510" s="228"/>
      <c r="Q510" s="228"/>
      <c r="R510" s="228"/>
      <c r="S510" s="228"/>
      <c r="T510" s="228"/>
      <c r="U510" s="228"/>
      <c r="V510" s="228"/>
      <c r="W510" s="228"/>
      <c r="X510" s="228"/>
      <c r="Y510" s="228"/>
      <c r="Z510" s="228"/>
      <c r="AA510" s="228"/>
      <c r="AB510" s="228"/>
      <c r="AC510" s="228"/>
      <c r="AD510" s="228"/>
      <c r="AE510" s="228"/>
      <c r="AF510" s="228"/>
      <c r="AG510" s="228"/>
      <c r="AH510" s="228"/>
      <c r="AI510" s="228"/>
      <c r="AJ510" s="228"/>
      <c r="AK510" s="228"/>
      <c r="AL510" s="228"/>
      <c r="AM510" s="228"/>
    </row>
    <row r="511">
      <c r="A511" s="228"/>
      <c r="B511" s="228"/>
      <c r="C511" s="228"/>
      <c r="D511" s="228"/>
      <c r="E511" s="228"/>
      <c r="F511" s="228"/>
      <c r="G511" s="228"/>
      <c r="H511" s="241"/>
      <c r="I511" s="228"/>
      <c r="J511" s="228"/>
      <c r="K511" s="228"/>
      <c r="L511" s="228"/>
      <c r="M511" s="228"/>
      <c r="N511" s="228"/>
      <c r="O511" s="236"/>
      <c r="P511" s="228"/>
      <c r="Q511" s="228"/>
      <c r="R511" s="228"/>
      <c r="S511" s="228"/>
      <c r="T511" s="228"/>
      <c r="U511" s="228"/>
      <c r="V511" s="228"/>
      <c r="W511" s="228"/>
      <c r="X511" s="228"/>
      <c r="Y511" s="228"/>
      <c r="Z511" s="228"/>
      <c r="AA511" s="228"/>
      <c r="AB511" s="228"/>
      <c r="AC511" s="228"/>
      <c r="AD511" s="228"/>
      <c r="AE511" s="228"/>
      <c r="AF511" s="228"/>
      <c r="AG511" s="228"/>
      <c r="AH511" s="228"/>
      <c r="AI511" s="228"/>
      <c r="AJ511" s="228"/>
      <c r="AK511" s="228"/>
      <c r="AL511" s="228"/>
      <c r="AM511" s="228"/>
    </row>
    <row r="512">
      <c r="A512" s="228"/>
      <c r="B512" s="228"/>
      <c r="C512" s="228"/>
      <c r="D512" s="228"/>
      <c r="E512" s="228"/>
      <c r="F512" s="228"/>
      <c r="G512" s="228"/>
      <c r="H512" s="241"/>
      <c r="I512" s="228"/>
      <c r="J512" s="228"/>
      <c r="K512" s="228"/>
      <c r="L512" s="228"/>
      <c r="M512" s="228"/>
      <c r="N512" s="228"/>
      <c r="O512" s="236"/>
      <c r="P512" s="228"/>
      <c r="Q512" s="228"/>
      <c r="R512" s="228"/>
      <c r="S512" s="228"/>
      <c r="T512" s="228"/>
      <c r="U512" s="228"/>
      <c r="V512" s="228"/>
      <c r="W512" s="228"/>
      <c r="X512" s="228"/>
      <c r="Y512" s="228"/>
      <c r="Z512" s="228"/>
      <c r="AA512" s="228"/>
      <c r="AB512" s="228"/>
      <c r="AC512" s="228"/>
      <c r="AD512" s="228"/>
      <c r="AE512" s="228"/>
      <c r="AF512" s="228"/>
      <c r="AG512" s="228"/>
      <c r="AH512" s="228"/>
      <c r="AI512" s="228"/>
      <c r="AJ512" s="228"/>
      <c r="AK512" s="228"/>
      <c r="AL512" s="228"/>
      <c r="AM512" s="228"/>
    </row>
    <row r="513">
      <c r="A513" s="228"/>
      <c r="B513" s="228"/>
      <c r="C513" s="228"/>
      <c r="D513" s="228"/>
      <c r="E513" s="228"/>
      <c r="F513" s="228"/>
      <c r="G513" s="228"/>
      <c r="H513" s="241"/>
      <c r="I513" s="228"/>
      <c r="J513" s="228"/>
      <c r="K513" s="228"/>
      <c r="L513" s="228"/>
      <c r="M513" s="228"/>
      <c r="N513" s="228"/>
      <c r="O513" s="236"/>
      <c r="P513" s="228"/>
      <c r="Q513" s="228"/>
      <c r="R513" s="228"/>
      <c r="S513" s="228"/>
      <c r="T513" s="228"/>
      <c r="U513" s="228"/>
      <c r="V513" s="228"/>
      <c r="W513" s="228"/>
      <c r="X513" s="228"/>
      <c r="Y513" s="228"/>
      <c r="Z513" s="228"/>
      <c r="AA513" s="228"/>
      <c r="AB513" s="228"/>
      <c r="AC513" s="228"/>
      <c r="AD513" s="228"/>
      <c r="AE513" s="228"/>
      <c r="AF513" s="228"/>
      <c r="AG513" s="228"/>
      <c r="AH513" s="228"/>
      <c r="AI513" s="228"/>
      <c r="AJ513" s="228"/>
      <c r="AK513" s="228"/>
      <c r="AL513" s="228"/>
      <c r="AM513" s="228"/>
    </row>
    <row r="514">
      <c r="A514" s="228"/>
      <c r="B514" s="228"/>
      <c r="C514" s="228"/>
      <c r="D514" s="228"/>
      <c r="E514" s="228"/>
      <c r="F514" s="228"/>
      <c r="G514" s="228"/>
      <c r="H514" s="241"/>
      <c r="I514" s="228"/>
      <c r="J514" s="228"/>
      <c r="K514" s="228"/>
      <c r="L514" s="228"/>
      <c r="M514" s="228"/>
      <c r="N514" s="228"/>
      <c r="O514" s="236"/>
      <c r="P514" s="228"/>
      <c r="Q514" s="228"/>
      <c r="R514" s="228"/>
      <c r="S514" s="228"/>
      <c r="T514" s="228"/>
      <c r="U514" s="228"/>
      <c r="V514" s="228"/>
      <c r="W514" s="228"/>
      <c r="X514" s="228"/>
      <c r="Y514" s="228"/>
      <c r="Z514" s="228"/>
      <c r="AA514" s="228"/>
      <c r="AB514" s="228"/>
      <c r="AC514" s="228"/>
      <c r="AD514" s="228"/>
      <c r="AE514" s="228"/>
      <c r="AF514" s="228"/>
      <c r="AG514" s="228"/>
      <c r="AH514" s="228"/>
      <c r="AI514" s="228"/>
      <c r="AJ514" s="228"/>
      <c r="AK514" s="228"/>
      <c r="AL514" s="228"/>
      <c r="AM514" s="228"/>
    </row>
    <row r="515">
      <c r="A515" s="228"/>
      <c r="B515" s="228"/>
      <c r="C515" s="228"/>
      <c r="D515" s="228"/>
      <c r="E515" s="228"/>
      <c r="F515" s="228"/>
      <c r="G515" s="228"/>
      <c r="H515" s="241"/>
      <c r="I515" s="228"/>
      <c r="J515" s="228"/>
      <c r="K515" s="228"/>
      <c r="L515" s="228"/>
      <c r="M515" s="228"/>
      <c r="N515" s="228"/>
      <c r="O515" s="236"/>
      <c r="P515" s="228"/>
      <c r="Q515" s="228"/>
      <c r="R515" s="228"/>
      <c r="S515" s="228"/>
      <c r="T515" s="228"/>
      <c r="U515" s="228"/>
      <c r="V515" s="228"/>
      <c r="W515" s="228"/>
      <c r="X515" s="228"/>
      <c r="Y515" s="228"/>
      <c r="Z515" s="228"/>
      <c r="AA515" s="228"/>
      <c r="AB515" s="228"/>
      <c r="AC515" s="228"/>
      <c r="AD515" s="228"/>
      <c r="AE515" s="228"/>
      <c r="AF515" s="228"/>
      <c r="AG515" s="228"/>
      <c r="AH515" s="228"/>
      <c r="AI515" s="228"/>
      <c r="AJ515" s="228"/>
      <c r="AK515" s="228"/>
      <c r="AL515" s="228"/>
      <c r="AM515" s="228"/>
    </row>
    <row r="516">
      <c r="A516" s="228"/>
      <c r="B516" s="228"/>
      <c r="C516" s="228"/>
      <c r="D516" s="228"/>
      <c r="E516" s="228"/>
      <c r="F516" s="228"/>
      <c r="G516" s="228"/>
      <c r="H516" s="241"/>
      <c r="I516" s="228"/>
      <c r="J516" s="228"/>
      <c r="K516" s="228"/>
      <c r="L516" s="228"/>
      <c r="M516" s="228"/>
      <c r="N516" s="228"/>
      <c r="O516" s="236"/>
      <c r="P516" s="228"/>
      <c r="Q516" s="228"/>
      <c r="R516" s="228"/>
      <c r="S516" s="228"/>
      <c r="T516" s="228"/>
      <c r="U516" s="228"/>
      <c r="V516" s="228"/>
      <c r="W516" s="228"/>
      <c r="X516" s="228"/>
      <c r="Y516" s="228"/>
      <c r="Z516" s="228"/>
      <c r="AA516" s="228"/>
      <c r="AB516" s="228"/>
      <c r="AC516" s="228"/>
      <c r="AD516" s="228"/>
      <c r="AE516" s="228"/>
      <c r="AF516" s="228"/>
      <c r="AG516" s="228"/>
      <c r="AH516" s="228"/>
      <c r="AI516" s="228"/>
      <c r="AJ516" s="228"/>
      <c r="AK516" s="228"/>
      <c r="AL516" s="228"/>
      <c r="AM516" s="228"/>
    </row>
    <row r="517">
      <c r="A517" s="228"/>
      <c r="B517" s="228"/>
      <c r="C517" s="228"/>
      <c r="D517" s="228"/>
      <c r="E517" s="228"/>
      <c r="F517" s="228"/>
      <c r="G517" s="228"/>
      <c r="H517" s="241"/>
      <c r="I517" s="228"/>
      <c r="J517" s="228"/>
      <c r="K517" s="228"/>
      <c r="L517" s="228"/>
      <c r="M517" s="228"/>
      <c r="N517" s="228"/>
      <c r="O517" s="236"/>
      <c r="P517" s="228"/>
      <c r="Q517" s="228"/>
      <c r="R517" s="228"/>
      <c r="S517" s="228"/>
      <c r="T517" s="228"/>
      <c r="U517" s="228"/>
      <c r="V517" s="228"/>
      <c r="W517" s="228"/>
      <c r="X517" s="228"/>
      <c r="Y517" s="228"/>
      <c r="Z517" s="228"/>
      <c r="AA517" s="228"/>
      <c r="AB517" s="228"/>
      <c r="AC517" s="228"/>
      <c r="AD517" s="228"/>
      <c r="AE517" s="228"/>
      <c r="AF517" s="228"/>
      <c r="AG517" s="228"/>
      <c r="AH517" s="228"/>
      <c r="AI517" s="228"/>
      <c r="AJ517" s="228"/>
      <c r="AK517" s="228"/>
      <c r="AL517" s="228"/>
      <c r="AM517" s="228"/>
    </row>
    <row r="518">
      <c r="A518" s="228"/>
      <c r="B518" s="228"/>
      <c r="C518" s="228"/>
      <c r="D518" s="228"/>
      <c r="E518" s="228"/>
      <c r="F518" s="228"/>
      <c r="G518" s="228"/>
      <c r="H518" s="241"/>
      <c r="I518" s="228"/>
      <c r="J518" s="228"/>
      <c r="K518" s="228"/>
      <c r="L518" s="228"/>
      <c r="M518" s="228"/>
      <c r="N518" s="228"/>
      <c r="O518" s="236"/>
      <c r="P518" s="228"/>
      <c r="Q518" s="228"/>
      <c r="R518" s="228"/>
      <c r="S518" s="228"/>
      <c r="T518" s="228"/>
      <c r="U518" s="228"/>
      <c r="V518" s="228"/>
      <c r="W518" s="228"/>
      <c r="X518" s="228"/>
      <c r="Y518" s="228"/>
      <c r="Z518" s="228"/>
      <c r="AA518" s="228"/>
      <c r="AB518" s="228"/>
      <c r="AC518" s="228"/>
      <c r="AD518" s="228"/>
      <c r="AE518" s="228"/>
      <c r="AF518" s="228"/>
      <c r="AG518" s="228"/>
      <c r="AH518" s="228"/>
      <c r="AI518" s="228"/>
      <c r="AJ518" s="228"/>
      <c r="AK518" s="228"/>
      <c r="AL518" s="228"/>
      <c r="AM518" s="228"/>
    </row>
    <row r="519">
      <c r="A519" s="228"/>
      <c r="B519" s="228"/>
      <c r="C519" s="228"/>
      <c r="D519" s="228"/>
      <c r="E519" s="228"/>
      <c r="F519" s="228"/>
      <c r="G519" s="228"/>
      <c r="H519" s="241"/>
      <c r="I519" s="228"/>
      <c r="J519" s="228"/>
      <c r="K519" s="228"/>
      <c r="L519" s="228"/>
      <c r="M519" s="228"/>
      <c r="N519" s="228"/>
      <c r="O519" s="236"/>
      <c r="P519" s="228"/>
      <c r="Q519" s="228"/>
      <c r="R519" s="228"/>
      <c r="S519" s="228"/>
      <c r="T519" s="228"/>
      <c r="U519" s="228"/>
      <c r="V519" s="228"/>
      <c r="W519" s="228"/>
      <c r="X519" s="228"/>
      <c r="Y519" s="228"/>
      <c r="Z519" s="228"/>
      <c r="AA519" s="228"/>
      <c r="AB519" s="228"/>
      <c r="AC519" s="228"/>
      <c r="AD519" s="228"/>
      <c r="AE519" s="228"/>
      <c r="AF519" s="228"/>
      <c r="AG519" s="228"/>
      <c r="AH519" s="228"/>
      <c r="AI519" s="228"/>
      <c r="AJ519" s="228"/>
      <c r="AK519" s="228"/>
      <c r="AL519" s="228"/>
      <c r="AM519" s="228"/>
    </row>
    <row r="520">
      <c r="A520" s="228"/>
      <c r="B520" s="228"/>
      <c r="C520" s="228"/>
      <c r="D520" s="228"/>
      <c r="E520" s="228"/>
      <c r="F520" s="228"/>
      <c r="G520" s="228"/>
      <c r="H520" s="241"/>
      <c r="I520" s="228"/>
      <c r="J520" s="228"/>
      <c r="K520" s="228"/>
      <c r="L520" s="228"/>
      <c r="M520" s="228"/>
      <c r="N520" s="228"/>
      <c r="O520" s="236"/>
      <c r="P520" s="228"/>
      <c r="Q520" s="228"/>
      <c r="R520" s="228"/>
      <c r="S520" s="228"/>
      <c r="T520" s="228"/>
      <c r="U520" s="228"/>
      <c r="V520" s="228"/>
      <c r="W520" s="228"/>
      <c r="X520" s="228"/>
      <c r="Y520" s="228"/>
      <c r="Z520" s="228"/>
      <c r="AA520" s="228"/>
      <c r="AB520" s="228"/>
      <c r="AC520" s="228"/>
      <c r="AD520" s="228"/>
      <c r="AE520" s="228"/>
      <c r="AF520" s="228"/>
      <c r="AG520" s="228"/>
      <c r="AH520" s="228"/>
      <c r="AI520" s="228"/>
      <c r="AJ520" s="228"/>
      <c r="AK520" s="228"/>
      <c r="AL520" s="228"/>
      <c r="AM520" s="228"/>
    </row>
    <row r="521">
      <c r="A521" s="228"/>
      <c r="B521" s="228"/>
      <c r="C521" s="228"/>
      <c r="D521" s="228"/>
      <c r="E521" s="228"/>
      <c r="F521" s="228"/>
      <c r="G521" s="228"/>
      <c r="H521" s="241"/>
      <c r="I521" s="228"/>
      <c r="J521" s="228"/>
      <c r="K521" s="228"/>
      <c r="L521" s="228"/>
      <c r="M521" s="228"/>
      <c r="N521" s="228"/>
      <c r="O521" s="236"/>
      <c r="P521" s="228"/>
      <c r="Q521" s="228"/>
      <c r="R521" s="228"/>
      <c r="S521" s="228"/>
      <c r="T521" s="228"/>
      <c r="U521" s="228"/>
      <c r="V521" s="228"/>
      <c r="W521" s="228"/>
      <c r="X521" s="228"/>
      <c r="Y521" s="228"/>
      <c r="Z521" s="228"/>
      <c r="AA521" s="228"/>
      <c r="AB521" s="228"/>
      <c r="AC521" s="228"/>
      <c r="AD521" s="228"/>
      <c r="AE521" s="228"/>
      <c r="AF521" s="228"/>
      <c r="AG521" s="228"/>
      <c r="AH521" s="228"/>
      <c r="AI521" s="228"/>
      <c r="AJ521" s="228"/>
      <c r="AK521" s="228"/>
      <c r="AL521" s="228"/>
      <c r="AM521" s="228"/>
    </row>
    <row r="522">
      <c r="A522" s="228"/>
      <c r="B522" s="228"/>
      <c r="C522" s="228"/>
      <c r="D522" s="228"/>
      <c r="E522" s="228"/>
      <c r="F522" s="228"/>
      <c r="G522" s="228"/>
      <c r="H522" s="241"/>
      <c r="I522" s="228"/>
      <c r="J522" s="228"/>
      <c r="K522" s="228"/>
      <c r="L522" s="228"/>
      <c r="M522" s="228"/>
      <c r="N522" s="228"/>
      <c r="O522" s="236"/>
      <c r="P522" s="228"/>
      <c r="Q522" s="228"/>
      <c r="R522" s="228"/>
      <c r="S522" s="228"/>
      <c r="T522" s="228"/>
      <c r="U522" s="228"/>
      <c r="V522" s="228"/>
      <c r="W522" s="228"/>
      <c r="X522" s="228"/>
      <c r="Y522" s="228"/>
      <c r="Z522" s="228"/>
      <c r="AA522" s="228"/>
      <c r="AB522" s="228"/>
      <c r="AC522" s="228"/>
      <c r="AD522" s="228"/>
      <c r="AE522" s="228"/>
      <c r="AF522" s="228"/>
      <c r="AG522" s="228"/>
      <c r="AH522" s="228"/>
      <c r="AI522" s="228"/>
      <c r="AJ522" s="228"/>
      <c r="AK522" s="228"/>
      <c r="AL522" s="228"/>
      <c r="AM522" s="228"/>
    </row>
    <row r="523">
      <c r="A523" s="228"/>
      <c r="B523" s="228"/>
      <c r="C523" s="228"/>
      <c r="D523" s="228"/>
      <c r="E523" s="228"/>
      <c r="F523" s="228"/>
      <c r="G523" s="228"/>
      <c r="H523" s="241"/>
      <c r="I523" s="228"/>
      <c r="J523" s="228"/>
      <c r="K523" s="228"/>
      <c r="L523" s="228"/>
      <c r="M523" s="228"/>
      <c r="N523" s="228"/>
      <c r="O523" s="236"/>
      <c r="P523" s="228"/>
      <c r="Q523" s="228"/>
      <c r="R523" s="228"/>
      <c r="S523" s="228"/>
      <c r="T523" s="228"/>
      <c r="U523" s="228"/>
      <c r="V523" s="228"/>
      <c r="W523" s="228"/>
      <c r="X523" s="228"/>
      <c r="Y523" s="228"/>
      <c r="Z523" s="228"/>
      <c r="AA523" s="228"/>
      <c r="AB523" s="228"/>
      <c r="AC523" s="228"/>
      <c r="AD523" s="228"/>
      <c r="AE523" s="228"/>
      <c r="AF523" s="228"/>
      <c r="AG523" s="228"/>
      <c r="AH523" s="228"/>
      <c r="AI523" s="228"/>
      <c r="AJ523" s="228"/>
      <c r="AK523" s="228"/>
      <c r="AL523" s="228"/>
      <c r="AM523" s="228"/>
    </row>
    <row r="524">
      <c r="A524" s="228"/>
      <c r="B524" s="228"/>
      <c r="C524" s="228"/>
      <c r="D524" s="228"/>
      <c r="E524" s="228"/>
      <c r="F524" s="228"/>
      <c r="G524" s="228"/>
      <c r="H524" s="241"/>
      <c r="I524" s="228"/>
      <c r="J524" s="228"/>
      <c r="K524" s="228"/>
      <c r="L524" s="228"/>
      <c r="M524" s="228"/>
      <c r="N524" s="228"/>
      <c r="O524" s="236"/>
      <c r="P524" s="228"/>
      <c r="Q524" s="228"/>
      <c r="R524" s="228"/>
      <c r="S524" s="228"/>
      <c r="T524" s="228"/>
      <c r="U524" s="228"/>
      <c r="V524" s="228"/>
      <c r="W524" s="228"/>
      <c r="X524" s="228"/>
      <c r="Y524" s="228"/>
      <c r="Z524" s="228"/>
      <c r="AA524" s="228"/>
      <c r="AB524" s="228"/>
      <c r="AC524" s="228"/>
      <c r="AD524" s="228"/>
      <c r="AE524" s="228"/>
      <c r="AF524" s="228"/>
      <c r="AG524" s="228"/>
      <c r="AH524" s="228"/>
      <c r="AI524" s="228"/>
      <c r="AJ524" s="228"/>
      <c r="AK524" s="228"/>
      <c r="AL524" s="228"/>
      <c r="AM524" s="228"/>
    </row>
    <row r="525">
      <c r="A525" s="228"/>
      <c r="B525" s="228"/>
      <c r="C525" s="228"/>
      <c r="D525" s="228"/>
      <c r="E525" s="228"/>
      <c r="F525" s="228"/>
      <c r="G525" s="228"/>
      <c r="H525" s="241"/>
      <c r="I525" s="228"/>
      <c r="J525" s="228"/>
      <c r="K525" s="228"/>
      <c r="L525" s="228"/>
      <c r="M525" s="228"/>
      <c r="N525" s="228"/>
      <c r="O525" s="236"/>
      <c r="P525" s="228"/>
      <c r="Q525" s="228"/>
      <c r="R525" s="228"/>
      <c r="S525" s="228"/>
      <c r="T525" s="228"/>
      <c r="U525" s="228"/>
      <c r="V525" s="228"/>
      <c r="W525" s="228"/>
      <c r="X525" s="228"/>
      <c r="Y525" s="228"/>
      <c r="Z525" s="228"/>
      <c r="AA525" s="228"/>
      <c r="AB525" s="228"/>
      <c r="AC525" s="228"/>
      <c r="AD525" s="228"/>
      <c r="AE525" s="228"/>
      <c r="AF525" s="228"/>
      <c r="AG525" s="228"/>
      <c r="AH525" s="228"/>
      <c r="AI525" s="228"/>
      <c r="AJ525" s="228"/>
      <c r="AK525" s="228"/>
      <c r="AL525" s="228"/>
      <c r="AM525" s="228"/>
    </row>
    <row r="526">
      <c r="A526" s="228"/>
      <c r="B526" s="228"/>
      <c r="C526" s="228"/>
      <c r="D526" s="228"/>
      <c r="E526" s="228"/>
      <c r="F526" s="228"/>
      <c r="G526" s="228"/>
      <c r="H526" s="241"/>
      <c r="I526" s="228"/>
      <c r="J526" s="228"/>
      <c r="K526" s="228"/>
      <c r="L526" s="228"/>
      <c r="M526" s="228"/>
      <c r="N526" s="228"/>
      <c r="O526" s="236"/>
      <c r="P526" s="228"/>
      <c r="Q526" s="228"/>
      <c r="R526" s="228"/>
      <c r="S526" s="228"/>
      <c r="T526" s="228"/>
      <c r="U526" s="228"/>
      <c r="V526" s="228"/>
      <c r="W526" s="228"/>
      <c r="X526" s="228"/>
      <c r="Y526" s="228"/>
      <c r="Z526" s="228"/>
      <c r="AA526" s="228"/>
      <c r="AB526" s="228"/>
      <c r="AC526" s="228"/>
      <c r="AD526" s="228"/>
      <c r="AE526" s="228"/>
      <c r="AF526" s="228"/>
      <c r="AG526" s="228"/>
      <c r="AH526" s="228"/>
      <c r="AI526" s="228"/>
      <c r="AJ526" s="228"/>
      <c r="AK526" s="228"/>
      <c r="AL526" s="228"/>
      <c r="AM526" s="228"/>
    </row>
    <row r="527">
      <c r="A527" s="228"/>
      <c r="B527" s="228"/>
      <c r="C527" s="228"/>
      <c r="D527" s="228"/>
      <c r="E527" s="228"/>
      <c r="F527" s="228"/>
      <c r="G527" s="228"/>
      <c r="H527" s="241"/>
      <c r="I527" s="228"/>
      <c r="J527" s="228"/>
      <c r="K527" s="228"/>
      <c r="L527" s="228"/>
      <c r="M527" s="228"/>
      <c r="N527" s="228"/>
      <c r="O527" s="236"/>
      <c r="P527" s="228"/>
      <c r="Q527" s="228"/>
      <c r="R527" s="228"/>
      <c r="S527" s="228"/>
      <c r="T527" s="228"/>
      <c r="U527" s="228"/>
      <c r="V527" s="228"/>
      <c r="W527" s="228"/>
      <c r="X527" s="228"/>
      <c r="Y527" s="228"/>
      <c r="Z527" s="228"/>
      <c r="AA527" s="228"/>
      <c r="AB527" s="228"/>
      <c r="AC527" s="228"/>
      <c r="AD527" s="228"/>
      <c r="AE527" s="228"/>
      <c r="AF527" s="228"/>
      <c r="AG527" s="228"/>
      <c r="AH527" s="228"/>
      <c r="AI527" s="228"/>
      <c r="AJ527" s="228"/>
      <c r="AK527" s="228"/>
      <c r="AL527" s="228"/>
      <c r="AM527" s="228"/>
    </row>
    <row r="528">
      <c r="A528" s="228"/>
      <c r="B528" s="228"/>
      <c r="C528" s="228"/>
      <c r="D528" s="228"/>
      <c r="E528" s="228"/>
      <c r="F528" s="228"/>
      <c r="G528" s="228"/>
      <c r="H528" s="241"/>
      <c r="I528" s="228"/>
      <c r="J528" s="228"/>
      <c r="K528" s="228"/>
      <c r="L528" s="228"/>
      <c r="M528" s="228"/>
      <c r="N528" s="228"/>
      <c r="O528" s="236"/>
      <c r="P528" s="228"/>
      <c r="Q528" s="228"/>
      <c r="R528" s="228"/>
      <c r="S528" s="228"/>
      <c r="T528" s="228"/>
      <c r="U528" s="228"/>
      <c r="V528" s="228"/>
      <c r="W528" s="228"/>
      <c r="X528" s="228"/>
      <c r="Y528" s="228"/>
      <c r="Z528" s="228"/>
      <c r="AA528" s="228"/>
      <c r="AB528" s="228"/>
      <c r="AC528" s="228"/>
      <c r="AD528" s="228"/>
      <c r="AE528" s="228"/>
      <c r="AF528" s="228"/>
      <c r="AG528" s="228"/>
      <c r="AH528" s="228"/>
      <c r="AI528" s="228"/>
      <c r="AJ528" s="228"/>
      <c r="AK528" s="228"/>
      <c r="AL528" s="228"/>
      <c r="AM528" s="228"/>
    </row>
    <row r="529">
      <c r="A529" s="228"/>
      <c r="B529" s="228"/>
      <c r="C529" s="228"/>
      <c r="D529" s="228"/>
      <c r="E529" s="228"/>
      <c r="F529" s="228"/>
      <c r="G529" s="228"/>
      <c r="H529" s="241"/>
      <c r="I529" s="228"/>
      <c r="J529" s="228"/>
      <c r="K529" s="228"/>
      <c r="L529" s="228"/>
      <c r="M529" s="228"/>
      <c r="N529" s="228"/>
      <c r="O529" s="236"/>
      <c r="P529" s="228"/>
      <c r="Q529" s="228"/>
      <c r="R529" s="228"/>
      <c r="S529" s="228"/>
      <c r="T529" s="228"/>
      <c r="U529" s="228"/>
      <c r="V529" s="228"/>
      <c r="W529" s="228"/>
      <c r="X529" s="228"/>
      <c r="Y529" s="228"/>
      <c r="Z529" s="228"/>
      <c r="AA529" s="228"/>
      <c r="AB529" s="228"/>
      <c r="AC529" s="228"/>
      <c r="AD529" s="228"/>
      <c r="AE529" s="228"/>
      <c r="AF529" s="228"/>
      <c r="AG529" s="228"/>
      <c r="AH529" s="228"/>
      <c r="AI529" s="228"/>
      <c r="AJ529" s="228"/>
      <c r="AK529" s="228"/>
      <c r="AL529" s="228"/>
      <c r="AM529" s="228"/>
    </row>
    <row r="530">
      <c r="A530" s="228"/>
      <c r="B530" s="228"/>
      <c r="C530" s="228"/>
      <c r="D530" s="228"/>
      <c r="E530" s="228"/>
      <c r="F530" s="228"/>
      <c r="G530" s="228"/>
      <c r="H530" s="241"/>
      <c r="I530" s="228"/>
      <c r="J530" s="228"/>
      <c r="K530" s="228"/>
      <c r="L530" s="228"/>
      <c r="M530" s="228"/>
      <c r="N530" s="228"/>
      <c r="O530" s="236"/>
      <c r="P530" s="228"/>
      <c r="Q530" s="228"/>
      <c r="R530" s="228"/>
      <c r="S530" s="228"/>
      <c r="T530" s="228"/>
      <c r="U530" s="228"/>
      <c r="V530" s="228"/>
      <c r="W530" s="228"/>
      <c r="X530" s="228"/>
      <c r="Y530" s="228"/>
      <c r="Z530" s="228"/>
      <c r="AA530" s="228"/>
      <c r="AB530" s="228"/>
      <c r="AC530" s="228"/>
      <c r="AD530" s="228"/>
      <c r="AE530" s="228"/>
      <c r="AF530" s="228"/>
      <c r="AG530" s="228"/>
      <c r="AH530" s="228"/>
      <c r="AI530" s="228"/>
      <c r="AJ530" s="228"/>
      <c r="AK530" s="228"/>
      <c r="AL530" s="228"/>
      <c r="AM530" s="228"/>
    </row>
    <row r="531">
      <c r="A531" s="228"/>
      <c r="B531" s="228"/>
      <c r="C531" s="228"/>
      <c r="D531" s="228"/>
      <c r="E531" s="228"/>
      <c r="F531" s="228"/>
      <c r="G531" s="228"/>
      <c r="H531" s="241"/>
      <c r="I531" s="228"/>
      <c r="J531" s="228"/>
      <c r="K531" s="228"/>
      <c r="L531" s="228"/>
      <c r="M531" s="228"/>
      <c r="N531" s="228"/>
      <c r="O531" s="236"/>
      <c r="P531" s="228"/>
      <c r="Q531" s="228"/>
      <c r="R531" s="228"/>
      <c r="S531" s="228"/>
      <c r="T531" s="228"/>
      <c r="U531" s="228"/>
      <c r="V531" s="228"/>
      <c r="W531" s="228"/>
      <c r="X531" s="228"/>
      <c r="Y531" s="228"/>
      <c r="Z531" s="228"/>
      <c r="AA531" s="228"/>
      <c r="AB531" s="228"/>
      <c r="AC531" s="228"/>
      <c r="AD531" s="228"/>
      <c r="AE531" s="228"/>
      <c r="AF531" s="228"/>
      <c r="AG531" s="228"/>
      <c r="AH531" s="228"/>
      <c r="AI531" s="228"/>
      <c r="AJ531" s="228"/>
      <c r="AK531" s="228"/>
      <c r="AL531" s="228"/>
      <c r="AM531" s="228"/>
    </row>
    <row r="532">
      <c r="A532" s="228"/>
      <c r="B532" s="228"/>
      <c r="C532" s="228"/>
      <c r="D532" s="228"/>
      <c r="E532" s="228"/>
      <c r="F532" s="228"/>
      <c r="G532" s="228"/>
      <c r="H532" s="241"/>
      <c r="I532" s="228"/>
      <c r="J532" s="228"/>
      <c r="K532" s="228"/>
      <c r="L532" s="228"/>
      <c r="M532" s="228"/>
      <c r="N532" s="228"/>
      <c r="O532" s="236"/>
      <c r="P532" s="228"/>
      <c r="Q532" s="228"/>
      <c r="R532" s="228"/>
      <c r="S532" s="228"/>
      <c r="T532" s="228"/>
      <c r="U532" s="228"/>
      <c r="V532" s="228"/>
      <c r="W532" s="228"/>
      <c r="X532" s="228"/>
      <c r="Y532" s="228"/>
      <c r="Z532" s="228"/>
      <c r="AA532" s="228"/>
      <c r="AB532" s="228"/>
      <c r="AC532" s="228"/>
      <c r="AD532" s="228"/>
      <c r="AE532" s="228"/>
      <c r="AF532" s="228"/>
      <c r="AG532" s="228"/>
      <c r="AH532" s="228"/>
      <c r="AI532" s="228"/>
      <c r="AJ532" s="228"/>
      <c r="AK532" s="228"/>
      <c r="AL532" s="228"/>
      <c r="AM532" s="228"/>
    </row>
    <row r="533">
      <c r="A533" s="228"/>
      <c r="B533" s="228"/>
      <c r="C533" s="228"/>
      <c r="D533" s="228"/>
      <c r="E533" s="228"/>
      <c r="F533" s="228"/>
      <c r="G533" s="228"/>
      <c r="H533" s="241"/>
      <c r="I533" s="228"/>
      <c r="J533" s="228"/>
      <c r="K533" s="228"/>
      <c r="L533" s="228"/>
      <c r="M533" s="228"/>
      <c r="N533" s="228"/>
      <c r="O533" s="236"/>
      <c r="P533" s="228"/>
      <c r="Q533" s="228"/>
      <c r="R533" s="228"/>
      <c r="S533" s="228"/>
      <c r="T533" s="228"/>
      <c r="U533" s="228"/>
      <c r="V533" s="228"/>
      <c r="W533" s="228"/>
      <c r="X533" s="228"/>
      <c r="Y533" s="228"/>
      <c r="Z533" s="228"/>
      <c r="AA533" s="228"/>
      <c r="AB533" s="228"/>
      <c r="AC533" s="228"/>
      <c r="AD533" s="228"/>
      <c r="AE533" s="228"/>
      <c r="AF533" s="228"/>
      <c r="AG533" s="228"/>
      <c r="AH533" s="228"/>
      <c r="AI533" s="228"/>
      <c r="AJ533" s="228"/>
      <c r="AK533" s="228"/>
      <c r="AL533" s="228"/>
      <c r="AM533" s="228"/>
    </row>
    <row r="534">
      <c r="A534" s="228"/>
      <c r="B534" s="228"/>
      <c r="C534" s="228"/>
      <c r="D534" s="228"/>
      <c r="E534" s="228"/>
      <c r="F534" s="228"/>
      <c r="G534" s="228"/>
      <c r="H534" s="241"/>
      <c r="I534" s="228"/>
      <c r="J534" s="228"/>
      <c r="K534" s="228"/>
      <c r="L534" s="228"/>
      <c r="M534" s="228"/>
      <c r="N534" s="228"/>
      <c r="O534" s="236"/>
      <c r="P534" s="228"/>
      <c r="Q534" s="228"/>
      <c r="R534" s="228"/>
      <c r="S534" s="228"/>
      <c r="T534" s="228"/>
      <c r="U534" s="228"/>
      <c r="V534" s="228"/>
      <c r="W534" s="228"/>
      <c r="X534" s="228"/>
      <c r="Y534" s="228"/>
      <c r="Z534" s="228"/>
      <c r="AA534" s="228"/>
      <c r="AB534" s="228"/>
      <c r="AC534" s="228"/>
      <c r="AD534" s="228"/>
      <c r="AE534" s="228"/>
      <c r="AF534" s="228"/>
      <c r="AG534" s="228"/>
      <c r="AH534" s="228"/>
      <c r="AI534" s="228"/>
      <c r="AJ534" s="228"/>
      <c r="AK534" s="228"/>
      <c r="AL534" s="228"/>
      <c r="AM534" s="228"/>
    </row>
    <row r="535">
      <c r="A535" s="228"/>
      <c r="B535" s="228"/>
      <c r="C535" s="228"/>
      <c r="D535" s="228"/>
      <c r="E535" s="228"/>
      <c r="F535" s="228"/>
      <c r="G535" s="228"/>
      <c r="H535" s="241"/>
      <c r="I535" s="228"/>
      <c r="J535" s="228"/>
      <c r="K535" s="228"/>
      <c r="L535" s="228"/>
      <c r="M535" s="228"/>
      <c r="N535" s="228"/>
      <c r="O535" s="236"/>
      <c r="P535" s="228"/>
      <c r="Q535" s="228"/>
      <c r="R535" s="228"/>
      <c r="S535" s="228"/>
      <c r="T535" s="228"/>
      <c r="U535" s="228"/>
      <c r="V535" s="228"/>
      <c r="W535" s="228"/>
      <c r="X535" s="228"/>
      <c r="Y535" s="228"/>
      <c r="Z535" s="228"/>
      <c r="AA535" s="228"/>
      <c r="AB535" s="228"/>
      <c r="AC535" s="228"/>
      <c r="AD535" s="228"/>
      <c r="AE535" s="228"/>
      <c r="AF535" s="228"/>
      <c r="AG535" s="228"/>
      <c r="AH535" s="228"/>
      <c r="AI535" s="228"/>
      <c r="AJ535" s="228"/>
      <c r="AK535" s="228"/>
      <c r="AL535" s="228"/>
      <c r="AM535" s="228"/>
    </row>
    <row r="536">
      <c r="A536" s="228"/>
      <c r="B536" s="228"/>
      <c r="C536" s="228"/>
      <c r="D536" s="228"/>
      <c r="E536" s="228"/>
      <c r="F536" s="228"/>
      <c r="G536" s="228"/>
      <c r="H536" s="241"/>
      <c r="I536" s="228"/>
      <c r="J536" s="228"/>
      <c r="K536" s="228"/>
      <c r="L536" s="228"/>
      <c r="M536" s="228"/>
      <c r="N536" s="228"/>
      <c r="O536" s="236"/>
      <c r="P536" s="228"/>
      <c r="Q536" s="228"/>
      <c r="R536" s="228"/>
      <c r="S536" s="228"/>
      <c r="T536" s="228"/>
      <c r="U536" s="228"/>
      <c r="V536" s="228"/>
      <c r="W536" s="228"/>
      <c r="X536" s="228"/>
      <c r="Y536" s="228"/>
      <c r="Z536" s="228"/>
      <c r="AA536" s="228"/>
      <c r="AB536" s="228"/>
      <c r="AC536" s="228"/>
      <c r="AD536" s="228"/>
      <c r="AE536" s="228"/>
      <c r="AF536" s="228"/>
      <c r="AG536" s="228"/>
      <c r="AH536" s="228"/>
      <c r="AI536" s="228"/>
      <c r="AJ536" s="228"/>
      <c r="AK536" s="228"/>
      <c r="AL536" s="228"/>
      <c r="AM536" s="228"/>
    </row>
    <row r="537">
      <c r="A537" s="228"/>
      <c r="B537" s="228"/>
      <c r="C537" s="228"/>
      <c r="D537" s="228"/>
      <c r="E537" s="228"/>
      <c r="F537" s="228"/>
      <c r="G537" s="228"/>
      <c r="H537" s="241"/>
      <c r="I537" s="228"/>
      <c r="J537" s="228"/>
      <c r="K537" s="228"/>
      <c r="L537" s="228"/>
      <c r="M537" s="228"/>
      <c r="N537" s="228"/>
      <c r="O537" s="236"/>
      <c r="P537" s="228"/>
      <c r="Q537" s="228"/>
      <c r="R537" s="228"/>
      <c r="S537" s="228"/>
      <c r="T537" s="228"/>
      <c r="U537" s="228"/>
      <c r="V537" s="228"/>
      <c r="W537" s="228"/>
      <c r="X537" s="228"/>
      <c r="Y537" s="228"/>
      <c r="Z537" s="228"/>
      <c r="AA537" s="228"/>
      <c r="AB537" s="228"/>
      <c r="AC537" s="228"/>
      <c r="AD537" s="228"/>
      <c r="AE537" s="228"/>
      <c r="AF537" s="228"/>
      <c r="AG537" s="228"/>
      <c r="AH537" s="228"/>
      <c r="AI537" s="228"/>
      <c r="AJ537" s="228"/>
      <c r="AK537" s="228"/>
      <c r="AL537" s="228"/>
      <c r="AM537" s="228"/>
    </row>
    <row r="538">
      <c r="A538" s="228"/>
      <c r="B538" s="228"/>
      <c r="C538" s="228"/>
      <c r="D538" s="228"/>
      <c r="E538" s="228"/>
      <c r="F538" s="228"/>
      <c r="G538" s="228"/>
      <c r="H538" s="241"/>
      <c r="I538" s="228"/>
      <c r="J538" s="228"/>
      <c r="K538" s="228"/>
      <c r="L538" s="228"/>
      <c r="M538" s="228"/>
      <c r="N538" s="228"/>
      <c r="O538" s="236"/>
      <c r="P538" s="228"/>
      <c r="Q538" s="228"/>
      <c r="R538" s="228"/>
      <c r="S538" s="228"/>
      <c r="T538" s="228"/>
      <c r="U538" s="228"/>
      <c r="V538" s="228"/>
      <c r="W538" s="228"/>
      <c r="X538" s="228"/>
      <c r="Y538" s="228"/>
      <c r="Z538" s="228"/>
      <c r="AA538" s="228"/>
      <c r="AB538" s="228"/>
      <c r="AC538" s="228"/>
      <c r="AD538" s="228"/>
      <c r="AE538" s="228"/>
      <c r="AF538" s="228"/>
      <c r="AG538" s="228"/>
      <c r="AH538" s="228"/>
      <c r="AI538" s="228"/>
      <c r="AJ538" s="228"/>
      <c r="AK538" s="228"/>
      <c r="AL538" s="228"/>
      <c r="AM538" s="228"/>
    </row>
    <row r="539">
      <c r="A539" s="228"/>
      <c r="B539" s="228"/>
      <c r="C539" s="228"/>
      <c r="D539" s="228"/>
      <c r="E539" s="228"/>
      <c r="F539" s="228"/>
      <c r="G539" s="228"/>
      <c r="H539" s="241"/>
      <c r="I539" s="228"/>
      <c r="J539" s="228"/>
      <c r="K539" s="228"/>
      <c r="L539" s="228"/>
      <c r="M539" s="228"/>
      <c r="N539" s="228"/>
      <c r="O539" s="236"/>
      <c r="P539" s="228"/>
      <c r="Q539" s="228"/>
      <c r="R539" s="228"/>
      <c r="S539" s="228"/>
      <c r="T539" s="228"/>
      <c r="U539" s="228"/>
      <c r="V539" s="228"/>
      <c r="W539" s="228"/>
      <c r="X539" s="228"/>
      <c r="Y539" s="228"/>
      <c r="Z539" s="228"/>
      <c r="AA539" s="228"/>
      <c r="AB539" s="228"/>
      <c r="AC539" s="228"/>
      <c r="AD539" s="228"/>
      <c r="AE539" s="228"/>
      <c r="AF539" s="228"/>
      <c r="AG539" s="228"/>
      <c r="AH539" s="228"/>
      <c r="AI539" s="228"/>
      <c r="AJ539" s="228"/>
      <c r="AK539" s="228"/>
      <c r="AL539" s="228"/>
      <c r="AM539" s="228"/>
    </row>
    <row r="540">
      <c r="A540" s="228"/>
      <c r="B540" s="228"/>
      <c r="C540" s="228"/>
      <c r="D540" s="228"/>
      <c r="E540" s="228"/>
      <c r="F540" s="228"/>
      <c r="G540" s="228"/>
      <c r="H540" s="241"/>
      <c r="I540" s="228"/>
      <c r="J540" s="228"/>
      <c r="K540" s="228"/>
      <c r="L540" s="228"/>
      <c r="M540" s="228"/>
      <c r="N540" s="228"/>
      <c r="O540" s="236"/>
      <c r="P540" s="228"/>
      <c r="Q540" s="228"/>
      <c r="R540" s="228"/>
      <c r="S540" s="228"/>
      <c r="T540" s="228"/>
      <c r="U540" s="228"/>
      <c r="V540" s="228"/>
      <c r="W540" s="228"/>
      <c r="X540" s="228"/>
      <c r="Y540" s="228"/>
      <c r="Z540" s="228"/>
      <c r="AA540" s="228"/>
      <c r="AB540" s="228"/>
      <c r="AC540" s="228"/>
      <c r="AD540" s="228"/>
      <c r="AE540" s="228"/>
      <c r="AF540" s="228"/>
      <c r="AG540" s="228"/>
      <c r="AH540" s="228"/>
      <c r="AI540" s="228"/>
      <c r="AJ540" s="228"/>
      <c r="AK540" s="228"/>
      <c r="AL540" s="228"/>
      <c r="AM540" s="228"/>
    </row>
    <row r="541">
      <c r="A541" s="228"/>
      <c r="B541" s="228"/>
      <c r="C541" s="228"/>
      <c r="D541" s="228"/>
      <c r="E541" s="228"/>
      <c r="F541" s="228"/>
      <c r="G541" s="228"/>
      <c r="H541" s="241"/>
      <c r="I541" s="228"/>
      <c r="J541" s="228"/>
      <c r="K541" s="228"/>
      <c r="L541" s="228"/>
      <c r="M541" s="228"/>
      <c r="N541" s="228"/>
      <c r="O541" s="236"/>
      <c r="P541" s="228"/>
      <c r="Q541" s="228"/>
      <c r="R541" s="228"/>
      <c r="S541" s="228"/>
      <c r="T541" s="228"/>
      <c r="U541" s="228"/>
      <c r="V541" s="228"/>
      <c r="W541" s="228"/>
      <c r="X541" s="228"/>
      <c r="Y541" s="228"/>
      <c r="Z541" s="228"/>
      <c r="AA541" s="228"/>
      <c r="AB541" s="228"/>
      <c r="AC541" s="228"/>
      <c r="AD541" s="228"/>
      <c r="AE541" s="228"/>
      <c r="AF541" s="228"/>
      <c r="AG541" s="228"/>
      <c r="AH541" s="228"/>
      <c r="AI541" s="228"/>
      <c r="AJ541" s="228"/>
      <c r="AK541" s="228"/>
      <c r="AL541" s="228"/>
      <c r="AM541" s="228"/>
    </row>
    <row r="542">
      <c r="A542" s="228"/>
      <c r="B542" s="228"/>
      <c r="C542" s="228"/>
      <c r="D542" s="228"/>
      <c r="E542" s="228"/>
      <c r="F542" s="228"/>
      <c r="G542" s="228"/>
      <c r="H542" s="241"/>
      <c r="I542" s="228"/>
      <c r="J542" s="228"/>
      <c r="K542" s="228"/>
      <c r="L542" s="228"/>
      <c r="M542" s="228"/>
      <c r="N542" s="228"/>
      <c r="O542" s="236"/>
      <c r="P542" s="228"/>
      <c r="Q542" s="228"/>
      <c r="R542" s="228"/>
      <c r="S542" s="228"/>
      <c r="T542" s="228"/>
      <c r="U542" s="228"/>
      <c r="V542" s="228"/>
      <c r="W542" s="228"/>
      <c r="X542" s="228"/>
      <c r="Y542" s="228"/>
      <c r="Z542" s="228"/>
      <c r="AA542" s="228"/>
      <c r="AB542" s="228"/>
      <c r="AC542" s="228"/>
      <c r="AD542" s="228"/>
      <c r="AE542" s="228"/>
      <c r="AF542" s="228"/>
      <c r="AG542" s="228"/>
      <c r="AH542" s="228"/>
      <c r="AI542" s="228"/>
      <c r="AJ542" s="228"/>
      <c r="AK542" s="228"/>
      <c r="AL542" s="228"/>
      <c r="AM542" s="228"/>
    </row>
    <row r="543">
      <c r="A543" s="228"/>
      <c r="B543" s="228"/>
      <c r="C543" s="228"/>
      <c r="D543" s="228"/>
      <c r="E543" s="228"/>
      <c r="F543" s="228"/>
      <c r="G543" s="228"/>
      <c r="H543" s="241"/>
      <c r="I543" s="228"/>
      <c r="J543" s="228"/>
      <c r="K543" s="228"/>
      <c r="L543" s="228"/>
      <c r="M543" s="228"/>
      <c r="N543" s="228"/>
      <c r="O543" s="236"/>
      <c r="P543" s="228"/>
      <c r="Q543" s="228"/>
      <c r="R543" s="228"/>
      <c r="S543" s="228"/>
      <c r="T543" s="228"/>
      <c r="U543" s="228"/>
      <c r="V543" s="228"/>
      <c r="W543" s="228"/>
      <c r="X543" s="228"/>
      <c r="Y543" s="228"/>
      <c r="Z543" s="228"/>
      <c r="AA543" s="228"/>
      <c r="AB543" s="228"/>
      <c r="AC543" s="228"/>
      <c r="AD543" s="228"/>
      <c r="AE543" s="228"/>
      <c r="AF543" s="228"/>
      <c r="AG543" s="228"/>
      <c r="AH543" s="228"/>
      <c r="AI543" s="228"/>
      <c r="AJ543" s="228"/>
      <c r="AK543" s="228"/>
      <c r="AL543" s="228"/>
      <c r="AM543" s="228"/>
    </row>
    <row r="544">
      <c r="A544" s="228"/>
      <c r="B544" s="228"/>
      <c r="C544" s="228"/>
      <c r="D544" s="228"/>
      <c r="E544" s="228"/>
      <c r="F544" s="228"/>
      <c r="G544" s="228"/>
      <c r="H544" s="241"/>
      <c r="I544" s="228"/>
      <c r="J544" s="228"/>
      <c r="K544" s="228"/>
      <c r="L544" s="228"/>
      <c r="M544" s="228"/>
      <c r="N544" s="228"/>
      <c r="O544" s="236"/>
      <c r="P544" s="228"/>
      <c r="Q544" s="228"/>
      <c r="R544" s="228"/>
      <c r="S544" s="228"/>
      <c r="T544" s="228"/>
      <c r="U544" s="228"/>
      <c r="V544" s="228"/>
      <c r="W544" s="228"/>
      <c r="X544" s="228"/>
      <c r="Y544" s="228"/>
      <c r="Z544" s="228"/>
      <c r="AA544" s="228"/>
      <c r="AB544" s="228"/>
      <c r="AC544" s="228"/>
      <c r="AD544" s="228"/>
      <c r="AE544" s="228"/>
      <c r="AF544" s="228"/>
      <c r="AG544" s="228"/>
      <c r="AH544" s="228"/>
      <c r="AI544" s="228"/>
      <c r="AJ544" s="228"/>
      <c r="AK544" s="228"/>
      <c r="AL544" s="228"/>
      <c r="AM544" s="228"/>
    </row>
    <row r="545">
      <c r="A545" s="228"/>
      <c r="B545" s="228"/>
      <c r="C545" s="228"/>
      <c r="D545" s="228"/>
      <c r="E545" s="228"/>
      <c r="F545" s="228"/>
      <c r="G545" s="228"/>
      <c r="H545" s="241"/>
      <c r="I545" s="228"/>
      <c r="J545" s="228"/>
      <c r="K545" s="228"/>
      <c r="L545" s="228"/>
      <c r="M545" s="228"/>
      <c r="N545" s="228"/>
      <c r="O545" s="236"/>
      <c r="P545" s="228"/>
      <c r="Q545" s="228"/>
      <c r="R545" s="228"/>
      <c r="S545" s="228"/>
      <c r="T545" s="228"/>
      <c r="U545" s="228"/>
      <c r="V545" s="228"/>
      <c r="W545" s="228"/>
      <c r="X545" s="228"/>
      <c r="Y545" s="228"/>
      <c r="Z545" s="228"/>
      <c r="AA545" s="228"/>
      <c r="AB545" s="228"/>
      <c r="AC545" s="228"/>
      <c r="AD545" s="228"/>
      <c r="AE545" s="228"/>
      <c r="AF545" s="228"/>
      <c r="AG545" s="228"/>
      <c r="AH545" s="228"/>
      <c r="AI545" s="228"/>
      <c r="AJ545" s="228"/>
      <c r="AK545" s="228"/>
      <c r="AL545" s="228"/>
      <c r="AM545" s="228"/>
    </row>
    <row r="546">
      <c r="A546" s="228"/>
      <c r="B546" s="228"/>
      <c r="C546" s="228"/>
      <c r="D546" s="228"/>
      <c r="E546" s="228"/>
      <c r="F546" s="228"/>
      <c r="G546" s="228"/>
      <c r="H546" s="241"/>
      <c r="I546" s="228"/>
      <c r="J546" s="228"/>
      <c r="K546" s="228"/>
      <c r="L546" s="228"/>
      <c r="M546" s="228"/>
      <c r="N546" s="228"/>
      <c r="O546" s="236"/>
      <c r="P546" s="228"/>
      <c r="Q546" s="228"/>
      <c r="R546" s="228"/>
      <c r="S546" s="228"/>
      <c r="T546" s="228"/>
      <c r="U546" s="228"/>
      <c r="V546" s="228"/>
      <c r="W546" s="228"/>
      <c r="X546" s="228"/>
      <c r="Y546" s="228"/>
      <c r="Z546" s="228"/>
      <c r="AA546" s="228"/>
      <c r="AB546" s="228"/>
      <c r="AC546" s="228"/>
      <c r="AD546" s="228"/>
      <c r="AE546" s="228"/>
      <c r="AF546" s="228"/>
      <c r="AG546" s="228"/>
      <c r="AH546" s="228"/>
      <c r="AI546" s="228"/>
      <c r="AJ546" s="228"/>
      <c r="AK546" s="228"/>
      <c r="AL546" s="228"/>
      <c r="AM546" s="228"/>
    </row>
    <row r="547">
      <c r="A547" s="228"/>
      <c r="B547" s="228"/>
      <c r="C547" s="228"/>
      <c r="D547" s="228"/>
      <c r="E547" s="228"/>
      <c r="F547" s="228"/>
      <c r="G547" s="228"/>
      <c r="H547" s="241"/>
      <c r="I547" s="228"/>
      <c r="J547" s="228"/>
      <c r="K547" s="228"/>
      <c r="L547" s="228"/>
      <c r="M547" s="228"/>
      <c r="N547" s="228"/>
      <c r="O547" s="236"/>
      <c r="P547" s="228"/>
      <c r="Q547" s="228"/>
      <c r="R547" s="228"/>
      <c r="S547" s="228"/>
      <c r="T547" s="228"/>
      <c r="U547" s="228"/>
      <c r="V547" s="228"/>
      <c r="W547" s="228"/>
      <c r="X547" s="228"/>
      <c r="Y547" s="228"/>
      <c r="Z547" s="228"/>
      <c r="AA547" s="228"/>
      <c r="AB547" s="228"/>
      <c r="AC547" s="228"/>
      <c r="AD547" s="228"/>
      <c r="AE547" s="228"/>
      <c r="AF547" s="228"/>
      <c r="AG547" s="228"/>
      <c r="AH547" s="228"/>
      <c r="AI547" s="228"/>
      <c r="AJ547" s="228"/>
      <c r="AK547" s="228"/>
      <c r="AL547" s="228"/>
      <c r="AM547" s="228"/>
    </row>
    <row r="548">
      <c r="A548" s="228"/>
      <c r="B548" s="228"/>
      <c r="C548" s="228"/>
      <c r="D548" s="228"/>
      <c r="E548" s="228"/>
      <c r="F548" s="228"/>
      <c r="G548" s="228"/>
      <c r="H548" s="241"/>
      <c r="I548" s="228"/>
      <c r="J548" s="228"/>
      <c r="K548" s="228"/>
      <c r="L548" s="228"/>
      <c r="M548" s="228"/>
      <c r="N548" s="228"/>
      <c r="O548" s="236"/>
      <c r="P548" s="228"/>
      <c r="Q548" s="228"/>
      <c r="R548" s="228"/>
      <c r="S548" s="228"/>
      <c r="T548" s="228"/>
      <c r="U548" s="228"/>
      <c r="V548" s="228"/>
      <c r="W548" s="228"/>
      <c r="X548" s="228"/>
      <c r="Y548" s="228"/>
      <c r="Z548" s="228"/>
      <c r="AA548" s="228"/>
      <c r="AB548" s="228"/>
      <c r="AC548" s="228"/>
      <c r="AD548" s="228"/>
      <c r="AE548" s="228"/>
      <c r="AF548" s="228"/>
      <c r="AG548" s="228"/>
      <c r="AH548" s="228"/>
      <c r="AI548" s="228"/>
      <c r="AJ548" s="228"/>
      <c r="AK548" s="228"/>
      <c r="AL548" s="228"/>
      <c r="AM548" s="228"/>
    </row>
    <row r="549">
      <c r="A549" s="228"/>
      <c r="B549" s="228"/>
      <c r="C549" s="228"/>
      <c r="D549" s="228"/>
      <c r="E549" s="228"/>
      <c r="F549" s="228"/>
      <c r="G549" s="228"/>
      <c r="H549" s="241"/>
      <c r="I549" s="228"/>
      <c r="J549" s="228"/>
      <c r="K549" s="228"/>
      <c r="L549" s="228"/>
      <c r="M549" s="228"/>
      <c r="N549" s="228"/>
      <c r="O549" s="236"/>
      <c r="P549" s="228"/>
      <c r="Q549" s="228"/>
      <c r="R549" s="228"/>
      <c r="S549" s="228"/>
      <c r="T549" s="228"/>
      <c r="U549" s="228"/>
      <c r="V549" s="228"/>
      <c r="W549" s="228"/>
      <c r="X549" s="228"/>
      <c r="Y549" s="228"/>
      <c r="Z549" s="228"/>
      <c r="AA549" s="228"/>
      <c r="AB549" s="228"/>
      <c r="AC549" s="228"/>
      <c r="AD549" s="228"/>
      <c r="AE549" s="228"/>
      <c r="AF549" s="228"/>
      <c r="AG549" s="228"/>
      <c r="AH549" s="228"/>
      <c r="AI549" s="228"/>
      <c r="AJ549" s="228"/>
      <c r="AK549" s="228"/>
      <c r="AL549" s="228"/>
      <c r="AM549" s="228"/>
    </row>
    <row r="550">
      <c r="A550" s="228"/>
      <c r="B550" s="228"/>
      <c r="C550" s="228"/>
      <c r="D550" s="228"/>
      <c r="E550" s="228"/>
      <c r="F550" s="228"/>
      <c r="G550" s="228"/>
      <c r="H550" s="241"/>
      <c r="I550" s="228"/>
      <c r="J550" s="228"/>
      <c r="K550" s="228"/>
      <c r="L550" s="228"/>
      <c r="M550" s="228"/>
      <c r="N550" s="228"/>
      <c r="O550" s="236"/>
      <c r="P550" s="228"/>
      <c r="Q550" s="228"/>
      <c r="R550" s="228"/>
      <c r="S550" s="228"/>
      <c r="T550" s="228"/>
      <c r="U550" s="228"/>
      <c r="V550" s="228"/>
      <c r="W550" s="228"/>
      <c r="X550" s="228"/>
      <c r="Y550" s="228"/>
      <c r="Z550" s="228"/>
      <c r="AA550" s="228"/>
      <c r="AB550" s="228"/>
      <c r="AC550" s="228"/>
      <c r="AD550" s="228"/>
      <c r="AE550" s="228"/>
      <c r="AF550" s="228"/>
      <c r="AG550" s="228"/>
      <c r="AH550" s="228"/>
      <c r="AI550" s="228"/>
      <c r="AJ550" s="228"/>
      <c r="AK550" s="228"/>
      <c r="AL550" s="228"/>
      <c r="AM550" s="228"/>
    </row>
    <row r="551">
      <c r="A551" s="228"/>
      <c r="B551" s="228"/>
      <c r="C551" s="228"/>
      <c r="D551" s="228"/>
      <c r="E551" s="228"/>
      <c r="F551" s="228"/>
      <c r="G551" s="228"/>
      <c r="H551" s="241"/>
      <c r="I551" s="228"/>
      <c r="J551" s="228"/>
      <c r="K551" s="228"/>
      <c r="L551" s="228"/>
      <c r="M551" s="228"/>
      <c r="N551" s="228"/>
      <c r="O551" s="236"/>
      <c r="P551" s="228"/>
      <c r="Q551" s="228"/>
      <c r="R551" s="228"/>
      <c r="S551" s="228"/>
      <c r="T551" s="228"/>
      <c r="U551" s="228"/>
      <c r="V551" s="228"/>
      <c r="W551" s="228"/>
      <c r="X551" s="228"/>
      <c r="Y551" s="228"/>
      <c r="Z551" s="228"/>
      <c r="AA551" s="228"/>
      <c r="AB551" s="228"/>
      <c r="AC551" s="228"/>
      <c r="AD551" s="228"/>
      <c r="AE551" s="228"/>
      <c r="AF551" s="228"/>
      <c r="AG551" s="228"/>
      <c r="AH551" s="228"/>
      <c r="AI551" s="228"/>
      <c r="AJ551" s="228"/>
      <c r="AK551" s="228"/>
      <c r="AL551" s="228"/>
      <c r="AM551" s="228"/>
    </row>
    <row r="552">
      <c r="A552" s="228"/>
      <c r="B552" s="228"/>
      <c r="C552" s="228"/>
      <c r="D552" s="228"/>
      <c r="E552" s="228"/>
      <c r="F552" s="228"/>
      <c r="G552" s="228"/>
      <c r="H552" s="241"/>
      <c r="I552" s="228"/>
      <c r="J552" s="228"/>
      <c r="K552" s="228"/>
      <c r="L552" s="228"/>
      <c r="M552" s="228"/>
      <c r="N552" s="228"/>
      <c r="O552" s="236"/>
      <c r="P552" s="228"/>
      <c r="Q552" s="228"/>
      <c r="R552" s="228"/>
      <c r="S552" s="228"/>
      <c r="T552" s="228"/>
      <c r="U552" s="228"/>
      <c r="V552" s="228"/>
      <c r="W552" s="228"/>
      <c r="X552" s="228"/>
      <c r="Y552" s="228"/>
      <c r="Z552" s="228"/>
      <c r="AA552" s="228"/>
      <c r="AB552" s="228"/>
      <c r="AC552" s="228"/>
      <c r="AD552" s="228"/>
      <c r="AE552" s="228"/>
      <c r="AF552" s="228"/>
      <c r="AG552" s="228"/>
      <c r="AH552" s="228"/>
      <c r="AI552" s="228"/>
      <c r="AJ552" s="228"/>
      <c r="AK552" s="228"/>
      <c r="AL552" s="228"/>
      <c r="AM552" s="228"/>
    </row>
    <row r="553">
      <c r="A553" s="228"/>
      <c r="B553" s="228"/>
      <c r="C553" s="228"/>
      <c r="D553" s="228"/>
      <c r="E553" s="228"/>
      <c r="F553" s="228"/>
      <c r="G553" s="228"/>
      <c r="H553" s="241"/>
      <c r="I553" s="228"/>
      <c r="J553" s="228"/>
      <c r="K553" s="228"/>
      <c r="L553" s="228"/>
      <c r="M553" s="228"/>
      <c r="N553" s="228"/>
      <c r="O553" s="236"/>
      <c r="P553" s="228"/>
      <c r="Q553" s="228"/>
      <c r="R553" s="228"/>
      <c r="S553" s="228"/>
      <c r="T553" s="228"/>
      <c r="U553" s="228"/>
      <c r="V553" s="228"/>
      <c r="W553" s="228"/>
      <c r="X553" s="228"/>
      <c r="Y553" s="228"/>
      <c r="Z553" s="228"/>
      <c r="AA553" s="228"/>
      <c r="AB553" s="228"/>
      <c r="AC553" s="228"/>
      <c r="AD553" s="228"/>
      <c r="AE553" s="228"/>
      <c r="AF553" s="228"/>
      <c r="AG553" s="228"/>
      <c r="AH553" s="228"/>
      <c r="AI553" s="228"/>
      <c r="AJ553" s="228"/>
      <c r="AK553" s="228"/>
      <c r="AL553" s="228"/>
      <c r="AM553" s="228"/>
    </row>
    <row r="554">
      <c r="A554" s="228"/>
      <c r="B554" s="228"/>
      <c r="C554" s="228"/>
      <c r="D554" s="228"/>
      <c r="E554" s="228"/>
      <c r="F554" s="228"/>
      <c r="G554" s="228"/>
      <c r="H554" s="241"/>
      <c r="I554" s="228"/>
      <c r="J554" s="228"/>
      <c r="K554" s="228"/>
      <c r="L554" s="228"/>
      <c r="M554" s="228"/>
      <c r="N554" s="228"/>
      <c r="O554" s="236"/>
      <c r="P554" s="228"/>
      <c r="Q554" s="228"/>
      <c r="R554" s="228"/>
      <c r="S554" s="228"/>
      <c r="T554" s="228"/>
      <c r="U554" s="228"/>
      <c r="V554" s="228"/>
      <c r="W554" s="228"/>
      <c r="X554" s="228"/>
      <c r="Y554" s="228"/>
      <c r="Z554" s="228"/>
      <c r="AA554" s="228"/>
      <c r="AB554" s="228"/>
      <c r="AC554" s="228"/>
      <c r="AD554" s="228"/>
      <c r="AE554" s="228"/>
      <c r="AF554" s="228"/>
      <c r="AG554" s="228"/>
      <c r="AH554" s="228"/>
      <c r="AI554" s="228"/>
      <c r="AJ554" s="228"/>
      <c r="AK554" s="228"/>
      <c r="AL554" s="228"/>
      <c r="AM554" s="228"/>
    </row>
    <row r="555">
      <c r="A555" s="228"/>
      <c r="B555" s="228"/>
      <c r="C555" s="228"/>
      <c r="D555" s="228"/>
      <c r="E555" s="228"/>
      <c r="F555" s="228"/>
      <c r="G555" s="228"/>
      <c r="H555" s="241"/>
      <c r="I555" s="228"/>
      <c r="J555" s="228"/>
      <c r="K555" s="228"/>
      <c r="L555" s="228"/>
      <c r="M555" s="228"/>
      <c r="N555" s="228"/>
      <c r="O555" s="236"/>
      <c r="P555" s="228"/>
      <c r="Q555" s="228"/>
      <c r="R555" s="228"/>
      <c r="S555" s="228"/>
      <c r="T555" s="228"/>
      <c r="U555" s="228"/>
      <c r="V555" s="228"/>
      <c r="W555" s="228"/>
      <c r="X555" s="228"/>
      <c r="Y555" s="228"/>
      <c r="Z555" s="228"/>
      <c r="AA555" s="228"/>
      <c r="AB555" s="228"/>
      <c r="AC555" s="228"/>
      <c r="AD555" s="228"/>
      <c r="AE555" s="228"/>
      <c r="AF555" s="228"/>
      <c r="AG555" s="228"/>
      <c r="AH555" s="228"/>
      <c r="AI555" s="228"/>
      <c r="AJ555" s="228"/>
      <c r="AK555" s="228"/>
      <c r="AL555" s="228"/>
      <c r="AM555" s="228"/>
    </row>
    <row r="556">
      <c r="A556" s="228"/>
      <c r="B556" s="228"/>
      <c r="C556" s="228"/>
      <c r="D556" s="228"/>
      <c r="E556" s="228"/>
      <c r="F556" s="228"/>
      <c r="G556" s="228"/>
      <c r="H556" s="241"/>
      <c r="I556" s="228"/>
      <c r="J556" s="228"/>
      <c r="K556" s="228"/>
      <c r="L556" s="228"/>
      <c r="M556" s="228"/>
      <c r="N556" s="228"/>
      <c r="O556" s="236"/>
      <c r="P556" s="228"/>
      <c r="Q556" s="228"/>
      <c r="R556" s="228"/>
      <c r="S556" s="228"/>
      <c r="T556" s="228"/>
      <c r="U556" s="228"/>
      <c r="V556" s="228"/>
      <c r="W556" s="228"/>
      <c r="X556" s="228"/>
      <c r="Y556" s="228"/>
      <c r="Z556" s="228"/>
      <c r="AA556" s="228"/>
      <c r="AB556" s="228"/>
      <c r="AC556" s="228"/>
      <c r="AD556" s="228"/>
      <c r="AE556" s="228"/>
      <c r="AF556" s="228"/>
      <c r="AG556" s="228"/>
      <c r="AH556" s="228"/>
      <c r="AI556" s="228"/>
      <c r="AJ556" s="228"/>
      <c r="AK556" s="228"/>
      <c r="AL556" s="228"/>
      <c r="AM556" s="228"/>
    </row>
    <row r="557">
      <c r="A557" s="228"/>
      <c r="B557" s="228"/>
      <c r="C557" s="228"/>
      <c r="D557" s="228"/>
      <c r="E557" s="228"/>
      <c r="F557" s="228"/>
      <c r="G557" s="228"/>
      <c r="H557" s="241"/>
      <c r="I557" s="228"/>
      <c r="J557" s="228"/>
      <c r="K557" s="228"/>
      <c r="L557" s="228"/>
      <c r="M557" s="228"/>
      <c r="N557" s="228"/>
      <c r="O557" s="236"/>
      <c r="P557" s="228"/>
      <c r="Q557" s="228"/>
      <c r="R557" s="228"/>
      <c r="S557" s="228"/>
      <c r="T557" s="228"/>
      <c r="U557" s="228"/>
      <c r="V557" s="228"/>
      <c r="W557" s="228"/>
      <c r="X557" s="228"/>
      <c r="Y557" s="228"/>
      <c r="Z557" s="228"/>
      <c r="AA557" s="228"/>
      <c r="AB557" s="228"/>
      <c r="AC557" s="228"/>
      <c r="AD557" s="228"/>
      <c r="AE557" s="228"/>
      <c r="AF557" s="228"/>
      <c r="AG557" s="228"/>
      <c r="AH557" s="228"/>
      <c r="AI557" s="228"/>
      <c r="AJ557" s="228"/>
      <c r="AK557" s="228"/>
      <c r="AL557" s="228"/>
      <c r="AM557" s="228"/>
    </row>
    <row r="558">
      <c r="A558" s="228"/>
      <c r="B558" s="228"/>
      <c r="C558" s="228"/>
      <c r="D558" s="228"/>
      <c r="E558" s="228"/>
      <c r="F558" s="228"/>
      <c r="G558" s="228"/>
      <c r="H558" s="241"/>
      <c r="I558" s="228"/>
      <c r="J558" s="228"/>
      <c r="K558" s="228"/>
      <c r="L558" s="228"/>
      <c r="M558" s="228"/>
      <c r="N558" s="228"/>
      <c r="O558" s="236"/>
      <c r="P558" s="228"/>
      <c r="Q558" s="228"/>
      <c r="R558" s="228"/>
      <c r="S558" s="228"/>
      <c r="T558" s="228"/>
      <c r="U558" s="228"/>
      <c r="V558" s="228"/>
      <c r="W558" s="228"/>
      <c r="X558" s="228"/>
      <c r="Y558" s="228"/>
      <c r="Z558" s="228"/>
      <c r="AA558" s="228"/>
      <c r="AB558" s="228"/>
      <c r="AC558" s="228"/>
      <c r="AD558" s="228"/>
      <c r="AE558" s="228"/>
      <c r="AF558" s="228"/>
      <c r="AG558" s="228"/>
      <c r="AH558" s="228"/>
      <c r="AI558" s="228"/>
      <c r="AJ558" s="228"/>
      <c r="AK558" s="228"/>
      <c r="AL558" s="228"/>
      <c r="AM558" s="228"/>
    </row>
    <row r="559">
      <c r="A559" s="228"/>
      <c r="B559" s="228"/>
      <c r="C559" s="228"/>
      <c r="D559" s="228"/>
      <c r="E559" s="228"/>
      <c r="F559" s="228"/>
      <c r="G559" s="228"/>
      <c r="H559" s="241"/>
      <c r="I559" s="228"/>
      <c r="J559" s="228"/>
      <c r="K559" s="228"/>
      <c r="L559" s="228"/>
      <c r="M559" s="228"/>
      <c r="N559" s="228"/>
      <c r="O559" s="236"/>
      <c r="P559" s="228"/>
      <c r="Q559" s="228"/>
      <c r="R559" s="228"/>
      <c r="S559" s="228"/>
      <c r="T559" s="228"/>
      <c r="U559" s="228"/>
      <c r="V559" s="228"/>
      <c r="W559" s="228"/>
      <c r="X559" s="228"/>
      <c r="Y559" s="228"/>
      <c r="Z559" s="228"/>
      <c r="AA559" s="228"/>
      <c r="AB559" s="228"/>
      <c r="AC559" s="228"/>
      <c r="AD559" s="228"/>
      <c r="AE559" s="228"/>
      <c r="AF559" s="228"/>
      <c r="AG559" s="228"/>
      <c r="AH559" s="228"/>
      <c r="AI559" s="228"/>
      <c r="AJ559" s="228"/>
      <c r="AK559" s="228"/>
      <c r="AL559" s="228"/>
      <c r="AM559" s="228"/>
    </row>
    <row r="560">
      <c r="A560" s="228"/>
      <c r="B560" s="228"/>
      <c r="C560" s="228"/>
      <c r="D560" s="228"/>
      <c r="E560" s="228"/>
      <c r="F560" s="228"/>
      <c r="G560" s="228"/>
      <c r="H560" s="241"/>
      <c r="I560" s="228"/>
      <c r="J560" s="228"/>
      <c r="K560" s="228"/>
      <c r="L560" s="228"/>
      <c r="M560" s="228"/>
      <c r="N560" s="228"/>
      <c r="O560" s="236"/>
      <c r="P560" s="228"/>
      <c r="Q560" s="228"/>
      <c r="R560" s="228"/>
      <c r="S560" s="228"/>
      <c r="T560" s="228"/>
      <c r="U560" s="228"/>
      <c r="V560" s="228"/>
      <c r="W560" s="228"/>
      <c r="X560" s="228"/>
      <c r="Y560" s="228"/>
      <c r="Z560" s="228"/>
      <c r="AA560" s="228"/>
      <c r="AB560" s="228"/>
      <c r="AC560" s="228"/>
      <c r="AD560" s="228"/>
      <c r="AE560" s="228"/>
      <c r="AF560" s="228"/>
      <c r="AG560" s="228"/>
      <c r="AH560" s="228"/>
      <c r="AI560" s="228"/>
      <c r="AJ560" s="228"/>
      <c r="AK560" s="228"/>
      <c r="AL560" s="228"/>
      <c r="AM560" s="228"/>
    </row>
    <row r="561">
      <c r="A561" s="228"/>
      <c r="B561" s="228"/>
      <c r="C561" s="228"/>
      <c r="D561" s="228"/>
      <c r="E561" s="228"/>
      <c r="F561" s="228"/>
      <c r="G561" s="228"/>
      <c r="H561" s="241"/>
      <c r="I561" s="228"/>
      <c r="J561" s="228"/>
      <c r="K561" s="228"/>
      <c r="L561" s="228"/>
      <c r="M561" s="228"/>
      <c r="N561" s="228"/>
      <c r="O561" s="236"/>
      <c r="P561" s="228"/>
      <c r="Q561" s="228"/>
      <c r="R561" s="228"/>
      <c r="S561" s="228"/>
      <c r="T561" s="228"/>
      <c r="U561" s="228"/>
      <c r="V561" s="228"/>
      <c r="W561" s="228"/>
      <c r="X561" s="228"/>
      <c r="Y561" s="228"/>
      <c r="Z561" s="228"/>
      <c r="AA561" s="228"/>
      <c r="AB561" s="228"/>
      <c r="AC561" s="228"/>
      <c r="AD561" s="228"/>
      <c r="AE561" s="228"/>
      <c r="AF561" s="228"/>
      <c r="AG561" s="228"/>
      <c r="AH561" s="228"/>
      <c r="AI561" s="228"/>
      <c r="AJ561" s="228"/>
      <c r="AK561" s="228"/>
      <c r="AL561" s="228"/>
      <c r="AM561" s="228"/>
    </row>
    <row r="562">
      <c r="A562" s="228"/>
      <c r="B562" s="228"/>
      <c r="C562" s="228"/>
      <c r="D562" s="228"/>
      <c r="E562" s="228"/>
      <c r="F562" s="228"/>
      <c r="G562" s="228"/>
      <c r="H562" s="241"/>
      <c r="I562" s="228"/>
      <c r="J562" s="228"/>
      <c r="K562" s="228"/>
      <c r="L562" s="228"/>
      <c r="M562" s="228"/>
      <c r="N562" s="228"/>
      <c r="O562" s="236"/>
      <c r="P562" s="228"/>
      <c r="Q562" s="228"/>
      <c r="R562" s="228"/>
      <c r="S562" s="228"/>
      <c r="T562" s="228"/>
      <c r="U562" s="228"/>
      <c r="V562" s="228"/>
      <c r="W562" s="228"/>
      <c r="X562" s="228"/>
      <c r="Y562" s="228"/>
      <c r="Z562" s="228"/>
      <c r="AA562" s="228"/>
      <c r="AB562" s="228"/>
      <c r="AC562" s="228"/>
      <c r="AD562" s="228"/>
      <c r="AE562" s="228"/>
      <c r="AF562" s="228"/>
      <c r="AG562" s="228"/>
      <c r="AH562" s="228"/>
      <c r="AI562" s="228"/>
      <c r="AJ562" s="228"/>
      <c r="AK562" s="228"/>
      <c r="AL562" s="228"/>
      <c r="AM562" s="228"/>
    </row>
    <row r="563">
      <c r="A563" s="228"/>
      <c r="B563" s="228"/>
      <c r="C563" s="228"/>
      <c r="D563" s="228"/>
      <c r="E563" s="228"/>
      <c r="F563" s="228"/>
      <c r="G563" s="228"/>
      <c r="H563" s="241"/>
      <c r="I563" s="228"/>
      <c r="J563" s="228"/>
      <c r="K563" s="228"/>
      <c r="L563" s="228"/>
      <c r="M563" s="228"/>
      <c r="N563" s="228"/>
      <c r="O563" s="236"/>
      <c r="P563" s="228"/>
      <c r="Q563" s="228"/>
      <c r="R563" s="228"/>
      <c r="S563" s="228"/>
      <c r="T563" s="228"/>
      <c r="U563" s="228"/>
      <c r="V563" s="228"/>
      <c r="W563" s="228"/>
      <c r="X563" s="228"/>
      <c r="Y563" s="228"/>
      <c r="Z563" s="228"/>
      <c r="AA563" s="228"/>
      <c r="AB563" s="228"/>
      <c r="AC563" s="228"/>
      <c r="AD563" s="228"/>
      <c r="AE563" s="228"/>
      <c r="AF563" s="228"/>
      <c r="AG563" s="228"/>
      <c r="AH563" s="228"/>
      <c r="AI563" s="228"/>
      <c r="AJ563" s="228"/>
      <c r="AK563" s="228"/>
      <c r="AL563" s="228"/>
      <c r="AM563" s="228"/>
    </row>
    <row r="564">
      <c r="A564" s="228"/>
      <c r="B564" s="228"/>
      <c r="C564" s="228"/>
      <c r="D564" s="228"/>
      <c r="E564" s="228"/>
      <c r="F564" s="228"/>
      <c r="G564" s="228"/>
      <c r="H564" s="241"/>
      <c r="I564" s="228"/>
      <c r="J564" s="228"/>
      <c r="K564" s="228"/>
      <c r="L564" s="228"/>
      <c r="M564" s="228"/>
      <c r="N564" s="228"/>
      <c r="O564" s="236"/>
      <c r="P564" s="228"/>
      <c r="Q564" s="228"/>
      <c r="R564" s="228"/>
      <c r="S564" s="228"/>
      <c r="T564" s="228"/>
      <c r="U564" s="228"/>
      <c r="V564" s="228"/>
      <c r="W564" s="228"/>
      <c r="X564" s="228"/>
      <c r="Y564" s="228"/>
      <c r="Z564" s="228"/>
      <c r="AA564" s="228"/>
      <c r="AB564" s="228"/>
      <c r="AC564" s="228"/>
      <c r="AD564" s="228"/>
      <c r="AE564" s="228"/>
      <c r="AF564" s="228"/>
      <c r="AG564" s="228"/>
      <c r="AH564" s="228"/>
      <c r="AI564" s="228"/>
      <c r="AJ564" s="228"/>
      <c r="AK564" s="228"/>
      <c r="AL564" s="228"/>
      <c r="AM564" s="228"/>
    </row>
    <row r="565">
      <c r="A565" s="228"/>
      <c r="B565" s="228"/>
      <c r="C565" s="228"/>
      <c r="D565" s="228"/>
      <c r="E565" s="228"/>
      <c r="F565" s="228"/>
      <c r="G565" s="228"/>
      <c r="H565" s="241"/>
      <c r="I565" s="228"/>
      <c r="J565" s="228"/>
      <c r="K565" s="228"/>
      <c r="L565" s="228"/>
      <c r="M565" s="228"/>
      <c r="N565" s="228"/>
      <c r="O565" s="236"/>
      <c r="P565" s="228"/>
      <c r="Q565" s="228"/>
      <c r="R565" s="228"/>
      <c r="S565" s="228"/>
      <c r="T565" s="228"/>
      <c r="U565" s="228"/>
      <c r="V565" s="228"/>
      <c r="W565" s="228"/>
      <c r="X565" s="228"/>
      <c r="Y565" s="228"/>
      <c r="Z565" s="228"/>
      <c r="AA565" s="228"/>
      <c r="AB565" s="228"/>
      <c r="AC565" s="228"/>
      <c r="AD565" s="228"/>
      <c r="AE565" s="228"/>
      <c r="AF565" s="228"/>
      <c r="AG565" s="228"/>
      <c r="AH565" s="228"/>
      <c r="AI565" s="228"/>
      <c r="AJ565" s="228"/>
      <c r="AK565" s="228"/>
      <c r="AL565" s="228"/>
      <c r="AM565" s="228"/>
    </row>
    <row r="566">
      <c r="A566" s="228"/>
      <c r="B566" s="228"/>
      <c r="C566" s="228"/>
      <c r="D566" s="228"/>
      <c r="E566" s="228"/>
      <c r="F566" s="228"/>
      <c r="G566" s="228"/>
      <c r="H566" s="241"/>
      <c r="I566" s="228"/>
      <c r="J566" s="228"/>
      <c r="K566" s="228"/>
      <c r="L566" s="228"/>
      <c r="M566" s="228"/>
      <c r="N566" s="228"/>
      <c r="O566" s="236"/>
      <c r="P566" s="228"/>
      <c r="Q566" s="228"/>
      <c r="R566" s="228"/>
      <c r="S566" s="228"/>
      <c r="T566" s="228"/>
      <c r="U566" s="228"/>
      <c r="V566" s="228"/>
      <c r="W566" s="228"/>
      <c r="X566" s="228"/>
      <c r="Y566" s="228"/>
      <c r="Z566" s="228"/>
      <c r="AA566" s="228"/>
      <c r="AB566" s="228"/>
      <c r="AC566" s="228"/>
      <c r="AD566" s="228"/>
      <c r="AE566" s="228"/>
      <c r="AF566" s="228"/>
      <c r="AG566" s="228"/>
      <c r="AH566" s="228"/>
      <c r="AI566" s="228"/>
      <c r="AJ566" s="228"/>
      <c r="AK566" s="228"/>
      <c r="AL566" s="228"/>
      <c r="AM566" s="228"/>
    </row>
    <row r="567">
      <c r="A567" s="228"/>
      <c r="B567" s="228"/>
      <c r="C567" s="228"/>
      <c r="D567" s="228"/>
      <c r="E567" s="228"/>
      <c r="F567" s="228"/>
      <c r="G567" s="228"/>
      <c r="H567" s="241"/>
      <c r="I567" s="228"/>
      <c r="J567" s="228"/>
      <c r="K567" s="228"/>
      <c r="L567" s="228"/>
      <c r="M567" s="228"/>
      <c r="N567" s="228"/>
      <c r="O567" s="236"/>
      <c r="P567" s="228"/>
      <c r="Q567" s="228"/>
      <c r="R567" s="228"/>
      <c r="S567" s="228"/>
      <c r="T567" s="228"/>
      <c r="U567" s="228"/>
      <c r="V567" s="228"/>
      <c r="W567" s="228"/>
      <c r="X567" s="228"/>
      <c r="Y567" s="228"/>
      <c r="Z567" s="228"/>
      <c r="AA567" s="228"/>
      <c r="AB567" s="228"/>
      <c r="AC567" s="228"/>
      <c r="AD567" s="228"/>
      <c r="AE567" s="228"/>
      <c r="AF567" s="228"/>
      <c r="AG567" s="228"/>
      <c r="AH567" s="228"/>
      <c r="AI567" s="228"/>
      <c r="AJ567" s="228"/>
      <c r="AK567" s="228"/>
      <c r="AL567" s="228"/>
      <c r="AM567" s="228"/>
    </row>
    <row r="568">
      <c r="A568" s="228"/>
      <c r="B568" s="228"/>
      <c r="C568" s="228"/>
      <c r="D568" s="228"/>
      <c r="E568" s="228"/>
      <c r="F568" s="228"/>
      <c r="G568" s="228"/>
      <c r="H568" s="241"/>
      <c r="I568" s="228"/>
      <c r="J568" s="228"/>
      <c r="K568" s="228"/>
      <c r="L568" s="228"/>
      <c r="M568" s="228"/>
      <c r="N568" s="228"/>
      <c r="O568" s="236"/>
      <c r="P568" s="228"/>
      <c r="Q568" s="228"/>
      <c r="R568" s="228"/>
      <c r="S568" s="228"/>
      <c r="T568" s="228"/>
      <c r="U568" s="228"/>
      <c r="V568" s="228"/>
      <c r="W568" s="228"/>
      <c r="X568" s="228"/>
      <c r="Y568" s="228"/>
      <c r="Z568" s="228"/>
      <c r="AA568" s="228"/>
      <c r="AB568" s="228"/>
      <c r="AC568" s="228"/>
      <c r="AD568" s="228"/>
      <c r="AE568" s="228"/>
      <c r="AF568" s="228"/>
      <c r="AG568" s="228"/>
      <c r="AH568" s="228"/>
      <c r="AI568" s="228"/>
      <c r="AJ568" s="228"/>
      <c r="AK568" s="228"/>
      <c r="AL568" s="228"/>
      <c r="AM568" s="228"/>
    </row>
    <row r="569">
      <c r="A569" s="228"/>
      <c r="B569" s="228"/>
      <c r="C569" s="228"/>
      <c r="D569" s="228"/>
      <c r="E569" s="228"/>
      <c r="F569" s="228"/>
      <c r="G569" s="228"/>
      <c r="H569" s="241"/>
      <c r="I569" s="228"/>
      <c r="J569" s="228"/>
      <c r="K569" s="228"/>
      <c r="L569" s="228"/>
      <c r="M569" s="228"/>
      <c r="N569" s="228"/>
      <c r="O569" s="236"/>
      <c r="P569" s="228"/>
      <c r="Q569" s="228"/>
      <c r="R569" s="228"/>
      <c r="S569" s="228"/>
      <c r="T569" s="228"/>
      <c r="U569" s="228"/>
      <c r="V569" s="228"/>
      <c r="W569" s="228"/>
      <c r="X569" s="228"/>
      <c r="Y569" s="228"/>
      <c r="Z569" s="228"/>
      <c r="AA569" s="228"/>
      <c r="AB569" s="228"/>
      <c r="AC569" s="228"/>
      <c r="AD569" s="228"/>
      <c r="AE569" s="228"/>
      <c r="AF569" s="228"/>
      <c r="AG569" s="228"/>
      <c r="AH569" s="228"/>
      <c r="AI569" s="228"/>
      <c r="AJ569" s="228"/>
      <c r="AK569" s="228"/>
      <c r="AL569" s="228"/>
      <c r="AM569" s="228"/>
    </row>
    <row r="570">
      <c r="A570" s="228"/>
      <c r="B570" s="228"/>
      <c r="C570" s="228"/>
      <c r="D570" s="228"/>
      <c r="E570" s="228"/>
      <c r="F570" s="228"/>
      <c r="G570" s="228"/>
      <c r="H570" s="241"/>
      <c r="I570" s="228"/>
      <c r="J570" s="228"/>
      <c r="K570" s="228"/>
      <c r="L570" s="228"/>
      <c r="M570" s="228"/>
      <c r="N570" s="228"/>
      <c r="O570" s="236"/>
      <c r="P570" s="228"/>
      <c r="Q570" s="228"/>
      <c r="R570" s="228"/>
      <c r="S570" s="228"/>
      <c r="T570" s="228"/>
      <c r="U570" s="228"/>
      <c r="V570" s="228"/>
      <c r="W570" s="228"/>
      <c r="X570" s="228"/>
      <c r="Y570" s="228"/>
      <c r="Z570" s="228"/>
      <c r="AA570" s="228"/>
      <c r="AB570" s="228"/>
      <c r="AC570" s="228"/>
      <c r="AD570" s="228"/>
      <c r="AE570" s="228"/>
      <c r="AF570" s="228"/>
      <c r="AG570" s="228"/>
      <c r="AH570" s="228"/>
      <c r="AI570" s="228"/>
      <c r="AJ570" s="228"/>
      <c r="AK570" s="228"/>
      <c r="AL570" s="228"/>
      <c r="AM570" s="228"/>
    </row>
    <row r="571">
      <c r="A571" s="228"/>
      <c r="B571" s="228"/>
      <c r="C571" s="228"/>
      <c r="D571" s="228"/>
      <c r="E571" s="228"/>
      <c r="F571" s="228"/>
      <c r="G571" s="228"/>
      <c r="H571" s="241"/>
      <c r="I571" s="228"/>
      <c r="J571" s="228"/>
      <c r="K571" s="228"/>
      <c r="L571" s="228"/>
      <c r="M571" s="228"/>
      <c r="N571" s="228"/>
      <c r="O571" s="236"/>
      <c r="P571" s="228"/>
      <c r="Q571" s="228"/>
      <c r="R571" s="228"/>
      <c r="S571" s="228"/>
      <c r="T571" s="228"/>
      <c r="U571" s="228"/>
      <c r="V571" s="228"/>
      <c r="W571" s="228"/>
      <c r="X571" s="228"/>
      <c r="Y571" s="228"/>
      <c r="Z571" s="228"/>
      <c r="AA571" s="228"/>
      <c r="AB571" s="228"/>
      <c r="AC571" s="228"/>
      <c r="AD571" s="228"/>
      <c r="AE571" s="228"/>
      <c r="AF571" s="228"/>
      <c r="AG571" s="228"/>
      <c r="AH571" s="228"/>
      <c r="AI571" s="228"/>
      <c r="AJ571" s="228"/>
      <c r="AK571" s="228"/>
      <c r="AL571" s="228"/>
      <c r="AM571" s="228"/>
    </row>
    <row r="572">
      <c r="A572" s="228"/>
      <c r="B572" s="228"/>
      <c r="C572" s="228"/>
      <c r="D572" s="228"/>
      <c r="E572" s="228"/>
      <c r="F572" s="228"/>
      <c r="G572" s="228"/>
      <c r="H572" s="241"/>
      <c r="I572" s="228"/>
      <c r="J572" s="228"/>
      <c r="K572" s="228"/>
      <c r="L572" s="228"/>
      <c r="M572" s="228"/>
      <c r="N572" s="228"/>
      <c r="O572" s="236"/>
      <c r="P572" s="228"/>
      <c r="Q572" s="228"/>
      <c r="R572" s="228"/>
      <c r="S572" s="228"/>
      <c r="T572" s="228"/>
      <c r="U572" s="228"/>
      <c r="V572" s="228"/>
      <c r="W572" s="228"/>
      <c r="X572" s="228"/>
      <c r="Y572" s="228"/>
      <c r="Z572" s="228"/>
      <c r="AA572" s="228"/>
      <c r="AB572" s="228"/>
      <c r="AC572" s="228"/>
      <c r="AD572" s="228"/>
      <c r="AE572" s="228"/>
      <c r="AF572" s="228"/>
      <c r="AG572" s="228"/>
      <c r="AH572" s="228"/>
      <c r="AI572" s="228"/>
      <c r="AJ572" s="228"/>
      <c r="AK572" s="228"/>
      <c r="AL572" s="228"/>
      <c r="AM572" s="228"/>
    </row>
    <row r="573">
      <c r="A573" s="228"/>
      <c r="B573" s="228"/>
      <c r="C573" s="228"/>
      <c r="D573" s="228"/>
      <c r="E573" s="228"/>
      <c r="F573" s="228"/>
      <c r="G573" s="228"/>
      <c r="H573" s="241"/>
      <c r="I573" s="228"/>
      <c r="J573" s="228"/>
      <c r="K573" s="228"/>
      <c r="L573" s="228"/>
      <c r="M573" s="228"/>
      <c r="N573" s="228"/>
      <c r="O573" s="236"/>
      <c r="P573" s="228"/>
      <c r="Q573" s="228"/>
      <c r="R573" s="228"/>
      <c r="S573" s="228"/>
      <c r="T573" s="228"/>
      <c r="U573" s="228"/>
      <c r="V573" s="228"/>
      <c r="W573" s="228"/>
      <c r="X573" s="228"/>
      <c r="Y573" s="228"/>
      <c r="Z573" s="228"/>
      <c r="AA573" s="228"/>
      <c r="AB573" s="228"/>
      <c r="AC573" s="228"/>
      <c r="AD573" s="228"/>
      <c r="AE573" s="228"/>
      <c r="AF573" s="228"/>
      <c r="AG573" s="228"/>
      <c r="AH573" s="228"/>
      <c r="AI573" s="228"/>
      <c r="AJ573" s="228"/>
      <c r="AK573" s="228"/>
      <c r="AL573" s="228"/>
      <c r="AM573" s="228"/>
    </row>
    <row r="574">
      <c r="A574" s="228"/>
      <c r="B574" s="228"/>
      <c r="C574" s="228"/>
      <c r="D574" s="228"/>
      <c r="E574" s="228"/>
      <c r="F574" s="228"/>
      <c r="G574" s="228"/>
      <c r="H574" s="241"/>
      <c r="I574" s="228"/>
      <c r="J574" s="228"/>
      <c r="K574" s="228"/>
      <c r="L574" s="228"/>
      <c r="M574" s="228"/>
      <c r="N574" s="228"/>
      <c r="O574" s="236"/>
      <c r="P574" s="228"/>
      <c r="Q574" s="228"/>
      <c r="R574" s="228"/>
      <c r="S574" s="228"/>
      <c r="T574" s="228"/>
      <c r="U574" s="228"/>
      <c r="V574" s="228"/>
      <c r="W574" s="228"/>
      <c r="X574" s="228"/>
      <c r="Y574" s="228"/>
      <c r="Z574" s="228"/>
      <c r="AA574" s="228"/>
      <c r="AB574" s="228"/>
      <c r="AC574" s="228"/>
      <c r="AD574" s="228"/>
      <c r="AE574" s="228"/>
      <c r="AF574" s="228"/>
      <c r="AG574" s="228"/>
      <c r="AH574" s="228"/>
      <c r="AI574" s="228"/>
      <c r="AJ574" s="228"/>
      <c r="AK574" s="228"/>
      <c r="AL574" s="228"/>
      <c r="AM574" s="228"/>
    </row>
    <row r="575">
      <c r="A575" s="228"/>
      <c r="B575" s="228"/>
      <c r="C575" s="228"/>
      <c r="D575" s="228"/>
      <c r="E575" s="228"/>
      <c r="F575" s="228"/>
      <c r="G575" s="228"/>
      <c r="H575" s="241"/>
      <c r="I575" s="228"/>
      <c r="J575" s="228"/>
      <c r="K575" s="228"/>
      <c r="L575" s="228"/>
      <c r="M575" s="228"/>
      <c r="N575" s="228"/>
      <c r="O575" s="236"/>
      <c r="P575" s="228"/>
      <c r="Q575" s="228"/>
      <c r="R575" s="228"/>
      <c r="S575" s="228"/>
      <c r="T575" s="228"/>
      <c r="U575" s="228"/>
      <c r="V575" s="228"/>
      <c r="W575" s="228"/>
      <c r="X575" s="228"/>
      <c r="Y575" s="228"/>
      <c r="Z575" s="228"/>
      <c r="AA575" s="228"/>
      <c r="AB575" s="228"/>
      <c r="AC575" s="228"/>
      <c r="AD575" s="228"/>
      <c r="AE575" s="228"/>
      <c r="AF575" s="228"/>
      <c r="AG575" s="228"/>
      <c r="AH575" s="228"/>
      <c r="AI575" s="228"/>
      <c r="AJ575" s="228"/>
      <c r="AK575" s="228"/>
      <c r="AL575" s="228"/>
      <c r="AM575" s="228"/>
    </row>
    <row r="576">
      <c r="A576" s="228"/>
      <c r="B576" s="228"/>
      <c r="C576" s="228"/>
      <c r="D576" s="228"/>
      <c r="E576" s="228"/>
      <c r="F576" s="228"/>
      <c r="G576" s="228"/>
      <c r="H576" s="241"/>
      <c r="I576" s="228"/>
      <c r="J576" s="228"/>
      <c r="K576" s="228"/>
      <c r="L576" s="228"/>
      <c r="M576" s="228"/>
      <c r="N576" s="228"/>
      <c r="O576" s="236"/>
      <c r="P576" s="228"/>
      <c r="Q576" s="228"/>
      <c r="R576" s="228"/>
      <c r="S576" s="228"/>
      <c r="T576" s="228"/>
      <c r="U576" s="228"/>
      <c r="V576" s="228"/>
      <c r="W576" s="228"/>
      <c r="X576" s="228"/>
      <c r="Y576" s="228"/>
      <c r="Z576" s="228"/>
      <c r="AA576" s="228"/>
      <c r="AB576" s="228"/>
      <c r="AC576" s="228"/>
      <c r="AD576" s="228"/>
      <c r="AE576" s="228"/>
      <c r="AF576" s="228"/>
      <c r="AG576" s="228"/>
      <c r="AH576" s="228"/>
      <c r="AI576" s="228"/>
      <c r="AJ576" s="228"/>
      <c r="AK576" s="228"/>
      <c r="AL576" s="228"/>
      <c r="AM576" s="228"/>
    </row>
    <row r="577">
      <c r="A577" s="228"/>
      <c r="B577" s="228"/>
      <c r="C577" s="228"/>
      <c r="D577" s="228"/>
      <c r="E577" s="228"/>
      <c r="F577" s="228"/>
      <c r="G577" s="228"/>
      <c r="H577" s="241"/>
      <c r="I577" s="228"/>
      <c r="J577" s="228"/>
      <c r="K577" s="228"/>
      <c r="L577" s="228"/>
      <c r="M577" s="228"/>
      <c r="N577" s="228"/>
      <c r="O577" s="236"/>
      <c r="P577" s="228"/>
      <c r="Q577" s="228"/>
      <c r="R577" s="228"/>
      <c r="S577" s="228"/>
      <c r="T577" s="228"/>
      <c r="U577" s="228"/>
      <c r="V577" s="228"/>
      <c r="W577" s="228"/>
      <c r="X577" s="228"/>
      <c r="Y577" s="228"/>
      <c r="Z577" s="228"/>
      <c r="AA577" s="228"/>
      <c r="AB577" s="228"/>
      <c r="AC577" s="228"/>
      <c r="AD577" s="228"/>
      <c r="AE577" s="228"/>
      <c r="AF577" s="228"/>
      <c r="AG577" s="228"/>
      <c r="AH577" s="228"/>
      <c r="AI577" s="228"/>
      <c r="AJ577" s="228"/>
      <c r="AK577" s="228"/>
      <c r="AL577" s="228"/>
      <c r="AM577" s="228"/>
    </row>
    <row r="578">
      <c r="A578" s="228"/>
      <c r="B578" s="228"/>
      <c r="C578" s="228"/>
      <c r="D578" s="228"/>
      <c r="E578" s="228"/>
      <c r="F578" s="228"/>
      <c r="G578" s="228"/>
      <c r="H578" s="241"/>
      <c r="I578" s="228"/>
      <c r="J578" s="228"/>
      <c r="K578" s="228"/>
      <c r="L578" s="228"/>
      <c r="M578" s="228"/>
      <c r="N578" s="228"/>
      <c r="O578" s="236"/>
      <c r="P578" s="228"/>
      <c r="Q578" s="228"/>
      <c r="R578" s="228"/>
      <c r="S578" s="228"/>
      <c r="T578" s="228"/>
      <c r="U578" s="228"/>
      <c r="V578" s="228"/>
      <c r="W578" s="228"/>
      <c r="X578" s="228"/>
      <c r="Y578" s="228"/>
      <c r="Z578" s="228"/>
      <c r="AA578" s="228"/>
      <c r="AB578" s="228"/>
      <c r="AC578" s="228"/>
      <c r="AD578" s="228"/>
      <c r="AE578" s="228"/>
      <c r="AF578" s="228"/>
      <c r="AG578" s="228"/>
      <c r="AH578" s="228"/>
      <c r="AI578" s="228"/>
      <c r="AJ578" s="228"/>
      <c r="AK578" s="228"/>
      <c r="AL578" s="228"/>
      <c r="AM578" s="228"/>
    </row>
    <row r="579">
      <c r="A579" s="228"/>
      <c r="B579" s="228"/>
      <c r="C579" s="228"/>
      <c r="D579" s="228"/>
      <c r="E579" s="228"/>
      <c r="F579" s="228"/>
      <c r="G579" s="228"/>
      <c r="H579" s="241"/>
      <c r="I579" s="228"/>
      <c r="J579" s="228"/>
      <c r="K579" s="228"/>
      <c r="L579" s="228"/>
      <c r="M579" s="228"/>
      <c r="N579" s="228"/>
      <c r="O579" s="236"/>
      <c r="P579" s="228"/>
      <c r="Q579" s="228"/>
      <c r="R579" s="228"/>
      <c r="S579" s="228"/>
      <c r="T579" s="228"/>
      <c r="U579" s="228"/>
      <c r="V579" s="228"/>
      <c r="W579" s="228"/>
      <c r="X579" s="228"/>
      <c r="Y579" s="228"/>
      <c r="Z579" s="228"/>
      <c r="AA579" s="228"/>
      <c r="AB579" s="228"/>
      <c r="AC579" s="228"/>
      <c r="AD579" s="228"/>
      <c r="AE579" s="228"/>
      <c r="AF579" s="228"/>
      <c r="AG579" s="228"/>
      <c r="AH579" s="228"/>
      <c r="AI579" s="228"/>
      <c r="AJ579" s="228"/>
      <c r="AK579" s="228"/>
      <c r="AL579" s="228"/>
      <c r="AM579" s="228"/>
    </row>
    <row r="580">
      <c r="A580" s="228"/>
      <c r="B580" s="228"/>
      <c r="C580" s="228"/>
      <c r="D580" s="228"/>
      <c r="E580" s="228"/>
      <c r="F580" s="228"/>
      <c r="G580" s="228"/>
      <c r="H580" s="241"/>
      <c r="I580" s="228"/>
      <c r="J580" s="228"/>
      <c r="K580" s="228"/>
      <c r="L580" s="228"/>
      <c r="M580" s="228"/>
      <c r="N580" s="228"/>
      <c r="O580" s="236"/>
      <c r="P580" s="228"/>
      <c r="Q580" s="228"/>
      <c r="R580" s="228"/>
      <c r="S580" s="228"/>
      <c r="T580" s="228"/>
      <c r="U580" s="228"/>
      <c r="V580" s="228"/>
      <c r="W580" s="228"/>
      <c r="X580" s="228"/>
      <c r="Y580" s="228"/>
      <c r="Z580" s="228"/>
      <c r="AA580" s="228"/>
      <c r="AB580" s="228"/>
      <c r="AC580" s="228"/>
      <c r="AD580" s="228"/>
      <c r="AE580" s="228"/>
      <c r="AF580" s="228"/>
      <c r="AG580" s="228"/>
      <c r="AH580" s="228"/>
      <c r="AI580" s="228"/>
      <c r="AJ580" s="228"/>
      <c r="AK580" s="228"/>
      <c r="AL580" s="228"/>
      <c r="AM580" s="228"/>
    </row>
    <row r="581">
      <c r="A581" s="228"/>
      <c r="B581" s="228"/>
      <c r="C581" s="228"/>
      <c r="D581" s="228"/>
      <c r="E581" s="228"/>
      <c r="F581" s="228"/>
      <c r="G581" s="228"/>
      <c r="H581" s="241"/>
      <c r="I581" s="228"/>
      <c r="J581" s="228"/>
      <c r="K581" s="228"/>
      <c r="L581" s="228"/>
      <c r="M581" s="228"/>
      <c r="N581" s="228"/>
      <c r="O581" s="236"/>
      <c r="P581" s="228"/>
      <c r="Q581" s="228"/>
      <c r="R581" s="228"/>
      <c r="S581" s="228"/>
      <c r="T581" s="228"/>
      <c r="U581" s="228"/>
      <c r="V581" s="228"/>
      <c r="W581" s="228"/>
      <c r="X581" s="228"/>
      <c r="Y581" s="228"/>
      <c r="Z581" s="228"/>
      <c r="AA581" s="228"/>
      <c r="AB581" s="228"/>
      <c r="AC581" s="228"/>
      <c r="AD581" s="228"/>
      <c r="AE581" s="228"/>
      <c r="AF581" s="228"/>
      <c r="AG581" s="228"/>
      <c r="AH581" s="228"/>
      <c r="AI581" s="228"/>
      <c r="AJ581" s="228"/>
      <c r="AK581" s="228"/>
      <c r="AL581" s="228"/>
      <c r="AM581" s="228"/>
    </row>
    <row r="582">
      <c r="A582" s="228"/>
      <c r="B582" s="228"/>
      <c r="C582" s="228"/>
      <c r="D582" s="228"/>
      <c r="E582" s="228"/>
      <c r="F582" s="228"/>
      <c r="G582" s="228"/>
      <c r="H582" s="241"/>
      <c r="I582" s="228"/>
      <c r="J582" s="228"/>
      <c r="K582" s="228"/>
      <c r="L582" s="228"/>
      <c r="M582" s="228"/>
      <c r="N582" s="228"/>
      <c r="O582" s="236"/>
      <c r="P582" s="228"/>
      <c r="Q582" s="228"/>
      <c r="R582" s="228"/>
      <c r="S582" s="228"/>
      <c r="T582" s="228"/>
      <c r="U582" s="228"/>
      <c r="V582" s="228"/>
      <c r="W582" s="228"/>
      <c r="X582" s="228"/>
      <c r="Y582" s="228"/>
      <c r="Z582" s="228"/>
      <c r="AA582" s="228"/>
      <c r="AB582" s="228"/>
      <c r="AC582" s="228"/>
      <c r="AD582" s="228"/>
      <c r="AE582" s="228"/>
      <c r="AF582" s="228"/>
      <c r="AG582" s="228"/>
      <c r="AH582" s="228"/>
      <c r="AI582" s="228"/>
      <c r="AJ582" s="228"/>
      <c r="AK582" s="228"/>
      <c r="AL582" s="228"/>
      <c r="AM582" s="228"/>
    </row>
    <row r="583">
      <c r="A583" s="228"/>
      <c r="B583" s="228"/>
      <c r="C583" s="228"/>
      <c r="D583" s="228"/>
      <c r="E583" s="228"/>
      <c r="F583" s="228"/>
      <c r="G583" s="228"/>
      <c r="H583" s="241"/>
      <c r="I583" s="228"/>
      <c r="J583" s="228"/>
      <c r="K583" s="228"/>
      <c r="L583" s="228"/>
      <c r="M583" s="228"/>
      <c r="N583" s="228"/>
      <c r="O583" s="236"/>
      <c r="P583" s="228"/>
      <c r="Q583" s="228"/>
      <c r="R583" s="228"/>
      <c r="S583" s="228"/>
      <c r="T583" s="228"/>
      <c r="U583" s="228"/>
      <c r="V583" s="228"/>
      <c r="W583" s="228"/>
      <c r="X583" s="228"/>
      <c r="Y583" s="228"/>
      <c r="Z583" s="228"/>
      <c r="AA583" s="228"/>
      <c r="AB583" s="228"/>
      <c r="AC583" s="228"/>
      <c r="AD583" s="228"/>
      <c r="AE583" s="228"/>
      <c r="AF583" s="228"/>
      <c r="AG583" s="228"/>
      <c r="AH583" s="228"/>
      <c r="AI583" s="228"/>
      <c r="AJ583" s="228"/>
      <c r="AK583" s="228"/>
      <c r="AL583" s="228"/>
      <c r="AM583" s="228"/>
    </row>
    <row r="584">
      <c r="A584" s="228"/>
      <c r="B584" s="228"/>
      <c r="C584" s="228"/>
      <c r="D584" s="228"/>
      <c r="E584" s="228"/>
      <c r="F584" s="228"/>
      <c r="G584" s="228"/>
      <c r="H584" s="241"/>
      <c r="I584" s="228"/>
      <c r="J584" s="228"/>
      <c r="K584" s="228"/>
      <c r="L584" s="228"/>
      <c r="M584" s="228"/>
      <c r="N584" s="228"/>
      <c r="O584" s="236"/>
      <c r="P584" s="228"/>
      <c r="Q584" s="228"/>
      <c r="R584" s="228"/>
      <c r="S584" s="228"/>
      <c r="T584" s="228"/>
      <c r="U584" s="228"/>
      <c r="V584" s="228"/>
      <c r="W584" s="228"/>
      <c r="X584" s="228"/>
      <c r="Y584" s="228"/>
      <c r="Z584" s="228"/>
      <c r="AA584" s="228"/>
      <c r="AB584" s="228"/>
      <c r="AC584" s="228"/>
      <c r="AD584" s="228"/>
      <c r="AE584" s="228"/>
      <c r="AF584" s="228"/>
      <c r="AG584" s="228"/>
      <c r="AH584" s="228"/>
      <c r="AI584" s="228"/>
      <c r="AJ584" s="228"/>
      <c r="AK584" s="228"/>
      <c r="AL584" s="228"/>
      <c r="AM584" s="228"/>
    </row>
    <row r="585">
      <c r="A585" s="228"/>
      <c r="B585" s="228"/>
      <c r="C585" s="228"/>
      <c r="D585" s="228"/>
      <c r="E585" s="228"/>
      <c r="F585" s="228"/>
      <c r="G585" s="228"/>
      <c r="H585" s="241"/>
      <c r="I585" s="228"/>
      <c r="J585" s="228"/>
      <c r="K585" s="228"/>
      <c r="L585" s="228"/>
      <c r="M585" s="228"/>
      <c r="N585" s="228"/>
      <c r="O585" s="236"/>
      <c r="P585" s="228"/>
      <c r="Q585" s="228"/>
      <c r="R585" s="228"/>
      <c r="S585" s="228"/>
      <c r="T585" s="228"/>
      <c r="U585" s="228"/>
      <c r="V585" s="228"/>
      <c r="W585" s="228"/>
      <c r="X585" s="228"/>
      <c r="Y585" s="228"/>
      <c r="Z585" s="228"/>
      <c r="AA585" s="228"/>
      <c r="AB585" s="228"/>
      <c r="AC585" s="228"/>
      <c r="AD585" s="228"/>
      <c r="AE585" s="228"/>
      <c r="AF585" s="228"/>
      <c r="AG585" s="228"/>
      <c r="AH585" s="228"/>
      <c r="AI585" s="228"/>
      <c r="AJ585" s="228"/>
      <c r="AK585" s="228"/>
      <c r="AL585" s="228"/>
      <c r="AM585" s="228"/>
    </row>
    <row r="586">
      <c r="A586" s="228"/>
      <c r="B586" s="228"/>
      <c r="C586" s="228"/>
      <c r="D586" s="228"/>
      <c r="E586" s="228"/>
      <c r="F586" s="228"/>
      <c r="G586" s="228"/>
      <c r="H586" s="241"/>
      <c r="I586" s="228"/>
      <c r="J586" s="228"/>
      <c r="K586" s="228"/>
      <c r="L586" s="228"/>
      <c r="M586" s="228"/>
      <c r="N586" s="228"/>
      <c r="O586" s="236"/>
      <c r="P586" s="228"/>
      <c r="Q586" s="228"/>
      <c r="R586" s="228"/>
      <c r="S586" s="228"/>
      <c r="T586" s="228"/>
      <c r="U586" s="228"/>
      <c r="V586" s="228"/>
      <c r="W586" s="228"/>
      <c r="X586" s="228"/>
      <c r="Y586" s="228"/>
      <c r="Z586" s="228"/>
      <c r="AA586" s="228"/>
      <c r="AB586" s="228"/>
      <c r="AC586" s="228"/>
      <c r="AD586" s="228"/>
      <c r="AE586" s="228"/>
      <c r="AF586" s="228"/>
      <c r="AG586" s="228"/>
      <c r="AH586" s="228"/>
      <c r="AI586" s="228"/>
      <c r="AJ586" s="228"/>
      <c r="AK586" s="228"/>
      <c r="AL586" s="228"/>
      <c r="AM586" s="228"/>
    </row>
    <row r="587">
      <c r="A587" s="228"/>
      <c r="B587" s="228"/>
      <c r="C587" s="228"/>
      <c r="D587" s="228"/>
      <c r="E587" s="228"/>
      <c r="F587" s="228"/>
      <c r="G587" s="228"/>
      <c r="H587" s="241"/>
      <c r="I587" s="228"/>
      <c r="J587" s="228"/>
      <c r="K587" s="228"/>
      <c r="L587" s="228"/>
      <c r="M587" s="228"/>
      <c r="N587" s="228"/>
      <c r="O587" s="236"/>
      <c r="P587" s="228"/>
      <c r="Q587" s="228"/>
      <c r="R587" s="228"/>
      <c r="S587" s="228"/>
      <c r="T587" s="228"/>
      <c r="U587" s="228"/>
      <c r="V587" s="228"/>
      <c r="W587" s="228"/>
      <c r="X587" s="228"/>
      <c r="Y587" s="228"/>
      <c r="Z587" s="228"/>
      <c r="AA587" s="228"/>
      <c r="AB587" s="228"/>
      <c r="AC587" s="228"/>
      <c r="AD587" s="228"/>
      <c r="AE587" s="228"/>
      <c r="AF587" s="228"/>
      <c r="AG587" s="228"/>
      <c r="AH587" s="228"/>
      <c r="AI587" s="228"/>
      <c r="AJ587" s="228"/>
      <c r="AK587" s="228"/>
      <c r="AL587" s="228"/>
      <c r="AM587" s="228"/>
    </row>
    <row r="588">
      <c r="A588" s="228"/>
      <c r="B588" s="228"/>
      <c r="C588" s="228"/>
      <c r="D588" s="228"/>
      <c r="E588" s="228"/>
      <c r="F588" s="228"/>
      <c r="G588" s="228"/>
      <c r="H588" s="241"/>
      <c r="I588" s="228"/>
      <c r="J588" s="228"/>
      <c r="K588" s="228"/>
      <c r="L588" s="228"/>
      <c r="M588" s="228"/>
      <c r="N588" s="228"/>
      <c r="O588" s="236"/>
      <c r="P588" s="228"/>
      <c r="Q588" s="228"/>
      <c r="R588" s="228"/>
      <c r="S588" s="228"/>
      <c r="T588" s="228"/>
      <c r="U588" s="228"/>
      <c r="V588" s="228"/>
      <c r="W588" s="228"/>
      <c r="X588" s="228"/>
      <c r="Y588" s="228"/>
      <c r="Z588" s="228"/>
      <c r="AA588" s="228"/>
      <c r="AB588" s="228"/>
      <c r="AC588" s="228"/>
      <c r="AD588" s="228"/>
      <c r="AE588" s="228"/>
      <c r="AF588" s="228"/>
      <c r="AG588" s="228"/>
      <c r="AH588" s="228"/>
      <c r="AI588" s="228"/>
      <c r="AJ588" s="228"/>
      <c r="AK588" s="228"/>
      <c r="AL588" s="228"/>
      <c r="AM588" s="228"/>
    </row>
    <row r="589">
      <c r="A589" s="228"/>
      <c r="B589" s="228"/>
      <c r="C589" s="228"/>
      <c r="D589" s="228"/>
      <c r="E589" s="228"/>
      <c r="F589" s="228"/>
      <c r="G589" s="228"/>
      <c r="H589" s="241"/>
      <c r="I589" s="228"/>
      <c r="J589" s="228"/>
      <c r="K589" s="228"/>
      <c r="L589" s="228"/>
      <c r="M589" s="228"/>
      <c r="N589" s="228"/>
      <c r="O589" s="236"/>
      <c r="P589" s="228"/>
      <c r="Q589" s="228"/>
      <c r="R589" s="228"/>
      <c r="S589" s="228"/>
      <c r="T589" s="228"/>
      <c r="U589" s="228"/>
      <c r="V589" s="228"/>
      <c r="W589" s="228"/>
      <c r="X589" s="228"/>
      <c r="Y589" s="228"/>
      <c r="Z589" s="228"/>
      <c r="AA589" s="228"/>
      <c r="AB589" s="228"/>
      <c r="AC589" s="228"/>
      <c r="AD589" s="228"/>
      <c r="AE589" s="228"/>
      <c r="AF589" s="228"/>
      <c r="AG589" s="228"/>
      <c r="AH589" s="228"/>
      <c r="AI589" s="228"/>
      <c r="AJ589" s="228"/>
      <c r="AK589" s="228"/>
      <c r="AL589" s="228"/>
      <c r="AM589" s="228"/>
    </row>
    <row r="590">
      <c r="A590" s="228"/>
      <c r="B590" s="228"/>
      <c r="C590" s="228"/>
      <c r="D590" s="228"/>
      <c r="E590" s="228"/>
      <c r="F590" s="228"/>
      <c r="G590" s="228"/>
      <c r="H590" s="241"/>
      <c r="I590" s="228"/>
      <c r="J590" s="228"/>
      <c r="K590" s="228"/>
      <c r="L590" s="228"/>
      <c r="M590" s="228"/>
      <c r="N590" s="228"/>
      <c r="O590" s="236"/>
      <c r="P590" s="228"/>
      <c r="Q590" s="228"/>
      <c r="R590" s="228"/>
      <c r="S590" s="228"/>
      <c r="T590" s="228"/>
      <c r="U590" s="228"/>
      <c r="V590" s="228"/>
      <c r="W590" s="228"/>
      <c r="X590" s="228"/>
      <c r="Y590" s="228"/>
      <c r="Z590" s="228"/>
      <c r="AA590" s="228"/>
      <c r="AB590" s="228"/>
      <c r="AC590" s="228"/>
      <c r="AD590" s="228"/>
      <c r="AE590" s="228"/>
      <c r="AF590" s="228"/>
      <c r="AG590" s="228"/>
      <c r="AH590" s="228"/>
      <c r="AI590" s="228"/>
      <c r="AJ590" s="228"/>
      <c r="AK590" s="228"/>
      <c r="AL590" s="228"/>
      <c r="AM590" s="228"/>
    </row>
    <row r="591">
      <c r="A591" s="228"/>
      <c r="B591" s="228"/>
      <c r="C591" s="228"/>
      <c r="D591" s="228"/>
      <c r="E591" s="228"/>
      <c r="F591" s="228"/>
      <c r="G591" s="228"/>
      <c r="H591" s="241"/>
      <c r="I591" s="228"/>
      <c r="J591" s="228"/>
      <c r="K591" s="228"/>
      <c r="L591" s="228"/>
      <c r="M591" s="228"/>
      <c r="N591" s="228"/>
      <c r="O591" s="236"/>
      <c r="P591" s="228"/>
      <c r="Q591" s="228"/>
      <c r="R591" s="228"/>
      <c r="S591" s="228"/>
      <c r="T591" s="228"/>
      <c r="U591" s="228"/>
      <c r="V591" s="228"/>
      <c r="W591" s="228"/>
      <c r="X591" s="228"/>
      <c r="Y591" s="228"/>
      <c r="Z591" s="228"/>
      <c r="AA591" s="228"/>
      <c r="AB591" s="228"/>
      <c r="AC591" s="228"/>
      <c r="AD591" s="228"/>
      <c r="AE591" s="228"/>
      <c r="AF591" s="228"/>
      <c r="AG591" s="228"/>
      <c r="AH591" s="228"/>
      <c r="AI591" s="228"/>
      <c r="AJ591" s="228"/>
      <c r="AK591" s="228"/>
      <c r="AL591" s="228"/>
      <c r="AM591" s="228"/>
    </row>
    <row r="592">
      <c r="A592" s="228"/>
      <c r="B592" s="228"/>
      <c r="C592" s="228"/>
      <c r="D592" s="228"/>
      <c r="E592" s="228"/>
      <c r="F592" s="228"/>
      <c r="G592" s="228"/>
      <c r="H592" s="241"/>
      <c r="I592" s="228"/>
      <c r="J592" s="228"/>
      <c r="K592" s="228"/>
      <c r="L592" s="228"/>
      <c r="M592" s="228"/>
      <c r="N592" s="228"/>
      <c r="O592" s="236"/>
      <c r="P592" s="228"/>
      <c r="Q592" s="228"/>
      <c r="R592" s="228"/>
      <c r="S592" s="228"/>
      <c r="T592" s="228"/>
      <c r="U592" s="228"/>
      <c r="V592" s="228"/>
      <c r="W592" s="228"/>
      <c r="X592" s="228"/>
      <c r="Y592" s="228"/>
      <c r="Z592" s="228"/>
      <c r="AA592" s="228"/>
      <c r="AB592" s="228"/>
      <c r="AC592" s="228"/>
      <c r="AD592" s="228"/>
      <c r="AE592" s="228"/>
      <c r="AF592" s="228"/>
      <c r="AG592" s="228"/>
      <c r="AH592" s="228"/>
      <c r="AI592" s="228"/>
      <c r="AJ592" s="228"/>
      <c r="AK592" s="228"/>
      <c r="AL592" s="228"/>
      <c r="AM592" s="228"/>
    </row>
    <row r="593">
      <c r="A593" s="228"/>
      <c r="B593" s="228"/>
      <c r="C593" s="228"/>
      <c r="D593" s="228"/>
      <c r="E593" s="228"/>
      <c r="F593" s="228"/>
      <c r="G593" s="228"/>
      <c r="H593" s="241"/>
      <c r="I593" s="228"/>
      <c r="J593" s="228"/>
      <c r="K593" s="228"/>
      <c r="L593" s="228"/>
      <c r="M593" s="228"/>
      <c r="N593" s="228"/>
      <c r="O593" s="236"/>
      <c r="P593" s="228"/>
      <c r="Q593" s="228"/>
      <c r="R593" s="228"/>
      <c r="S593" s="228"/>
      <c r="T593" s="228"/>
      <c r="U593" s="228"/>
      <c r="V593" s="228"/>
      <c r="W593" s="228"/>
      <c r="X593" s="228"/>
      <c r="Y593" s="228"/>
      <c r="Z593" s="228"/>
      <c r="AA593" s="228"/>
      <c r="AB593" s="228"/>
      <c r="AC593" s="228"/>
      <c r="AD593" s="228"/>
      <c r="AE593" s="228"/>
      <c r="AF593" s="228"/>
      <c r="AG593" s="228"/>
      <c r="AH593" s="228"/>
      <c r="AI593" s="228"/>
      <c r="AJ593" s="228"/>
      <c r="AK593" s="228"/>
      <c r="AL593" s="228"/>
      <c r="AM593" s="228"/>
    </row>
    <row r="594">
      <c r="A594" s="228"/>
      <c r="B594" s="228"/>
      <c r="C594" s="228"/>
      <c r="D594" s="228"/>
      <c r="E594" s="228"/>
      <c r="F594" s="228"/>
      <c r="G594" s="228"/>
      <c r="H594" s="241"/>
      <c r="I594" s="228"/>
      <c r="J594" s="228"/>
      <c r="K594" s="228"/>
      <c r="L594" s="228"/>
      <c r="M594" s="228"/>
      <c r="N594" s="228"/>
      <c r="O594" s="236"/>
      <c r="P594" s="228"/>
      <c r="Q594" s="228"/>
      <c r="R594" s="228"/>
      <c r="S594" s="228"/>
      <c r="T594" s="228"/>
      <c r="U594" s="228"/>
      <c r="V594" s="228"/>
      <c r="W594" s="228"/>
      <c r="X594" s="228"/>
      <c r="Y594" s="228"/>
      <c r="Z594" s="228"/>
      <c r="AA594" s="228"/>
      <c r="AB594" s="228"/>
      <c r="AC594" s="228"/>
      <c r="AD594" s="228"/>
      <c r="AE594" s="228"/>
      <c r="AF594" s="228"/>
      <c r="AG594" s="228"/>
      <c r="AH594" s="228"/>
      <c r="AI594" s="228"/>
      <c r="AJ594" s="228"/>
      <c r="AK594" s="228"/>
      <c r="AL594" s="228"/>
      <c r="AM594" s="228"/>
    </row>
    <row r="595">
      <c r="A595" s="228"/>
      <c r="B595" s="228"/>
      <c r="C595" s="228"/>
      <c r="D595" s="228"/>
      <c r="E595" s="228"/>
      <c r="F595" s="228"/>
      <c r="G595" s="228"/>
      <c r="H595" s="241"/>
      <c r="I595" s="228"/>
      <c r="J595" s="228"/>
      <c r="K595" s="228"/>
      <c r="L595" s="228"/>
      <c r="M595" s="228"/>
      <c r="N595" s="228"/>
      <c r="O595" s="236"/>
      <c r="P595" s="228"/>
      <c r="Q595" s="228"/>
      <c r="R595" s="228"/>
      <c r="S595" s="228"/>
      <c r="T595" s="228"/>
      <c r="U595" s="228"/>
      <c r="V595" s="228"/>
      <c r="W595" s="228"/>
      <c r="X595" s="228"/>
      <c r="Y595" s="228"/>
      <c r="Z595" s="228"/>
      <c r="AA595" s="228"/>
      <c r="AB595" s="228"/>
      <c r="AC595" s="228"/>
      <c r="AD595" s="228"/>
      <c r="AE595" s="228"/>
      <c r="AF595" s="228"/>
      <c r="AG595" s="228"/>
      <c r="AH595" s="228"/>
      <c r="AI595" s="228"/>
      <c r="AJ595" s="228"/>
      <c r="AK595" s="228"/>
      <c r="AL595" s="228"/>
      <c r="AM595" s="228"/>
    </row>
    <row r="596">
      <c r="A596" s="228"/>
      <c r="B596" s="228"/>
      <c r="C596" s="228"/>
      <c r="D596" s="228"/>
      <c r="E596" s="228"/>
      <c r="F596" s="228"/>
      <c r="G596" s="228"/>
      <c r="H596" s="241"/>
      <c r="I596" s="228"/>
      <c r="J596" s="228"/>
      <c r="K596" s="228"/>
      <c r="L596" s="228"/>
      <c r="M596" s="228"/>
      <c r="N596" s="228"/>
      <c r="O596" s="236"/>
      <c r="P596" s="228"/>
      <c r="Q596" s="228"/>
      <c r="R596" s="228"/>
      <c r="S596" s="228"/>
      <c r="T596" s="228"/>
      <c r="U596" s="228"/>
      <c r="V596" s="228"/>
      <c r="W596" s="228"/>
      <c r="X596" s="228"/>
      <c r="Y596" s="228"/>
      <c r="Z596" s="228"/>
      <c r="AA596" s="228"/>
      <c r="AB596" s="228"/>
      <c r="AC596" s="228"/>
      <c r="AD596" s="228"/>
      <c r="AE596" s="228"/>
      <c r="AF596" s="228"/>
      <c r="AG596" s="228"/>
      <c r="AH596" s="228"/>
      <c r="AI596" s="228"/>
      <c r="AJ596" s="228"/>
      <c r="AK596" s="228"/>
      <c r="AL596" s="228"/>
      <c r="AM596" s="228"/>
    </row>
    <row r="597">
      <c r="A597" s="228"/>
      <c r="B597" s="228"/>
      <c r="C597" s="228"/>
      <c r="D597" s="228"/>
      <c r="E597" s="228"/>
      <c r="F597" s="228"/>
      <c r="G597" s="228"/>
      <c r="H597" s="241"/>
      <c r="I597" s="228"/>
      <c r="J597" s="228"/>
      <c r="K597" s="228"/>
      <c r="L597" s="228"/>
      <c r="M597" s="228"/>
      <c r="N597" s="228"/>
      <c r="O597" s="236"/>
      <c r="P597" s="228"/>
      <c r="Q597" s="228"/>
      <c r="R597" s="228"/>
      <c r="S597" s="228"/>
      <c r="T597" s="228"/>
      <c r="U597" s="228"/>
      <c r="V597" s="228"/>
      <c r="W597" s="228"/>
      <c r="X597" s="228"/>
      <c r="Y597" s="228"/>
      <c r="Z597" s="228"/>
      <c r="AA597" s="228"/>
      <c r="AB597" s="228"/>
      <c r="AC597" s="228"/>
      <c r="AD597" s="228"/>
      <c r="AE597" s="228"/>
      <c r="AF597" s="228"/>
      <c r="AG597" s="228"/>
      <c r="AH597" s="228"/>
      <c r="AI597" s="228"/>
      <c r="AJ597" s="228"/>
      <c r="AK597" s="228"/>
      <c r="AL597" s="228"/>
      <c r="AM597" s="228"/>
    </row>
    <row r="598">
      <c r="A598" s="228"/>
      <c r="B598" s="228"/>
      <c r="C598" s="228"/>
      <c r="D598" s="228"/>
      <c r="E598" s="228"/>
      <c r="F598" s="228"/>
      <c r="G598" s="228"/>
      <c r="H598" s="241"/>
      <c r="I598" s="228"/>
      <c r="J598" s="228"/>
      <c r="K598" s="228"/>
      <c r="L598" s="228"/>
      <c r="M598" s="228"/>
      <c r="N598" s="228"/>
      <c r="O598" s="236"/>
      <c r="P598" s="228"/>
      <c r="Q598" s="228"/>
      <c r="R598" s="228"/>
      <c r="S598" s="228"/>
      <c r="T598" s="228"/>
      <c r="U598" s="228"/>
      <c r="V598" s="228"/>
      <c r="W598" s="228"/>
      <c r="X598" s="228"/>
      <c r="Y598" s="228"/>
      <c r="Z598" s="228"/>
      <c r="AA598" s="228"/>
      <c r="AB598" s="228"/>
      <c r="AC598" s="228"/>
      <c r="AD598" s="228"/>
      <c r="AE598" s="228"/>
      <c r="AF598" s="228"/>
      <c r="AG598" s="228"/>
      <c r="AH598" s="228"/>
      <c r="AI598" s="228"/>
      <c r="AJ598" s="228"/>
      <c r="AK598" s="228"/>
      <c r="AL598" s="228"/>
      <c r="AM598" s="228"/>
    </row>
    <row r="599">
      <c r="A599" s="228"/>
      <c r="B599" s="228"/>
      <c r="C599" s="228"/>
      <c r="D599" s="228"/>
      <c r="E599" s="228"/>
      <c r="F599" s="228"/>
      <c r="G599" s="228"/>
      <c r="H599" s="241"/>
      <c r="I599" s="228"/>
      <c r="J599" s="228"/>
      <c r="K599" s="228"/>
      <c r="L599" s="228"/>
      <c r="M599" s="228"/>
      <c r="N599" s="228"/>
      <c r="O599" s="236"/>
      <c r="P599" s="228"/>
      <c r="Q599" s="228"/>
      <c r="R599" s="228"/>
      <c r="S599" s="228"/>
      <c r="T599" s="228"/>
      <c r="U599" s="228"/>
      <c r="V599" s="228"/>
      <c r="W599" s="228"/>
      <c r="X599" s="228"/>
      <c r="Y599" s="228"/>
      <c r="Z599" s="228"/>
      <c r="AA599" s="228"/>
      <c r="AB599" s="228"/>
      <c r="AC599" s="228"/>
      <c r="AD599" s="228"/>
      <c r="AE599" s="228"/>
      <c r="AF599" s="228"/>
      <c r="AG599" s="228"/>
      <c r="AH599" s="228"/>
      <c r="AI599" s="228"/>
      <c r="AJ599" s="228"/>
      <c r="AK599" s="228"/>
      <c r="AL599" s="228"/>
      <c r="AM599" s="228"/>
    </row>
    <row r="600">
      <c r="A600" s="228"/>
      <c r="B600" s="228"/>
      <c r="C600" s="228"/>
      <c r="D600" s="228"/>
      <c r="E600" s="228"/>
      <c r="F600" s="228"/>
      <c r="G600" s="228"/>
      <c r="H600" s="241"/>
      <c r="I600" s="228"/>
      <c r="J600" s="228"/>
      <c r="K600" s="228"/>
      <c r="L600" s="228"/>
      <c r="M600" s="228"/>
      <c r="N600" s="228"/>
      <c r="O600" s="236"/>
      <c r="P600" s="228"/>
      <c r="Q600" s="228"/>
      <c r="R600" s="228"/>
      <c r="S600" s="228"/>
      <c r="T600" s="228"/>
      <c r="U600" s="228"/>
      <c r="V600" s="228"/>
      <c r="W600" s="228"/>
      <c r="X600" s="228"/>
      <c r="Y600" s="228"/>
      <c r="Z600" s="228"/>
      <c r="AA600" s="228"/>
      <c r="AB600" s="228"/>
      <c r="AC600" s="228"/>
      <c r="AD600" s="228"/>
      <c r="AE600" s="228"/>
      <c r="AF600" s="228"/>
      <c r="AG600" s="228"/>
      <c r="AH600" s="228"/>
      <c r="AI600" s="228"/>
      <c r="AJ600" s="228"/>
      <c r="AK600" s="228"/>
      <c r="AL600" s="228"/>
      <c r="AM600" s="228"/>
    </row>
    <row r="601">
      <c r="A601" s="228"/>
      <c r="B601" s="228"/>
      <c r="C601" s="228"/>
      <c r="D601" s="228"/>
      <c r="E601" s="228"/>
      <c r="F601" s="228"/>
      <c r="G601" s="228"/>
      <c r="H601" s="241"/>
      <c r="I601" s="228"/>
      <c r="J601" s="228"/>
      <c r="K601" s="228"/>
      <c r="L601" s="228"/>
      <c r="M601" s="228"/>
      <c r="N601" s="228"/>
      <c r="O601" s="236"/>
      <c r="P601" s="228"/>
      <c r="Q601" s="228"/>
      <c r="R601" s="228"/>
      <c r="S601" s="228"/>
      <c r="T601" s="228"/>
      <c r="U601" s="228"/>
      <c r="V601" s="228"/>
      <c r="W601" s="228"/>
      <c r="X601" s="228"/>
      <c r="Y601" s="228"/>
      <c r="Z601" s="228"/>
      <c r="AA601" s="228"/>
      <c r="AB601" s="228"/>
      <c r="AC601" s="228"/>
      <c r="AD601" s="228"/>
      <c r="AE601" s="228"/>
      <c r="AF601" s="228"/>
      <c r="AG601" s="228"/>
      <c r="AH601" s="228"/>
      <c r="AI601" s="228"/>
      <c r="AJ601" s="228"/>
      <c r="AK601" s="228"/>
      <c r="AL601" s="228"/>
      <c r="AM601" s="228"/>
    </row>
    <row r="602">
      <c r="A602" s="228"/>
      <c r="B602" s="228"/>
      <c r="C602" s="228"/>
      <c r="D602" s="228"/>
      <c r="E602" s="228"/>
      <c r="F602" s="228"/>
      <c r="G602" s="228"/>
      <c r="H602" s="241"/>
      <c r="I602" s="228"/>
      <c r="J602" s="228"/>
      <c r="K602" s="228"/>
      <c r="L602" s="228"/>
      <c r="M602" s="228"/>
      <c r="N602" s="228"/>
      <c r="O602" s="236"/>
      <c r="P602" s="228"/>
      <c r="Q602" s="228"/>
      <c r="R602" s="228"/>
      <c r="S602" s="228"/>
      <c r="T602" s="228"/>
      <c r="U602" s="228"/>
      <c r="V602" s="228"/>
      <c r="W602" s="228"/>
      <c r="X602" s="228"/>
      <c r="Y602" s="228"/>
      <c r="Z602" s="228"/>
      <c r="AA602" s="228"/>
      <c r="AB602" s="228"/>
      <c r="AC602" s="228"/>
      <c r="AD602" s="228"/>
      <c r="AE602" s="228"/>
      <c r="AF602" s="228"/>
      <c r="AG602" s="228"/>
      <c r="AH602" s="228"/>
      <c r="AI602" s="228"/>
      <c r="AJ602" s="228"/>
      <c r="AK602" s="228"/>
      <c r="AL602" s="228"/>
      <c r="AM602" s="228"/>
    </row>
    <row r="603">
      <c r="A603" s="228"/>
      <c r="B603" s="228"/>
      <c r="C603" s="228"/>
      <c r="D603" s="228"/>
      <c r="E603" s="228"/>
      <c r="F603" s="228"/>
      <c r="G603" s="228"/>
      <c r="H603" s="241"/>
      <c r="I603" s="228"/>
      <c r="J603" s="228"/>
      <c r="K603" s="228"/>
      <c r="L603" s="228"/>
      <c r="M603" s="228"/>
      <c r="N603" s="228"/>
      <c r="O603" s="236"/>
      <c r="P603" s="228"/>
      <c r="Q603" s="228"/>
      <c r="R603" s="228"/>
      <c r="S603" s="228"/>
      <c r="T603" s="228"/>
      <c r="U603" s="228"/>
      <c r="V603" s="228"/>
      <c r="W603" s="228"/>
      <c r="X603" s="228"/>
      <c r="Y603" s="228"/>
      <c r="Z603" s="228"/>
      <c r="AA603" s="228"/>
      <c r="AB603" s="228"/>
      <c r="AC603" s="228"/>
      <c r="AD603" s="228"/>
      <c r="AE603" s="228"/>
      <c r="AF603" s="228"/>
      <c r="AG603" s="228"/>
      <c r="AH603" s="228"/>
      <c r="AI603" s="228"/>
      <c r="AJ603" s="228"/>
      <c r="AK603" s="228"/>
      <c r="AL603" s="228"/>
      <c r="AM603" s="228"/>
    </row>
    <row r="604">
      <c r="A604" s="228"/>
      <c r="B604" s="228"/>
      <c r="C604" s="228"/>
      <c r="D604" s="228"/>
      <c r="E604" s="228"/>
      <c r="F604" s="228"/>
      <c r="G604" s="228"/>
      <c r="H604" s="241"/>
      <c r="I604" s="228"/>
      <c r="J604" s="228"/>
      <c r="K604" s="228"/>
      <c r="L604" s="228"/>
      <c r="M604" s="228"/>
      <c r="N604" s="228"/>
      <c r="O604" s="236"/>
      <c r="P604" s="228"/>
      <c r="Q604" s="228"/>
      <c r="R604" s="228"/>
      <c r="S604" s="228"/>
      <c r="T604" s="228"/>
      <c r="U604" s="228"/>
      <c r="V604" s="228"/>
      <c r="W604" s="228"/>
      <c r="X604" s="228"/>
      <c r="Y604" s="228"/>
      <c r="Z604" s="228"/>
      <c r="AA604" s="228"/>
      <c r="AB604" s="228"/>
      <c r="AC604" s="228"/>
      <c r="AD604" s="228"/>
      <c r="AE604" s="228"/>
      <c r="AF604" s="228"/>
      <c r="AG604" s="228"/>
      <c r="AH604" s="228"/>
      <c r="AI604" s="228"/>
      <c r="AJ604" s="228"/>
      <c r="AK604" s="228"/>
      <c r="AL604" s="228"/>
      <c r="AM604" s="228"/>
    </row>
    <row r="605">
      <c r="A605" s="228"/>
      <c r="B605" s="228"/>
      <c r="C605" s="228"/>
      <c r="D605" s="228"/>
      <c r="E605" s="228"/>
      <c r="F605" s="228"/>
      <c r="G605" s="228"/>
      <c r="H605" s="241"/>
      <c r="I605" s="228"/>
      <c r="J605" s="228"/>
      <c r="K605" s="228"/>
      <c r="L605" s="228"/>
      <c r="M605" s="228"/>
      <c r="N605" s="228"/>
      <c r="O605" s="236"/>
      <c r="P605" s="228"/>
      <c r="Q605" s="228"/>
      <c r="R605" s="228"/>
      <c r="S605" s="228"/>
      <c r="T605" s="228"/>
      <c r="U605" s="228"/>
      <c r="V605" s="228"/>
      <c r="W605" s="228"/>
      <c r="X605" s="228"/>
      <c r="Y605" s="228"/>
      <c r="Z605" s="228"/>
      <c r="AA605" s="228"/>
      <c r="AB605" s="228"/>
      <c r="AC605" s="228"/>
      <c r="AD605" s="228"/>
      <c r="AE605" s="228"/>
      <c r="AF605" s="228"/>
      <c r="AG605" s="228"/>
      <c r="AH605" s="228"/>
      <c r="AI605" s="228"/>
      <c r="AJ605" s="228"/>
      <c r="AK605" s="228"/>
      <c r="AL605" s="228"/>
      <c r="AM605" s="228"/>
    </row>
    <row r="606">
      <c r="A606" s="228"/>
      <c r="B606" s="228"/>
      <c r="C606" s="228"/>
      <c r="D606" s="228"/>
      <c r="E606" s="228"/>
      <c r="F606" s="228"/>
      <c r="G606" s="228"/>
      <c r="H606" s="241"/>
      <c r="I606" s="228"/>
      <c r="J606" s="228"/>
      <c r="K606" s="228"/>
      <c r="L606" s="228"/>
      <c r="M606" s="228"/>
      <c r="N606" s="228"/>
      <c r="O606" s="236"/>
      <c r="P606" s="228"/>
      <c r="Q606" s="228"/>
      <c r="R606" s="228"/>
      <c r="S606" s="228"/>
      <c r="T606" s="228"/>
      <c r="U606" s="228"/>
      <c r="V606" s="228"/>
      <c r="W606" s="228"/>
      <c r="X606" s="228"/>
      <c r="Y606" s="228"/>
      <c r="Z606" s="228"/>
      <c r="AA606" s="228"/>
      <c r="AB606" s="228"/>
      <c r="AC606" s="228"/>
      <c r="AD606" s="228"/>
      <c r="AE606" s="228"/>
      <c r="AF606" s="228"/>
      <c r="AG606" s="228"/>
      <c r="AH606" s="228"/>
      <c r="AI606" s="228"/>
      <c r="AJ606" s="228"/>
      <c r="AK606" s="228"/>
      <c r="AL606" s="228"/>
      <c r="AM606" s="228"/>
    </row>
    <row r="607">
      <c r="A607" s="228"/>
      <c r="B607" s="228"/>
      <c r="C607" s="228"/>
      <c r="D607" s="228"/>
      <c r="E607" s="228"/>
      <c r="F607" s="228"/>
      <c r="G607" s="228"/>
      <c r="H607" s="241"/>
      <c r="I607" s="228"/>
      <c r="J607" s="228"/>
      <c r="K607" s="228"/>
      <c r="L607" s="228"/>
      <c r="M607" s="228"/>
      <c r="N607" s="228"/>
      <c r="O607" s="236"/>
      <c r="P607" s="228"/>
      <c r="Q607" s="228"/>
      <c r="R607" s="228"/>
      <c r="S607" s="228"/>
      <c r="T607" s="228"/>
      <c r="U607" s="228"/>
      <c r="V607" s="228"/>
      <c r="W607" s="228"/>
      <c r="X607" s="228"/>
      <c r="Y607" s="228"/>
      <c r="Z607" s="228"/>
      <c r="AA607" s="228"/>
      <c r="AB607" s="228"/>
      <c r="AC607" s="228"/>
      <c r="AD607" s="228"/>
      <c r="AE607" s="228"/>
      <c r="AF607" s="228"/>
      <c r="AG607" s="228"/>
      <c r="AH607" s="228"/>
      <c r="AI607" s="228"/>
      <c r="AJ607" s="228"/>
      <c r="AK607" s="228"/>
      <c r="AL607" s="228"/>
      <c r="AM607" s="228"/>
    </row>
    <row r="608">
      <c r="A608" s="228"/>
      <c r="B608" s="228"/>
      <c r="C608" s="228"/>
      <c r="D608" s="228"/>
      <c r="E608" s="228"/>
      <c r="F608" s="228"/>
      <c r="G608" s="228"/>
      <c r="H608" s="241"/>
      <c r="I608" s="228"/>
      <c r="J608" s="228"/>
      <c r="K608" s="228"/>
      <c r="L608" s="228"/>
      <c r="M608" s="228"/>
      <c r="N608" s="228"/>
      <c r="O608" s="236"/>
      <c r="P608" s="228"/>
      <c r="Q608" s="228"/>
      <c r="R608" s="228"/>
      <c r="S608" s="228"/>
      <c r="T608" s="228"/>
      <c r="U608" s="228"/>
      <c r="V608" s="228"/>
      <c r="W608" s="228"/>
      <c r="X608" s="228"/>
      <c r="Y608" s="228"/>
      <c r="Z608" s="228"/>
      <c r="AA608" s="228"/>
      <c r="AB608" s="228"/>
      <c r="AC608" s="228"/>
      <c r="AD608" s="228"/>
      <c r="AE608" s="228"/>
      <c r="AF608" s="228"/>
      <c r="AG608" s="228"/>
      <c r="AH608" s="228"/>
      <c r="AI608" s="228"/>
      <c r="AJ608" s="228"/>
      <c r="AK608" s="228"/>
      <c r="AL608" s="228"/>
      <c r="AM608" s="228"/>
    </row>
    <row r="609">
      <c r="A609" s="228"/>
      <c r="B609" s="228"/>
      <c r="C609" s="228"/>
      <c r="D609" s="228"/>
      <c r="E609" s="228"/>
      <c r="F609" s="228"/>
      <c r="G609" s="228"/>
      <c r="H609" s="241"/>
      <c r="I609" s="228"/>
      <c r="J609" s="228"/>
      <c r="K609" s="228"/>
      <c r="L609" s="228"/>
      <c r="M609" s="228"/>
      <c r="N609" s="228"/>
      <c r="O609" s="236"/>
      <c r="P609" s="228"/>
      <c r="Q609" s="228"/>
      <c r="R609" s="228"/>
      <c r="S609" s="228"/>
      <c r="T609" s="228"/>
      <c r="U609" s="228"/>
      <c r="V609" s="228"/>
      <c r="W609" s="228"/>
      <c r="X609" s="228"/>
      <c r="Y609" s="228"/>
      <c r="Z609" s="228"/>
      <c r="AA609" s="228"/>
      <c r="AB609" s="228"/>
      <c r="AC609" s="228"/>
      <c r="AD609" s="228"/>
      <c r="AE609" s="228"/>
      <c r="AF609" s="228"/>
      <c r="AG609" s="228"/>
      <c r="AH609" s="228"/>
      <c r="AI609" s="228"/>
      <c r="AJ609" s="228"/>
      <c r="AK609" s="228"/>
      <c r="AL609" s="228"/>
      <c r="AM609" s="228"/>
    </row>
    <row r="610">
      <c r="A610" s="228"/>
      <c r="B610" s="228"/>
      <c r="C610" s="228"/>
      <c r="D610" s="228"/>
      <c r="E610" s="228"/>
      <c r="F610" s="228"/>
      <c r="G610" s="228"/>
      <c r="H610" s="241"/>
      <c r="I610" s="228"/>
      <c r="J610" s="228"/>
      <c r="K610" s="228"/>
      <c r="L610" s="228"/>
      <c r="M610" s="228"/>
      <c r="N610" s="228"/>
      <c r="O610" s="236"/>
      <c r="P610" s="228"/>
      <c r="Q610" s="228"/>
      <c r="R610" s="228"/>
      <c r="S610" s="228"/>
      <c r="T610" s="228"/>
      <c r="U610" s="228"/>
      <c r="V610" s="228"/>
      <c r="W610" s="228"/>
      <c r="X610" s="228"/>
      <c r="Y610" s="228"/>
      <c r="Z610" s="228"/>
      <c r="AA610" s="228"/>
      <c r="AB610" s="228"/>
      <c r="AC610" s="228"/>
      <c r="AD610" s="228"/>
      <c r="AE610" s="228"/>
      <c r="AF610" s="228"/>
      <c r="AG610" s="228"/>
      <c r="AH610" s="228"/>
      <c r="AI610" s="228"/>
      <c r="AJ610" s="228"/>
      <c r="AK610" s="228"/>
      <c r="AL610" s="228"/>
      <c r="AM610" s="228"/>
    </row>
    <row r="611">
      <c r="A611" s="228"/>
      <c r="B611" s="228"/>
      <c r="C611" s="228"/>
      <c r="D611" s="228"/>
      <c r="E611" s="228"/>
      <c r="F611" s="228"/>
      <c r="G611" s="228"/>
      <c r="H611" s="241"/>
      <c r="I611" s="228"/>
      <c r="J611" s="228"/>
      <c r="K611" s="228"/>
      <c r="L611" s="228"/>
      <c r="M611" s="228"/>
      <c r="N611" s="228"/>
      <c r="O611" s="236"/>
      <c r="P611" s="228"/>
      <c r="Q611" s="228"/>
      <c r="R611" s="228"/>
      <c r="S611" s="228"/>
      <c r="T611" s="228"/>
      <c r="U611" s="228"/>
      <c r="V611" s="228"/>
      <c r="W611" s="228"/>
      <c r="X611" s="228"/>
      <c r="Y611" s="228"/>
      <c r="Z611" s="228"/>
      <c r="AA611" s="228"/>
      <c r="AB611" s="228"/>
      <c r="AC611" s="228"/>
      <c r="AD611" s="228"/>
      <c r="AE611" s="228"/>
      <c r="AF611" s="228"/>
      <c r="AG611" s="228"/>
      <c r="AH611" s="228"/>
      <c r="AI611" s="228"/>
      <c r="AJ611" s="228"/>
      <c r="AK611" s="228"/>
      <c r="AL611" s="228"/>
      <c r="AM611" s="228"/>
    </row>
    <row r="612">
      <c r="A612" s="228"/>
      <c r="B612" s="228"/>
      <c r="C612" s="228"/>
      <c r="D612" s="228"/>
      <c r="E612" s="228"/>
      <c r="F612" s="228"/>
      <c r="G612" s="228"/>
      <c r="H612" s="241"/>
      <c r="I612" s="228"/>
      <c r="J612" s="228"/>
      <c r="K612" s="228"/>
      <c r="L612" s="228"/>
      <c r="M612" s="228"/>
      <c r="N612" s="228"/>
      <c r="O612" s="236"/>
      <c r="P612" s="228"/>
      <c r="Q612" s="228"/>
      <c r="R612" s="228"/>
      <c r="S612" s="228"/>
      <c r="T612" s="228"/>
      <c r="U612" s="228"/>
      <c r="V612" s="228"/>
      <c r="W612" s="228"/>
      <c r="X612" s="228"/>
      <c r="Y612" s="228"/>
      <c r="Z612" s="228"/>
      <c r="AA612" s="228"/>
      <c r="AB612" s="228"/>
      <c r="AC612" s="228"/>
      <c r="AD612" s="228"/>
      <c r="AE612" s="228"/>
      <c r="AF612" s="228"/>
      <c r="AG612" s="228"/>
      <c r="AH612" s="228"/>
      <c r="AI612" s="228"/>
      <c r="AJ612" s="228"/>
      <c r="AK612" s="228"/>
      <c r="AL612" s="228"/>
      <c r="AM612" s="228"/>
    </row>
    <row r="613">
      <c r="A613" s="228"/>
      <c r="B613" s="228"/>
      <c r="C613" s="228"/>
      <c r="D613" s="228"/>
      <c r="E613" s="228"/>
      <c r="F613" s="228"/>
      <c r="G613" s="228"/>
      <c r="H613" s="241"/>
      <c r="I613" s="228"/>
      <c r="J613" s="228"/>
      <c r="K613" s="228"/>
      <c r="L613" s="228"/>
      <c r="M613" s="228"/>
      <c r="N613" s="228"/>
      <c r="O613" s="236"/>
      <c r="P613" s="228"/>
      <c r="Q613" s="228"/>
      <c r="R613" s="228"/>
      <c r="S613" s="228"/>
      <c r="T613" s="228"/>
      <c r="U613" s="228"/>
      <c r="V613" s="228"/>
      <c r="W613" s="228"/>
      <c r="X613" s="228"/>
      <c r="Y613" s="228"/>
      <c r="Z613" s="228"/>
      <c r="AA613" s="228"/>
      <c r="AB613" s="228"/>
      <c r="AC613" s="228"/>
      <c r="AD613" s="228"/>
      <c r="AE613" s="228"/>
      <c r="AF613" s="228"/>
      <c r="AG613" s="228"/>
      <c r="AH613" s="228"/>
      <c r="AI613" s="228"/>
      <c r="AJ613" s="228"/>
      <c r="AK613" s="228"/>
      <c r="AL613" s="228"/>
      <c r="AM613" s="228"/>
    </row>
    <row r="614">
      <c r="A614" s="228"/>
      <c r="B614" s="228"/>
      <c r="C614" s="228"/>
      <c r="D614" s="228"/>
      <c r="E614" s="228"/>
      <c r="F614" s="228"/>
      <c r="G614" s="228"/>
      <c r="H614" s="241"/>
      <c r="I614" s="228"/>
      <c r="J614" s="228"/>
      <c r="K614" s="228"/>
      <c r="L614" s="228"/>
      <c r="M614" s="228"/>
      <c r="N614" s="228"/>
      <c r="O614" s="236"/>
      <c r="P614" s="228"/>
      <c r="Q614" s="228"/>
      <c r="R614" s="228"/>
      <c r="S614" s="228"/>
      <c r="T614" s="228"/>
      <c r="U614" s="228"/>
      <c r="V614" s="228"/>
      <c r="W614" s="228"/>
      <c r="X614" s="228"/>
      <c r="Y614" s="228"/>
      <c r="Z614" s="228"/>
      <c r="AA614" s="228"/>
      <c r="AB614" s="228"/>
      <c r="AC614" s="228"/>
      <c r="AD614" s="228"/>
      <c r="AE614" s="228"/>
      <c r="AF614" s="228"/>
      <c r="AG614" s="228"/>
      <c r="AH614" s="228"/>
      <c r="AI614" s="228"/>
      <c r="AJ614" s="228"/>
      <c r="AK614" s="228"/>
      <c r="AL614" s="228"/>
      <c r="AM614" s="228"/>
    </row>
    <row r="615">
      <c r="A615" s="228"/>
      <c r="B615" s="228"/>
      <c r="C615" s="228"/>
      <c r="D615" s="228"/>
      <c r="E615" s="228"/>
      <c r="F615" s="228"/>
      <c r="G615" s="228"/>
      <c r="H615" s="241"/>
      <c r="I615" s="228"/>
      <c r="J615" s="228"/>
      <c r="K615" s="228"/>
      <c r="L615" s="228"/>
      <c r="M615" s="228"/>
      <c r="N615" s="228"/>
      <c r="O615" s="236"/>
      <c r="P615" s="228"/>
      <c r="Q615" s="228"/>
      <c r="R615" s="228"/>
      <c r="S615" s="228"/>
      <c r="T615" s="228"/>
      <c r="U615" s="228"/>
      <c r="V615" s="228"/>
      <c r="W615" s="228"/>
      <c r="X615" s="228"/>
      <c r="Y615" s="228"/>
      <c r="Z615" s="228"/>
      <c r="AA615" s="228"/>
      <c r="AB615" s="228"/>
      <c r="AC615" s="228"/>
      <c r="AD615" s="228"/>
      <c r="AE615" s="228"/>
      <c r="AF615" s="228"/>
      <c r="AG615" s="228"/>
      <c r="AH615" s="228"/>
      <c r="AI615" s="228"/>
      <c r="AJ615" s="228"/>
      <c r="AK615" s="228"/>
      <c r="AL615" s="228"/>
      <c r="AM615" s="228"/>
    </row>
    <row r="616">
      <c r="A616" s="228"/>
      <c r="B616" s="228"/>
      <c r="C616" s="228"/>
      <c r="D616" s="228"/>
      <c r="E616" s="228"/>
      <c r="F616" s="228"/>
      <c r="G616" s="228"/>
      <c r="H616" s="241"/>
      <c r="I616" s="228"/>
      <c r="J616" s="228"/>
      <c r="K616" s="228"/>
      <c r="L616" s="228"/>
      <c r="M616" s="228"/>
      <c r="N616" s="228"/>
      <c r="O616" s="236"/>
      <c r="P616" s="228"/>
      <c r="Q616" s="228"/>
      <c r="R616" s="228"/>
      <c r="S616" s="228"/>
      <c r="T616" s="228"/>
      <c r="U616" s="228"/>
      <c r="V616" s="228"/>
      <c r="W616" s="228"/>
      <c r="X616" s="228"/>
      <c r="Y616" s="228"/>
      <c r="Z616" s="228"/>
      <c r="AA616" s="228"/>
      <c r="AB616" s="228"/>
      <c r="AC616" s="228"/>
      <c r="AD616" s="228"/>
      <c r="AE616" s="228"/>
      <c r="AF616" s="228"/>
      <c r="AG616" s="228"/>
      <c r="AH616" s="228"/>
      <c r="AI616" s="228"/>
      <c r="AJ616" s="228"/>
      <c r="AK616" s="228"/>
      <c r="AL616" s="228"/>
      <c r="AM616" s="228"/>
    </row>
    <row r="617">
      <c r="A617" s="228"/>
      <c r="B617" s="228"/>
      <c r="C617" s="228"/>
      <c r="D617" s="228"/>
      <c r="E617" s="228"/>
      <c r="F617" s="228"/>
      <c r="G617" s="228"/>
      <c r="H617" s="241"/>
      <c r="I617" s="228"/>
      <c r="J617" s="228"/>
      <c r="K617" s="228"/>
      <c r="L617" s="228"/>
      <c r="M617" s="228"/>
      <c r="N617" s="228"/>
      <c r="O617" s="236"/>
      <c r="P617" s="228"/>
      <c r="Q617" s="228"/>
      <c r="R617" s="228"/>
      <c r="S617" s="228"/>
      <c r="T617" s="228"/>
      <c r="U617" s="228"/>
      <c r="V617" s="228"/>
      <c r="W617" s="228"/>
      <c r="X617" s="228"/>
      <c r="Y617" s="228"/>
      <c r="Z617" s="228"/>
      <c r="AA617" s="228"/>
      <c r="AB617" s="228"/>
      <c r="AC617" s="228"/>
      <c r="AD617" s="228"/>
      <c r="AE617" s="228"/>
      <c r="AF617" s="228"/>
      <c r="AG617" s="228"/>
      <c r="AH617" s="228"/>
      <c r="AI617" s="228"/>
      <c r="AJ617" s="228"/>
      <c r="AK617" s="228"/>
      <c r="AL617" s="228"/>
      <c r="AM617" s="228"/>
    </row>
    <row r="618">
      <c r="A618" s="228"/>
      <c r="B618" s="228"/>
      <c r="C618" s="228"/>
      <c r="D618" s="228"/>
      <c r="E618" s="228"/>
      <c r="F618" s="228"/>
      <c r="G618" s="228"/>
      <c r="H618" s="241"/>
      <c r="I618" s="228"/>
      <c r="J618" s="228"/>
      <c r="K618" s="228"/>
      <c r="L618" s="228"/>
      <c r="M618" s="228"/>
      <c r="N618" s="228"/>
      <c r="O618" s="236"/>
      <c r="P618" s="228"/>
      <c r="Q618" s="228"/>
      <c r="R618" s="228"/>
      <c r="S618" s="228"/>
      <c r="T618" s="228"/>
      <c r="U618" s="228"/>
      <c r="V618" s="228"/>
      <c r="W618" s="228"/>
      <c r="X618" s="228"/>
      <c r="Y618" s="228"/>
      <c r="Z618" s="228"/>
      <c r="AA618" s="228"/>
      <c r="AB618" s="228"/>
      <c r="AC618" s="228"/>
      <c r="AD618" s="228"/>
      <c r="AE618" s="228"/>
      <c r="AF618" s="228"/>
      <c r="AG618" s="228"/>
      <c r="AH618" s="228"/>
      <c r="AI618" s="228"/>
      <c r="AJ618" s="228"/>
      <c r="AK618" s="228"/>
      <c r="AL618" s="228"/>
      <c r="AM618" s="228"/>
    </row>
    <row r="619">
      <c r="A619" s="228"/>
      <c r="B619" s="228"/>
      <c r="C619" s="228"/>
      <c r="D619" s="228"/>
      <c r="E619" s="228"/>
      <c r="F619" s="228"/>
      <c r="G619" s="228"/>
      <c r="H619" s="241"/>
      <c r="I619" s="228"/>
      <c r="J619" s="228"/>
      <c r="K619" s="228"/>
      <c r="L619" s="228"/>
      <c r="M619" s="228"/>
      <c r="N619" s="228"/>
      <c r="O619" s="236"/>
      <c r="P619" s="228"/>
      <c r="Q619" s="228"/>
      <c r="R619" s="228"/>
      <c r="S619" s="228"/>
      <c r="T619" s="228"/>
      <c r="U619" s="228"/>
      <c r="V619" s="228"/>
      <c r="W619" s="228"/>
      <c r="X619" s="228"/>
      <c r="Y619" s="228"/>
      <c r="Z619" s="228"/>
      <c r="AA619" s="228"/>
      <c r="AB619" s="228"/>
      <c r="AC619" s="228"/>
      <c r="AD619" s="228"/>
      <c r="AE619" s="228"/>
      <c r="AF619" s="228"/>
      <c r="AG619" s="228"/>
      <c r="AH619" s="228"/>
      <c r="AI619" s="228"/>
      <c r="AJ619" s="228"/>
      <c r="AK619" s="228"/>
      <c r="AL619" s="228"/>
      <c r="AM619" s="228"/>
    </row>
    <row r="620">
      <c r="A620" s="228"/>
      <c r="B620" s="228"/>
      <c r="C620" s="228"/>
      <c r="D620" s="228"/>
      <c r="E620" s="228"/>
      <c r="F620" s="228"/>
      <c r="G620" s="228"/>
      <c r="H620" s="241"/>
      <c r="I620" s="228"/>
      <c r="J620" s="228"/>
      <c r="K620" s="228"/>
      <c r="L620" s="228"/>
      <c r="M620" s="228"/>
      <c r="N620" s="228"/>
      <c r="O620" s="236"/>
      <c r="P620" s="228"/>
      <c r="Q620" s="228"/>
      <c r="R620" s="228"/>
      <c r="S620" s="228"/>
      <c r="T620" s="228"/>
      <c r="U620" s="228"/>
      <c r="V620" s="228"/>
      <c r="W620" s="228"/>
      <c r="X620" s="228"/>
      <c r="Y620" s="228"/>
      <c r="Z620" s="228"/>
      <c r="AA620" s="228"/>
      <c r="AB620" s="228"/>
      <c r="AC620" s="228"/>
      <c r="AD620" s="228"/>
      <c r="AE620" s="228"/>
      <c r="AF620" s="228"/>
      <c r="AG620" s="228"/>
      <c r="AH620" s="228"/>
      <c r="AI620" s="228"/>
      <c r="AJ620" s="228"/>
      <c r="AK620" s="228"/>
      <c r="AL620" s="228"/>
      <c r="AM620" s="228"/>
    </row>
    <row r="621">
      <c r="A621" s="228"/>
      <c r="B621" s="228"/>
      <c r="C621" s="228"/>
      <c r="D621" s="228"/>
      <c r="E621" s="228"/>
      <c r="F621" s="228"/>
      <c r="G621" s="228"/>
      <c r="H621" s="241"/>
      <c r="I621" s="228"/>
      <c r="J621" s="228"/>
      <c r="K621" s="228"/>
      <c r="L621" s="228"/>
      <c r="M621" s="228"/>
      <c r="N621" s="228"/>
      <c r="O621" s="236"/>
      <c r="P621" s="228"/>
      <c r="Q621" s="228"/>
      <c r="R621" s="228"/>
      <c r="S621" s="228"/>
      <c r="T621" s="228"/>
      <c r="U621" s="228"/>
      <c r="V621" s="228"/>
      <c r="W621" s="228"/>
      <c r="X621" s="228"/>
      <c r="Y621" s="228"/>
      <c r="Z621" s="228"/>
      <c r="AA621" s="228"/>
      <c r="AB621" s="228"/>
      <c r="AC621" s="228"/>
      <c r="AD621" s="228"/>
      <c r="AE621" s="228"/>
      <c r="AF621" s="228"/>
      <c r="AG621" s="228"/>
      <c r="AH621" s="228"/>
      <c r="AI621" s="228"/>
      <c r="AJ621" s="228"/>
      <c r="AK621" s="228"/>
      <c r="AL621" s="228"/>
      <c r="AM621" s="228"/>
    </row>
    <row r="622">
      <c r="A622" s="228"/>
      <c r="B622" s="228"/>
      <c r="C622" s="228"/>
      <c r="D622" s="228"/>
      <c r="E622" s="228"/>
      <c r="F622" s="228"/>
      <c r="G622" s="228"/>
      <c r="H622" s="241"/>
      <c r="I622" s="228"/>
      <c r="J622" s="228"/>
      <c r="K622" s="228"/>
      <c r="L622" s="228"/>
      <c r="M622" s="228"/>
      <c r="N622" s="228"/>
      <c r="O622" s="236"/>
      <c r="P622" s="228"/>
      <c r="Q622" s="228"/>
      <c r="R622" s="228"/>
      <c r="S622" s="228"/>
      <c r="T622" s="228"/>
      <c r="U622" s="228"/>
      <c r="V622" s="228"/>
      <c r="W622" s="228"/>
      <c r="X622" s="228"/>
      <c r="Y622" s="228"/>
      <c r="Z622" s="228"/>
      <c r="AA622" s="228"/>
      <c r="AB622" s="228"/>
      <c r="AC622" s="228"/>
      <c r="AD622" s="228"/>
      <c r="AE622" s="228"/>
      <c r="AF622" s="228"/>
      <c r="AG622" s="228"/>
      <c r="AH622" s="228"/>
      <c r="AI622" s="228"/>
      <c r="AJ622" s="228"/>
      <c r="AK622" s="228"/>
      <c r="AL622" s="228"/>
      <c r="AM622" s="228"/>
    </row>
    <row r="623">
      <c r="A623" s="228"/>
      <c r="B623" s="228"/>
      <c r="C623" s="228"/>
      <c r="D623" s="228"/>
      <c r="E623" s="228"/>
      <c r="F623" s="228"/>
      <c r="G623" s="228"/>
      <c r="H623" s="241"/>
      <c r="I623" s="228"/>
      <c r="J623" s="228"/>
      <c r="K623" s="228"/>
      <c r="L623" s="228"/>
      <c r="M623" s="228"/>
      <c r="N623" s="228"/>
      <c r="O623" s="236"/>
      <c r="P623" s="228"/>
      <c r="Q623" s="228"/>
      <c r="R623" s="228"/>
      <c r="S623" s="228"/>
      <c r="T623" s="228"/>
      <c r="U623" s="228"/>
      <c r="V623" s="228"/>
      <c r="W623" s="228"/>
      <c r="X623" s="228"/>
      <c r="Y623" s="228"/>
      <c r="Z623" s="228"/>
      <c r="AA623" s="228"/>
      <c r="AB623" s="228"/>
      <c r="AC623" s="228"/>
      <c r="AD623" s="228"/>
      <c r="AE623" s="228"/>
      <c r="AF623" s="228"/>
      <c r="AG623" s="228"/>
      <c r="AH623" s="228"/>
      <c r="AI623" s="228"/>
      <c r="AJ623" s="228"/>
      <c r="AK623" s="228"/>
      <c r="AL623" s="228"/>
      <c r="AM623" s="228"/>
    </row>
    <row r="624">
      <c r="A624" s="228"/>
      <c r="B624" s="228"/>
      <c r="C624" s="228"/>
      <c r="D624" s="228"/>
      <c r="E624" s="228"/>
      <c r="F624" s="228"/>
      <c r="G624" s="228"/>
      <c r="H624" s="241"/>
      <c r="I624" s="228"/>
      <c r="J624" s="228"/>
      <c r="K624" s="228"/>
      <c r="L624" s="228"/>
      <c r="M624" s="228"/>
      <c r="N624" s="228"/>
      <c r="O624" s="236"/>
      <c r="P624" s="228"/>
      <c r="Q624" s="228"/>
      <c r="R624" s="228"/>
      <c r="S624" s="228"/>
      <c r="T624" s="228"/>
      <c r="U624" s="228"/>
      <c r="V624" s="228"/>
      <c r="W624" s="228"/>
      <c r="X624" s="228"/>
      <c r="Y624" s="228"/>
      <c r="Z624" s="228"/>
      <c r="AA624" s="228"/>
      <c r="AB624" s="228"/>
      <c r="AC624" s="228"/>
      <c r="AD624" s="228"/>
      <c r="AE624" s="228"/>
      <c r="AF624" s="228"/>
      <c r="AG624" s="228"/>
      <c r="AH624" s="228"/>
      <c r="AI624" s="228"/>
      <c r="AJ624" s="228"/>
      <c r="AK624" s="228"/>
      <c r="AL624" s="228"/>
      <c r="AM624" s="228"/>
    </row>
    <row r="625">
      <c r="A625" s="228"/>
      <c r="B625" s="228"/>
      <c r="C625" s="228"/>
      <c r="D625" s="228"/>
      <c r="E625" s="228"/>
      <c r="F625" s="228"/>
      <c r="G625" s="228"/>
      <c r="H625" s="241"/>
      <c r="I625" s="228"/>
      <c r="J625" s="228"/>
      <c r="K625" s="228"/>
      <c r="L625" s="228"/>
      <c r="M625" s="228"/>
      <c r="N625" s="228"/>
      <c r="O625" s="236"/>
      <c r="P625" s="228"/>
      <c r="Q625" s="228"/>
      <c r="R625" s="228"/>
      <c r="S625" s="228"/>
      <c r="T625" s="228"/>
      <c r="U625" s="228"/>
      <c r="V625" s="228"/>
      <c r="W625" s="228"/>
      <c r="X625" s="228"/>
      <c r="Y625" s="228"/>
      <c r="Z625" s="228"/>
      <c r="AA625" s="228"/>
      <c r="AB625" s="228"/>
      <c r="AC625" s="228"/>
      <c r="AD625" s="228"/>
      <c r="AE625" s="228"/>
      <c r="AF625" s="228"/>
      <c r="AG625" s="228"/>
      <c r="AH625" s="228"/>
      <c r="AI625" s="228"/>
      <c r="AJ625" s="228"/>
      <c r="AK625" s="228"/>
      <c r="AL625" s="228"/>
      <c r="AM625" s="228"/>
    </row>
    <row r="626">
      <c r="A626" s="228"/>
      <c r="B626" s="228"/>
      <c r="C626" s="228"/>
      <c r="D626" s="228"/>
      <c r="E626" s="228"/>
      <c r="F626" s="228"/>
      <c r="G626" s="228"/>
      <c r="H626" s="241"/>
      <c r="I626" s="228"/>
      <c r="J626" s="228"/>
      <c r="K626" s="228"/>
      <c r="L626" s="228"/>
      <c r="M626" s="228"/>
      <c r="N626" s="228"/>
      <c r="O626" s="236"/>
      <c r="P626" s="228"/>
      <c r="Q626" s="228"/>
      <c r="R626" s="228"/>
      <c r="S626" s="228"/>
      <c r="T626" s="228"/>
      <c r="U626" s="228"/>
      <c r="V626" s="228"/>
      <c r="W626" s="228"/>
      <c r="X626" s="228"/>
      <c r="Y626" s="228"/>
      <c r="Z626" s="228"/>
      <c r="AA626" s="228"/>
      <c r="AB626" s="228"/>
      <c r="AC626" s="228"/>
      <c r="AD626" s="228"/>
      <c r="AE626" s="228"/>
      <c r="AF626" s="228"/>
      <c r="AG626" s="228"/>
      <c r="AH626" s="228"/>
      <c r="AI626" s="228"/>
      <c r="AJ626" s="228"/>
      <c r="AK626" s="228"/>
      <c r="AL626" s="228"/>
      <c r="AM626" s="228"/>
    </row>
    <row r="627">
      <c r="A627" s="228"/>
      <c r="B627" s="228"/>
      <c r="C627" s="228"/>
      <c r="D627" s="228"/>
      <c r="E627" s="228"/>
      <c r="F627" s="228"/>
      <c r="G627" s="228"/>
      <c r="H627" s="241"/>
      <c r="I627" s="228"/>
      <c r="J627" s="228"/>
      <c r="K627" s="228"/>
      <c r="L627" s="228"/>
      <c r="M627" s="228"/>
      <c r="N627" s="228"/>
      <c r="O627" s="236"/>
      <c r="P627" s="228"/>
      <c r="Q627" s="228"/>
      <c r="R627" s="228"/>
      <c r="S627" s="228"/>
      <c r="T627" s="228"/>
      <c r="U627" s="228"/>
      <c r="V627" s="228"/>
      <c r="W627" s="228"/>
      <c r="X627" s="228"/>
      <c r="Y627" s="228"/>
      <c r="Z627" s="228"/>
      <c r="AA627" s="228"/>
      <c r="AB627" s="228"/>
      <c r="AC627" s="228"/>
      <c r="AD627" s="228"/>
      <c r="AE627" s="228"/>
      <c r="AF627" s="228"/>
      <c r="AG627" s="228"/>
      <c r="AH627" s="228"/>
      <c r="AI627" s="228"/>
      <c r="AJ627" s="228"/>
      <c r="AK627" s="228"/>
      <c r="AL627" s="228"/>
      <c r="AM627" s="228"/>
    </row>
    <row r="628">
      <c r="A628" s="228"/>
      <c r="B628" s="228"/>
      <c r="C628" s="228"/>
      <c r="D628" s="228"/>
      <c r="E628" s="228"/>
      <c r="F628" s="228"/>
      <c r="G628" s="228"/>
      <c r="H628" s="241"/>
      <c r="I628" s="228"/>
      <c r="J628" s="228"/>
      <c r="K628" s="228"/>
      <c r="L628" s="228"/>
      <c r="M628" s="228"/>
      <c r="N628" s="228"/>
      <c r="O628" s="236"/>
      <c r="P628" s="228"/>
      <c r="Q628" s="228"/>
      <c r="R628" s="228"/>
      <c r="S628" s="228"/>
      <c r="T628" s="228"/>
      <c r="U628" s="228"/>
      <c r="V628" s="228"/>
      <c r="W628" s="228"/>
      <c r="X628" s="228"/>
      <c r="Y628" s="228"/>
      <c r="Z628" s="228"/>
      <c r="AA628" s="228"/>
      <c r="AB628" s="228"/>
      <c r="AC628" s="228"/>
      <c r="AD628" s="228"/>
      <c r="AE628" s="228"/>
      <c r="AF628" s="228"/>
      <c r="AG628" s="228"/>
      <c r="AH628" s="228"/>
      <c r="AI628" s="228"/>
      <c r="AJ628" s="228"/>
      <c r="AK628" s="228"/>
      <c r="AL628" s="228"/>
      <c r="AM628" s="228"/>
    </row>
    <row r="629">
      <c r="A629" s="228"/>
      <c r="B629" s="228"/>
      <c r="C629" s="228"/>
      <c r="D629" s="228"/>
      <c r="E629" s="228"/>
      <c r="F629" s="228"/>
      <c r="G629" s="228"/>
      <c r="H629" s="241"/>
      <c r="I629" s="228"/>
      <c r="J629" s="228"/>
      <c r="K629" s="228"/>
      <c r="L629" s="228"/>
      <c r="M629" s="228"/>
      <c r="N629" s="228"/>
      <c r="O629" s="236"/>
      <c r="P629" s="228"/>
      <c r="Q629" s="228"/>
      <c r="R629" s="228"/>
      <c r="S629" s="228"/>
      <c r="T629" s="228"/>
      <c r="U629" s="228"/>
      <c r="V629" s="228"/>
      <c r="W629" s="228"/>
      <c r="X629" s="228"/>
      <c r="Y629" s="228"/>
      <c r="Z629" s="228"/>
      <c r="AA629" s="228"/>
      <c r="AB629" s="228"/>
      <c r="AC629" s="228"/>
      <c r="AD629" s="228"/>
      <c r="AE629" s="228"/>
      <c r="AF629" s="228"/>
      <c r="AG629" s="228"/>
      <c r="AH629" s="228"/>
      <c r="AI629" s="228"/>
      <c r="AJ629" s="228"/>
      <c r="AK629" s="228"/>
      <c r="AL629" s="228"/>
      <c r="AM629" s="228"/>
    </row>
    <row r="630">
      <c r="A630" s="228"/>
      <c r="B630" s="228"/>
      <c r="C630" s="228"/>
      <c r="D630" s="228"/>
      <c r="E630" s="228"/>
      <c r="F630" s="228"/>
      <c r="G630" s="228"/>
      <c r="H630" s="241"/>
      <c r="I630" s="228"/>
      <c r="J630" s="228"/>
      <c r="K630" s="228"/>
      <c r="L630" s="228"/>
      <c r="M630" s="228"/>
      <c r="N630" s="228"/>
      <c r="O630" s="236"/>
      <c r="P630" s="228"/>
      <c r="Q630" s="228"/>
      <c r="R630" s="228"/>
      <c r="S630" s="228"/>
      <c r="T630" s="228"/>
      <c r="U630" s="228"/>
      <c r="V630" s="228"/>
      <c r="W630" s="228"/>
      <c r="X630" s="228"/>
      <c r="Y630" s="228"/>
      <c r="Z630" s="228"/>
      <c r="AA630" s="228"/>
      <c r="AB630" s="228"/>
      <c r="AC630" s="228"/>
      <c r="AD630" s="228"/>
      <c r="AE630" s="228"/>
      <c r="AF630" s="228"/>
      <c r="AG630" s="228"/>
      <c r="AH630" s="228"/>
      <c r="AI630" s="228"/>
      <c r="AJ630" s="228"/>
      <c r="AK630" s="228"/>
      <c r="AL630" s="228"/>
      <c r="AM630" s="228"/>
    </row>
    <row r="631">
      <c r="A631" s="228"/>
      <c r="B631" s="228"/>
      <c r="C631" s="228"/>
      <c r="D631" s="228"/>
      <c r="E631" s="228"/>
      <c r="F631" s="228"/>
      <c r="G631" s="228"/>
      <c r="H631" s="241"/>
      <c r="I631" s="228"/>
      <c r="J631" s="228"/>
      <c r="K631" s="228"/>
      <c r="L631" s="228"/>
      <c r="M631" s="228"/>
      <c r="N631" s="228"/>
      <c r="O631" s="236"/>
      <c r="P631" s="228"/>
      <c r="Q631" s="228"/>
      <c r="R631" s="228"/>
      <c r="S631" s="228"/>
      <c r="T631" s="228"/>
      <c r="U631" s="228"/>
      <c r="V631" s="228"/>
      <c r="W631" s="228"/>
      <c r="X631" s="228"/>
      <c r="Y631" s="228"/>
      <c r="Z631" s="228"/>
      <c r="AA631" s="228"/>
      <c r="AB631" s="228"/>
      <c r="AC631" s="228"/>
      <c r="AD631" s="228"/>
      <c r="AE631" s="228"/>
      <c r="AF631" s="228"/>
      <c r="AG631" s="228"/>
      <c r="AH631" s="228"/>
      <c r="AI631" s="228"/>
      <c r="AJ631" s="228"/>
      <c r="AK631" s="228"/>
      <c r="AL631" s="228"/>
      <c r="AM631" s="228"/>
    </row>
    <row r="632">
      <c r="A632" s="228"/>
      <c r="B632" s="228"/>
      <c r="C632" s="228"/>
      <c r="D632" s="228"/>
      <c r="E632" s="228"/>
      <c r="F632" s="228"/>
      <c r="G632" s="228"/>
      <c r="H632" s="241"/>
      <c r="I632" s="228"/>
      <c r="J632" s="228"/>
      <c r="K632" s="228"/>
      <c r="L632" s="228"/>
      <c r="M632" s="228"/>
      <c r="N632" s="228"/>
      <c r="O632" s="236"/>
      <c r="P632" s="228"/>
      <c r="Q632" s="228"/>
      <c r="R632" s="228"/>
      <c r="S632" s="228"/>
      <c r="T632" s="228"/>
      <c r="U632" s="228"/>
      <c r="V632" s="228"/>
      <c r="W632" s="228"/>
      <c r="X632" s="228"/>
      <c r="Y632" s="228"/>
      <c r="Z632" s="228"/>
      <c r="AA632" s="228"/>
      <c r="AB632" s="228"/>
      <c r="AC632" s="228"/>
      <c r="AD632" s="228"/>
      <c r="AE632" s="228"/>
      <c r="AF632" s="228"/>
      <c r="AG632" s="228"/>
      <c r="AH632" s="228"/>
      <c r="AI632" s="228"/>
      <c r="AJ632" s="228"/>
      <c r="AK632" s="228"/>
      <c r="AL632" s="228"/>
      <c r="AM632" s="228"/>
    </row>
    <row r="633">
      <c r="A633" s="228"/>
      <c r="B633" s="228"/>
      <c r="C633" s="228"/>
      <c r="D633" s="228"/>
      <c r="E633" s="228"/>
      <c r="F633" s="228"/>
      <c r="G633" s="228"/>
      <c r="H633" s="241"/>
      <c r="I633" s="228"/>
      <c r="J633" s="228"/>
      <c r="K633" s="228"/>
      <c r="L633" s="228"/>
      <c r="M633" s="228"/>
      <c r="N633" s="228"/>
      <c r="O633" s="236"/>
      <c r="P633" s="228"/>
      <c r="Q633" s="228"/>
      <c r="R633" s="228"/>
      <c r="S633" s="228"/>
      <c r="T633" s="228"/>
      <c r="U633" s="228"/>
      <c r="V633" s="228"/>
      <c r="W633" s="228"/>
      <c r="X633" s="228"/>
      <c r="Y633" s="228"/>
      <c r="Z633" s="228"/>
      <c r="AA633" s="228"/>
      <c r="AB633" s="228"/>
      <c r="AC633" s="228"/>
      <c r="AD633" s="228"/>
      <c r="AE633" s="228"/>
      <c r="AF633" s="228"/>
      <c r="AG633" s="228"/>
      <c r="AH633" s="228"/>
      <c r="AI633" s="228"/>
      <c r="AJ633" s="228"/>
      <c r="AK633" s="228"/>
      <c r="AL633" s="228"/>
      <c r="AM633" s="228"/>
    </row>
    <row r="634">
      <c r="A634" s="228"/>
      <c r="B634" s="228"/>
      <c r="C634" s="228"/>
      <c r="D634" s="228"/>
      <c r="E634" s="228"/>
      <c r="F634" s="228"/>
      <c r="G634" s="228"/>
      <c r="H634" s="241"/>
      <c r="I634" s="228"/>
      <c r="J634" s="228"/>
      <c r="K634" s="228"/>
      <c r="L634" s="228"/>
      <c r="M634" s="228"/>
      <c r="N634" s="228"/>
      <c r="O634" s="236"/>
      <c r="P634" s="228"/>
      <c r="Q634" s="228"/>
      <c r="R634" s="228"/>
      <c r="S634" s="228"/>
      <c r="T634" s="228"/>
      <c r="U634" s="228"/>
      <c r="V634" s="228"/>
      <c r="W634" s="228"/>
      <c r="X634" s="228"/>
      <c r="Y634" s="228"/>
      <c r="Z634" s="228"/>
      <c r="AA634" s="228"/>
      <c r="AB634" s="228"/>
      <c r="AC634" s="228"/>
      <c r="AD634" s="228"/>
      <c r="AE634" s="228"/>
      <c r="AF634" s="228"/>
      <c r="AG634" s="228"/>
      <c r="AH634" s="228"/>
      <c r="AI634" s="228"/>
      <c r="AJ634" s="228"/>
      <c r="AK634" s="228"/>
      <c r="AL634" s="228"/>
      <c r="AM634" s="228"/>
    </row>
    <row r="635">
      <c r="A635" s="228"/>
      <c r="B635" s="228"/>
      <c r="C635" s="228"/>
      <c r="D635" s="228"/>
      <c r="E635" s="228"/>
      <c r="F635" s="228"/>
      <c r="G635" s="228"/>
      <c r="H635" s="241"/>
      <c r="I635" s="228"/>
      <c r="J635" s="228"/>
      <c r="K635" s="228"/>
      <c r="L635" s="228"/>
      <c r="M635" s="228"/>
      <c r="N635" s="228"/>
      <c r="O635" s="236"/>
      <c r="P635" s="228"/>
      <c r="Q635" s="228"/>
      <c r="R635" s="228"/>
      <c r="S635" s="228"/>
      <c r="T635" s="228"/>
      <c r="U635" s="228"/>
      <c r="V635" s="228"/>
      <c r="W635" s="228"/>
      <c r="X635" s="228"/>
      <c r="Y635" s="228"/>
      <c r="Z635" s="228"/>
      <c r="AA635" s="228"/>
      <c r="AB635" s="228"/>
      <c r="AC635" s="228"/>
      <c r="AD635" s="228"/>
      <c r="AE635" s="228"/>
      <c r="AF635" s="228"/>
      <c r="AG635" s="228"/>
      <c r="AH635" s="228"/>
      <c r="AI635" s="228"/>
      <c r="AJ635" s="228"/>
      <c r="AK635" s="228"/>
      <c r="AL635" s="228"/>
      <c r="AM635" s="228"/>
    </row>
    <row r="636">
      <c r="A636" s="228"/>
      <c r="B636" s="228"/>
      <c r="C636" s="228"/>
      <c r="D636" s="228"/>
      <c r="E636" s="228"/>
      <c r="F636" s="228"/>
      <c r="G636" s="228"/>
      <c r="H636" s="241"/>
      <c r="I636" s="228"/>
      <c r="J636" s="228"/>
      <c r="K636" s="228"/>
      <c r="L636" s="228"/>
      <c r="M636" s="228"/>
      <c r="N636" s="228"/>
      <c r="O636" s="236"/>
      <c r="P636" s="228"/>
      <c r="Q636" s="228"/>
      <c r="R636" s="228"/>
      <c r="S636" s="228"/>
      <c r="T636" s="228"/>
      <c r="U636" s="228"/>
      <c r="V636" s="228"/>
      <c r="W636" s="228"/>
      <c r="X636" s="228"/>
      <c r="Y636" s="228"/>
      <c r="Z636" s="228"/>
      <c r="AA636" s="228"/>
      <c r="AB636" s="228"/>
      <c r="AC636" s="228"/>
      <c r="AD636" s="228"/>
      <c r="AE636" s="228"/>
      <c r="AF636" s="228"/>
      <c r="AG636" s="228"/>
      <c r="AH636" s="228"/>
      <c r="AI636" s="228"/>
      <c r="AJ636" s="228"/>
      <c r="AK636" s="228"/>
      <c r="AL636" s="228"/>
      <c r="AM636" s="228"/>
    </row>
    <row r="637">
      <c r="A637" s="228"/>
      <c r="B637" s="228"/>
      <c r="C637" s="228"/>
      <c r="D637" s="228"/>
      <c r="E637" s="228"/>
      <c r="F637" s="228"/>
      <c r="G637" s="228"/>
      <c r="H637" s="241"/>
      <c r="I637" s="228"/>
      <c r="J637" s="228"/>
      <c r="K637" s="228"/>
      <c r="L637" s="228"/>
      <c r="M637" s="228"/>
      <c r="N637" s="228"/>
      <c r="O637" s="236"/>
      <c r="P637" s="228"/>
      <c r="Q637" s="228"/>
      <c r="R637" s="228"/>
      <c r="S637" s="228"/>
      <c r="T637" s="228"/>
      <c r="U637" s="228"/>
      <c r="V637" s="228"/>
      <c r="W637" s="228"/>
      <c r="X637" s="228"/>
      <c r="Y637" s="228"/>
      <c r="Z637" s="228"/>
      <c r="AA637" s="228"/>
      <c r="AB637" s="228"/>
      <c r="AC637" s="228"/>
      <c r="AD637" s="228"/>
      <c r="AE637" s="228"/>
      <c r="AF637" s="228"/>
      <c r="AG637" s="228"/>
      <c r="AH637" s="228"/>
      <c r="AI637" s="228"/>
      <c r="AJ637" s="228"/>
      <c r="AK637" s="228"/>
      <c r="AL637" s="228"/>
      <c r="AM637" s="228"/>
    </row>
    <row r="638">
      <c r="A638" s="228"/>
      <c r="B638" s="228"/>
      <c r="C638" s="228"/>
      <c r="D638" s="228"/>
      <c r="E638" s="228"/>
      <c r="F638" s="228"/>
      <c r="G638" s="228"/>
      <c r="H638" s="241"/>
      <c r="I638" s="228"/>
      <c r="J638" s="228"/>
      <c r="K638" s="228"/>
      <c r="L638" s="228"/>
      <c r="M638" s="228"/>
      <c r="N638" s="228"/>
      <c r="O638" s="236"/>
      <c r="P638" s="228"/>
      <c r="Q638" s="228"/>
      <c r="R638" s="228"/>
      <c r="S638" s="228"/>
      <c r="T638" s="228"/>
      <c r="U638" s="228"/>
      <c r="V638" s="228"/>
      <c r="W638" s="228"/>
      <c r="X638" s="228"/>
      <c r="Y638" s="228"/>
      <c r="Z638" s="228"/>
      <c r="AA638" s="228"/>
      <c r="AB638" s="228"/>
      <c r="AC638" s="228"/>
      <c r="AD638" s="228"/>
      <c r="AE638" s="228"/>
      <c r="AF638" s="228"/>
      <c r="AG638" s="228"/>
      <c r="AH638" s="228"/>
      <c r="AI638" s="228"/>
      <c r="AJ638" s="228"/>
      <c r="AK638" s="228"/>
      <c r="AL638" s="228"/>
      <c r="AM638" s="228"/>
    </row>
    <row r="639">
      <c r="A639" s="228"/>
      <c r="B639" s="228"/>
      <c r="C639" s="228"/>
      <c r="D639" s="228"/>
      <c r="E639" s="228"/>
      <c r="F639" s="228"/>
      <c r="G639" s="228"/>
      <c r="H639" s="241"/>
      <c r="I639" s="228"/>
      <c r="J639" s="228"/>
      <c r="K639" s="228"/>
      <c r="L639" s="228"/>
      <c r="M639" s="228"/>
      <c r="N639" s="228"/>
      <c r="O639" s="236"/>
      <c r="P639" s="228"/>
      <c r="Q639" s="228"/>
      <c r="R639" s="228"/>
      <c r="S639" s="228"/>
      <c r="T639" s="228"/>
      <c r="U639" s="228"/>
      <c r="V639" s="228"/>
      <c r="W639" s="228"/>
      <c r="X639" s="228"/>
      <c r="Y639" s="228"/>
      <c r="Z639" s="228"/>
      <c r="AA639" s="228"/>
      <c r="AB639" s="228"/>
      <c r="AC639" s="228"/>
      <c r="AD639" s="228"/>
      <c r="AE639" s="228"/>
      <c r="AF639" s="228"/>
      <c r="AG639" s="228"/>
      <c r="AH639" s="228"/>
      <c r="AI639" s="228"/>
      <c r="AJ639" s="228"/>
      <c r="AK639" s="228"/>
      <c r="AL639" s="228"/>
      <c r="AM639" s="228"/>
    </row>
    <row r="640">
      <c r="A640" s="228"/>
      <c r="B640" s="228"/>
      <c r="C640" s="228"/>
      <c r="D640" s="228"/>
      <c r="E640" s="228"/>
      <c r="F640" s="228"/>
      <c r="G640" s="228"/>
      <c r="H640" s="241"/>
      <c r="I640" s="228"/>
      <c r="J640" s="228"/>
      <c r="K640" s="228"/>
      <c r="L640" s="228"/>
      <c r="M640" s="228"/>
      <c r="N640" s="228"/>
      <c r="O640" s="236"/>
      <c r="P640" s="228"/>
      <c r="Q640" s="228"/>
      <c r="R640" s="228"/>
      <c r="S640" s="228"/>
      <c r="T640" s="228"/>
      <c r="U640" s="228"/>
      <c r="V640" s="228"/>
      <c r="W640" s="228"/>
      <c r="X640" s="228"/>
      <c r="Y640" s="228"/>
      <c r="Z640" s="228"/>
      <c r="AA640" s="228"/>
      <c r="AB640" s="228"/>
      <c r="AC640" s="228"/>
      <c r="AD640" s="228"/>
      <c r="AE640" s="228"/>
      <c r="AF640" s="228"/>
      <c r="AG640" s="228"/>
      <c r="AH640" s="228"/>
      <c r="AI640" s="228"/>
      <c r="AJ640" s="228"/>
      <c r="AK640" s="228"/>
      <c r="AL640" s="228"/>
      <c r="AM640" s="228"/>
    </row>
    <row r="641">
      <c r="A641" s="228"/>
      <c r="B641" s="228"/>
      <c r="C641" s="228"/>
      <c r="D641" s="228"/>
      <c r="E641" s="228"/>
      <c r="F641" s="228"/>
      <c r="G641" s="228"/>
      <c r="H641" s="241"/>
      <c r="I641" s="228"/>
      <c r="J641" s="228"/>
      <c r="K641" s="228"/>
      <c r="L641" s="228"/>
      <c r="M641" s="228"/>
      <c r="N641" s="228"/>
      <c r="O641" s="236"/>
      <c r="P641" s="228"/>
      <c r="Q641" s="228"/>
      <c r="R641" s="228"/>
      <c r="S641" s="228"/>
      <c r="T641" s="228"/>
      <c r="U641" s="228"/>
      <c r="V641" s="228"/>
      <c r="W641" s="228"/>
      <c r="X641" s="228"/>
      <c r="Y641" s="228"/>
      <c r="Z641" s="228"/>
      <c r="AA641" s="228"/>
      <c r="AB641" s="228"/>
      <c r="AC641" s="228"/>
      <c r="AD641" s="228"/>
      <c r="AE641" s="228"/>
      <c r="AF641" s="228"/>
      <c r="AG641" s="228"/>
      <c r="AH641" s="228"/>
      <c r="AI641" s="228"/>
      <c r="AJ641" s="228"/>
      <c r="AK641" s="228"/>
      <c r="AL641" s="228"/>
      <c r="AM641" s="228"/>
    </row>
    <row r="642">
      <c r="A642" s="228"/>
      <c r="B642" s="228"/>
      <c r="C642" s="228"/>
      <c r="D642" s="228"/>
      <c r="E642" s="228"/>
      <c r="F642" s="228"/>
      <c r="G642" s="228"/>
      <c r="H642" s="241"/>
      <c r="I642" s="228"/>
      <c r="J642" s="228"/>
      <c r="K642" s="228"/>
      <c r="L642" s="228"/>
      <c r="M642" s="228"/>
      <c r="N642" s="228"/>
      <c r="O642" s="236"/>
      <c r="P642" s="228"/>
      <c r="Q642" s="228"/>
      <c r="R642" s="228"/>
      <c r="S642" s="228"/>
      <c r="T642" s="228"/>
      <c r="U642" s="228"/>
      <c r="V642" s="228"/>
      <c r="W642" s="228"/>
      <c r="X642" s="228"/>
      <c r="Y642" s="228"/>
      <c r="Z642" s="228"/>
      <c r="AA642" s="228"/>
      <c r="AB642" s="228"/>
      <c r="AC642" s="228"/>
      <c r="AD642" s="228"/>
      <c r="AE642" s="228"/>
      <c r="AF642" s="228"/>
      <c r="AG642" s="228"/>
      <c r="AH642" s="228"/>
      <c r="AI642" s="228"/>
      <c r="AJ642" s="228"/>
      <c r="AK642" s="228"/>
      <c r="AL642" s="228"/>
      <c r="AM642" s="228"/>
    </row>
    <row r="643">
      <c r="A643" s="228"/>
      <c r="B643" s="228"/>
      <c r="C643" s="228"/>
      <c r="D643" s="228"/>
      <c r="E643" s="228"/>
      <c r="F643" s="228"/>
      <c r="G643" s="228"/>
      <c r="H643" s="241"/>
      <c r="I643" s="228"/>
      <c r="J643" s="228"/>
      <c r="K643" s="228"/>
      <c r="L643" s="228"/>
      <c r="M643" s="228"/>
      <c r="N643" s="228"/>
      <c r="O643" s="236"/>
      <c r="P643" s="228"/>
      <c r="Q643" s="228"/>
      <c r="R643" s="228"/>
      <c r="S643" s="228"/>
      <c r="T643" s="228"/>
      <c r="U643" s="228"/>
      <c r="V643" s="228"/>
      <c r="W643" s="228"/>
      <c r="X643" s="228"/>
      <c r="Y643" s="228"/>
      <c r="Z643" s="228"/>
      <c r="AA643" s="228"/>
      <c r="AB643" s="228"/>
      <c r="AC643" s="228"/>
      <c r="AD643" s="228"/>
      <c r="AE643" s="228"/>
      <c r="AF643" s="228"/>
      <c r="AG643" s="228"/>
      <c r="AH643" s="228"/>
      <c r="AI643" s="228"/>
      <c r="AJ643" s="228"/>
      <c r="AK643" s="228"/>
      <c r="AL643" s="228"/>
      <c r="AM643" s="228"/>
    </row>
    <row r="644">
      <c r="A644" s="228"/>
      <c r="B644" s="228"/>
      <c r="C644" s="228"/>
      <c r="D644" s="228"/>
      <c r="E644" s="228"/>
      <c r="F644" s="228"/>
      <c r="G644" s="228"/>
      <c r="H644" s="241"/>
      <c r="I644" s="228"/>
      <c r="J644" s="228"/>
      <c r="K644" s="228"/>
      <c r="L644" s="228"/>
      <c r="M644" s="228"/>
      <c r="N644" s="228"/>
      <c r="O644" s="236"/>
      <c r="P644" s="228"/>
      <c r="Q644" s="228"/>
      <c r="R644" s="228"/>
      <c r="S644" s="228"/>
      <c r="T644" s="228"/>
      <c r="U644" s="228"/>
      <c r="V644" s="228"/>
      <c r="W644" s="228"/>
      <c r="X644" s="228"/>
      <c r="Y644" s="228"/>
      <c r="Z644" s="228"/>
      <c r="AA644" s="228"/>
      <c r="AB644" s="228"/>
      <c r="AC644" s="228"/>
      <c r="AD644" s="228"/>
      <c r="AE644" s="228"/>
      <c r="AF644" s="228"/>
      <c r="AG644" s="228"/>
      <c r="AH644" s="228"/>
      <c r="AI644" s="228"/>
      <c r="AJ644" s="228"/>
      <c r="AK644" s="228"/>
      <c r="AL644" s="228"/>
      <c r="AM644" s="228"/>
    </row>
    <row r="645">
      <c r="A645" s="228"/>
      <c r="B645" s="228"/>
      <c r="C645" s="228"/>
      <c r="D645" s="228"/>
      <c r="E645" s="228"/>
      <c r="F645" s="228"/>
      <c r="G645" s="228"/>
      <c r="H645" s="241"/>
      <c r="I645" s="228"/>
      <c r="J645" s="228"/>
      <c r="K645" s="228"/>
      <c r="L645" s="228"/>
      <c r="M645" s="228"/>
      <c r="N645" s="228"/>
      <c r="O645" s="236"/>
      <c r="P645" s="228"/>
      <c r="Q645" s="228"/>
      <c r="R645" s="228"/>
      <c r="S645" s="228"/>
      <c r="T645" s="228"/>
      <c r="U645" s="228"/>
      <c r="V645" s="228"/>
      <c r="W645" s="228"/>
      <c r="X645" s="228"/>
      <c r="Y645" s="228"/>
      <c r="Z645" s="228"/>
      <c r="AA645" s="228"/>
      <c r="AB645" s="228"/>
      <c r="AC645" s="228"/>
      <c r="AD645" s="228"/>
      <c r="AE645" s="228"/>
      <c r="AF645" s="228"/>
      <c r="AG645" s="228"/>
      <c r="AH645" s="228"/>
      <c r="AI645" s="228"/>
      <c r="AJ645" s="228"/>
      <c r="AK645" s="228"/>
      <c r="AL645" s="228"/>
      <c r="AM645" s="228"/>
    </row>
    <row r="646">
      <c r="A646" s="228"/>
      <c r="B646" s="228"/>
      <c r="C646" s="228"/>
      <c r="D646" s="228"/>
      <c r="E646" s="228"/>
      <c r="F646" s="228"/>
      <c r="G646" s="228"/>
      <c r="H646" s="241"/>
      <c r="I646" s="228"/>
      <c r="J646" s="228"/>
      <c r="K646" s="228"/>
      <c r="L646" s="228"/>
      <c r="M646" s="228"/>
      <c r="N646" s="228"/>
      <c r="O646" s="236"/>
      <c r="P646" s="228"/>
      <c r="Q646" s="228"/>
      <c r="R646" s="228"/>
      <c r="S646" s="228"/>
      <c r="T646" s="228"/>
      <c r="U646" s="228"/>
      <c r="V646" s="228"/>
      <c r="W646" s="228"/>
      <c r="X646" s="228"/>
      <c r="Y646" s="228"/>
      <c r="Z646" s="228"/>
      <c r="AA646" s="228"/>
      <c r="AB646" s="228"/>
      <c r="AC646" s="228"/>
      <c r="AD646" s="228"/>
      <c r="AE646" s="228"/>
      <c r="AF646" s="228"/>
      <c r="AG646" s="228"/>
      <c r="AH646" s="228"/>
      <c r="AI646" s="228"/>
      <c r="AJ646" s="228"/>
      <c r="AK646" s="228"/>
      <c r="AL646" s="228"/>
      <c r="AM646" s="228"/>
    </row>
    <row r="647">
      <c r="A647" s="228"/>
      <c r="B647" s="228"/>
      <c r="C647" s="228"/>
      <c r="D647" s="228"/>
      <c r="E647" s="228"/>
      <c r="F647" s="228"/>
      <c r="G647" s="228"/>
      <c r="H647" s="241"/>
      <c r="I647" s="228"/>
      <c r="J647" s="228"/>
      <c r="K647" s="228"/>
      <c r="L647" s="228"/>
      <c r="M647" s="228"/>
      <c r="N647" s="228"/>
      <c r="O647" s="236"/>
      <c r="P647" s="228"/>
      <c r="Q647" s="228"/>
      <c r="R647" s="228"/>
      <c r="S647" s="228"/>
      <c r="T647" s="228"/>
      <c r="U647" s="228"/>
      <c r="V647" s="228"/>
      <c r="W647" s="228"/>
      <c r="X647" s="228"/>
      <c r="Y647" s="228"/>
      <c r="Z647" s="228"/>
      <c r="AA647" s="228"/>
      <c r="AB647" s="228"/>
      <c r="AC647" s="228"/>
      <c r="AD647" s="228"/>
      <c r="AE647" s="228"/>
      <c r="AF647" s="228"/>
      <c r="AG647" s="228"/>
      <c r="AH647" s="228"/>
      <c r="AI647" s="228"/>
      <c r="AJ647" s="228"/>
      <c r="AK647" s="228"/>
      <c r="AL647" s="228"/>
      <c r="AM647" s="228"/>
    </row>
    <row r="648">
      <c r="A648" s="228"/>
      <c r="B648" s="228"/>
      <c r="C648" s="228"/>
      <c r="D648" s="228"/>
      <c r="E648" s="228"/>
      <c r="F648" s="228"/>
      <c r="G648" s="228"/>
      <c r="H648" s="241"/>
      <c r="I648" s="228"/>
      <c r="J648" s="228"/>
      <c r="K648" s="228"/>
      <c r="L648" s="228"/>
      <c r="M648" s="228"/>
      <c r="N648" s="228"/>
      <c r="O648" s="236"/>
      <c r="P648" s="228"/>
      <c r="Q648" s="228"/>
      <c r="R648" s="228"/>
      <c r="S648" s="228"/>
      <c r="T648" s="228"/>
      <c r="U648" s="228"/>
      <c r="V648" s="228"/>
      <c r="W648" s="228"/>
      <c r="X648" s="228"/>
      <c r="Y648" s="228"/>
      <c r="Z648" s="228"/>
      <c r="AA648" s="228"/>
      <c r="AB648" s="228"/>
      <c r="AC648" s="228"/>
      <c r="AD648" s="228"/>
      <c r="AE648" s="228"/>
      <c r="AF648" s="228"/>
      <c r="AG648" s="228"/>
      <c r="AH648" s="228"/>
      <c r="AI648" s="228"/>
      <c r="AJ648" s="228"/>
      <c r="AK648" s="228"/>
      <c r="AL648" s="228"/>
      <c r="AM648" s="228"/>
    </row>
    <row r="649">
      <c r="A649" s="228"/>
      <c r="B649" s="228"/>
      <c r="C649" s="228"/>
      <c r="D649" s="228"/>
      <c r="E649" s="228"/>
      <c r="F649" s="228"/>
      <c r="G649" s="228"/>
      <c r="H649" s="241"/>
      <c r="I649" s="228"/>
      <c r="J649" s="228"/>
      <c r="K649" s="228"/>
      <c r="L649" s="228"/>
      <c r="M649" s="228"/>
      <c r="N649" s="228"/>
      <c r="O649" s="236"/>
      <c r="P649" s="228"/>
      <c r="Q649" s="228"/>
      <c r="R649" s="228"/>
      <c r="S649" s="228"/>
      <c r="T649" s="228"/>
      <c r="U649" s="228"/>
      <c r="V649" s="228"/>
      <c r="W649" s="228"/>
      <c r="X649" s="228"/>
      <c r="Y649" s="228"/>
      <c r="Z649" s="228"/>
      <c r="AA649" s="228"/>
      <c r="AB649" s="228"/>
      <c r="AC649" s="228"/>
      <c r="AD649" s="228"/>
      <c r="AE649" s="228"/>
      <c r="AF649" s="228"/>
      <c r="AG649" s="228"/>
      <c r="AH649" s="228"/>
      <c r="AI649" s="228"/>
      <c r="AJ649" s="228"/>
      <c r="AK649" s="228"/>
      <c r="AL649" s="228"/>
      <c r="AM649" s="228"/>
    </row>
    <row r="650">
      <c r="A650" s="228"/>
      <c r="B650" s="228"/>
      <c r="C650" s="228"/>
      <c r="D650" s="228"/>
      <c r="E650" s="228"/>
      <c r="F650" s="228"/>
      <c r="G650" s="228"/>
      <c r="H650" s="241"/>
      <c r="I650" s="228"/>
      <c r="J650" s="228"/>
      <c r="K650" s="228"/>
      <c r="L650" s="228"/>
      <c r="M650" s="228"/>
      <c r="N650" s="228"/>
      <c r="O650" s="236"/>
      <c r="P650" s="228"/>
      <c r="Q650" s="228"/>
      <c r="R650" s="228"/>
      <c r="S650" s="228"/>
      <c r="T650" s="228"/>
      <c r="U650" s="228"/>
      <c r="V650" s="228"/>
      <c r="W650" s="228"/>
      <c r="X650" s="228"/>
      <c r="Y650" s="228"/>
      <c r="Z650" s="228"/>
      <c r="AA650" s="228"/>
      <c r="AB650" s="228"/>
      <c r="AC650" s="228"/>
      <c r="AD650" s="228"/>
      <c r="AE650" s="228"/>
      <c r="AF650" s="228"/>
      <c r="AG650" s="228"/>
      <c r="AH650" s="228"/>
      <c r="AI650" s="228"/>
      <c r="AJ650" s="228"/>
      <c r="AK650" s="228"/>
      <c r="AL650" s="228"/>
      <c r="AM650" s="228"/>
    </row>
    <row r="651">
      <c r="A651" s="228"/>
      <c r="B651" s="228"/>
      <c r="C651" s="228"/>
      <c r="D651" s="228"/>
      <c r="E651" s="228"/>
      <c r="F651" s="228"/>
      <c r="G651" s="228"/>
      <c r="H651" s="241"/>
      <c r="I651" s="228"/>
      <c r="J651" s="228"/>
      <c r="K651" s="228"/>
      <c r="L651" s="228"/>
      <c r="M651" s="228"/>
      <c r="N651" s="228"/>
      <c r="O651" s="236"/>
      <c r="P651" s="228"/>
      <c r="Q651" s="228"/>
      <c r="R651" s="228"/>
      <c r="S651" s="228"/>
      <c r="T651" s="228"/>
      <c r="U651" s="228"/>
      <c r="V651" s="228"/>
      <c r="W651" s="228"/>
      <c r="X651" s="228"/>
      <c r="Y651" s="228"/>
      <c r="Z651" s="228"/>
      <c r="AA651" s="228"/>
      <c r="AB651" s="228"/>
      <c r="AC651" s="228"/>
      <c r="AD651" s="228"/>
      <c r="AE651" s="228"/>
      <c r="AF651" s="228"/>
      <c r="AG651" s="228"/>
      <c r="AH651" s="228"/>
      <c r="AI651" s="228"/>
      <c r="AJ651" s="228"/>
      <c r="AK651" s="228"/>
      <c r="AL651" s="228"/>
      <c r="AM651" s="228"/>
    </row>
    <row r="652">
      <c r="A652" s="228"/>
      <c r="B652" s="228"/>
      <c r="C652" s="228"/>
      <c r="D652" s="228"/>
      <c r="E652" s="228"/>
      <c r="F652" s="228"/>
      <c r="G652" s="228"/>
      <c r="H652" s="241"/>
      <c r="I652" s="228"/>
      <c r="J652" s="228"/>
      <c r="K652" s="228"/>
      <c r="L652" s="228"/>
      <c r="M652" s="228"/>
      <c r="N652" s="228"/>
      <c r="O652" s="236"/>
      <c r="P652" s="228"/>
      <c r="Q652" s="228"/>
      <c r="R652" s="228"/>
      <c r="S652" s="228"/>
      <c r="T652" s="228"/>
      <c r="U652" s="228"/>
      <c r="V652" s="228"/>
      <c r="W652" s="228"/>
      <c r="X652" s="228"/>
      <c r="Y652" s="228"/>
      <c r="Z652" s="228"/>
      <c r="AA652" s="228"/>
      <c r="AB652" s="228"/>
      <c r="AC652" s="228"/>
      <c r="AD652" s="228"/>
      <c r="AE652" s="228"/>
      <c r="AF652" s="228"/>
      <c r="AG652" s="228"/>
      <c r="AH652" s="228"/>
      <c r="AI652" s="228"/>
      <c r="AJ652" s="228"/>
      <c r="AK652" s="228"/>
      <c r="AL652" s="228"/>
      <c r="AM652" s="228"/>
    </row>
    <row r="653">
      <c r="A653" s="228"/>
      <c r="B653" s="228"/>
      <c r="C653" s="228"/>
      <c r="D653" s="228"/>
      <c r="E653" s="228"/>
      <c r="F653" s="228"/>
      <c r="G653" s="228"/>
      <c r="H653" s="241"/>
      <c r="I653" s="228"/>
      <c r="J653" s="228"/>
      <c r="K653" s="228"/>
      <c r="L653" s="228"/>
      <c r="M653" s="228"/>
      <c r="N653" s="228"/>
      <c r="O653" s="236"/>
      <c r="P653" s="228"/>
      <c r="Q653" s="228"/>
      <c r="R653" s="228"/>
      <c r="S653" s="228"/>
      <c r="T653" s="228"/>
      <c r="U653" s="228"/>
      <c r="V653" s="228"/>
      <c r="W653" s="228"/>
      <c r="X653" s="228"/>
      <c r="Y653" s="228"/>
      <c r="Z653" s="228"/>
      <c r="AA653" s="228"/>
      <c r="AB653" s="228"/>
      <c r="AC653" s="228"/>
      <c r="AD653" s="228"/>
      <c r="AE653" s="228"/>
      <c r="AF653" s="228"/>
      <c r="AG653" s="228"/>
      <c r="AH653" s="228"/>
      <c r="AI653" s="228"/>
      <c r="AJ653" s="228"/>
      <c r="AK653" s="228"/>
      <c r="AL653" s="228"/>
      <c r="AM653" s="228"/>
    </row>
    <row r="654">
      <c r="A654" s="228"/>
      <c r="B654" s="228"/>
      <c r="C654" s="228"/>
      <c r="D654" s="228"/>
      <c r="E654" s="228"/>
      <c r="F654" s="228"/>
      <c r="G654" s="228"/>
      <c r="H654" s="241"/>
      <c r="I654" s="228"/>
      <c r="J654" s="228"/>
      <c r="K654" s="228"/>
      <c r="L654" s="228"/>
      <c r="M654" s="228"/>
      <c r="N654" s="228"/>
      <c r="O654" s="236"/>
      <c r="P654" s="228"/>
      <c r="Q654" s="228"/>
      <c r="R654" s="228"/>
      <c r="S654" s="228"/>
      <c r="T654" s="228"/>
      <c r="U654" s="228"/>
      <c r="V654" s="228"/>
      <c r="W654" s="228"/>
      <c r="X654" s="228"/>
      <c r="Y654" s="228"/>
      <c r="Z654" s="228"/>
      <c r="AA654" s="228"/>
      <c r="AB654" s="228"/>
      <c r="AC654" s="228"/>
      <c r="AD654" s="228"/>
      <c r="AE654" s="228"/>
      <c r="AF654" s="228"/>
      <c r="AG654" s="228"/>
      <c r="AH654" s="228"/>
      <c r="AI654" s="228"/>
      <c r="AJ654" s="228"/>
      <c r="AK654" s="228"/>
      <c r="AL654" s="228"/>
      <c r="AM654" s="228"/>
    </row>
    <row r="655">
      <c r="A655" s="228"/>
      <c r="B655" s="228"/>
      <c r="C655" s="228"/>
      <c r="D655" s="228"/>
      <c r="E655" s="228"/>
      <c r="F655" s="228"/>
      <c r="G655" s="228"/>
      <c r="H655" s="241"/>
      <c r="I655" s="228"/>
      <c r="J655" s="228"/>
      <c r="K655" s="228"/>
      <c r="L655" s="228"/>
      <c r="M655" s="228"/>
      <c r="N655" s="228"/>
      <c r="O655" s="236"/>
      <c r="P655" s="228"/>
      <c r="Q655" s="228"/>
      <c r="R655" s="228"/>
      <c r="S655" s="228"/>
      <c r="T655" s="228"/>
      <c r="U655" s="228"/>
      <c r="V655" s="228"/>
      <c r="W655" s="228"/>
      <c r="X655" s="228"/>
      <c r="Y655" s="228"/>
      <c r="Z655" s="228"/>
      <c r="AA655" s="228"/>
      <c r="AB655" s="228"/>
      <c r="AC655" s="228"/>
      <c r="AD655" s="228"/>
      <c r="AE655" s="228"/>
      <c r="AF655" s="228"/>
      <c r="AG655" s="228"/>
      <c r="AH655" s="228"/>
      <c r="AI655" s="228"/>
      <c r="AJ655" s="228"/>
      <c r="AK655" s="228"/>
      <c r="AL655" s="228"/>
      <c r="AM655" s="228"/>
    </row>
    <row r="656">
      <c r="A656" s="228"/>
      <c r="B656" s="228"/>
      <c r="C656" s="228"/>
      <c r="D656" s="228"/>
      <c r="E656" s="228"/>
      <c r="F656" s="228"/>
      <c r="G656" s="228"/>
      <c r="H656" s="241"/>
      <c r="I656" s="228"/>
      <c r="J656" s="228"/>
      <c r="K656" s="228"/>
      <c r="L656" s="228"/>
      <c r="M656" s="228"/>
      <c r="N656" s="228"/>
      <c r="O656" s="236"/>
      <c r="P656" s="228"/>
      <c r="Q656" s="228"/>
      <c r="R656" s="228"/>
      <c r="S656" s="228"/>
      <c r="T656" s="228"/>
      <c r="U656" s="228"/>
      <c r="V656" s="228"/>
      <c r="W656" s="228"/>
      <c r="X656" s="228"/>
      <c r="Y656" s="228"/>
      <c r="Z656" s="228"/>
      <c r="AA656" s="228"/>
      <c r="AB656" s="228"/>
      <c r="AC656" s="228"/>
      <c r="AD656" s="228"/>
      <c r="AE656" s="228"/>
      <c r="AF656" s="228"/>
      <c r="AG656" s="228"/>
      <c r="AH656" s="228"/>
      <c r="AI656" s="228"/>
      <c r="AJ656" s="228"/>
      <c r="AK656" s="228"/>
      <c r="AL656" s="228"/>
      <c r="AM656" s="228"/>
    </row>
    <row r="657">
      <c r="A657" s="228"/>
      <c r="B657" s="228"/>
      <c r="C657" s="228"/>
      <c r="D657" s="228"/>
      <c r="E657" s="228"/>
      <c r="F657" s="228"/>
      <c r="G657" s="228"/>
      <c r="H657" s="241"/>
      <c r="I657" s="228"/>
      <c r="J657" s="228"/>
      <c r="K657" s="228"/>
      <c r="L657" s="228"/>
      <c r="M657" s="228"/>
      <c r="N657" s="228"/>
      <c r="O657" s="236"/>
      <c r="P657" s="228"/>
      <c r="Q657" s="228"/>
      <c r="R657" s="228"/>
      <c r="S657" s="228"/>
      <c r="T657" s="228"/>
      <c r="U657" s="228"/>
      <c r="V657" s="228"/>
      <c r="W657" s="228"/>
      <c r="X657" s="228"/>
      <c r="Y657" s="228"/>
      <c r="Z657" s="228"/>
      <c r="AA657" s="228"/>
      <c r="AB657" s="228"/>
      <c r="AC657" s="228"/>
      <c r="AD657" s="228"/>
      <c r="AE657" s="228"/>
      <c r="AF657" s="228"/>
      <c r="AG657" s="228"/>
      <c r="AH657" s="228"/>
      <c r="AI657" s="228"/>
      <c r="AJ657" s="228"/>
      <c r="AK657" s="228"/>
      <c r="AL657" s="228"/>
      <c r="AM657" s="228"/>
    </row>
    <row r="658">
      <c r="A658" s="228"/>
      <c r="B658" s="228"/>
      <c r="C658" s="228"/>
      <c r="D658" s="228"/>
      <c r="E658" s="228"/>
      <c r="F658" s="228"/>
      <c r="G658" s="228"/>
      <c r="H658" s="241"/>
      <c r="I658" s="228"/>
      <c r="J658" s="228"/>
      <c r="K658" s="228"/>
      <c r="L658" s="228"/>
      <c r="M658" s="228"/>
      <c r="N658" s="228"/>
      <c r="O658" s="236"/>
      <c r="P658" s="228"/>
      <c r="Q658" s="228"/>
      <c r="R658" s="228"/>
      <c r="S658" s="228"/>
      <c r="T658" s="228"/>
      <c r="U658" s="228"/>
      <c r="V658" s="228"/>
      <c r="W658" s="228"/>
      <c r="X658" s="228"/>
      <c r="Y658" s="228"/>
      <c r="Z658" s="228"/>
      <c r="AA658" s="228"/>
      <c r="AB658" s="228"/>
      <c r="AC658" s="228"/>
      <c r="AD658" s="228"/>
      <c r="AE658" s="228"/>
      <c r="AF658" s="228"/>
      <c r="AG658" s="228"/>
      <c r="AH658" s="228"/>
      <c r="AI658" s="228"/>
      <c r="AJ658" s="228"/>
      <c r="AK658" s="228"/>
      <c r="AL658" s="228"/>
      <c r="AM658" s="228"/>
    </row>
    <row r="659">
      <c r="A659" s="228"/>
      <c r="B659" s="228"/>
      <c r="C659" s="228"/>
      <c r="D659" s="228"/>
      <c r="E659" s="228"/>
      <c r="F659" s="228"/>
      <c r="G659" s="228"/>
      <c r="H659" s="241"/>
      <c r="I659" s="228"/>
      <c r="J659" s="228"/>
      <c r="K659" s="228"/>
      <c r="L659" s="228"/>
      <c r="M659" s="228"/>
      <c r="N659" s="228"/>
      <c r="O659" s="236"/>
      <c r="P659" s="228"/>
      <c r="Q659" s="228"/>
      <c r="R659" s="228"/>
      <c r="S659" s="228"/>
      <c r="T659" s="228"/>
      <c r="U659" s="228"/>
      <c r="V659" s="228"/>
      <c r="W659" s="228"/>
      <c r="X659" s="228"/>
      <c r="Y659" s="228"/>
      <c r="Z659" s="228"/>
      <c r="AA659" s="228"/>
      <c r="AB659" s="228"/>
      <c r="AC659" s="228"/>
      <c r="AD659" s="228"/>
      <c r="AE659" s="228"/>
      <c r="AF659" s="228"/>
      <c r="AG659" s="228"/>
      <c r="AH659" s="228"/>
      <c r="AI659" s="228"/>
      <c r="AJ659" s="228"/>
      <c r="AK659" s="228"/>
      <c r="AL659" s="228"/>
      <c r="AM659" s="228"/>
    </row>
    <row r="660">
      <c r="A660" s="228"/>
      <c r="B660" s="228"/>
      <c r="C660" s="228"/>
      <c r="D660" s="228"/>
      <c r="E660" s="228"/>
      <c r="F660" s="228"/>
      <c r="G660" s="228"/>
      <c r="H660" s="241"/>
      <c r="I660" s="228"/>
      <c r="J660" s="228"/>
      <c r="K660" s="228"/>
      <c r="L660" s="228"/>
      <c r="M660" s="228"/>
      <c r="N660" s="228"/>
      <c r="O660" s="236"/>
      <c r="P660" s="228"/>
      <c r="Q660" s="228"/>
      <c r="R660" s="228"/>
      <c r="S660" s="228"/>
      <c r="T660" s="228"/>
      <c r="U660" s="228"/>
      <c r="V660" s="228"/>
      <c r="W660" s="228"/>
      <c r="X660" s="228"/>
      <c r="Y660" s="228"/>
      <c r="Z660" s="228"/>
      <c r="AA660" s="228"/>
      <c r="AB660" s="228"/>
      <c r="AC660" s="228"/>
      <c r="AD660" s="228"/>
      <c r="AE660" s="228"/>
      <c r="AF660" s="228"/>
      <c r="AG660" s="228"/>
      <c r="AH660" s="228"/>
      <c r="AI660" s="228"/>
      <c r="AJ660" s="228"/>
      <c r="AK660" s="228"/>
      <c r="AL660" s="228"/>
      <c r="AM660" s="228"/>
    </row>
    <row r="661">
      <c r="A661" s="228"/>
      <c r="B661" s="228"/>
      <c r="C661" s="228"/>
      <c r="D661" s="228"/>
      <c r="E661" s="228"/>
      <c r="F661" s="228"/>
      <c r="G661" s="228"/>
      <c r="H661" s="241"/>
      <c r="I661" s="228"/>
      <c r="J661" s="228"/>
      <c r="K661" s="228"/>
      <c r="L661" s="228"/>
      <c r="M661" s="228"/>
      <c r="N661" s="228"/>
      <c r="O661" s="236"/>
      <c r="P661" s="228"/>
      <c r="Q661" s="228"/>
      <c r="R661" s="228"/>
      <c r="S661" s="228"/>
      <c r="T661" s="228"/>
      <c r="U661" s="228"/>
      <c r="V661" s="228"/>
      <c r="W661" s="228"/>
      <c r="X661" s="228"/>
      <c r="Y661" s="228"/>
      <c r="Z661" s="228"/>
      <c r="AA661" s="228"/>
      <c r="AB661" s="228"/>
      <c r="AC661" s="228"/>
      <c r="AD661" s="228"/>
      <c r="AE661" s="228"/>
      <c r="AF661" s="228"/>
      <c r="AG661" s="228"/>
      <c r="AH661" s="228"/>
      <c r="AI661" s="228"/>
      <c r="AJ661" s="228"/>
      <c r="AK661" s="228"/>
      <c r="AL661" s="228"/>
      <c r="AM661" s="228"/>
    </row>
    <row r="662">
      <c r="A662" s="228"/>
      <c r="B662" s="228"/>
      <c r="C662" s="228"/>
      <c r="D662" s="228"/>
      <c r="E662" s="228"/>
      <c r="F662" s="228"/>
      <c r="G662" s="228"/>
      <c r="H662" s="241"/>
      <c r="I662" s="228"/>
      <c r="J662" s="228"/>
      <c r="K662" s="228"/>
      <c r="L662" s="228"/>
      <c r="M662" s="228"/>
      <c r="N662" s="228"/>
      <c r="O662" s="236"/>
      <c r="P662" s="228"/>
      <c r="Q662" s="228"/>
      <c r="R662" s="228"/>
      <c r="S662" s="228"/>
      <c r="T662" s="228"/>
      <c r="U662" s="228"/>
      <c r="V662" s="228"/>
      <c r="W662" s="228"/>
      <c r="X662" s="228"/>
      <c r="Y662" s="228"/>
      <c r="Z662" s="228"/>
      <c r="AA662" s="228"/>
      <c r="AB662" s="228"/>
      <c r="AC662" s="228"/>
      <c r="AD662" s="228"/>
      <c r="AE662" s="228"/>
      <c r="AF662" s="228"/>
      <c r="AG662" s="228"/>
      <c r="AH662" s="228"/>
      <c r="AI662" s="228"/>
      <c r="AJ662" s="228"/>
      <c r="AK662" s="228"/>
      <c r="AL662" s="228"/>
      <c r="AM662" s="228"/>
    </row>
    <row r="663">
      <c r="A663" s="228"/>
      <c r="B663" s="228"/>
      <c r="C663" s="228"/>
      <c r="D663" s="228"/>
      <c r="E663" s="228"/>
      <c r="F663" s="228"/>
      <c r="G663" s="228"/>
      <c r="H663" s="241"/>
      <c r="I663" s="228"/>
      <c r="J663" s="228"/>
      <c r="K663" s="228"/>
      <c r="L663" s="228"/>
      <c r="M663" s="228"/>
      <c r="N663" s="228"/>
      <c r="O663" s="236"/>
      <c r="P663" s="228"/>
      <c r="Q663" s="228"/>
      <c r="R663" s="228"/>
      <c r="S663" s="228"/>
      <c r="T663" s="228"/>
      <c r="U663" s="228"/>
      <c r="V663" s="228"/>
      <c r="W663" s="228"/>
      <c r="X663" s="228"/>
      <c r="Y663" s="228"/>
      <c r="Z663" s="228"/>
      <c r="AA663" s="228"/>
      <c r="AB663" s="228"/>
      <c r="AC663" s="228"/>
      <c r="AD663" s="228"/>
      <c r="AE663" s="228"/>
      <c r="AF663" s="228"/>
      <c r="AG663" s="228"/>
      <c r="AH663" s="228"/>
      <c r="AI663" s="228"/>
      <c r="AJ663" s="228"/>
      <c r="AK663" s="228"/>
      <c r="AL663" s="228"/>
      <c r="AM663" s="228"/>
    </row>
    <row r="664">
      <c r="A664" s="228"/>
      <c r="B664" s="228"/>
      <c r="C664" s="228"/>
      <c r="D664" s="228"/>
      <c r="E664" s="228"/>
      <c r="F664" s="228"/>
      <c r="G664" s="228"/>
      <c r="H664" s="241"/>
      <c r="I664" s="228"/>
      <c r="J664" s="228"/>
      <c r="K664" s="228"/>
      <c r="L664" s="228"/>
      <c r="M664" s="228"/>
      <c r="N664" s="228"/>
      <c r="O664" s="236"/>
      <c r="P664" s="228"/>
      <c r="Q664" s="228"/>
      <c r="R664" s="228"/>
      <c r="S664" s="228"/>
      <c r="T664" s="228"/>
      <c r="U664" s="228"/>
      <c r="V664" s="228"/>
      <c r="W664" s="228"/>
      <c r="X664" s="228"/>
      <c r="Y664" s="228"/>
      <c r="Z664" s="228"/>
      <c r="AA664" s="228"/>
      <c r="AB664" s="228"/>
      <c r="AC664" s="228"/>
      <c r="AD664" s="228"/>
      <c r="AE664" s="228"/>
      <c r="AF664" s="228"/>
      <c r="AG664" s="228"/>
      <c r="AH664" s="228"/>
      <c r="AI664" s="228"/>
      <c r="AJ664" s="228"/>
      <c r="AK664" s="228"/>
      <c r="AL664" s="228"/>
      <c r="AM664" s="228"/>
    </row>
    <row r="665">
      <c r="A665" s="228"/>
      <c r="B665" s="228"/>
      <c r="C665" s="228"/>
      <c r="D665" s="228"/>
      <c r="E665" s="228"/>
      <c r="F665" s="228"/>
      <c r="G665" s="228"/>
      <c r="H665" s="241"/>
      <c r="I665" s="228"/>
      <c r="J665" s="228"/>
      <c r="K665" s="228"/>
      <c r="L665" s="228"/>
      <c r="M665" s="228"/>
      <c r="N665" s="228"/>
      <c r="O665" s="236"/>
      <c r="P665" s="228"/>
      <c r="Q665" s="228"/>
      <c r="R665" s="228"/>
      <c r="S665" s="228"/>
      <c r="T665" s="228"/>
      <c r="U665" s="228"/>
      <c r="V665" s="228"/>
      <c r="W665" s="228"/>
      <c r="X665" s="228"/>
      <c r="Y665" s="228"/>
      <c r="Z665" s="228"/>
      <c r="AA665" s="228"/>
      <c r="AB665" s="228"/>
      <c r="AC665" s="228"/>
      <c r="AD665" s="228"/>
      <c r="AE665" s="228"/>
      <c r="AF665" s="228"/>
      <c r="AG665" s="228"/>
      <c r="AH665" s="228"/>
      <c r="AI665" s="228"/>
      <c r="AJ665" s="228"/>
      <c r="AK665" s="228"/>
      <c r="AL665" s="228"/>
      <c r="AM665" s="228"/>
    </row>
    <row r="666">
      <c r="A666" s="228"/>
      <c r="B666" s="228"/>
      <c r="C666" s="228"/>
      <c r="D666" s="228"/>
      <c r="E666" s="228"/>
      <c r="F666" s="228"/>
      <c r="G666" s="228"/>
      <c r="H666" s="241"/>
      <c r="I666" s="228"/>
      <c r="J666" s="228"/>
      <c r="K666" s="228"/>
      <c r="L666" s="228"/>
      <c r="M666" s="228"/>
      <c r="N666" s="228"/>
      <c r="O666" s="236"/>
      <c r="P666" s="228"/>
      <c r="Q666" s="228"/>
      <c r="R666" s="228"/>
      <c r="S666" s="228"/>
      <c r="T666" s="228"/>
      <c r="U666" s="228"/>
      <c r="V666" s="228"/>
      <c r="W666" s="228"/>
      <c r="X666" s="228"/>
      <c r="Y666" s="228"/>
      <c r="Z666" s="228"/>
      <c r="AA666" s="228"/>
      <c r="AB666" s="228"/>
      <c r="AC666" s="228"/>
      <c r="AD666" s="228"/>
      <c r="AE666" s="228"/>
      <c r="AF666" s="228"/>
      <c r="AG666" s="228"/>
      <c r="AH666" s="228"/>
      <c r="AI666" s="228"/>
      <c r="AJ666" s="228"/>
      <c r="AK666" s="228"/>
      <c r="AL666" s="228"/>
      <c r="AM666" s="228"/>
    </row>
    <row r="667">
      <c r="A667" s="228"/>
      <c r="B667" s="228"/>
      <c r="C667" s="228"/>
      <c r="D667" s="228"/>
      <c r="E667" s="228"/>
      <c r="F667" s="228"/>
      <c r="G667" s="228"/>
      <c r="H667" s="241"/>
      <c r="I667" s="228"/>
      <c r="J667" s="228"/>
      <c r="K667" s="228"/>
      <c r="L667" s="228"/>
      <c r="M667" s="228"/>
      <c r="N667" s="228"/>
      <c r="O667" s="236"/>
      <c r="P667" s="228"/>
      <c r="Q667" s="228"/>
      <c r="R667" s="228"/>
      <c r="S667" s="228"/>
      <c r="T667" s="228"/>
      <c r="U667" s="228"/>
      <c r="V667" s="228"/>
      <c r="W667" s="228"/>
      <c r="X667" s="228"/>
      <c r="Y667" s="228"/>
      <c r="Z667" s="228"/>
      <c r="AA667" s="228"/>
      <c r="AB667" s="228"/>
      <c r="AC667" s="228"/>
      <c r="AD667" s="228"/>
      <c r="AE667" s="228"/>
      <c r="AF667" s="228"/>
      <c r="AG667" s="228"/>
      <c r="AH667" s="228"/>
      <c r="AI667" s="228"/>
      <c r="AJ667" s="228"/>
      <c r="AK667" s="228"/>
      <c r="AL667" s="228"/>
      <c r="AM667" s="228"/>
    </row>
    <row r="668">
      <c r="A668" s="228"/>
      <c r="B668" s="228"/>
      <c r="C668" s="228"/>
      <c r="D668" s="228"/>
      <c r="E668" s="228"/>
      <c r="F668" s="228"/>
      <c r="G668" s="228"/>
      <c r="H668" s="241"/>
      <c r="I668" s="228"/>
      <c r="J668" s="228"/>
      <c r="K668" s="228"/>
      <c r="L668" s="228"/>
      <c r="M668" s="228"/>
      <c r="N668" s="228"/>
      <c r="O668" s="236"/>
      <c r="P668" s="228"/>
      <c r="Q668" s="228"/>
      <c r="R668" s="228"/>
      <c r="S668" s="228"/>
      <c r="T668" s="228"/>
      <c r="U668" s="228"/>
      <c r="V668" s="228"/>
      <c r="W668" s="228"/>
      <c r="X668" s="228"/>
      <c r="Y668" s="228"/>
      <c r="Z668" s="228"/>
      <c r="AA668" s="228"/>
      <c r="AB668" s="228"/>
      <c r="AC668" s="228"/>
      <c r="AD668" s="228"/>
      <c r="AE668" s="228"/>
      <c r="AF668" s="228"/>
      <c r="AG668" s="228"/>
      <c r="AH668" s="228"/>
      <c r="AI668" s="228"/>
      <c r="AJ668" s="228"/>
      <c r="AK668" s="228"/>
      <c r="AL668" s="228"/>
      <c r="AM668" s="228"/>
    </row>
    <row r="669">
      <c r="A669" s="228"/>
      <c r="B669" s="228"/>
      <c r="C669" s="228"/>
      <c r="D669" s="228"/>
      <c r="E669" s="228"/>
      <c r="F669" s="228"/>
      <c r="G669" s="228"/>
      <c r="H669" s="241"/>
      <c r="I669" s="228"/>
      <c r="J669" s="228"/>
      <c r="K669" s="228"/>
      <c r="L669" s="228"/>
      <c r="M669" s="228"/>
      <c r="N669" s="228"/>
      <c r="O669" s="236"/>
      <c r="P669" s="228"/>
      <c r="Q669" s="228"/>
      <c r="R669" s="228"/>
      <c r="S669" s="228"/>
      <c r="T669" s="228"/>
      <c r="U669" s="228"/>
      <c r="V669" s="228"/>
      <c r="W669" s="228"/>
      <c r="X669" s="228"/>
      <c r="Y669" s="228"/>
      <c r="Z669" s="228"/>
      <c r="AA669" s="228"/>
      <c r="AB669" s="228"/>
      <c r="AC669" s="228"/>
      <c r="AD669" s="228"/>
      <c r="AE669" s="228"/>
      <c r="AF669" s="228"/>
      <c r="AG669" s="228"/>
      <c r="AH669" s="228"/>
      <c r="AI669" s="228"/>
      <c r="AJ669" s="228"/>
      <c r="AK669" s="228"/>
      <c r="AL669" s="228"/>
      <c r="AM669" s="228"/>
    </row>
    <row r="670">
      <c r="A670" s="228"/>
      <c r="B670" s="228"/>
      <c r="C670" s="228"/>
      <c r="D670" s="228"/>
      <c r="E670" s="228"/>
      <c r="F670" s="228"/>
      <c r="G670" s="228"/>
      <c r="H670" s="241"/>
      <c r="I670" s="228"/>
      <c r="J670" s="228"/>
      <c r="K670" s="228"/>
      <c r="L670" s="228"/>
      <c r="M670" s="228"/>
      <c r="N670" s="228"/>
      <c r="O670" s="236"/>
      <c r="P670" s="228"/>
      <c r="Q670" s="228"/>
      <c r="R670" s="228"/>
      <c r="S670" s="228"/>
      <c r="T670" s="228"/>
      <c r="U670" s="228"/>
      <c r="V670" s="228"/>
      <c r="W670" s="228"/>
      <c r="X670" s="228"/>
      <c r="Y670" s="228"/>
      <c r="Z670" s="228"/>
      <c r="AA670" s="228"/>
      <c r="AB670" s="228"/>
      <c r="AC670" s="228"/>
      <c r="AD670" s="228"/>
      <c r="AE670" s="228"/>
      <c r="AF670" s="228"/>
      <c r="AG670" s="228"/>
      <c r="AH670" s="228"/>
      <c r="AI670" s="228"/>
      <c r="AJ670" s="228"/>
      <c r="AK670" s="228"/>
      <c r="AL670" s="228"/>
      <c r="AM670" s="228"/>
    </row>
    <row r="671">
      <c r="A671" s="228"/>
      <c r="B671" s="228"/>
      <c r="C671" s="228"/>
      <c r="D671" s="228"/>
      <c r="E671" s="228"/>
      <c r="F671" s="228"/>
      <c r="G671" s="228"/>
      <c r="H671" s="241"/>
      <c r="I671" s="228"/>
      <c r="J671" s="228"/>
      <c r="K671" s="228"/>
      <c r="L671" s="228"/>
      <c r="M671" s="228"/>
      <c r="N671" s="228"/>
      <c r="O671" s="236"/>
      <c r="P671" s="228"/>
      <c r="Q671" s="228"/>
      <c r="R671" s="228"/>
      <c r="S671" s="228"/>
      <c r="T671" s="228"/>
      <c r="U671" s="228"/>
      <c r="V671" s="228"/>
      <c r="W671" s="228"/>
      <c r="X671" s="228"/>
      <c r="Y671" s="228"/>
      <c r="Z671" s="228"/>
      <c r="AA671" s="228"/>
      <c r="AB671" s="228"/>
      <c r="AC671" s="228"/>
      <c r="AD671" s="228"/>
      <c r="AE671" s="228"/>
      <c r="AF671" s="228"/>
      <c r="AG671" s="228"/>
      <c r="AH671" s="228"/>
      <c r="AI671" s="228"/>
      <c r="AJ671" s="228"/>
      <c r="AK671" s="228"/>
      <c r="AL671" s="228"/>
      <c r="AM671" s="228"/>
    </row>
    <row r="672">
      <c r="A672" s="228"/>
      <c r="B672" s="228"/>
      <c r="C672" s="228"/>
      <c r="D672" s="228"/>
      <c r="E672" s="228"/>
      <c r="F672" s="228"/>
      <c r="G672" s="228"/>
      <c r="H672" s="241"/>
      <c r="I672" s="228"/>
      <c r="J672" s="228"/>
      <c r="K672" s="228"/>
      <c r="L672" s="228"/>
      <c r="M672" s="228"/>
      <c r="N672" s="228"/>
      <c r="O672" s="236"/>
      <c r="P672" s="228"/>
      <c r="Q672" s="228"/>
      <c r="R672" s="228"/>
      <c r="S672" s="228"/>
      <c r="T672" s="228"/>
      <c r="U672" s="228"/>
      <c r="V672" s="228"/>
      <c r="W672" s="228"/>
      <c r="X672" s="228"/>
      <c r="Y672" s="228"/>
      <c r="Z672" s="228"/>
      <c r="AA672" s="228"/>
      <c r="AB672" s="228"/>
      <c r="AC672" s="228"/>
      <c r="AD672" s="228"/>
      <c r="AE672" s="228"/>
      <c r="AF672" s="228"/>
      <c r="AG672" s="228"/>
      <c r="AH672" s="228"/>
      <c r="AI672" s="228"/>
      <c r="AJ672" s="228"/>
      <c r="AK672" s="228"/>
      <c r="AL672" s="228"/>
      <c r="AM672" s="228"/>
    </row>
    <row r="673">
      <c r="A673" s="228"/>
      <c r="B673" s="228"/>
      <c r="C673" s="228"/>
      <c r="D673" s="228"/>
      <c r="E673" s="228"/>
      <c r="F673" s="228"/>
      <c r="G673" s="228"/>
      <c r="H673" s="241"/>
      <c r="I673" s="228"/>
      <c r="J673" s="228"/>
      <c r="K673" s="228"/>
      <c r="L673" s="228"/>
      <c r="M673" s="228"/>
      <c r="N673" s="228"/>
      <c r="O673" s="236"/>
      <c r="P673" s="228"/>
      <c r="Q673" s="228"/>
      <c r="R673" s="228"/>
      <c r="S673" s="228"/>
      <c r="T673" s="228"/>
      <c r="U673" s="228"/>
      <c r="V673" s="228"/>
      <c r="W673" s="228"/>
      <c r="X673" s="228"/>
      <c r="Y673" s="228"/>
      <c r="Z673" s="228"/>
      <c r="AA673" s="228"/>
      <c r="AB673" s="228"/>
      <c r="AC673" s="228"/>
      <c r="AD673" s="228"/>
      <c r="AE673" s="228"/>
      <c r="AF673" s="228"/>
      <c r="AG673" s="228"/>
      <c r="AH673" s="228"/>
      <c r="AI673" s="228"/>
      <c r="AJ673" s="228"/>
      <c r="AK673" s="228"/>
      <c r="AL673" s="228"/>
      <c r="AM673" s="228"/>
    </row>
    <row r="674">
      <c r="A674" s="228"/>
      <c r="B674" s="228"/>
      <c r="C674" s="228"/>
      <c r="D674" s="228"/>
      <c r="E674" s="228"/>
      <c r="F674" s="228"/>
      <c r="G674" s="228"/>
      <c r="H674" s="241"/>
      <c r="I674" s="228"/>
      <c r="J674" s="228"/>
      <c r="K674" s="228"/>
      <c r="L674" s="228"/>
      <c r="M674" s="228"/>
      <c r="N674" s="228"/>
      <c r="O674" s="236"/>
      <c r="P674" s="228"/>
      <c r="Q674" s="228"/>
      <c r="R674" s="228"/>
      <c r="S674" s="228"/>
      <c r="T674" s="228"/>
      <c r="U674" s="228"/>
      <c r="V674" s="228"/>
      <c r="W674" s="228"/>
      <c r="X674" s="228"/>
      <c r="Y674" s="228"/>
      <c r="Z674" s="228"/>
      <c r="AA674" s="228"/>
      <c r="AB674" s="228"/>
      <c r="AC674" s="228"/>
      <c r="AD674" s="228"/>
      <c r="AE674" s="228"/>
      <c r="AF674" s="228"/>
      <c r="AG674" s="228"/>
      <c r="AH674" s="228"/>
      <c r="AI674" s="228"/>
      <c r="AJ674" s="228"/>
      <c r="AK674" s="228"/>
      <c r="AL674" s="228"/>
      <c r="AM674" s="228"/>
    </row>
    <row r="675">
      <c r="A675" s="228"/>
      <c r="B675" s="228"/>
      <c r="C675" s="228"/>
      <c r="D675" s="228"/>
      <c r="E675" s="228"/>
      <c r="F675" s="228"/>
      <c r="G675" s="228"/>
      <c r="H675" s="241"/>
      <c r="I675" s="228"/>
      <c r="J675" s="228"/>
      <c r="K675" s="228"/>
      <c r="L675" s="228"/>
      <c r="M675" s="228"/>
      <c r="N675" s="228"/>
      <c r="O675" s="236"/>
      <c r="P675" s="228"/>
      <c r="Q675" s="228"/>
      <c r="R675" s="228"/>
      <c r="S675" s="228"/>
      <c r="T675" s="228"/>
      <c r="U675" s="228"/>
      <c r="V675" s="228"/>
      <c r="W675" s="228"/>
      <c r="X675" s="228"/>
      <c r="Y675" s="228"/>
      <c r="Z675" s="228"/>
      <c r="AA675" s="228"/>
      <c r="AB675" s="228"/>
      <c r="AC675" s="228"/>
      <c r="AD675" s="228"/>
      <c r="AE675" s="228"/>
      <c r="AF675" s="228"/>
      <c r="AG675" s="228"/>
      <c r="AH675" s="228"/>
      <c r="AI675" s="228"/>
      <c r="AJ675" s="228"/>
      <c r="AK675" s="228"/>
      <c r="AL675" s="228"/>
      <c r="AM675" s="228"/>
    </row>
    <row r="676">
      <c r="A676" s="228"/>
      <c r="B676" s="228"/>
      <c r="C676" s="228"/>
      <c r="D676" s="228"/>
      <c r="E676" s="228"/>
      <c r="F676" s="228"/>
      <c r="G676" s="228"/>
      <c r="H676" s="241"/>
      <c r="I676" s="228"/>
      <c r="J676" s="228"/>
      <c r="K676" s="228"/>
      <c r="L676" s="228"/>
      <c r="M676" s="228"/>
      <c r="N676" s="228"/>
      <c r="O676" s="236"/>
      <c r="P676" s="228"/>
      <c r="Q676" s="228"/>
      <c r="R676" s="228"/>
      <c r="S676" s="228"/>
      <c r="T676" s="228"/>
      <c r="U676" s="228"/>
      <c r="V676" s="228"/>
      <c r="W676" s="228"/>
      <c r="X676" s="228"/>
      <c r="Y676" s="228"/>
      <c r="Z676" s="228"/>
      <c r="AA676" s="228"/>
      <c r="AB676" s="228"/>
      <c r="AC676" s="228"/>
      <c r="AD676" s="228"/>
      <c r="AE676" s="228"/>
      <c r="AF676" s="228"/>
      <c r="AG676" s="228"/>
      <c r="AH676" s="228"/>
      <c r="AI676" s="228"/>
      <c r="AJ676" s="228"/>
      <c r="AK676" s="228"/>
      <c r="AL676" s="228"/>
      <c r="AM676" s="228"/>
    </row>
    <row r="677">
      <c r="A677" s="228"/>
      <c r="B677" s="228"/>
      <c r="C677" s="228"/>
      <c r="D677" s="228"/>
      <c r="E677" s="228"/>
      <c r="F677" s="228"/>
      <c r="G677" s="228"/>
      <c r="H677" s="241"/>
      <c r="I677" s="228"/>
      <c r="J677" s="228"/>
      <c r="K677" s="228"/>
      <c r="L677" s="228"/>
      <c r="M677" s="228"/>
      <c r="N677" s="228"/>
      <c r="O677" s="236"/>
      <c r="P677" s="228"/>
      <c r="Q677" s="228"/>
      <c r="R677" s="228"/>
      <c r="S677" s="228"/>
      <c r="T677" s="228"/>
      <c r="U677" s="228"/>
      <c r="V677" s="228"/>
      <c r="W677" s="228"/>
      <c r="X677" s="228"/>
      <c r="Y677" s="228"/>
      <c r="Z677" s="228"/>
      <c r="AA677" s="228"/>
      <c r="AB677" s="228"/>
      <c r="AC677" s="228"/>
      <c r="AD677" s="228"/>
      <c r="AE677" s="228"/>
      <c r="AF677" s="228"/>
      <c r="AG677" s="228"/>
      <c r="AH677" s="228"/>
      <c r="AI677" s="228"/>
      <c r="AJ677" s="228"/>
      <c r="AK677" s="228"/>
      <c r="AL677" s="228"/>
      <c r="AM677" s="228"/>
    </row>
    <row r="678">
      <c r="A678" s="228"/>
      <c r="B678" s="228"/>
      <c r="C678" s="228"/>
      <c r="D678" s="228"/>
      <c r="E678" s="228"/>
      <c r="F678" s="228"/>
      <c r="G678" s="228"/>
      <c r="H678" s="241"/>
      <c r="I678" s="228"/>
      <c r="J678" s="228"/>
      <c r="K678" s="228"/>
      <c r="L678" s="228"/>
      <c r="M678" s="228"/>
      <c r="N678" s="228"/>
      <c r="O678" s="236"/>
      <c r="P678" s="228"/>
      <c r="Q678" s="228"/>
      <c r="R678" s="228"/>
      <c r="S678" s="228"/>
      <c r="T678" s="228"/>
      <c r="U678" s="228"/>
      <c r="V678" s="228"/>
      <c r="W678" s="228"/>
      <c r="X678" s="228"/>
      <c r="Y678" s="228"/>
      <c r="Z678" s="228"/>
      <c r="AA678" s="228"/>
      <c r="AB678" s="228"/>
      <c r="AC678" s="228"/>
      <c r="AD678" s="228"/>
      <c r="AE678" s="228"/>
      <c r="AF678" s="228"/>
      <c r="AG678" s="228"/>
      <c r="AH678" s="228"/>
      <c r="AI678" s="228"/>
      <c r="AJ678" s="228"/>
      <c r="AK678" s="228"/>
      <c r="AL678" s="228"/>
      <c r="AM678" s="228"/>
    </row>
    <row r="679">
      <c r="A679" s="228"/>
      <c r="B679" s="228"/>
      <c r="C679" s="228"/>
      <c r="D679" s="228"/>
      <c r="E679" s="228"/>
      <c r="F679" s="228"/>
      <c r="G679" s="228"/>
      <c r="H679" s="241"/>
      <c r="I679" s="228"/>
      <c r="J679" s="228"/>
      <c r="K679" s="228"/>
      <c r="L679" s="228"/>
      <c r="M679" s="228"/>
      <c r="N679" s="228"/>
      <c r="O679" s="236"/>
      <c r="P679" s="228"/>
      <c r="Q679" s="228"/>
      <c r="R679" s="228"/>
      <c r="S679" s="228"/>
      <c r="T679" s="228"/>
      <c r="U679" s="228"/>
      <c r="V679" s="228"/>
      <c r="W679" s="228"/>
      <c r="X679" s="228"/>
      <c r="Y679" s="228"/>
      <c r="Z679" s="228"/>
      <c r="AA679" s="228"/>
      <c r="AB679" s="228"/>
      <c r="AC679" s="228"/>
      <c r="AD679" s="228"/>
      <c r="AE679" s="228"/>
      <c r="AF679" s="228"/>
      <c r="AG679" s="228"/>
      <c r="AH679" s="228"/>
      <c r="AI679" s="228"/>
      <c r="AJ679" s="228"/>
      <c r="AK679" s="228"/>
      <c r="AL679" s="228"/>
      <c r="AM679" s="228"/>
    </row>
    <row r="680">
      <c r="A680" s="228"/>
      <c r="B680" s="228"/>
      <c r="C680" s="228"/>
      <c r="D680" s="228"/>
      <c r="E680" s="228"/>
      <c r="F680" s="228"/>
      <c r="G680" s="228"/>
      <c r="H680" s="241"/>
      <c r="I680" s="228"/>
      <c r="J680" s="228"/>
      <c r="K680" s="228"/>
      <c r="L680" s="228"/>
      <c r="M680" s="228"/>
      <c r="N680" s="228"/>
      <c r="O680" s="236"/>
      <c r="P680" s="228"/>
      <c r="Q680" s="228"/>
      <c r="R680" s="228"/>
      <c r="S680" s="228"/>
      <c r="T680" s="228"/>
      <c r="U680" s="228"/>
      <c r="V680" s="228"/>
      <c r="W680" s="228"/>
      <c r="X680" s="228"/>
      <c r="Y680" s="228"/>
      <c r="Z680" s="228"/>
      <c r="AA680" s="228"/>
      <c r="AB680" s="228"/>
      <c r="AC680" s="228"/>
      <c r="AD680" s="228"/>
      <c r="AE680" s="228"/>
      <c r="AF680" s="228"/>
      <c r="AG680" s="228"/>
      <c r="AH680" s="228"/>
      <c r="AI680" s="228"/>
      <c r="AJ680" s="228"/>
      <c r="AK680" s="228"/>
      <c r="AL680" s="228"/>
      <c r="AM680" s="228"/>
    </row>
    <row r="681">
      <c r="A681" s="228"/>
      <c r="B681" s="228"/>
      <c r="C681" s="228"/>
      <c r="D681" s="228"/>
      <c r="E681" s="228"/>
      <c r="F681" s="228"/>
      <c r="G681" s="228"/>
      <c r="H681" s="241"/>
      <c r="I681" s="228"/>
      <c r="J681" s="228"/>
      <c r="K681" s="228"/>
      <c r="L681" s="228"/>
      <c r="M681" s="228"/>
      <c r="N681" s="228"/>
      <c r="O681" s="236"/>
      <c r="P681" s="228"/>
      <c r="Q681" s="228"/>
      <c r="R681" s="228"/>
      <c r="S681" s="228"/>
      <c r="T681" s="228"/>
      <c r="U681" s="228"/>
      <c r="V681" s="228"/>
      <c r="W681" s="228"/>
      <c r="X681" s="228"/>
      <c r="Y681" s="228"/>
      <c r="Z681" s="228"/>
      <c r="AA681" s="228"/>
      <c r="AB681" s="228"/>
      <c r="AC681" s="228"/>
      <c r="AD681" s="228"/>
      <c r="AE681" s="228"/>
      <c r="AF681" s="228"/>
      <c r="AG681" s="228"/>
      <c r="AH681" s="228"/>
      <c r="AI681" s="228"/>
      <c r="AJ681" s="228"/>
      <c r="AK681" s="228"/>
      <c r="AL681" s="228"/>
      <c r="AM681" s="228"/>
    </row>
    <row r="682">
      <c r="A682" s="228"/>
      <c r="B682" s="228"/>
      <c r="C682" s="228"/>
      <c r="D682" s="228"/>
      <c r="E682" s="228"/>
      <c r="F682" s="228"/>
      <c r="G682" s="228"/>
      <c r="H682" s="241"/>
      <c r="I682" s="228"/>
      <c r="J682" s="228"/>
      <c r="K682" s="228"/>
      <c r="L682" s="228"/>
      <c r="M682" s="228"/>
      <c r="N682" s="228"/>
      <c r="O682" s="236"/>
      <c r="P682" s="228"/>
      <c r="Q682" s="228"/>
      <c r="R682" s="228"/>
      <c r="S682" s="228"/>
      <c r="T682" s="228"/>
      <c r="U682" s="228"/>
      <c r="V682" s="228"/>
      <c r="W682" s="228"/>
      <c r="X682" s="228"/>
      <c r="Y682" s="228"/>
      <c r="Z682" s="228"/>
      <c r="AA682" s="228"/>
      <c r="AB682" s="228"/>
      <c r="AC682" s="228"/>
      <c r="AD682" s="228"/>
      <c r="AE682" s="228"/>
      <c r="AF682" s="228"/>
      <c r="AG682" s="228"/>
      <c r="AH682" s="228"/>
      <c r="AI682" s="228"/>
      <c r="AJ682" s="228"/>
      <c r="AK682" s="228"/>
      <c r="AL682" s="228"/>
      <c r="AM682" s="228"/>
    </row>
    <row r="683">
      <c r="A683" s="228"/>
      <c r="B683" s="228"/>
      <c r="C683" s="228"/>
      <c r="D683" s="228"/>
      <c r="E683" s="228"/>
      <c r="F683" s="228"/>
      <c r="G683" s="228"/>
      <c r="H683" s="241"/>
      <c r="I683" s="228"/>
      <c r="J683" s="228"/>
      <c r="K683" s="228"/>
      <c r="L683" s="228"/>
      <c r="M683" s="228"/>
      <c r="N683" s="228"/>
      <c r="O683" s="236"/>
      <c r="P683" s="228"/>
      <c r="Q683" s="228"/>
      <c r="R683" s="228"/>
      <c r="S683" s="228"/>
      <c r="T683" s="228"/>
      <c r="U683" s="228"/>
      <c r="V683" s="228"/>
      <c r="W683" s="228"/>
      <c r="X683" s="228"/>
      <c r="Y683" s="228"/>
      <c r="Z683" s="228"/>
      <c r="AA683" s="228"/>
      <c r="AB683" s="228"/>
      <c r="AC683" s="228"/>
      <c r="AD683" s="228"/>
      <c r="AE683" s="228"/>
      <c r="AF683" s="228"/>
      <c r="AG683" s="228"/>
      <c r="AH683" s="228"/>
      <c r="AI683" s="228"/>
      <c r="AJ683" s="228"/>
      <c r="AK683" s="228"/>
      <c r="AL683" s="228"/>
      <c r="AM683" s="228"/>
    </row>
    <row r="684">
      <c r="A684" s="228"/>
      <c r="B684" s="228"/>
      <c r="C684" s="228"/>
      <c r="D684" s="228"/>
      <c r="E684" s="228"/>
      <c r="F684" s="228"/>
      <c r="G684" s="228"/>
      <c r="H684" s="241"/>
      <c r="I684" s="228"/>
      <c r="J684" s="228"/>
      <c r="K684" s="228"/>
      <c r="L684" s="228"/>
      <c r="M684" s="228"/>
      <c r="N684" s="228"/>
      <c r="O684" s="236"/>
      <c r="P684" s="228"/>
      <c r="Q684" s="228"/>
      <c r="R684" s="228"/>
      <c r="S684" s="228"/>
      <c r="T684" s="228"/>
      <c r="U684" s="228"/>
      <c r="V684" s="228"/>
      <c r="W684" s="228"/>
      <c r="X684" s="228"/>
      <c r="Y684" s="228"/>
      <c r="Z684" s="228"/>
      <c r="AA684" s="228"/>
      <c r="AB684" s="228"/>
      <c r="AC684" s="228"/>
      <c r="AD684" s="228"/>
      <c r="AE684" s="228"/>
      <c r="AF684" s="228"/>
      <c r="AG684" s="228"/>
      <c r="AH684" s="228"/>
      <c r="AI684" s="228"/>
      <c r="AJ684" s="228"/>
      <c r="AK684" s="228"/>
      <c r="AL684" s="228"/>
      <c r="AM684" s="228"/>
    </row>
    <row r="685">
      <c r="A685" s="228"/>
      <c r="B685" s="228"/>
      <c r="C685" s="228"/>
      <c r="D685" s="228"/>
      <c r="E685" s="228"/>
      <c r="F685" s="228"/>
      <c r="G685" s="228"/>
      <c r="H685" s="241"/>
      <c r="I685" s="228"/>
      <c r="J685" s="228"/>
      <c r="K685" s="228"/>
      <c r="L685" s="228"/>
      <c r="M685" s="228"/>
      <c r="N685" s="228"/>
      <c r="O685" s="236"/>
      <c r="P685" s="228"/>
      <c r="Q685" s="228"/>
      <c r="R685" s="228"/>
      <c r="S685" s="228"/>
      <c r="T685" s="228"/>
      <c r="U685" s="228"/>
      <c r="V685" s="228"/>
      <c r="W685" s="228"/>
      <c r="X685" s="228"/>
      <c r="Y685" s="228"/>
      <c r="Z685" s="228"/>
      <c r="AA685" s="228"/>
      <c r="AB685" s="228"/>
      <c r="AC685" s="228"/>
      <c r="AD685" s="228"/>
      <c r="AE685" s="228"/>
      <c r="AF685" s="228"/>
      <c r="AG685" s="228"/>
      <c r="AH685" s="228"/>
      <c r="AI685" s="228"/>
      <c r="AJ685" s="228"/>
      <c r="AK685" s="228"/>
      <c r="AL685" s="228"/>
      <c r="AM685" s="228"/>
    </row>
    <row r="686">
      <c r="A686" s="228"/>
      <c r="B686" s="228"/>
      <c r="C686" s="228"/>
      <c r="D686" s="228"/>
      <c r="E686" s="228"/>
      <c r="F686" s="228"/>
      <c r="G686" s="228"/>
      <c r="H686" s="241"/>
      <c r="I686" s="228"/>
      <c r="J686" s="228"/>
      <c r="K686" s="228"/>
      <c r="L686" s="228"/>
      <c r="M686" s="228"/>
      <c r="N686" s="228"/>
      <c r="O686" s="236"/>
      <c r="P686" s="228"/>
      <c r="Q686" s="228"/>
      <c r="R686" s="228"/>
      <c r="S686" s="228"/>
      <c r="T686" s="228"/>
      <c r="U686" s="228"/>
      <c r="V686" s="228"/>
      <c r="W686" s="228"/>
      <c r="X686" s="228"/>
      <c r="Y686" s="228"/>
      <c r="Z686" s="228"/>
      <c r="AA686" s="228"/>
      <c r="AB686" s="228"/>
      <c r="AC686" s="228"/>
      <c r="AD686" s="228"/>
      <c r="AE686" s="228"/>
      <c r="AF686" s="228"/>
      <c r="AG686" s="228"/>
      <c r="AH686" s="228"/>
      <c r="AI686" s="228"/>
      <c r="AJ686" s="228"/>
      <c r="AK686" s="228"/>
      <c r="AL686" s="228"/>
      <c r="AM686" s="228"/>
    </row>
    <row r="687">
      <c r="A687" s="228"/>
      <c r="B687" s="228"/>
      <c r="C687" s="228"/>
      <c r="D687" s="228"/>
      <c r="E687" s="228"/>
      <c r="F687" s="228"/>
      <c r="G687" s="228"/>
      <c r="H687" s="241"/>
      <c r="I687" s="228"/>
      <c r="J687" s="228"/>
      <c r="K687" s="228"/>
      <c r="L687" s="228"/>
      <c r="M687" s="228"/>
      <c r="N687" s="228"/>
      <c r="O687" s="236"/>
      <c r="P687" s="228"/>
      <c r="Q687" s="228"/>
      <c r="R687" s="228"/>
      <c r="S687" s="228"/>
      <c r="T687" s="228"/>
      <c r="U687" s="228"/>
      <c r="V687" s="228"/>
      <c r="W687" s="228"/>
      <c r="X687" s="228"/>
      <c r="Y687" s="228"/>
      <c r="Z687" s="228"/>
      <c r="AA687" s="228"/>
      <c r="AB687" s="228"/>
      <c r="AC687" s="228"/>
      <c r="AD687" s="228"/>
      <c r="AE687" s="228"/>
      <c r="AF687" s="228"/>
      <c r="AG687" s="228"/>
      <c r="AH687" s="228"/>
      <c r="AI687" s="228"/>
      <c r="AJ687" s="228"/>
      <c r="AK687" s="228"/>
      <c r="AL687" s="228"/>
      <c r="AM687" s="228"/>
    </row>
    <row r="688">
      <c r="A688" s="228"/>
      <c r="B688" s="228"/>
      <c r="C688" s="228"/>
      <c r="D688" s="228"/>
      <c r="E688" s="228"/>
      <c r="F688" s="228"/>
      <c r="G688" s="228"/>
      <c r="H688" s="241"/>
      <c r="I688" s="228"/>
      <c r="J688" s="228"/>
      <c r="K688" s="228"/>
      <c r="L688" s="228"/>
      <c r="M688" s="228"/>
      <c r="N688" s="228"/>
      <c r="O688" s="236"/>
      <c r="P688" s="228"/>
      <c r="Q688" s="228"/>
      <c r="R688" s="228"/>
      <c r="S688" s="228"/>
      <c r="T688" s="228"/>
      <c r="U688" s="228"/>
      <c r="V688" s="228"/>
      <c r="W688" s="228"/>
      <c r="X688" s="228"/>
      <c r="Y688" s="228"/>
      <c r="Z688" s="228"/>
      <c r="AA688" s="228"/>
      <c r="AB688" s="228"/>
      <c r="AC688" s="228"/>
      <c r="AD688" s="228"/>
      <c r="AE688" s="228"/>
      <c r="AF688" s="228"/>
      <c r="AG688" s="228"/>
      <c r="AH688" s="228"/>
      <c r="AI688" s="228"/>
      <c r="AJ688" s="228"/>
      <c r="AK688" s="228"/>
      <c r="AL688" s="228"/>
      <c r="AM688" s="228"/>
    </row>
    <row r="689">
      <c r="A689" s="228"/>
      <c r="B689" s="228"/>
      <c r="C689" s="228"/>
      <c r="D689" s="228"/>
      <c r="E689" s="228"/>
      <c r="F689" s="228"/>
      <c r="G689" s="228"/>
      <c r="H689" s="241"/>
      <c r="I689" s="228"/>
      <c r="J689" s="228"/>
      <c r="K689" s="228"/>
      <c r="L689" s="228"/>
      <c r="M689" s="228"/>
      <c r="N689" s="228"/>
      <c r="O689" s="236"/>
      <c r="P689" s="228"/>
      <c r="Q689" s="228"/>
      <c r="R689" s="228"/>
      <c r="S689" s="228"/>
      <c r="T689" s="228"/>
      <c r="U689" s="228"/>
      <c r="V689" s="228"/>
      <c r="W689" s="228"/>
      <c r="X689" s="228"/>
      <c r="Y689" s="228"/>
      <c r="Z689" s="228"/>
      <c r="AA689" s="228"/>
      <c r="AB689" s="228"/>
      <c r="AC689" s="228"/>
      <c r="AD689" s="228"/>
      <c r="AE689" s="228"/>
      <c r="AF689" s="228"/>
      <c r="AG689" s="228"/>
      <c r="AH689" s="228"/>
      <c r="AI689" s="228"/>
      <c r="AJ689" s="228"/>
      <c r="AK689" s="228"/>
      <c r="AL689" s="228"/>
      <c r="AM689" s="228"/>
    </row>
    <row r="690">
      <c r="A690" s="228"/>
      <c r="B690" s="228"/>
      <c r="C690" s="228"/>
      <c r="D690" s="228"/>
      <c r="E690" s="228"/>
      <c r="F690" s="228"/>
      <c r="G690" s="228"/>
      <c r="H690" s="241"/>
      <c r="I690" s="228"/>
      <c r="J690" s="228"/>
      <c r="K690" s="228"/>
      <c r="L690" s="228"/>
      <c r="M690" s="228"/>
      <c r="N690" s="228"/>
      <c r="O690" s="236"/>
      <c r="P690" s="228"/>
      <c r="Q690" s="228"/>
      <c r="R690" s="228"/>
      <c r="S690" s="228"/>
      <c r="T690" s="228"/>
      <c r="U690" s="228"/>
      <c r="V690" s="228"/>
      <c r="W690" s="228"/>
      <c r="X690" s="228"/>
      <c r="Y690" s="228"/>
      <c r="Z690" s="228"/>
      <c r="AA690" s="228"/>
      <c r="AB690" s="228"/>
      <c r="AC690" s="228"/>
      <c r="AD690" s="228"/>
      <c r="AE690" s="228"/>
      <c r="AF690" s="228"/>
      <c r="AG690" s="228"/>
      <c r="AH690" s="228"/>
      <c r="AI690" s="228"/>
      <c r="AJ690" s="228"/>
      <c r="AK690" s="228"/>
      <c r="AL690" s="228"/>
      <c r="AM690" s="228"/>
    </row>
    <row r="691">
      <c r="A691" s="228"/>
      <c r="B691" s="228"/>
      <c r="C691" s="228"/>
      <c r="D691" s="228"/>
      <c r="E691" s="228"/>
      <c r="F691" s="228"/>
      <c r="G691" s="228"/>
      <c r="H691" s="241"/>
      <c r="I691" s="228"/>
      <c r="J691" s="228"/>
      <c r="K691" s="228"/>
      <c r="L691" s="228"/>
      <c r="M691" s="228"/>
      <c r="N691" s="228"/>
      <c r="O691" s="236"/>
      <c r="P691" s="228"/>
      <c r="Q691" s="228"/>
      <c r="R691" s="228"/>
      <c r="S691" s="228"/>
      <c r="T691" s="228"/>
      <c r="U691" s="228"/>
      <c r="V691" s="228"/>
      <c r="W691" s="228"/>
      <c r="X691" s="228"/>
      <c r="Y691" s="228"/>
      <c r="Z691" s="228"/>
      <c r="AA691" s="228"/>
      <c r="AB691" s="228"/>
      <c r="AC691" s="228"/>
      <c r="AD691" s="228"/>
      <c r="AE691" s="228"/>
      <c r="AF691" s="228"/>
      <c r="AG691" s="228"/>
      <c r="AH691" s="228"/>
      <c r="AI691" s="228"/>
      <c r="AJ691" s="228"/>
      <c r="AK691" s="228"/>
      <c r="AL691" s="228"/>
      <c r="AM691" s="228"/>
    </row>
    <row r="692">
      <c r="A692" s="228"/>
      <c r="B692" s="228"/>
      <c r="C692" s="228"/>
      <c r="D692" s="228"/>
      <c r="E692" s="228"/>
      <c r="F692" s="228"/>
      <c r="G692" s="228"/>
      <c r="H692" s="241"/>
      <c r="I692" s="228"/>
      <c r="J692" s="228"/>
      <c r="K692" s="228"/>
      <c r="L692" s="228"/>
      <c r="M692" s="228"/>
      <c r="N692" s="228"/>
      <c r="O692" s="236"/>
      <c r="P692" s="228"/>
      <c r="Q692" s="228"/>
      <c r="R692" s="228"/>
      <c r="S692" s="228"/>
      <c r="T692" s="228"/>
      <c r="U692" s="228"/>
      <c r="V692" s="228"/>
      <c r="W692" s="228"/>
      <c r="X692" s="228"/>
      <c r="Y692" s="228"/>
      <c r="Z692" s="228"/>
      <c r="AA692" s="228"/>
      <c r="AB692" s="228"/>
      <c r="AC692" s="228"/>
      <c r="AD692" s="228"/>
      <c r="AE692" s="228"/>
      <c r="AF692" s="228"/>
      <c r="AG692" s="228"/>
      <c r="AH692" s="228"/>
      <c r="AI692" s="228"/>
      <c r="AJ692" s="228"/>
      <c r="AK692" s="228"/>
      <c r="AL692" s="228"/>
      <c r="AM692" s="228"/>
    </row>
    <row r="693">
      <c r="A693" s="228"/>
      <c r="B693" s="228"/>
      <c r="C693" s="228"/>
      <c r="D693" s="228"/>
      <c r="E693" s="228"/>
      <c r="F693" s="228"/>
      <c r="G693" s="228"/>
      <c r="H693" s="241"/>
      <c r="I693" s="228"/>
      <c r="J693" s="228"/>
      <c r="K693" s="228"/>
      <c r="L693" s="228"/>
      <c r="M693" s="228"/>
      <c r="N693" s="228"/>
      <c r="O693" s="236"/>
      <c r="P693" s="228"/>
      <c r="Q693" s="228"/>
      <c r="R693" s="228"/>
      <c r="S693" s="228"/>
      <c r="T693" s="228"/>
      <c r="U693" s="228"/>
      <c r="V693" s="228"/>
      <c r="W693" s="228"/>
      <c r="X693" s="228"/>
      <c r="Y693" s="228"/>
      <c r="Z693" s="228"/>
      <c r="AA693" s="228"/>
      <c r="AB693" s="228"/>
      <c r="AC693" s="228"/>
      <c r="AD693" s="228"/>
      <c r="AE693" s="228"/>
      <c r="AF693" s="228"/>
      <c r="AG693" s="228"/>
      <c r="AH693" s="228"/>
      <c r="AI693" s="228"/>
      <c r="AJ693" s="228"/>
      <c r="AK693" s="228"/>
      <c r="AL693" s="228"/>
      <c r="AM693" s="228"/>
    </row>
    <row r="694">
      <c r="A694" s="228"/>
      <c r="B694" s="228"/>
      <c r="C694" s="228"/>
      <c r="D694" s="228"/>
      <c r="E694" s="228"/>
      <c r="F694" s="228"/>
      <c r="G694" s="228"/>
      <c r="H694" s="241"/>
      <c r="I694" s="228"/>
      <c r="J694" s="228"/>
      <c r="K694" s="228"/>
      <c r="L694" s="228"/>
      <c r="M694" s="228"/>
      <c r="N694" s="228"/>
      <c r="O694" s="236"/>
      <c r="P694" s="228"/>
      <c r="Q694" s="228"/>
      <c r="R694" s="228"/>
      <c r="S694" s="228"/>
      <c r="T694" s="228"/>
      <c r="U694" s="228"/>
      <c r="V694" s="228"/>
      <c r="W694" s="228"/>
      <c r="X694" s="228"/>
      <c r="Y694" s="228"/>
      <c r="Z694" s="228"/>
      <c r="AA694" s="228"/>
      <c r="AB694" s="228"/>
      <c r="AC694" s="228"/>
      <c r="AD694" s="228"/>
      <c r="AE694" s="228"/>
      <c r="AF694" s="228"/>
      <c r="AG694" s="228"/>
      <c r="AH694" s="228"/>
      <c r="AI694" s="228"/>
      <c r="AJ694" s="228"/>
      <c r="AK694" s="228"/>
      <c r="AL694" s="228"/>
      <c r="AM694" s="228"/>
    </row>
    <row r="695">
      <c r="A695" s="228"/>
      <c r="B695" s="228"/>
      <c r="C695" s="228"/>
      <c r="D695" s="228"/>
      <c r="E695" s="228"/>
      <c r="F695" s="228"/>
      <c r="G695" s="228"/>
      <c r="H695" s="241"/>
      <c r="I695" s="228"/>
      <c r="J695" s="228"/>
      <c r="K695" s="228"/>
      <c r="L695" s="228"/>
      <c r="M695" s="228"/>
      <c r="N695" s="228"/>
      <c r="O695" s="236"/>
      <c r="P695" s="228"/>
      <c r="Q695" s="228"/>
      <c r="R695" s="228"/>
      <c r="S695" s="228"/>
      <c r="T695" s="228"/>
      <c r="U695" s="228"/>
      <c r="V695" s="228"/>
      <c r="W695" s="228"/>
      <c r="X695" s="228"/>
      <c r="Y695" s="228"/>
      <c r="Z695" s="228"/>
      <c r="AA695" s="228"/>
      <c r="AB695" s="228"/>
      <c r="AC695" s="228"/>
      <c r="AD695" s="228"/>
      <c r="AE695" s="228"/>
      <c r="AF695" s="228"/>
      <c r="AG695" s="228"/>
      <c r="AH695" s="228"/>
      <c r="AI695" s="228"/>
      <c r="AJ695" s="228"/>
      <c r="AK695" s="228"/>
      <c r="AL695" s="228"/>
      <c r="AM695" s="228"/>
    </row>
    <row r="696">
      <c r="A696" s="228"/>
      <c r="B696" s="228"/>
      <c r="C696" s="228"/>
      <c r="D696" s="228"/>
      <c r="E696" s="228"/>
      <c r="F696" s="228"/>
      <c r="G696" s="228"/>
      <c r="H696" s="241"/>
      <c r="I696" s="228"/>
      <c r="J696" s="228"/>
      <c r="K696" s="228"/>
      <c r="L696" s="228"/>
      <c r="M696" s="228"/>
      <c r="N696" s="228"/>
      <c r="O696" s="236"/>
      <c r="P696" s="228"/>
      <c r="Q696" s="228"/>
      <c r="R696" s="228"/>
      <c r="S696" s="228"/>
      <c r="T696" s="228"/>
      <c r="U696" s="228"/>
      <c r="V696" s="228"/>
      <c r="W696" s="228"/>
      <c r="X696" s="228"/>
      <c r="Y696" s="228"/>
      <c r="Z696" s="228"/>
      <c r="AA696" s="228"/>
      <c r="AB696" s="228"/>
      <c r="AC696" s="228"/>
      <c r="AD696" s="228"/>
      <c r="AE696" s="228"/>
      <c r="AF696" s="228"/>
      <c r="AG696" s="228"/>
      <c r="AH696" s="228"/>
      <c r="AI696" s="228"/>
      <c r="AJ696" s="228"/>
      <c r="AK696" s="228"/>
      <c r="AL696" s="228"/>
      <c r="AM696" s="228"/>
    </row>
    <row r="697">
      <c r="A697" s="228"/>
      <c r="B697" s="228"/>
      <c r="C697" s="228"/>
      <c r="D697" s="228"/>
      <c r="E697" s="228"/>
      <c r="F697" s="228"/>
      <c r="G697" s="228"/>
      <c r="H697" s="241"/>
      <c r="I697" s="228"/>
      <c r="J697" s="228"/>
      <c r="K697" s="228"/>
      <c r="L697" s="228"/>
      <c r="M697" s="228"/>
      <c r="N697" s="228"/>
      <c r="O697" s="236"/>
      <c r="P697" s="228"/>
      <c r="Q697" s="228"/>
      <c r="R697" s="228"/>
      <c r="S697" s="228"/>
      <c r="T697" s="228"/>
      <c r="U697" s="228"/>
      <c r="V697" s="228"/>
      <c r="W697" s="228"/>
      <c r="X697" s="228"/>
      <c r="Y697" s="228"/>
      <c r="Z697" s="228"/>
      <c r="AA697" s="228"/>
      <c r="AB697" s="228"/>
      <c r="AC697" s="228"/>
      <c r="AD697" s="228"/>
      <c r="AE697" s="228"/>
      <c r="AF697" s="228"/>
      <c r="AG697" s="228"/>
      <c r="AH697" s="228"/>
      <c r="AI697" s="228"/>
      <c r="AJ697" s="228"/>
      <c r="AK697" s="228"/>
      <c r="AL697" s="228"/>
      <c r="AM697" s="228"/>
    </row>
    <row r="698">
      <c r="A698" s="228"/>
      <c r="B698" s="228"/>
      <c r="C698" s="228"/>
      <c r="D698" s="228"/>
      <c r="E698" s="228"/>
      <c r="F698" s="228"/>
      <c r="G698" s="228"/>
      <c r="H698" s="241"/>
      <c r="I698" s="228"/>
      <c r="J698" s="228"/>
      <c r="K698" s="228"/>
      <c r="L698" s="228"/>
      <c r="M698" s="228"/>
      <c r="N698" s="228"/>
      <c r="O698" s="236"/>
      <c r="P698" s="228"/>
      <c r="Q698" s="228"/>
      <c r="R698" s="228"/>
      <c r="S698" s="228"/>
      <c r="T698" s="228"/>
      <c r="U698" s="228"/>
      <c r="V698" s="228"/>
      <c r="W698" s="228"/>
      <c r="X698" s="228"/>
      <c r="Y698" s="228"/>
      <c r="Z698" s="228"/>
      <c r="AA698" s="228"/>
      <c r="AB698" s="228"/>
      <c r="AC698" s="228"/>
      <c r="AD698" s="228"/>
      <c r="AE698" s="228"/>
      <c r="AF698" s="228"/>
      <c r="AG698" s="228"/>
      <c r="AH698" s="228"/>
      <c r="AI698" s="228"/>
      <c r="AJ698" s="228"/>
      <c r="AK698" s="228"/>
      <c r="AL698" s="228"/>
      <c r="AM698" s="228"/>
    </row>
    <row r="699">
      <c r="A699" s="228"/>
      <c r="B699" s="228"/>
      <c r="C699" s="228"/>
      <c r="D699" s="228"/>
      <c r="E699" s="228"/>
      <c r="F699" s="228"/>
      <c r="G699" s="228"/>
      <c r="H699" s="241"/>
      <c r="I699" s="228"/>
      <c r="J699" s="228"/>
      <c r="K699" s="228"/>
      <c r="L699" s="228"/>
      <c r="M699" s="228"/>
      <c r="N699" s="228"/>
      <c r="O699" s="236"/>
      <c r="P699" s="228"/>
      <c r="Q699" s="228"/>
      <c r="R699" s="228"/>
      <c r="S699" s="228"/>
      <c r="T699" s="228"/>
      <c r="U699" s="228"/>
      <c r="V699" s="228"/>
      <c r="W699" s="228"/>
      <c r="X699" s="228"/>
      <c r="Y699" s="228"/>
      <c r="Z699" s="228"/>
      <c r="AA699" s="228"/>
      <c r="AB699" s="228"/>
      <c r="AC699" s="228"/>
      <c r="AD699" s="228"/>
      <c r="AE699" s="228"/>
      <c r="AF699" s="228"/>
      <c r="AG699" s="228"/>
      <c r="AH699" s="228"/>
      <c r="AI699" s="228"/>
      <c r="AJ699" s="228"/>
      <c r="AK699" s="228"/>
      <c r="AL699" s="228"/>
      <c r="AM699" s="228"/>
    </row>
    <row r="700">
      <c r="A700" s="228"/>
      <c r="B700" s="228"/>
      <c r="C700" s="228"/>
      <c r="D700" s="228"/>
      <c r="E700" s="228"/>
      <c r="F700" s="228"/>
      <c r="G700" s="228"/>
      <c r="H700" s="241"/>
      <c r="I700" s="228"/>
      <c r="J700" s="228"/>
      <c r="K700" s="228"/>
      <c r="L700" s="228"/>
      <c r="M700" s="228"/>
      <c r="N700" s="228"/>
      <c r="O700" s="236"/>
      <c r="P700" s="228"/>
      <c r="Q700" s="228"/>
      <c r="R700" s="228"/>
      <c r="S700" s="228"/>
      <c r="T700" s="228"/>
      <c r="U700" s="228"/>
      <c r="V700" s="228"/>
      <c r="W700" s="228"/>
      <c r="X700" s="228"/>
      <c r="Y700" s="228"/>
      <c r="Z700" s="228"/>
      <c r="AA700" s="228"/>
      <c r="AB700" s="228"/>
      <c r="AC700" s="228"/>
      <c r="AD700" s="228"/>
      <c r="AE700" s="228"/>
      <c r="AF700" s="228"/>
      <c r="AG700" s="228"/>
      <c r="AH700" s="228"/>
      <c r="AI700" s="228"/>
      <c r="AJ700" s="228"/>
      <c r="AK700" s="228"/>
      <c r="AL700" s="228"/>
      <c r="AM700" s="228"/>
    </row>
    <row r="701">
      <c r="A701" s="228"/>
      <c r="B701" s="228"/>
      <c r="C701" s="228"/>
      <c r="D701" s="228"/>
      <c r="E701" s="228"/>
      <c r="F701" s="228"/>
      <c r="G701" s="228"/>
      <c r="H701" s="241"/>
      <c r="I701" s="228"/>
      <c r="J701" s="228"/>
      <c r="K701" s="228"/>
      <c r="L701" s="228"/>
      <c r="M701" s="228"/>
      <c r="N701" s="228"/>
      <c r="O701" s="236"/>
      <c r="P701" s="228"/>
      <c r="Q701" s="228"/>
      <c r="R701" s="228"/>
      <c r="S701" s="228"/>
      <c r="T701" s="228"/>
      <c r="U701" s="228"/>
      <c r="V701" s="228"/>
      <c r="W701" s="228"/>
      <c r="X701" s="228"/>
      <c r="Y701" s="228"/>
      <c r="Z701" s="228"/>
      <c r="AA701" s="228"/>
      <c r="AB701" s="228"/>
      <c r="AC701" s="228"/>
      <c r="AD701" s="228"/>
      <c r="AE701" s="228"/>
      <c r="AF701" s="228"/>
      <c r="AG701" s="228"/>
      <c r="AH701" s="228"/>
      <c r="AI701" s="228"/>
      <c r="AJ701" s="228"/>
      <c r="AK701" s="228"/>
      <c r="AL701" s="228"/>
      <c r="AM701" s="228"/>
    </row>
    <row r="702">
      <c r="A702" s="228"/>
      <c r="B702" s="228"/>
      <c r="C702" s="228"/>
      <c r="D702" s="228"/>
      <c r="E702" s="228"/>
      <c r="F702" s="228"/>
      <c r="G702" s="228"/>
      <c r="H702" s="241"/>
      <c r="I702" s="228"/>
      <c r="J702" s="228"/>
      <c r="K702" s="228"/>
      <c r="L702" s="228"/>
      <c r="M702" s="228"/>
      <c r="N702" s="228"/>
      <c r="O702" s="236"/>
      <c r="P702" s="228"/>
      <c r="Q702" s="228"/>
      <c r="R702" s="228"/>
      <c r="S702" s="228"/>
      <c r="T702" s="228"/>
      <c r="U702" s="228"/>
      <c r="V702" s="228"/>
      <c r="W702" s="228"/>
      <c r="X702" s="228"/>
      <c r="Y702" s="228"/>
      <c r="Z702" s="228"/>
      <c r="AA702" s="228"/>
      <c r="AB702" s="228"/>
      <c r="AC702" s="228"/>
      <c r="AD702" s="228"/>
      <c r="AE702" s="228"/>
      <c r="AF702" s="228"/>
      <c r="AG702" s="228"/>
      <c r="AH702" s="228"/>
      <c r="AI702" s="228"/>
      <c r="AJ702" s="228"/>
      <c r="AK702" s="228"/>
      <c r="AL702" s="228"/>
      <c r="AM702" s="228"/>
    </row>
    <row r="703">
      <c r="A703" s="228"/>
      <c r="B703" s="228"/>
      <c r="C703" s="228"/>
      <c r="D703" s="228"/>
      <c r="E703" s="228"/>
      <c r="F703" s="228"/>
      <c r="G703" s="228"/>
      <c r="H703" s="241"/>
      <c r="I703" s="228"/>
      <c r="J703" s="228"/>
      <c r="K703" s="228"/>
      <c r="L703" s="228"/>
      <c r="M703" s="228"/>
      <c r="N703" s="228"/>
      <c r="O703" s="236"/>
      <c r="P703" s="228"/>
      <c r="Q703" s="228"/>
      <c r="R703" s="228"/>
      <c r="S703" s="228"/>
      <c r="T703" s="228"/>
      <c r="U703" s="228"/>
      <c r="V703" s="228"/>
      <c r="W703" s="228"/>
      <c r="X703" s="228"/>
      <c r="Y703" s="228"/>
      <c r="Z703" s="228"/>
      <c r="AA703" s="228"/>
      <c r="AB703" s="228"/>
      <c r="AC703" s="228"/>
      <c r="AD703" s="228"/>
      <c r="AE703" s="228"/>
      <c r="AF703" s="228"/>
      <c r="AG703" s="228"/>
      <c r="AH703" s="228"/>
      <c r="AI703" s="228"/>
      <c r="AJ703" s="228"/>
      <c r="AK703" s="228"/>
      <c r="AL703" s="228"/>
      <c r="AM703" s="228"/>
    </row>
    <row r="704">
      <c r="A704" s="228"/>
      <c r="B704" s="228"/>
      <c r="C704" s="228"/>
      <c r="D704" s="228"/>
      <c r="E704" s="228"/>
      <c r="F704" s="228"/>
      <c r="G704" s="228"/>
      <c r="H704" s="241"/>
      <c r="I704" s="228"/>
      <c r="J704" s="228"/>
      <c r="K704" s="228"/>
      <c r="L704" s="228"/>
      <c r="M704" s="228"/>
      <c r="N704" s="228"/>
      <c r="O704" s="236"/>
      <c r="P704" s="228"/>
      <c r="Q704" s="228"/>
      <c r="R704" s="228"/>
      <c r="S704" s="228"/>
      <c r="T704" s="228"/>
      <c r="U704" s="228"/>
      <c r="V704" s="228"/>
      <c r="W704" s="228"/>
      <c r="X704" s="228"/>
      <c r="Y704" s="228"/>
      <c r="Z704" s="228"/>
      <c r="AA704" s="228"/>
      <c r="AB704" s="228"/>
      <c r="AC704" s="228"/>
      <c r="AD704" s="228"/>
      <c r="AE704" s="228"/>
      <c r="AF704" s="228"/>
      <c r="AG704" s="228"/>
      <c r="AH704" s="228"/>
      <c r="AI704" s="228"/>
      <c r="AJ704" s="228"/>
      <c r="AK704" s="228"/>
      <c r="AL704" s="228"/>
      <c r="AM704" s="228"/>
    </row>
    <row r="705">
      <c r="A705" s="228"/>
      <c r="B705" s="228"/>
      <c r="C705" s="228"/>
      <c r="D705" s="228"/>
      <c r="E705" s="228"/>
      <c r="F705" s="228"/>
      <c r="G705" s="228"/>
      <c r="H705" s="241"/>
      <c r="I705" s="228"/>
      <c r="J705" s="228"/>
      <c r="K705" s="228"/>
      <c r="L705" s="228"/>
      <c r="M705" s="228"/>
      <c r="N705" s="228"/>
      <c r="O705" s="236"/>
      <c r="P705" s="228"/>
      <c r="Q705" s="228"/>
      <c r="R705" s="228"/>
      <c r="S705" s="228"/>
      <c r="T705" s="228"/>
      <c r="U705" s="228"/>
      <c r="V705" s="228"/>
      <c r="W705" s="228"/>
      <c r="X705" s="228"/>
      <c r="Y705" s="228"/>
      <c r="Z705" s="228"/>
      <c r="AA705" s="228"/>
      <c r="AB705" s="228"/>
      <c r="AC705" s="228"/>
      <c r="AD705" s="228"/>
      <c r="AE705" s="228"/>
      <c r="AF705" s="228"/>
      <c r="AG705" s="228"/>
      <c r="AH705" s="228"/>
      <c r="AI705" s="228"/>
      <c r="AJ705" s="228"/>
      <c r="AK705" s="228"/>
      <c r="AL705" s="228"/>
      <c r="AM705" s="228"/>
    </row>
    <row r="706">
      <c r="A706" s="228"/>
      <c r="B706" s="228"/>
      <c r="C706" s="228"/>
      <c r="D706" s="228"/>
      <c r="E706" s="228"/>
      <c r="F706" s="228"/>
      <c r="G706" s="228"/>
      <c r="H706" s="241"/>
      <c r="I706" s="228"/>
      <c r="J706" s="228"/>
      <c r="K706" s="228"/>
      <c r="L706" s="228"/>
      <c r="M706" s="228"/>
      <c r="N706" s="228"/>
      <c r="O706" s="236"/>
      <c r="P706" s="228"/>
      <c r="Q706" s="228"/>
      <c r="R706" s="228"/>
      <c r="S706" s="228"/>
      <c r="T706" s="228"/>
      <c r="U706" s="228"/>
      <c r="V706" s="228"/>
      <c r="W706" s="228"/>
      <c r="X706" s="228"/>
      <c r="Y706" s="228"/>
      <c r="Z706" s="228"/>
      <c r="AA706" s="228"/>
      <c r="AB706" s="228"/>
      <c r="AC706" s="228"/>
      <c r="AD706" s="228"/>
      <c r="AE706" s="228"/>
      <c r="AF706" s="228"/>
      <c r="AG706" s="228"/>
      <c r="AH706" s="228"/>
      <c r="AI706" s="228"/>
      <c r="AJ706" s="228"/>
      <c r="AK706" s="228"/>
      <c r="AL706" s="228"/>
      <c r="AM706" s="228"/>
    </row>
    <row r="707">
      <c r="A707" s="228"/>
      <c r="B707" s="228"/>
      <c r="C707" s="228"/>
      <c r="D707" s="228"/>
      <c r="E707" s="228"/>
      <c r="F707" s="228"/>
      <c r="G707" s="228"/>
      <c r="H707" s="241"/>
      <c r="I707" s="228"/>
      <c r="J707" s="228"/>
      <c r="K707" s="228"/>
      <c r="L707" s="228"/>
      <c r="M707" s="228"/>
      <c r="N707" s="228"/>
      <c r="O707" s="236"/>
      <c r="P707" s="228"/>
      <c r="Q707" s="228"/>
      <c r="R707" s="228"/>
      <c r="S707" s="228"/>
      <c r="T707" s="228"/>
      <c r="U707" s="228"/>
      <c r="V707" s="228"/>
      <c r="W707" s="228"/>
      <c r="X707" s="228"/>
      <c r="Y707" s="228"/>
      <c r="Z707" s="228"/>
      <c r="AA707" s="228"/>
      <c r="AB707" s="228"/>
      <c r="AC707" s="228"/>
      <c r="AD707" s="228"/>
      <c r="AE707" s="228"/>
      <c r="AF707" s="228"/>
      <c r="AG707" s="228"/>
      <c r="AH707" s="228"/>
      <c r="AI707" s="228"/>
      <c r="AJ707" s="228"/>
      <c r="AK707" s="228"/>
      <c r="AL707" s="228"/>
      <c r="AM707" s="228"/>
    </row>
    <row r="708">
      <c r="A708" s="228"/>
      <c r="B708" s="228"/>
      <c r="C708" s="228"/>
      <c r="D708" s="228"/>
      <c r="E708" s="228"/>
      <c r="F708" s="228"/>
      <c r="G708" s="228"/>
      <c r="H708" s="241"/>
      <c r="I708" s="228"/>
      <c r="J708" s="228"/>
      <c r="K708" s="228"/>
      <c r="L708" s="228"/>
      <c r="M708" s="228"/>
      <c r="N708" s="228"/>
      <c r="O708" s="236"/>
      <c r="P708" s="228"/>
      <c r="Q708" s="228"/>
      <c r="R708" s="228"/>
      <c r="S708" s="228"/>
      <c r="T708" s="228"/>
      <c r="U708" s="228"/>
      <c r="V708" s="228"/>
      <c r="W708" s="228"/>
      <c r="X708" s="228"/>
      <c r="Y708" s="228"/>
      <c r="Z708" s="228"/>
      <c r="AA708" s="228"/>
      <c r="AB708" s="228"/>
      <c r="AC708" s="228"/>
      <c r="AD708" s="228"/>
      <c r="AE708" s="228"/>
      <c r="AF708" s="228"/>
      <c r="AG708" s="228"/>
      <c r="AH708" s="228"/>
      <c r="AI708" s="228"/>
      <c r="AJ708" s="228"/>
      <c r="AK708" s="228"/>
      <c r="AL708" s="228"/>
      <c r="AM708" s="228"/>
    </row>
    <row r="709">
      <c r="A709" s="228"/>
      <c r="B709" s="228"/>
      <c r="C709" s="228"/>
      <c r="D709" s="228"/>
      <c r="E709" s="228"/>
      <c r="F709" s="228"/>
      <c r="G709" s="228"/>
      <c r="H709" s="241"/>
      <c r="I709" s="228"/>
      <c r="J709" s="228"/>
      <c r="K709" s="228"/>
      <c r="L709" s="228"/>
      <c r="M709" s="228"/>
      <c r="N709" s="228"/>
      <c r="O709" s="236"/>
      <c r="P709" s="228"/>
      <c r="Q709" s="228"/>
      <c r="R709" s="228"/>
      <c r="S709" s="228"/>
      <c r="T709" s="228"/>
      <c r="U709" s="228"/>
      <c r="V709" s="228"/>
      <c r="W709" s="228"/>
      <c r="X709" s="228"/>
      <c r="Y709" s="228"/>
      <c r="Z709" s="228"/>
      <c r="AA709" s="228"/>
      <c r="AB709" s="228"/>
      <c r="AC709" s="228"/>
      <c r="AD709" s="228"/>
      <c r="AE709" s="228"/>
      <c r="AF709" s="228"/>
      <c r="AG709" s="228"/>
      <c r="AH709" s="228"/>
      <c r="AI709" s="228"/>
      <c r="AJ709" s="228"/>
      <c r="AK709" s="228"/>
      <c r="AL709" s="228"/>
      <c r="AM709" s="228"/>
    </row>
    <row r="710">
      <c r="A710" s="228"/>
      <c r="B710" s="228"/>
      <c r="C710" s="228"/>
      <c r="D710" s="228"/>
      <c r="E710" s="228"/>
      <c r="F710" s="228"/>
      <c r="G710" s="228"/>
      <c r="H710" s="241"/>
      <c r="I710" s="228"/>
      <c r="J710" s="228"/>
      <c r="K710" s="228"/>
      <c r="L710" s="228"/>
      <c r="M710" s="228"/>
      <c r="N710" s="228"/>
      <c r="O710" s="236"/>
      <c r="P710" s="228"/>
      <c r="Q710" s="228"/>
      <c r="R710" s="228"/>
      <c r="S710" s="228"/>
      <c r="T710" s="228"/>
      <c r="U710" s="228"/>
      <c r="V710" s="228"/>
      <c r="W710" s="228"/>
      <c r="X710" s="228"/>
      <c r="Y710" s="228"/>
      <c r="Z710" s="228"/>
      <c r="AA710" s="228"/>
      <c r="AB710" s="228"/>
      <c r="AC710" s="228"/>
      <c r="AD710" s="228"/>
      <c r="AE710" s="228"/>
      <c r="AF710" s="228"/>
      <c r="AG710" s="228"/>
      <c r="AH710" s="228"/>
      <c r="AI710" s="228"/>
      <c r="AJ710" s="228"/>
      <c r="AK710" s="228"/>
      <c r="AL710" s="228"/>
      <c r="AM710" s="228"/>
    </row>
    <row r="711">
      <c r="A711" s="228"/>
      <c r="B711" s="228"/>
      <c r="C711" s="228"/>
      <c r="D711" s="228"/>
      <c r="E711" s="228"/>
      <c r="F711" s="228"/>
      <c r="G711" s="228"/>
      <c r="H711" s="241"/>
      <c r="I711" s="228"/>
      <c r="J711" s="228"/>
      <c r="K711" s="228"/>
      <c r="L711" s="228"/>
      <c r="M711" s="228"/>
      <c r="N711" s="228"/>
      <c r="O711" s="236"/>
      <c r="P711" s="228"/>
      <c r="Q711" s="228"/>
      <c r="R711" s="228"/>
      <c r="S711" s="228"/>
      <c r="T711" s="228"/>
      <c r="U711" s="228"/>
      <c r="V711" s="228"/>
      <c r="W711" s="228"/>
      <c r="X711" s="228"/>
      <c r="Y711" s="228"/>
      <c r="Z711" s="228"/>
      <c r="AA711" s="228"/>
      <c r="AB711" s="228"/>
      <c r="AC711" s="228"/>
      <c r="AD711" s="228"/>
      <c r="AE711" s="228"/>
      <c r="AF711" s="228"/>
      <c r="AG711" s="228"/>
      <c r="AH711" s="228"/>
      <c r="AI711" s="228"/>
      <c r="AJ711" s="228"/>
      <c r="AK711" s="228"/>
      <c r="AL711" s="228"/>
      <c r="AM711" s="228"/>
    </row>
    <row r="712">
      <c r="A712" s="228"/>
      <c r="B712" s="228"/>
      <c r="C712" s="228"/>
      <c r="D712" s="228"/>
      <c r="E712" s="228"/>
      <c r="F712" s="228"/>
      <c r="G712" s="228"/>
      <c r="H712" s="241"/>
      <c r="I712" s="228"/>
      <c r="J712" s="228"/>
      <c r="K712" s="228"/>
      <c r="L712" s="228"/>
      <c r="M712" s="228"/>
      <c r="N712" s="228"/>
      <c r="O712" s="236"/>
      <c r="P712" s="228"/>
      <c r="Q712" s="228"/>
      <c r="R712" s="228"/>
      <c r="S712" s="228"/>
      <c r="T712" s="228"/>
      <c r="U712" s="228"/>
      <c r="V712" s="228"/>
      <c r="W712" s="228"/>
      <c r="X712" s="228"/>
      <c r="Y712" s="228"/>
      <c r="Z712" s="228"/>
      <c r="AA712" s="228"/>
      <c r="AB712" s="228"/>
      <c r="AC712" s="228"/>
      <c r="AD712" s="228"/>
      <c r="AE712" s="228"/>
      <c r="AF712" s="228"/>
      <c r="AG712" s="228"/>
      <c r="AH712" s="228"/>
      <c r="AI712" s="228"/>
      <c r="AJ712" s="228"/>
      <c r="AK712" s="228"/>
      <c r="AL712" s="228"/>
      <c r="AM712" s="228"/>
    </row>
    <row r="713">
      <c r="A713" s="228"/>
      <c r="B713" s="228"/>
      <c r="C713" s="228"/>
      <c r="D713" s="228"/>
      <c r="E713" s="228"/>
      <c r="F713" s="228"/>
      <c r="G713" s="228"/>
      <c r="H713" s="241"/>
      <c r="I713" s="228"/>
      <c r="J713" s="228"/>
      <c r="K713" s="228"/>
      <c r="L713" s="228"/>
      <c r="M713" s="228"/>
      <c r="N713" s="228"/>
      <c r="O713" s="236"/>
      <c r="P713" s="228"/>
      <c r="Q713" s="228"/>
      <c r="R713" s="228"/>
      <c r="S713" s="228"/>
      <c r="T713" s="228"/>
      <c r="U713" s="228"/>
      <c r="V713" s="228"/>
      <c r="W713" s="228"/>
      <c r="X713" s="228"/>
      <c r="Y713" s="228"/>
      <c r="Z713" s="228"/>
      <c r="AA713" s="228"/>
      <c r="AB713" s="228"/>
      <c r="AC713" s="228"/>
      <c r="AD713" s="228"/>
      <c r="AE713" s="228"/>
      <c r="AF713" s="228"/>
      <c r="AG713" s="228"/>
      <c r="AH713" s="228"/>
      <c r="AI713" s="228"/>
      <c r="AJ713" s="228"/>
      <c r="AK713" s="228"/>
      <c r="AL713" s="228"/>
      <c r="AM713" s="228"/>
    </row>
    <row r="714">
      <c r="A714" s="228"/>
      <c r="B714" s="228"/>
      <c r="C714" s="228"/>
      <c r="D714" s="228"/>
      <c r="E714" s="228"/>
      <c r="F714" s="228"/>
      <c r="G714" s="228"/>
      <c r="H714" s="241"/>
      <c r="I714" s="228"/>
      <c r="J714" s="228"/>
      <c r="K714" s="228"/>
      <c r="L714" s="228"/>
      <c r="M714" s="228"/>
      <c r="N714" s="228"/>
      <c r="O714" s="236"/>
      <c r="P714" s="228"/>
      <c r="Q714" s="228"/>
      <c r="R714" s="228"/>
      <c r="S714" s="228"/>
      <c r="T714" s="228"/>
      <c r="U714" s="228"/>
      <c r="V714" s="228"/>
      <c r="W714" s="228"/>
      <c r="X714" s="228"/>
      <c r="Y714" s="228"/>
      <c r="Z714" s="228"/>
      <c r="AA714" s="228"/>
      <c r="AB714" s="228"/>
      <c r="AC714" s="228"/>
      <c r="AD714" s="228"/>
      <c r="AE714" s="228"/>
      <c r="AF714" s="228"/>
      <c r="AG714" s="228"/>
      <c r="AH714" s="228"/>
      <c r="AI714" s="228"/>
      <c r="AJ714" s="228"/>
      <c r="AK714" s="228"/>
      <c r="AL714" s="228"/>
      <c r="AM714" s="228"/>
    </row>
    <row r="715">
      <c r="A715" s="228"/>
      <c r="B715" s="228"/>
      <c r="C715" s="228"/>
      <c r="D715" s="228"/>
      <c r="E715" s="228"/>
      <c r="F715" s="228"/>
      <c r="G715" s="228"/>
      <c r="H715" s="241"/>
      <c r="I715" s="228"/>
      <c r="J715" s="228"/>
      <c r="K715" s="228"/>
      <c r="L715" s="228"/>
      <c r="M715" s="228"/>
      <c r="N715" s="228"/>
      <c r="O715" s="236"/>
      <c r="P715" s="228"/>
      <c r="Q715" s="228"/>
      <c r="R715" s="228"/>
      <c r="S715" s="228"/>
      <c r="T715" s="228"/>
      <c r="U715" s="228"/>
      <c r="V715" s="228"/>
      <c r="W715" s="228"/>
      <c r="X715" s="228"/>
      <c r="Y715" s="228"/>
      <c r="Z715" s="228"/>
      <c r="AA715" s="228"/>
      <c r="AB715" s="228"/>
      <c r="AC715" s="228"/>
      <c r="AD715" s="228"/>
      <c r="AE715" s="228"/>
      <c r="AF715" s="228"/>
      <c r="AG715" s="228"/>
      <c r="AH715" s="228"/>
      <c r="AI715" s="228"/>
      <c r="AJ715" s="228"/>
      <c r="AK715" s="228"/>
      <c r="AL715" s="228"/>
      <c r="AM715" s="228"/>
    </row>
    <row r="716">
      <c r="A716" s="228"/>
      <c r="B716" s="228"/>
      <c r="C716" s="228"/>
      <c r="D716" s="228"/>
      <c r="E716" s="228"/>
      <c r="F716" s="228"/>
      <c r="G716" s="228"/>
      <c r="H716" s="241"/>
      <c r="I716" s="228"/>
      <c r="J716" s="228"/>
      <c r="K716" s="228"/>
      <c r="L716" s="228"/>
      <c r="M716" s="228"/>
      <c r="N716" s="228"/>
      <c r="O716" s="236"/>
      <c r="P716" s="228"/>
      <c r="Q716" s="228"/>
      <c r="R716" s="228"/>
      <c r="S716" s="228"/>
      <c r="T716" s="228"/>
      <c r="U716" s="228"/>
      <c r="V716" s="228"/>
      <c r="W716" s="228"/>
      <c r="X716" s="228"/>
      <c r="Y716" s="228"/>
      <c r="Z716" s="228"/>
      <c r="AA716" s="228"/>
      <c r="AB716" s="228"/>
      <c r="AC716" s="228"/>
      <c r="AD716" s="228"/>
      <c r="AE716" s="228"/>
      <c r="AF716" s="228"/>
      <c r="AG716" s="228"/>
      <c r="AH716" s="228"/>
      <c r="AI716" s="228"/>
      <c r="AJ716" s="228"/>
      <c r="AK716" s="228"/>
      <c r="AL716" s="228"/>
      <c r="AM716" s="228"/>
    </row>
    <row r="717">
      <c r="A717" s="228"/>
      <c r="B717" s="228"/>
      <c r="C717" s="228"/>
      <c r="D717" s="228"/>
      <c r="E717" s="228"/>
      <c r="F717" s="228"/>
      <c r="G717" s="228"/>
      <c r="H717" s="241"/>
      <c r="I717" s="228"/>
      <c r="J717" s="228"/>
      <c r="K717" s="228"/>
      <c r="L717" s="228"/>
      <c r="M717" s="228"/>
      <c r="N717" s="228"/>
      <c r="O717" s="236"/>
      <c r="P717" s="228"/>
      <c r="Q717" s="228"/>
      <c r="R717" s="228"/>
      <c r="S717" s="228"/>
      <c r="T717" s="228"/>
      <c r="U717" s="228"/>
      <c r="V717" s="228"/>
      <c r="W717" s="228"/>
      <c r="X717" s="228"/>
      <c r="Y717" s="228"/>
      <c r="Z717" s="228"/>
      <c r="AA717" s="228"/>
      <c r="AB717" s="228"/>
      <c r="AC717" s="228"/>
      <c r="AD717" s="228"/>
      <c r="AE717" s="228"/>
      <c r="AF717" s="228"/>
      <c r="AG717" s="228"/>
      <c r="AH717" s="228"/>
      <c r="AI717" s="228"/>
      <c r="AJ717" s="228"/>
      <c r="AK717" s="228"/>
      <c r="AL717" s="228"/>
      <c r="AM717" s="228"/>
    </row>
    <row r="718">
      <c r="A718" s="228"/>
      <c r="B718" s="228"/>
      <c r="C718" s="228"/>
      <c r="D718" s="228"/>
      <c r="E718" s="228"/>
      <c r="F718" s="228"/>
      <c r="G718" s="228"/>
      <c r="H718" s="241"/>
      <c r="I718" s="228"/>
      <c r="J718" s="228"/>
      <c r="K718" s="228"/>
      <c r="L718" s="228"/>
      <c r="M718" s="228"/>
      <c r="N718" s="228"/>
      <c r="O718" s="236"/>
      <c r="P718" s="228"/>
      <c r="Q718" s="228"/>
      <c r="R718" s="228"/>
      <c r="S718" s="228"/>
      <c r="T718" s="228"/>
      <c r="U718" s="228"/>
      <c r="V718" s="228"/>
      <c r="W718" s="228"/>
      <c r="X718" s="228"/>
      <c r="Y718" s="228"/>
      <c r="Z718" s="228"/>
      <c r="AA718" s="228"/>
      <c r="AB718" s="228"/>
      <c r="AC718" s="228"/>
      <c r="AD718" s="228"/>
      <c r="AE718" s="228"/>
      <c r="AF718" s="228"/>
      <c r="AG718" s="228"/>
      <c r="AH718" s="228"/>
      <c r="AI718" s="228"/>
      <c r="AJ718" s="228"/>
      <c r="AK718" s="228"/>
      <c r="AL718" s="228"/>
      <c r="AM718" s="228"/>
    </row>
    <row r="719">
      <c r="A719" s="228"/>
      <c r="B719" s="228"/>
      <c r="C719" s="228"/>
      <c r="D719" s="228"/>
      <c r="E719" s="228"/>
      <c r="F719" s="228"/>
      <c r="G719" s="228"/>
      <c r="H719" s="241"/>
      <c r="I719" s="228"/>
      <c r="J719" s="228"/>
      <c r="K719" s="228"/>
      <c r="L719" s="228"/>
      <c r="M719" s="228"/>
      <c r="N719" s="228"/>
      <c r="O719" s="236"/>
      <c r="P719" s="228"/>
      <c r="Q719" s="228"/>
      <c r="R719" s="228"/>
      <c r="S719" s="228"/>
      <c r="T719" s="228"/>
      <c r="U719" s="228"/>
      <c r="V719" s="228"/>
      <c r="W719" s="228"/>
      <c r="X719" s="228"/>
      <c r="Y719" s="228"/>
      <c r="Z719" s="228"/>
      <c r="AA719" s="228"/>
      <c r="AB719" s="228"/>
      <c r="AC719" s="228"/>
      <c r="AD719" s="228"/>
      <c r="AE719" s="228"/>
      <c r="AF719" s="228"/>
      <c r="AG719" s="228"/>
      <c r="AH719" s="228"/>
      <c r="AI719" s="228"/>
      <c r="AJ719" s="228"/>
      <c r="AK719" s="228"/>
      <c r="AL719" s="228"/>
      <c r="AM719" s="228"/>
    </row>
    <row r="720">
      <c r="A720" s="228"/>
      <c r="B720" s="228"/>
      <c r="C720" s="228"/>
      <c r="D720" s="228"/>
      <c r="E720" s="228"/>
      <c r="F720" s="228"/>
      <c r="G720" s="228"/>
      <c r="H720" s="241"/>
      <c r="I720" s="228"/>
      <c r="J720" s="228"/>
      <c r="K720" s="228"/>
      <c r="L720" s="228"/>
      <c r="M720" s="228"/>
      <c r="N720" s="228"/>
      <c r="O720" s="236"/>
      <c r="P720" s="228"/>
      <c r="Q720" s="228"/>
      <c r="R720" s="228"/>
      <c r="S720" s="228"/>
      <c r="T720" s="228"/>
      <c r="U720" s="228"/>
      <c r="V720" s="228"/>
      <c r="W720" s="228"/>
      <c r="X720" s="228"/>
      <c r="Y720" s="228"/>
      <c r="Z720" s="228"/>
      <c r="AA720" s="228"/>
      <c r="AB720" s="228"/>
      <c r="AC720" s="228"/>
      <c r="AD720" s="228"/>
      <c r="AE720" s="228"/>
      <c r="AF720" s="228"/>
      <c r="AG720" s="228"/>
      <c r="AH720" s="228"/>
      <c r="AI720" s="228"/>
      <c r="AJ720" s="228"/>
      <c r="AK720" s="228"/>
      <c r="AL720" s="228"/>
      <c r="AM720" s="228"/>
    </row>
    <row r="721">
      <c r="A721" s="228"/>
      <c r="B721" s="228"/>
      <c r="C721" s="228"/>
      <c r="D721" s="228"/>
      <c r="E721" s="228"/>
      <c r="F721" s="228"/>
      <c r="G721" s="228"/>
      <c r="H721" s="241"/>
      <c r="I721" s="228"/>
      <c r="J721" s="228"/>
      <c r="K721" s="228"/>
      <c r="L721" s="228"/>
      <c r="M721" s="228"/>
      <c r="N721" s="228"/>
      <c r="O721" s="236"/>
      <c r="P721" s="228"/>
      <c r="Q721" s="228"/>
      <c r="R721" s="228"/>
      <c r="S721" s="228"/>
      <c r="T721" s="228"/>
      <c r="U721" s="228"/>
      <c r="V721" s="228"/>
      <c r="W721" s="228"/>
      <c r="X721" s="228"/>
      <c r="Y721" s="228"/>
      <c r="Z721" s="228"/>
      <c r="AA721" s="228"/>
      <c r="AB721" s="228"/>
      <c r="AC721" s="228"/>
      <c r="AD721" s="228"/>
      <c r="AE721" s="228"/>
      <c r="AF721" s="228"/>
      <c r="AG721" s="228"/>
      <c r="AH721" s="228"/>
      <c r="AI721" s="228"/>
      <c r="AJ721" s="228"/>
      <c r="AK721" s="228"/>
      <c r="AL721" s="228"/>
      <c r="AM721" s="228"/>
    </row>
    <row r="722">
      <c r="A722" s="228"/>
      <c r="B722" s="228"/>
      <c r="C722" s="228"/>
      <c r="D722" s="228"/>
      <c r="E722" s="228"/>
      <c r="F722" s="228"/>
      <c r="G722" s="228"/>
      <c r="H722" s="241"/>
      <c r="I722" s="228"/>
      <c r="J722" s="228"/>
      <c r="K722" s="228"/>
      <c r="L722" s="228"/>
      <c r="M722" s="228"/>
      <c r="N722" s="228"/>
      <c r="O722" s="236"/>
      <c r="P722" s="228"/>
      <c r="Q722" s="228"/>
      <c r="R722" s="228"/>
      <c r="S722" s="228"/>
      <c r="T722" s="228"/>
      <c r="U722" s="228"/>
      <c r="V722" s="228"/>
      <c r="W722" s="228"/>
      <c r="X722" s="228"/>
      <c r="Y722" s="228"/>
      <c r="Z722" s="228"/>
      <c r="AA722" s="228"/>
      <c r="AB722" s="228"/>
      <c r="AC722" s="228"/>
      <c r="AD722" s="228"/>
      <c r="AE722" s="228"/>
      <c r="AF722" s="228"/>
      <c r="AG722" s="228"/>
      <c r="AH722" s="228"/>
      <c r="AI722" s="228"/>
      <c r="AJ722" s="228"/>
      <c r="AK722" s="228"/>
      <c r="AL722" s="228"/>
      <c r="AM722" s="228"/>
    </row>
    <row r="723">
      <c r="A723" s="228"/>
      <c r="B723" s="228"/>
      <c r="C723" s="228"/>
      <c r="D723" s="228"/>
      <c r="E723" s="228"/>
      <c r="F723" s="228"/>
      <c r="G723" s="228"/>
      <c r="H723" s="241"/>
      <c r="I723" s="228"/>
      <c r="J723" s="228"/>
      <c r="K723" s="228"/>
      <c r="L723" s="228"/>
      <c r="M723" s="228"/>
      <c r="N723" s="228"/>
      <c r="O723" s="236"/>
      <c r="P723" s="228"/>
      <c r="Q723" s="228"/>
      <c r="R723" s="228"/>
      <c r="S723" s="228"/>
      <c r="T723" s="228"/>
      <c r="U723" s="228"/>
      <c r="V723" s="228"/>
      <c r="W723" s="228"/>
      <c r="X723" s="228"/>
      <c r="Y723" s="228"/>
      <c r="Z723" s="228"/>
      <c r="AA723" s="228"/>
      <c r="AB723" s="228"/>
      <c r="AC723" s="228"/>
      <c r="AD723" s="228"/>
      <c r="AE723" s="228"/>
      <c r="AF723" s="228"/>
      <c r="AG723" s="228"/>
      <c r="AH723" s="228"/>
      <c r="AI723" s="228"/>
      <c r="AJ723" s="228"/>
      <c r="AK723" s="228"/>
      <c r="AL723" s="228"/>
      <c r="AM723" s="228"/>
    </row>
    <row r="724">
      <c r="A724" s="228"/>
      <c r="B724" s="228"/>
      <c r="C724" s="228"/>
      <c r="D724" s="228"/>
      <c r="E724" s="228"/>
      <c r="F724" s="228"/>
      <c r="G724" s="228"/>
      <c r="H724" s="241"/>
      <c r="I724" s="228"/>
      <c r="J724" s="228"/>
      <c r="K724" s="228"/>
      <c r="L724" s="228"/>
      <c r="M724" s="228"/>
      <c r="N724" s="228"/>
      <c r="O724" s="236"/>
      <c r="P724" s="228"/>
      <c r="Q724" s="228"/>
      <c r="R724" s="228"/>
      <c r="S724" s="228"/>
      <c r="T724" s="228"/>
      <c r="U724" s="228"/>
      <c r="V724" s="228"/>
      <c r="W724" s="228"/>
      <c r="X724" s="228"/>
      <c r="Y724" s="228"/>
      <c r="Z724" s="228"/>
      <c r="AA724" s="228"/>
      <c r="AB724" s="228"/>
      <c r="AC724" s="228"/>
      <c r="AD724" s="228"/>
      <c r="AE724" s="228"/>
      <c r="AF724" s="228"/>
      <c r="AG724" s="228"/>
      <c r="AH724" s="228"/>
      <c r="AI724" s="228"/>
      <c r="AJ724" s="228"/>
      <c r="AK724" s="228"/>
      <c r="AL724" s="228"/>
      <c r="AM724" s="228"/>
    </row>
    <row r="725">
      <c r="A725" s="228"/>
      <c r="B725" s="228"/>
      <c r="C725" s="228"/>
      <c r="D725" s="228"/>
      <c r="E725" s="228"/>
      <c r="F725" s="228"/>
      <c r="G725" s="228"/>
      <c r="H725" s="241"/>
      <c r="I725" s="228"/>
      <c r="J725" s="228"/>
      <c r="K725" s="228"/>
      <c r="L725" s="228"/>
      <c r="M725" s="228"/>
      <c r="N725" s="228"/>
      <c r="O725" s="236"/>
      <c r="P725" s="228"/>
      <c r="Q725" s="228"/>
      <c r="R725" s="228"/>
      <c r="S725" s="228"/>
      <c r="T725" s="228"/>
      <c r="U725" s="228"/>
      <c r="V725" s="228"/>
      <c r="W725" s="228"/>
      <c r="X725" s="228"/>
      <c r="Y725" s="228"/>
      <c r="Z725" s="228"/>
      <c r="AA725" s="228"/>
      <c r="AB725" s="228"/>
      <c r="AC725" s="228"/>
      <c r="AD725" s="228"/>
      <c r="AE725" s="228"/>
      <c r="AF725" s="228"/>
      <c r="AG725" s="228"/>
      <c r="AH725" s="228"/>
      <c r="AI725" s="228"/>
      <c r="AJ725" s="228"/>
      <c r="AK725" s="228"/>
      <c r="AL725" s="228"/>
      <c r="AM725" s="228"/>
    </row>
    <row r="726">
      <c r="A726" s="228"/>
      <c r="B726" s="228"/>
      <c r="C726" s="228"/>
      <c r="D726" s="228"/>
      <c r="E726" s="228"/>
      <c r="F726" s="228"/>
      <c r="G726" s="228"/>
      <c r="H726" s="241"/>
      <c r="I726" s="228"/>
      <c r="J726" s="228"/>
      <c r="K726" s="228"/>
      <c r="L726" s="228"/>
      <c r="M726" s="228"/>
      <c r="N726" s="228"/>
      <c r="O726" s="236"/>
      <c r="P726" s="228"/>
      <c r="Q726" s="228"/>
      <c r="R726" s="228"/>
      <c r="S726" s="228"/>
      <c r="T726" s="228"/>
      <c r="U726" s="228"/>
      <c r="V726" s="228"/>
      <c r="W726" s="228"/>
      <c r="X726" s="228"/>
      <c r="Y726" s="228"/>
      <c r="Z726" s="228"/>
      <c r="AA726" s="228"/>
      <c r="AB726" s="228"/>
      <c r="AC726" s="228"/>
      <c r="AD726" s="228"/>
      <c r="AE726" s="228"/>
      <c r="AF726" s="228"/>
      <c r="AG726" s="228"/>
      <c r="AH726" s="228"/>
      <c r="AI726" s="228"/>
      <c r="AJ726" s="228"/>
      <c r="AK726" s="228"/>
      <c r="AL726" s="228"/>
      <c r="AM726" s="228"/>
    </row>
    <row r="727">
      <c r="A727" s="228"/>
      <c r="B727" s="228"/>
      <c r="C727" s="228"/>
      <c r="D727" s="228"/>
      <c r="E727" s="228"/>
      <c r="F727" s="228"/>
      <c r="G727" s="228"/>
      <c r="H727" s="241"/>
      <c r="I727" s="228"/>
      <c r="J727" s="228"/>
      <c r="K727" s="228"/>
      <c r="L727" s="228"/>
      <c r="M727" s="228"/>
      <c r="N727" s="228"/>
      <c r="O727" s="236"/>
      <c r="P727" s="228"/>
      <c r="Q727" s="228"/>
      <c r="R727" s="228"/>
      <c r="S727" s="228"/>
      <c r="T727" s="228"/>
      <c r="U727" s="228"/>
      <c r="V727" s="228"/>
      <c r="W727" s="228"/>
      <c r="X727" s="228"/>
      <c r="Y727" s="228"/>
      <c r="Z727" s="228"/>
      <c r="AA727" s="228"/>
      <c r="AB727" s="228"/>
      <c r="AC727" s="228"/>
      <c r="AD727" s="228"/>
      <c r="AE727" s="228"/>
      <c r="AF727" s="228"/>
      <c r="AG727" s="228"/>
      <c r="AH727" s="228"/>
      <c r="AI727" s="228"/>
      <c r="AJ727" s="228"/>
      <c r="AK727" s="228"/>
      <c r="AL727" s="228"/>
      <c r="AM727" s="228"/>
    </row>
    <row r="728">
      <c r="A728" s="228"/>
      <c r="B728" s="228"/>
      <c r="C728" s="228"/>
      <c r="D728" s="228"/>
      <c r="E728" s="228"/>
      <c r="F728" s="228"/>
      <c r="G728" s="228"/>
      <c r="H728" s="241"/>
      <c r="I728" s="228"/>
      <c r="J728" s="228"/>
      <c r="K728" s="228"/>
      <c r="L728" s="228"/>
      <c r="M728" s="228"/>
      <c r="N728" s="228"/>
      <c r="O728" s="236"/>
      <c r="P728" s="228"/>
      <c r="Q728" s="228"/>
      <c r="R728" s="228"/>
      <c r="S728" s="228"/>
      <c r="T728" s="228"/>
      <c r="U728" s="228"/>
      <c r="V728" s="228"/>
      <c r="W728" s="228"/>
      <c r="X728" s="228"/>
      <c r="Y728" s="228"/>
      <c r="Z728" s="228"/>
      <c r="AA728" s="228"/>
      <c r="AB728" s="228"/>
      <c r="AC728" s="228"/>
      <c r="AD728" s="228"/>
      <c r="AE728" s="228"/>
      <c r="AF728" s="228"/>
      <c r="AG728" s="228"/>
      <c r="AH728" s="228"/>
      <c r="AI728" s="228"/>
      <c r="AJ728" s="228"/>
      <c r="AK728" s="228"/>
      <c r="AL728" s="228"/>
      <c r="AM728" s="228"/>
    </row>
    <row r="729">
      <c r="A729" s="228"/>
      <c r="B729" s="228"/>
      <c r="C729" s="228"/>
      <c r="D729" s="228"/>
      <c r="E729" s="228"/>
      <c r="F729" s="228"/>
      <c r="G729" s="228"/>
      <c r="H729" s="241"/>
      <c r="I729" s="228"/>
      <c r="J729" s="228"/>
      <c r="K729" s="228"/>
      <c r="L729" s="228"/>
      <c r="M729" s="228"/>
      <c r="N729" s="228"/>
      <c r="O729" s="236"/>
      <c r="P729" s="228"/>
      <c r="Q729" s="228"/>
      <c r="R729" s="228"/>
      <c r="S729" s="228"/>
      <c r="T729" s="228"/>
      <c r="U729" s="228"/>
      <c r="V729" s="228"/>
      <c r="W729" s="228"/>
      <c r="X729" s="228"/>
      <c r="Y729" s="228"/>
      <c r="Z729" s="228"/>
      <c r="AA729" s="228"/>
      <c r="AB729" s="228"/>
      <c r="AC729" s="228"/>
      <c r="AD729" s="228"/>
      <c r="AE729" s="228"/>
      <c r="AF729" s="228"/>
      <c r="AG729" s="228"/>
      <c r="AH729" s="228"/>
      <c r="AI729" s="228"/>
      <c r="AJ729" s="228"/>
      <c r="AK729" s="228"/>
      <c r="AL729" s="228"/>
      <c r="AM729" s="228"/>
    </row>
    <row r="730">
      <c r="A730" s="228"/>
      <c r="B730" s="228"/>
      <c r="C730" s="228"/>
      <c r="D730" s="228"/>
      <c r="E730" s="228"/>
      <c r="F730" s="228"/>
      <c r="G730" s="228"/>
      <c r="H730" s="241"/>
      <c r="I730" s="228"/>
      <c r="J730" s="228"/>
      <c r="K730" s="228"/>
      <c r="L730" s="228"/>
      <c r="M730" s="228"/>
      <c r="N730" s="228"/>
      <c r="O730" s="236"/>
      <c r="P730" s="228"/>
      <c r="Q730" s="228"/>
      <c r="R730" s="228"/>
      <c r="S730" s="228"/>
      <c r="T730" s="228"/>
      <c r="U730" s="228"/>
      <c r="V730" s="228"/>
      <c r="W730" s="228"/>
      <c r="X730" s="228"/>
      <c r="Y730" s="228"/>
      <c r="Z730" s="228"/>
      <c r="AA730" s="228"/>
      <c r="AB730" s="228"/>
      <c r="AC730" s="228"/>
      <c r="AD730" s="228"/>
      <c r="AE730" s="228"/>
      <c r="AF730" s="228"/>
      <c r="AG730" s="228"/>
      <c r="AH730" s="228"/>
      <c r="AI730" s="228"/>
      <c r="AJ730" s="228"/>
      <c r="AK730" s="228"/>
      <c r="AL730" s="228"/>
      <c r="AM730" s="228"/>
    </row>
    <row r="731">
      <c r="A731" s="228"/>
      <c r="B731" s="228"/>
      <c r="C731" s="228"/>
      <c r="D731" s="228"/>
      <c r="E731" s="228"/>
      <c r="F731" s="228"/>
      <c r="G731" s="228"/>
      <c r="H731" s="241"/>
      <c r="I731" s="228"/>
      <c r="J731" s="228"/>
      <c r="K731" s="228"/>
      <c r="L731" s="228"/>
      <c r="M731" s="228"/>
      <c r="N731" s="228"/>
      <c r="O731" s="236"/>
      <c r="P731" s="228"/>
      <c r="Q731" s="228"/>
      <c r="R731" s="228"/>
      <c r="S731" s="228"/>
      <c r="T731" s="228"/>
      <c r="U731" s="228"/>
      <c r="V731" s="228"/>
      <c r="W731" s="228"/>
      <c r="X731" s="228"/>
      <c r="Y731" s="228"/>
      <c r="Z731" s="228"/>
      <c r="AA731" s="228"/>
      <c r="AB731" s="228"/>
      <c r="AC731" s="228"/>
      <c r="AD731" s="228"/>
      <c r="AE731" s="228"/>
      <c r="AF731" s="228"/>
      <c r="AG731" s="228"/>
      <c r="AH731" s="228"/>
      <c r="AI731" s="228"/>
      <c r="AJ731" s="228"/>
      <c r="AK731" s="228"/>
      <c r="AL731" s="228"/>
      <c r="AM731" s="228"/>
    </row>
    <row r="732">
      <c r="A732" s="228"/>
      <c r="B732" s="228"/>
      <c r="C732" s="228"/>
      <c r="D732" s="228"/>
      <c r="E732" s="228"/>
      <c r="F732" s="228"/>
      <c r="G732" s="228"/>
      <c r="H732" s="241"/>
      <c r="I732" s="228"/>
      <c r="J732" s="228"/>
      <c r="K732" s="228"/>
      <c r="L732" s="228"/>
      <c r="M732" s="228"/>
      <c r="N732" s="228"/>
      <c r="O732" s="236"/>
      <c r="P732" s="228"/>
      <c r="Q732" s="228"/>
      <c r="R732" s="228"/>
      <c r="S732" s="228"/>
      <c r="T732" s="228"/>
      <c r="U732" s="228"/>
      <c r="V732" s="228"/>
      <c r="W732" s="228"/>
      <c r="X732" s="228"/>
      <c r="Y732" s="228"/>
      <c r="Z732" s="228"/>
      <c r="AA732" s="228"/>
      <c r="AB732" s="228"/>
      <c r="AC732" s="228"/>
      <c r="AD732" s="228"/>
      <c r="AE732" s="228"/>
      <c r="AF732" s="228"/>
      <c r="AG732" s="228"/>
      <c r="AH732" s="228"/>
      <c r="AI732" s="228"/>
      <c r="AJ732" s="228"/>
      <c r="AK732" s="228"/>
      <c r="AL732" s="228"/>
      <c r="AM732" s="228"/>
    </row>
    <row r="733">
      <c r="A733" s="228"/>
      <c r="B733" s="228"/>
      <c r="C733" s="228"/>
      <c r="D733" s="228"/>
      <c r="E733" s="228"/>
      <c r="F733" s="228"/>
      <c r="G733" s="228"/>
      <c r="H733" s="241"/>
      <c r="I733" s="228"/>
      <c r="J733" s="228"/>
      <c r="K733" s="228"/>
      <c r="L733" s="228"/>
      <c r="M733" s="228"/>
      <c r="N733" s="228"/>
      <c r="O733" s="236"/>
      <c r="P733" s="228"/>
      <c r="Q733" s="228"/>
      <c r="R733" s="228"/>
      <c r="S733" s="228"/>
      <c r="T733" s="228"/>
      <c r="U733" s="228"/>
      <c r="V733" s="228"/>
      <c r="W733" s="228"/>
      <c r="X733" s="228"/>
      <c r="Y733" s="228"/>
      <c r="Z733" s="228"/>
      <c r="AA733" s="228"/>
      <c r="AB733" s="228"/>
      <c r="AC733" s="228"/>
      <c r="AD733" s="228"/>
      <c r="AE733" s="228"/>
      <c r="AF733" s="228"/>
      <c r="AG733" s="228"/>
      <c r="AH733" s="228"/>
      <c r="AI733" s="228"/>
      <c r="AJ733" s="228"/>
      <c r="AK733" s="228"/>
      <c r="AL733" s="228"/>
      <c r="AM733" s="228"/>
    </row>
    <row r="734">
      <c r="A734" s="228"/>
      <c r="B734" s="228"/>
      <c r="C734" s="228"/>
      <c r="D734" s="228"/>
      <c r="E734" s="228"/>
      <c r="F734" s="228"/>
      <c r="G734" s="228"/>
      <c r="H734" s="241"/>
      <c r="I734" s="228"/>
      <c r="J734" s="228"/>
      <c r="K734" s="228"/>
      <c r="L734" s="228"/>
      <c r="M734" s="228"/>
      <c r="N734" s="228"/>
      <c r="O734" s="236"/>
      <c r="P734" s="228"/>
      <c r="Q734" s="228"/>
      <c r="R734" s="228"/>
      <c r="S734" s="228"/>
      <c r="T734" s="228"/>
      <c r="U734" s="228"/>
      <c r="V734" s="228"/>
      <c r="W734" s="228"/>
      <c r="X734" s="228"/>
      <c r="Y734" s="228"/>
      <c r="Z734" s="228"/>
      <c r="AA734" s="228"/>
      <c r="AB734" s="228"/>
      <c r="AC734" s="228"/>
      <c r="AD734" s="228"/>
      <c r="AE734" s="228"/>
      <c r="AF734" s="228"/>
      <c r="AG734" s="228"/>
      <c r="AH734" s="228"/>
      <c r="AI734" s="228"/>
      <c r="AJ734" s="228"/>
      <c r="AK734" s="228"/>
      <c r="AL734" s="228"/>
      <c r="AM734" s="228"/>
    </row>
    <row r="735">
      <c r="A735" s="228"/>
      <c r="B735" s="228"/>
      <c r="C735" s="228"/>
      <c r="D735" s="228"/>
      <c r="E735" s="228"/>
      <c r="F735" s="228"/>
      <c r="G735" s="228"/>
      <c r="H735" s="241"/>
      <c r="I735" s="228"/>
      <c r="J735" s="228"/>
      <c r="K735" s="228"/>
      <c r="L735" s="228"/>
      <c r="M735" s="228"/>
      <c r="N735" s="228"/>
      <c r="O735" s="236"/>
      <c r="P735" s="228"/>
      <c r="Q735" s="228"/>
      <c r="R735" s="228"/>
      <c r="S735" s="228"/>
      <c r="T735" s="228"/>
      <c r="U735" s="228"/>
      <c r="V735" s="228"/>
      <c r="W735" s="228"/>
      <c r="X735" s="228"/>
      <c r="Y735" s="228"/>
      <c r="Z735" s="228"/>
      <c r="AA735" s="228"/>
      <c r="AB735" s="228"/>
      <c r="AC735" s="228"/>
      <c r="AD735" s="228"/>
      <c r="AE735" s="228"/>
      <c r="AF735" s="228"/>
      <c r="AG735" s="228"/>
      <c r="AH735" s="228"/>
      <c r="AI735" s="228"/>
      <c r="AJ735" s="228"/>
      <c r="AK735" s="228"/>
      <c r="AL735" s="228"/>
      <c r="AM735" s="228"/>
    </row>
    <row r="736">
      <c r="A736" s="228"/>
      <c r="B736" s="228"/>
      <c r="C736" s="228"/>
      <c r="D736" s="228"/>
      <c r="E736" s="228"/>
      <c r="F736" s="228"/>
      <c r="G736" s="228"/>
      <c r="H736" s="241"/>
      <c r="I736" s="228"/>
      <c r="J736" s="228"/>
      <c r="K736" s="228"/>
      <c r="L736" s="228"/>
      <c r="M736" s="228"/>
      <c r="N736" s="228"/>
      <c r="O736" s="236"/>
      <c r="P736" s="228"/>
      <c r="Q736" s="228"/>
      <c r="R736" s="228"/>
      <c r="S736" s="228"/>
      <c r="T736" s="228"/>
      <c r="U736" s="228"/>
      <c r="V736" s="228"/>
      <c r="W736" s="228"/>
      <c r="X736" s="228"/>
      <c r="Y736" s="228"/>
      <c r="Z736" s="228"/>
      <c r="AA736" s="228"/>
      <c r="AB736" s="228"/>
      <c r="AC736" s="228"/>
      <c r="AD736" s="228"/>
      <c r="AE736" s="228"/>
      <c r="AF736" s="228"/>
      <c r="AG736" s="228"/>
      <c r="AH736" s="228"/>
      <c r="AI736" s="228"/>
      <c r="AJ736" s="228"/>
      <c r="AK736" s="228"/>
      <c r="AL736" s="228"/>
      <c r="AM736" s="228"/>
    </row>
    <row r="737">
      <c r="A737" s="228"/>
      <c r="B737" s="228"/>
      <c r="C737" s="228"/>
      <c r="D737" s="228"/>
      <c r="E737" s="228"/>
      <c r="F737" s="228"/>
      <c r="G737" s="228"/>
      <c r="H737" s="241"/>
      <c r="I737" s="228"/>
      <c r="J737" s="228"/>
      <c r="K737" s="228"/>
      <c r="L737" s="228"/>
      <c r="M737" s="228"/>
      <c r="N737" s="228"/>
      <c r="O737" s="236"/>
      <c r="P737" s="228"/>
      <c r="Q737" s="228"/>
      <c r="R737" s="228"/>
      <c r="S737" s="228"/>
      <c r="T737" s="228"/>
      <c r="U737" s="228"/>
      <c r="V737" s="228"/>
      <c r="W737" s="228"/>
      <c r="X737" s="228"/>
      <c r="Y737" s="228"/>
      <c r="Z737" s="228"/>
      <c r="AA737" s="228"/>
      <c r="AB737" s="228"/>
      <c r="AC737" s="228"/>
      <c r="AD737" s="228"/>
      <c r="AE737" s="228"/>
      <c r="AF737" s="228"/>
      <c r="AG737" s="228"/>
      <c r="AH737" s="228"/>
      <c r="AI737" s="228"/>
      <c r="AJ737" s="228"/>
      <c r="AK737" s="228"/>
      <c r="AL737" s="228"/>
      <c r="AM737" s="228"/>
    </row>
    <row r="738">
      <c r="A738" s="228"/>
      <c r="B738" s="228"/>
      <c r="C738" s="228"/>
      <c r="D738" s="228"/>
      <c r="E738" s="228"/>
      <c r="F738" s="228"/>
      <c r="G738" s="228"/>
      <c r="H738" s="241"/>
      <c r="I738" s="228"/>
      <c r="J738" s="228"/>
      <c r="K738" s="228"/>
      <c r="L738" s="228"/>
      <c r="M738" s="228"/>
      <c r="N738" s="228"/>
      <c r="O738" s="236"/>
      <c r="P738" s="228"/>
      <c r="Q738" s="228"/>
      <c r="R738" s="228"/>
      <c r="S738" s="228"/>
      <c r="T738" s="228"/>
      <c r="U738" s="228"/>
      <c r="V738" s="228"/>
      <c r="W738" s="228"/>
      <c r="X738" s="228"/>
      <c r="Y738" s="228"/>
      <c r="Z738" s="228"/>
      <c r="AA738" s="228"/>
      <c r="AB738" s="228"/>
      <c r="AC738" s="228"/>
      <c r="AD738" s="228"/>
      <c r="AE738" s="228"/>
      <c r="AF738" s="228"/>
      <c r="AG738" s="228"/>
      <c r="AH738" s="228"/>
      <c r="AI738" s="228"/>
      <c r="AJ738" s="228"/>
      <c r="AK738" s="228"/>
      <c r="AL738" s="228"/>
      <c r="AM738" s="228"/>
    </row>
    <row r="739">
      <c r="A739" s="228"/>
      <c r="B739" s="228"/>
      <c r="C739" s="228"/>
      <c r="D739" s="228"/>
      <c r="E739" s="228"/>
      <c r="F739" s="228"/>
      <c r="G739" s="228"/>
      <c r="H739" s="241"/>
      <c r="I739" s="228"/>
      <c r="J739" s="228"/>
      <c r="K739" s="228"/>
      <c r="L739" s="228"/>
      <c r="M739" s="228"/>
      <c r="N739" s="228"/>
      <c r="O739" s="236"/>
      <c r="P739" s="228"/>
      <c r="Q739" s="228"/>
      <c r="R739" s="228"/>
      <c r="S739" s="228"/>
      <c r="T739" s="228"/>
      <c r="U739" s="228"/>
      <c r="V739" s="228"/>
      <c r="W739" s="228"/>
      <c r="X739" s="228"/>
      <c r="Y739" s="228"/>
      <c r="Z739" s="228"/>
      <c r="AA739" s="228"/>
      <c r="AB739" s="228"/>
      <c r="AC739" s="228"/>
      <c r="AD739" s="228"/>
      <c r="AE739" s="228"/>
      <c r="AF739" s="228"/>
      <c r="AG739" s="228"/>
      <c r="AH739" s="228"/>
      <c r="AI739" s="228"/>
      <c r="AJ739" s="228"/>
      <c r="AK739" s="228"/>
      <c r="AL739" s="228"/>
      <c r="AM739" s="228"/>
    </row>
    <row r="740">
      <c r="A740" s="228"/>
      <c r="B740" s="228"/>
      <c r="C740" s="228"/>
      <c r="D740" s="228"/>
      <c r="E740" s="228"/>
      <c r="F740" s="228"/>
      <c r="G740" s="228"/>
      <c r="H740" s="241"/>
      <c r="I740" s="228"/>
      <c r="J740" s="228"/>
      <c r="K740" s="228"/>
      <c r="L740" s="228"/>
      <c r="M740" s="228"/>
      <c r="N740" s="228"/>
      <c r="O740" s="236"/>
      <c r="P740" s="228"/>
      <c r="Q740" s="228"/>
      <c r="R740" s="228"/>
      <c r="S740" s="228"/>
      <c r="T740" s="228"/>
      <c r="U740" s="228"/>
      <c r="V740" s="228"/>
      <c r="W740" s="228"/>
      <c r="X740" s="228"/>
      <c r="Y740" s="228"/>
      <c r="Z740" s="228"/>
      <c r="AA740" s="228"/>
      <c r="AB740" s="228"/>
      <c r="AC740" s="228"/>
      <c r="AD740" s="228"/>
      <c r="AE740" s="228"/>
      <c r="AF740" s="228"/>
      <c r="AG740" s="228"/>
      <c r="AH740" s="228"/>
      <c r="AI740" s="228"/>
      <c r="AJ740" s="228"/>
      <c r="AK740" s="228"/>
      <c r="AL740" s="228"/>
      <c r="AM740" s="228"/>
    </row>
    <row r="741">
      <c r="A741" s="228"/>
      <c r="B741" s="228"/>
      <c r="C741" s="228"/>
      <c r="D741" s="228"/>
      <c r="E741" s="228"/>
      <c r="F741" s="228"/>
      <c r="G741" s="228"/>
      <c r="H741" s="241"/>
      <c r="I741" s="228"/>
      <c r="J741" s="228"/>
      <c r="K741" s="228"/>
      <c r="L741" s="228"/>
      <c r="M741" s="228"/>
      <c r="N741" s="228"/>
      <c r="O741" s="236"/>
      <c r="P741" s="228"/>
      <c r="Q741" s="228"/>
      <c r="R741" s="228"/>
      <c r="S741" s="228"/>
      <c r="T741" s="228"/>
      <c r="U741" s="228"/>
      <c r="V741" s="228"/>
      <c r="W741" s="228"/>
      <c r="X741" s="228"/>
      <c r="Y741" s="228"/>
      <c r="Z741" s="228"/>
      <c r="AA741" s="228"/>
      <c r="AB741" s="228"/>
      <c r="AC741" s="228"/>
      <c r="AD741" s="228"/>
      <c r="AE741" s="228"/>
      <c r="AF741" s="228"/>
      <c r="AG741" s="228"/>
      <c r="AH741" s="228"/>
      <c r="AI741" s="228"/>
      <c r="AJ741" s="228"/>
      <c r="AK741" s="228"/>
      <c r="AL741" s="228"/>
      <c r="AM741" s="228"/>
    </row>
    <row r="742">
      <c r="A742" s="228"/>
      <c r="B742" s="228"/>
      <c r="C742" s="228"/>
      <c r="D742" s="228"/>
      <c r="E742" s="228"/>
      <c r="F742" s="228"/>
      <c r="G742" s="228"/>
      <c r="H742" s="241"/>
      <c r="I742" s="228"/>
      <c r="J742" s="228"/>
      <c r="K742" s="228"/>
      <c r="L742" s="228"/>
      <c r="M742" s="228"/>
      <c r="N742" s="228"/>
      <c r="O742" s="236"/>
      <c r="P742" s="228"/>
      <c r="Q742" s="228"/>
      <c r="R742" s="228"/>
      <c r="S742" s="228"/>
      <c r="T742" s="228"/>
      <c r="U742" s="228"/>
      <c r="V742" s="228"/>
      <c r="W742" s="228"/>
      <c r="X742" s="228"/>
      <c r="Y742" s="228"/>
      <c r="Z742" s="228"/>
      <c r="AA742" s="228"/>
      <c r="AB742" s="228"/>
      <c r="AC742" s="228"/>
      <c r="AD742" s="228"/>
      <c r="AE742" s="228"/>
      <c r="AF742" s="228"/>
      <c r="AG742" s="228"/>
      <c r="AH742" s="228"/>
      <c r="AI742" s="228"/>
      <c r="AJ742" s="228"/>
      <c r="AK742" s="228"/>
      <c r="AL742" s="228"/>
      <c r="AM742" s="228"/>
    </row>
    <row r="743">
      <c r="A743" s="228"/>
      <c r="B743" s="228"/>
      <c r="C743" s="228"/>
      <c r="D743" s="228"/>
      <c r="E743" s="228"/>
      <c r="F743" s="228"/>
      <c r="G743" s="228"/>
      <c r="H743" s="241"/>
      <c r="I743" s="228"/>
      <c r="J743" s="228"/>
      <c r="K743" s="228"/>
      <c r="L743" s="228"/>
      <c r="M743" s="228"/>
      <c r="N743" s="228"/>
      <c r="O743" s="236"/>
      <c r="P743" s="228"/>
      <c r="Q743" s="228"/>
      <c r="R743" s="228"/>
      <c r="S743" s="228"/>
      <c r="T743" s="228"/>
      <c r="U743" s="228"/>
      <c r="V743" s="228"/>
      <c r="W743" s="228"/>
      <c r="X743" s="228"/>
      <c r="Y743" s="228"/>
      <c r="Z743" s="228"/>
      <c r="AA743" s="228"/>
      <c r="AB743" s="228"/>
      <c r="AC743" s="228"/>
      <c r="AD743" s="228"/>
      <c r="AE743" s="228"/>
      <c r="AF743" s="228"/>
      <c r="AG743" s="228"/>
      <c r="AH743" s="228"/>
      <c r="AI743" s="228"/>
      <c r="AJ743" s="228"/>
      <c r="AK743" s="228"/>
      <c r="AL743" s="228"/>
      <c r="AM743" s="228"/>
    </row>
    <row r="744">
      <c r="A744" s="228"/>
      <c r="B744" s="228"/>
      <c r="C744" s="228"/>
      <c r="D744" s="228"/>
      <c r="E744" s="228"/>
      <c r="F744" s="228"/>
      <c r="G744" s="228"/>
      <c r="H744" s="241"/>
      <c r="I744" s="228"/>
      <c r="J744" s="228"/>
      <c r="K744" s="228"/>
      <c r="L744" s="228"/>
      <c r="M744" s="228"/>
      <c r="N744" s="228"/>
      <c r="O744" s="236"/>
      <c r="P744" s="228"/>
      <c r="Q744" s="228"/>
      <c r="R744" s="228"/>
      <c r="S744" s="228"/>
      <c r="T744" s="228"/>
      <c r="U744" s="228"/>
      <c r="V744" s="228"/>
      <c r="W744" s="228"/>
      <c r="X744" s="228"/>
      <c r="Y744" s="228"/>
      <c r="Z744" s="228"/>
      <c r="AA744" s="228"/>
      <c r="AB744" s="228"/>
      <c r="AC744" s="228"/>
      <c r="AD744" s="228"/>
      <c r="AE744" s="228"/>
      <c r="AF744" s="228"/>
      <c r="AG744" s="228"/>
      <c r="AH744" s="228"/>
      <c r="AI744" s="228"/>
      <c r="AJ744" s="228"/>
      <c r="AK744" s="228"/>
      <c r="AL744" s="228"/>
      <c r="AM744" s="228"/>
    </row>
    <row r="745">
      <c r="A745" s="228"/>
      <c r="B745" s="228"/>
      <c r="C745" s="228"/>
      <c r="D745" s="228"/>
      <c r="E745" s="228"/>
      <c r="F745" s="228"/>
      <c r="G745" s="228"/>
      <c r="H745" s="241"/>
      <c r="I745" s="228"/>
      <c r="J745" s="228"/>
      <c r="K745" s="228"/>
      <c r="L745" s="228"/>
      <c r="M745" s="228"/>
      <c r="N745" s="228"/>
      <c r="O745" s="236"/>
      <c r="P745" s="228"/>
      <c r="Q745" s="228"/>
      <c r="R745" s="228"/>
      <c r="S745" s="228"/>
      <c r="T745" s="228"/>
      <c r="U745" s="228"/>
      <c r="V745" s="228"/>
      <c r="W745" s="228"/>
      <c r="X745" s="228"/>
      <c r="Y745" s="228"/>
      <c r="Z745" s="228"/>
      <c r="AA745" s="228"/>
      <c r="AB745" s="228"/>
      <c r="AC745" s="228"/>
      <c r="AD745" s="228"/>
      <c r="AE745" s="228"/>
      <c r="AF745" s="228"/>
      <c r="AG745" s="228"/>
      <c r="AH745" s="228"/>
      <c r="AI745" s="228"/>
      <c r="AJ745" s="228"/>
      <c r="AK745" s="228"/>
      <c r="AL745" s="228"/>
      <c r="AM745" s="228"/>
    </row>
    <row r="746">
      <c r="A746" s="228"/>
      <c r="B746" s="228"/>
      <c r="C746" s="228"/>
      <c r="D746" s="228"/>
      <c r="E746" s="228"/>
      <c r="F746" s="228"/>
      <c r="G746" s="228"/>
      <c r="H746" s="241"/>
      <c r="I746" s="228"/>
      <c r="J746" s="228"/>
      <c r="K746" s="228"/>
      <c r="L746" s="228"/>
      <c r="M746" s="228"/>
      <c r="N746" s="228"/>
      <c r="O746" s="236"/>
      <c r="P746" s="228"/>
      <c r="Q746" s="228"/>
      <c r="R746" s="228"/>
      <c r="S746" s="228"/>
      <c r="T746" s="228"/>
      <c r="U746" s="228"/>
      <c r="V746" s="228"/>
      <c r="W746" s="228"/>
      <c r="X746" s="228"/>
      <c r="Y746" s="228"/>
      <c r="Z746" s="228"/>
      <c r="AA746" s="228"/>
      <c r="AB746" s="228"/>
      <c r="AC746" s="228"/>
      <c r="AD746" s="228"/>
      <c r="AE746" s="228"/>
      <c r="AF746" s="228"/>
      <c r="AG746" s="228"/>
      <c r="AH746" s="228"/>
      <c r="AI746" s="228"/>
      <c r="AJ746" s="228"/>
      <c r="AK746" s="228"/>
      <c r="AL746" s="228"/>
      <c r="AM746" s="228"/>
    </row>
    <row r="747">
      <c r="A747" s="228"/>
      <c r="B747" s="228"/>
      <c r="C747" s="228"/>
      <c r="D747" s="228"/>
      <c r="E747" s="228"/>
      <c r="F747" s="228"/>
      <c r="G747" s="228"/>
      <c r="H747" s="241"/>
      <c r="I747" s="228"/>
      <c r="J747" s="228"/>
      <c r="K747" s="228"/>
      <c r="L747" s="228"/>
      <c r="M747" s="228"/>
      <c r="N747" s="228"/>
      <c r="O747" s="236"/>
      <c r="P747" s="228"/>
      <c r="Q747" s="228"/>
      <c r="R747" s="228"/>
      <c r="S747" s="228"/>
      <c r="T747" s="228"/>
      <c r="U747" s="228"/>
      <c r="V747" s="228"/>
      <c r="W747" s="228"/>
      <c r="X747" s="228"/>
      <c r="Y747" s="228"/>
      <c r="Z747" s="228"/>
      <c r="AA747" s="228"/>
      <c r="AB747" s="228"/>
      <c r="AC747" s="228"/>
      <c r="AD747" s="228"/>
      <c r="AE747" s="228"/>
      <c r="AF747" s="228"/>
      <c r="AG747" s="228"/>
      <c r="AH747" s="228"/>
      <c r="AI747" s="228"/>
      <c r="AJ747" s="228"/>
      <c r="AK747" s="228"/>
      <c r="AL747" s="228"/>
      <c r="AM747" s="228"/>
    </row>
    <row r="748">
      <c r="A748" s="228"/>
      <c r="B748" s="228"/>
      <c r="C748" s="228"/>
      <c r="D748" s="228"/>
      <c r="E748" s="228"/>
      <c r="F748" s="228"/>
      <c r="G748" s="228"/>
      <c r="H748" s="241"/>
      <c r="I748" s="228"/>
      <c r="J748" s="228"/>
      <c r="K748" s="228"/>
      <c r="L748" s="228"/>
      <c r="M748" s="228"/>
      <c r="N748" s="228"/>
      <c r="O748" s="236"/>
      <c r="P748" s="228"/>
      <c r="Q748" s="228"/>
      <c r="R748" s="228"/>
      <c r="S748" s="228"/>
      <c r="T748" s="228"/>
      <c r="U748" s="228"/>
      <c r="V748" s="228"/>
      <c r="W748" s="228"/>
      <c r="X748" s="228"/>
      <c r="Y748" s="228"/>
      <c r="Z748" s="228"/>
      <c r="AA748" s="228"/>
      <c r="AB748" s="228"/>
      <c r="AC748" s="228"/>
      <c r="AD748" s="228"/>
      <c r="AE748" s="228"/>
      <c r="AF748" s="228"/>
      <c r="AG748" s="228"/>
      <c r="AH748" s="228"/>
      <c r="AI748" s="228"/>
      <c r="AJ748" s="228"/>
      <c r="AK748" s="228"/>
      <c r="AL748" s="228"/>
      <c r="AM748" s="228"/>
    </row>
    <row r="749">
      <c r="A749" s="228"/>
      <c r="B749" s="228"/>
      <c r="C749" s="228"/>
      <c r="D749" s="228"/>
      <c r="E749" s="228"/>
      <c r="F749" s="228"/>
      <c r="G749" s="228"/>
      <c r="H749" s="241"/>
      <c r="I749" s="228"/>
      <c r="J749" s="228"/>
      <c r="K749" s="228"/>
      <c r="L749" s="228"/>
      <c r="M749" s="228"/>
      <c r="N749" s="228"/>
      <c r="O749" s="236"/>
      <c r="P749" s="228"/>
      <c r="Q749" s="228"/>
      <c r="R749" s="228"/>
      <c r="S749" s="228"/>
      <c r="T749" s="228"/>
      <c r="U749" s="228"/>
      <c r="V749" s="228"/>
      <c r="W749" s="228"/>
      <c r="X749" s="228"/>
      <c r="Y749" s="228"/>
      <c r="Z749" s="228"/>
      <c r="AA749" s="228"/>
      <c r="AB749" s="228"/>
      <c r="AC749" s="228"/>
      <c r="AD749" s="228"/>
      <c r="AE749" s="228"/>
      <c r="AF749" s="228"/>
      <c r="AG749" s="228"/>
      <c r="AH749" s="228"/>
      <c r="AI749" s="228"/>
      <c r="AJ749" s="228"/>
      <c r="AK749" s="228"/>
      <c r="AL749" s="228"/>
      <c r="AM749" s="228"/>
    </row>
    <row r="750">
      <c r="A750" s="228"/>
      <c r="B750" s="228"/>
      <c r="C750" s="228"/>
      <c r="D750" s="228"/>
      <c r="E750" s="228"/>
      <c r="F750" s="228"/>
      <c r="G750" s="228"/>
      <c r="H750" s="241"/>
      <c r="I750" s="228"/>
      <c r="J750" s="228"/>
      <c r="K750" s="228"/>
      <c r="L750" s="228"/>
      <c r="M750" s="228"/>
      <c r="N750" s="228"/>
      <c r="O750" s="236"/>
      <c r="P750" s="228"/>
      <c r="Q750" s="228"/>
      <c r="R750" s="228"/>
      <c r="S750" s="228"/>
      <c r="T750" s="228"/>
      <c r="U750" s="228"/>
      <c r="V750" s="228"/>
      <c r="W750" s="228"/>
      <c r="X750" s="228"/>
      <c r="Y750" s="228"/>
      <c r="Z750" s="228"/>
      <c r="AA750" s="228"/>
      <c r="AB750" s="228"/>
      <c r="AC750" s="228"/>
      <c r="AD750" s="228"/>
      <c r="AE750" s="228"/>
      <c r="AF750" s="228"/>
      <c r="AG750" s="228"/>
      <c r="AH750" s="228"/>
      <c r="AI750" s="228"/>
      <c r="AJ750" s="228"/>
      <c r="AK750" s="228"/>
      <c r="AL750" s="228"/>
      <c r="AM750" s="228"/>
    </row>
    <row r="751">
      <c r="A751" s="228"/>
      <c r="B751" s="228"/>
      <c r="C751" s="228"/>
      <c r="D751" s="228"/>
      <c r="E751" s="228"/>
      <c r="F751" s="228"/>
      <c r="G751" s="228"/>
      <c r="H751" s="241"/>
      <c r="I751" s="228"/>
      <c r="J751" s="228"/>
      <c r="K751" s="228"/>
      <c r="L751" s="228"/>
      <c r="M751" s="228"/>
      <c r="N751" s="228"/>
      <c r="O751" s="236"/>
      <c r="P751" s="228"/>
      <c r="Q751" s="228"/>
      <c r="R751" s="228"/>
      <c r="S751" s="228"/>
      <c r="T751" s="228"/>
      <c r="U751" s="228"/>
      <c r="V751" s="228"/>
      <c r="W751" s="228"/>
      <c r="X751" s="228"/>
      <c r="Y751" s="228"/>
      <c r="Z751" s="228"/>
      <c r="AA751" s="228"/>
      <c r="AB751" s="228"/>
      <c r="AC751" s="228"/>
      <c r="AD751" s="228"/>
      <c r="AE751" s="228"/>
      <c r="AF751" s="228"/>
      <c r="AG751" s="228"/>
      <c r="AH751" s="228"/>
      <c r="AI751" s="228"/>
      <c r="AJ751" s="228"/>
      <c r="AK751" s="228"/>
      <c r="AL751" s="228"/>
      <c r="AM751" s="228"/>
    </row>
    <row r="752">
      <c r="A752" s="228"/>
      <c r="B752" s="228"/>
      <c r="C752" s="228"/>
      <c r="D752" s="228"/>
      <c r="E752" s="228"/>
      <c r="F752" s="228"/>
      <c r="G752" s="228"/>
      <c r="H752" s="241"/>
      <c r="I752" s="228"/>
      <c r="J752" s="228"/>
      <c r="K752" s="228"/>
      <c r="L752" s="228"/>
      <c r="M752" s="228"/>
      <c r="N752" s="228"/>
      <c r="O752" s="236"/>
      <c r="P752" s="228"/>
      <c r="Q752" s="228"/>
      <c r="R752" s="228"/>
      <c r="S752" s="228"/>
      <c r="T752" s="228"/>
      <c r="U752" s="228"/>
      <c r="V752" s="228"/>
      <c r="W752" s="228"/>
      <c r="X752" s="228"/>
      <c r="Y752" s="228"/>
      <c r="Z752" s="228"/>
      <c r="AA752" s="228"/>
      <c r="AB752" s="228"/>
      <c r="AC752" s="228"/>
      <c r="AD752" s="228"/>
      <c r="AE752" s="228"/>
      <c r="AF752" s="228"/>
      <c r="AG752" s="228"/>
      <c r="AH752" s="228"/>
      <c r="AI752" s="228"/>
      <c r="AJ752" s="228"/>
      <c r="AK752" s="228"/>
      <c r="AL752" s="228"/>
      <c r="AM752" s="228"/>
    </row>
    <row r="753">
      <c r="A753" s="228"/>
      <c r="B753" s="228"/>
      <c r="C753" s="228"/>
      <c r="D753" s="228"/>
      <c r="E753" s="228"/>
      <c r="F753" s="228"/>
      <c r="G753" s="228"/>
      <c r="H753" s="241"/>
      <c r="I753" s="228"/>
      <c r="J753" s="228"/>
      <c r="K753" s="228"/>
      <c r="L753" s="228"/>
      <c r="M753" s="228"/>
      <c r="N753" s="228"/>
      <c r="O753" s="236"/>
      <c r="P753" s="228"/>
      <c r="Q753" s="228"/>
      <c r="R753" s="228"/>
      <c r="S753" s="228"/>
      <c r="T753" s="228"/>
      <c r="U753" s="228"/>
      <c r="V753" s="228"/>
      <c r="W753" s="228"/>
      <c r="X753" s="228"/>
      <c r="Y753" s="228"/>
      <c r="Z753" s="228"/>
      <c r="AA753" s="228"/>
      <c r="AB753" s="228"/>
      <c r="AC753" s="228"/>
      <c r="AD753" s="228"/>
      <c r="AE753" s="228"/>
      <c r="AF753" s="228"/>
      <c r="AG753" s="228"/>
      <c r="AH753" s="228"/>
      <c r="AI753" s="228"/>
      <c r="AJ753" s="228"/>
      <c r="AK753" s="228"/>
      <c r="AL753" s="228"/>
      <c r="AM753" s="228"/>
    </row>
    <row r="754">
      <c r="A754" s="228"/>
      <c r="B754" s="228"/>
      <c r="C754" s="228"/>
      <c r="D754" s="228"/>
      <c r="E754" s="228"/>
      <c r="F754" s="228"/>
      <c r="G754" s="228"/>
      <c r="H754" s="241"/>
      <c r="I754" s="228"/>
      <c r="J754" s="228"/>
      <c r="K754" s="228"/>
      <c r="L754" s="228"/>
      <c r="M754" s="228"/>
      <c r="N754" s="228"/>
      <c r="O754" s="236"/>
      <c r="P754" s="228"/>
      <c r="Q754" s="228"/>
      <c r="R754" s="228"/>
      <c r="S754" s="228"/>
      <c r="T754" s="228"/>
      <c r="U754" s="228"/>
      <c r="V754" s="228"/>
      <c r="W754" s="228"/>
      <c r="X754" s="228"/>
      <c r="Y754" s="228"/>
      <c r="Z754" s="228"/>
      <c r="AA754" s="228"/>
      <c r="AB754" s="228"/>
      <c r="AC754" s="228"/>
      <c r="AD754" s="228"/>
      <c r="AE754" s="228"/>
      <c r="AF754" s="228"/>
      <c r="AG754" s="228"/>
      <c r="AH754" s="228"/>
      <c r="AI754" s="228"/>
      <c r="AJ754" s="228"/>
      <c r="AK754" s="228"/>
      <c r="AL754" s="228"/>
      <c r="AM754" s="228"/>
    </row>
    <row r="755">
      <c r="A755" s="228"/>
      <c r="B755" s="228"/>
      <c r="C755" s="228"/>
      <c r="D755" s="228"/>
      <c r="E755" s="228"/>
      <c r="F755" s="228"/>
      <c r="G755" s="228"/>
      <c r="H755" s="241"/>
      <c r="I755" s="228"/>
      <c r="J755" s="228"/>
      <c r="K755" s="228"/>
      <c r="L755" s="228"/>
      <c r="M755" s="228"/>
      <c r="N755" s="228"/>
      <c r="O755" s="236"/>
      <c r="P755" s="228"/>
      <c r="Q755" s="228"/>
      <c r="R755" s="228"/>
      <c r="S755" s="228"/>
      <c r="T755" s="228"/>
      <c r="U755" s="228"/>
      <c r="V755" s="228"/>
      <c r="W755" s="228"/>
      <c r="X755" s="228"/>
      <c r="Y755" s="228"/>
      <c r="Z755" s="228"/>
      <c r="AA755" s="228"/>
      <c r="AB755" s="228"/>
      <c r="AC755" s="228"/>
      <c r="AD755" s="228"/>
      <c r="AE755" s="228"/>
      <c r="AF755" s="228"/>
      <c r="AG755" s="228"/>
      <c r="AH755" s="228"/>
      <c r="AI755" s="228"/>
      <c r="AJ755" s="228"/>
      <c r="AK755" s="228"/>
      <c r="AL755" s="228"/>
      <c r="AM755" s="228"/>
    </row>
    <row r="756">
      <c r="A756" s="228"/>
      <c r="B756" s="228"/>
      <c r="C756" s="228"/>
      <c r="D756" s="228"/>
      <c r="E756" s="228"/>
      <c r="F756" s="228"/>
      <c r="G756" s="228"/>
      <c r="H756" s="241"/>
      <c r="I756" s="228"/>
      <c r="J756" s="228"/>
      <c r="K756" s="228"/>
      <c r="L756" s="228"/>
      <c r="M756" s="228"/>
      <c r="N756" s="228"/>
      <c r="O756" s="236"/>
      <c r="P756" s="228"/>
      <c r="Q756" s="228"/>
      <c r="R756" s="228"/>
      <c r="S756" s="228"/>
      <c r="T756" s="228"/>
      <c r="U756" s="228"/>
      <c r="V756" s="228"/>
      <c r="W756" s="228"/>
      <c r="X756" s="228"/>
      <c r="Y756" s="228"/>
      <c r="Z756" s="228"/>
      <c r="AA756" s="228"/>
      <c r="AB756" s="228"/>
      <c r="AC756" s="228"/>
      <c r="AD756" s="228"/>
      <c r="AE756" s="228"/>
      <c r="AF756" s="228"/>
      <c r="AG756" s="228"/>
      <c r="AH756" s="228"/>
      <c r="AI756" s="228"/>
      <c r="AJ756" s="228"/>
      <c r="AK756" s="228"/>
      <c r="AL756" s="228"/>
      <c r="AM756" s="228"/>
    </row>
    <row r="757">
      <c r="A757" s="228"/>
      <c r="B757" s="228"/>
      <c r="C757" s="228"/>
      <c r="D757" s="228"/>
      <c r="E757" s="228"/>
      <c r="F757" s="228"/>
      <c r="G757" s="228"/>
      <c r="H757" s="241"/>
      <c r="I757" s="228"/>
      <c r="J757" s="228"/>
      <c r="K757" s="228"/>
      <c r="L757" s="228"/>
      <c r="M757" s="228"/>
      <c r="N757" s="228"/>
      <c r="O757" s="236"/>
      <c r="P757" s="228"/>
      <c r="Q757" s="228"/>
      <c r="R757" s="228"/>
      <c r="S757" s="228"/>
      <c r="T757" s="228"/>
      <c r="U757" s="228"/>
      <c r="V757" s="228"/>
      <c r="W757" s="228"/>
      <c r="X757" s="228"/>
      <c r="Y757" s="228"/>
      <c r="Z757" s="228"/>
      <c r="AA757" s="228"/>
      <c r="AB757" s="228"/>
      <c r="AC757" s="228"/>
      <c r="AD757" s="228"/>
      <c r="AE757" s="228"/>
      <c r="AF757" s="228"/>
      <c r="AG757" s="228"/>
      <c r="AH757" s="228"/>
      <c r="AI757" s="228"/>
      <c r="AJ757" s="228"/>
      <c r="AK757" s="228"/>
      <c r="AL757" s="228"/>
      <c r="AM757" s="228"/>
    </row>
    <row r="758">
      <c r="A758" s="228"/>
      <c r="B758" s="228"/>
      <c r="C758" s="228"/>
      <c r="D758" s="228"/>
      <c r="E758" s="228"/>
      <c r="F758" s="228"/>
      <c r="G758" s="228"/>
      <c r="H758" s="241"/>
      <c r="I758" s="228"/>
      <c r="J758" s="228"/>
      <c r="K758" s="228"/>
      <c r="L758" s="228"/>
      <c r="M758" s="228"/>
      <c r="N758" s="228"/>
      <c r="O758" s="236"/>
      <c r="P758" s="228"/>
      <c r="Q758" s="228"/>
      <c r="R758" s="228"/>
      <c r="S758" s="228"/>
      <c r="T758" s="228"/>
      <c r="U758" s="228"/>
      <c r="V758" s="228"/>
      <c r="W758" s="228"/>
      <c r="X758" s="228"/>
      <c r="Y758" s="228"/>
      <c r="Z758" s="228"/>
      <c r="AA758" s="228"/>
      <c r="AB758" s="228"/>
      <c r="AC758" s="228"/>
      <c r="AD758" s="228"/>
      <c r="AE758" s="228"/>
      <c r="AF758" s="228"/>
      <c r="AG758" s="228"/>
      <c r="AH758" s="228"/>
      <c r="AI758" s="228"/>
      <c r="AJ758" s="228"/>
      <c r="AK758" s="228"/>
      <c r="AL758" s="228"/>
      <c r="AM758" s="228"/>
    </row>
    <row r="759">
      <c r="A759" s="228"/>
      <c r="B759" s="228"/>
      <c r="C759" s="228"/>
      <c r="D759" s="228"/>
      <c r="E759" s="228"/>
      <c r="F759" s="228"/>
      <c r="G759" s="228"/>
      <c r="H759" s="241"/>
      <c r="I759" s="228"/>
      <c r="J759" s="228"/>
      <c r="K759" s="228"/>
      <c r="L759" s="228"/>
      <c r="M759" s="228"/>
      <c r="N759" s="228"/>
      <c r="O759" s="236"/>
      <c r="P759" s="228"/>
      <c r="Q759" s="228"/>
      <c r="R759" s="228"/>
      <c r="S759" s="228"/>
      <c r="T759" s="228"/>
      <c r="U759" s="228"/>
      <c r="V759" s="228"/>
      <c r="W759" s="228"/>
      <c r="X759" s="228"/>
      <c r="Y759" s="228"/>
      <c r="Z759" s="228"/>
      <c r="AA759" s="228"/>
      <c r="AB759" s="228"/>
      <c r="AC759" s="228"/>
      <c r="AD759" s="228"/>
      <c r="AE759" s="228"/>
      <c r="AF759" s="228"/>
      <c r="AG759" s="228"/>
      <c r="AH759" s="228"/>
      <c r="AI759" s="228"/>
      <c r="AJ759" s="228"/>
      <c r="AK759" s="228"/>
      <c r="AL759" s="228"/>
      <c r="AM759" s="228"/>
    </row>
    <row r="760">
      <c r="A760" s="228"/>
      <c r="B760" s="228"/>
      <c r="C760" s="228"/>
      <c r="D760" s="228"/>
      <c r="E760" s="228"/>
      <c r="F760" s="228"/>
      <c r="G760" s="228"/>
      <c r="H760" s="241"/>
      <c r="I760" s="228"/>
      <c r="J760" s="228"/>
      <c r="K760" s="228"/>
      <c r="L760" s="228"/>
      <c r="M760" s="228"/>
      <c r="N760" s="228"/>
      <c r="O760" s="236"/>
      <c r="P760" s="228"/>
      <c r="Q760" s="228"/>
      <c r="R760" s="228"/>
      <c r="S760" s="228"/>
      <c r="T760" s="228"/>
      <c r="U760" s="228"/>
      <c r="V760" s="228"/>
      <c r="W760" s="228"/>
      <c r="X760" s="228"/>
      <c r="Y760" s="228"/>
      <c r="Z760" s="228"/>
      <c r="AA760" s="228"/>
      <c r="AB760" s="228"/>
      <c r="AC760" s="228"/>
      <c r="AD760" s="228"/>
      <c r="AE760" s="228"/>
      <c r="AF760" s="228"/>
      <c r="AG760" s="228"/>
      <c r="AH760" s="228"/>
      <c r="AI760" s="228"/>
      <c r="AJ760" s="228"/>
      <c r="AK760" s="228"/>
      <c r="AL760" s="228"/>
      <c r="AM760" s="228"/>
    </row>
    <row r="761">
      <c r="A761" s="228"/>
      <c r="B761" s="228"/>
      <c r="C761" s="228"/>
      <c r="D761" s="228"/>
      <c r="E761" s="228"/>
      <c r="F761" s="228"/>
      <c r="G761" s="228"/>
      <c r="H761" s="241"/>
      <c r="I761" s="228"/>
      <c r="J761" s="228"/>
      <c r="K761" s="228"/>
      <c r="L761" s="228"/>
      <c r="M761" s="228"/>
      <c r="N761" s="228"/>
      <c r="O761" s="236"/>
      <c r="P761" s="228"/>
      <c r="Q761" s="228"/>
      <c r="R761" s="228"/>
      <c r="S761" s="228"/>
      <c r="T761" s="228"/>
      <c r="U761" s="228"/>
      <c r="V761" s="228"/>
      <c r="W761" s="228"/>
      <c r="X761" s="228"/>
      <c r="Y761" s="228"/>
      <c r="Z761" s="228"/>
      <c r="AA761" s="228"/>
      <c r="AB761" s="228"/>
      <c r="AC761" s="228"/>
      <c r="AD761" s="228"/>
      <c r="AE761" s="228"/>
      <c r="AF761" s="228"/>
      <c r="AG761" s="228"/>
      <c r="AH761" s="228"/>
      <c r="AI761" s="228"/>
      <c r="AJ761" s="228"/>
      <c r="AK761" s="228"/>
      <c r="AL761" s="228"/>
      <c r="AM761" s="228"/>
    </row>
    <row r="762">
      <c r="A762" s="228"/>
      <c r="B762" s="228"/>
      <c r="C762" s="228"/>
      <c r="D762" s="228"/>
      <c r="E762" s="228"/>
      <c r="F762" s="228"/>
      <c r="G762" s="228"/>
      <c r="H762" s="241"/>
      <c r="I762" s="228"/>
      <c r="J762" s="228"/>
      <c r="K762" s="228"/>
      <c r="L762" s="228"/>
      <c r="M762" s="228"/>
      <c r="N762" s="228"/>
      <c r="O762" s="236"/>
      <c r="P762" s="228"/>
      <c r="Q762" s="228"/>
      <c r="R762" s="228"/>
      <c r="S762" s="228"/>
      <c r="T762" s="228"/>
      <c r="U762" s="228"/>
      <c r="V762" s="228"/>
      <c r="W762" s="228"/>
      <c r="X762" s="228"/>
      <c r="Y762" s="228"/>
      <c r="Z762" s="228"/>
      <c r="AA762" s="228"/>
      <c r="AB762" s="228"/>
      <c r="AC762" s="228"/>
      <c r="AD762" s="228"/>
      <c r="AE762" s="228"/>
      <c r="AF762" s="228"/>
      <c r="AG762" s="228"/>
      <c r="AH762" s="228"/>
      <c r="AI762" s="228"/>
      <c r="AJ762" s="228"/>
      <c r="AK762" s="228"/>
      <c r="AL762" s="228"/>
      <c r="AM762" s="228"/>
    </row>
    <row r="763">
      <c r="A763" s="228"/>
      <c r="B763" s="228"/>
      <c r="C763" s="228"/>
      <c r="D763" s="228"/>
      <c r="E763" s="228"/>
      <c r="F763" s="228"/>
      <c r="G763" s="228"/>
      <c r="H763" s="241"/>
      <c r="I763" s="228"/>
      <c r="J763" s="228"/>
      <c r="K763" s="228"/>
      <c r="L763" s="228"/>
      <c r="M763" s="228"/>
      <c r="N763" s="228"/>
      <c r="O763" s="236"/>
      <c r="P763" s="228"/>
      <c r="Q763" s="228"/>
      <c r="R763" s="228"/>
      <c r="S763" s="228"/>
      <c r="T763" s="228"/>
      <c r="U763" s="228"/>
      <c r="V763" s="228"/>
      <c r="W763" s="228"/>
      <c r="X763" s="228"/>
      <c r="Y763" s="228"/>
      <c r="Z763" s="228"/>
      <c r="AA763" s="228"/>
      <c r="AB763" s="228"/>
      <c r="AC763" s="228"/>
      <c r="AD763" s="228"/>
      <c r="AE763" s="228"/>
      <c r="AF763" s="228"/>
      <c r="AG763" s="228"/>
      <c r="AH763" s="228"/>
      <c r="AI763" s="228"/>
      <c r="AJ763" s="228"/>
      <c r="AK763" s="228"/>
      <c r="AL763" s="228"/>
      <c r="AM763" s="228"/>
    </row>
    <row r="764">
      <c r="A764" s="228"/>
      <c r="B764" s="228"/>
      <c r="C764" s="228"/>
      <c r="D764" s="228"/>
      <c r="E764" s="228"/>
      <c r="F764" s="228"/>
      <c r="G764" s="228"/>
      <c r="H764" s="241"/>
      <c r="I764" s="228"/>
      <c r="J764" s="228"/>
      <c r="K764" s="228"/>
      <c r="L764" s="228"/>
      <c r="M764" s="228"/>
      <c r="N764" s="228"/>
      <c r="O764" s="236"/>
      <c r="P764" s="228"/>
      <c r="Q764" s="228"/>
      <c r="R764" s="228"/>
      <c r="S764" s="228"/>
      <c r="T764" s="228"/>
      <c r="U764" s="228"/>
      <c r="V764" s="228"/>
      <c r="W764" s="228"/>
      <c r="X764" s="228"/>
      <c r="Y764" s="228"/>
      <c r="Z764" s="228"/>
      <c r="AA764" s="228"/>
      <c r="AB764" s="228"/>
      <c r="AC764" s="228"/>
      <c r="AD764" s="228"/>
      <c r="AE764" s="228"/>
      <c r="AF764" s="228"/>
      <c r="AG764" s="228"/>
      <c r="AH764" s="228"/>
      <c r="AI764" s="228"/>
      <c r="AJ764" s="228"/>
      <c r="AK764" s="228"/>
      <c r="AL764" s="228"/>
      <c r="AM764" s="228"/>
    </row>
    <row r="765">
      <c r="A765" s="228"/>
      <c r="B765" s="228"/>
      <c r="C765" s="228"/>
      <c r="D765" s="228"/>
      <c r="E765" s="228"/>
      <c r="F765" s="228"/>
      <c r="G765" s="228"/>
      <c r="H765" s="241"/>
      <c r="I765" s="228"/>
      <c r="J765" s="228"/>
      <c r="K765" s="228"/>
      <c r="L765" s="228"/>
      <c r="M765" s="228"/>
      <c r="N765" s="228"/>
      <c r="O765" s="236"/>
      <c r="P765" s="228"/>
      <c r="Q765" s="228"/>
      <c r="R765" s="228"/>
      <c r="S765" s="228"/>
      <c r="T765" s="228"/>
      <c r="U765" s="228"/>
      <c r="V765" s="228"/>
      <c r="W765" s="228"/>
      <c r="X765" s="228"/>
      <c r="Y765" s="228"/>
      <c r="Z765" s="228"/>
      <c r="AA765" s="228"/>
      <c r="AB765" s="228"/>
      <c r="AC765" s="228"/>
      <c r="AD765" s="228"/>
      <c r="AE765" s="228"/>
      <c r="AF765" s="228"/>
      <c r="AG765" s="228"/>
      <c r="AH765" s="228"/>
      <c r="AI765" s="228"/>
      <c r="AJ765" s="228"/>
      <c r="AK765" s="228"/>
      <c r="AL765" s="228"/>
      <c r="AM765" s="228"/>
    </row>
    <row r="766">
      <c r="A766" s="228"/>
      <c r="B766" s="228"/>
      <c r="C766" s="228"/>
      <c r="D766" s="228"/>
      <c r="E766" s="228"/>
      <c r="F766" s="228"/>
      <c r="G766" s="228"/>
      <c r="H766" s="241"/>
      <c r="I766" s="228"/>
      <c r="J766" s="228"/>
      <c r="K766" s="228"/>
      <c r="L766" s="228"/>
      <c r="M766" s="228"/>
      <c r="N766" s="228"/>
      <c r="O766" s="236"/>
      <c r="P766" s="228"/>
      <c r="Q766" s="228"/>
      <c r="R766" s="228"/>
      <c r="S766" s="228"/>
      <c r="T766" s="228"/>
      <c r="U766" s="228"/>
      <c r="V766" s="228"/>
      <c r="W766" s="228"/>
      <c r="X766" s="228"/>
      <c r="Y766" s="228"/>
      <c r="Z766" s="228"/>
      <c r="AA766" s="228"/>
      <c r="AB766" s="228"/>
      <c r="AC766" s="228"/>
      <c r="AD766" s="228"/>
      <c r="AE766" s="228"/>
      <c r="AF766" s="228"/>
      <c r="AG766" s="228"/>
      <c r="AH766" s="228"/>
      <c r="AI766" s="228"/>
      <c r="AJ766" s="228"/>
      <c r="AK766" s="228"/>
      <c r="AL766" s="228"/>
      <c r="AM766" s="228"/>
    </row>
    <row r="767">
      <c r="A767" s="228"/>
      <c r="B767" s="228"/>
      <c r="C767" s="228"/>
      <c r="D767" s="228"/>
      <c r="E767" s="228"/>
      <c r="F767" s="228"/>
      <c r="G767" s="228"/>
      <c r="H767" s="241"/>
      <c r="I767" s="228"/>
      <c r="J767" s="228"/>
      <c r="K767" s="228"/>
      <c r="L767" s="228"/>
      <c r="M767" s="228"/>
      <c r="N767" s="228"/>
      <c r="O767" s="236"/>
      <c r="P767" s="228"/>
      <c r="Q767" s="228"/>
      <c r="R767" s="228"/>
      <c r="S767" s="228"/>
      <c r="T767" s="228"/>
      <c r="U767" s="228"/>
      <c r="V767" s="228"/>
      <c r="W767" s="228"/>
      <c r="X767" s="228"/>
      <c r="Y767" s="228"/>
      <c r="Z767" s="228"/>
      <c r="AA767" s="228"/>
      <c r="AB767" s="228"/>
      <c r="AC767" s="228"/>
      <c r="AD767" s="228"/>
      <c r="AE767" s="228"/>
      <c r="AF767" s="228"/>
      <c r="AG767" s="228"/>
      <c r="AH767" s="228"/>
      <c r="AI767" s="228"/>
      <c r="AJ767" s="228"/>
      <c r="AK767" s="228"/>
      <c r="AL767" s="228"/>
      <c r="AM767" s="228"/>
    </row>
    <row r="768">
      <c r="A768" s="228"/>
      <c r="B768" s="228"/>
      <c r="C768" s="228"/>
      <c r="D768" s="228"/>
      <c r="E768" s="228"/>
      <c r="F768" s="228"/>
      <c r="G768" s="228"/>
      <c r="H768" s="241"/>
      <c r="I768" s="228"/>
      <c r="J768" s="228"/>
      <c r="K768" s="228"/>
      <c r="L768" s="228"/>
      <c r="M768" s="228"/>
      <c r="N768" s="228"/>
      <c r="O768" s="236"/>
      <c r="P768" s="228"/>
      <c r="Q768" s="228"/>
      <c r="R768" s="228"/>
      <c r="S768" s="228"/>
      <c r="T768" s="228"/>
      <c r="U768" s="228"/>
      <c r="V768" s="228"/>
      <c r="W768" s="228"/>
      <c r="X768" s="228"/>
      <c r="Y768" s="228"/>
      <c r="Z768" s="228"/>
      <c r="AA768" s="228"/>
      <c r="AB768" s="228"/>
      <c r="AC768" s="228"/>
      <c r="AD768" s="228"/>
      <c r="AE768" s="228"/>
      <c r="AF768" s="228"/>
      <c r="AG768" s="228"/>
      <c r="AH768" s="228"/>
      <c r="AI768" s="228"/>
      <c r="AJ768" s="228"/>
      <c r="AK768" s="228"/>
      <c r="AL768" s="228"/>
      <c r="AM768" s="228"/>
    </row>
    <row r="769">
      <c r="A769" s="228"/>
      <c r="B769" s="228"/>
      <c r="C769" s="228"/>
      <c r="D769" s="228"/>
      <c r="E769" s="228"/>
      <c r="F769" s="228"/>
      <c r="G769" s="228"/>
      <c r="H769" s="241"/>
      <c r="I769" s="228"/>
      <c r="J769" s="228"/>
      <c r="K769" s="228"/>
      <c r="L769" s="228"/>
      <c r="M769" s="228"/>
      <c r="N769" s="228"/>
      <c r="O769" s="236"/>
      <c r="P769" s="228"/>
      <c r="Q769" s="228"/>
      <c r="R769" s="228"/>
      <c r="S769" s="228"/>
      <c r="T769" s="228"/>
      <c r="U769" s="228"/>
      <c r="V769" s="228"/>
      <c r="W769" s="228"/>
      <c r="X769" s="228"/>
      <c r="Y769" s="228"/>
      <c r="Z769" s="228"/>
      <c r="AA769" s="228"/>
      <c r="AB769" s="228"/>
      <c r="AC769" s="228"/>
      <c r="AD769" s="228"/>
      <c r="AE769" s="228"/>
      <c r="AF769" s="228"/>
      <c r="AG769" s="228"/>
      <c r="AH769" s="228"/>
      <c r="AI769" s="228"/>
      <c r="AJ769" s="228"/>
      <c r="AK769" s="228"/>
      <c r="AL769" s="228"/>
      <c r="AM769" s="228"/>
    </row>
    <row r="770">
      <c r="A770" s="228"/>
      <c r="B770" s="228"/>
      <c r="C770" s="228"/>
      <c r="D770" s="228"/>
      <c r="E770" s="228"/>
      <c r="F770" s="228"/>
      <c r="G770" s="228"/>
      <c r="H770" s="241"/>
      <c r="I770" s="228"/>
      <c r="J770" s="228"/>
      <c r="K770" s="228"/>
      <c r="L770" s="228"/>
      <c r="M770" s="228"/>
      <c r="N770" s="228"/>
      <c r="O770" s="236"/>
      <c r="P770" s="228"/>
      <c r="Q770" s="228"/>
      <c r="R770" s="228"/>
      <c r="S770" s="228"/>
      <c r="T770" s="228"/>
      <c r="U770" s="228"/>
      <c r="V770" s="228"/>
      <c r="W770" s="228"/>
      <c r="X770" s="228"/>
      <c r="Y770" s="228"/>
      <c r="Z770" s="228"/>
      <c r="AA770" s="228"/>
      <c r="AB770" s="228"/>
      <c r="AC770" s="228"/>
      <c r="AD770" s="228"/>
      <c r="AE770" s="228"/>
      <c r="AF770" s="228"/>
      <c r="AG770" s="228"/>
      <c r="AH770" s="228"/>
      <c r="AI770" s="228"/>
      <c r="AJ770" s="228"/>
      <c r="AK770" s="228"/>
      <c r="AL770" s="228"/>
      <c r="AM770" s="228"/>
    </row>
    <row r="771">
      <c r="A771" s="228"/>
      <c r="B771" s="228"/>
      <c r="C771" s="228"/>
      <c r="D771" s="228"/>
      <c r="E771" s="228"/>
      <c r="F771" s="228"/>
      <c r="G771" s="228"/>
      <c r="H771" s="241"/>
      <c r="I771" s="228"/>
      <c r="J771" s="228"/>
      <c r="K771" s="228"/>
      <c r="L771" s="228"/>
      <c r="M771" s="228"/>
      <c r="N771" s="228"/>
      <c r="O771" s="236"/>
      <c r="P771" s="228"/>
      <c r="Q771" s="228"/>
      <c r="R771" s="228"/>
      <c r="S771" s="228"/>
      <c r="T771" s="228"/>
      <c r="U771" s="228"/>
      <c r="V771" s="228"/>
      <c r="W771" s="228"/>
      <c r="X771" s="228"/>
      <c r="Y771" s="228"/>
      <c r="Z771" s="228"/>
      <c r="AA771" s="228"/>
      <c r="AB771" s="228"/>
      <c r="AC771" s="228"/>
      <c r="AD771" s="228"/>
      <c r="AE771" s="228"/>
      <c r="AF771" s="228"/>
      <c r="AG771" s="228"/>
      <c r="AH771" s="228"/>
      <c r="AI771" s="228"/>
      <c r="AJ771" s="228"/>
      <c r="AK771" s="228"/>
      <c r="AL771" s="228"/>
      <c r="AM771" s="228"/>
    </row>
    <row r="772">
      <c r="A772" s="228"/>
      <c r="B772" s="228"/>
      <c r="C772" s="228"/>
      <c r="D772" s="228"/>
      <c r="E772" s="228"/>
      <c r="F772" s="228"/>
      <c r="G772" s="228"/>
      <c r="H772" s="241"/>
      <c r="I772" s="228"/>
      <c r="J772" s="228"/>
      <c r="K772" s="228"/>
      <c r="L772" s="228"/>
      <c r="M772" s="228"/>
      <c r="N772" s="228"/>
      <c r="O772" s="236"/>
      <c r="P772" s="228"/>
      <c r="Q772" s="228"/>
      <c r="R772" s="228"/>
      <c r="S772" s="228"/>
      <c r="T772" s="228"/>
      <c r="U772" s="228"/>
      <c r="V772" s="228"/>
      <c r="W772" s="228"/>
      <c r="X772" s="228"/>
      <c r="Y772" s="228"/>
      <c r="Z772" s="228"/>
      <c r="AA772" s="228"/>
      <c r="AB772" s="228"/>
      <c r="AC772" s="228"/>
      <c r="AD772" s="228"/>
      <c r="AE772" s="228"/>
      <c r="AF772" s="228"/>
      <c r="AG772" s="228"/>
      <c r="AH772" s="228"/>
      <c r="AI772" s="228"/>
      <c r="AJ772" s="228"/>
      <c r="AK772" s="228"/>
      <c r="AL772" s="228"/>
      <c r="AM772" s="228"/>
    </row>
    <row r="773">
      <c r="A773" s="228"/>
      <c r="B773" s="228"/>
      <c r="C773" s="228"/>
      <c r="D773" s="228"/>
      <c r="E773" s="228"/>
      <c r="F773" s="228"/>
      <c r="G773" s="228"/>
      <c r="H773" s="241"/>
      <c r="I773" s="228"/>
      <c r="J773" s="228"/>
      <c r="K773" s="228"/>
      <c r="L773" s="228"/>
      <c r="M773" s="228"/>
      <c r="N773" s="228"/>
      <c r="O773" s="236"/>
      <c r="P773" s="228"/>
      <c r="Q773" s="228"/>
      <c r="R773" s="228"/>
      <c r="S773" s="228"/>
      <c r="T773" s="228"/>
      <c r="U773" s="228"/>
      <c r="V773" s="228"/>
      <c r="W773" s="228"/>
      <c r="X773" s="228"/>
      <c r="Y773" s="228"/>
      <c r="Z773" s="228"/>
      <c r="AA773" s="228"/>
      <c r="AB773" s="228"/>
      <c r="AC773" s="228"/>
      <c r="AD773" s="228"/>
      <c r="AE773" s="228"/>
      <c r="AF773" s="228"/>
      <c r="AG773" s="228"/>
      <c r="AH773" s="228"/>
      <c r="AI773" s="228"/>
      <c r="AJ773" s="228"/>
      <c r="AK773" s="228"/>
      <c r="AL773" s="228"/>
      <c r="AM773" s="228"/>
    </row>
    <row r="774">
      <c r="A774" s="228"/>
      <c r="B774" s="228"/>
      <c r="C774" s="228"/>
      <c r="D774" s="228"/>
      <c r="E774" s="228"/>
      <c r="F774" s="228"/>
      <c r="G774" s="228"/>
      <c r="H774" s="241"/>
      <c r="I774" s="228"/>
      <c r="J774" s="228"/>
      <c r="K774" s="228"/>
      <c r="L774" s="228"/>
      <c r="M774" s="228"/>
      <c r="N774" s="228"/>
      <c r="O774" s="236"/>
      <c r="P774" s="228"/>
      <c r="Q774" s="228"/>
      <c r="R774" s="228"/>
      <c r="S774" s="228"/>
      <c r="T774" s="228"/>
      <c r="U774" s="228"/>
      <c r="V774" s="228"/>
      <c r="W774" s="228"/>
      <c r="X774" s="228"/>
      <c r="Y774" s="228"/>
      <c r="Z774" s="228"/>
      <c r="AA774" s="228"/>
      <c r="AB774" s="228"/>
      <c r="AC774" s="228"/>
      <c r="AD774" s="228"/>
      <c r="AE774" s="228"/>
      <c r="AF774" s="228"/>
      <c r="AG774" s="228"/>
      <c r="AH774" s="228"/>
      <c r="AI774" s="228"/>
      <c r="AJ774" s="228"/>
      <c r="AK774" s="228"/>
      <c r="AL774" s="228"/>
      <c r="AM774" s="228"/>
    </row>
    <row r="775">
      <c r="A775" s="228"/>
      <c r="B775" s="228"/>
      <c r="C775" s="228"/>
      <c r="D775" s="228"/>
      <c r="E775" s="228"/>
      <c r="F775" s="228"/>
      <c r="G775" s="228"/>
      <c r="H775" s="241"/>
      <c r="I775" s="228"/>
      <c r="J775" s="228"/>
      <c r="K775" s="228"/>
      <c r="L775" s="228"/>
      <c r="M775" s="228"/>
      <c r="N775" s="228"/>
      <c r="O775" s="236"/>
      <c r="P775" s="228"/>
      <c r="Q775" s="228"/>
      <c r="R775" s="228"/>
      <c r="S775" s="228"/>
      <c r="T775" s="228"/>
      <c r="U775" s="228"/>
      <c r="V775" s="228"/>
      <c r="W775" s="228"/>
      <c r="X775" s="228"/>
      <c r="Y775" s="228"/>
      <c r="Z775" s="228"/>
      <c r="AA775" s="228"/>
      <c r="AB775" s="228"/>
      <c r="AC775" s="228"/>
      <c r="AD775" s="228"/>
      <c r="AE775" s="228"/>
      <c r="AF775" s="228"/>
      <c r="AG775" s="228"/>
      <c r="AH775" s="228"/>
      <c r="AI775" s="228"/>
      <c r="AJ775" s="228"/>
      <c r="AK775" s="228"/>
      <c r="AL775" s="228"/>
      <c r="AM775" s="228"/>
    </row>
    <row r="776">
      <c r="A776" s="228"/>
      <c r="B776" s="228"/>
      <c r="C776" s="228"/>
      <c r="D776" s="228"/>
      <c r="E776" s="228"/>
      <c r="F776" s="228"/>
      <c r="G776" s="228"/>
      <c r="H776" s="241"/>
      <c r="I776" s="228"/>
      <c r="J776" s="228"/>
      <c r="K776" s="228"/>
      <c r="L776" s="228"/>
      <c r="M776" s="228"/>
      <c r="N776" s="228"/>
      <c r="O776" s="236"/>
      <c r="P776" s="228"/>
      <c r="Q776" s="228"/>
      <c r="R776" s="228"/>
      <c r="S776" s="228"/>
      <c r="T776" s="228"/>
      <c r="U776" s="228"/>
      <c r="V776" s="228"/>
      <c r="W776" s="228"/>
      <c r="X776" s="228"/>
      <c r="Y776" s="228"/>
      <c r="Z776" s="228"/>
      <c r="AA776" s="228"/>
      <c r="AB776" s="228"/>
      <c r="AC776" s="228"/>
      <c r="AD776" s="228"/>
      <c r="AE776" s="228"/>
      <c r="AF776" s="228"/>
      <c r="AG776" s="228"/>
      <c r="AH776" s="228"/>
      <c r="AI776" s="228"/>
      <c r="AJ776" s="228"/>
      <c r="AK776" s="228"/>
      <c r="AL776" s="228"/>
      <c r="AM776" s="228"/>
    </row>
    <row r="777">
      <c r="A777" s="228"/>
      <c r="B777" s="228"/>
      <c r="C777" s="228"/>
      <c r="D777" s="228"/>
      <c r="E777" s="228"/>
      <c r="F777" s="228"/>
      <c r="G777" s="228"/>
      <c r="H777" s="241"/>
      <c r="I777" s="228"/>
      <c r="J777" s="228"/>
      <c r="K777" s="228"/>
      <c r="L777" s="228"/>
      <c r="M777" s="228"/>
      <c r="N777" s="228"/>
      <c r="O777" s="236"/>
      <c r="P777" s="228"/>
      <c r="Q777" s="228"/>
      <c r="R777" s="228"/>
      <c r="S777" s="228"/>
      <c r="T777" s="228"/>
      <c r="U777" s="228"/>
      <c r="V777" s="228"/>
      <c r="W777" s="228"/>
      <c r="X777" s="228"/>
      <c r="Y777" s="228"/>
      <c r="Z777" s="228"/>
      <c r="AA777" s="228"/>
      <c r="AB777" s="228"/>
      <c r="AC777" s="228"/>
      <c r="AD777" s="228"/>
      <c r="AE777" s="228"/>
      <c r="AF777" s="228"/>
      <c r="AG777" s="228"/>
      <c r="AH777" s="228"/>
      <c r="AI777" s="228"/>
      <c r="AJ777" s="228"/>
      <c r="AK777" s="228"/>
      <c r="AL777" s="228"/>
      <c r="AM777" s="228"/>
    </row>
    <row r="778">
      <c r="A778" s="228"/>
      <c r="B778" s="228"/>
      <c r="C778" s="228"/>
      <c r="D778" s="228"/>
      <c r="E778" s="228"/>
      <c r="F778" s="228"/>
      <c r="G778" s="228"/>
      <c r="H778" s="241"/>
      <c r="I778" s="228"/>
      <c r="J778" s="228"/>
      <c r="K778" s="228"/>
      <c r="L778" s="228"/>
      <c r="M778" s="228"/>
      <c r="N778" s="228"/>
      <c r="O778" s="236"/>
      <c r="P778" s="228"/>
      <c r="Q778" s="228"/>
      <c r="R778" s="228"/>
      <c r="S778" s="228"/>
      <c r="T778" s="228"/>
      <c r="U778" s="228"/>
      <c r="V778" s="228"/>
      <c r="W778" s="228"/>
      <c r="X778" s="228"/>
      <c r="Y778" s="228"/>
      <c r="Z778" s="228"/>
      <c r="AA778" s="228"/>
      <c r="AB778" s="228"/>
      <c r="AC778" s="228"/>
      <c r="AD778" s="228"/>
      <c r="AE778" s="228"/>
      <c r="AF778" s="228"/>
      <c r="AG778" s="228"/>
      <c r="AH778" s="228"/>
      <c r="AI778" s="228"/>
      <c r="AJ778" s="228"/>
      <c r="AK778" s="228"/>
      <c r="AL778" s="228"/>
      <c r="AM778" s="228"/>
    </row>
    <row r="779">
      <c r="A779" s="228"/>
      <c r="B779" s="228"/>
      <c r="C779" s="228"/>
      <c r="D779" s="228"/>
      <c r="E779" s="228"/>
      <c r="F779" s="228"/>
      <c r="G779" s="228"/>
      <c r="H779" s="241"/>
      <c r="I779" s="228"/>
      <c r="J779" s="228"/>
      <c r="K779" s="228"/>
      <c r="L779" s="228"/>
      <c r="M779" s="228"/>
      <c r="N779" s="228"/>
      <c r="O779" s="236"/>
      <c r="P779" s="228"/>
      <c r="Q779" s="228"/>
      <c r="R779" s="228"/>
      <c r="S779" s="228"/>
      <c r="T779" s="228"/>
      <c r="U779" s="228"/>
      <c r="V779" s="228"/>
      <c r="W779" s="228"/>
      <c r="X779" s="228"/>
      <c r="Y779" s="228"/>
      <c r="Z779" s="228"/>
      <c r="AA779" s="228"/>
      <c r="AB779" s="228"/>
      <c r="AC779" s="228"/>
      <c r="AD779" s="228"/>
      <c r="AE779" s="228"/>
      <c r="AF779" s="228"/>
      <c r="AG779" s="228"/>
      <c r="AH779" s="228"/>
      <c r="AI779" s="228"/>
      <c r="AJ779" s="228"/>
      <c r="AK779" s="228"/>
      <c r="AL779" s="228"/>
      <c r="AM779" s="228"/>
    </row>
    <row r="780">
      <c r="A780" s="228"/>
      <c r="B780" s="228"/>
      <c r="C780" s="228"/>
      <c r="D780" s="228"/>
      <c r="E780" s="228"/>
      <c r="F780" s="228"/>
      <c r="G780" s="228"/>
      <c r="H780" s="241"/>
      <c r="I780" s="228"/>
      <c r="J780" s="228"/>
      <c r="K780" s="228"/>
      <c r="L780" s="228"/>
      <c r="M780" s="228"/>
      <c r="N780" s="228"/>
      <c r="O780" s="236"/>
      <c r="P780" s="228"/>
      <c r="Q780" s="228"/>
      <c r="R780" s="228"/>
      <c r="S780" s="228"/>
      <c r="T780" s="228"/>
      <c r="U780" s="228"/>
      <c r="V780" s="228"/>
      <c r="W780" s="228"/>
      <c r="X780" s="228"/>
      <c r="Y780" s="228"/>
      <c r="Z780" s="228"/>
      <c r="AA780" s="228"/>
      <c r="AB780" s="228"/>
      <c r="AC780" s="228"/>
      <c r="AD780" s="228"/>
      <c r="AE780" s="228"/>
      <c r="AF780" s="228"/>
      <c r="AG780" s="228"/>
      <c r="AH780" s="228"/>
      <c r="AI780" s="228"/>
      <c r="AJ780" s="228"/>
      <c r="AK780" s="228"/>
      <c r="AL780" s="228"/>
      <c r="AM780" s="228"/>
    </row>
    <row r="781">
      <c r="A781" s="228"/>
      <c r="B781" s="228"/>
      <c r="C781" s="228"/>
      <c r="D781" s="228"/>
      <c r="E781" s="228"/>
      <c r="F781" s="228"/>
      <c r="G781" s="228"/>
      <c r="H781" s="241"/>
      <c r="I781" s="228"/>
      <c r="J781" s="228"/>
      <c r="K781" s="228"/>
      <c r="L781" s="228"/>
      <c r="M781" s="228"/>
      <c r="N781" s="228"/>
      <c r="O781" s="236"/>
      <c r="P781" s="228"/>
      <c r="Q781" s="228"/>
      <c r="R781" s="228"/>
      <c r="S781" s="228"/>
      <c r="T781" s="228"/>
      <c r="U781" s="228"/>
      <c r="V781" s="228"/>
      <c r="W781" s="228"/>
      <c r="X781" s="228"/>
      <c r="Y781" s="228"/>
      <c r="Z781" s="228"/>
      <c r="AA781" s="228"/>
      <c r="AB781" s="228"/>
      <c r="AC781" s="228"/>
      <c r="AD781" s="228"/>
      <c r="AE781" s="228"/>
      <c r="AF781" s="228"/>
      <c r="AG781" s="228"/>
      <c r="AH781" s="228"/>
      <c r="AI781" s="228"/>
      <c r="AJ781" s="228"/>
      <c r="AK781" s="228"/>
      <c r="AL781" s="228"/>
      <c r="AM781" s="228"/>
    </row>
    <row r="782">
      <c r="A782" s="228"/>
      <c r="B782" s="228"/>
      <c r="C782" s="228"/>
      <c r="D782" s="228"/>
      <c r="E782" s="228"/>
      <c r="F782" s="228"/>
      <c r="G782" s="228"/>
      <c r="H782" s="241"/>
      <c r="I782" s="228"/>
      <c r="J782" s="228"/>
      <c r="K782" s="228"/>
      <c r="L782" s="228"/>
      <c r="M782" s="228"/>
      <c r="N782" s="228"/>
      <c r="O782" s="236"/>
      <c r="P782" s="228"/>
      <c r="Q782" s="228"/>
      <c r="R782" s="228"/>
      <c r="S782" s="228"/>
      <c r="T782" s="228"/>
      <c r="U782" s="228"/>
      <c r="V782" s="228"/>
      <c r="W782" s="228"/>
      <c r="X782" s="228"/>
      <c r="Y782" s="228"/>
      <c r="Z782" s="228"/>
      <c r="AA782" s="228"/>
      <c r="AB782" s="228"/>
      <c r="AC782" s="228"/>
      <c r="AD782" s="228"/>
      <c r="AE782" s="228"/>
      <c r="AF782" s="228"/>
      <c r="AG782" s="228"/>
      <c r="AH782" s="228"/>
      <c r="AI782" s="228"/>
      <c r="AJ782" s="228"/>
      <c r="AK782" s="228"/>
      <c r="AL782" s="228"/>
      <c r="AM782" s="228"/>
    </row>
    <row r="783">
      <c r="A783" s="228"/>
      <c r="B783" s="228"/>
      <c r="C783" s="228"/>
      <c r="D783" s="228"/>
      <c r="E783" s="228"/>
      <c r="F783" s="228"/>
      <c r="G783" s="228"/>
      <c r="H783" s="241"/>
      <c r="I783" s="228"/>
      <c r="J783" s="228"/>
      <c r="K783" s="228"/>
      <c r="L783" s="228"/>
      <c r="M783" s="228"/>
      <c r="N783" s="228"/>
      <c r="O783" s="236"/>
      <c r="P783" s="228"/>
      <c r="Q783" s="228"/>
      <c r="R783" s="228"/>
      <c r="S783" s="228"/>
      <c r="T783" s="228"/>
      <c r="U783" s="228"/>
      <c r="V783" s="228"/>
      <c r="W783" s="228"/>
      <c r="X783" s="228"/>
      <c r="Y783" s="228"/>
      <c r="Z783" s="228"/>
      <c r="AA783" s="228"/>
      <c r="AB783" s="228"/>
      <c r="AC783" s="228"/>
      <c r="AD783" s="228"/>
      <c r="AE783" s="228"/>
      <c r="AF783" s="228"/>
      <c r="AG783" s="228"/>
      <c r="AH783" s="228"/>
      <c r="AI783" s="228"/>
      <c r="AJ783" s="228"/>
      <c r="AK783" s="228"/>
      <c r="AL783" s="228"/>
      <c r="AM783" s="228"/>
    </row>
    <row r="784">
      <c r="A784" s="228"/>
      <c r="B784" s="228"/>
      <c r="C784" s="228"/>
      <c r="D784" s="228"/>
      <c r="E784" s="228"/>
      <c r="F784" s="228"/>
      <c r="G784" s="228"/>
      <c r="H784" s="241"/>
      <c r="I784" s="228"/>
      <c r="J784" s="228"/>
      <c r="K784" s="228"/>
      <c r="L784" s="228"/>
      <c r="M784" s="228"/>
      <c r="N784" s="228"/>
      <c r="O784" s="236"/>
      <c r="P784" s="228"/>
      <c r="Q784" s="228"/>
      <c r="R784" s="228"/>
      <c r="S784" s="228"/>
      <c r="T784" s="228"/>
      <c r="U784" s="228"/>
      <c r="V784" s="228"/>
      <c r="W784" s="228"/>
      <c r="X784" s="228"/>
      <c r="Y784" s="228"/>
      <c r="Z784" s="228"/>
      <c r="AA784" s="228"/>
      <c r="AB784" s="228"/>
      <c r="AC784" s="228"/>
      <c r="AD784" s="228"/>
      <c r="AE784" s="228"/>
      <c r="AF784" s="228"/>
      <c r="AG784" s="228"/>
      <c r="AH784" s="228"/>
      <c r="AI784" s="228"/>
      <c r="AJ784" s="228"/>
      <c r="AK784" s="228"/>
      <c r="AL784" s="228"/>
      <c r="AM784" s="228"/>
    </row>
    <row r="785">
      <c r="A785" s="228"/>
      <c r="B785" s="228"/>
      <c r="C785" s="228"/>
      <c r="D785" s="228"/>
      <c r="E785" s="228"/>
      <c r="F785" s="228"/>
      <c r="G785" s="228"/>
      <c r="H785" s="241"/>
      <c r="I785" s="228"/>
      <c r="J785" s="228"/>
      <c r="K785" s="228"/>
      <c r="L785" s="228"/>
      <c r="M785" s="228"/>
      <c r="N785" s="228"/>
      <c r="O785" s="236"/>
      <c r="P785" s="228"/>
      <c r="Q785" s="228"/>
      <c r="R785" s="228"/>
      <c r="S785" s="228"/>
      <c r="T785" s="228"/>
      <c r="U785" s="228"/>
      <c r="V785" s="228"/>
      <c r="W785" s="228"/>
      <c r="X785" s="228"/>
      <c r="Y785" s="228"/>
      <c r="Z785" s="228"/>
      <c r="AA785" s="228"/>
      <c r="AB785" s="228"/>
      <c r="AC785" s="228"/>
      <c r="AD785" s="228"/>
      <c r="AE785" s="228"/>
      <c r="AF785" s="228"/>
      <c r="AG785" s="228"/>
      <c r="AH785" s="228"/>
      <c r="AI785" s="228"/>
      <c r="AJ785" s="228"/>
      <c r="AK785" s="228"/>
      <c r="AL785" s="228"/>
      <c r="AM785" s="228"/>
    </row>
    <row r="786">
      <c r="A786" s="228"/>
      <c r="B786" s="228"/>
      <c r="C786" s="228"/>
      <c r="D786" s="228"/>
      <c r="E786" s="228"/>
      <c r="F786" s="228"/>
      <c r="G786" s="228"/>
      <c r="H786" s="241"/>
      <c r="I786" s="228"/>
      <c r="J786" s="228"/>
      <c r="K786" s="228"/>
      <c r="L786" s="228"/>
      <c r="M786" s="228"/>
      <c r="N786" s="228"/>
      <c r="O786" s="236"/>
      <c r="P786" s="228"/>
      <c r="Q786" s="228"/>
      <c r="R786" s="228"/>
      <c r="S786" s="228"/>
      <c r="T786" s="228"/>
      <c r="U786" s="228"/>
      <c r="V786" s="228"/>
      <c r="W786" s="228"/>
      <c r="X786" s="228"/>
      <c r="Y786" s="228"/>
      <c r="Z786" s="228"/>
      <c r="AA786" s="228"/>
      <c r="AB786" s="228"/>
      <c r="AC786" s="228"/>
      <c r="AD786" s="228"/>
      <c r="AE786" s="228"/>
      <c r="AF786" s="228"/>
      <c r="AG786" s="228"/>
      <c r="AH786" s="228"/>
      <c r="AI786" s="228"/>
      <c r="AJ786" s="228"/>
      <c r="AK786" s="228"/>
      <c r="AL786" s="228"/>
      <c r="AM786" s="228"/>
    </row>
    <row r="787">
      <c r="A787" s="228"/>
      <c r="B787" s="228"/>
      <c r="C787" s="228"/>
      <c r="D787" s="228"/>
      <c r="E787" s="228"/>
      <c r="F787" s="228"/>
      <c r="G787" s="228"/>
      <c r="H787" s="241"/>
      <c r="I787" s="228"/>
      <c r="J787" s="228"/>
      <c r="K787" s="228"/>
      <c r="L787" s="228"/>
      <c r="M787" s="228"/>
      <c r="N787" s="228"/>
      <c r="O787" s="236"/>
      <c r="P787" s="228"/>
      <c r="Q787" s="228"/>
      <c r="R787" s="228"/>
      <c r="S787" s="228"/>
      <c r="T787" s="228"/>
      <c r="U787" s="228"/>
      <c r="V787" s="228"/>
      <c r="W787" s="228"/>
      <c r="X787" s="228"/>
      <c r="Y787" s="228"/>
      <c r="Z787" s="228"/>
      <c r="AA787" s="228"/>
      <c r="AB787" s="228"/>
      <c r="AC787" s="228"/>
      <c r="AD787" s="228"/>
      <c r="AE787" s="228"/>
      <c r="AF787" s="228"/>
      <c r="AG787" s="228"/>
      <c r="AH787" s="228"/>
      <c r="AI787" s="228"/>
      <c r="AJ787" s="228"/>
      <c r="AK787" s="228"/>
      <c r="AL787" s="228"/>
      <c r="AM787" s="228"/>
    </row>
    <row r="788">
      <c r="A788" s="228"/>
      <c r="B788" s="228"/>
      <c r="C788" s="228"/>
      <c r="D788" s="228"/>
      <c r="E788" s="228"/>
      <c r="F788" s="228"/>
      <c r="G788" s="228"/>
      <c r="H788" s="241"/>
      <c r="I788" s="228"/>
      <c r="J788" s="228"/>
      <c r="K788" s="228"/>
      <c r="L788" s="228"/>
      <c r="M788" s="228"/>
      <c r="N788" s="228"/>
      <c r="O788" s="236"/>
      <c r="P788" s="228"/>
      <c r="Q788" s="228"/>
      <c r="R788" s="228"/>
      <c r="S788" s="228"/>
      <c r="T788" s="228"/>
      <c r="U788" s="228"/>
      <c r="V788" s="228"/>
      <c r="W788" s="228"/>
      <c r="X788" s="228"/>
      <c r="Y788" s="228"/>
      <c r="Z788" s="228"/>
      <c r="AA788" s="228"/>
      <c r="AB788" s="228"/>
      <c r="AC788" s="228"/>
      <c r="AD788" s="228"/>
      <c r="AE788" s="228"/>
      <c r="AF788" s="228"/>
      <c r="AG788" s="228"/>
      <c r="AH788" s="228"/>
      <c r="AI788" s="228"/>
      <c r="AJ788" s="228"/>
      <c r="AK788" s="228"/>
      <c r="AL788" s="228"/>
      <c r="AM788" s="228"/>
    </row>
    <row r="789">
      <c r="A789" s="228"/>
      <c r="B789" s="228"/>
      <c r="C789" s="228"/>
      <c r="D789" s="228"/>
      <c r="E789" s="228"/>
      <c r="F789" s="228"/>
      <c r="G789" s="228"/>
      <c r="H789" s="241"/>
      <c r="I789" s="228"/>
      <c r="J789" s="228"/>
      <c r="K789" s="228"/>
      <c r="L789" s="228"/>
      <c r="M789" s="228"/>
      <c r="N789" s="228"/>
      <c r="O789" s="236"/>
      <c r="P789" s="228"/>
      <c r="Q789" s="228"/>
      <c r="R789" s="228"/>
      <c r="S789" s="228"/>
      <c r="T789" s="228"/>
      <c r="U789" s="228"/>
      <c r="V789" s="228"/>
      <c r="W789" s="228"/>
      <c r="X789" s="228"/>
      <c r="Y789" s="228"/>
      <c r="Z789" s="228"/>
      <c r="AA789" s="228"/>
      <c r="AB789" s="228"/>
      <c r="AC789" s="228"/>
      <c r="AD789" s="228"/>
      <c r="AE789" s="228"/>
      <c r="AF789" s="228"/>
      <c r="AG789" s="228"/>
      <c r="AH789" s="228"/>
      <c r="AI789" s="228"/>
      <c r="AJ789" s="228"/>
      <c r="AK789" s="228"/>
      <c r="AL789" s="228"/>
      <c r="AM789" s="228"/>
    </row>
    <row r="790">
      <c r="A790" s="228"/>
      <c r="B790" s="228"/>
      <c r="C790" s="228"/>
      <c r="D790" s="228"/>
      <c r="E790" s="228"/>
      <c r="F790" s="228"/>
      <c r="G790" s="228"/>
      <c r="H790" s="241"/>
      <c r="I790" s="228"/>
      <c r="J790" s="228"/>
      <c r="K790" s="228"/>
      <c r="L790" s="228"/>
      <c r="M790" s="228"/>
      <c r="N790" s="228"/>
      <c r="O790" s="236"/>
      <c r="P790" s="228"/>
      <c r="Q790" s="228"/>
      <c r="R790" s="228"/>
      <c r="S790" s="228"/>
      <c r="T790" s="228"/>
      <c r="U790" s="228"/>
      <c r="V790" s="228"/>
      <c r="W790" s="228"/>
      <c r="X790" s="228"/>
      <c r="Y790" s="228"/>
      <c r="Z790" s="228"/>
      <c r="AA790" s="228"/>
      <c r="AB790" s="228"/>
      <c r="AC790" s="228"/>
      <c r="AD790" s="228"/>
      <c r="AE790" s="228"/>
      <c r="AF790" s="228"/>
      <c r="AG790" s="228"/>
      <c r="AH790" s="228"/>
      <c r="AI790" s="228"/>
      <c r="AJ790" s="228"/>
      <c r="AK790" s="228"/>
      <c r="AL790" s="228"/>
      <c r="AM790" s="228"/>
    </row>
    <row r="791">
      <c r="A791" s="228"/>
      <c r="B791" s="228"/>
      <c r="C791" s="228"/>
      <c r="D791" s="228"/>
      <c r="E791" s="228"/>
      <c r="F791" s="228"/>
      <c r="G791" s="228"/>
      <c r="H791" s="241"/>
      <c r="I791" s="228"/>
      <c r="J791" s="228"/>
      <c r="K791" s="228"/>
      <c r="L791" s="228"/>
      <c r="M791" s="228"/>
      <c r="N791" s="228"/>
      <c r="O791" s="236"/>
      <c r="P791" s="228"/>
      <c r="Q791" s="228"/>
      <c r="R791" s="228"/>
      <c r="S791" s="228"/>
      <c r="T791" s="228"/>
      <c r="U791" s="228"/>
      <c r="V791" s="228"/>
      <c r="W791" s="228"/>
      <c r="X791" s="228"/>
      <c r="Y791" s="228"/>
      <c r="Z791" s="228"/>
      <c r="AA791" s="228"/>
      <c r="AB791" s="228"/>
      <c r="AC791" s="228"/>
      <c r="AD791" s="228"/>
      <c r="AE791" s="228"/>
      <c r="AF791" s="228"/>
      <c r="AG791" s="228"/>
      <c r="AH791" s="228"/>
      <c r="AI791" s="228"/>
      <c r="AJ791" s="228"/>
      <c r="AK791" s="228"/>
      <c r="AL791" s="228"/>
      <c r="AM791" s="228"/>
    </row>
    <row r="792">
      <c r="A792" s="228"/>
      <c r="B792" s="228"/>
      <c r="C792" s="228"/>
      <c r="D792" s="228"/>
      <c r="E792" s="228"/>
      <c r="F792" s="228"/>
      <c r="G792" s="228"/>
      <c r="H792" s="241"/>
      <c r="I792" s="228"/>
      <c r="J792" s="228"/>
      <c r="K792" s="228"/>
      <c r="L792" s="228"/>
      <c r="M792" s="228"/>
      <c r="N792" s="228"/>
      <c r="O792" s="236"/>
      <c r="P792" s="228"/>
      <c r="Q792" s="228"/>
      <c r="R792" s="228"/>
      <c r="S792" s="228"/>
      <c r="T792" s="228"/>
      <c r="U792" s="228"/>
      <c r="V792" s="228"/>
      <c r="W792" s="228"/>
      <c r="X792" s="228"/>
      <c r="Y792" s="228"/>
      <c r="Z792" s="228"/>
      <c r="AA792" s="228"/>
      <c r="AB792" s="228"/>
      <c r="AC792" s="228"/>
      <c r="AD792" s="228"/>
      <c r="AE792" s="228"/>
      <c r="AF792" s="228"/>
      <c r="AG792" s="228"/>
      <c r="AH792" s="228"/>
      <c r="AI792" s="228"/>
      <c r="AJ792" s="228"/>
      <c r="AK792" s="228"/>
      <c r="AL792" s="228"/>
      <c r="AM792" s="228"/>
    </row>
    <row r="793">
      <c r="A793" s="228"/>
      <c r="B793" s="228"/>
      <c r="C793" s="228"/>
      <c r="D793" s="228"/>
      <c r="E793" s="228"/>
      <c r="F793" s="228"/>
      <c r="G793" s="228"/>
      <c r="H793" s="241"/>
      <c r="I793" s="228"/>
      <c r="J793" s="228"/>
      <c r="K793" s="228"/>
      <c r="L793" s="228"/>
      <c r="M793" s="228"/>
      <c r="N793" s="228"/>
      <c r="O793" s="236"/>
      <c r="P793" s="228"/>
      <c r="Q793" s="228"/>
      <c r="R793" s="228"/>
      <c r="S793" s="228"/>
      <c r="T793" s="228"/>
      <c r="U793" s="228"/>
      <c r="V793" s="228"/>
      <c r="W793" s="228"/>
      <c r="X793" s="228"/>
      <c r="Y793" s="228"/>
      <c r="Z793" s="228"/>
      <c r="AA793" s="228"/>
      <c r="AB793" s="228"/>
      <c r="AC793" s="228"/>
      <c r="AD793" s="228"/>
      <c r="AE793" s="228"/>
      <c r="AF793" s="228"/>
      <c r="AG793" s="228"/>
      <c r="AH793" s="228"/>
      <c r="AI793" s="228"/>
      <c r="AJ793" s="228"/>
      <c r="AK793" s="228"/>
      <c r="AL793" s="228"/>
      <c r="AM793" s="228"/>
    </row>
    <row r="794">
      <c r="A794" s="228"/>
      <c r="B794" s="228"/>
      <c r="C794" s="228"/>
      <c r="D794" s="228"/>
      <c r="E794" s="228"/>
      <c r="F794" s="228"/>
      <c r="G794" s="228"/>
      <c r="H794" s="241"/>
      <c r="I794" s="228"/>
      <c r="J794" s="228"/>
      <c r="K794" s="228"/>
      <c r="L794" s="228"/>
      <c r="M794" s="228"/>
      <c r="N794" s="228"/>
      <c r="O794" s="236"/>
      <c r="P794" s="228"/>
      <c r="Q794" s="228"/>
      <c r="R794" s="228"/>
      <c r="S794" s="228"/>
      <c r="T794" s="228"/>
      <c r="U794" s="228"/>
      <c r="V794" s="228"/>
      <c r="W794" s="228"/>
      <c r="X794" s="228"/>
      <c r="Y794" s="228"/>
      <c r="Z794" s="228"/>
      <c r="AA794" s="228"/>
      <c r="AB794" s="228"/>
      <c r="AC794" s="228"/>
      <c r="AD794" s="228"/>
      <c r="AE794" s="228"/>
      <c r="AF794" s="228"/>
      <c r="AG794" s="228"/>
      <c r="AH794" s="228"/>
      <c r="AI794" s="228"/>
      <c r="AJ794" s="228"/>
      <c r="AK794" s="228"/>
      <c r="AL794" s="228"/>
      <c r="AM794" s="228"/>
    </row>
    <row r="795">
      <c r="A795" s="228"/>
      <c r="B795" s="228"/>
      <c r="C795" s="228"/>
      <c r="D795" s="228"/>
      <c r="E795" s="228"/>
      <c r="F795" s="228"/>
      <c r="G795" s="228"/>
      <c r="H795" s="241"/>
      <c r="I795" s="228"/>
      <c r="J795" s="228"/>
      <c r="K795" s="228"/>
      <c r="L795" s="228"/>
      <c r="M795" s="228"/>
      <c r="N795" s="228"/>
      <c r="O795" s="236"/>
      <c r="P795" s="228"/>
      <c r="Q795" s="228"/>
      <c r="R795" s="228"/>
      <c r="S795" s="228"/>
      <c r="T795" s="228"/>
      <c r="U795" s="228"/>
      <c r="V795" s="228"/>
      <c r="W795" s="228"/>
      <c r="X795" s="228"/>
      <c r="Y795" s="228"/>
      <c r="Z795" s="228"/>
      <c r="AA795" s="228"/>
      <c r="AB795" s="228"/>
      <c r="AC795" s="228"/>
      <c r="AD795" s="228"/>
      <c r="AE795" s="228"/>
      <c r="AF795" s="228"/>
      <c r="AG795" s="228"/>
      <c r="AH795" s="228"/>
      <c r="AI795" s="228"/>
      <c r="AJ795" s="228"/>
      <c r="AK795" s="228"/>
      <c r="AL795" s="228"/>
      <c r="AM795" s="228"/>
    </row>
    <row r="796">
      <c r="A796" s="228"/>
      <c r="B796" s="228"/>
      <c r="C796" s="228"/>
      <c r="D796" s="228"/>
      <c r="E796" s="228"/>
      <c r="F796" s="228"/>
      <c r="G796" s="228"/>
      <c r="H796" s="241"/>
      <c r="I796" s="228"/>
      <c r="J796" s="228"/>
      <c r="K796" s="228"/>
      <c r="L796" s="228"/>
      <c r="M796" s="228"/>
      <c r="N796" s="228"/>
      <c r="O796" s="236"/>
      <c r="P796" s="228"/>
      <c r="Q796" s="228"/>
      <c r="R796" s="228"/>
      <c r="S796" s="228"/>
      <c r="T796" s="228"/>
      <c r="U796" s="228"/>
      <c r="V796" s="228"/>
      <c r="W796" s="228"/>
      <c r="X796" s="228"/>
      <c r="Y796" s="228"/>
      <c r="Z796" s="228"/>
      <c r="AA796" s="228"/>
      <c r="AB796" s="228"/>
      <c r="AC796" s="228"/>
      <c r="AD796" s="228"/>
      <c r="AE796" s="228"/>
      <c r="AF796" s="228"/>
      <c r="AG796" s="228"/>
      <c r="AH796" s="228"/>
      <c r="AI796" s="228"/>
      <c r="AJ796" s="228"/>
      <c r="AK796" s="228"/>
      <c r="AL796" s="228"/>
      <c r="AM796" s="228"/>
    </row>
    <row r="797">
      <c r="A797" s="228"/>
      <c r="B797" s="228"/>
      <c r="C797" s="228"/>
      <c r="D797" s="228"/>
      <c r="E797" s="228"/>
      <c r="F797" s="228"/>
      <c r="G797" s="228"/>
      <c r="H797" s="241"/>
      <c r="I797" s="228"/>
      <c r="J797" s="228"/>
      <c r="K797" s="228"/>
      <c r="L797" s="228"/>
      <c r="M797" s="228"/>
      <c r="N797" s="228"/>
      <c r="O797" s="236"/>
      <c r="P797" s="228"/>
      <c r="Q797" s="228"/>
      <c r="R797" s="228"/>
      <c r="S797" s="228"/>
      <c r="T797" s="228"/>
      <c r="U797" s="228"/>
      <c r="V797" s="228"/>
      <c r="W797" s="228"/>
      <c r="X797" s="228"/>
      <c r="Y797" s="228"/>
      <c r="Z797" s="228"/>
      <c r="AA797" s="228"/>
      <c r="AB797" s="228"/>
      <c r="AC797" s="228"/>
      <c r="AD797" s="228"/>
      <c r="AE797" s="228"/>
      <c r="AF797" s="228"/>
      <c r="AG797" s="228"/>
      <c r="AH797" s="228"/>
      <c r="AI797" s="228"/>
      <c r="AJ797" s="228"/>
      <c r="AK797" s="228"/>
      <c r="AL797" s="228"/>
      <c r="AM797" s="228"/>
    </row>
    <row r="798">
      <c r="A798" s="228"/>
      <c r="B798" s="228"/>
      <c r="C798" s="228"/>
      <c r="D798" s="228"/>
      <c r="E798" s="228"/>
      <c r="F798" s="228"/>
      <c r="G798" s="228"/>
      <c r="H798" s="241"/>
      <c r="I798" s="228"/>
      <c r="J798" s="228"/>
      <c r="K798" s="228"/>
      <c r="L798" s="228"/>
      <c r="M798" s="228"/>
      <c r="N798" s="228"/>
      <c r="O798" s="236"/>
      <c r="P798" s="228"/>
      <c r="Q798" s="228"/>
      <c r="R798" s="228"/>
      <c r="S798" s="228"/>
      <c r="T798" s="228"/>
      <c r="U798" s="228"/>
      <c r="V798" s="228"/>
      <c r="W798" s="228"/>
      <c r="X798" s="228"/>
      <c r="Y798" s="228"/>
      <c r="Z798" s="228"/>
      <c r="AA798" s="228"/>
      <c r="AB798" s="228"/>
      <c r="AC798" s="228"/>
      <c r="AD798" s="228"/>
      <c r="AE798" s="228"/>
      <c r="AF798" s="228"/>
      <c r="AG798" s="228"/>
      <c r="AH798" s="228"/>
      <c r="AI798" s="228"/>
      <c r="AJ798" s="228"/>
      <c r="AK798" s="228"/>
      <c r="AL798" s="228"/>
      <c r="AM798" s="228"/>
    </row>
    <row r="799">
      <c r="A799" s="228"/>
      <c r="B799" s="228"/>
      <c r="C799" s="228"/>
      <c r="D799" s="228"/>
      <c r="E799" s="228"/>
      <c r="F799" s="228"/>
      <c r="G799" s="228"/>
      <c r="H799" s="241"/>
      <c r="I799" s="228"/>
      <c r="J799" s="228"/>
      <c r="K799" s="228"/>
      <c r="L799" s="228"/>
      <c r="M799" s="228"/>
      <c r="N799" s="228"/>
      <c r="O799" s="236"/>
      <c r="P799" s="228"/>
      <c r="Q799" s="228"/>
      <c r="R799" s="228"/>
      <c r="S799" s="228"/>
      <c r="T799" s="228"/>
      <c r="U799" s="228"/>
      <c r="V799" s="228"/>
      <c r="W799" s="228"/>
      <c r="X799" s="228"/>
      <c r="Y799" s="228"/>
      <c r="Z799" s="228"/>
      <c r="AA799" s="228"/>
      <c r="AB799" s="228"/>
      <c r="AC799" s="228"/>
      <c r="AD799" s="228"/>
      <c r="AE799" s="228"/>
      <c r="AF799" s="228"/>
      <c r="AG799" s="228"/>
      <c r="AH799" s="228"/>
      <c r="AI799" s="228"/>
      <c r="AJ799" s="228"/>
      <c r="AK799" s="228"/>
      <c r="AL799" s="228"/>
      <c r="AM799" s="228"/>
    </row>
    <row r="800">
      <c r="A800" s="228"/>
      <c r="B800" s="228"/>
      <c r="C800" s="228"/>
      <c r="D800" s="228"/>
      <c r="E800" s="228"/>
      <c r="F800" s="228"/>
      <c r="G800" s="228"/>
      <c r="H800" s="241"/>
      <c r="I800" s="228"/>
      <c r="J800" s="228"/>
      <c r="K800" s="228"/>
      <c r="L800" s="228"/>
      <c r="M800" s="228"/>
      <c r="N800" s="228"/>
      <c r="O800" s="236"/>
      <c r="P800" s="228"/>
      <c r="Q800" s="228"/>
      <c r="R800" s="228"/>
      <c r="S800" s="228"/>
      <c r="T800" s="228"/>
      <c r="U800" s="228"/>
      <c r="V800" s="228"/>
      <c r="W800" s="228"/>
      <c r="X800" s="228"/>
      <c r="Y800" s="228"/>
      <c r="Z800" s="228"/>
      <c r="AA800" s="228"/>
      <c r="AB800" s="228"/>
      <c r="AC800" s="228"/>
      <c r="AD800" s="228"/>
      <c r="AE800" s="228"/>
      <c r="AF800" s="228"/>
      <c r="AG800" s="228"/>
      <c r="AH800" s="228"/>
      <c r="AI800" s="228"/>
      <c r="AJ800" s="228"/>
      <c r="AK800" s="228"/>
      <c r="AL800" s="228"/>
      <c r="AM800" s="228"/>
    </row>
    <row r="801">
      <c r="A801" s="228"/>
      <c r="B801" s="228"/>
      <c r="C801" s="228"/>
      <c r="D801" s="228"/>
      <c r="E801" s="228"/>
      <c r="F801" s="228"/>
      <c r="G801" s="228"/>
      <c r="H801" s="241"/>
      <c r="I801" s="228"/>
      <c r="J801" s="228"/>
      <c r="K801" s="228"/>
      <c r="L801" s="228"/>
      <c r="M801" s="228"/>
      <c r="N801" s="228"/>
      <c r="O801" s="236"/>
      <c r="P801" s="228"/>
      <c r="Q801" s="228"/>
      <c r="R801" s="228"/>
      <c r="S801" s="228"/>
      <c r="T801" s="228"/>
      <c r="U801" s="228"/>
      <c r="V801" s="228"/>
      <c r="W801" s="228"/>
      <c r="X801" s="228"/>
      <c r="Y801" s="228"/>
      <c r="Z801" s="228"/>
      <c r="AA801" s="228"/>
      <c r="AB801" s="228"/>
      <c r="AC801" s="228"/>
      <c r="AD801" s="228"/>
      <c r="AE801" s="228"/>
      <c r="AF801" s="228"/>
      <c r="AG801" s="228"/>
      <c r="AH801" s="228"/>
      <c r="AI801" s="228"/>
      <c r="AJ801" s="228"/>
      <c r="AK801" s="228"/>
      <c r="AL801" s="228"/>
      <c r="AM801" s="228"/>
    </row>
    <row r="802">
      <c r="A802" s="228"/>
      <c r="B802" s="228"/>
      <c r="C802" s="228"/>
      <c r="D802" s="228"/>
      <c r="E802" s="228"/>
      <c r="F802" s="228"/>
      <c r="G802" s="228"/>
      <c r="H802" s="241"/>
      <c r="I802" s="228"/>
      <c r="J802" s="228"/>
      <c r="K802" s="228"/>
      <c r="L802" s="228"/>
      <c r="M802" s="228"/>
      <c r="N802" s="228"/>
      <c r="O802" s="236"/>
      <c r="P802" s="228"/>
      <c r="Q802" s="228"/>
      <c r="R802" s="228"/>
      <c r="S802" s="228"/>
      <c r="T802" s="228"/>
      <c r="U802" s="228"/>
      <c r="V802" s="228"/>
      <c r="W802" s="228"/>
      <c r="X802" s="228"/>
      <c r="Y802" s="228"/>
      <c r="Z802" s="228"/>
      <c r="AA802" s="228"/>
      <c r="AB802" s="228"/>
      <c r="AC802" s="228"/>
      <c r="AD802" s="228"/>
      <c r="AE802" s="228"/>
      <c r="AF802" s="228"/>
      <c r="AG802" s="228"/>
      <c r="AH802" s="228"/>
      <c r="AI802" s="228"/>
      <c r="AJ802" s="228"/>
      <c r="AK802" s="228"/>
      <c r="AL802" s="228"/>
      <c r="AM802" s="228"/>
    </row>
    <row r="803">
      <c r="A803" s="228"/>
      <c r="B803" s="228"/>
      <c r="C803" s="228"/>
      <c r="D803" s="228"/>
      <c r="E803" s="228"/>
      <c r="F803" s="228"/>
      <c r="G803" s="228"/>
      <c r="H803" s="241"/>
      <c r="I803" s="228"/>
      <c r="J803" s="228"/>
      <c r="K803" s="228"/>
      <c r="L803" s="228"/>
      <c r="M803" s="228"/>
      <c r="N803" s="228"/>
      <c r="O803" s="236"/>
      <c r="P803" s="228"/>
      <c r="Q803" s="228"/>
      <c r="R803" s="228"/>
      <c r="S803" s="228"/>
      <c r="T803" s="228"/>
      <c r="U803" s="228"/>
      <c r="V803" s="228"/>
      <c r="W803" s="228"/>
      <c r="X803" s="228"/>
      <c r="Y803" s="228"/>
      <c r="Z803" s="228"/>
      <c r="AA803" s="228"/>
      <c r="AB803" s="228"/>
      <c r="AC803" s="228"/>
      <c r="AD803" s="228"/>
      <c r="AE803" s="228"/>
      <c r="AF803" s="228"/>
      <c r="AG803" s="228"/>
      <c r="AH803" s="228"/>
      <c r="AI803" s="228"/>
      <c r="AJ803" s="228"/>
      <c r="AK803" s="228"/>
      <c r="AL803" s="228"/>
      <c r="AM803" s="228"/>
    </row>
    <row r="804">
      <c r="A804" s="228"/>
      <c r="B804" s="228"/>
      <c r="C804" s="228"/>
      <c r="D804" s="228"/>
      <c r="E804" s="228"/>
      <c r="F804" s="228"/>
      <c r="G804" s="228"/>
      <c r="H804" s="241"/>
      <c r="I804" s="228"/>
      <c r="J804" s="228"/>
      <c r="K804" s="228"/>
      <c r="L804" s="228"/>
      <c r="M804" s="228"/>
      <c r="N804" s="228"/>
      <c r="O804" s="236"/>
      <c r="P804" s="228"/>
      <c r="Q804" s="228"/>
      <c r="R804" s="228"/>
      <c r="S804" s="228"/>
      <c r="T804" s="228"/>
      <c r="U804" s="228"/>
      <c r="V804" s="228"/>
      <c r="W804" s="228"/>
      <c r="X804" s="228"/>
      <c r="Y804" s="228"/>
      <c r="Z804" s="228"/>
      <c r="AA804" s="228"/>
      <c r="AB804" s="228"/>
      <c r="AC804" s="228"/>
      <c r="AD804" s="228"/>
      <c r="AE804" s="228"/>
      <c r="AF804" s="228"/>
      <c r="AG804" s="228"/>
      <c r="AH804" s="228"/>
      <c r="AI804" s="228"/>
      <c r="AJ804" s="228"/>
      <c r="AK804" s="228"/>
      <c r="AL804" s="228"/>
      <c r="AM804" s="228"/>
    </row>
    <row r="805">
      <c r="A805" s="228"/>
      <c r="B805" s="228"/>
      <c r="C805" s="228"/>
      <c r="D805" s="228"/>
      <c r="E805" s="228"/>
      <c r="F805" s="228"/>
      <c r="G805" s="228"/>
      <c r="H805" s="241"/>
      <c r="I805" s="228"/>
      <c r="J805" s="228"/>
      <c r="K805" s="228"/>
      <c r="L805" s="228"/>
      <c r="M805" s="228"/>
      <c r="N805" s="228"/>
      <c r="O805" s="236"/>
      <c r="P805" s="228"/>
      <c r="Q805" s="228"/>
      <c r="R805" s="228"/>
      <c r="S805" s="228"/>
      <c r="T805" s="228"/>
      <c r="U805" s="228"/>
      <c r="V805" s="228"/>
      <c r="W805" s="228"/>
      <c r="X805" s="228"/>
      <c r="Y805" s="228"/>
      <c r="Z805" s="228"/>
      <c r="AA805" s="228"/>
      <c r="AB805" s="228"/>
      <c r="AC805" s="228"/>
      <c r="AD805" s="228"/>
      <c r="AE805" s="228"/>
      <c r="AF805" s="228"/>
      <c r="AG805" s="228"/>
      <c r="AH805" s="228"/>
      <c r="AI805" s="228"/>
      <c r="AJ805" s="228"/>
      <c r="AK805" s="228"/>
      <c r="AL805" s="228"/>
      <c r="AM805" s="228"/>
    </row>
    <row r="806">
      <c r="A806" s="228"/>
      <c r="B806" s="228"/>
      <c r="C806" s="228"/>
      <c r="D806" s="228"/>
      <c r="E806" s="228"/>
      <c r="F806" s="228"/>
      <c r="G806" s="228"/>
      <c r="H806" s="241"/>
      <c r="I806" s="228"/>
      <c r="J806" s="228"/>
      <c r="K806" s="228"/>
      <c r="L806" s="228"/>
      <c r="M806" s="228"/>
      <c r="N806" s="228"/>
      <c r="O806" s="236"/>
      <c r="P806" s="228"/>
      <c r="Q806" s="228"/>
      <c r="R806" s="228"/>
      <c r="S806" s="228"/>
      <c r="T806" s="228"/>
      <c r="U806" s="228"/>
      <c r="V806" s="228"/>
      <c r="W806" s="228"/>
      <c r="X806" s="228"/>
      <c r="Y806" s="228"/>
      <c r="Z806" s="228"/>
      <c r="AA806" s="228"/>
      <c r="AB806" s="228"/>
      <c r="AC806" s="228"/>
      <c r="AD806" s="228"/>
      <c r="AE806" s="228"/>
      <c r="AF806" s="228"/>
      <c r="AG806" s="228"/>
      <c r="AH806" s="228"/>
      <c r="AI806" s="228"/>
      <c r="AJ806" s="228"/>
      <c r="AK806" s="228"/>
      <c r="AL806" s="228"/>
      <c r="AM806" s="228"/>
    </row>
    <row r="807">
      <c r="A807" s="228"/>
      <c r="B807" s="228"/>
      <c r="C807" s="228"/>
      <c r="D807" s="228"/>
      <c r="E807" s="228"/>
      <c r="F807" s="228"/>
      <c r="G807" s="228"/>
      <c r="H807" s="241"/>
      <c r="I807" s="228"/>
      <c r="J807" s="228"/>
      <c r="K807" s="228"/>
      <c r="L807" s="228"/>
      <c r="M807" s="228"/>
      <c r="N807" s="228"/>
      <c r="O807" s="236"/>
      <c r="P807" s="228"/>
      <c r="Q807" s="228"/>
      <c r="R807" s="228"/>
      <c r="S807" s="228"/>
      <c r="T807" s="228"/>
      <c r="U807" s="228"/>
      <c r="V807" s="228"/>
      <c r="W807" s="228"/>
      <c r="X807" s="228"/>
      <c r="Y807" s="228"/>
      <c r="Z807" s="228"/>
      <c r="AA807" s="228"/>
      <c r="AB807" s="228"/>
      <c r="AC807" s="228"/>
      <c r="AD807" s="228"/>
      <c r="AE807" s="228"/>
      <c r="AF807" s="228"/>
      <c r="AG807" s="228"/>
      <c r="AH807" s="228"/>
      <c r="AI807" s="228"/>
      <c r="AJ807" s="228"/>
      <c r="AK807" s="228"/>
      <c r="AL807" s="228"/>
      <c r="AM807" s="228"/>
    </row>
    <row r="808">
      <c r="A808" s="228"/>
      <c r="B808" s="228"/>
      <c r="C808" s="228"/>
      <c r="D808" s="228"/>
      <c r="E808" s="228"/>
      <c r="F808" s="228"/>
      <c r="G808" s="228"/>
      <c r="H808" s="241"/>
      <c r="I808" s="228"/>
      <c r="J808" s="228"/>
      <c r="K808" s="228"/>
      <c r="L808" s="228"/>
      <c r="M808" s="228"/>
      <c r="N808" s="228"/>
      <c r="O808" s="236"/>
      <c r="P808" s="228"/>
      <c r="Q808" s="228"/>
      <c r="R808" s="228"/>
      <c r="S808" s="228"/>
      <c r="T808" s="228"/>
      <c r="U808" s="228"/>
      <c r="V808" s="228"/>
      <c r="W808" s="228"/>
      <c r="X808" s="228"/>
      <c r="Y808" s="228"/>
      <c r="Z808" s="228"/>
      <c r="AA808" s="228"/>
      <c r="AB808" s="228"/>
      <c r="AC808" s="228"/>
      <c r="AD808" s="228"/>
      <c r="AE808" s="228"/>
      <c r="AF808" s="228"/>
      <c r="AG808" s="228"/>
      <c r="AH808" s="228"/>
      <c r="AI808" s="228"/>
      <c r="AJ808" s="228"/>
      <c r="AK808" s="228"/>
      <c r="AL808" s="228"/>
      <c r="AM808" s="228"/>
    </row>
    <row r="809">
      <c r="A809" s="228"/>
      <c r="B809" s="228"/>
      <c r="C809" s="228"/>
      <c r="D809" s="228"/>
      <c r="E809" s="228"/>
      <c r="F809" s="228"/>
      <c r="G809" s="228"/>
      <c r="H809" s="241"/>
      <c r="I809" s="228"/>
      <c r="J809" s="228"/>
      <c r="K809" s="228"/>
      <c r="L809" s="228"/>
      <c r="M809" s="228"/>
      <c r="N809" s="228"/>
      <c r="O809" s="236"/>
      <c r="P809" s="228"/>
      <c r="Q809" s="228"/>
      <c r="R809" s="228"/>
      <c r="S809" s="228"/>
      <c r="T809" s="228"/>
      <c r="U809" s="228"/>
      <c r="V809" s="228"/>
      <c r="W809" s="228"/>
      <c r="X809" s="228"/>
      <c r="Y809" s="228"/>
      <c r="Z809" s="228"/>
      <c r="AA809" s="228"/>
      <c r="AB809" s="228"/>
      <c r="AC809" s="228"/>
      <c r="AD809" s="228"/>
      <c r="AE809" s="228"/>
      <c r="AF809" s="228"/>
      <c r="AG809" s="228"/>
      <c r="AH809" s="228"/>
      <c r="AI809" s="228"/>
      <c r="AJ809" s="228"/>
      <c r="AK809" s="228"/>
      <c r="AL809" s="228"/>
      <c r="AM809" s="228"/>
    </row>
    <row r="810">
      <c r="A810" s="228"/>
      <c r="B810" s="228"/>
      <c r="C810" s="228"/>
      <c r="D810" s="228"/>
      <c r="E810" s="228"/>
      <c r="F810" s="228"/>
      <c r="G810" s="228"/>
      <c r="H810" s="241"/>
      <c r="I810" s="228"/>
      <c r="J810" s="228"/>
      <c r="K810" s="228"/>
      <c r="L810" s="228"/>
      <c r="M810" s="228"/>
      <c r="N810" s="228"/>
      <c r="O810" s="236"/>
      <c r="P810" s="228"/>
      <c r="Q810" s="228"/>
      <c r="R810" s="228"/>
      <c r="S810" s="228"/>
      <c r="T810" s="228"/>
      <c r="U810" s="228"/>
      <c r="V810" s="228"/>
      <c r="W810" s="228"/>
      <c r="X810" s="228"/>
      <c r="Y810" s="228"/>
      <c r="Z810" s="228"/>
      <c r="AA810" s="228"/>
      <c r="AB810" s="228"/>
      <c r="AC810" s="228"/>
      <c r="AD810" s="228"/>
      <c r="AE810" s="228"/>
      <c r="AF810" s="228"/>
      <c r="AG810" s="228"/>
      <c r="AH810" s="228"/>
      <c r="AI810" s="228"/>
      <c r="AJ810" s="228"/>
      <c r="AK810" s="228"/>
      <c r="AL810" s="228"/>
      <c r="AM810" s="228"/>
    </row>
    <row r="811">
      <c r="A811" s="228"/>
      <c r="B811" s="228"/>
      <c r="C811" s="228"/>
      <c r="D811" s="228"/>
      <c r="E811" s="228"/>
      <c r="F811" s="228"/>
      <c r="G811" s="228"/>
      <c r="H811" s="241"/>
      <c r="I811" s="228"/>
      <c r="J811" s="228"/>
      <c r="K811" s="228"/>
      <c r="L811" s="228"/>
      <c r="M811" s="228"/>
      <c r="N811" s="228"/>
      <c r="O811" s="236"/>
      <c r="P811" s="228"/>
      <c r="Q811" s="228"/>
      <c r="R811" s="228"/>
      <c r="S811" s="228"/>
      <c r="T811" s="228"/>
      <c r="U811" s="228"/>
      <c r="V811" s="228"/>
      <c r="W811" s="228"/>
      <c r="X811" s="228"/>
      <c r="Y811" s="228"/>
      <c r="Z811" s="228"/>
      <c r="AA811" s="228"/>
      <c r="AB811" s="228"/>
      <c r="AC811" s="228"/>
      <c r="AD811" s="228"/>
      <c r="AE811" s="228"/>
      <c r="AF811" s="228"/>
      <c r="AG811" s="228"/>
      <c r="AH811" s="228"/>
      <c r="AI811" s="228"/>
      <c r="AJ811" s="228"/>
      <c r="AK811" s="228"/>
      <c r="AL811" s="228"/>
      <c r="AM811" s="228"/>
    </row>
    <row r="812">
      <c r="A812" s="228"/>
      <c r="B812" s="228"/>
      <c r="C812" s="228"/>
      <c r="D812" s="228"/>
      <c r="E812" s="228"/>
      <c r="F812" s="228"/>
      <c r="G812" s="228"/>
      <c r="H812" s="241"/>
      <c r="I812" s="228"/>
      <c r="J812" s="228"/>
      <c r="K812" s="228"/>
      <c r="L812" s="228"/>
      <c r="M812" s="228"/>
      <c r="N812" s="228"/>
      <c r="O812" s="236"/>
      <c r="P812" s="228"/>
      <c r="Q812" s="228"/>
      <c r="R812" s="228"/>
      <c r="S812" s="228"/>
      <c r="T812" s="228"/>
      <c r="U812" s="228"/>
      <c r="V812" s="228"/>
      <c r="W812" s="228"/>
      <c r="X812" s="228"/>
      <c r="Y812" s="228"/>
      <c r="Z812" s="228"/>
      <c r="AA812" s="228"/>
      <c r="AB812" s="228"/>
      <c r="AC812" s="228"/>
      <c r="AD812" s="228"/>
      <c r="AE812" s="228"/>
      <c r="AF812" s="228"/>
      <c r="AG812" s="228"/>
      <c r="AH812" s="228"/>
      <c r="AI812" s="228"/>
      <c r="AJ812" s="228"/>
      <c r="AK812" s="228"/>
      <c r="AL812" s="228"/>
      <c r="AM812" s="228"/>
    </row>
    <row r="813">
      <c r="A813" s="228"/>
      <c r="B813" s="228"/>
      <c r="C813" s="228"/>
      <c r="D813" s="228"/>
      <c r="E813" s="228"/>
      <c r="F813" s="228"/>
      <c r="G813" s="228"/>
      <c r="H813" s="241"/>
      <c r="I813" s="228"/>
      <c r="J813" s="228"/>
      <c r="K813" s="228"/>
      <c r="L813" s="228"/>
      <c r="M813" s="228"/>
      <c r="N813" s="228"/>
      <c r="O813" s="236"/>
      <c r="P813" s="228"/>
      <c r="Q813" s="228"/>
      <c r="R813" s="228"/>
      <c r="S813" s="228"/>
      <c r="T813" s="228"/>
      <c r="U813" s="228"/>
      <c r="V813" s="228"/>
      <c r="W813" s="228"/>
      <c r="X813" s="228"/>
      <c r="Y813" s="228"/>
      <c r="Z813" s="228"/>
      <c r="AA813" s="228"/>
      <c r="AB813" s="228"/>
      <c r="AC813" s="228"/>
      <c r="AD813" s="228"/>
      <c r="AE813" s="228"/>
      <c r="AF813" s="228"/>
      <c r="AG813" s="228"/>
      <c r="AH813" s="228"/>
      <c r="AI813" s="228"/>
      <c r="AJ813" s="228"/>
      <c r="AK813" s="228"/>
      <c r="AL813" s="228"/>
      <c r="AM813" s="228"/>
    </row>
    <row r="814">
      <c r="A814" s="228"/>
      <c r="B814" s="228"/>
      <c r="C814" s="228"/>
      <c r="D814" s="228"/>
      <c r="E814" s="228"/>
      <c r="F814" s="228"/>
      <c r="G814" s="228"/>
      <c r="H814" s="241"/>
      <c r="I814" s="228"/>
      <c r="J814" s="228"/>
      <c r="K814" s="228"/>
      <c r="L814" s="228"/>
      <c r="M814" s="228"/>
      <c r="N814" s="228"/>
      <c r="O814" s="236"/>
      <c r="P814" s="228"/>
      <c r="Q814" s="228"/>
      <c r="R814" s="228"/>
      <c r="S814" s="228"/>
      <c r="T814" s="228"/>
      <c r="U814" s="228"/>
      <c r="V814" s="228"/>
      <c r="W814" s="228"/>
      <c r="X814" s="228"/>
      <c r="Y814" s="228"/>
      <c r="Z814" s="228"/>
      <c r="AA814" s="228"/>
      <c r="AB814" s="228"/>
      <c r="AC814" s="228"/>
      <c r="AD814" s="228"/>
      <c r="AE814" s="228"/>
      <c r="AF814" s="228"/>
      <c r="AG814" s="228"/>
      <c r="AH814" s="228"/>
      <c r="AI814" s="228"/>
      <c r="AJ814" s="228"/>
      <c r="AK814" s="228"/>
      <c r="AL814" s="228"/>
      <c r="AM814" s="228"/>
    </row>
    <row r="815">
      <c r="A815" s="228"/>
      <c r="B815" s="228"/>
      <c r="C815" s="228"/>
      <c r="D815" s="228"/>
      <c r="E815" s="228"/>
      <c r="F815" s="228"/>
      <c r="G815" s="228"/>
      <c r="H815" s="241"/>
      <c r="I815" s="228"/>
      <c r="J815" s="228"/>
      <c r="K815" s="228"/>
      <c r="L815" s="228"/>
      <c r="M815" s="228"/>
      <c r="N815" s="228"/>
      <c r="O815" s="236"/>
      <c r="P815" s="228"/>
      <c r="Q815" s="228"/>
      <c r="R815" s="228"/>
      <c r="S815" s="228"/>
      <c r="T815" s="228"/>
      <c r="U815" s="228"/>
      <c r="V815" s="228"/>
      <c r="W815" s="228"/>
      <c r="X815" s="228"/>
      <c r="Y815" s="228"/>
      <c r="Z815" s="228"/>
      <c r="AA815" s="228"/>
      <c r="AB815" s="228"/>
      <c r="AC815" s="228"/>
      <c r="AD815" s="228"/>
      <c r="AE815" s="228"/>
      <c r="AF815" s="228"/>
      <c r="AG815" s="228"/>
      <c r="AH815" s="228"/>
      <c r="AI815" s="228"/>
      <c r="AJ815" s="228"/>
      <c r="AK815" s="228"/>
      <c r="AL815" s="228"/>
      <c r="AM815" s="228"/>
    </row>
    <row r="816">
      <c r="A816" s="228"/>
      <c r="B816" s="228"/>
      <c r="C816" s="228"/>
      <c r="D816" s="228"/>
      <c r="E816" s="228"/>
      <c r="F816" s="228"/>
      <c r="G816" s="228"/>
      <c r="H816" s="241"/>
      <c r="I816" s="228"/>
      <c r="J816" s="228"/>
      <c r="K816" s="228"/>
      <c r="L816" s="228"/>
      <c r="M816" s="228"/>
      <c r="N816" s="228"/>
      <c r="O816" s="236"/>
      <c r="P816" s="228"/>
      <c r="Q816" s="228"/>
      <c r="R816" s="228"/>
      <c r="S816" s="228"/>
      <c r="T816" s="228"/>
      <c r="U816" s="228"/>
      <c r="V816" s="228"/>
      <c r="W816" s="228"/>
      <c r="X816" s="228"/>
      <c r="Y816" s="228"/>
      <c r="Z816" s="228"/>
      <c r="AA816" s="228"/>
      <c r="AB816" s="228"/>
      <c r="AC816" s="228"/>
      <c r="AD816" s="228"/>
      <c r="AE816" s="228"/>
      <c r="AF816" s="228"/>
      <c r="AG816" s="228"/>
      <c r="AH816" s="228"/>
      <c r="AI816" s="228"/>
      <c r="AJ816" s="228"/>
      <c r="AK816" s="228"/>
      <c r="AL816" s="228"/>
      <c r="AM816" s="228"/>
    </row>
    <row r="817">
      <c r="A817" s="228"/>
      <c r="B817" s="228"/>
      <c r="C817" s="228"/>
      <c r="D817" s="228"/>
      <c r="E817" s="228"/>
      <c r="F817" s="228"/>
      <c r="G817" s="228"/>
      <c r="H817" s="241"/>
      <c r="I817" s="228"/>
      <c r="J817" s="228"/>
      <c r="K817" s="228"/>
      <c r="L817" s="228"/>
      <c r="M817" s="228"/>
      <c r="N817" s="228"/>
      <c r="O817" s="236"/>
      <c r="P817" s="228"/>
      <c r="Q817" s="228"/>
      <c r="R817" s="228"/>
      <c r="S817" s="228"/>
      <c r="T817" s="228"/>
      <c r="U817" s="228"/>
      <c r="V817" s="228"/>
      <c r="W817" s="228"/>
      <c r="X817" s="228"/>
      <c r="Y817" s="228"/>
      <c r="Z817" s="228"/>
      <c r="AA817" s="228"/>
      <c r="AB817" s="228"/>
      <c r="AC817" s="228"/>
      <c r="AD817" s="228"/>
      <c r="AE817" s="228"/>
      <c r="AF817" s="228"/>
      <c r="AG817" s="228"/>
      <c r="AH817" s="228"/>
      <c r="AI817" s="228"/>
      <c r="AJ817" s="228"/>
      <c r="AK817" s="228"/>
      <c r="AL817" s="228"/>
      <c r="AM817" s="228"/>
    </row>
    <row r="818">
      <c r="A818" s="228"/>
      <c r="B818" s="228"/>
      <c r="C818" s="228"/>
      <c r="D818" s="228"/>
      <c r="E818" s="228"/>
      <c r="F818" s="228"/>
      <c r="G818" s="228"/>
      <c r="H818" s="241"/>
      <c r="I818" s="228"/>
      <c r="J818" s="228"/>
      <c r="K818" s="228"/>
      <c r="L818" s="228"/>
      <c r="M818" s="228"/>
      <c r="N818" s="228"/>
      <c r="O818" s="236"/>
      <c r="P818" s="228"/>
      <c r="Q818" s="228"/>
      <c r="R818" s="228"/>
      <c r="S818" s="228"/>
      <c r="T818" s="228"/>
      <c r="U818" s="228"/>
      <c r="V818" s="228"/>
      <c r="W818" s="228"/>
      <c r="X818" s="228"/>
      <c r="Y818" s="228"/>
      <c r="Z818" s="228"/>
      <c r="AA818" s="228"/>
      <c r="AB818" s="228"/>
      <c r="AC818" s="228"/>
      <c r="AD818" s="228"/>
      <c r="AE818" s="228"/>
      <c r="AF818" s="228"/>
      <c r="AG818" s="228"/>
      <c r="AH818" s="228"/>
      <c r="AI818" s="228"/>
      <c r="AJ818" s="228"/>
      <c r="AK818" s="228"/>
      <c r="AL818" s="228"/>
      <c r="AM818" s="228"/>
    </row>
    <row r="819">
      <c r="A819" s="228"/>
      <c r="B819" s="228"/>
      <c r="C819" s="228"/>
      <c r="D819" s="228"/>
      <c r="E819" s="228"/>
      <c r="F819" s="228"/>
      <c r="G819" s="228"/>
      <c r="H819" s="241"/>
      <c r="I819" s="228"/>
      <c r="J819" s="228"/>
      <c r="K819" s="228"/>
      <c r="L819" s="228"/>
      <c r="M819" s="228"/>
      <c r="N819" s="228"/>
      <c r="O819" s="236"/>
      <c r="P819" s="228"/>
      <c r="Q819" s="228"/>
      <c r="R819" s="228"/>
      <c r="S819" s="228"/>
      <c r="T819" s="228"/>
      <c r="U819" s="228"/>
      <c r="V819" s="228"/>
      <c r="W819" s="228"/>
      <c r="X819" s="228"/>
      <c r="Y819" s="228"/>
      <c r="Z819" s="228"/>
      <c r="AA819" s="228"/>
      <c r="AB819" s="228"/>
      <c r="AC819" s="228"/>
      <c r="AD819" s="228"/>
      <c r="AE819" s="228"/>
      <c r="AF819" s="228"/>
      <c r="AG819" s="228"/>
      <c r="AH819" s="228"/>
      <c r="AI819" s="228"/>
      <c r="AJ819" s="228"/>
      <c r="AK819" s="228"/>
      <c r="AL819" s="228"/>
      <c r="AM819" s="228"/>
    </row>
    <row r="820">
      <c r="A820" s="228"/>
      <c r="B820" s="228"/>
      <c r="C820" s="228"/>
      <c r="D820" s="228"/>
      <c r="E820" s="228"/>
      <c r="F820" s="228"/>
      <c r="G820" s="228"/>
      <c r="H820" s="241"/>
      <c r="I820" s="228"/>
      <c r="J820" s="228"/>
      <c r="K820" s="228"/>
      <c r="L820" s="228"/>
      <c r="M820" s="228"/>
      <c r="N820" s="228"/>
      <c r="O820" s="236"/>
      <c r="P820" s="228"/>
      <c r="Q820" s="228"/>
      <c r="R820" s="228"/>
      <c r="S820" s="228"/>
      <c r="T820" s="228"/>
      <c r="U820" s="228"/>
      <c r="V820" s="228"/>
      <c r="W820" s="228"/>
      <c r="X820" s="228"/>
      <c r="Y820" s="228"/>
      <c r="Z820" s="228"/>
      <c r="AA820" s="228"/>
      <c r="AB820" s="228"/>
      <c r="AC820" s="228"/>
      <c r="AD820" s="228"/>
      <c r="AE820" s="228"/>
      <c r="AF820" s="228"/>
      <c r="AG820" s="228"/>
      <c r="AH820" s="228"/>
      <c r="AI820" s="228"/>
      <c r="AJ820" s="228"/>
      <c r="AK820" s="228"/>
      <c r="AL820" s="228"/>
      <c r="AM820" s="228"/>
    </row>
    <row r="821">
      <c r="A821" s="228"/>
      <c r="B821" s="228"/>
      <c r="C821" s="228"/>
      <c r="D821" s="228"/>
      <c r="E821" s="228"/>
      <c r="F821" s="228"/>
      <c r="G821" s="228"/>
      <c r="H821" s="241"/>
      <c r="I821" s="228"/>
      <c r="J821" s="228"/>
      <c r="K821" s="228"/>
      <c r="L821" s="228"/>
      <c r="M821" s="228"/>
      <c r="N821" s="228"/>
      <c r="O821" s="236"/>
      <c r="P821" s="228"/>
      <c r="Q821" s="228"/>
      <c r="R821" s="228"/>
      <c r="S821" s="228"/>
      <c r="T821" s="228"/>
      <c r="U821" s="228"/>
      <c r="V821" s="228"/>
      <c r="W821" s="228"/>
      <c r="X821" s="228"/>
      <c r="Y821" s="228"/>
      <c r="Z821" s="228"/>
      <c r="AA821" s="228"/>
      <c r="AB821" s="228"/>
      <c r="AC821" s="228"/>
      <c r="AD821" s="228"/>
      <c r="AE821" s="228"/>
      <c r="AF821" s="228"/>
      <c r="AG821" s="228"/>
      <c r="AH821" s="228"/>
      <c r="AI821" s="228"/>
      <c r="AJ821" s="228"/>
      <c r="AK821" s="228"/>
      <c r="AL821" s="228"/>
      <c r="AM821" s="228"/>
    </row>
    <row r="822">
      <c r="A822" s="228"/>
      <c r="B822" s="228"/>
      <c r="C822" s="228"/>
      <c r="D822" s="228"/>
      <c r="E822" s="228"/>
      <c r="F822" s="228"/>
      <c r="G822" s="228"/>
      <c r="H822" s="241"/>
      <c r="I822" s="228"/>
      <c r="J822" s="228"/>
      <c r="K822" s="228"/>
      <c r="L822" s="228"/>
      <c r="M822" s="228"/>
      <c r="N822" s="228"/>
      <c r="O822" s="236"/>
      <c r="P822" s="228"/>
      <c r="Q822" s="228"/>
      <c r="R822" s="228"/>
      <c r="S822" s="228"/>
      <c r="T822" s="228"/>
      <c r="U822" s="228"/>
      <c r="V822" s="228"/>
      <c r="W822" s="228"/>
      <c r="X822" s="228"/>
      <c r="Y822" s="228"/>
      <c r="Z822" s="228"/>
      <c r="AA822" s="228"/>
      <c r="AB822" s="228"/>
      <c r="AC822" s="228"/>
      <c r="AD822" s="228"/>
      <c r="AE822" s="228"/>
      <c r="AF822" s="228"/>
      <c r="AG822" s="228"/>
      <c r="AH822" s="228"/>
      <c r="AI822" s="228"/>
      <c r="AJ822" s="228"/>
      <c r="AK822" s="228"/>
      <c r="AL822" s="228"/>
      <c r="AM822" s="228"/>
    </row>
    <row r="823">
      <c r="A823" s="228"/>
      <c r="B823" s="228"/>
      <c r="C823" s="228"/>
      <c r="D823" s="228"/>
      <c r="E823" s="228"/>
      <c r="F823" s="228"/>
      <c r="G823" s="228"/>
      <c r="H823" s="241"/>
      <c r="I823" s="228"/>
      <c r="J823" s="228"/>
      <c r="K823" s="228"/>
      <c r="L823" s="228"/>
      <c r="M823" s="228"/>
      <c r="N823" s="228"/>
      <c r="O823" s="236"/>
      <c r="P823" s="228"/>
      <c r="Q823" s="228"/>
      <c r="R823" s="228"/>
      <c r="S823" s="228"/>
      <c r="T823" s="228"/>
      <c r="U823" s="228"/>
      <c r="V823" s="228"/>
      <c r="W823" s="228"/>
      <c r="X823" s="228"/>
      <c r="Y823" s="228"/>
      <c r="Z823" s="228"/>
      <c r="AA823" s="228"/>
      <c r="AB823" s="228"/>
      <c r="AC823" s="228"/>
      <c r="AD823" s="228"/>
      <c r="AE823" s="228"/>
      <c r="AF823" s="228"/>
      <c r="AG823" s="228"/>
      <c r="AH823" s="228"/>
      <c r="AI823" s="228"/>
      <c r="AJ823" s="228"/>
      <c r="AK823" s="228"/>
      <c r="AL823" s="228"/>
      <c r="AM823" s="228"/>
    </row>
    <row r="824">
      <c r="A824" s="228"/>
      <c r="B824" s="228"/>
      <c r="C824" s="228"/>
      <c r="D824" s="228"/>
      <c r="E824" s="228"/>
      <c r="F824" s="228"/>
      <c r="G824" s="228"/>
      <c r="H824" s="241"/>
      <c r="I824" s="228"/>
      <c r="J824" s="228"/>
      <c r="K824" s="228"/>
      <c r="L824" s="228"/>
      <c r="M824" s="228"/>
      <c r="N824" s="228"/>
      <c r="O824" s="236"/>
      <c r="P824" s="228"/>
      <c r="Q824" s="228"/>
      <c r="R824" s="228"/>
      <c r="S824" s="228"/>
      <c r="T824" s="228"/>
      <c r="U824" s="228"/>
      <c r="V824" s="228"/>
      <c r="W824" s="228"/>
      <c r="X824" s="228"/>
      <c r="Y824" s="228"/>
      <c r="Z824" s="228"/>
      <c r="AA824" s="228"/>
      <c r="AB824" s="228"/>
      <c r="AC824" s="228"/>
      <c r="AD824" s="228"/>
      <c r="AE824" s="228"/>
      <c r="AF824" s="228"/>
      <c r="AG824" s="228"/>
      <c r="AH824" s="228"/>
      <c r="AI824" s="228"/>
      <c r="AJ824" s="228"/>
      <c r="AK824" s="228"/>
      <c r="AL824" s="228"/>
      <c r="AM824" s="228"/>
    </row>
    <row r="825">
      <c r="A825" s="228"/>
      <c r="B825" s="228"/>
      <c r="C825" s="228"/>
      <c r="D825" s="228"/>
      <c r="E825" s="228"/>
      <c r="F825" s="228"/>
      <c r="G825" s="228"/>
      <c r="H825" s="241"/>
      <c r="I825" s="228"/>
      <c r="J825" s="228"/>
      <c r="K825" s="228"/>
      <c r="L825" s="228"/>
      <c r="M825" s="228"/>
      <c r="N825" s="228"/>
      <c r="O825" s="236"/>
      <c r="P825" s="228"/>
      <c r="Q825" s="228"/>
      <c r="R825" s="228"/>
      <c r="S825" s="228"/>
      <c r="T825" s="228"/>
      <c r="U825" s="228"/>
      <c r="V825" s="228"/>
      <c r="W825" s="228"/>
      <c r="X825" s="228"/>
      <c r="Y825" s="228"/>
      <c r="Z825" s="228"/>
      <c r="AA825" s="228"/>
      <c r="AB825" s="228"/>
      <c r="AC825" s="228"/>
      <c r="AD825" s="228"/>
      <c r="AE825" s="228"/>
      <c r="AF825" s="228"/>
      <c r="AG825" s="228"/>
      <c r="AH825" s="228"/>
      <c r="AI825" s="228"/>
      <c r="AJ825" s="228"/>
      <c r="AK825" s="228"/>
      <c r="AL825" s="228"/>
      <c r="AM825" s="228"/>
    </row>
    <row r="826">
      <c r="A826" s="228"/>
      <c r="B826" s="228"/>
      <c r="C826" s="228"/>
      <c r="D826" s="228"/>
      <c r="E826" s="228"/>
      <c r="F826" s="228"/>
      <c r="G826" s="228"/>
      <c r="H826" s="241"/>
      <c r="I826" s="228"/>
      <c r="J826" s="228"/>
      <c r="K826" s="228"/>
      <c r="L826" s="228"/>
      <c r="M826" s="228"/>
      <c r="N826" s="228"/>
      <c r="O826" s="236"/>
      <c r="P826" s="228"/>
      <c r="Q826" s="228"/>
      <c r="R826" s="228"/>
      <c r="S826" s="228"/>
      <c r="T826" s="228"/>
      <c r="U826" s="228"/>
      <c r="V826" s="228"/>
      <c r="W826" s="228"/>
      <c r="X826" s="228"/>
      <c r="Y826" s="228"/>
      <c r="Z826" s="228"/>
      <c r="AA826" s="228"/>
      <c r="AB826" s="228"/>
      <c r="AC826" s="228"/>
      <c r="AD826" s="228"/>
      <c r="AE826" s="228"/>
      <c r="AF826" s="228"/>
      <c r="AG826" s="228"/>
      <c r="AH826" s="228"/>
      <c r="AI826" s="228"/>
      <c r="AJ826" s="228"/>
      <c r="AK826" s="228"/>
      <c r="AL826" s="228"/>
      <c r="AM826" s="228"/>
    </row>
    <row r="827">
      <c r="A827" s="228"/>
      <c r="B827" s="228"/>
      <c r="C827" s="228"/>
      <c r="D827" s="228"/>
      <c r="E827" s="228"/>
      <c r="F827" s="228"/>
      <c r="G827" s="228"/>
      <c r="H827" s="241"/>
      <c r="I827" s="228"/>
      <c r="J827" s="228"/>
      <c r="K827" s="228"/>
      <c r="L827" s="228"/>
      <c r="M827" s="228"/>
      <c r="N827" s="228"/>
      <c r="O827" s="236"/>
      <c r="P827" s="228"/>
      <c r="Q827" s="228"/>
      <c r="R827" s="228"/>
      <c r="S827" s="228"/>
      <c r="T827" s="228"/>
      <c r="U827" s="228"/>
      <c r="V827" s="228"/>
      <c r="W827" s="228"/>
      <c r="X827" s="228"/>
      <c r="Y827" s="228"/>
      <c r="Z827" s="228"/>
      <c r="AA827" s="228"/>
      <c r="AB827" s="228"/>
      <c r="AC827" s="228"/>
      <c r="AD827" s="228"/>
      <c r="AE827" s="228"/>
      <c r="AF827" s="228"/>
      <c r="AG827" s="228"/>
      <c r="AH827" s="228"/>
      <c r="AI827" s="228"/>
      <c r="AJ827" s="228"/>
      <c r="AK827" s="228"/>
      <c r="AL827" s="228"/>
      <c r="AM827" s="228"/>
    </row>
    <row r="828">
      <c r="A828" s="228"/>
      <c r="B828" s="228"/>
      <c r="C828" s="228"/>
      <c r="D828" s="228"/>
      <c r="E828" s="228"/>
      <c r="F828" s="228"/>
      <c r="G828" s="228"/>
      <c r="H828" s="241"/>
      <c r="I828" s="228"/>
      <c r="J828" s="228"/>
      <c r="K828" s="228"/>
      <c r="L828" s="228"/>
      <c r="M828" s="228"/>
      <c r="N828" s="228"/>
      <c r="O828" s="236"/>
      <c r="P828" s="228"/>
      <c r="Q828" s="228"/>
      <c r="R828" s="228"/>
      <c r="S828" s="228"/>
      <c r="T828" s="228"/>
      <c r="U828" s="228"/>
      <c r="V828" s="228"/>
      <c r="W828" s="228"/>
      <c r="X828" s="228"/>
      <c r="Y828" s="228"/>
      <c r="Z828" s="228"/>
      <c r="AA828" s="228"/>
      <c r="AB828" s="228"/>
      <c r="AC828" s="228"/>
      <c r="AD828" s="228"/>
      <c r="AE828" s="228"/>
      <c r="AF828" s="228"/>
      <c r="AG828" s="228"/>
      <c r="AH828" s="228"/>
      <c r="AI828" s="228"/>
      <c r="AJ828" s="228"/>
      <c r="AK828" s="228"/>
      <c r="AL828" s="228"/>
      <c r="AM828" s="228"/>
    </row>
    <row r="829">
      <c r="A829" s="228"/>
      <c r="B829" s="228"/>
      <c r="C829" s="228"/>
      <c r="D829" s="228"/>
      <c r="E829" s="228"/>
      <c r="F829" s="228"/>
      <c r="G829" s="228"/>
      <c r="H829" s="241"/>
      <c r="I829" s="228"/>
      <c r="J829" s="228"/>
      <c r="K829" s="228"/>
      <c r="L829" s="228"/>
      <c r="M829" s="228"/>
      <c r="N829" s="228"/>
      <c r="O829" s="236"/>
      <c r="P829" s="228"/>
      <c r="Q829" s="228"/>
      <c r="R829" s="228"/>
      <c r="S829" s="228"/>
      <c r="T829" s="228"/>
      <c r="U829" s="228"/>
      <c r="V829" s="228"/>
      <c r="W829" s="228"/>
      <c r="X829" s="228"/>
      <c r="Y829" s="228"/>
      <c r="Z829" s="228"/>
      <c r="AA829" s="228"/>
      <c r="AB829" s="228"/>
      <c r="AC829" s="228"/>
      <c r="AD829" s="228"/>
      <c r="AE829" s="228"/>
      <c r="AF829" s="228"/>
      <c r="AG829" s="228"/>
      <c r="AH829" s="228"/>
      <c r="AI829" s="228"/>
      <c r="AJ829" s="228"/>
      <c r="AK829" s="228"/>
      <c r="AL829" s="228"/>
      <c r="AM829" s="228"/>
    </row>
    <row r="830">
      <c r="A830" s="228"/>
      <c r="B830" s="228"/>
      <c r="C830" s="228"/>
      <c r="D830" s="228"/>
      <c r="E830" s="228"/>
      <c r="F830" s="228"/>
      <c r="G830" s="228"/>
      <c r="H830" s="241"/>
      <c r="I830" s="228"/>
      <c r="J830" s="228"/>
      <c r="K830" s="228"/>
      <c r="L830" s="228"/>
      <c r="M830" s="228"/>
      <c r="N830" s="228"/>
      <c r="O830" s="236"/>
      <c r="P830" s="228"/>
      <c r="Q830" s="228"/>
      <c r="R830" s="228"/>
      <c r="S830" s="228"/>
      <c r="T830" s="228"/>
      <c r="U830" s="228"/>
      <c r="V830" s="228"/>
      <c r="W830" s="228"/>
      <c r="X830" s="228"/>
      <c r="Y830" s="228"/>
      <c r="Z830" s="228"/>
      <c r="AA830" s="228"/>
      <c r="AB830" s="228"/>
      <c r="AC830" s="228"/>
      <c r="AD830" s="228"/>
      <c r="AE830" s="228"/>
      <c r="AF830" s="228"/>
      <c r="AG830" s="228"/>
      <c r="AH830" s="228"/>
      <c r="AI830" s="228"/>
      <c r="AJ830" s="228"/>
      <c r="AK830" s="228"/>
      <c r="AL830" s="228"/>
      <c r="AM830" s="228"/>
    </row>
    <row r="831">
      <c r="A831" s="228"/>
      <c r="B831" s="228"/>
      <c r="C831" s="228"/>
      <c r="D831" s="228"/>
      <c r="E831" s="228"/>
      <c r="F831" s="228"/>
      <c r="G831" s="228"/>
      <c r="H831" s="241"/>
      <c r="I831" s="228"/>
      <c r="J831" s="228"/>
      <c r="K831" s="228"/>
      <c r="L831" s="228"/>
      <c r="M831" s="228"/>
      <c r="N831" s="228"/>
      <c r="O831" s="236"/>
      <c r="P831" s="228"/>
      <c r="Q831" s="228"/>
      <c r="R831" s="228"/>
      <c r="S831" s="228"/>
      <c r="T831" s="228"/>
      <c r="U831" s="228"/>
      <c r="V831" s="228"/>
      <c r="W831" s="228"/>
      <c r="X831" s="228"/>
      <c r="Y831" s="228"/>
      <c r="Z831" s="228"/>
      <c r="AA831" s="228"/>
      <c r="AB831" s="228"/>
      <c r="AC831" s="228"/>
      <c r="AD831" s="228"/>
      <c r="AE831" s="228"/>
      <c r="AF831" s="228"/>
      <c r="AG831" s="228"/>
      <c r="AH831" s="228"/>
      <c r="AI831" s="228"/>
      <c r="AJ831" s="228"/>
      <c r="AK831" s="228"/>
      <c r="AL831" s="228"/>
      <c r="AM831" s="228"/>
    </row>
    <row r="832">
      <c r="A832" s="228"/>
      <c r="B832" s="228"/>
      <c r="C832" s="228"/>
      <c r="D832" s="228"/>
      <c r="E832" s="228"/>
      <c r="F832" s="228"/>
      <c r="G832" s="228"/>
      <c r="H832" s="241"/>
      <c r="I832" s="228"/>
      <c r="J832" s="228"/>
      <c r="K832" s="228"/>
      <c r="L832" s="228"/>
      <c r="M832" s="228"/>
      <c r="N832" s="228"/>
      <c r="O832" s="236"/>
      <c r="P832" s="228"/>
      <c r="Q832" s="228"/>
      <c r="R832" s="228"/>
      <c r="S832" s="228"/>
      <c r="T832" s="228"/>
      <c r="U832" s="228"/>
      <c r="V832" s="228"/>
      <c r="W832" s="228"/>
      <c r="X832" s="228"/>
      <c r="Y832" s="228"/>
      <c r="Z832" s="228"/>
      <c r="AA832" s="228"/>
      <c r="AB832" s="228"/>
      <c r="AC832" s="228"/>
      <c r="AD832" s="228"/>
      <c r="AE832" s="228"/>
      <c r="AF832" s="228"/>
      <c r="AG832" s="228"/>
      <c r="AH832" s="228"/>
      <c r="AI832" s="228"/>
      <c r="AJ832" s="228"/>
      <c r="AK832" s="228"/>
      <c r="AL832" s="228"/>
      <c r="AM832" s="228"/>
    </row>
    <row r="833">
      <c r="A833" s="228"/>
      <c r="B833" s="228"/>
      <c r="C833" s="228"/>
      <c r="D833" s="228"/>
      <c r="E833" s="228"/>
      <c r="F833" s="228"/>
      <c r="G833" s="228"/>
      <c r="H833" s="241"/>
      <c r="I833" s="228"/>
      <c r="J833" s="228"/>
      <c r="K833" s="228"/>
      <c r="L833" s="228"/>
      <c r="M833" s="228"/>
      <c r="N833" s="228"/>
      <c r="O833" s="236"/>
      <c r="P833" s="228"/>
      <c r="Q833" s="228"/>
      <c r="R833" s="228"/>
      <c r="S833" s="228"/>
      <c r="T833" s="228"/>
      <c r="U833" s="228"/>
      <c r="V833" s="228"/>
      <c r="W833" s="228"/>
      <c r="X833" s="228"/>
      <c r="Y833" s="228"/>
      <c r="Z833" s="228"/>
      <c r="AA833" s="228"/>
      <c r="AB833" s="228"/>
      <c r="AC833" s="228"/>
      <c r="AD833" s="228"/>
      <c r="AE833" s="228"/>
      <c r="AF833" s="228"/>
      <c r="AG833" s="228"/>
      <c r="AH833" s="228"/>
      <c r="AI833" s="228"/>
      <c r="AJ833" s="228"/>
      <c r="AK833" s="228"/>
      <c r="AL833" s="228"/>
      <c r="AM833" s="228"/>
    </row>
    <row r="834">
      <c r="A834" s="228"/>
      <c r="B834" s="228"/>
      <c r="C834" s="228"/>
      <c r="D834" s="228"/>
      <c r="E834" s="228"/>
      <c r="F834" s="228"/>
      <c r="G834" s="228"/>
      <c r="H834" s="241"/>
      <c r="I834" s="228"/>
      <c r="J834" s="228"/>
      <c r="K834" s="228"/>
      <c r="L834" s="228"/>
      <c r="M834" s="228"/>
      <c r="N834" s="228"/>
      <c r="O834" s="236"/>
      <c r="P834" s="228"/>
      <c r="Q834" s="228"/>
      <c r="R834" s="228"/>
      <c r="S834" s="228"/>
      <c r="T834" s="228"/>
      <c r="U834" s="228"/>
      <c r="V834" s="228"/>
      <c r="W834" s="228"/>
      <c r="X834" s="228"/>
      <c r="Y834" s="228"/>
      <c r="Z834" s="228"/>
      <c r="AA834" s="228"/>
      <c r="AB834" s="228"/>
      <c r="AC834" s="228"/>
      <c r="AD834" s="228"/>
      <c r="AE834" s="228"/>
      <c r="AF834" s="228"/>
      <c r="AG834" s="228"/>
      <c r="AH834" s="228"/>
      <c r="AI834" s="228"/>
      <c r="AJ834" s="228"/>
      <c r="AK834" s="228"/>
      <c r="AL834" s="228"/>
      <c r="AM834" s="228"/>
    </row>
    <row r="835">
      <c r="A835" s="228"/>
      <c r="B835" s="228"/>
      <c r="C835" s="228"/>
      <c r="D835" s="228"/>
      <c r="E835" s="228"/>
      <c r="F835" s="228"/>
      <c r="G835" s="228"/>
      <c r="H835" s="241"/>
      <c r="I835" s="228"/>
      <c r="J835" s="228"/>
      <c r="K835" s="228"/>
      <c r="L835" s="228"/>
      <c r="M835" s="228"/>
      <c r="N835" s="228"/>
      <c r="O835" s="236"/>
      <c r="P835" s="228"/>
      <c r="Q835" s="228"/>
      <c r="R835" s="228"/>
      <c r="S835" s="228"/>
      <c r="T835" s="228"/>
      <c r="U835" s="228"/>
      <c r="V835" s="228"/>
      <c r="W835" s="228"/>
      <c r="X835" s="228"/>
      <c r="Y835" s="228"/>
      <c r="Z835" s="228"/>
      <c r="AA835" s="228"/>
      <c r="AB835" s="228"/>
      <c r="AC835" s="228"/>
      <c r="AD835" s="228"/>
      <c r="AE835" s="228"/>
      <c r="AF835" s="228"/>
      <c r="AG835" s="228"/>
      <c r="AH835" s="228"/>
      <c r="AI835" s="228"/>
      <c r="AJ835" s="228"/>
      <c r="AK835" s="228"/>
      <c r="AL835" s="228"/>
      <c r="AM835" s="228"/>
    </row>
    <row r="836">
      <c r="A836" s="228"/>
      <c r="B836" s="228"/>
      <c r="C836" s="228"/>
      <c r="D836" s="228"/>
      <c r="E836" s="228"/>
      <c r="F836" s="228"/>
      <c r="G836" s="228"/>
      <c r="H836" s="241"/>
      <c r="I836" s="228"/>
      <c r="J836" s="228"/>
      <c r="K836" s="228"/>
      <c r="L836" s="228"/>
      <c r="M836" s="228"/>
      <c r="N836" s="228"/>
      <c r="O836" s="236"/>
      <c r="P836" s="228"/>
      <c r="Q836" s="228"/>
      <c r="R836" s="228"/>
      <c r="S836" s="228"/>
      <c r="T836" s="228"/>
      <c r="U836" s="228"/>
      <c r="V836" s="228"/>
      <c r="W836" s="228"/>
      <c r="X836" s="228"/>
      <c r="Y836" s="228"/>
      <c r="Z836" s="228"/>
      <c r="AA836" s="228"/>
      <c r="AB836" s="228"/>
      <c r="AC836" s="228"/>
      <c r="AD836" s="228"/>
      <c r="AE836" s="228"/>
      <c r="AF836" s="228"/>
      <c r="AG836" s="228"/>
      <c r="AH836" s="228"/>
      <c r="AI836" s="228"/>
      <c r="AJ836" s="228"/>
      <c r="AK836" s="228"/>
      <c r="AL836" s="228"/>
      <c r="AM836" s="228"/>
    </row>
    <row r="837">
      <c r="A837" s="228"/>
      <c r="B837" s="228"/>
      <c r="C837" s="228"/>
      <c r="D837" s="228"/>
      <c r="E837" s="228"/>
      <c r="F837" s="228"/>
      <c r="G837" s="228"/>
      <c r="H837" s="241"/>
      <c r="I837" s="228"/>
      <c r="J837" s="228"/>
      <c r="K837" s="228"/>
      <c r="L837" s="228"/>
      <c r="M837" s="228"/>
      <c r="N837" s="228"/>
      <c r="O837" s="236"/>
      <c r="P837" s="228"/>
      <c r="Q837" s="228"/>
      <c r="R837" s="228"/>
      <c r="S837" s="228"/>
      <c r="T837" s="228"/>
      <c r="U837" s="228"/>
      <c r="V837" s="228"/>
      <c r="W837" s="228"/>
      <c r="X837" s="228"/>
      <c r="Y837" s="228"/>
      <c r="Z837" s="228"/>
      <c r="AA837" s="228"/>
      <c r="AB837" s="228"/>
      <c r="AC837" s="228"/>
      <c r="AD837" s="228"/>
      <c r="AE837" s="228"/>
      <c r="AF837" s="228"/>
      <c r="AG837" s="228"/>
      <c r="AH837" s="228"/>
      <c r="AI837" s="228"/>
      <c r="AJ837" s="228"/>
      <c r="AK837" s="228"/>
      <c r="AL837" s="228"/>
      <c r="AM837" s="228"/>
    </row>
    <row r="838">
      <c r="A838" s="228"/>
      <c r="B838" s="228"/>
      <c r="C838" s="228"/>
      <c r="D838" s="228"/>
      <c r="E838" s="228"/>
      <c r="F838" s="228"/>
      <c r="G838" s="228"/>
      <c r="H838" s="241"/>
      <c r="I838" s="228"/>
      <c r="J838" s="228"/>
      <c r="K838" s="228"/>
      <c r="L838" s="228"/>
      <c r="M838" s="228"/>
      <c r="N838" s="228"/>
      <c r="O838" s="236"/>
      <c r="P838" s="228"/>
      <c r="Q838" s="228"/>
      <c r="R838" s="228"/>
      <c r="S838" s="228"/>
      <c r="T838" s="228"/>
      <c r="U838" s="228"/>
      <c r="V838" s="228"/>
      <c r="W838" s="228"/>
      <c r="X838" s="228"/>
      <c r="Y838" s="228"/>
      <c r="Z838" s="228"/>
      <c r="AA838" s="228"/>
      <c r="AB838" s="228"/>
      <c r="AC838" s="228"/>
      <c r="AD838" s="228"/>
      <c r="AE838" s="228"/>
      <c r="AF838" s="228"/>
      <c r="AG838" s="228"/>
      <c r="AH838" s="228"/>
      <c r="AI838" s="228"/>
      <c r="AJ838" s="228"/>
      <c r="AK838" s="228"/>
      <c r="AL838" s="228"/>
      <c r="AM838" s="228"/>
    </row>
    <row r="839">
      <c r="A839" s="228"/>
      <c r="B839" s="228"/>
      <c r="C839" s="228"/>
      <c r="D839" s="228"/>
      <c r="E839" s="228"/>
      <c r="F839" s="228"/>
      <c r="G839" s="228"/>
      <c r="H839" s="241"/>
      <c r="I839" s="228"/>
      <c r="J839" s="228"/>
      <c r="K839" s="228"/>
      <c r="L839" s="228"/>
      <c r="M839" s="228"/>
      <c r="N839" s="228"/>
      <c r="O839" s="236"/>
      <c r="P839" s="228"/>
      <c r="Q839" s="228"/>
      <c r="R839" s="228"/>
      <c r="S839" s="228"/>
      <c r="T839" s="228"/>
      <c r="U839" s="228"/>
      <c r="V839" s="228"/>
      <c r="W839" s="228"/>
      <c r="X839" s="228"/>
      <c r="Y839" s="228"/>
      <c r="Z839" s="228"/>
      <c r="AA839" s="228"/>
      <c r="AB839" s="228"/>
      <c r="AC839" s="228"/>
      <c r="AD839" s="228"/>
      <c r="AE839" s="228"/>
      <c r="AF839" s="228"/>
      <c r="AG839" s="228"/>
      <c r="AH839" s="228"/>
      <c r="AI839" s="228"/>
      <c r="AJ839" s="228"/>
      <c r="AK839" s="228"/>
      <c r="AL839" s="228"/>
      <c r="AM839" s="228"/>
    </row>
    <row r="840">
      <c r="A840" s="228"/>
      <c r="B840" s="228"/>
      <c r="C840" s="228"/>
      <c r="D840" s="228"/>
      <c r="E840" s="228"/>
      <c r="F840" s="228"/>
      <c r="G840" s="228"/>
      <c r="H840" s="241"/>
      <c r="I840" s="228"/>
      <c r="J840" s="228"/>
      <c r="K840" s="228"/>
      <c r="L840" s="228"/>
      <c r="M840" s="228"/>
      <c r="N840" s="228"/>
      <c r="O840" s="236"/>
      <c r="P840" s="228"/>
      <c r="Q840" s="228"/>
      <c r="R840" s="228"/>
      <c r="S840" s="228"/>
      <c r="T840" s="228"/>
      <c r="U840" s="228"/>
      <c r="V840" s="228"/>
      <c r="W840" s="228"/>
      <c r="X840" s="228"/>
      <c r="Y840" s="228"/>
      <c r="Z840" s="228"/>
      <c r="AA840" s="228"/>
      <c r="AB840" s="228"/>
      <c r="AC840" s="228"/>
      <c r="AD840" s="228"/>
      <c r="AE840" s="228"/>
      <c r="AF840" s="228"/>
      <c r="AG840" s="228"/>
      <c r="AH840" s="228"/>
      <c r="AI840" s="228"/>
      <c r="AJ840" s="228"/>
      <c r="AK840" s="228"/>
      <c r="AL840" s="228"/>
      <c r="AM840" s="228"/>
    </row>
    <row r="841">
      <c r="A841" s="228"/>
      <c r="B841" s="228"/>
      <c r="C841" s="228"/>
      <c r="D841" s="228"/>
      <c r="E841" s="228"/>
      <c r="F841" s="228"/>
      <c r="G841" s="228"/>
      <c r="H841" s="241"/>
      <c r="I841" s="228"/>
      <c r="J841" s="228"/>
      <c r="K841" s="228"/>
      <c r="L841" s="228"/>
      <c r="M841" s="228"/>
      <c r="N841" s="228"/>
      <c r="O841" s="236"/>
      <c r="P841" s="228"/>
      <c r="Q841" s="228"/>
      <c r="R841" s="228"/>
      <c r="S841" s="228"/>
      <c r="T841" s="228"/>
      <c r="U841" s="228"/>
      <c r="V841" s="228"/>
      <c r="W841" s="228"/>
      <c r="X841" s="228"/>
      <c r="Y841" s="228"/>
      <c r="Z841" s="228"/>
      <c r="AA841" s="228"/>
      <c r="AB841" s="228"/>
      <c r="AC841" s="228"/>
      <c r="AD841" s="228"/>
      <c r="AE841" s="228"/>
      <c r="AF841" s="228"/>
      <c r="AG841" s="228"/>
      <c r="AH841" s="228"/>
      <c r="AI841" s="228"/>
      <c r="AJ841" s="228"/>
      <c r="AK841" s="228"/>
      <c r="AL841" s="228"/>
      <c r="AM841" s="228"/>
    </row>
    <row r="842">
      <c r="A842" s="228"/>
      <c r="B842" s="228"/>
      <c r="C842" s="228"/>
      <c r="D842" s="228"/>
      <c r="E842" s="228"/>
      <c r="F842" s="228"/>
      <c r="G842" s="228"/>
      <c r="H842" s="241"/>
      <c r="I842" s="228"/>
      <c r="J842" s="228"/>
      <c r="K842" s="228"/>
      <c r="L842" s="228"/>
      <c r="M842" s="228"/>
      <c r="N842" s="228"/>
      <c r="O842" s="236"/>
      <c r="P842" s="228"/>
      <c r="Q842" s="228"/>
      <c r="R842" s="228"/>
      <c r="S842" s="228"/>
      <c r="T842" s="228"/>
      <c r="U842" s="228"/>
      <c r="V842" s="228"/>
      <c r="W842" s="228"/>
      <c r="X842" s="228"/>
      <c r="Y842" s="228"/>
      <c r="Z842" s="228"/>
      <c r="AA842" s="228"/>
      <c r="AB842" s="228"/>
      <c r="AC842" s="228"/>
      <c r="AD842" s="228"/>
      <c r="AE842" s="228"/>
      <c r="AF842" s="228"/>
      <c r="AG842" s="228"/>
      <c r="AH842" s="228"/>
      <c r="AI842" s="228"/>
      <c r="AJ842" s="228"/>
      <c r="AK842" s="228"/>
      <c r="AL842" s="228"/>
      <c r="AM842" s="228"/>
    </row>
    <row r="843">
      <c r="A843" s="228"/>
      <c r="B843" s="228"/>
      <c r="C843" s="228"/>
      <c r="D843" s="228"/>
      <c r="E843" s="228"/>
      <c r="F843" s="228"/>
      <c r="G843" s="228"/>
      <c r="H843" s="241"/>
      <c r="I843" s="228"/>
      <c r="J843" s="228"/>
      <c r="K843" s="228"/>
      <c r="L843" s="228"/>
      <c r="M843" s="228"/>
      <c r="N843" s="228"/>
      <c r="O843" s="236"/>
      <c r="P843" s="228"/>
      <c r="Q843" s="228"/>
      <c r="R843" s="228"/>
      <c r="S843" s="228"/>
      <c r="T843" s="228"/>
      <c r="U843" s="228"/>
      <c r="V843" s="228"/>
      <c r="W843" s="228"/>
      <c r="X843" s="228"/>
      <c r="Y843" s="228"/>
      <c r="Z843" s="228"/>
      <c r="AA843" s="228"/>
      <c r="AB843" s="228"/>
      <c r="AC843" s="228"/>
      <c r="AD843" s="228"/>
      <c r="AE843" s="228"/>
      <c r="AF843" s="228"/>
      <c r="AG843" s="228"/>
      <c r="AH843" s="228"/>
      <c r="AI843" s="228"/>
      <c r="AJ843" s="228"/>
      <c r="AK843" s="228"/>
      <c r="AL843" s="228"/>
      <c r="AM843" s="228"/>
    </row>
    <row r="844">
      <c r="A844" s="228"/>
      <c r="B844" s="228"/>
      <c r="C844" s="228"/>
      <c r="D844" s="228"/>
      <c r="E844" s="228"/>
      <c r="F844" s="228"/>
      <c r="G844" s="228"/>
      <c r="H844" s="241"/>
      <c r="I844" s="228"/>
      <c r="J844" s="228"/>
      <c r="K844" s="228"/>
      <c r="L844" s="228"/>
      <c r="M844" s="228"/>
      <c r="N844" s="228"/>
      <c r="O844" s="236"/>
      <c r="P844" s="228"/>
      <c r="Q844" s="228"/>
      <c r="R844" s="228"/>
      <c r="S844" s="228"/>
      <c r="T844" s="228"/>
      <c r="U844" s="228"/>
      <c r="V844" s="228"/>
      <c r="W844" s="228"/>
      <c r="X844" s="228"/>
      <c r="Y844" s="228"/>
      <c r="Z844" s="228"/>
      <c r="AA844" s="228"/>
      <c r="AB844" s="228"/>
      <c r="AC844" s="228"/>
      <c r="AD844" s="228"/>
      <c r="AE844" s="228"/>
      <c r="AF844" s="228"/>
      <c r="AG844" s="228"/>
      <c r="AH844" s="228"/>
      <c r="AI844" s="228"/>
      <c r="AJ844" s="228"/>
      <c r="AK844" s="228"/>
      <c r="AL844" s="228"/>
      <c r="AM844" s="228"/>
    </row>
    <row r="845">
      <c r="A845" s="228"/>
      <c r="B845" s="228"/>
      <c r="C845" s="228"/>
      <c r="D845" s="228"/>
      <c r="E845" s="228"/>
      <c r="F845" s="228"/>
      <c r="G845" s="228"/>
      <c r="H845" s="241"/>
      <c r="I845" s="228"/>
      <c r="J845" s="228"/>
      <c r="K845" s="228"/>
      <c r="L845" s="228"/>
      <c r="M845" s="228"/>
      <c r="N845" s="228"/>
      <c r="O845" s="236"/>
      <c r="P845" s="228"/>
      <c r="Q845" s="228"/>
      <c r="R845" s="228"/>
      <c r="S845" s="228"/>
      <c r="T845" s="228"/>
      <c r="U845" s="228"/>
      <c r="V845" s="228"/>
      <c r="W845" s="228"/>
      <c r="X845" s="228"/>
      <c r="Y845" s="228"/>
      <c r="Z845" s="228"/>
      <c r="AA845" s="228"/>
      <c r="AB845" s="228"/>
      <c r="AC845" s="228"/>
      <c r="AD845" s="228"/>
      <c r="AE845" s="228"/>
      <c r="AF845" s="228"/>
      <c r="AG845" s="228"/>
      <c r="AH845" s="228"/>
      <c r="AI845" s="228"/>
      <c r="AJ845" s="228"/>
      <c r="AK845" s="228"/>
      <c r="AL845" s="228"/>
      <c r="AM845" s="228"/>
    </row>
    <row r="846">
      <c r="A846" s="228"/>
      <c r="B846" s="228"/>
      <c r="C846" s="228"/>
      <c r="D846" s="228"/>
      <c r="E846" s="228"/>
      <c r="F846" s="228"/>
      <c r="G846" s="228"/>
      <c r="H846" s="241"/>
      <c r="I846" s="228"/>
      <c r="J846" s="228"/>
      <c r="K846" s="228"/>
      <c r="L846" s="228"/>
      <c r="M846" s="228"/>
      <c r="N846" s="228"/>
      <c r="O846" s="236"/>
      <c r="P846" s="228"/>
      <c r="Q846" s="228"/>
      <c r="R846" s="228"/>
      <c r="S846" s="228"/>
      <c r="T846" s="228"/>
      <c r="U846" s="228"/>
      <c r="V846" s="228"/>
      <c r="W846" s="228"/>
      <c r="X846" s="228"/>
      <c r="Y846" s="228"/>
      <c r="Z846" s="228"/>
      <c r="AA846" s="228"/>
      <c r="AB846" s="228"/>
      <c r="AC846" s="228"/>
      <c r="AD846" s="228"/>
      <c r="AE846" s="228"/>
      <c r="AF846" s="228"/>
      <c r="AG846" s="228"/>
      <c r="AH846" s="228"/>
      <c r="AI846" s="228"/>
      <c r="AJ846" s="228"/>
      <c r="AK846" s="228"/>
      <c r="AL846" s="228"/>
      <c r="AM846" s="228"/>
    </row>
    <row r="847">
      <c r="A847" s="228"/>
      <c r="B847" s="228"/>
      <c r="C847" s="228"/>
      <c r="D847" s="228"/>
      <c r="E847" s="228"/>
      <c r="F847" s="228"/>
      <c r="G847" s="228"/>
      <c r="H847" s="241"/>
      <c r="I847" s="228"/>
      <c r="J847" s="228"/>
      <c r="K847" s="228"/>
      <c r="L847" s="228"/>
      <c r="M847" s="228"/>
      <c r="N847" s="228"/>
      <c r="O847" s="236"/>
      <c r="P847" s="228"/>
      <c r="Q847" s="228"/>
      <c r="R847" s="228"/>
      <c r="S847" s="228"/>
      <c r="T847" s="228"/>
      <c r="U847" s="228"/>
      <c r="V847" s="228"/>
      <c r="W847" s="228"/>
      <c r="X847" s="228"/>
      <c r="Y847" s="228"/>
      <c r="Z847" s="228"/>
      <c r="AA847" s="228"/>
      <c r="AB847" s="228"/>
      <c r="AC847" s="228"/>
      <c r="AD847" s="228"/>
      <c r="AE847" s="228"/>
      <c r="AF847" s="228"/>
      <c r="AG847" s="228"/>
      <c r="AH847" s="228"/>
      <c r="AI847" s="228"/>
      <c r="AJ847" s="228"/>
      <c r="AK847" s="228"/>
      <c r="AL847" s="228"/>
      <c r="AM847" s="228"/>
    </row>
    <row r="848">
      <c r="A848" s="228"/>
      <c r="B848" s="228"/>
      <c r="C848" s="228"/>
      <c r="D848" s="228"/>
      <c r="E848" s="228"/>
      <c r="F848" s="228"/>
      <c r="G848" s="228"/>
      <c r="H848" s="241"/>
      <c r="I848" s="228"/>
      <c r="J848" s="228"/>
      <c r="K848" s="228"/>
      <c r="L848" s="228"/>
      <c r="M848" s="228"/>
      <c r="N848" s="228"/>
      <c r="O848" s="236"/>
      <c r="P848" s="228"/>
      <c r="Q848" s="228"/>
      <c r="R848" s="228"/>
      <c r="S848" s="228"/>
      <c r="T848" s="228"/>
      <c r="U848" s="228"/>
      <c r="V848" s="228"/>
      <c r="W848" s="228"/>
      <c r="X848" s="228"/>
      <c r="Y848" s="228"/>
      <c r="Z848" s="228"/>
      <c r="AA848" s="228"/>
      <c r="AB848" s="228"/>
      <c r="AC848" s="228"/>
      <c r="AD848" s="228"/>
      <c r="AE848" s="228"/>
      <c r="AF848" s="228"/>
      <c r="AG848" s="228"/>
      <c r="AH848" s="228"/>
      <c r="AI848" s="228"/>
      <c r="AJ848" s="228"/>
      <c r="AK848" s="228"/>
      <c r="AL848" s="228"/>
      <c r="AM848" s="228"/>
    </row>
    <row r="849">
      <c r="A849" s="228"/>
      <c r="B849" s="228"/>
      <c r="C849" s="228"/>
      <c r="D849" s="228"/>
      <c r="E849" s="228"/>
      <c r="F849" s="228"/>
      <c r="G849" s="228"/>
      <c r="H849" s="241"/>
      <c r="I849" s="228"/>
      <c r="J849" s="228"/>
      <c r="K849" s="228"/>
      <c r="L849" s="228"/>
      <c r="M849" s="228"/>
      <c r="N849" s="228"/>
      <c r="O849" s="236"/>
      <c r="P849" s="228"/>
      <c r="Q849" s="228"/>
      <c r="R849" s="228"/>
      <c r="S849" s="228"/>
      <c r="T849" s="228"/>
      <c r="U849" s="228"/>
      <c r="V849" s="228"/>
      <c r="W849" s="228"/>
      <c r="X849" s="228"/>
      <c r="Y849" s="228"/>
      <c r="Z849" s="228"/>
      <c r="AA849" s="228"/>
      <c r="AB849" s="228"/>
      <c r="AC849" s="228"/>
      <c r="AD849" s="228"/>
      <c r="AE849" s="228"/>
      <c r="AF849" s="228"/>
      <c r="AG849" s="228"/>
      <c r="AH849" s="228"/>
      <c r="AI849" s="228"/>
      <c r="AJ849" s="228"/>
      <c r="AK849" s="228"/>
      <c r="AL849" s="228"/>
      <c r="AM849" s="228"/>
    </row>
    <row r="850">
      <c r="A850" s="228"/>
      <c r="B850" s="228"/>
      <c r="C850" s="228"/>
      <c r="D850" s="228"/>
      <c r="E850" s="228"/>
      <c r="F850" s="228"/>
      <c r="G850" s="228"/>
      <c r="H850" s="241"/>
      <c r="I850" s="228"/>
      <c r="J850" s="228"/>
      <c r="K850" s="228"/>
      <c r="L850" s="228"/>
      <c r="M850" s="228"/>
      <c r="N850" s="228"/>
      <c r="O850" s="236"/>
      <c r="P850" s="228"/>
      <c r="Q850" s="228"/>
      <c r="R850" s="228"/>
      <c r="S850" s="228"/>
      <c r="T850" s="228"/>
      <c r="U850" s="228"/>
      <c r="V850" s="228"/>
      <c r="W850" s="228"/>
      <c r="X850" s="228"/>
      <c r="Y850" s="228"/>
      <c r="Z850" s="228"/>
      <c r="AA850" s="228"/>
      <c r="AB850" s="228"/>
      <c r="AC850" s="228"/>
      <c r="AD850" s="228"/>
      <c r="AE850" s="228"/>
      <c r="AF850" s="228"/>
      <c r="AG850" s="228"/>
      <c r="AH850" s="228"/>
      <c r="AI850" s="228"/>
      <c r="AJ850" s="228"/>
      <c r="AK850" s="228"/>
      <c r="AL850" s="228"/>
      <c r="AM850" s="228"/>
    </row>
    <row r="851">
      <c r="A851" s="228"/>
      <c r="B851" s="228"/>
      <c r="C851" s="228"/>
      <c r="D851" s="228"/>
      <c r="E851" s="228"/>
      <c r="F851" s="228"/>
      <c r="G851" s="228"/>
      <c r="H851" s="241"/>
      <c r="I851" s="228"/>
      <c r="J851" s="228"/>
      <c r="K851" s="228"/>
      <c r="L851" s="228"/>
      <c r="M851" s="228"/>
      <c r="N851" s="228"/>
      <c r="O851" s="236"/>
      <c r="P851" s="228"/>
      <c r="Q851" s="228"/>
      <c r="R851" s="228"/>
      <c r="S851" s="228"/>
      <c r="T851" s="228"/>
      <c r="U851" s="228"/>
      <c r="V851" s="228"/>
      <c r="W851" s="228"/>
      <c r="X851" s="228"/>
      <c r="Y851" s="228"/>
      <c r="Z851" s="228"/>
      <c r="AA851" s="228"/>
      <c r="AB851" s="228"/>
      <c r="AC851" s="228"/>
      <c r="AD851" s="228"/>
      <c r="AE851" s="228"/>
      <c r="AF851" s="228"/>
      <c r="AG851" s="228"/>
      <c r="AH851" s="228"/>
      <c r="AI851" s="228"/>
      <c r="AJ851" s="228"/>
      <c r="AK851" s="228"/>
      <c r="AL851" s="228"/>
      <c r="AM851" s="228"/>
    </row>
    <row r="852">
      <c r="A852" s="228"/>
      <c r="B852" s="228"/>
      <c r="C852" s="228"/>
      <c r="D852" s="228"/>
      <c r="E852" s="228"/>
      <c r="F852" s="228"/>
      <c r="G852" s="228"/>
      <c r="H852" s="241"/>
      <c r="I852" s="228"/>
      <c r="J852" s="228"/>
      <c r="K852" s="228"/>
      <c r="L852" s="228"/>
      <c r="M852" s="228"/>
      <c r="N852" s="228"/>
      <c r="O852" s="236"/>
      <c r="P852" s="228"/>
      <c r="Q852" s="228"/>
      <c r="R852" s="228"/>
      <c r="S852" s="228"/>
      <c r="T852" s="228"/>
      <c r="U852" s="228"/>
      <c r="V852" s="228"/>
      <c r="W852" s="228"/>
      <c r="X852" s="228"/>
      <c r="Y852" s="228"/>
      <c r="Z852" s="228"/>
      <c r="AA852" s="228"/>
      <c r="AB852" s="228"/>
      <c r="AC852" s="228"/>
      <c r="AD852" s="228"/>
      <c r="AE852" s="228"/>
      <c r="AF852" s="228"/>
      <c r="AG852" s="228"/>
      <c r="AH852" s="228"/>
      <c r="AI852" s="228"/>
      <c r="AJ852" s="228"/>
      <c r="AK852" s="228"/>
      <c r="AL852" s="228"/>
      <c r="AM852" s="228"/>
    </row>
    <row r="853">
      <c r="A853" s="228"/>
      <c r="B853" s="228"/>
      <c r="C853" s="228"/>
      <c r="D853" s="228"/>
      <c r="E853" s="228"/>
      <c r="F853" s="228"/>
      <c r="G853" s="228"/>
      <c r="H853" s="241"/>
      <c r="I853" s="228"/>
      <c r="J853" s="228"/>
      <c r="K853" s="228"/>
      <c r="L853" s="228"/>
      <c r="M853" s="228"/>
      <c r="N853" s="228"/>
      <c r="O853" s="236"/>
      <c r="P853" s="228"/>
      <c r="Q853" s="228"/>
      <c r="R853" s="228"/>
      <c r="S853" s="228"/>
      <c r="T853" s="228"/>
      <c r="U853" s="228"/>
      <c r="V853" s="228"/>
      <c r="W853" s="228"/>
      <c r="X853" s="228"/>
      <c r="Y853" s="228"/>
      <c r="Z853" s="228"/>
      <c r="AA853" s="228"/>
      <c r="AB853" s="228"/>
      <c r="AC853" s="228"/>
      <c r="AD853" s="228"/>
      <c r="AE853" s="228"/>
      <c r="AF853" s="228"/>
      <c r="AG853" s="228"/>
      <c r="AH853" s="228"/>
      <c r="AI853" s="228"/>
      <c r="AJ853" s="228"/>
      <c r="AK853" s="228"/>
      <c r="AL853" s="228"/>
      <c r="AM853" s="228"/>
    </row>
    <row r="854">
      <c r="A854" s="228"/>
      <c r="B854" s="228"/>
      <c r="C854" s="228"/>
      <c r="D854" s="228"/>
      <c r="E854" s="228"/>
      <c r="F854" s="228"/>
      <c r="G854" s="228"/>
      <c r="H854" s="241"/>
      <c r="I854" s="228"/>
      <c r="J854" s="228"/>
      <c r="K854" s="228"/>
      <c r="L854" s="228"/>
      <c r="M854" s="228"/>
      <c r="N854" s="228"/>
      <c r="O854" s="236"/>
      <c r="P854" s="228"/>
      <c r="Q854" s="228"/>
      <c r="R854" s="228"/>
      <c r="S854" s="228"/>
      <c r="T854" s="228"/>
      <c r="U854" s="228"/>
      <c r="V854" s="228"/>
      <c r="W854" s="228"/>
      <c r="X854" s="228"/>
      <c r="Y854" s="228"/>
      <c r="Z854" s="228"/>
      <c r="AA854" s="228"/>
      <c r="AB854" s="228"/>
      <c r="AC854" s="228"/>
      <c r="AD854" s="228"/>
      <c r="AE854" s="228"/>
      <c r="AF854" s="228"/>
      <c r="AG854" s="228"/>
      <c r="AH854" s="228"/>
      <c r="AI854" s="228"/>
      <c r="AJ854" s="228"/>
      <c r="AK854" s="228"/>
      <c r="AL854" s="228"/>
      <c r="AM854" s="228"/>
    </row>
    <row r="855">
      <c r="A855" s="228"/>
      <c r="B855" s="228"/>
      <c r="C855" s="228"/>
      <c r="D855" s="228"/>
      <c r="E855" s="228"/>
      <c r="F855" s="228"/>
      <c r="G855" s="228"/>
      <c r="H855" s="241"/>
      <c r="I855" s="228"/>
      <c r="J855" s="228"/>
      <c r="K855" s="228"/>
      <c r="L855" s="228"/>
      <c r="M855" s="228"/>
      <c r="N855" s="228"/>
      <c r="O855" s="236"/>
      <c r="P855" s="228"/>
      <c r="Q855" s="228"/>
      <c r="R855" s="228"/>
      <c r="S855" s="228"/>
      <c r="T855" s="228"/>
      <c r="U855" s="228"/>
      <c r="V855" s="228"/>
      <c r="W855" s="228"/>
      <c r="X855" s="228"/>
      <c r="Y855" s="228"/>
      <c r="Z855" s="228"/>
      <c r="AA855" s="228"/>
      <c r="AB855" s="228"/>
      <c r="AC855" s="228"/>
      <c r="AD855" s="228"/>
      <c r="AE855" s="228"/>
      <c r="AF855" s="228"/>
      <c r="AG855" s="228"/>
      <c r="AH855" s="228"/>
      <c r="AI855" s="228"/>
      <c r="AJ855" s="228"/>
      <c r="AK855" s="228"/>
      <c r="AL855" s="228"/>
      <c r="AM855" s="228"/>
    </row>
    <row r="856">
      <c r="A856" s="228"/>
      <c r="B856" s="228"/>
      <c r="C856" s="228"/>
      <c r="D856" s="228"/>
      <c r="E856" s="228"/>
      <c r="F856" s="228"/>
      <c r="G856" s="228"/>
      <c r="H856" s="241"/>
      <c r="I856" s="228"/>
      <c r="J856" s="228"/>
      <c r="K856" s="228"/>
      <c r="L856" s="228"/>
      <c r="M856" s="228"/>
      <c r="N856" s="228"/>
      <c r="O856" s="236"/>
      <c r="P856" s="228"/>
      <c r="Q856" s="228"/>
      <c r="R856" s="228"/>
      <c r="S856" s="228"/>
      <c r="T856" s="228"/>
      <c r="U856" s="228"/>
      <c r="V856" s="228"/>
      <c r="W856" s="228"/>
      <c r="X856" s="228"/>
      <c r="Y856" s="228"/>
      <c r="Z856" s="228"/>
      <c r="AA856" s="228"/>
      <c r="AB856" s="228"/>
      <c r="AC856" s="228"/>
      <c r="AD856" s="228"/>
      <c r="AE856" s="228"/>
      <c r="AF856" s="228"/>
      <c r="AG856" s="228"/>
      <c r="AH856" s="228"/>
      <c r="AI856" s="228"/>
      <c r="AJ856" s="228"/>
      <c r="AK856" s="228"/>
      <c r="AL856" s="228"/>
      <c r="AM856" s="228"/>
    </row>
    <row r="857">
      <c r="A857" s="228"/>
      <c r="B857" s="228"/>
      <c r="C857" s="228"/>
      <c r="D857" s="228"/>
      <c r="E857" s="228"/>
      <c r="F857" s="228"/>
      <c r="G857" s="228"/>
      <c r="H857" s="241"/>
      <c r="I857" s="228"/>
      <c r="J857" s="228"/>
      <c r="K857" s="228"/>
      <c r="L857" s="228"/>
      <c r="M857" s="228"/>
      <c r="N857" s="228"/>
      <c r="O857" s="236"/>
      <c r="P857" s="228"/>
      <c r="Q857" s="228"/>
      <c r="R857" s="228"/>
      <c r="S857" s="228"/>
      <c r="T857" s="228"/>
      <c r="U857" s="228"/>
      <c r="V857" s="228"/>
      <c r="W857" s="228"/>
      <c r="X857" s="228"/>
      <c r="Y857" s="228"/>
      <c r="Z857" s="228"/>
      <c r="AA857" s="228"/>
      <c r="AB857" s="228"/>
      <c r="AC857" s="228"/>
      <c r="AD857" s="228"/>
      <c r="AE857" s="228"/>
      <c r="AF857" s="228"/>
      <c r="AG857" s="228"/>
      <c r="AH857" s="228"/>
      <c r="AI857" s="228"/>
      <c r="AJ857" s="228"/>
      <c r="AK857" s="228"/>
      <c r="AL857" s="228"/>
      <c r="AM857" s="228"/>
    </row>
    <row r="858">
      <c r="A858" s="228"/>
      <c r="B858" s="228"/>
      <c r="C858" s="228"/>
      <c r="D858" s="228"/>
      <c r="E858" s="228"/>
      <c r="F858" s="228"/>
      <c r="G858" s="228"/>
      <c r="H858" s="241"/>
      <c r="I858" s="228"/>
      <c r="J858" s="228"/>
      <c r="K858" s="228"/>
      <c r="L858" s="228"/>
      <c r="M858" s="228"/>
      <c r="N858" s="228"/>
      <c r="O858" s="236"/>
      <c r="P858" s="228"/>
      <c r="Q858" s="228"/>
      <c r="R858" s="228"/>
      <c r="S858" s="228"/>
      <c r="T858" s="228"/>
      <c r="U858" s="228"/>
      <c r="V858" s="228"/>
      <c r="W858" s="228"/>
      <c r="X858" s="228"/>
      <c r="Y858" s="228"/>
      <c r="Z858" s="228"/>
      <c r="AA858" s="228"/>
      <c r="AB858" s="228"/>
      <c r="AC858" s="228"/>
      <c r="AD858" s="228"/>
      <c r="AE858" s="228"/>
      <c r="AF858" s="228"/>
      <c r="AG858" s="228"/>
      <c r="AH858" s="228"/>
      <c r="AI858" s="228"/>
      <c r="AJ858" s="228"/>
      <c r="AK858" s="228"/>
      <c r="AL858" s="228"/>
      <c r="AM858" s="228"/>
    </row>
    <row r="859">
      <c r="A859" s="228"/>
      <c r="B859" s="228"/>
      <c r="C859" s="228"/>
      <c r="D859" s="228"/>
      <c r="E859" s="228"/>
      <c r="F859" s="228"/>
      <c r="G859" s="228"/>
      <c r="H859" s="241"/>
      <c r="I859" s="228"/>
      <c r="J859" s="228"/>
      <c r="K859" s="228"/>
      <c r="L859" s="228"/>
      <c r="M859" s="228"/>
      <c r="N859" s="228"/>
      <c r="O859" s="236"/>
      <c r="P859" s="228"/>
      <c r="Q859" s="228"/>
      <c r="R859" s="228"/>
      <c r="S859" s="228"/>
      <c r="T859" s="228"/>
      <c r="U859" s="228"/>
      <c r="V859" s="228"/>
      <c r="W859" s="228"/>
      <c r="X859" s="228"/>
      <c r="Y859" s="228"/>
      <c r="Z859" s="228"/>
      <c r="AA859" s="228"/>
      <c r="AB859" s="228"/>
      <c r="AC859" s="228"/>
      <c r="AD859" s="228"/>
      <c r="AE859" s="228"/>
      <c r="AF859" s="228"/>
      <c r="AG859" s="228"/>
      <c r="AH859" s="228"/>
      <c r="AI859" s="228"/>
      <c r="AJ859" s="228"/>
      <c r="AK859" s="228"/>
      <c r="AL859" s="228"/>
      <c r="AM859" s="228"/>
    </row>
    <row r="860">
      <c r="A860" s="228"/>
      <c r="B860" s="228"/>
      <c r="C860" s="228"/>
      <c r="D860" s="228"/>
      <c r="E860" s="228"/>
      <c r="F860" s="228"/>
      <c r="G860" s="228"/>
      <c r="H860" s="241"/>
      <c r="I860" s="228"/>
      <c r="J860" s="228"/>
      <c r="K860" s="228"/>
      <c r="L860" s="228"/>
      <c r="M860" s="228"/>
      <c r="N860" s="228"/>
      <c r="O860" s="236"/>
      <c r="P860" s="228"/>
      <c r="Q860" s="228"/>
      <c r="R860" s="228"/>
      <c r="S860" s="228"/>
      <c r="T860" s="228"/>
      <c r="U860" s="228"/>
      <c r="V860" s="228"/>
      <c r="W860" s="228"/>
      <c r="X860" s="228"/>
      <c r="Y860" s="228"/>
      <c r="Z860" s="228"/>
      <c r="AA860" s="228"/>
      <c r="AB860" s="228"/>
      <c r="AC860" s="228"/>
      <c r="AD860" s="228"/>
      <c r="AE860" s="228"/>
      <c r="AF860" s="228"/>
      <c r="AG860" s="228"/>
      <c r="AH860" s="228"/>
      <c r="AI860" s="228"/>
      <c r="AJ860" s="228"/>
      <c r="AK860" s="228"/>
      <c r="AL860" s="228"/>
      <c r="AM860" s="228"/>
    </row>
    <row r="861">
      <c r="A861" s="228"/>
      <c r="B861" s="228"/>
      <c r="C861" s="228"/>
      <c r="D861" s="228"/>
      <c r="E861" s="228"/>
      <c r="F861" s="228"/>
      <c r="G861" s="228"/>
      <c r="H861" s="241"/>
      <c r="I861" s="228"/>
      <c r="J861" s="228"/>
      <c r="K861" s="228"/>
      <c r="L861" s="228"/>
      <c r="M861" s="228"/>
      <c r="N861" s="228"/>
      <c r="O861" s="236"/>
      <c r="P861" s="228"/>
      <c r="Q861" s="228"/>
      <c r="R861" s="228"/>
      <c r="S861" s="228"/>
      <c r="T861" s="228"/>
      <c r="U861" s="228"/>
      <c r="V861" s="228"/>
      <c r="W861" s="228"/>
      <c r="X861" s="228"/>
      <c r="Y861" s="228"/>
      <c r="Z861" s="228"/>
      <c r="AA861" s="228"/>
      <c r="AB861" s="228"/>
      <c r="AC861" s="228"/>
      <c r="AD861" s="228"/>
      <c r="AE861" s="228"/>
      <c r="AF861" s="228"/>
      <c r="AG861" s="228"/>
      <c r="AH861" s="228"/>
      <c r="AI861" s="228"/>
      <c r="AJ861" s="228"/>
      <c r="AK861" s="228"/>
      <c r="AL861" s="228"/>
      <c r="AM861" s="228"/>
    </row>
    <row r="862">
      <c r="A862" s="228"/>
      <c r="B862" s="228"/>
      <c r="C862" s="228"/>
      <c r="D862" s="228"/>
      <c r="E862" s="228"/>
      <c r="F862" s="228"/>
      <c r="G862" s="228"/>
      <c r="H862" s="241"/>
      <c r="I862" s="228"/>
      <c r="J862" s="228"/>
      <c r="K862" s="228"/>
      <c r="L862" s="228"/>
      <c r="M862" s="228"/>
      <c r="N862" s="228"/>
      <c r="O862" s="236"/>
      <c r="P862" s="228"/>
      <c r="Q862" s="228"/>
      <c r="R862" s="228"/>
      <c r="S862" s="228"/>
      <c r="T862" s="228"/>
      <c r="U862" s="228"/>
      <c r="V862" s="228"/>
      <c r="W862" s="228"/>
      <c r="X862" s="228"/>
      <c r="Y862" s="228"/>
      <c r="Z862" s="228"/>
      <c r="AA862" s="228"/>
      <c r="AB862" s="228"/>
      <c r="AC862" s="228"/>
      <c r="AD862" s="228"/>
      <c r="AE862" s="228"/>
      <c r="AF862" s="228"/>
      <c r="AG862" s="228"/>
      <c r="AH862" s="228"/>
      <c r="AI862" s="228"/>
      <c r="AJ862" s="228"/>
      <c r="AK862" s="228"/>
      <c r="AL862" s="228"/>
      <c r="AM862" s="228"/>
    </row>
    <row r="863">
      <c r="A863" s="228"/>
      <c r="B863" s="228"/>
      <c r="C863" s="228"/>
      <c r="D863" s="228"/>
      <c r="E863" s="228"/>
      <c r="F863" s="228"/>
      <c r="G863" s="228"/>
      <c r="H863" s="241"/>
      <c r="I863" s="228"/>
      <c r="J863" s="228"/>
      <c r="K863" s="228"/>
      <c r="L863" s="228"/>
      <c r="M863" s="228"/>
      <c r="N863" s="228"/>
      <c r="O863" s="236"/>
      <c r="P863" s="228"/>
      <c r="Q863" s="228"/>
      <c r="R863" s="228"/>
      <c r="S863" s="228"/>
      <c r="T863" s="228"/>
      <c r="U863" s="228"/>
      <c r="V863" s="228"/>
      <c r="W863" s="228"/>
      <c r="X863" s="228"/>
      <c r="Y863" s="228"/>
      <c r="Z863" s="228"/>
      <c r="AA863" s="228"/>
      <c r="AB863" s="228"/>
      <c r="AC863" s="228"/>
      <c r="AD863" s="228"/>
      <c r="AE863" s="228"/>
      <c r="AF863" s="228"/>
      <c r="AG863" s="228"/>
      <c r="AH863" s="228"/>
      <c r="AI863" s="228"/>
      <c r="AJ863" s="228"/>
      <c r="AK863" s="228"/>
      <c r="AL863" s="228"/>
      <c r="AM863" s="228"/>
    </row>
    <row r="864">
      <c r="A864" s="228"/>
      <c r="B864" s="228"/>
      <c r="C864" s="228"/>
      <c r="D864" s="228"/>
      <c r="E864" s="228"/>
      <c r="F864" s="228"/>
      <c r="G864" s="228"/>
      <c r="H864" s="241"/>
      <c r="I864" s="228"/>
      <c r="J864" s="228"/>
      <c r="K864" s="228"/>
      <c r="L864" s="228"/>
      <c r="M864" s="228"/>
      <c r="N864" s="228"/>
      <c r="O864" s="236"/>
      <c r="P864" s="228"/>
      <c r="Q864" s="228"/>
      <c r="R864" s="228"/>
      <c r="S864" s="228"/>
      <c r="T864" s="228"/>
      <c r="U864" s="228"/>
      <c r="V864" s="228"/>
      <c r="W864" s="228"/>
      <c r="X864" s="228"/>
      <c r="Y864" s="228"/>
      <c r="Z864" s="228"/>
      <c r="AA864" s="228"/>
      <c r="AB864" s="228"/>
      <c r="AC864" s="228"/>
      <c r="AD864" s="228"/>
      <c r="AE864" s="228"/>
      <c r="AF864" s="228"/>
      <c r="AG864" s="228"/>
      <c r="AH864" s="228"/>
      <c r="AI864" s="228"/>
      <c r="AJ864" s="228"/>
      <c r="AK864" s="228"/>
      <c r="AL864" s="228"/>
      <c r="AM864" s="228"/>
    </row>
    <row r="865">
      <c r="A865" s="228"/>
      <c r="B865" s="228"/>
      <c r="C865" s="228"/>
      <c r="D865" s="228"/>
      <c r="E865" s="228"/>
      <c r="F865" s="228"/>
      <c r="G865" s="228"/>
      <c r="H865" s="241"/>
      <c r="I865" s="228"/>
      <c r="J865" s="228"/>
      <c r="K865" s="228"/>
      <c r="L865" s="228"/>
      <c r="M865" s="228"/>
      <c r="N865" s="228"/>
      <c r="O865" s="236"/>
      <c r="P865" s="228"/>
      <c r="Q865" s="228"/>
      <c r="R865" s="228"/>
      <c r="S865" s="228"/>
      <c r="T865" s="228"/>
      <c r="U865" s="228"/>
      <c r="V865" s="228"/>
      <c r="W865" s="228"/>
      <c r="X865" s="228"/>
      <c r="Y865" s="228"/>
      <c r="Z865" s="228"/>
      <c r="AA865" s="228"/>
      <c r="AB865" s="228"/>
      <c r="AC865" s="228"/>
      <c r="AD865" s="228"/>
      <c r="AE865" s="228"/>
      <c r="AF865" s="228"/>
      <c r="AG865" s="228"/>
      <c r="AH865" s="228"/>
      <c r="AI865" s="228"/>
      <c r="AJ865" s="228"/>
      <c r="AK865" s="228"/>
      <c r="AL865" s="228"/>
      <c r="AM865" s="228"/>
    </row>
    <row r="866">
      <c r="A866" s="228"/>
      <c r="B866" s="228"/>
      <c r="C866" s="228"/>
      <c r="D866" s="228"/>
      <c r="E866" s="228"/>
      <c r="F866" s="228"/>
      <c r="G866" s="228"/>
      <c r="H866" s="241"/>
      <c r="I866" s="228"/>
      <c r="J866" s="228"/>
      <c r="K866" s="228"/>
      <c r="L866" s="228"/>
      <c r="M866" s="228"/>
      <c r="N866" s="228"/>
      <c r="O866" s="236"/>
      <c r="P866" s="228"/>
      <c r="Q866" s="228"/>
      <c r="R866" s="228"/>
      <c r="S866" s="228"/>
      <c r="T866" s="228"/>
      <c r="U866" s="228"/>
      <c r="V866" s="228"/>
      <c r="W866" s="228"/>
      <c r="X866" s="228"/>
      <c r="Y866" s="228"/>
      <c r="Z866" s="228"/>
      <c r="AA866" s="228"/>
      <c r="AB866" s="228"/>
      <c r="AC866" s="228"/>
      <c r="AD866" s="228"/>
      <c r="AE866" s="228"/>
      <c r="AF866" s="228"/>
      <c r="AG866" s="228"/>
      <c r="AH866" s="228"/>
      <c r="AI866" s="228"/>
      <c r="AJ866" s="228"/>
      <c r="AK866" s="228"/>
      <c r="AL866" s="228"/>
      <c r="AM866" s="228"/>
    </row>
    <row r="867">
      <c r="A867" s="228"/>
      <c r="B867" s="228"/>
      <c r="C867" s="228"/>
      <c r="D867" s="228"/>
      <c r="E867" s="228"/>
      <c r="F867" s="228"/>
      <c r="G867" s="228"/>
      <c r="H867" s="241"/>
      <c r="I867" s="228"/>
      <c r="J867" s="228"/>
      <c r="K867" s="228"/>
      <c r="L867" s="228"/>
      <c r="M867" s="228"/>
      <c r="N867" s="228"/>
      <c r="O867" s="236"/>
      <c r="P867" s="228"/>
      <c r="Q867" s="228"/>
      <c r="R867" s="228"/>
      <c r="S867" s="228"/>
      <c r="T867" s="228"/>
      <c r="U867" s="228"/>
      <c r="V867" s="228"/>
      <c r="W867" s="228"/>
      <c r="X867" s="228"/>
      <c r="Y867" s="228"/>
      <c r="Z867" s="228"/>
      <c r="AA867" s="228"/>
      <c r="AB867" s="228"/>
      <c r="AC867" s="228"/>
      <c r="AD867" s="228"/>
      <c r="AE867" s="228"/>
      <c r="AF867" s="228"/>
      <c r="AG867" s="228"/>
      <c r="AH867" s="228"/>
      <c r="AI867" s="228"/>
      <c r="AJ867" s="228"/>
      <c r="AK867" s="228"/>
      <c r="AL867" s="228"/>
      <c r="AM867" s="228"/>
    </row>
    <row r="868">
      <c r="A868" s="228"/>
      <c r="B868" s="228"/>
      <c r="C868" s="228"/>
      <c r="D868" s="228"/>
      <c r="E868" s="228"/>
      <c r="F868" s="228"/>
      <c r="G868" s="228"/>
      <c r="H868" s="241"/>
      <c r="I868" s="228"/>
      <c r="J868" s="228"/>
      <c r="K868" s="228"/>
      <c r="L868" s="228"/>
      <c r="M868" s="228"/>
      <c r="N868" s="228"/>
      <c r="O868" s="236"/>
      <c r="P868" s="228"/>
      <c r="Q868" s="228"/>
      <c r="R868" s="228"/>
      <c r="S868" s="228"/>
      <c r="T868" s="228"/>
      <c r="U868" s="228"/>
      <c r="V868" s="228"/>
      <c r="W868" s="228"/>
      <c r="X868" s="228"/>
      <c r="Y868" s="228"/>
      <c r="Z868" s="228"/>
      <c r="AA868" s="228"/>
      <c r="AB868" s="228"/>
      <c r="AC868" s="228"/>
      <c r="AD868" s="228"/>
      <c r="AE868" s="228"/>
      <c r="AF868" s="228"/>
      <c r="AG868" s="228"/>
      <c r="AH868" s="228"/>
      <c r="AI868" s="228"/>
      <c r="AJ868" s="228"/>
      <c r="AK868" s="228"/>
      <c r="AL868" s="228"/>
      <c r="AM868" s="228"/>
    </row>
    <row r="869">
      <c r="A869" s="228"/>
      <c r="B869" s="228"/>
      <c r="C869" s="228"/>
      <c r="D869" s="228"/>
      <c r="E869" s="228"/>
      <c r="F869" s="228"/>
      <c r="G869" s="228"/>
      <c r="H869" s="241"/>
      <c r="I869" s="228"/>
      <c r="J869" s="228"/>
      <c r="K869" s="228"/>
      <c r="L869" s="228"/>
      <c r="M869" s="228"/>
      <c r="N869" s="228"/>
      <c r="O869" s="236"/>
      <c r="P869" s="228"/>
      <c r="Q869" s="228"/>
      <c r="R869" s="228"/>
      <c r="S869" s="228"/>
      <c r="T869" s="228"/>
      <c r="U869" s="228"/>
      <c r="V869" s="228"/>
      <c r="W869" s="228"/>
      <c r="X869" s="228"/>
      <c r="Y869" s="228"/>
      <c r="Z869" s="228"/>
      <c r="AA869" s="228"/>
      <c r="AB869" s="228"/>
      <c r="AC869" s="228"/>
      <c r="AD869" s="228"/>
      <c r="AE869" s="228"/>
      <c r="AF869" s="228"/>
      <c r="AG869" s="228"/>
      <c r="AH869" s="228"/>
      <c r="AI869" s="228"/>
      <c r="AJ869" s="228"/>
      <c r="AK869" s="228"/>
      <c r="AL869" s="228"/>
      <c r="AM869" s="228"/>
    </row>
    <row r="870">
      <c r="A870" s="228"/>
      <c r="B870" s="228"/>
      <c r="C870" s="228"/>
      <c r="D870" s="228"/>
      <c r="E870" s="228"/>
      <c r="F870" s="228"/>
      <c r="G870" s="228"/>
      <c r="H870" s="241"/>
      <c r="I870" s="228"/>
      <c r="J870" s="228"/>
      <c r="K870" s="228"/>
      <c r="L870" s="228"/>
      <c r="M870" s="228"/>
      <c r="N870" s="228"/>
      <c r="O870" s="236"/>
      <c r="P870" s="228"/>
      <c r="Q870" s="228"/>
      <c r="R870" s="228"/>
      <c r="S870" s="228"/>
      <c r="T870" s="228"/>
      <c r="U870" s="228"/>
      <c r="V870" s="228"/>
      <c r="W870" s="228"/>
      <c r="X870" s="228"/>
      <c r="Y870" s="228"/>
      <c r="Z870" s="228"/>
      <c r="AA870" s="228"/>
      <c r="AB870" s="228"/>
      <c r="AC870" s="228"/>
      <c r="AD870" s="228"/>
      <c r="AE870" s="228"/>
      <c r="AF870" s="228"/>
      <c r="AG870" s="228"/>
      <c r="AH870" s="228"/>
      <c r="AI870" s="228"/>
      <c r="AJ870" s="228"/>
      <c r="AK870" s="228"/>
      <c r="AL870" s="228"/>
      <c r="AM870" s="228"/>
    </row>
    <row r="871">
      <c r="A871" s="228"/>
      <c r="B871" s="228"/>
      <c r="C871" s="228"/>
      <c r="D871" s="228"/>
      <c r="E871" s="228"/>
      <c r="F871" s="228"/>
      <c r="G871" s="228"/>
      <c r="H871" s="241"/>
      <c r="I871" s="228"/>
      <c r="J871" s="228"/>
      <c r="K871" s="228"/>
      <c r="L871" s="228"/>
      <c r="M871" s="228"/>
      <c r="N871" s="228"/>
      <c r="O871" s="236"/>
      <c r="P871" s="228"/>
      <c r="Q871" s="228"/>
      <c r="R871" s="228"/>
      <c r="S871" s="228"/>
      <c r="T871" s="228"/>
      <c r="U871" s="228"/>
      <c r="V871" s="228"/>
      <c r="W871" s="228"/>
      <c r="X871" s="228"/>
      <c r="Y871" s="228"/>
      <c r="Z871" s="228"/>
      <c r="AA871" s="228"/>
      <c r="AB871" s="228"/>
      <c r="AC871" s="228"/>
      <c r="AD871" s="228"/>
      <c r="AE871" s="228"/>
      <c r="AF871" s="228"/>
      <c r="AG871" s="228"/>
      <c r="AH871" s="228"/>
      <c r="AI871" s="228"/>
      <c r="AJ871" s="228"/>
      <c r="AK871" s="228"/>
      <c r="AL871" s="228"/>
      <c r="AM871" s="228"/>
    </row>
    <row r="872">
      <c r="A872" s="228"/>
      <c r="B872" s="228"/>
      <c r="C872" s="228"/>
      <c r="D872" s="228"/>
      <c r="E872" s="228"/>
      <c r="F872" s="228"/>
      <c r="G872" s="228"/>
      <c r="H872" s="241"/>
      <c r="I872" s="228"/>
      <c r="J872" s="228"/>
      <c r="K872" s="228"/>
      <c r="L872" s="228"/>
      <c r="M872" s="228"/>
      <c r="N872" s="228"/>
      <c r="O872" s="236"/>
      <c r="P872" s="228"/>
      <c r="Q872" s="228"/>
      <c r="R872" s="228"/>
      <c r="S872" s="228"/>
      <c r="T872" s="228"/>
      <c r="U872" s="228"/>
      <c r="V872" s="228"/>
      <c r="W872" s="228"/>
      <c r="X872" s="228"/>
      <c r="Y872" s="228"/>
      <c r="Z872" s="228"/>
      <c r="AA872" s="228"/>
      <c r="AB872" s="228"/>
      <c r="AC872" s="228"/>
      <c r="AD872" s="228"/>
      <c r="AE872" s="228"/>
      <c r="AF872" s="228"/>
      <c r="AG872" s="228"/>
      <c r="AH872" s="228"/>
      <c r="AI872" s="228"/>
      <c r="AJ872" s="228"/>
      <c r="AK872" s="228"/>
      <c r="AL872" s="228"/>
      <c r="AM872" s="228"/>
    </row>
    <row r="873">
      <c r="A873" s="228"/>
      <c r="B873" s="228"/>
      <c r="C873" s="228"/>
      <c r="D873" s="228"/>
      <c r="E873" s="228"/>
      <c r="F873" s="228"/>
      <c r="G873" s="228"/>
      <c r="H873" s="241"/>
      <c r="I873" s="228"/>
      <c r="J873" s="228"/>
      <c r="K873" s="228"/>
      <c r="L873" s="228"/>
      <c r="M873" s="228"/>
      <c r="N873" s="228"/>
      <c r="O873" s="236"/>
      <c r="P873" s="228"/>
      <c r="Q873" s="228"/>
      <c r="R873" s="228"/>
      <c r="S873" s="228"/>
      <c r="T873" s="228"/>
      <c r="U873" s="228"/>
      <c r="V873" s="228"/>
      <c r="W873" s="228"/>
      <c r="X873" s="228"/>
      <c r="Y873" s="228"/>
      <c r="Z873" s="228"/>
      <c r="AA873" s="228"/>
      <c r="AB873" s="228"/>
      <c r="AC873" s="228"/>
      <c r="AD873" s="228"/>
      <c r="AE873" s="228"/>
      <c r="AF873" s="228"/>
      <c r="AG873" s="228"/>
      <c r="AH873" s="228"/>
      <c r="AI873" s="228"/>
      <c r="AJ873" s="228"/>
      <c r="AK873" s="228"/>
      <c r="AL873" s="228"/>
      <c r="AM873" s="228"/>
    </row>
    <row r="874">
      <c r="A874" s="228"/>
      <c r="B874" s="228"/>
      <c r="C874" s="228"/>
      <c r="D874" s="228"/>
      <c r="E874" s="228"/>
      <c r="F874" s="228"/>
      <c r="G874" s="228"/>
      <c r="H874" s="241"/>
      <c r="I874" s="228"/>
      <c r="J874" s="228"/>
      <c r="K874" s="228"/>
      <c r="L874" s="228"/>
      <c r="M874" s="228"/>
      <c r="N874" s="228"/>
      <c r="O874" s="236"/>
      <c r="P874" s="228"/>
      <c r="Q874" s="228"/>
      <c r="R874" s="228"/>
      <c r="S874" s="228"/>
      <c r="T874" s="228"/>
      <c r="U874" s="228"/>
      <c r="V874" s="228"/>
      <c r="W874" s="228"/>
      <c r="X874" s="228"/>
      <c r="Y874" s="228"/>
      <c r="Z874" s="228"/>
      <c r="AA874" s="228"/>
      <c r="AB874" s="228"/>
      <c r="AC874" s="228"/>
      <c r="AD874" s="228"/>
      <c r="AE874" s="228"/>
      <c r="AF874" s="228"/>
      <c r="AG874" s="228"/>
      <c r="AH874" s="228"/>
      <c r="AI874" s="228"/>
      <c r="AJ874" s="228"/>
      <c r="AK874" s="228"/>
      <c r="AL874" s="228"/>
      <c r="AM874" s="228"/>
    </row>
    <row r="875">
      <c r="A875" s="228"/>
      <c r="B875" s="228"/>
      <c r="C875" s="228"/>
      <c r="D875" s="228"/>
      <c r="E875" s="228"/>
      <c r="F875" s="228"/>
      <c r="G875" s="228"/>
      <c r="H875" s="241"/>
      <c r="I875" s="228"/>
      <c r="J875" s="228"/>
      <c r="K875" s="228"/>
      <c r="L875" s="228"/>
      <c r="M875" s="228"/>
      <c r="N875" s="228"/>
      <c r="O875" s="236"/>
      <c r="P875" s="228"/>
      <c r="Q875" s="228"/>
      <c r="R875" s="228"/>
      <c r="S875" s="228"/>
      <c r="T875" s="228"/>
      <c r="U875" s="228"/>
      <c r="V875" s="228"/>
      <c r="W875" s="228"/>
      <c r="X875" s="228"/>
      <c r="Y875" s="228"/>
      <c r="Z875" s="228"/>
      <c r="AA875" s="228"/>
      <c r="AB875" s="228"/>
      <c r="AC875" s="228"/>
      <c r="AD875" s="228"/>
      <c r="AE875" s="228"/>
      <c r="AF875" s="228"/>
      <c r="AG875" s="228"/>
      <c r="AH875" s="228"/>
      <c r="AI875" s="228"/>
      <c r="AJ875" s="228"/>
      <c r="AK875" s="228"/>
      <c r="AL875" s="228"/>
      <c r="AM875" s="228"/>
    </row>
    <row r="876">
      <c r="A876" s="228"/>
      <c r="B876" s="228"/>
      <c r="C876" s="228"/>
      <c r="D876" s="228"/>
      <c r="E876" s="228"/>
      <c r="F876" s="228"/>
      <c r="G876" s="228"/>
      <c r="H876" s="241"/>
      <c r="I876" s="228"/>
      <c r="J876" s="228"/>
      <c r="K876" s="228"/>
      <c r="L876" s="228"/>
      <c r="M876" s="228"/>
      <c r="N876" s="228"/>
      <c r="O876" s="236"/>
      <c r="P876" s="228"/>
      <c r="Q876" s="228"/>
      <c r="R876" s="228"/>
      <c r="S876" s="228"/>
      <c r="T876" s="228"/>
      <c r="U876" s="228"/>
      <c r="V876" s="228"/>
      <c r="W876" s="228"/>
      <c r="X876" s="228"/>
      <c r="Y876" s="228"/>
      <c r="Z876" s="228"/>
      <c r="AA876" s="228"/>
      <c r="AB876" s="228"/>
      <c r="AC876" s="228"/>
      <c r="AD876" s="228"/>
      <c r="AE876" s="228"/>
      <c r="AF876" s="228"/>
      <c r="AG876" s="228"/>
      <c r="AH876" s="228"/>
      <c r="AI876" s="228"/>
      <c r="AJ876" s="228"/>
      <c r="AK876" s="228"/>
      <c r="AL876" s="228"/>
      <c r="AM876" s="228"/>
    </row>
    <row r="877">
      <c r="A877" s="228"/>
      <c r="B877" s="228"/>
      <c r="C877" s="228"/>
      <c r="D877" s="228"/>
      <c r="E877" s="228"/>
      <c r="F877" s="228"/>
      <c r="G877" s="228"/>
      <c r="H877" s="241"/>
      <c r="I877" s="228"/>
      <c r="J877" s="228"/>
      <c r="K877" s="228"/>
      <c r="L877" s="228"/>
      <c r="M877" s="228"/>
      <c r="N877" s="228"/>
      <c r="O877" s="236"/>
      <c r="P877" s="228"/>
      <c r="Q877" s="228"/>
      <c r="R877" s="228"/>
      <c r="S877" s="228"/>
      <c r="T877" s="228"/>
      <c r="U877" s="228"/>
      <c r="V877" s="228"/>
      <c r="W877" s="228"/>
      <c r="X877" s="228"/>
      <c r="Y877" s="228"/>
      <c r="Z877" s="228"/>
      <c r="AA877" s="228"/>
      <c r="AB877" s="228"/>
      <c r="AC877" s="228"/>
      <c r="AD877" s="228"/>
      <c r="AE877" s="228"/>
      <c r="AF877" s="228"/>
      <c r="AG877" s="228"/>
      <c r="AH877" s="228"/>
      <c r="AI877" s="228"/>
      <c r="AJ877" s="228"/>
      <c r="AK877" s="228"/>
      <c r="AL877" s="228"/>
      <c r="AM877" s="228"/>
    </row>
    <row r="878">
      <c r="A878" s="228"/>
      <c r="B878" s="228"/>
      <c r="C878" s="228"/>
      <c r="D878" s="228"/>
      <c r="E878" s="228"/>
      <c r="F878" s="228"/>
      <c r="G878" s="228"/>
      <c r="H878" s="241"/>
      <c r="I878" s="228"/>
      <c r="J878" s="228"/>
      <c r="K878" s="228"/>
      <c r="L878" s="228"/>
      <c r="M878" s="228"/>
      <c r="N878" s="228"/>
      <c r="O878" s="236"/>
      <c r="P878" s="228"/>
      <c r="Q878" s="228"/>
      <c r="R878" s="228"/>
      <c r="S878" s="228"/>
      <c r="T878" s="228"/>
      <c r="U878" s="228"/>
      <c r="V878" s="228"/>
      <c r="W878" s="228"/>
      <c r="X878" s="228"/>
      <c r="Y878" s="228"/>
      <c r="Z878" s="228"/>
      <c r="AA878" s="228"/>
      <c r="AB878" s="228"/>
      <c r="AC878" s="228"/>
      <c r="AD878" s="228"/>
      <c r="AE878" s="228"/>
      <c r="AF878" s="228"/>
      <c r="AG878" s="228"/>
      <c r="AH878" s="228"/>
      <c r="AI878" s="228"/>
      <c r="AJ878" s="228"/>
      <c r="AK878" s="228"/>
      <c r="AL878" s="228"/>
      <c r="AM878" s="228"/>
    </row>
    <row r="879">
      <c r="A879" s="228"/>
      <c r="B879" s="228"/>
      <c r="C879" s="228"/>
      <c r="D879" s="228"/>
      <c r="E879" s="228"/>
      <c r="F879" s="228"/>
      <c r="G879" s="228"/>
      <c r="H879" s="241"/>
      <c r="I879" s="228"/>
      <c r="J879" s="228"/>
      <c r="K879" s="228"/>
      <c r="L879" s="228"/>
      <c r="M879" s="228"/>
      <c r="N879" s="228"/>
      <c r="O879" s="236"/>
      <c r="P879" s="228"/>
      <c r="Q879" s="228"/>
      <c r="R879" s="228"/>
      <c r="S879" s="228"/>
      <c r="T879" s="228"/>
      <c r="U879" s="228"/>
      <c r="V879" s="228"/>
      <c r="W879" s="228"/>
      <c r="X879" s="228"/>
      <c r="Y879" s="228"/>
      <c r="Z879" s="228"/>
      <c r="AA879" s="228"/>
      <c r="AB879" s="228"/>
      <c r="AC879" s="228"/>
      <c r="AD879" s="228"/>
      <c r="AE879" s="228"/>
      <c r="AF879" s="228"/>
      <c r="AG879" s="228"/>
      <c r="AH879" s="228"/>
      <c r="AI879" s="228"/>
      <c r="AJ879" s="228"/>
      <c r="AK879" s="228"/>
      <c r="AL879" s="228"/>
      <c r="AM879" s="228"/>
    </row>
    <row r="880">
      <c r="A880" s="228"/>
      <c r="B880" s="228"/>
      <c r="C880" s="228"/>
      <c r="D880" s="228"/>
      <c r="E880" s="228"/>
      <c r="F880" s="228"/>
      <c r="G880" s="228"/>
      <c r="H880" s="241"/>
      <c r="I880" s="228"/>
      <c r="J880" s="228"/>
      <c r="K880" s="228"/>
      <c r="L880" s="228"/>
      <c r="M880" s="228"/>
      <c r="N880" s="228"/>
      <c r="O880" s="236"/>
      <c r="P880" s="228"/>
      <c r="Q880" s="228"/>
      <c r="R880" s="228"/>
      <c r="S880" s="228"/>
      <c r="T880" s="228"/>
      <c r="U880" s="228"/>
      <c r="V880" s="228"/>
      <c r="W880" s="228"/>
      <c r="X880" s="228"/>
      <c r="Y880" s="228"/>
      <c r="Z880" s="228"/>
      <c r="AA880" s="228"/>
      <c r="AB880" s="228"/>
      <c r="AC880" s="228"/>
      <c r="AD880" s="228"/>
      <c r="AE880" s="228"/>
      <c r="AF880" s="228"/>
      <c r="AG880" s="228"/>
      <c r="AH880" s="228"/>
      <c r="AI880" s="228"/>
      <c r="AJ880" s="228"/>
      <c r="AK880" s="228"/>
      <c r="AL880" s="228"/>
      <c r="AM880" s="228"/>
    </row>
    <row r="881">
      <c r="A881" s="228"/>
      <c r="B881" s="228"/>
      <c r="C881" s="228"/>
      <c r="D881" s="228"/>
      <c r="E881" s="228"/>
      <c r="F881" s="228"/>
      <c r="G881" s="228"/>
      <c r="H881" s="241"/>
      <c r="I881" s="228"/>
      <c r="J881" s="228"/>
      <c r="K881" s="228"/>
      <c r="L881" s="228"/>
      <c r="M881" s="228"/>
      <c r="N881" s="228"/>
      <c r="O881" s="236"/>
      <c r="P881" s="228"/>
      <c r="Q881" s="228"/>
      <c r="R881" s="228"/>
      <c r="S881" s="228"/>
      <c r="T881" s="228"/>
      <c r="U881" s="228"/>
      <c r="V881" s="228"/>
      <c r="W881" s="228"/>
      <c r="X881" s="228"/>
      <c r="Y881" s="228"/>
      <c r="Z881" s="228"/>
      <c r="AA881" s="228"/>
      <c r="AB881" s="228"/>
      <c r="AC881" s="228"/>
      <c r="AD881" s="228"/>
      <c r="AE881" s="228"/>
      <c r="AF881" s="228"/>
      <c r="AG881" s="228"/>
      <c r="AH881" s="228"/>
      <c r="AI881" s="228"/>
      <c r="AJ881" s="228"/>
      <c r="AK881" s="228"/>
      <c r="AL881" s="228"/>
      <c r="AM881" s="228"/>
    </row>
    <row r="882">
      <c r="A882" s="228"/>
      <c r="B882" s="228"/>
      <c r="C882" s="228"/>
      <c r="D882" s="228"/>
      <c r="E882" s="228"/>
      <c r="F882" s="228"/>
      <c r="G882" s="228"/>
      <c r="H882" s="241"/>
      <c r="I882" s="228"/>
      <c r="J882" s="228"/>
      <c r="K882" s="228"/>
      <c r="L882" s="228"/>
      <c r="M882" s="228"/>
      <c r="N882" s="228"/>
      <c r="O882" s="236"/>
      <c r="P882" s="228"/>
      <c r="Q882" s="228"/>
      <c r="R882" s="228"/>
      <c r="S882" s="228"/>
      <c r="T882" s="228"/>
      <c r="U882" s="228"/>
      <c r="V882" s="228"/>
      <c r="W882" s="228"/>
      <c r="X882" s="228"/>
      <c r="Y882" s="228"/>
      <c r="Z882" s="228"/>
      <c r="AA882" s="228"/>
      <c r="AB882" s="228"/>
      <c r="AC882" s="228"/>
      <c r="AD882" s="228"/>
      <c r="AE882" s="228"/>
      <c r="AF882" s="228"/>
      <c r="AG882" s="228"/>
      <c r="AH882" s="228"/>
      <c r="AI882" s="228"/>
      <c r="AJ882" s="228"/>
      <c r="AK882" s="228"/>
      <c r="AL882" s="228"/>
      <c r="AM882" s="228"/>
    </row>
    <row r="883">
      <c r="A883" s="228"/>
      <c r="B883" s="228"/>
      <c r="C883" s="228"/>
      <c r="D883" s="228"/>
      <c r="E883" s="228"/>
      <c r="F883" s="228"/>
      <c r="G883" s="228"/>
      <c r="H883" s="241"/>
      <c r="I883" s="228"/>
      <c r="J883" s="228"/>
      <c r="K883" s="228"/>
      <c r="L883" s="228"/>
      <c r="M883" s="228"/>
      <c r="N883" s="228"/>
      <c r="O883" s="236"/>
      <c r="P883" s="228"/>
      <c r="Q883" s="228"/>
      <c r="R883" s="228"/>
      <c r="S883" s="228"/>
      <c r="T883" s="228"/>
      <c r="U883" s="228"/>
      <c r="V883" s="228"/>
      <c r="W883" s="228"/>
      <c r="X883" s="228"/>
      <c r="Y883" s="228"/>
      <c r="Z883" s="228"/>
      <c r="AA883" s="228"/>
      <c r="AB883" s="228"/>
      <c r="AC883" s="228"/>
      <c r="AD883" s="228"/>
      <c r="AE883" s="228"/>
      <c r="AF883" s="228"/>
      <c r="AG883" s="228"/>
      <c r="AH883" s="228"/>
      <c r="AI883" s="228"/>
      <c r="AJ883" s="228"/>
      <c r="AK883" s="228"/>
      <c r="AL883" s="228"/>
      <c r="AM883" s="228"/>
    </row>
    <row r="884">
      <c r="A884" s="228"/>
      <c r="B884" s="228"/>
      <c r="C884" s="228"/>
      <c r="D884" s="228"/>
      <c r="E884" s="228"/>
      <c r="F884" s="228"/>
      <c r="G884" s="228"/>
      <c r="H884" s="241"/>
      <c r="I884" s="228"/>
      <c r="J884" s="228"/>
      <c r="K884" s="228"/>
      <c r="L884" s="228"/>
      <c r="M884" s="228"/>
      <c r="N884" s="228"/>
      <c r="O884" s="236"/>
      <c r="P884" s="228"/>
      <c r="Q884" s="228"/>
      <c r="R884" s="228"/>
      <c r="S884" s="228"/>
      <c r="T884" s="228"/>
      <c r="U884" s="228"/>
      <c r="V884" s="228"/>
      <c r="W884" s="228"/>
      <c r="X884" s="228"/>
      <c r="Y884" s="228"/>
      <c r="Z884" s="228"/>
      <c r="AA884" s="228"/>
      <c r="AB884" s="228"/>
      <c r="AC884" s="228"/>
      <c r="AD884" s="228"/>
      <c r="AE884" s="228"/>
      <c r="AF884" s="228"/>
      <c r="AG884" s="228"/>
      <c r="AH884" s="228"/>
      <c r="AI884" s="228"/>
      <c r="AJ884" s="228"/>
      <c r="AK884" s="228"/>
      <c r="AL884" s="228"/>
      <c r="AM884" s="228"/>
    </row>
    <row r="885">
      <c r="A885" s="228"/>
      <c r="B885" s="228"/>
      <c r="C885" s="228"/>
      <c r="D885" s="228"/>
      <c r="E885" s="228"/>
      <c r="F885" s="228"/>
      <c r="G885" s="228"/>
      <c r="H885" s="241"/>
      <c r="I885" s="228"/>
      <c r="J885" s="228"/>
      <c r="K885" s="228"/>
      <c r="L885" s="228"/>
      <c r="M885" s="228"/>
      <c r="N885" s="228"/>
      <c r="O885" s="236"/>
      <c r="P885" s="228"/>
      <c r="Q885" s="228"/>
      <c r="R885" s="228"/>
      <c r="S885" s="228"/>
      <c r="T885" s="228"/>
      <c r="U885" s="228"/>
      <c r="V885" s="228"/>
      <c r="W885" s="228"/>
      <c r="X885" s="228"/>
      <c r="Y885" s="228"/>
      <c r="Z885" s="228"/>
      <c r="AA885" s="228"/>
      <c r="AB885" s="228"/>
      <c r="AC885" s="228"/>
      <c r="AD885" s="228"/>
      <c r="AE885" s="228"/>
      <c r="AF885" s="228"/>
      <c r="AG885" s="228"/>
      <c r="AH885" s="228"/>
      <c r="AI885" s="228"/>
      <c r="AJ885" s="228"/>
      <c r="AK885" s="228"/>
      <c r="AL885" s="228"/>
      <c r="AM885" s="228"/>
    </row>
    <row r="886">
      <c r="A886" s="228"/>
      <c r="B886" s="228"/>
      <c r="C886" s="228"/>
      <c r="D886" s="228"/>
      <c r="E886" s="228"/>
      <c r="F886" s="228"/>
      <c r="G886" s="228"/>
      <c r="H886" s="241"/>
      <c r="I886" s="228"/>
      <c r="J886" s="228"/>
      <c r="K886" s="228"/>
      <c r="L886" s="228"/>
      <c r="M886" s="228"/>
      <c r="N886" s="228"/>
      <c r="O886" s="236"/>
      <c r="P886" s="228"/>
      <c r="Q886" s="228"/>
      <c r="R886" s="228"/>
      <c r="S886" s="228"/>
      <c r="T886" s="228"/>
      <c r="U886" s="228"/>
      <c r="V886" s="228"/>
      <c r="W886" s="228"/>
      <c r="X886" s="228"/>
      <c r="Y886" s="228"/>
      <c r="Z886" s="228"/>
      <c r="AA886" s="228"/>
      <c r="AB886" s="228"/>
      <c r="AC886" s="228"/>
      <c r="AD886" s="228"/>
      <c r="AE886" s="228"/>
      <c r="AF886" s="228"/>
      <c r="AG886" s="228"/>
      <c r="AH886" s="228"/>
      <c r="AI886" s="228"/>
      <c r="AJ886" s="228"/>
      <c r="AK886" s="228"/>
      <c r="AL886" s="228"/>
      <c r="AM886" s="228"/>
    </row>
    <row r="887">
      <c r="A887" s="228"/>
      <c r="B887" s="228"/>
      <c r="C887" s="228"/>
      <c r="D887" s="228"/>
      <c r="E887" s="228"/>
      <c r="F887" s="228"/>
      <c r="G887" s="228"/>
      <c r="H887" s="241"/>
      <c r="I887" s="228"/>
      <c r="J887" s="228"/>
      <c r="K887" s="228"/>
      <c r="L887" s="228"/>
      <c r="M887" s="228"/>
      <c r="N887" s="228"/>
      <c r="O887" s="236"/>
      <c r="P887" s="228"/>
      <c r="Q887" s="228"/>
      <c r="R887" s="228"/>
      <c r="S887" s="228"/>
      <c r="T887" s="228"/>
      <c r="U887" s="228"/>
      <c r="V887" s="228"/>
      <c r="W887" s="228"/>
      <c r="X887" s="228"/>
      <c r="Y887" s="228"/>
      <c r="Z887" s="228"/>
      <c r="AA887" s="228"/>
      <c r="AB887" s="228"/>
      <c r="AC887" s="228"/>
      <c r="AD887" s="228"/>
      <c r="AE887" s="228"/>
      <c r="AF887" s="228"/>
      <c r="AG887" s="228"/>
      <c r="AH887" s="228"/>
      <c r="AI887" s="228"/>
      <c r="AJ887" s="228"/>
      <c r="AK887" s="228"/>
      <c r="AL887" s="228"/>
      <c r="AM887" s="228"/>
    </row>
    <row r="888">
      <c r="A888" s="228"/>
      <c r="B888" s="228"/>
      <c r="C888" s="228"/>
      <c r="D888" s="228"/>
      <c r="E888" s="228"/>
      <c r="F888" s="228"/>
      <c r="G888" s="228"/>
      <c r="H888" s="241"/>
      <c r="I888" s="228"/>
      <c r="J888" s="228"/>
      <c r="K888" s="228"/>
      <c r="L888" s="228"/>
      <c r="M888" s="228"/>
      <c r="N888" s="228"/>
      <c r="O888" s="236"/>
      <c r="P888" s="228"/>
      <c r="Q888" s="228"/>
      <c r="R888" s="228"/>
      <c r="S888" s="228"/>
      <c r="T888" s="228"/>
      <c r="U888" s="228"/>
      <c r="V888" s="228"/>
      <c r="W888" s="228"/>
      <c r="X888" s="228"/>
      <c r="Y888" s="228"/>
      <c r="Z888" s="228"/>
      <c r="AA888" s="228"/>
      <c r="AB888" s="228"/>
      <c r="AC888" s="228"/>
      <c r="AD888" s="228"/>
      <c r="AE888" s="228"/>
      <c r="AF888" s="228"/>
      <c r="AG888" s="228"/>
      <c r="AH888" s="228"/>
      <c r="AI888" s="228"/>
      <c r="AJ888" s="228"/>
      <c r="AK888" s="228"/>
      <c r="AL888" s="228"/>
      <c r="AM888" s="228"/>
    </row>
    <row r="889">
      <c r="A889" s="228"/>
      <c r="B889" s="228"/>
      <c r="C889" s="228"/>
      <c r="D889" s="228"/>
      <c r="E889" s="228"/>
      <c r="F889" s="228"/>
      <c r="G889" s="228"/>
      <c r="H889" s="241"/>
      <c r="I889" s="228"/>
      <c r="J889" s="228"/>
      <c r="K889" s="228"/>
      <c r="L889" s="228"/>
      <c r="M889" s="228"/>
      <c r="N889" s="228"/>
      <c r="O889" s="236"/>
      <c r="P889" s="228"/>
      <c r="Q889" s="228"/>
      <c r="R889" s="228"/>
      <c r="S889" s="228"/>
      <c r="T889" s="228"/>
      <c r="U889" s="228"/>
      <c r="V889" s="228"/>
      <c r="W889" s="228"/>
      <c r="X889" s="228"/>
      <c r="Y889" s="228"/>
      <c r="Z889" s="228"/>
      <c r="AA889" s="228"/>
      <c r="AB889" s="228"/>
      <c r="AC889" s="228"/>
      <c r="AD889" s="228"/>
      <c r="AE889" s="228"/>
      <c r="AF889" s="228"/>
      <c r="AG889" s="228"/>
      <c r="AH889" s="228"/>
      <c r="AI889" s="228"/>
      <c r="AJ889" s="228"/>
      <c r="AK889" s="228"/>
      <c r="AL889" s="228"/>
      <c r="AM889" s="228"/>
    </row>
    <row r="890">
      <c r="A890" s="228"/>
      <c r="B890" s="228"/>
      <c r="C890" s="228"/>
      <c r="D890" s="228"/>
      <c r="E890" s="228"/>
      <c r="F890" s="228"/>
      <c r="G890" s="228"/>
      <c r="H890" s="241"/>
      <c r="I890" s="228"/>
      <c r="J890" s="228"/>
      <c r="K890" s="228"/>
      <c r="L890" s="228"/>
      <c r="M890" s="228"/>
      <c r="N890" s="228"/>
      <c r="O890" s="236"/>
      <c r="P890" s="228"/>
      <c r="Q890" s="228"/>
      <c r="R890" s="228"/>
      <c r="S890" s="228"/>
      <c r="T890" s="228"/>
      <c r="U890" s="228"/>
      <c r="V890" s="228"/>
      <c r="W890" s="228"/>
      <c r="X890" s="228"/>
      <c r="Y890" s="228"/>
      <c r="Z890" s="228"/>
      <c r="AA890" s="228"/>
      <c r="AB890" s="228"/>
      <c r="AC890" s="228"/>
      <c r="AD890" s="228"/>
      <c r="AE890" s="228"/>
      <c r="AF890" s="228"/>
      <c r="AG890" s="228"/>
      <c r="AH890" s="228"/>
      <c r="AI890" s="228"/>
      <c r="AJ890" s="228"/>
      <c r="AK890" s="228"/>
      <c r="AL890" s="228"/>
      <c r="AM890" s="228"/>
    </row>
    <row r="891">
      <c r="A891" s="228"/>
      <c r="B891" s="228"/>
      <c r="C891" s="228"/>
      <c r="D891" s="228"/>
      <c r="E891" s="228"/>
      <c r="F891" s="228"/>
      <c r="G891" s="228"/>
      <c r="H891" s="241"/>
      <c r="I891" s="228"/>
      <c r="J891" s="228"/>
      <c r="K891" s="228"/>
      <c r="L891" s="228"/>
      <c r="M891" s="228"/>
      <c r="N891" s="228"/>
      <c r="O891" s="236"/>
      <c r="P891" s="228"/>
      <c r="Q891" s="228"/>
      <c r="R891" s="228"/>
      <c r="S891" s="228"/>
      <c r="T891" s="228"/>
      <c r="U891" s="228"/>
      <c r="V891" s="228"/>
      <c r="W891" s="228"/>
      <c r="X891" s="228"/>
      <c r="Y891" s="228"/>
      <c r="Z891" s="228"/>
      <c r="AA891" s="228"/>
      <c r="AB891" s="228"/>
      <c r="AC891" s="228"/>
      <c r="AD891" s="228"/>
      <c r="AE891" s="228"/>
      <c r="AF891" s="228"/>
      <c r="AG891" s="228"/>
      <c r="AH891" s="228"/>
      <c r="AI891" s="228"/>
      <c r="AJ891" s="228"/>
      <c r="AK891" s="228"/>
      <c r="AL891" s="228"/>
      <c r="AM891" s="228"/>
    </row>
    <row r="892">
      <c r="A892" s="228"/>
      <c r="B892" s="228"/>
      <c r="C892" s="228"/>
      <c r="D892" s="228"/>
      <c r="E892" s="228"/>
      <c r="F892" s="228"/>
      <c r="G892" s="228"/>
      <c r="H892" s="241"/>
      <c r="I892" s="228"/>
      <c r="J892" s="228"/>
      <c r="K892" s="228"/>
      <c r="L892" s="228"/>
      <c r="M892" s="228"/>
      <c r="N892" s="228"/>
      <c r="O892" s="236"/>
      <c r="P892" s="228"/>
      <c r="Q892" s="228"/>
      <c r="R892" s="228"/>
      <c r="S892" s="228"/>
      <c r="T892" s="228"/>
      <c r="U892" s="228"/>
      <c r="V892" s="228"/>
      <c r="W892" s="228"/>
      <c r="X892" s="228"/>
      <c r="Y892" s="228"/>
      <c r="Z892" s="228"/>
      <c r="AA892" s="228"/>
      <c r="AB892" s="228"/>
      <c r="AC892" s="228"/>
      <c r="AD892" s="228"/>
      <c r="AE892" s="228"/>
      <c r="AF892" s="228"/>
      <c r="AG892" s="228"/>
      <c r="AH892" s="228"/>
      <c r="AI892" s="228"/>
      <c r="AJ892" s="228"/>
      <c r="AK892" s="228"/>
      <c r="AL892" s="228"/>
      <c r="AM892" s="228"/>
    </row>
    <row r="893">
      <c r="A893" s="228"/>
      <c r="B893" s="228"/>
      <c r="C893" s="228"/>
      <c r="D893" s="228"/>
      <c r="E893" s="228"/>
      <c r="F893" s="228"/>
      <c r="G893" s="228"/>
      <c r="H893" s="241"/>
      <c r="I893" s="228"/>
      <c r="J893" s="228"/>
      <c r="K893" s="228"/>
      <c r="L893" s="228"/>
      <c r="M893" s="228"/>
      <c r="N893" s="228"/>
      <c r="O893" s="236"/>
      <c r="P893" s="228"/>
      <c r="Q893" s="228"/>
      <c r="R893" s="228"/>
      <c r="S893" s="228"/>
      <c r="T893" s="228"/>
      <c r="U893" s="228"/>
      <c r="V893" s="228"/>
      <c r="W893" s="228"/>
      <c r="X893" s="228"/>
      <c r="Y893" s="228"/>
      <c r="Z893" s="228"/>
      <c r="AA893" s="228"/>
      <c r="AB893" s="228"/>
      <c r="AC893" s="228"/>
      <c r="AD893" s="228"/>
      <c r="AE893" s="228"/>
      <c r="AF893" s="228"/>
      <c r="AG893" s="228"/>
      <c r="AH893" s="228"/>
      <c r="AI893" s="228"/>
      <c r="AJ893" s="228"/>
      <c r="AK893" s="228"/>
      <c r="AL893" s="228"/>
      <c r="AM893" s="228"/>
    </row>
    <row r="894">
      <c r="A894" s="228"/>
      <c r="B894" s="228"/>
      <c r="C894" s="228"/>
      <c r="D894" s="228"/>
      <c r="E894" s="228"/>
      <c r="F894" s="228"/>
      <c r="G894" s="228"/>
      <c r="H894" s="241"/>
      <c r="I894" s="228"/>
      <c r="J894" s="228"/>
      <c r="K894" s="228"/>
      <c r="L894" s="228"/>
      <c r="M894" s="228"/>
      <c r="N894" s="228"/>
      <c r="O894" s="236"/>
      <c r="P894" s="228"/>
      <c r="Q894" s="228"/>
      <c r="R894" s="228"/>
      <c r="S894" s="228"/>
      <c r="T894" s="228"/>
      <c r="U894" s="228"/>
      <c r="V894" s="228"/>
      <c r="W894" s="228"/>
      <c r="X894" s="228"/>
      <c r="Y894" s="228"/>
      <c r="Z894" s="228"/>
      <c r="AA894" s="228"/>
      <c r="AB894" s="228"/>
      <c r="AC894" s="228"/>
      <c r="AD894" s="228"/>
      <c r="AE894" s="228"/>
      <c r="AF894" s="228"/>
      <c r="AG894" s="228"/>
      <c r="AH894" s="228"/>
      <c r="AI894" s="228"/>
      <c r="AJ894" s="228"/>
      <c r="AK894" s="228"/>
      <c r="AL894" s="228"/>
      <c r="AM894" s="228"/>
    </row>
    <row r="895">
      <c r="A895" s="228"/>
      <c r="B895" s="228"/>
      <c r="C895" s="228"/>
      <c r="D895" s="228"/>
      <c r="E895" s="228"/>
      <c r="F895" s="228"/>
      <c r="G895" s="228"/>
      <c r="H895" s="241"/>
      <c r="I895" s="228"/>
      <c r="J895" s="228"/>
      <c r="K895" s="228"/>
      <c r="L895" s="228"/>
      <c r="M895" s="228"/>
      <c r="N895" s="228"/>
      <c r="O895" s="236"/>
      <c r="P895" s="228"/>
      <c r="Q895" s="228"/>
      <c r="R895" s="228"/>
      <c r="S895" s="228"/>
      <c r="T895" s="228"/>
      <c r="U895" s="228"/>
      <c r="V895" s="228"/>
      <c r="W895" s="228"/>
      <c r="X895" s="228"/>
      <c r="Y895" s="228"/>
      <c r="Z895" s="228"/>
      <c r="AA895" s="228"/>
      <c r="AB895" s="228"/>
      <c r="AC895" s="228"/>
      <c r="AD895" s="228"/>
      <c r="AE895" s="228"/>
      <c r="AF895" s="228"/>
      <c r="AG895" s="228"/>
      <c r="AH895" s="228"/>
      <c r="AI895" s="228"/>
      <c r="AJ895" s="228"/>
      <c r="AK895" s="228"/>
      <c r="AL895" s="228"/>
      <c r="AM895" s="228"/>
    </row>
    <row r="896">
      <c r="A896" s="228"/>
      <c r="B896" s="228"/>
      <c r="C896" s="228"/>
      <c r="D896" s="228"/>
      <c r="E896" s="228"/>
      <c r="F896" s="228"/>
      <c r="G896" s="228"/>
      <c r="H896" s="241"/>
      <c r="I896" s="228"/>
      <c r="J896" s="228"/>
      <c r="K896" s="228"/>
      <c r="L896" s="228"/>
      <c r="M896" s="228"/>
      <c r="N896" s="228"/>
      <c r="O896" s="236"/>
      <c r="P896" s="228"/>
      <c r="Q896" s="228"/>
      <c r="R896" s="228"/>
      <c r="S896" s="228"/>
      <c r="T896" s="228"/>
      <c r="U896" s="228"/>
      <c r="V896" s="228"/>
      <c r="W896" s="228"/>
      <c r="X896" s="228"/>
      <c r="Y896" s="228"/>
      <c r="Z896" s="228"/>
      <c r="AA896" s="228"/>
      <c r="AB896" s="228"/>
      <c r="AC896" s="228"/>
      <c r="AD896" s="228"/>
      <c r="AE896" s="228"/>
      <c r="AF896" s="228"/>
      <c r="AG896" s="228"/>
      <c r="AH896" s="228"/>
      <c r="AI896" s="228"/>
      <c r="AJ896" s="228"/>
      <c r="AK896" s="228"/>
      <c r="AL896" s="228"/>
      <c r="AM896" s="228"/>
    </row>
    <row r="897">
      <c r="A897" s="228"/>
      <c r="B897" s="228"/>
      <c r="C897" s="228"/>
      <c r="D897" s="228"/>
      <c r="E897" s="228"/>
      <c r="F897" s="228"/>
      <c r="G897" s="228"/>
      <c r="H897" s="241"/>
      <c r="I897" s="228"/>
      <c r="J897" s="228"/>
      <c r="K897" s="228"/>
      <c r="L897" s="228"/>
      <c r="M897" s="228"/>
      <c r="N897" s="228"/>
      <c r="O897" s="236"/>
      <c r="P897" s="228"/>
      <c r="Q897" s="228"/>
      <c r="R897" s="228"/>
      <c r="S897" s="228"/>
      <c r="T897" s="228"/>
      <c r="U897" s="228"/>
      <c r="V897" s="228"/>
      <c r="W897" s="228"/>
      <c r="X897" s="228"/>
      <c r="Y897" s="228"/>
      <c r="Z897" s="228"/>
      <c r="AA897" s="228"/>
      <c r="AB897" s="228"/>
      <c r="AC897" s="228"/>
      <c r="AD897" s="228"/>
      <c r="AE897" s="228"/>
      <c r="AF897" s="228"/>
      <c r="AG897" s="228"/>
      <c r="AH897" s="228"/>
      <c r="AI897" s="228"/>
      <c r="AJ897" s="228"/>
      <c r="AK897" s="228"/>
      <c r="AL897" s="228"/>
      <c r="AM897" s="228"/>
    </row>
    <row r="898">
      <c r="A898" s="228"/>
      <c r="B898" s="228"/>
      <c r="C898" s="228"/>
      <c r="D898" s="228"/>
      <c r="E898" s="228"/>
      <c r="F898" s="228"/>
      <c r="G898" s="228"/>
      <c r="H898" s="241"/>
      <c r="I898" s="228"/>
      <c r="J898" s="228"/>
      <c r="K898" s="228"/>
      <c r="L898" s="228"/>
      <c r="M898" s="228"/>
      <c r="N898" s="228"/>
      <c r="O898" s="236"/>
      <c r="P898" s="228"/>
      <c r="Q898" s="228"/>
      <c r="R898" s="228"/>
      <c r="S898" s="228"/>
      <c r="T898" s="228"/>
      <c r="U898" s="228"/>
      <c r="V898" s="228"/>
      <c r="W898" s="228"/>
      <c r="X898" s="228"/>
      <c r="Y898" s="228"/>
      <c r="Z898" s="228"/>
      <c r="AA898" s="228"/>
      <c r="AB898" s="228"/>
      <c r="AC898" s="228"/>
      <c r="AD898" s="228"/>
      <c r="AE898" s="228"/>
      <c r="AF898" s="228"/>
      <c r="AG898" s="228"/>
      <c r="AH898" s="228"/>
      <c r="AI898" s="228"/>
      <c r="AJ898" s="228"/>
      <c r="AK898" s="228"/>
      <c r="AL898" s="228"/>
      <c r="AM898" s="228"/>
    </row>
    <row r="899">
      <c r="A899" s="228"/>
      <c r="B899" s="228"/>
      <c r="C899" s="228"/>
      <c r="D899" s="228"/>
      <c r="E899" s="228"/>
      <c r="F899" s="228"/>
      <c r="G899" s="228"/>
      <c r="H899" s="241"/>
      <c r="I899" s="228"/>
      <c r="J899" s="228"/>
      <c r="K899" s="228"/>
      <c r="L899" s="228"/>
      <c r="M899" s="228"/>
      <c r="N899" s="228"/>
      <c r="O899" s="236"/>
      <c r="P899" s="228"/>
      <c r="Q899" s="228"/>
      <c r="R899" s="228"/>
      <c r="S899" s="228"/>
      <c r="T899" s="228"/>
      <c r="U899" s="228"/>
      <c r="V899" s="228"/>
      <c r="W899" s="228"/>
      <c r="X899" s="228"/>
      <c r="Y899" s="228"/>
      <c r="Z899" s="228"/>
      <c r="AA899" s="228"/>
      <c r="AB899" s="228"/>
      <c r="AC899" s="228"/>
      <c r="AD899" s="228"/>
      <c r="AE899" s="228"/>
      <c r="AF899" s="228"/>
      <c r="AG899" s="228"/>
      <c r="AH899" s="228"/>
      <c r="AI899" s="228"/>
      <c r="AJ899" s="228"/>
      <c r="AK899" s="228"/>
      <c r="AL899" s="228"/>
      <c r="AM899" s="228"/>
    </row>
    <row r="900">
      <c r="A900" s="228"/>
      <c r="B900" s="228"/>
      <c r="C900" s="228"/>
      <c r="D900" s="228"/>
      <c r="E900" s="228"/>
      <c r="F900" s="228"/>
      <c r="G900" s="228"/>
      <c r="H900" s="241"/>
      <c r="I900" s="228"/>
      <c r="J900" s="228"/>
      <c r="K900" s="228"/>
      <c r="L900" s="228"/>
      <c r="M900" s="228"/>
      <c r="N900" s="228"/>
      <c r="O900" s="236"/>
      <c r="P900" s="228"/>
      <c r="Q900" s="228"/>
      <c r="R900" s="228"/>
      <c r="S900" s="228"/>
      <c r="T900" s="228"/>
      <c r="U900" s="228"/>
      <c r="V900" s="228"/>
      <c r="W900" s="228"/>
      <c r="X900" s="228"/>
      <c r="Y900" s="228"/>
      <c r="Z900" s="228"/>
      <c r="AA900" s="228"/>
      <c r="AB900" s="228"/>
      <c r="AC900" s="228"/>
      <c r="AD900" s="228"/>
      <c r="AE900" s="228"/>
      <c r="AF900" s="228"/>
      <c r="AG900" s="228"/>
      <c r="AH900" s="228"/>
      <c r="AI900" s="228"/>
      <c r="AJ900" s="228"/>
      <c r="AK900" s="228"/>
      <c r="AL900" s="228"/>
      <c r="AM900" s="228"/>
    </row>
    <row r="901">
      <c r="A901" s="228"/>
      <c r="B901" s="228"/>
      <c r="C901" s="228"/>
      <c r="D901" s="228"/>
      <c r="E901" s="228"/>
      <c r="F901" s="228"/>
      <c r="G901" s="228"/>
      <c r="H901" s="241"/>
      <c r="I901" s="228"/>
      <c r="J901" s="228"/>
      <c r="K901" s="228"/>
      <c r="L901" s="228"/>
      <c r="M901" s="228"/>
      <c r="N901" s="228"/>
      <c r="O901" s="236"/>
      <c r="P901" s="228"/>
      <c r="Q901" s="228"/>
      <c r="R901" s="228"/>
      <c r="S901" s="228"/>
      <c r="T901" s="228"/>
      <c r="U901" s="228"/>
      <c r="V901" s="228"/>
      <c r="W901" s="228"/>
      <c r="X901" s="228"/>
      <c r="Y901" s="228"/>
      <c r="Z901" s="228"/>
      <c r="AA901" s="228"/>
      <c r="AB901" s="228"/>
      <c r="AC901" s="228"/>
      <c r="AD901" s="228"/>
      <c r="AE901" s="228"/>
      <c r="AF901" s="228"/>
      <c r="AG901" s="228"/>
      <c r="AH901" s="228"/>
      <c r="AI901" s="228"/>
      <c r="AJ901" s="228"/>
      <c r="AK901" s="228"/>
      <c r="AL901" s="228"/>
      <c r="AM901" s="228"/>
    </row>
    <row r="902">
      <c r="A902" s="228"/>
      <c r="B902" s="228"/>
      <c r="C902" s="228"/>
      <c r="D902" s="228"/>
      <c r="E902" s="228"/>
      <c r="F902" s="228"/>
      <c r="G902" s="228"/>
      <c r="H902" s="241"/>
      <c r="I902" s="228"/>
      <c r="J902" s="228"/>
      <c r="K902" s="228"/>
      <c r="L902" s="228"/>
      <c r="M902" s="228"/>
      <c r="N902" s="228"/>
      <c r="O902" s="236"/>
      <c r="P902" s="228"/>
      <c r="Q902" s="228"/>
      <c r="R902" s="228"/>
      <c r="S902" s="228"/>
      <c r="T902" s="228"/>
      <c r="U902" s="228"/>
      <c r="V902" s="228"/>
      <c r="W902" s="228"/>
      <c r="X902" s="228"/>
      <c r="Y902" s="228"/>
      <c r="Z902" s="228"/>
      <c r="AA902" s="228"/>
      <c r="AB902" s="228"/>
      <c r="AC902" s="228"/>
      <c r="AD902" s="228"/>
      <c r="AE902" s="228"/>
      <c r="AF902" s="228"/>
      <c r="AG902" s="228"/>
      <c r="AH902" s="228"/>
      <c r="AI902" s="228"/>
      <c r="AJ902" s="228"/>
      <c r="AK902" s="228"/>
      <c r="AL902" s="228"/>
      <c r="AM902" s="228"/>
    </row>
    <row r="903">
      <c r="A903" s="228"/>
      <c r="B903" s="228"/>
      <c r="C903" s="228"/>
      <c r="D903" s="228"/>
      <c r="E903" s="228"/>
      <c r="F903" s="228"/>
      <c r="G903" s="228"/>
      <c r="H903" s="241"/>
      <c r="I903" s="228"/>
      <c r="J903" s="228"/>
      <c r="K903" s="228"/>
      <c r="L903" s="228"/>
      <c r="M903" s="228"/>
      <c r="N903" s="228"/>
      <c r="O903" s="236"/>
      <c r="P903" s="228"/>
      <c r="Q903" s="228"/>
      <c r="R903" s="228"/>
      <c r="S903" s="228"/>
      <c r="T903" s="228"/>
      <c r="U903" s="228"/>
      <c r="V903" s="228"/>
      <c r="W903" s="228"/>
      <c r="X903" s="228"/>
      <c r="Y903" s="228"/>
      <c r="Z903" s="228"/>
      <c r="AA903" s="228"/>
      <c r="AB903" s="228"/>
      <c r="AC903" s="228"/>
      <c r="AD903" s="228"/>
      <c r="AE903" s="228"/>
      <c r="AF903" s="228"/>
      <c r="AG903" s="228"/>
      <c r="AH903" s="228"/>
      <c r="AI903" s="228"/>
      <c r="AJ903" s="228"/>
      <c r="AK903" s="228"/>
      <c r="AL903" s="228"/>
      <c r="AM903" s="228"/>
    </row>
    <row r="904">
      <c r="A904" s="228"/>
      <c r="B904" s="228"/>
      <c r="C904" s="228"/>
      <c r="D904" s="228"/>
      <c r="E904" s="228"/>
      <c r="F904" s="228"/>
      <c r="G904" s="228"/>
      <c r="H904" s="241"/>
      <c r="I904" s="228"/>
      <c r="J904" s="228"/>
      <c r="K904" s="228"/>
      <c r="L904" s="228"/>
      <c r="M904" s="228"/>
      <c r="N904" s="228"/>
      <c r="O904" s="236"/>
      <c r="P904" s="228"/>
      <c r="Q904" s="228"/>
      <c r="R904" s="228"/>
      <c r="S904" s="228"/>
      <c r="T904" s="228"/>
      <c r="U904" s="228"/>
      <c r="V904" s="228"/>
      <c r="W904" s="228"/>
      <c r="X904" s="228"/>
      <c r="Y904" s="228"/>
      <c r="Z904" s="228"/>
      <c r="AA904" s="228"/>
      <c r="AB904" s="228"/>
      <c r="AC904" s="228"/>
      <c r="AD904" s="228"/>
      <c r="AE904" s="228"/>
      <c r="AF904" s="228"/>
      <c r="AG904" s="228"/>
      <c r="AH904" s="228"/>
      <c r="AI904" s="228"/>
      <c r="AJ904" s="228"/>
      <c r="AK904" s="228"/>
      <c r="AL904" s="228"/>
      <c r="AM904" s="228"/>
    </row>
    <row r="905">
      <c r="A905" s="228"/>
      <c r="B905" s="228"/>
      <c r="C905" s="228"/>
      <c r="D905" s="228"/>
      <c r="E905" s="228"/>
      <c r="F905" s="228"/>
      <c r="G905" s="228"/>
      <c r="H905" s="241"/>
      <c r="I905" s="228"/>
      <c r="J905" s="228"/>
      <c r="K905" s="228"/>
      <c r="L905" s="228"/>
      <c r="M905" s="228"/>
      <c r="N905" s="228"/>
      <c r="O905" s="236"/>
      <c r="P905" s="228"/>
      <c r="Q905" s="228"/>
      <c r="R905" s="228"/>
      <c r="S905" s="228"/>
      <c r="T905" s="228"/>
      <c r="U905" s="228"/>
      <c r="V905" s="228"/>
      <c r="W905" s="228"/>
      <c r="X905" s="228"/>
      <c r="Y905" s="228"/>
      <c r="Z905" s="228"/>
      <c r="AA905" s="228"/>
      <c r="AB905" s="228"/>
      <c r="AC905" s="228"/>
      <c r="AD905" s="228"/>
      <c r="AE905" s="228"/>
      <c r="AF905" s="228"/>
      <c r="AG905" s="228"/>
      <c r="AH905" s="228"/>
      <c r="AI905" s="228"/>
      <c r="AJ905" s="228"/>
      <c r="AK905" s="228"/>
      <c r="AL905" s="228"/>
      <c r="AM905" s="228"/>
    </row>
    <row r="906">
      <c r="A906" s="228"/>
      <c r="B906" s="228"/>
      <c r="C906" s="228"/>
      <c r="D906" s="228"/>
      <c r="E906" s="228"/>
      <c r="F906" s="228"/>
      <c r="G906" s="228"/>
      <c r="H906" s="241"/>
      <c r="I906" s="228"/>
      <c r="J906" s="228"/>
      <c r="K906" s="228"/>
      <c r="L906" s="228"/>
      <c r="M906" s="228"/>
      <c r="N906" s="228"/>
      <c r="O906" s="236"/>
      <c r="P906" s="228"/>
      <c r="Q906" s="228"/>
      <c r="R906" s="228"/>
      <c r="S906" s="228"/>
      <c r="T906" s="228"/>
      <c r="U906" s="228"/>
      <c r="V906" s="228"/>
      <c r="W906" s="228"/>
      <c r="X906" s="228"/>
      <c r="Y906" s="228"/>
      <c r="Z906" s="228"/>
      <c r="AA906" s="228"/>
      <c r="AB906" s="228"/>
      <c r="AC906" s="228"/>
      <c r="AD906" s="228"/>
      <c r="AE906" s="228"/>
      <c r="AF906" s="228"/>
      <c r="AG906" s="228"/>
      <c r="AH906" s="228"/>
      <c r="AI906" s="228"/>
      <c r="AJ906" s="228"/>
      <c r="AK906" s="228"/>
      <c r="AL906" s="228"/>
      <c r="AM906" s="228"/>
    </row>
    <row r="907">
      <c r="A907" s="228"/>
      <c r="B907" s="228"/>
      <c r="C907" s="228"/>
      <c r="D907" s="228"/>
      <c r="E907" s="228"/>
      <c r="F907" s="228"/>
      <c r="G907" s="228"/>
      <c r="H907" s="241"/>
      <c r="I907" s="228"/>
      <c r="J907" s="228"/>
      <c r="K907" s="228"/>
      <c r="L907" s="228"/>
      <c r="M907" s="228"/>
      <c r="N907" s="228"/>
      <c r="O907" s="236"/>
      <c r="P907" s="228"/>
      <c r="Q907" s="228"/>
      <c r="R907" s="228"/>
      <c r="S907" s="228"/>
      <c r="T907" s="228"/>
      <c r="U907" s="228"/>
      <c r="V907" s="228"/>
      <c r="W907" s="228"/>
      <c r="X907" s="228"/>
      <c r="Y907" s="228"/>
      <c r="Z907" s="228"/>
      <c r="AA907" s="228"/>
      <c r="AB907" s="228"/>
      <c r="AC907" s="228"/>
      <c r="AD907" s="228"/>
      <c r="AE907" s="228"/>
      <c r="AF907" s="228"/>
      <c r="AG907" s="228"/>
      <c r="AH907" s="228"/>
      <c r="AI907" s="228"/>
      <c r="AJ907" s="228"/>
      <c r="AK907" s="228"/>
      <c r="AL907" s="228"/>
      <c r="AM907" s="228"/>
    </row>
    <row r="908">
      <c r="A908" s="228"/>
      <c r="B908" s="228"/>
      <c r="C908" s="228"/>
      <c r="D908" s="228"/>
      <c r="E908" s="228"/>
      <c r="F908" s="228"/>
      <c r="G908" s="228"/>
      <c r="H908" s="241"/>
      <c r="I908" s="228"/>
      <c r="J908" s="228"/>
      <c r="K908" s="228"/>
      <c r="L908" s="228"/>
      <c r="M908" s="228"/>
      <c r="N908" s="228"/>
      <c r="O908" s="236"/>
      <c r="P908" s="228"/>
      <c r="Q908" s="228"/>
      <c r="R908" s="228"/>
      <c r="S908" s="228"/>
      <c r="T908" s="228"/>
      <c r="U908" s="228"/>
      <c r="V908" s="228"/>
      <c r="W908" s="228"/>
      <c r="X908" s="228"/>
      <c r="Y908" s="228"/>
      <c r="Z908" s="228"/>
      <c r="AA908" s="228"/>
      <c r="AB908" s="228"/>
      <c r="AC908" s="228"/>
      <c r="AD908" s="228"/>
      <c r="AE908" s="228"/>
      <c r="AF908" s="228"/>
      <c r="AG908" s="228"/>
      <c r="AH908" s="228"/>
      <c r="AI908" s="228"/>
      <c r="AJ908" s="228"/>
      <c r="AK908" s="228"/>
      <c r="AL908" s="228"/>
      <c r="AM908" s="228"/>
    </row>
    <row r="909">
      <c r="A909" s="228"/>
      <c r="B909" s="228"/>
      <c r="C909" s="228"/>
      <c r="D909" s="228"/>
      <c r="E909" s="228"/>
      <c r="F909" s="228"/>
      <c r="G909" s="228"/>
      <c r="H909" s="241"/>
      <c r="I909" s="228"/>
      <c r="J909" s="228"/>
      <c r="K909" s="228"/>
      <c r="L909" s="228"/>
      <c r="M909" s="228"/>
      <c r="N909" s="228"/>
      <c r="O909" s="236"/>
      <c r="P909" s="228"/>
      <c r="Q909" s="228"/>
      <c r="R909" s="228"/>
      <c r="S909" s="228"/>
      <c r="T909" s="228"/>
      <c r="U909" s="228"/>
      <c r="V909" s="228"/>
      <c r="W909" s="228"/>
      <c r="X909" s="228"/>
      <c r="Y909" s="228"/>
      <c r="Z909" s="228"/>
      <c r="AA909" s="228"/>
      <c r="AB909" s="228"/>
      <c r="AC909" s="228"/>
      <c r="AD909" s="228"/>
      <c r="AE909" s="228"/>
      <c r="AF909" s="228"/>
      <c r="AG909" s="228"/>
      <c r="AH909" s="228"/>
      <c r="AI909" s="228"/>
      <c r="AJ909" s="228"/>
      <c r="AK909" s="228"/>
      <c r="AL909" s="228"/>
      <c r="AM909" s="228"/>
    </row>
    <row r="910">
      <c r="A910" s="228"/>
      <c r="B910" s="228"/>
      <c r="C910" s="228"/>
      <c r="D910" s="228"/>
      <c r="E910" s="228"/>
      <c r="F910" s="228"/>
      <c r="G910" s="228"/>
      <c r="H910" s="241"/>
      <c r="I910" s="228"/>
      <c r="J910" s="228"/>
      <c r="K910" s="228"/>
      <c r="L910" s="228"/>
      <c r="M910" s="228"/>
      <c r="N910" s="228"/>
      <c r="O910" s="236"/>
      <c r="P910" s="228"/>
      <c r="Q910" s="228"/>
      <c r="R910" s="228"/>
      <c r="S910" s="228"/>
      <c r="T910" s="228"/>
      <c r="U910" s="228"/>
      <c r="V910" s="228"/>
      <c r="W910" s="228"/>
      <c r="X910" s="228"/>
      <c r="Y910" s="228"/>
      <c r="Z910" s="228"/>
      <c r="AA910" s="228"/>
      <c r="AB910" s="228"/>
      <c r="AC910" s="228"/>
      <c r="AD910" s="228"/>
      <c r="AE910" s="228"/>
      <c r="AF910" s="228"/>
      <c r="AG910" s="228"/>
      <c r="AH910" s="228"/>
      <c r="AI910" s="228"/>
      <c r="AJ910" s="228"/>
      <c r="AK910" s="228"/>
      <c r="AL910" s="228"/>
      <c r="AM910" s="228"/>
    </row>
    <row r="911">
      <c r="A911" s="228"/>
      <c r="B911" s="228"/>
      <c r="C911" s="228"/>
      <c r="D911" s="228"/>
      <c r="E911" s="228"/>
      <c r="F911" s="228"/>
      <c r="G911" s="228"/>
      <c r="H911" s="241"/>
      <c r="I911" s="228"/>
      <c r="J911" s="228"/>
      <c r="K911" s="228"/>
      <c r="L911" s="228"/>
      <c r="M911" s="228"/>
      <c r="N911" s="228"/>
      <c r="O911" s="236"/>
      <c r="P911" s="228"/>
      <c r="Q911" s="228"/>
      <c r="R911" s="228"/>
      <c r="S911" s="228"/>
      <c r="T911" s="228"/>
      <c r="U911" s="228"/>
      <c r="V911" s="228"/>
      <c r="W911" s="228"/>
      <c r="X911" s="228"/>
      <c r="Y911" s="228"/>
      <c r="Z911" s="228"/>
      <c r="AA911" s="228"/>
      <c r="AB911" s="228"/>
      <c r="AC911" s="228"/>
      <c r="AD911" s="228"/>
      <c r="AE911" s="228"/>
      <c r="AF911" s="228"/>
      <c r="AG911" s="228"/>
      <c r="AH911" s="228"/>
      <c r="AI911" s="228"/>
      <c r="AJ911" s="228"/>
      <c r="AK911" s="228"/>
      <c r="AL911" s="228"/>
      <c r="AM911" s="228"/>
    </row>
    <row r="912">
      <c r="A912" s="228"/>
      <c r="B912" s="228"/>
      <c r="C912" s="228"/>
      <c r="D912" s="228"/>
      <c r="E912" s="228"/>
      <c r="F912" s="228"/>
      <c r="G912" s="228"/>
      <c r="H912" s="241"/>
      <c r="I912" s="228"/>
      <c r="J912" s="228"/>
      <c r="K912" s="228"/>
      <c r="L912" s="228"/>
      <c r="M912" s="228"/>
      <c r="N912" s="228"/>
      <c r="O912" s="236"/>
      <c r="P912" s="228"/>
      <c r="Q912" s="228"/>
      <c r="R912" s="228"/>
      <c r="S912" s="228"/>
      <c r="T912" s="228"/>
      <c r="U912" s="228"/>
      <c r="V912" s="228"/>
      <c r="W912" s="228"/>
      <c r="X912" s="228"/>
      <c r="Y912" s="228"/>
      <c r="Z912" s="228"/>
      <c r="AA912" s="228"/>
      <c r="AB912" s="228"/>
      <c r="AC912" s="228"/>
      <c r="AD912" s="228"/>
      <c r="AE912" s="228"/>
      <c r="AF912" s="228"/>
      <c r="AG912" s="228"/>
      <c r="AH912" s="228"/>
      <c r="AI912" s="228"/>
      <c r="AJ912" s="228"/>
      <c r="AK912" s="228"/>
      <c r="AL912" s="228"/>
      <c r="AM912" s="228"/>
    </row>
    <row r="913">
      <c r="A913" s="228"/>
      <c r="B913" s="228"/>
      <c r="C913" s="228"/>
      <c r="D913" s="228"/>
      <c r="E913" s="228"/>
      <c r="F913" s="228"/>
      <c r="G913" s="228"/>
      <c r="H913" s="241"/>
      <c r="I913" s="228"/>
      <c r="J913" s="228"/>
      <c r="K913" s="228"/>
      <c r="L913" s="228"/>
      <c r="M913" s="228"/>
      <c r="N913" s="228"/>
      <c r="O913" s="236"/>
      <c r="P913" s="228"/>
      <c r="Q913" s="228"/>
      <c r="R913" s="228"/>
      <c r="S913" s="228"/>
      <c r="T913" s="228"/>
      <c r="U913" s="228"/>
      <c r="V913" s="228"/>
      <c r="W913" s="228"/>
      <c r="X913" s="228"/>
      <c r="Y913" s="228"/>
      <c r="Z913" s="228"/>
      <c r="AA913" s="228"/>
      <c r="AB913" s="228"/>
      <c r="AC913" s="228"/>
      <c r="AD913" s="228"/>
      <c r="AE913" s="228"/>
      <c r="AF913" s="228"/>
      <c r="AG913" s="228"/>
      <c r="AH913" s="228"/>
      <c r="AI913" s="228"/>
      <c r="AJ913" s="228"/>
      <c r="AK913" s="228"/>
      <c r="AL913" s="228"/>
      <c r="AM913" s="228"/>
    </row>
    <row r="914">
      <c r="A914" s="228"/>
      <c r="B914" s="228"/>
      <c r="C914" s="228"/>
      <c r="D914" s="228"/>
      <c r="E914" s="228"/>
      <c r="F914" s="228"/>
      <c r="G914" s="228"/>
      <c r="H914" s="241"/>
      <c r="I914" s="228"/>
      <c r="J914" s="228"/>
      <c r="K914" s="228"/>
      <c r="L914" s="228"/>
      <c r="M914" s="228"/>
      <c r="N914" s="228"/>
      <c r="O914" s="236"/>
      <c r="P914" s="228"/>
      <c r="Q914" s="228"/>
      <c r="R914" s="228"/>
      <c r="S914" s="228"/>
      <c r="T914" s="228"/>
      <c r="U914" s="228"/>
      <c r="V914" s="228"/>
      <c r="W914" s="228"/>
      <c r="X914" s="228"/>
      <c r="Y914" s="228"/>
      <c r="Z914" s="228"/>
      <c r="AA914" s="228"/>
      <c r="AB914" s="228"/>
      <c r="AC914" s="228"/>
      <c r="AD914" s="228"/>
      <c r="AE914" s="228"/>
      <c r="AF914" s="228"/>
      <c r="AG914" s="228"/>
      <c r="AH914" s="228"/>
      <c r="AI914" s="228"/>
      <c r="AJ914" s="228"/>
      <c r="AK914" s="228"/>
      <c r="AL914" s="228"/>
      <c r="AM914" s="228"/>
    </row>
    <row r="915">
      <c r="A915" s="228"/>
      <c r="B915" s="228"/>
      <c r="C915" s="228"/>
      <c r="D915" s="228"/>
      <c r="E915" s="228"/>
      <c r="F915" s="228"/>
      <c r="G915" s="228"/>
      <c r="H915" s="241"/>
      <c r="I915" s="228"/>
      <c r="J915" s="228"/>
      <c r="K915" s="228"/>
      <c r="L915" s="228"/>
      <c r="M915" s="228"/>
      <c r="N915" s="228"/>
      <c r="O915" s="236"/>
      <c r="P915" s="228"/>
      <c r="Q915" s="228"/>
      <c r="R915" s="228"/>
      <c r="S915" s="228"/>
      <c r="T915" s="228"/>
      <c r="U915" s="228"/>
      <c r="V915" s="228"/>
      <c r="W915" s="228"/>
      <c r="X915" s="228"/>
      <c r="Y915" s="228"/>
      <c r="Z915" s="228"/>
      <c r="AA915" s="228"/>
      <c r="AB915" s="228"/>
      <c r="AC915" s="228"/>
      <c r="AD915" s="228"/>
      <c r="AE915" s="228"/>
      <c r="AF915" s="228"/>
      <c r="AG915" s="228"/>
      <c r="AH915" s="228"/>
      <c r="AI915" s="228"/>
      <c r="AJ915" s="228"/>
      <c r="AK915" s="228"/>
      <c r="AL915" s="228"/>
      <c r="AM915" s="228"/>
    </row>
    <row r="916">
      <c r="A916" s="228"/>
      <c r="B916" s="228"/>
      <c r="C916" s="228"/>
      <c r="D916" s="228"/>
      <c r="E916" s="228"/>
      <c r="F916" s="228"/>
      <c r="G916" s="228"/>
      <c r="H916" s="241"/>
      <c r="I916" s="228"/>
      <c r="J916" s="228"/>
      <c r="K916" s="228"/>
      <c r="L916" s="228"/>
      <c r="M916" s="228"/>
      <c r="N916" s="228"/>
      <c r="O916" s="236"/>
      <c r="P916" s="228"/>
      <c r="Q916" s="228"/>
      <c r="R916" s="228"/>
      <c r="S916" s="228"/>
      <c r="T916" s="228"/>
      <c r="U916" s="228"/>
      <c r="V916" s="228"/>
      <c r="W916" s="228"/>
      <c r="X916" s="228"/>
      <c r="Y916" s="228"/>
      <c r="Z916" s="228"/>
      <c r="AA916" s="228"/>
      <c r="AB916" s="228"/>
      <c r="AC916" s="228"/>
      <c r="AD916" s="228"/>
      <c r="AE916" s="228"/>
      <c r="AF916" s="228"/>
      <c r="AG916" s="228"/>
      <c r="AH916" s="228"/>
      <c r="AI916" s="228"/>
      <c r="AJ916" s="228"/>
      <c r="AK916" s="228"/>
      <c r="AL916" s="228"/>
      <c r="AM916" s="228"/>
    </row>
    <row r="917">
      <c r="A917" s="228"/>
      <c r="B917" s="228"/>
      <c r="C917" s="228"/>
      <c r="D917" s="228"/>
      <c r="E917" s="228"/>
      <c r="F917" s="228"/>
      <c r="G917" s="228"/>
      <c r="H917" s="241"/>
      <c r="I917" s="228"/>
      <c r="J917" s="228"/>
      <c r="K917" s="228"/>
      <c r="L917" s="228"/>
      <c r="M917" s="228"/>
      <c r="N917" s="228"/>
      <c r="O917" s="236"/>
      <c r="P917" s="228"/>
      <c r="Q917" s="228"/>
      <c r="R917" s="228"/>
      <c r="S917" s="228"/>
      <c r="T917" s="228"/>
      <c r="U917" s="228"/>
      <c r="V917" s="228"/>
      <c r="W917" s="228"/>
      <c r="X917" s="228"/>
      <c r="Y917" s="228"/>
      <c r="Z917" s="228"/>
      <c r="AA917" s="228"/>
      <c r="AB917" s="228"/>
      <c r="AC917" s="228"/>
      <c r="AD917" s="228"/>
      <c r="AE917" s="228"/>
      <c r="AF917" s="228"/>
      <c r="AG917" s="228"/>
      <c r="AH917" s="228"/>
      <c r="AI917" s="228"/>
      <c r="AJ917" s="228"/>
      <c r="AK917" s="228"/>
      <c r="AL917" s="228"/>
      <c r="AM917" s="228"/>
    </row>
    <row r="918">
      <c r="A918" s="228"/>
      <c r="B918" s="228"/>
      <c r="C918" s="228"/>
      <c r="D918" s="228"/>
      <c r="E918" s="228"/>
      <c r="F918" s="228"/>
      <c r="G918" s="228"/>
      <c r="H918" s="241"/>
      <c r="I918" s="228"/>
      <c r="J918" s="228"/>
      <c r="K918" s="228"/>
      <c r="L918" s="228"/>
      <c r="M918" s="228"/>
      <c r="N918" s="228"/>
      <c r="O918" s="236"/>
      <c r="P918" s="228"/>
      <c r="Q918" s="228"/>
      <c r="R918" s="228"/>
      <c r="S918" s="228"/>
      <c r="T918" s="228"/>
      <c r="U918" s="228"/>
      <c r="V918" s="228"/>
      <c r="W918" s="228"/>
      <c r="X918" s="228"/>
      <c r="Y918" s="228"/>
      <c r="Z918" s="228"/>
      <c r="AA918" s="228"/>
      <c r="AB918" s="228"/>
      <c r="AC918" s="228"/>
      <c r="AD918" s="228"/>
      <c r="AE918" s="228"/>
      <c r="AF918" s="228"/>
      <c r="AG918" s="228"/>
      <c r="AH918" s="228"/>
      <c r="AI918" s="228"/>
      <c r="AJ918" s="228"/>
      <c r="AK918" s="228"/>
      <c r="AL918" s="228"/>
      <c r="AM918" s="228"/>
    </row>
    <row r="919">
      <c r="A919" s="228"/>
      <c r="B919" s="228"/>
      <c r="C919" s="228"/>
      <c r="D919" s="228"/>
      <c r="E919" s="228"/>
      <c r="F919" s="228"/>
      <c r="G919" s="228"/>
      <c r="H919" s="241"/>
      <c r="I919" s="228"/>
      <c r="J919" s="228"/>
      <c r="K919" s="228"/>
      <c r="L919" s="228"/>
      <c r="M919" s="228"/>
      <c r="N919" s="228"/>
      <c r="O919" s="236"/>
      <c r="P919" s="228"/>
      <c r="Q919" s="228"/>
      <c r="R919" s="228"/>
      <c r="S919" s="228"/>
      <c r="T919" s="228"/>
      <c r="U919" s="228"/>
      <c r="V919" s="228"/>
      <c r="W919" s="228"/>
      <c r="X919" s="228"/>
      <c r="Y919" s="228"/>
      <c r="Z919" s="228"/>
      <c r="AA919" s="228"/>
      <c r="AB919" s="228"/>
      <c r="AC919" s="228"/>
      <c r="AD919" s="228"/>
      <c r="AE919" s="228"/>
      <c r="AF919" s="228"/>
      <c r="AG919" s="228"/>
      <c r="AH919" s="228"/>
      <c r="AI919" s="228"/>
      <c r="AJ919" s="228"/>
      <c r="AK919" s="228"/>
      <c r="AL919" s="228"/>
      <c r="AM919" s="228"/>
    </row>
    <row r="920">
      <c r="A920" s="228"/>
      <c r="B920" s="228"/>
      <c r="C920" s="228"/>
      <c r="D920" s="228"/>
      <c r="E920" s="228"/>
      <c r="F920" s="228"/>
      <c r="G920" s="228"/>
      <c r="H920" s="241"/>
      <c r="I920" s="228"/>
      <c r="J920" s="228"/>
      <c r="K920" s="228"/>
      <c r="L920" s="228"/>
      <c r="M920" s="228"/>
      <c r="N920" s="228"/>
      <c r="O920" s="236"/>
      <c r="P920" s="228"/>
      <c r="Q920" s="228"/>
      <c r="R920" s="228"/>
      <c r="S920" s="228"/>
      <c r="T920" s="228"/>
      <c r="U920" s="228"/>
      <c r="V920" s="228"/>
      <c r="W920" s="228"/>
      <c r="X920" s="228"/>
      <c r="Y920" s="228"/>
      <c r="Z920" s="228"/>
      <c r="AA920" s="228"/>
      <c r="AB920" s="228"/>
      <c r="AC920" s="228"/>
      <c r="AD920" s="228"/>
      <c r="AE920" s="228"/>
      <c r="AF920" s="228"/>
      <c r="AG920" s="228"/>
      <c r="AH920" s="228"/>
      <c r="AI920" s="228"/>
      <c r="AJ920" s="228"/>
      <c r="AK920" s="228"/>
      <c r="AL920" s="228"/>
      <c r="AM920" s="228"/>
    </row>
    <row r="921">
      <c r="A921" s="228"/>
      <c r="B921" s="228"/>
      <c r="C921" s="228"/>
      <c r="D921" s="228"/>
      <c r="E921" s="228"/>
      <c r="F921" s="228"/>
      <c r="G921" s="228"/>
      <c r="H921" s="241"/>
      <c r="I921" s="228"/>
      <c r="J921" s="228"/>
      <c r="K921" s="228"/>
      <c r="L921" s="228"/>
      <c r="M921" s="228"/>
      <c r="N921" s="228"/>
      <c r="O921" s="236"/>
      <c r="P921" s="228"/>
      <c r="Q921" s="228"/>
      <c r="R921" s="228"/>
      <c r="S921" s="228"/>
      <c r="T921" s="228"/>
      <c r="U921" s="228"/>
      <c r="V921" s="228"/>
      <c r="W921" s="228"/>
      <c r="X921" s="228"/>
      <c r="Y921" s="228"/>
      <c r="Z921" s="228"/>
      <c r="AA921" s="228"/>
      <c r="AB921" s="228"/>
      <c r="AC921" s="228"/>
      <c r="AD921" s="228"/>
      <c r="AE921" s="228"/>
      <c r="AF921" s="228"/>
      <c r="AG921" s="228"/>
      <c r="AH921" s="228"/>
      <c r="AI921" s="228"/>
      <c r="AJ921" s="228"/>
      <c r="AK921" s="228"/>
      <c r="AL921" s="228"/>
      <c r="AM921" s="228"/>
    </row>
    <row r="922">
      <c r="A922" s="228"/>
      <c r="B922" s="228"/>
      <c r="C922" s="228"/>
      <c r="D922" s="228"/>
      <c r="E922" s="228"/>
      <c r="F922" s="228"/>
      <c r="G922" s="228"/>
      <c r="H922" s="241"/>
      <c r="I922" s="228"/>
      <c r="J922" s="228"/>
      <c r="K922" s="228"/>
      <c r="L922" s="228"/>
      <c r="M922" s="228"/>
      <c r="N922" s="228"/>
      <c r="O922" s="236"/>
      <c r="P922" s="228"/>
      <c r="Q922" s="228"/>
      <c r="R922" s="228"/>
      <c r="S922" s="228"/>
      <c r="T922" s="228"/>
      <c r="U922" s="228"/>
      <c r="V922" s="228"/>
      <c r="W922" s="228"/>
      <c r="X922" s="228"/>
      <c r="Y922" s="228"/>
      <c r="Z922" s="228"/>
      <c r="AA922" s="228"/>
      <c r="AB922" s="228"/>
      <c r="AC922" s="228"/>
      <c r="AD922" s="228"/>
      <c r="AE922" s="228"/>
      <c r="AF922" s="228"/>
      <c r="AG922" s="228"/>
      <c r="AH922" s="228"/>
      <c r="AI922" s="228"/>
      <c r="AJ922" s="228"/>
      <c r="AK922" s="228"/>
      <c r="AL922" s="228"/>
      <c r="AM922" s="228"/>
    </row>
    <row r="923">
      <c r="A923" s="228"/>
      <c r="B923" s="228"/>
      <c r="C923" s="228"/>
      <c r="D923" s="228"/>
      <c r="E923" s="228"/>
      <c r="F923" s="228"/>
      <c r="G923" s="228"/>
      <c r="H923" s="241"/>
      <c r="I923" s="228"/>
      <c r="J923" s="228"/>
      <c r="K923" s="228"/>
      <c r="L923" s="228"/>
      <c r="M923" s="228"/>
      <c r="N923" s="228"/>
      <c r="O923" s="236"/>
      <c r="P923" s="228"/>
      <c r="Q923" s="228"/>
      <c r="R923" s="228"/>
      <c r="S923" s="228"/>
      <c r="T923" s="228"/>
      <c r="U923" s="228"/>
      <c r="V923" s="228"/>
      <c r="W923" s="228"/>
      <c r="X923" s="228"/>
      <c r="Y923" s="228"/>
      <c r="Z923" s="228"/>
      <c r="AA923" s="228"/>
      <c r="AB923" s="228"/>
      <c r="AC923" s="228"/>
      <c r="AD923" s="228"/>
      <c r="AE923" s="228"/>
      <c r="AF923" s="228"/>
      <c r="AG923" s="228"/>
      <c r="AH923" s="228"/>
      <c r="AI923" s="228"/>
      <c r="AJ923" s="228"/>
      <c r="AK923" s="228"/>
      <c r="AL923" s="228"/>
      <c r="AM923" s="228"/>
    </row>
    <row r="924">
      <c r="A924" s="228"/>
      <c r="B924" s="228"/>
      <c r="C924" s="228"/>
      <c r="D924" s="228"/>
      <c r="E924" s="228"/>
      <c r="F924" s="228"/>
      <c r="G924" s="228"/>
      <c r="H924" s="241"/>
      <c r="I924" s="228"/>
      <c r="J924" s="228"/>
      <c r="K924" s="228"/>
      <c r="L924" s="228"/>
      <c r="M924" s="228"/>
      <c r="N924" s="228"/>
      <c r="O924" s="236"/>
      <c r="P924" s="228"/>
      <c r="Q924" s="228"/>
      <c r="R924" s="228"/>
      <c r="S924" s="228"/>
      <c r="T924" s="228"/>
      <c r="U924" s="228"/>
      <c r="V924" s="228"/>
      <c r="W924" s="228"/>
      <c r="X924" s="228"/>
      <c r="Y924" s="228"/>
      <c r="Z924" s="228"/>
      <c r="AA924" s="228"/>
      <c r="AB924" s="228"/>
      <c r="AC924" s="228"/>
      <c r="AD924" s="228"/>
      <c r="AE924" s="228"/>
      <c r="AF924" s="228"/>
      <c r="AG924" s="228"/>
      <c r="AH924" s="228"/>
      <c r="AI924" s="228"/>
      <c r="AJ924" s="228"/>
      <c r="AK924" s="228"/>
      <c r="AL924" s="228"/>
      <c r="AM924" s="228"/>
    </row>
    <row r="925">
      <c r="A925" s="228"/>
      <c r="B925" s="228"/>
      <c r="C925" s="228"/>
      <c r="D925" s="228"/>
      <c r="E925" s="228"/>
      <c r="F925" s="228"/>
      <c r="G925" s="228"/>
      <c r="H925" s="241"/>
      <c r="I925" s="228"/>
      <c r="J925" s="228"/>
      <c r="K925" s="228"/>
      <c r="L925" s="228"/>
      <c r="M925" s="228"/>
      <c r="N925" s="228"/>
      <c r="O925" s="236"/>
      <c r="P925" s="228"/>
      <c r="Q925" s="228"/>
      <c r="R925" s="228"/>
      <c r="S925" s="228"/>
      <c r="T925" s="228"/>
      <c r="U925" s="228"/>
      <c r="V925" s="228"/>
      <c r="W925" s="228"/>
      <c r="X925" s="228"/>
      <c r="Y925" s="228"/>
      <c r="Z925" s="228"/>
      <c r="AA925" s="228"/>
      <c r="AB925" s="228"/>
      <c r="AC925" s="228"/>
      <c r="AD925" s="228"/>
      <c r="AE925" s="228"/>
      <c r="AF925" s="228"/>
      <c r="AG925" s="228"/>
      <c r="AH925" s="228"/>
      <c r="AI925" s="228"/>
      <c r="AJ925" s="228"/>
      <c r="AK925" s="228"/>
      <c r="AL925" s="228"/>
      <c r="AM925" s="228"/>
    </row>
    <row r="926">
      <c r="A926" s="228"/>
      <c r="B926" s="228"/>
      <c r="C926" s="228"/>
      <c r="D926" s="228"/>
      <c r="E926" s="228"/>
      <c r="F926" s="228"/>
      <c r="G926" s="228"/>
      <c r="H926" s="241"/>
      <c r="I926" s="228"/>
      <c r="J926" s="228"/>
      <c r="K926" s="228"/>
      <c r="L926" s="228"/>
      <c r="M926" s="228"/>
      <c r="N926" s="228"/>
      <c r="O926" s="236"/>
      <c r="P926" s="228"/>
      <c r="Q926" s="228"/>
      <c r="R926" s="228"/>
      <c r="S926" s="228"/>
      <c r="T926" s="228"/>
      <c r="U926" s="228"/>
      <c r="V926" s="228"/>
      <c r="W926" s="228"/>
      <c r="X926" s="228"/>
      <c r="Y926" s="228"/>
      <c r="Z926" s="228"/>
      <c r="AA926" s="228"/>
      <c r="AB926" s="228"/>
      <c r="AC926" s="228"/>
      <c r="AD926" s="228"/>
      <c r="AE926" s="228"/>
      <c r="AF926" s="228"/>
      <c r="AG926" s="228"/>
      <c r="AH926" s="228"/>
      <c r="AI926" s="228"/>
      <c r="AJ926" s="228"/>
      <c r="AK926" s="228"/>
      <c r="AL926" s="228"/>
      <c r="AM926" s="228"/>
    </row>
    <row r="927">
      <c r="A927" s="228"/>
      <c r="B927" s="228"/>
      <c r="C927" s="228"/>
      <c r="D927" s="228"/>
      <c r="E927" s="228"/>
      <c r="F927" s="228"/>
      <c r="G927" s="228"/>
      <c r="H927" s="241"/>
      <c r="I927" s="228"/>
      <c r="J927" s="228"/>
      <c r="K927" s="228"/>
      <c r="L927" s="228"/>
      <c r="M927" s="228"/>
      <c r="N927" s="228"/>
      <c r="O927" s="236"/>
      <c r="P927" s="228"/>
      <c r="Q927" s="228"/>
      <c r="R927" s="228"/>
      <c r="S927" s="228"/>
      <c r="T927" s="228"/>
      <c r="U927" s="228"/>
      <c r="V927" s="228"/>
      <c r="W927" s="228"/>
      <c r="X927" s="228"/>
      <c r="Y927" s="228"/>
      <c r="Z927" s="228"/>
      <c r="AA927" s="228"/>
      <c r="AB927" s="228"/>
      <c r="AC927" s="228"/>
      <c r="AD927" s="228"/>
      <c r="AE927" s="228"/>
      <c r="AF927" s="228"/>
      <c r="AG927" s="228"/>
      <c r="AH927" s="228"/>
      <c r="AI927" s="228"/>
      <c r="AJ927" s="228"/>
      <c r="AK927" s="228"/>
      <c r="AL927" s="228"/>
      <c r="AM927" s="228"/>
    </row>
    <row r="928">
      <c r="A928" s="228"/>
      <c r="B928" s="228"/>
      <c r="C928" s="228"/>
      <c r="D928" s="228"/>
      <c r="E928" s="228"/>
      <c r="F928" s="228"/>
      <c r="G928" s="228"/>
      <c r="H928" s="241"/>
      <c r="I928" s="228"/>
      <c r="J928" s="228"/>
      <c r="K928" s="228"/>
      <c r="L928" s="228"/>
      <c r="M928" s="228"/>
      <c r="N928" s="228"/>
      <c r="O928" s="236"/>
      <c r="P928" s="228"/>
      <c r="Q928" s="228"/>
      <c r="R928" s="228"/>
      <c r="S928" s="228"/>
      <c r="T928" s="228"/>
      <c r="U928" s="228"/>
      <c r="V928" s="228"/>
      <c r="W928" s="228"/>
      <c r="X928" s="228"/>
      <c r="Y928" s="228"/>
      <c r="Z928" s="228"/>
      <c r="AA928" s="228"/>
      <c r="AB928" s="228"/>
      <c r="AC928" s="228"/>
      <c r="AD928" s="228"/>
      <c r="AE928" s="228"/>
      <c r="AF928" s="228"/>
      <c r="AG928" s="228"/>
      <c r="AH928" s="228"/>
      <c r="AI928" s="228"/>
      <c r="AJ928" s="228"/>
      <c r="AK928" s="228"/>
      <c r="AL928" s="228"/>
      <c r="AM928" s="228"/>
    </row>
    <row r="929">
      <c r="A929" s="228"/>
      <c r="B929" s="228"/>
      <c r="C929" s="228"/>
      <c r="D929" s="228"/>
      <c r="E929" s="228"/>
      <c r="F929" s="228"/>
      <c r="G929" s="228"/>
      <c r="H929" s="241"/>
      <c r="I929" s="228"/>
      <c r="J929" s="228"/>
      <c r="K929" s="228"/>
      <c r="L929" s="228"/>
      <c r="M929" s="228"/>
      <c r="N929" s="228"/>
      <c r="O929" s="236"/>
      <c r="P929" s="228"/>
      <c r="Q929" s="228"/>
      <c r="R929" s="228"/>
      <c r="S929" s="228"/>
      <c r="T929" s="228"/>
      <c r="U929" s="228"/>
      <c r="V929" s="228"/>
      <c r="W929" s="228"/>
      <c r="X929" s="228"/>
      <c r="Y929" s="228"/>
      <c r="Z929" s="228"/>
      <c r="AA929" s="228"/>
      <c r="AB929" s="228"/>
      <c r="AC929" s="228"/>
      <c r="AD929" s="228"/>
      <c r="AE929" s="228"/>
      <c r="AF929" s="228"/>
      <c r="AG929" s="228"/>
      <c r="AH929" s="228"/>
      <c r="AI929" s="228"/>
      <c r="AJ929" s="228"/>
      <c r="AK929" s="228"/>
      <c r="AL929" s="228"/>
      <c r="AM929" s="228"/>
    </row>
    <row r="930">
      <c r="A930" s="228"/>
      <c r="B930" s="228"/>
      <c r="C930" s="228"/>
      <c r="D930" s="228"/>
      <c r="E930" s="228"/>
      <c r="F930" s="228"/>
      <c r="G930" s="228"/>
      <c r="H930" s="241"/>
      <c r="I930" s="228"/>
      <c r="J930" s="228"/>
      <c r="K930" s="228"/>
      <c r="L930" s="228"/>
      <c r="M930" s="228"/>
      <c r="N930" s="228"/>
      <c r="O930" s="236"/>
      <c r="P930" s="228"/>
      <c r="Q930" s="228"/>
      <c r="R930" s="228"/>
      <c r="S930" s="228"/>
      <c r="T930" s="228"/>
      <c r="U930" s="228"/>
      <c r="V930" s="228"/>
      <c r="W930" s="228"/>
      <c r="X930" s="228"/>
      <c r="Y930" s="228"/>
      <c r="Z930" s="228"/>
      <c r="AA930" s="228"/>
      <c r="AB930" s="228"/>
      <c r="AC930" s="228"/>
      <c r="AD930" s="228"/>
      <c r="AE930" s="228"/>
      <c r="AF930" s="228"/>
      <c r="AG930" s="228"/>
      <c r="AH930" s="228"/>
      <c r="AI930" s="228"/>
      <c r="AJ930" s="228"/>
      <c r="AK930" s="228"/>
      <c r="AL930" s="228"/>
      <c r="AM930" s="228"/>
    </row>
    <row r="931">
      <c r="A931" s="228"/>
      <c r="B931" s="228"/>
      <c r="C931" s="228"/>
      <c r="D931" s="228"/>
      <c r="E931" s="228"/>
      <c r="F931" s="228"/>
      <c r="G931" s="228"/>
      <c r="H931" s="241"/>
      <c r="I931" s="228"/>
      <c r="J931" s="228"/>
      <c r="K931" s="228"/>
      <c r="L931" s="228"/>
      <c r="M931" s="228"/>
      <c r="N931" s="228"/>
      <c r="O931" s="236"/>
      <c r="P931" s="228"/>
      <c r="Q931" s="228"/>
      <c r="R931" s="228"/>
      <c r="S931" s="228"/>
      <c r="T931" s="228"/>
      <c r="U931" s="228"/>
      <c r="V931" s="228"/>
      <c r="W931" s="228"/>
      <c r="X931" s="228"/>
      <c r="Y931" s="228"/>
      <c r="Z931" s="228"/>
      <c r="AA931" s="228"/>
      <c r="AB931" s="228"/>
      <c r="AC931" s="228"/>
      <c r="AD931" s="228"/>
      <c r="AE931" s="228"/>
      <c r="AF931" s="228"/>
      <c r="AG931" s="228"/>
      <c r="AH931" s="228"/>
      <c r="AI931" s="228"/>
      <c r="AJ931" s="228"/>
      <c r="AK931" s="228"/>
      <c r="AL931" s="228"/>
      <c r="AM931" s="228"/>
    </row>
    <row r="932">
      <c r="A932" s="228"/>
      <c r="B932" s="228"/>
      <c r="C932" s="228"/>
      <c r="D932" s="228"/>
      <c r="E932" s="228"/>
      <c r="F932" s="228"/>
      <c r="G932" s="228"/>
      <c r="H932" s="241"/>
      <c r="I932" s="228"/>
      <c r="J932" s="228"/>
      <c r="K932" s="228"/>
      <c r="L932" s="228"/>
      <c r="M932" s="228"/>
      <c r="N932" s="228"/>
      <c r="O932" s="236"/>
      <c r="P932" s="228"/>
      <c r="Q932" s="228"/>
      <c r="R932" s="228"/>
      <c r="S932" s="228"/>
      <c r="T932" s="228"/>
      <c r="U932" s="228"/>
      <c r="V932" s="228"/>
      <c r="W932" s="228"/>
      <c r="X932" s="228"/>
      <c r="Y932" s="228"/>
      <c r="Z932" s="228"/>
      <c r="AA932" s="228"/>
      <c r="AB932" s="228"/>
      <c r="AC932" s="228"/>
      <c r="AD932" s="228"/>
      <c r="AE932" s="228"/>
      <c r="AF932" s="228"/>
      <c r="AG932" s="228"/>
      <c r="AH932" s="228"/>
      <c r="AI932" s="228"/>
      <c r="AJ932" s="228"/>
      <c r="AK932" s="228"/>
      <c r="AL932" s="228"/>
      <c r="AM932" s="228"/>
    </row>
    <row r="933">
      <c r="A933" s="228"/>
      <c r="B933" s="228"/>
      <c r="C933" s="228"/>
      <c r="D933" s="228"/>
      <c r="E933" s="228"/>
      <c r="F933" s="228"/>
      <c r="G933" s="228"/>
      <c r="H933" s="241"/>
      <c r="I933" s="228"/>
      <c r="J933" s="228"/>
      <c r="K933" s="228"/>
      <c r="L933" s="228"/>
      <c r="M933" s="228"/>
      <c r="N933" s="228"/>
      <c r="O933" s="236"/>
      <c r="P933" s="228"/>
      <c r="Q933" s="228"/>
      <c r="R933" s="228"/>
      <c r="S933" s="228"/>
      <c r="T933" s="228"/>
      <c r="U933" s="228"/>
      <c r="V933" s="228"/>
      <c r="W933" s="228"/>
      <c r="X933" s="228"/>
      <c r="Y933" s="228"/>
      <c r="Z933" s="228"/>
      <c r="AA933" s="228"/>
      <c r="AB933" s="228"/>
      <c r="AC933" s="228"/>
      <c r="AD933" s="228"/>
      <c r="AE933" s="228"/>
      <c r="AF933" s="228"/>
      <c r="AG933" s="228"/>
      <c r="AH933" s="228"/>
      <c r="AI933" s="228"/>
      <c r="AJ933" s="228"/>
      <c r="AK933" s="228"/>
      <c r="AL933" s="228"/>
      <c r="AM933" s="228"/>
    </row>
    <row r="934">
      <c r="A934" s="228"/>
      <c r="B934" s="228"/>
      <c r="C934" s="228"/>
      <c r="D934" s="228"/>
      <c r="E934" s="228"/>
      <c r="F934" s="228"/>
      <c r="G934" s="228"/>
      <c r="H934" s="241"/>
      <c r="I934" s="228"/>
      <c r="J934" s="228"/>
      <c r="K934" s="228"/>
      <c r="L934" s="228"/>
      <c r="M934" s="228"/>
      <c r="N934" s="228"/>
      <c r="O934" s="236"/>
      <c r="P934" s="228"/>
      <c r="Q934" s="228"/>
      <c r="R934" s="228"/>
      <c r="S934" s="228"/>
      <c r="T934" s="228"/>
      <c r="U934" s="228"/>
      <c r="V934" s="228"/>
      <c r="W934" s="228"/>
      <c r="X934" s="228"/>
      <c r="Y934" s="228"/>
      <c r="Z934" s="228"/>
      <c r="AA934" s="228"/>
      <c r="AB934" s="228"/>
      <c r="AC934" s="228"/>
      <c r="AD934" s="228"/>
      <c r="AE934" s="228"/>
      <c r="AF934" s="228"/>
      <c r="AG934" s="228"/>
      <c r="AH934" s="228"/>
      <c r="AI934" s="228"/>
      <c r="AJ934" s="228"/>
      <c r="AK934" s="228"/>
      <c r="AL934" s="228"/>
      <c r="AM934" s="228"/>
    </row>
    <row r="935">
      <c r="A935" s="228"/>
      <c r="B935" s="228"/>
      <c r="C935" s="228"/>
      <c r="D935" s="228"/>
      <c r="E935" s="228"/>
      <c r="F935" s="228"/>
      <c r="G935" s="228"/>
      <c r="H935" s="241"/>
      <c r="I935" s="228"/>
      <c r="J935" s="228"/>
      <c r="K935" s="228"/>
      <c r="L935" s="228"/>
      <c r="M935" s="228"/>
      <c r="N935" s="228"/>
      <c r="O935" s="236"/>
      <c r="P935" s="228"/>
      <c r="Q935" s="228"/>
      <c r="R935" s="228"/>
      <c r="S935" s="228"/>
      <c r="T935" s="228"/>
      <c r="U935" s="228"/>
      <c r="V935" s="228"/>
      <c r="W935" s="228"/>
      <c r="X935" s="228"/>
      <c r="Y935" s="228"/>
      <c r="Z935" s="228"/>
      <c r="AA935" s="228"/>
      <c r="AB935" s="228"/>
      <c r="AC935" s="228"/>
      <c r="AD935" s="228"/>
      <c r="AE935" s="228"/>
      <c r="AF935" s="228"/>
      <c r="AG935" s="228"/>
      <c r="AH935" s="228"/>
      <c r="AI935" s="228"/>
      <c r="AJ935" s="228"/>
      <c r="AK935" s="228"/>
      <c r="AL935" s="228"/>
      <c r="AM935" s="228"/>
    </row>
    <row r="936">
      <c r="A936" s="228"/>
      <c r="B936" s="228"/>
      <c r="C936" s="228"/>
      <c r="D936" s="228"/>
      <c r="E936" s="228"/>
      <c r="F936" s="228"/>
      <c r="G936" s="228"/>
      <c r="H936" s="241"/>
      <c r="I936" s="228"/>
      <c r="J936" s="228"/>
      <c r="K936" s="228"/>
      <c r="L936" s="228"/>
      <c r="M936" s="228"/>
      <c r="N936" s="228"/>
      <c r="O936" s="236"/>
      <c r="P936" s="228"/>
      <c r="Q936" s="228"/>
      <c r="R936" s="228"/>
      <c r="S936" s="228"/>
      <c r="T936" s="228"/>
      <c r="U936" s="228"/>
      <c r="V936" s="228"/>
      <c r="W936" s="228"/>
      <c r="X936" s="228"/>
      <c r="Y936" s="228"/>
      <c r="Z936" s="228"/>
      <c r="AA936" s="228"/>
      <c r="AB936" s="228"/>
      <c r="AC936" s="228"/>
      <c r="AD936" s="228"/>
      <c r="AE936" s="228"/>
      <c r="AF936" s="228"/>
      <c r="AG936" s="228"/>
      <c r="AH936" s="228"/>
      <c r="AI936" s="228"/>
      <c r="AJ936" s="228"/>
      <c r="AK936" s="228"/>
      <c r="AL936" s="228"/>
      <c r="AM936" s="228"/>
    </row>
    <row r="937">
      <c r="A937" s="228"/>
      <c r="B937" s="228"/>
      <c r="C937" s="228"/>
      <c r="D937" s="228"/>
      <c r="E937" s="228"/>
      <c r="F937" s="228"/>
      <c r="G937" s="228"/>
      <c r="H937" s="241"/>
      <c r="I937" s="228"/>
      <c r="J937" s="228"/>
      <c r="K937" s="228"/>
      <c r="L937" s="228"/>
      <c r="M937" s="228"/>
      <c r="N937" s="228"/>
      <c r="O937" s="236"/>
      <c r="P937" s="228"/>
      <c r="Q937" s="228"/>
      <c r="R937" s="228"/>
      <c r="S937" s="228"/>
      <c r="T937" s="228"/>
      <c r="U937" s="228"/>
      <c r="V937" s="228"/>
      <c r="W937" s="228"/>
      <c r="X937" s="228"/>
      <c r="Y937" s="228"/>
      <c r="Z937" s="228"/>
      <c r="AA937" s="228"/>
      <c r="AB937" s="228"/>
      <c r="AC937" s="228"/>
      <c r="AD937" s="228"/>
      <c r="AE937" s="228"/>
      <c r="AF937" s="228"/>
      <c r="AG937" s="228"/>
      <c r="AH937" s="228"/>
      <c r="AI937" s="228"/>
      <c r="AJ937" s="228"/>
      <c r="AK937" s="228"/>
      <c r="AL937" s="228"/>
      <c r="AM937" s="228"/>
    </row>
    <row r="938">
      <c r="A938" s="228"/>
      <c r="B938" s="228"/>
      <c r="C938" s="228"/>
      <c r="D938" s="228"/>
      <c r="E938" s="228"/>
      <c r="F938" s="228"/>
      <c r="G938" s="228"/>
      <c r="H938" s="241"/>
      <c r="I938" s="228"/>
      <c r="J938" s="228"/>
      <c r="K938" s="228"/>
      <c r="L938" s="228"/>
      <c r="M938" s="228"/>
      <c r="N938" s="228"/>
      <c r="O938" s="236"/>
      <c r="P938" s="228"/>
      <c r="Q938" s="228"/>
      <c r="R938" s="228"/>
      <c r="S938" s="228"/>
      <c r="T938" s="228"/>
      <c r="U938" s="228"/>
      <c r="V938" s="228"/>
      <c r="W938" s="228"/>
      <c r="X938" s="228"/>
      <c r="Y938" s="228"/>
      <c r="Z938" s="228"/>
      <c r="AA938" s="228"/>
      <c r="AB938" s="228"/>
      <c r="AC938" s="228"/>
      <c r="AD938" s="228"/>
      <c r="AE938" s="228"/>
      <c r="AF938" s="228"/>
      <c r="AG938" s="228"/>
      <c r="AH938" s="228"/>
      <c r="AI938" s="228"/>
      <c r="AJ938" s="228"/>
      <c r="AK938" s="228"/>
      <c r="AL938" s="228"/>
      <c r="AM938" s="228"/>
    </row>
    <row r="939">
      <c r="A939" s="228"/>
      <c r="B939" s="228"/>
      <c r="C939" s="228"/>
      <c r="D939" s="228"/>
      <c r="E939" s="228"/>
      <c r="F939" s="228"/>
      <c r="G939" s="228"/>
      <c r="H939" s="241"/>
      <c r="I939" s="228"/>
      <c r="J939" s="228"/>
      <c r="K939" s="228"/>
      <c r="L939" s="228"/>
      <c r="M939" s="228"/>
      <c r="N939" s="228"/>
      <c r="O939" s="236"/>
      <c r="P939" s="228"/>
      <c r="Q939" s="228"/>
      <c r="R939" s="228"/>
      <c r="S939" s="228"/>
      <c r="T939" s="228"/>
      <c r="U939" s="228"/>
      <c r="V939" s="228"/>
      <c r="W939" s="228"/>
      <c r="X939" s="228"/>
      <c r="Y939" s="228"/>
      <c r="Z939" s="228"/>
      <c r="AA939" s="228"/>
      <c r="AB939" s="228"/>
      <c r="AC939" s="228"/>
      <c r="AD939" s="228"/>
      <c r="AE939" s="228"/>
      <c r="AF939" s="228"/>
      <c r="AG939" s="228"/>
      <c r="AH939" s="228"/>
      <c r="AI939" s="228"/>
      <c r="AJ939" s="228"/>
      <c r="AK939" s="228"/>
      <c r="AL939" s="228"/>
      <c r="AM939" s="228"/>
    </row>
    <row r="940">
      <c r="A940" s="228"/>
      <c r="B940" s="228"/>
      <c r="C940" s="228"/>
      <c r="D940" s="228"/>
      <c r="E940" s="228"/>
      <c r="F940" s="228"/>
      <c r="G940" s="228"/>
      <c r="H940" s="241"/>
      <c r="I940" s="228"/>
      <c r="J940" s="228"/>
      <c r="K940" s="228"/>
      <c r="L940" s="228"/>
      <c r="M940" s="228"/>
      <c r="N940" s="228"/>
      <c r="O940" s="236"/>
      <c r="P940" s="228"/>
      <c r="Q940" s="228"/>
      <c r="R940" s="228"/>
      <c r="S940" s="228"/>
      <c r="T940" s="228"/>
      <c r="U940" s="228"/>
      <c r="V940" s="228"/>
      <c r="W940" s="228"/>
      <c r="X940" s="228"/>
      <c r="Y940" s="228"/>
      <c r="Z940" s="228"/>
      <c r="AA940" s="228"/>
      <c r="AB940" s="228"/>
      <c r="AC940" s="228"/>
      <c r="AD940" s="228"/>
      <c r="AE940" s="228"/>
      <c r="AF940" s="228"/>
      <c r="AG940" s="228"/>
      <c r="AH940" s="228"/>
      <c r="AI940" s="228"/>
      <c r="AJ940" s="228"/>
      <c r="AK940" s="228"/>
      <c r="AL940" s="228"/>
      <c r="AM940" s="228"/>
    </row>
    <row r="941">
      <c r="A941" s="228"/>
      <c r="B941" s="228"/>
      <c r="C941" s="228"/>
      <c r="D941" s="228"/>
      <c r="E941" s="228"/>
      <c r="F941" s="228"/>
      <c r="G941" s="228"/>
      <c r="H941" s="241"/>
      <c r="I941" s="228"/>
      <c r="J941" s="228"/>
      <c r="K941" s="228"/>
      <c r="L941" s="228"/>
      <c r="M941" s="228"/>
      <c r="N941" s="228"/>
      <c r="O941" s="236"/>
      <c r="P941" s="228"/>
      <c r="Q941" s="228"/>
      <c r="R941" s="228"/>
      <c r="S941" s="228"/>
      <c r="T941" s="228"/>
      <c r="U941" s="228"/>
      <c r="V941" s="228"/>
      <c r="W941" s="228"/>
      <c r="X941" s="228"/>
      <c r="Y941" s="228"/>
      <c r="Z941" s="228"/>
      <c r="AA941" s="228"/>
      <c r="AB941" s="228"/>
      <c r="AC941" s="228"/>
      <c r="AD941" s="228"/>
      <c r="AE941" s="228"/>
      <c r="AF941" s="228"/>
      <c r="AG941" s="228"/>
      <c r="AH941" s="228"/>
      <c r="AI941" s="228"/>
      <c r="AJ941" s="228"/>
      <c r="AK941" s="228"/>
      <c r="AL941" s="228"/>
      <c r="AM941" s="228"/>
    </row>
    <row r="942">
      <c r="A942" s="228"/>
      <c r="B942" s="228"/>
      <c r="C942" s="228"/>
      <c r="D942" s="228"/>
      <c r="E942" s="228"/>
      <c r="F942" s="228"/>
      <c r="G942" s="228"/>
      <c r="H942" s="241"/>
      <c r="I942" s="228"/>
      <c r="J942" s="228"/>
      <c r="K942" s="228"/>
      <c r="L942" s="228"/>
      <c r="M942" s="228"/>
      <c r="N942" s="228"/>
      <c r="O942" s="236"/>
      <c r="P942" s="228"/>
      <c r="Q942" s="228"/>
      <c r="R942" s="228"/>
      <c r="S942" s="228"/>
      <c r="T942" s="228"/>
      <c r="U942" s="228"/>
      <c r="V942" s="228"/>
      <c r="W942" s="228"/>
      <c r="X942" s="228"/>
      <c r="Y942" s="228"/>
      <c r="Z942" s="228"/>
      <c r="AA942" s="228"/>
      <c r="AB942" s="228"/>
      <c r="AC942" s="228"/>
      <c r="AD942" s="228"/>
      <c r="AE942" s="228"/>
      <c r="AF942" s="228"/>
      <c r="AG942" s="228"/>
      <c r="AH942" s="228"/>
      <c r="AI942" s="228"/>
      <c r="AJ942" s="228"/>
      <c r="AK942" s="228"/>
      <c r="AL942" s="228"/>
      <c r="AM942" s="228"/>
    </row>
    <row r="943">
      <c r="A943" s="228"/>
      <c r="B943" s="228"/>
      <c r="C943" s="228"/>
      <c r="D943" s="228"/>
      <c r="E943" s="228"/>
      <c r="F943" s="228"/>
      <c r="G943" s="228"/>
      <c r="H943" s="241"/>
      <c r="I943" s="228"/>
      <c r="J943" s="228"/>
      <c r="K943" s="228"/>
      <c r="L943" s="228"/>
      <c r="M943" s="228"/>
      <c r="N943" s="228"/>
      <c r="O943" s="236"/>
      <c r="P943" s="228"/>
      <c r="Q943" s="228"/>
      <c r="R943" s="228"/>
      <c r="S943" s="228"/>
      <c r="T943" s="228"/>
      <c r="U943" s="228"/>
      <c r="V943" s="228"/>
      <c r="W943" s="228"/>
      <c r="X943" s="228"/>
      <c r="Y943" s="228"/>
      <c r="Z943" s="228"/>
      <c r="AA943" s="228"/>
      <c r="AB943" s="228"/>
      <c r="AC943" s="228"/>
      <c r="AD943" s="228"/>
      <c r="AE943" s="228"/>
      <c r="AF943" s="228"/>
      <c r="AG943" s="228"/>
      <c r="AH943" s="228"/>
      <c r="AI943" s="228"/>
      <c r="AJ943" s="228"/>
      <c r="AK943" s="228"/>
      <c r="AL943" s="228"/>
      <c r="AM943" s="228"/>
    </row>
    <row r="944">
      <c r="A944" s="228"/>
      <c r="B944" s="228"/>
      <c r="C944" s="228"/>
      <c r="D944" s="228"/>
      <c r="E944" s="228"/>
      <c r="F944" s="228"/>
      <c r="G944" s="228"/>
      <c r="H944" s="241"/>
      <c r="I944" s="228"/>
      <c r="J944" s="228"/>
      <c r="K944" s="228"/>
      <c r="L944" s="228"/>
      <c r="M944" s="228"/>
      <c r="N944" s="228"/>
      <c r="O944" s="236"/>
      <c r="P944" s="228"/>
      <c r="Q944" s="228"/>
      <c r="R944" s="228"/>
      <c r="S944" s="228"/>
      <c r="T944" s="228"/>
      <c r="U944" s="228"/>
      <c r="V944" s="228"/>
      <c r="W944" s="228"/>
      <c r="X944" s="228"/>
      <c r="Y944" s="228"/>
      <c r="Z944" s="228"/>
      <c r="AA944" s="228"/>
      <c r="AB944" s="228"/>
      <c r="AC944" s="228"/>
      <c r="AD944" s="228"/>
      <c r="AE944" s="228"/>
      <c r="AF944" s="228"/>
      <c r="AG944" s="228"/>
      <c r="AH944" s="228"/>
      <c r="AI944" s="228"/>
      <c r="AJ944" s="228"/>
      <c r="AK944" s="228"/>
      <c r="AL944" s="228"/>
      <c r="AM944" s="228"/>
    </row>
    <row r="945">
      <c r="A945" s="228"/>
      <c r="B945" s="228"/>
      <c r="C945" s="228"/>
      <c r="D945" s="228"/>
      <c r="E945" s="228"/>
      <c r="F945" s="228"/>
      <c r="G945" s="228"/>
      <c r="H945" s="241"/>
      <c r="I945" s="228"/>
      <c r="J945" s="228"/>
      <c r="K945" s="228"/>
      <c r="L945" s="228"/>
      <c r="M945" s="228"/>
      <c r="N945" s="228"/>
      <c r="O945" s="236"/>
      <c r="P945" s="228"/>
      <c r="Q945" s="228"/>
      <c r="R945" s="228"/>
      <c r="S945" s="228"/>
      <c r="T945" s="228"/>
      <c r="U945" s="228"/>
      <c r="V945" s="228"/>
      <c r="W945" s="228"/>
      <c r="X945" s="228"/>
      <c r="Y945" s="228"/>
      <c r="Z945" s="228"/>
      <c r="AA945" s="228"/>
      <c r="AB945" s="228"/>
      <c r="AC945" s="228"/>
      <c r="AD945" s="228"/>
      <c r="AE945" s="228"/>
      <c r="AF945" s="228"/>
      <c r="AG945" s="228"/>
      <c r="AH945" s="228"/>
      <c r="AI945" s="228"/>
      <c r="AJ945" s="228"/>
      <c r="AK945" s="228"/>
      <c r="AL945" s="228"/>
      <c r="AM945" s="228"/>
    </row>
    <row r="946">
      <c r="A946" s="228"/>
      <c r="B946" s="228"/>
      <c r="C946" s="228"/>
      <c r="D946" s="228"/>
      <c r="E946" s="228"/>
      <c r="F946" s="228"/>
      <c r="G946" s="228"/>
      <c r="H946" s="241"/>
      <c r="I946" s="228"/>
      <c r="J946" s="228"/>
      <c r="K946" s="228"/>
      <c r="L946" s="228"/>
      <c r="M946" s="228"/>
      <c r="N946" s="228"/>
      <c r="O946" s="236"/>
      <c r="P946" s="228"/>
      <c r="Q946" s="228"/>
      <c r="R946" s="228"/>
      <c r="S946" s="228"/>
      <c r="T946" s="228"/>
      <c r="U946" s="228"/>
      <c r="V946" s="228"/>
      <c r="W946" s="228"/>
      <c r="X946" s="228"/>
      <c r="Y946" s="228"/>
      <c r="Z946" s="228"/>
      <c r="AA946" s="228"/>
      <c r="AB946" s="228"/>
      <c r="AC946" s="228"/>
      <c r="AD946" s="228"/>
      <c r="AE946" s="228"/>
      <c r="AF946" s="228"/>
      <c r="AG946" s="228"/>
      <c r="AH946" s="228"/>
      <c r="AI946" s="228"/>
      <c r="AJ946" s="228"/>
      <c r="AK946" s="228"/>
      <c r="AL946" s="228"/>
      <c r="AM946" s="228"/>
    </row>
    <row r="947">
      <c r="A947" s="228"/>
      <c r="B947" s="228"/>
      <c r="C947" s="228"/>
      <c r="D947" s="228"/>
      <c r="E947" s="228"/>
      <c r="F947" s="228"/>
      <c r="G947" s="228"/>
      <c r="H947" s="241"/>
      <c r="I947" s="228"/>
      <c r="J947" s="228"/>
      <c r="K947" s="228"/>
      <c r="L947" s="228"/>
      <c r="M947" s="228"/>
      <c r="N947" s="228"/>
      <c r="O947" s="236"/>
      <c r="P947" s="228"/>
      <c r="Q947" s="228"/>
      <c r="R947" s="228"/>
      <c r="S947" s="228"/>
      <c r="T947" s="228"/>
      <c r="U947" s="228"/>
      <c r="V947" s="228"/>
      <c r="W947" s="228"/>
      <c r="X947" s="228"/>
      <c r="Y947" s="228"/>
      <c r="Z947" s="228"/>
      <c r="AA947" s="228"/>
      <c r="AB947" s="228"/>
      <c r="AC947" s="228"/>
      <c r="AD947" s="228"/>
      <c r="AE947" s="228"/>
      <c r="AF947" s="228"/>
      <c r="AG947" s="228"/>
      <c r="AH947" s="228"/>
      <c r="AI947" s="228"/>
      <c r="AJ947" s="228"/>
      <c r="AK947" s="228"/>
      <c r="AL947" s="228"/>
      <c r="AM947" s="228"/>
    </row>
    <row r="948">
      <c r="A948" s="228"/>
      <c r="B948" s="228"/>
      <c r="C948" s="228"/>
      <c r="D948" s="228"/>
      <c r="E948" s="228"/>
      <c r="F948" s="228"/>
      <c r="G948" s="228"/>
      <c r="H948" s="241"/>
      <c r="I948" s="228"/>
      <c r="J948" s="228"/>
      <c r="K948" s="228"/>
      <c r="L948" s="228"/>
      <c r="M948" s="228"/>
      <c r="N948" s="228"/>
      <c r="O948" s="236"/>
      <c r="P948" s="228"/>
      <c r="Q948" s="228"/>
      <c r="R948" s="228"/>
      <c r="S948" s="228"/>
      <c r="T948" s="228"/>
      <c r="U948" s="228"/>
      <c r="V948" s="228"/>
      <c r="W948" s="228"/>
      <c r="X948" s="228"/>
      <c r="Y948" s="228"/>
      <c r="Z948" s="228"/>
      <c r="AA948" s="228"/>
      <c r="AB948" s="228"/>
      <c r="AC948" s="228"/>
      <c r="AD948" s="228"/>
      <c r="AE948" s="228"/>
      <c r="AF948" s="228"/>
      <c r="AG948" s="228"/>
      <c r="AH948" s="228"/>
      <c r="AI948" s="228"/>
      <c r="AJ948" s="228"/>
      <c r="AK948" s="228"/>
      <c r="AL948" s="228"/>
      <c r="AM948" s="228"/>
    </row>
    <row r="949">
      <c r="A949" s="228"/>
      <c r="B949" s="228"/>
      <c r="C949" s="228"/>
      <c r="D949" s="228"/>
      <c r="E949" s="228"/>
      <c r="F949" s="228"/>
      <c r="G949" s="228"/>
      <c r="H949" s="241"/>
      <c r="I949" s="228"/>
      <c r="J949" s="228"/>
      <c r="K949" s="228"/>
      <c r="L949" s="228"/>
      <c r="M949" s="228"/>
      <c r="N949" s="228"/>
      <c r="O949" s="236"/>
      <c r="P949" s="228"/>
      <c r="Q949" s="228"/>
      <c r="R949" s="228"/>
      <c r="S949" s="228"/>
      <c r="T949" s="228"/>
      <c r="U949" s="228"/>
      <c r="V949" s="228"/>
      <c r="W949" s="228"/>
      <c r="X949" s="228"/>
      <c r="Y949" s="228"/>
      <c r="Z949" s="228"/>
      <c r="AA949" s="228"/>
      <c r="AB949" s="228"/>
      <c r="AC949" s="228"/>
      <c r="AD949" s="228"/>
      <c r="AE949" s="228"/>
      <c r="AF949" s="228"/>
      <c r="AG949" s="228"/>
      <c r="AH949" s="228"/>
      <c r="AI949" s="228"/>
      <c r="AJ949" s="228"/>
      <c r="AK949" s="228"/>
      <c r="AL949" s="228"/>
      <c r="AM949" s="228"/>
    </row>
    <row r="950">
      <c r="A950" s="228"/>
      <c r="B950" s="228"/>
      <c r="C950" s="228"/>
      <c r="D950" s="228"/>
      <c r="E950" s="228"/>
      <c r="F950" s="228"/>
      <c r="G950" s="228"/>
      <c r="H950" s="241"/>
      <c r="I950" s="228"/>
      <c r="J950" s="228"/>
      <c r="K950" s="228"/>
      <c r="L950" s="228"/>
      <c r="M950" s="228"/>
      <c r="N950" s="228"/>
      <c r="O950" s="236"/>
      <c r="P950" s="228"/>
      <c r="Q950" s="228"/>
      <c r="R950" s="228"/>
      <c r="S950" s="228"/>
      <c r="T950" s="228"/>
      <c r="U950" s="228"/>
      <c r="V950" s="228"/>
      <c r="W950" s="228"/>
      <c r="X950" s="228"/>
      <c r="Y950" s="228"/>
      <c r="Z950" s="228"/>
      <c r="AA950" s="228"/>
      <c r="AB950" s="228"/>
      <c r="AC950" s="228"/>
      <c r="AD950" s="228"/>
      <c r="AE950" s="228"/>
      <c r="AF950" s="228"/>
      <c r="AG950" s="228"/>
      <c r="AH950" s="228"/>
      <c r="AI950" s="228"/>
      <c r="AJ950" s="228"/>
      <c r="AK950" s="228"/>
      <c r="AL950" s="228"/>
      <c r="AM950" s="228"/>
    </row>
    <row r="951">
      <c r="A951" s="228"/>
      <c r="B951" s="228"/>
      <c r="C951" s="228"/>
      <c r="D951" s="228"/>
      <c r="E951" s="228"/>
      <c r="F951" s="228"/>
      <c r="G951" s="228"/>
      <c r="H951" s="241"/>
      <c r="I951" s="228"/>
      <c r="J951" s="228"/>
      <c r="K951" s="228"/>
      <c r="L951" s="228"/>
      <c r="M951" s="228"/>
      <c r="N951" s="228"/>
      <c r="O951" s="236"/>
      <c r="P951" s="228"/>
      <c r="Q951" s="228"/>
      <c r="R951" s="228"/>
      <c r="S951" s="228"/>
      <c r="T951" s="228"/>
      <c r="U951" s="228"/>
      <c r="V951" s="228"/>
      <c r="W951" s="228"/>
      <c r="X951" s="228"/>
      <c r="Y951" s="228"/>
      <c r="Z951" s="228"/>
      <c r="AA951" s="228"/>
      <c r="AB951" s="228"/>
      <c r="AC951" s="228"/>
      <c r="AD951" s="228"/>
      <c r="AE951" s="228"/>
      <c r="AF951" s="228"/>
      <c r="AG951" s="228"/>
      <c r="AH951" s="228"/>
      <c r="AI951" s="228"/>
      <c r="AJ951" s="228"/>
      <c r="AK951" s="228"/>
      <c r="AL951" s="228"/>
      <c r="AM951" s="228"/>
    </row>
    <row r="952">
      <c r="A952" s="228"/>
      <c r="B952" s="228"/>
      <c r="C952" s="228"/>
      <c r="D952" s="228"/>
      <c r="E952" s="228"/>
      <c r="F952" s="228"/>
      <c r="G952" s="228"/>
      <c r="H952" s="241"/>
      <c r="I952" s="228"/>
      <c r="J952" s="228"/>
      <c r="K952" s="228"/>
      <c r="L952" s="228"/>
      <c r="M952" s="228"/>
      <c r="N952" s="228"/>
      <c r="O952" s="236"/>
      <c r="P952" s="228"/>
      <c r="Q952" s="228"/>
      <c r="R952" s="228"/>
      <c r="S952" s="228"/>
      <c r="T952" s="228"/>
      <c r="U952" s="228"/>
      <c r="V952" s="228"/>
      <c r="W952" s="228"/>
      <c r="X952" s="228"/>
      <c r="Y952" s="228"/>
      <c r="Z952" s="228"/>
      <c r="AA952" s="228"/>
      <c r="AB952" s="228"/>
      <c r="AC952" s="228"/>
      <c r="AD952" s="228"/>
      <c r="AE952" s="228"/>
      <c r="AF952" s="228"/>
      <c r="AG952" s="228"/>
      <c r="AH952" s="228"/>
      <c r="AI952" s="228"/>
      <c r="AJ952" s="228"/>
      <c r="AK952" s="228"/>
      <c r="AL952" s="228"/>
      <c r="AM952" s="228"/>
    </row>
    <row r="953">
      <c r="A953" s="228"/>
      <c r="B953" s="228"/>
      <c r="C953" s="228"/>
      <c r="D953" s="228"/>
      <c r="E953" s="228"/>
      <c r="F953" s="228"/>
      <c r="G953" s="228"/>
      <c r="H953" s="241"/>
      <c r="I953" s="228"/>
      <c r="J953" s="228"/>
      <c r="K953" s="228"/>
      <c r="L953" s="228"/>
      <c r="M953" s="228"/>
      <c r="N953" s="228"/>
      <c r="O953" s="236"/>
      <c r="P953" s="228"/>
      <c r="Q953" s="228"/>
      <c r="R953" s="228"/>
      <c r="S953" s="228"/>
      <c r="T953" s="228"/>
      <c r="U953" s="228"/>
      <c r="V953" s="228"/>
      <c r="W953" s="228"/>
      <c r="X953" s="228"/>
      <c r="Y953" s="228"/>
      <c r="Z953" s="228"/>
      <c r="AA953" s="228"/>
      <c r="AB953" s="228"/>
      <c r="AC953" s="228"/>
      <c r="AD953" s="228"/>
      <c r="AE953" s="228"/>
      <c r="AF953" s="228"/>
      <c r="AG953" s="228"/>
      <c r="AH953" s="228"/>
      <c r="AI953" s="228"/>
      <c r="AJ953" s="228"/>
      <c r="AK953" s="228"/>
      <c r="AL953" s="228"/>
      <c r="AM953" s="228"/>
    </row>
    <row r="954">
      <c r="A954" s="228"/>
      <c r="B954" s="228"/>
      <c r="C954" s="228"/>
      <c r="D954" s="228"/>
      <c r="E954" s="228"/>
      <c r="F954" s="228"/>
      <c r="G954" s="228"/>
      <c r="H954" s="241"/>
      <c r="I954" s="228"/>
      <c r="J954" s="228"/>
      <c r="K954" s="228"/>
      <c r="L954" s="228"/>
      <c r="M954" s="228"/>
      <c r="N954" s="228"/>
      <c r="O954" s="236"/>
      <c r="P954" s="228"/>
      <c r="Q954" s="228"/>
      <c r="R954" s="228"/>
      <c r="S954" s="228"/>
      <c r="T954" s="228"/>
      <c r="U954" s="228"/>
      <c r="V954" s="228"/>
      <c r="W954" s="228"/>
      <c r="X954" s="228"/>
      <c r="Y954" s="228"/>
      <c r="Z954" s="228"/>
      <c r="AA954" s="228"/>
      <c r="AB954" s="228"/>
      <c r="AC954" s="228"/>
      <c r="AD954" s="228"/>
      <c r="AE954" s="228"/>
      <c r="AF954" s="228"/>
      <c r="AG954" s="228"/>
      <c r="AH954" s="228"/>
      <c r="AI954" s="228"/>
      <c r="AJ954" s="228"/>
      <c r="AK954" s="228"/>
      <c r="AL954" s="228"/>
      <c r="AM954" s="228"/>
    </row>
    <row r="955">
      <c r="A955" s="228"/>
      <c r="B955" s="228"/>
      <c r="C955" s="228"/>
      <c r="D955" s="228"/>
      <c r="E955" s="228"/>
      <c r="F955" s="228"/>
      <c r="G955" s="228"/>
      <c r="H955" s="241"/>
      <c r="I955" s="228"/>
      <c r="J955" s="228"/>
      <c r="K955" s="228"/>
      <c r="L955" s="228"/>
      <c r="M955" s="228"/>
      <c r="N955" s="228"/>
      <c r="O955" s="236"/>
      <c r="P955" s="228"/>
      <c r="Q955" s="228"/>
      <c r="R955" s="228"/>
      <c r="S955" s="228"/>
      <c r="T955" s="228"/>
      <c r="U955" s="228"/>
      <c r="V955" s="228"/>
      <c r="W955" s="228"/>
      <c r="X955" s="228"/>
      <c r="Y955" s="228"/>
      <c r="Z955" s="228"/>
      <c r="AA955" s="228"/>
      <c r="AB955" s="228"/>
      <c r="AC955" s="228"/>
      <c r="AD955" s="228"/>
      <c r="AE955" s="228"/>
      <c r="AF955" s="228"/>
      <c r="AG955" s="228"/>
      <c r="AH955" s="228"/>
      <c r="AI955" s="228"/>
      <c r="AJ955" s="228"/>
      <c r="AK955" s="228"/>
      <c r="AL955" s="228"/>
      <c r="AM955" s="228"/>
    </row>
    <row r="956">
      <c r="A956" s="228"/>
      <c r="B956" s="228"/>
      <c r="C956" s="228"/>
      <c r="D956" s="228"/>
      <c r="E956" s="228"/>
      <c r="F956" s="228"/>
      <c r="G956" s="228"/>
      <c r="H956" s="241"/>
      <c r="I956" s="228"/>
      <c r="J956" s="228"/>
      <c r="K956" s="228"/>
      <c r="L956" s="228"/>
      <c r="M956" s="228"/>
      <c r="N956" s="228"/>
      <c r="O956" s="236"/>
      <c r="P956" s="228"/>
      <c r="Q956" s="228"/>
      <c r="R956" s="228"/>
      <c r="S956" s="228"/>
      <c r="T956" s="228"/>
      <c r="U956" s="228"/>
      <c r="V956" s="228"/>
      <c r="W956" s="228"/>
      <c r="X956" s="228"/>
      <c r="Y956" s="228"/>
      <c r="Z956" s="228"/>
      <c r="AA956" s="228"/>
      <c r="AB956" s="228"/>
      <c r="AC956" s="228"/>
      <c r="AD956" s="228"/>
      <c r="AE956" s="228"/>
      <c r="AF956" s="228"/>
      <c r="AG956" s="228"/>
      <c r="AH956" s="228"/>
      <c r="AI956" s="228"/>
      <c r="AJ956" s="228"/>
      <c r="AK956" s="228"/>
      <c r="AL956" s="228"/>
      <c r="AM956" s="228"/>
    </row>
    <row r="957">
      <c r="A957" s="228"/>
      <c r="B957" s="228"/>
      <c r="C957" s="228"/>
      <c r="D957" s="228"/>
      <c r="E957" s="228"/>
      <c r="F957" s="228"/>
      <c r="G957" s="228"/>
      <c r="H957" s="241"/>
      <c r="I957" s="228"/>
      <c r="J957" s="228"/>
      <c r="K957" s="228"/>
      <c r="L957" s="228"/>
      <c r="M957" s="228"/>
      <c r="N957" s="228"/>
      <c r="O957" s="236"/>
      <c r="P957" s="228"/>
      <c r="Q957" s="228"/>
      <c r="R957" s="228"/>
      <c r="S957" s="228"/>
      <c r="T957" s="228"/>
      <c r="U957" s="228"/>
      <c r="V957" s="228"/>
      <c r="W957" s="228"/>
      <c r="X957" s="228"/>
      <c r="Y957" s="228"/>
      <c r="Z957" s="228"/>
      <c r="AA957" s="228"/>
      <c r="AB957" s="228"/>
      <c r="AC957" s="228"/>
      <c r="AD957" s="228"/>
      <c r="AE957" s="228"/>
      <c r="AF957" s="228"/>
      <c r="AG957" s="228"/>
      <c r="AH957" s="228"/>
      <c r="AI957" s="228"/>
      <c r="AJ957" s="228"/>
      <c r="AK957" s="228"/>
      <c r="AL957" s="228"/>
      <c r="AM957" s="228"/>
    </row>
    <row r="958">
      <c r="A958" s="228"/>
      <c r="B958" s="228"/>
      <c r="C958" s="228"/>
      <c r="D958" s="228"/>
      <c r="E958" s="228"/>
      <c r="F958" s="228"/>
      <c r="G958" s="228"/>
      <c r="H958" s="241"/>
      <c r="I958" s="228"/>
      <c r="J958" s="228"/>
      <c r="K958" s="228"/>
      <c r="L958" s="228"/>
      <c r="M958" s="228"/>
      <c r="N958" s="228"/>
      <c r="O958" s="236"/>
      <c r="P958" s="228"/>
      <c r="Q958" s="228"/>
      <c r="R958" s="228"/>
      <c r="S958" s="228"/>
      <c r="T958" s="228"/>
      <c r="U958" s="228"/>
      <c r="V958" s="228"/>
      <c r="W958" s="228"/>
      <c r="X958" s="228"/>
      <c r="Y958" s="228"/>
      <c r="Z958" s="228"/>
      <c r="AA958" s="228"/>
      <c r="AB958" s="228"/>
      <c r="AC958" s="228"/>
      <c r="AD958" s="228"/>
      <c r="AE958" s="228"/>
      <c r="AF958" s="228"/>
      <c r="AG958" s="228"/>
      <c r="AH958" s="228"/>
      <c r="AI958" s="228"/>
      <c r="AJ958" s="228"/>
      <c r="AK958" s="228"/>
      <c r="AL958" s="228"/>
      <c r="AM958" s="228"/>
    </row>
    <row r="959">
      <c r="A959" s="228"/>
      <c r="B959" s="228"/>
      <c r="C959" s="228"/>
      <c r="D959" s="228"/>
      <c r="E959" s="228"/>
      <c r="F959" s="228"/>
      <c r="G959" s="228"/>
      <c r="H959" s="241"/>
      <c r="I959" s="228"/>
      <c r="J959" s="228"/>
      <c r="K959" s="228"/>
      <c r="L959" s="228"/>
      <c r="M959" s="228"/>
      <c r="N959" s="228"/>
      <c r="O959" s="236"/>
      <c r="P959" s="228"/>
      <c r="Q959" s="228"/>
      <c r="R959" s="228"/>
      <c r="S959" s="228"/>
      <c r="T959" s="228"/>
      <c r="U959" s="228"/>
      <c r="V959" s="228"/>
      <c r="W959" s="228"/>
      <c r="X959" s="228"/>
      <c r="Y959" s="228"/>
      <c r="Z959" s="228"/>
      <c r="AA959" s="228"/>
      <c r="AB959" s="228"/>
      <c r="AC959" s="228"/>
      <c r="AD959" s="228"/>
      <c r="AE959" s="228"/>
      <c r="AF959" s="228"/>
      <c r="AG959" s="228"/>
      <c r="AH959" s="228"/>
      <c r="AI959" s="228"/>
      <c r="AJ959" s="228"/>
      <c r="AK959" s="228"/>
      <c r="AL959" s="228"/>
      <c r="AM959" s="228"/>
    </row>
    <row r="960">
      <c r="A960" s="228"/>
      <c r="B960" s="228"/>
      <c r="C960" s="228"/>
      <c r="D960" s="228"/>
      <c r="E960" s="228"/>
      <c r="F960" s="228"/>
      <c r="G960" s="228"/>
      <c r="H960" s="241"/>
      <c r="I960" s="228"/>
      <c r="J960" s="228"/>
      <c r="K960" s="228"/>
      <c r="L960" s="228"/>
      <c r="M960" s="228"/>
      <c r="N960" s="228"/>
      <c r="O960" s="236"/>
      <c r="P960" s="228"/>
      <c r="Q960" s="228"/>
      <c r="R960" s="228"/>
      <c r="S960" s="228"/>
      <c r="T960" s="228"/>
      <c r="U960" s="228"/>
      <c r="V960" s="228"/>
      <c r="W960" s="228"/>
      <c r="X960" s="228"/>
      <c r="Y960" s="228"/>
      <c r="Z960" s="228"/>
      <c r="AA960" s="228"/>
      <c r="AB960" s="228"/>
      <c r="AC960" s="228"/>
      <c r="AD960" s="228"/>
      <c r="AE960" s="228"/>
      <c r="AF960" s="228"/>
      <c r="AG960" s="228"/>
      <c r="AH960" s="228"/>
      <c r="AI960" s="228"/>
      <c r="AJ960" s="228"/>
      <c r="AK960" s="228"/>
      <c r="AL960" s="228"/>
      <c r="AM960" s="228"/>
    </row>
    <row r="961">
      <c r="A961" s="228"/>
      <c r="B961" s="228"/>
      <c r="C961" s="228"/>
      <c r="D961" s="228"/>
      <c r="E961" s="228"/>
      <c r="F961" s="228"/>
      <c r="G961" s="228"/>
      <c r="H961" s="241"/>
      <c r="I961" s="228"/>
      <c r="J961" s="228"/>
      <c r="K961" s="228"/>
      <c r="L961" s="228"/>
      <c r="M961" s="228"/>
      <c r="N961" s="228"/>
      <c r="O961" s="236"/>
      <c r="P961" s="228"/>
      <c r="Q961" s="228"/>
      <c r="R961" s="228"/>
      <c r="S961" s="228"/>
      <c r="T961" s="228"/>
      <c r="U961" s="228"/>
      <c r="V961" s="228"/>
      <c r="W961" s="228"/>
      <c r="X961" s="228"/>
      <c r="Y961" s="228"/>
      <c r="Z961" s="228"/>
      <c r="AA961" s="228"/>
      <c r="AB961" s="228"/>
      <c r="AC961" s="228"/>
      <c r="AD961" s="228"/>
      <c r="AE961" s="228"/>
      <c r="AF961" s="228"/>
      <c r="AG961" s="228"/>
      <c r="AH961" s="228"/>
      <c r="AI961" s="228"/>
      <c r="AJ961" s="228"/>
      <c r="AK961" s="228"/>
      <c r="AL961" s="228"/>
      <c r="AM961" s="228"/>
    </row>
    <row r="962">
      <c r="A962" s="228"/>
      <c r="B962" s="228"/>
      <c r="C962" s="228"/>
      <c r="D962" s="228"/>
      <c r="E962" s="228"/>
      <c r="F962" s="228"/>
      <c r="G962" s="228"/>
      <c r="H962" s="241"/>
      <c r="I962" s="228"/>
      <c r="J962" s="228"/>
      <c r="K962" s="228"/>
      <c r="L962" s="228"/>
      <c r="M962" s="228"/>
      <c r="N962" s="228"/>
      <c r="O962" s="236"/>
      <c r="P962" s="228"/>
      <c r="Q962" s="228"/>
      <c r="R962" s="228"/>
      <c r="S962" s="228"/>
      <c r="T962" s="228"/>
      <c r="U962" s="228"/>
      <c r="V962" s="228"/>
      <c r="W962" s="228"/>
      <c r="X962" s="228"/>
      <c r="Y962" s="228"/>
      <c r="Z962" s="228"/>
      <c r="AA962" s="228"/>
      <c r="AB962" s="228"/>
      <c r="AC962" s="228"/>
      <c r="AD962" s="228"/>
      <c r="AE962" s="228"/>
      <c r="AF962" s="228"/>
      <c r="AG962" s="228"/>
      <c r="AH962" s="228"/>
      <c r="AI962" s="228"/>
      <c r="AJ962" s="228"/>
      <c r="AK962" s="228"/>
      <c r="AL962" s="228"/>
      <c r="AM962" s="228"/>
    </row>
    <row r="963">
      <c r="A963" s="228"/>
      <c r="B963" s="228"/>
      <c r="C963" s="228"/>
      <c r="D963" s="228"/>
      <c r="E963" s="228"/>
      <c r="F963" s="228"/>
      <c r="G963" s="228"/>
      <c r="H963" s="241"/>
      <c r="I963" s="228"/>
      <c r="J963" s="228"/>
      <c r="K963" s="228"/>
      <c r="L963" s="228"/>
      <c r="M963" s="228"/>
      <c r="N963" s="228"/>
      <c r="O963" s="236"/>
      <c r="P963" s="228"/>
      <c r="Q963" s="228"/>
      <c r="R963" s="228"/>
      <c r="S963" s="228"/>
      <c r="T963" s="228"/>
      <c r="U963" s="228"/>
      <c r="V963" s="228"/>
      <c r="W963" s="228"/>
      <c r="X963" s="228"/>
      <c r="Y963" s="228"/>
      <c r="Z963" s="228"/>
      <c r="AA963" s="228"/>
      <c r="AB963" s="228"/>
      <c r="AC963" s="228"/>
      <c r="AD963" s="228"/>
      <c r="AE963" s="228"/>
      <c r="AF963" s="228"/>
      <c r="AG963" s="228"/>
      <c r="AH963" s="228"/>
      <c r="AI963" s="228"/>
      <c r="AJ963" s="228"/>
      <c r="AK963" s="228"/>
      <c r="AL963" s="228"/>
      <c r="AM963" s="228"/>
    </row>
    <row r="964">
      <c r="A964" s="228"/>
      <c r="B964" s="228"/>
      <c r="C964" s="228"/>
      <c r="D964" s="228"/>
      <c r="E964" s="228"/>
      <c r="F964" s="228"/>
      <c r="G964" s="228"/>
      <c r="H964" s="241"/>
      <c r="I964" s="228"/>
      <c r="J964" s="228"/>
      <c r="K964" s="228"/>
      <c r="L964" s="228"/>
      <c r="M964" s="228"/>
      <c r="N964" s="228"/>
      <c r="O964" s="236"/>
      <c r="P964" s="228"/>
      <c r="Q964" s="228"/>
      <c r="R964" s="228"/>
      <c r="S964" s="228"/>
      <c r="T964" s="228"/>
      <c r="U964" s="228"/>
      <c r="V964" s="228"/>
      <c r="W964" s="228"/>
      <c r="X964" s="228"/>
      <c r="Y964" s="228"/>
      <c r="Z964" s="228"/>
      <c r="AA964" s="228"/>
      <c r="AB964" s="228"/>
      <c r="AC964" s="228"/>
      <c r="AD964" s="228"/>
      <c r="AE964" s="228"/>
      <c r="AF964" s="228"/>
      <c r="AG964" s="228"/>
      <c r="AH964" s="228"/>
      <c r="AI964" s="228"/>
      <c r="AJ964" s="228"/>
      <c r="AK964" s="228"/>
      <c r="AL964" s="228"/>
      <c r="AM964" s="228"/>
    </row>
    <row r="965">
      <c r="A965" s="228"/>
      <c r="B965" s="228"/>
      <c r="C965" s="228"/>
      <c r="D965" s="228"/>
      <c r="E965" s="228"/>
      <c r="F965" s="228"/>
      <c r="G965" s="228"/>
      <c r="H965" s="241"/>
      <c r="I965" s="228"/>
      <c r="J965" s="228"/>
      <c r="K965" s="228"/>
      <c r="L965" s="228"/>
      <c r="M965" s="228"/>
      <c r="N965" s="228"/>
      <c r="O965" s="236"/>
      <c r="P965" s="228"/>
      <c r="Q965" s="228"/>
      <c r="R965" s="228"/>
      <c r="S965" s="228"/>
      <c r="T965" s="228"/>
      <c r="U965" s="228"/>
      <c r="V965" s="228"/>
      <c r="W965" s="228"/>
      <c r="X965" s="228"/>
      <c r="Y965" s="228"/>
      <c r="Z965" s="228"/>
      <c r="AA965" s="228"/>
      <c r="AB965" s="228"/>
      <c r="AC965" s="228"/>
      <c r="AD965" s="228"/>
      <c r="AE965" s="228"/>
      <c r="AF965" s="228"/>
      <c r="AG965" s="228"/>
      <c r="AH965" s="228"/>
      <c r="AI965" s="228"/>
      <c r="AJ965" s="228"/>
      <c r="AK965" s="228"/>
      <c r="AL965" s="228"/>
      <c r="AM965" s="228"/>
    </row>
    <row r="966">
      <c r="A966" s="228"/>
      <c r="B966" s="228"/>
      <c r="C966" s="228"/>
      <c r="D966" s="228"/>
      <c r="E966" s="228"/>
      <c r="F966" s="228"/>
      <c r="G966" s="228"/>
      <c r="H966" s="241"/>
      <c r="I966" s="228"/>
      <c r="J966" s="228"/>
      <c r="K966" s="228"/>
      <c r="L966" s="228"/>
      <c r="M966" s="228"/>
      <c r="N966" s="228"/>
      <c r="O966" s="236"/>
      <c r="P966" s="228"/>
      <c r="Q966" s="228"/>
      <c r="R966" s="228"/>
      <c r="S966" s="228"/>
      <c r="T966" s="228"/>
      <c r="U966" s="228"/>
      <c r="V966" s="228"/>
      <c r="W966" s="228"/>
      <c r="X966" s="228"/>
      <c r="Y966" s="228"/>
      <c r="Z966" s="228"/>
      <c r="AA966" s="228"/>
      <c r="AB966" s="228"/>
      <c r="AC966" s="228"/>
      <c r="AD966" s="228"/>
      <c r="AE966" s="228"/>
      <c r="AF966" s="228"/>
      <c r="AG966" s="228"/>
      <c r="AH966" s="228"/>
      <c r="AI966" s="228"/>
      <c r="AJ966" s="228"/>
      <c r="AK966" s="228"/>
      <c r="AL966" s="228"/>
      <c r="AM966" s="228"/>
    </row>
    <row r="967">
      <c r="A967" s="228"/>
      <c r="B967" s="228"/>
      <c r="C967" s="228"/>
      <c r="D967" s="228"/>
      <c r="E967" s="228"/>
      <c r="F967" s="228"/>
      <c r="G967" s="228"/>
      <c r="H967" s="241"/>
      <c r="I967" s="228"/>
      <c r="J967" s="228"/>
      <c r="K967" s="228"/>
      <c r="L967" s="228"/>
      <c r="M967" s="228"/>
      <c r="N967" s="228"/>
      <c r="O967" s="236"/>
      <c r="P967" s="228"/>
      <c r="Q967" s="228"/>
      <c r="R967" s="228"/>
      <c r="S967" s="228"/>
      <c r="T967" s="228"/>
      <c r="U967" s="228"/>
      <c r="V967" s="228"/>
      <c r="W967" s="228"/>
      <c r="X967" s="228"/>
      <c r="Y967" s="228"/>
      <c r="Z967" s="228"/>
      <c r="AA967" s="228"/>
      <c r="AB967" s="228"/>
      <c r="AC967" s="228"/>
      <c r="AD967" s="228"/>
      <c r="AE967" s="228"/>
      <c r="AF967" s="228"/>
      <c r="AG967" s="228"/>
      <c r="AH967" s="228"/>
      <c r="AI967" s="228"/>
      <c r="AJ967" s="228"/>
      <c r="AK967" s="228"/>
      <c r="AL967" s="228"/>
      <c r="AM967" s="228"/>
    </row>
    <row r="968">
      <c r="A968" s="228"/>
      <c r="B968" s="228"/>
      <c r="C968" s="228"/>
      <c r="D968" s="228"/>
      <c r="E968" s="228"/>
      <c r="F968" s="228"/>
      <c r="G968" s="228"/>
      <c r="H968" s="241"/>
      <c r="I968" s="228"/>
      <c r="J968" s="228"/>
      <c r="K968" s="228"/>
      <c r="L968" s="228"/>
      <c r="M968" s="228"/>
      <c r="N968" s="228"/>
      <c r="O968" s="236"/>
      <c r="P968" s="228"/>
      <c r="Q968" s="228"/>
      <c r="R968" s="228"/>
      <c r="S968" s="228"/>
      <c r="T968" s="228"/>
      <c r="U968" s="228"/>
      <c r="V968" s="228"/>
      <c r="W968" s="228"/>
      <c r="X968" s="228"/>
      <c r="Y968" s="228"/>
      <c r="Z968" s="228"/>
      <c r="AA968" s="228"/>
      <c r="AB968" s="228"/>
      <c r="AC968" s="228"/>
      <c r="AD968" s="228"/>
      <c r="AE968" s="228"/>
      <c r="AF968" s="228"/>
      <c r="AG968" s="228"/>
      <c r="AH968" s="228"/>
      <c r="AI968" s="228"/>
      <c r="AJ968" s="228"/>
      <c r="AK968" s="228"/>
      <c r="AL968" s="228"/>
      <c r="AM968" s="228"/>
    </row>
    <row r="969">
      <c r="A969" s="228"/>
      <c r="B969" s="228"/>
      <c r="C969" s="228"/>
      <c r="D969" s="228"/>
      <c r="E969" s="228"/>
      <c r="F969" s="228"/>
      <c r="G969" s="228"/>
      <c r="H969" s="241"/>
      <c r="I969" s="228"/>
      <c r="J969" s="228"/>
      <c r="K969" s="228"/>
      <c r="L969" s="228"/>
      <c r="M969" s="228"/>
      <c r="N969" s="228"/>
      <c r="O969" s="236"/>
      <c r="P969" s="228"/>
      <c r="Q969" s="228"/>
      <c r="R969" s="228"/>
      <c r="S969" s="228"/>
      <c r="T969" s="228"/>
      <c r="U969" s="228"/>
      <c r="V969" s="228"/>
      <c r="W969" s="228"/>
      <c r="X969" s="228"/>
      <c r="Y969" s="228"/>
      <c r="Z969" s="228"/>
      <c r="AA969" s="228"/>
      <c r="AB969" s="228"/>
      <c r="AC969" s="228"/>
      <c r="AD969" s="228"/>
      <c r="AE969" s="228"/>
      <c r="AF969" s="228"/>
      <c r="AG969" s="228"/>
      <c r="AH969" s="228"/>
      <c r="AI969" s="228"/>
      <c r="AJ969" s="228"/>
      <c r="AK969" s="228"/>
      <c r="AL969" s="228"/>
      <c r="AM969" s="228"/>
    </row>
    <row r="970">
      <c r="A970" s="228"/>
      <c r="B970" s="228"/>
      <c r="C970" s="228"/>
      <c r="D970" s="228"/>
      <c r="E970" s="228"/>
      <c r="F970" s="228"/>
      <c r="G970" s="228"/>
      <c r="H970" s="241"/>
      <c r="I970" s="228"/>
      <c r="J970" s="228"/>
      <c r="K970" s="228"/>
      <c r="L970" s="228"/>
      <c r="M970" s="228"/>
      <c r="N970" s="228"/>
      <c r="O970" s="236"/>
      <c r="P970" s="228"/>
      <c r="Q970" s="228"/>
      <c r="R970" s="228"/>
      <c r="S970" s="228"/>
      <c r="T970" s="228"/>
      <c r="U970" s="228"/>
      <c r="V970" s="228"/>
      <c r="W970" s="228"/>
      <c r="X970" s="228"/>
      <c r="Y970" s="228"/>
      <c r="Z970" s="228"/>
      <c r="AA970" s="228"/>
      <c r="AB970" s="228"/>
      <c r="AC970" s="228"/>
      <c r="AD970" s="228"/>
      <c r="AE970" s="228"/>
      <c r="AF970" s="228"/>
      <c r="AG970" s="228"/>
      <c r="AH970" s="228"/>
      <c r="AI970" s="228"/>
      <c r="AJ970" s="228"/>
      <c r="AK970" s="228"/>
      <c r="AL970" s="228"/>
      <c r="AM970" s="228"/>
    </row>
  </sheetData>
  <mergeCells count="1">
    <mergeCell ref="C49:H49"/>
  </mergeCells>
  <conditionalFormatting sqref="D6:D11 D18:D23 D25:D29 D31:D34 D36 D38 D40:D43">
    <cfRule type="expression" dxfId="0" priority="1">
      <formula>#REF!=TRUE</formula>
    </cfRule>
  </conditionalFormatting>
  <conditionalFormatting sqref="D6:D11 D18:D23 D25:D29 D31:D34 D36 D38 D40:D43">
    <cfRule type="expression" dxfId="1" priority="2">
      <formula>#REF!=TRUE</formula>
    </cfRule>
  </conditionalFormatting>
  <conditionalFormatting sqref="D22:D23 D28:D29 D32:D36 D41:D42 D46:D47">
    <cfRule type="expression" dxfId="0" priority="3">
      <formula>#REF!=TRUE</formula>
    </cfRule>
  </conditionalFormatting>
  <conditionalFormatting sqref="D22:D23 D28:D29 D32:D36 D41:D42 D46:D47">
    <cfRule type="expression" dxfId="1" priority="4">
      <formula>#REF!=TRUE</formula>
    </cfRule>
  </conditionalFormatting>
  <dataValidations>
    <dataValidation type="list" allowBlank="1" showErrorMessage="1" sqref="G5:G13 G15:G23 G25:G29 G31:G36 G38:G47">
      <formula1>"Hồ Chí Minh,Đồng Nai,Bình Dương,Hải Dương,Hà Nội ,Hải Phòng,Sóc Trăng,Cần Thơ,Mass,Đồng Tháp"</formula1>
    </dataValidation>
    <dataValidation type="list" allowBlank="1" showErrorMessage="1" sqref="E5:E13 E15:E23 E25:E29 E31:E36 E38:E47">
      <formula1>"Nano,Macro,Micro"</formula1>
    </dataValidation>
    <dataValidation type="list" allowBlank="1" showErrorMessage="1" sqref="C5:C13 C15:C23 C25:C29 C31:C36 C38:C47">
      <formula1>"Tiktok,Facebook,Instagram,TikTok &amp; Facebook"</formula1>
    </dataValidation>
  </dataValidations>
  <hyperlinks>
    <hyperlink r:id="rId1" ref="F5"/>
    <hyperlink r:id="rId2" ref="H5"/>
    <hyperlink r:id="rId3" location="gid=1935125103" ref="M5"/>
    <hyperlink r:id="rId4" ref="F6"/>
    <hyperlink r:id="rId5" ref="H6"/>
    <hyperlink r:id="rId6" location="gid=0" ref="M6"/>
    <hyperlink r:id="rId7" location="gid=1396100120" ref="P6"/>
    <hyperlink r:id="rId8" ref="F7"/>
    <hyperlink r:id="rId9" ref="H7"/>
    <hyperlink r:id="rId10" location="gid=0" ref="M7"/>
    <hyperlink r:id="rId11" location="gid=972901149" ref="P7"/>
    <hyperlink r:id="rId12" ref="F8"/>
    <hyperlink r:id="rId13" ref="H8"/>
    <hyperlink r:id="rId14" location="gid=2103508750" ref="M8"/>
    <hyperlink r:id="rId15" ref="F9"/>
    <hyperlink r:id="rId16" ref="H9"/>
    <hyperlink r:id="rId17" location="gid=0" ref="M9"/>
    <hyperlink r:id="rId18" location="gid=1343518029" ref="P9"/>
    <hyperlink r:id="rId19" ref="F10"/>
    <hyperlink r:id="rId20" ref="H10"/>
    <hyperlink r:id="rId21" location="gid=0" ref="M10"/>
    <hyperlink r:id="rId22" location="gid=1256513125" ref="P10"/>
    <hyperlink r:id="rId23" ref="F11"/>
    <hyperlink r:id="rId24" ref="H11"/>
    <hyperlink r:id="rId25" location="gid=0" ref="M11"/>
    <hyperlink r:id="rId26" ref="F12"/>
    <hyperlink r:id="rId27" ref="H12"/>
    <hyperlink r:id="rId28" ref="F13"/>
    <hyperlink r:id="rId29" ref="H13"/>
    <hyperlink r:id="rId30" location="gid=0" ref="M13"/>
    <hyperlink r:id="rId31" ref="F16"/>
    <hyperlink r:id="rId32" ref="H16"/>
    <hyperlink r:id="rId33" location="gid=0" ref="M16"/>
    <hyperlink r:id="rId34" ref="F17"/>
    <hyperlink r:id="rId35" ref="H17"/>
    <hyperlink r:id="rId36" location="gid=0" ref="M17"/>
    <hyperlink r:id="rId37" ref="F18"/>
    <hyperlink r:id="rId38" ref="H18"/>
    <hyperlink r:id="rId39" location="gid=0" ref="M18"/>
    <hyperlink r:id="rId40" ref="F19"/>
    <hyperlink r:id="rId41" ref="H19"/>
    <hyperlink r:id="rId42" location="gid=0" ref="M19"/>
    <hyperlink r:id="rId43" ref="F20"/>
    <hyperlink r:id="rId44" ref="H20"/>
    <hyperlink r:id="rId45" location="gid=0" ref="M20"/>
    <hyperlink r:id="rId46" ref="F21"/>
    <hyperlink r:id="rId47" ref="H21"/>
    <hyperlink r:id="rId48" location="gid=0" ref="M21"/>
    <hyperlink r:id="rId49" ref="F22"/>
    <hyperlink r:id="rId50" ref="H22"/>
    <hyperlink r:id="rId51" ref="J22"/>
    <hyperlink r:id="rId52" location="gid=0" ref="M22"/>
    <hyperlink r:id="rId53" ref="F23"/>
    <hyperlink r:id="rId54" ref="H23"/>
    <hyperlink r:id="rId55" location="gid=1051730808" ref="M23"/>
    <hyperlink r:id="rId56" ref="F25"/>
    <hyperlink r:id="rId57" ref="H25"/>
    <hyperlink r:id="rId58" location="gid=0" ref="M25"/>
    <hyperlink r:id="rId59" ref="F26"/>
    <hyperlink r:id="rId60" ref="H26"/>
    <hyperlink r:id="rId61" location="gid=0" ref="M26"/>
    <hyperlink r:id="rId62" ref="F27"/>
    <hyperlink r:id="rId63" ref="H27"/>
    <hyperlink r:id="rId64" location="gid=0" ref="M27"/>
    <hyperlink r:id="rId65" ref="F28"/>
    <hyperlink r:id="rId66" ref="H28"/>
    <hyperlink r:id="rId67" ref="J28"/>
    <hyperlink r:id="rId68" ref="M28"/>
    <hyperlink r:id="rId69" ref="F29"/>
    <hyperlink r:id="rId70" ref="H29"/>
    <hyperlink r:id="rId71" location="gid=0" ref="M29"/>
    <hyperlink r:id="rId72" ref="F31"/>
    <hyperlink r:id="rId73" ref="H31"/>
    <hyperlink r:id="rId74" location="gid=0" ref="M31"/>
    <hyperlink r:id="rId75" ref="F32"/>
    <hyperlink r:id="rId76" ref="H32"/>
    <hyperlink r:id="rId77" location="gid=0" ref="M32"/>
    <hyperlink r:id="rId78" ref="F33"/>
    <hyperlink r:id="rId79" ref="H33"/>
    <hyperlink r:id="rId80" location="gid=0" ref="M33"/>
    <hyperlink r:id="rId81" ref="F34"/>
    <hyperlink r:id="rId82" ref="H34"/>
    <hyperlink r:id="rId83" location="gid=0" ref="M34"/>
    <hyperlink r:id="rId84" ref="F36"/>
    <hyperlink r:id="rId85" ref="H36"/>
    <hyperlink r:id="rId86" ref="F38"/>
    <hyperlink r:id="rId87" ref="F39"/>
    <hyperlink r:id="rId88" ref="F40"/>
    <hyperlink r:id="rId89" ref="F41"/>
    <hyperlink r:id="rId90" ref="F42"/>
    <hyperlink r:id="rId91" ref="F43"/>
    <hyperlink r:id="rId92" location="gid=719708239" ref="M43"/>
    <hyperlink r:id="rId93" ref="F44"/>
    <hyperlink r:id="rId94" location="gid=0" ref="M44"/>
    <hyperlink r:id="rId95" location="gid=1350617545" ref="P44"/>
    <hyperlink r:id="rId96" ref="F45"/>
    <hyperlink r:id="rId97" location="gid=1454906472" ref="M45"/>
    <hyperlink r:id="rId98" ref="F46"/>
    <hyperlink r:id="rId99" location="gid=0" ref="M46"/>
    <hyperlink r:id="rId100" location="gid=369007203" ref="P46"/>
    <hyperlink r:id="rId101" ref="F47"/>
    <hyperlink r:id="rId102" ref="M47"/>
  </hyperlinks>
  <drawing r:id="rId10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4281D"/>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3" width="13.25"/>
    <col customWidth="1" min="24" max="24" width="15.38"/>
    <col customWidth="1" min="25" max="25" width="14.88"/>
    <col customWidth="1" min="26" max="26" width="52.63"/>
    <col customWidth="1" min="27" max="27" width="18.75"/>
    <col customWidth="1" min="29" max="29" width="15.75"/>
    <col customWidth="1" min="30" max="36" width="11.0"/>
    <col customWidth="1" min="37" max="37" width="28.63"/>
    <col customWidth="1" min="38" max="38" width="22.13"/>
    <col customWidth="1" min="41" max="41" width="35.38"/>
    <col customWidth="1" min="42" max="44" width="7.25"/>
  </cols>
  <sheetData>
    <row r="1" outlineLevel="1">
      <c r="A1" s="1" t="s">
        <v>889</v>
      </c>
      <c r="B1" s="2"/>
      <c r="C1" s="2"/>
      <c r="D1" s="3"/>
      <c r="E1" s="2"/>
      <c r="F1" s="4"/>
      <c r="G1" s="2"/>
      <c r="H1" s="2"/>
      <c r="I1" s="2"/>
      <c r="J1" s="2"/>
      <c r="K1" s="5"/>
      <c r="L1" s="6"/>
      <c r="M1" s="6"/>
      <c r="N1" s="6"/>
      <c r="O1" s="6"/>
      <c r="P1" s="6"/>
      <c r="Q1" s="6"/>
      <c r="R1" s="7"/>
      <c r="S1" s="8"/>
      <c r="T1" s="8"/>
      <c r="U1" s="8"/>
      <c r="V1" s="8"/>
      <c r="W1" s="8"/>
      <c r="X1" s="8"/>
      <c r="Y1" s="8"/>
      <c r="Z1" s="580"/>
      <c r="AA1" s="581"/>
      <c r="AB1" s="3"/>
      <c r="AC1" s="3"/>
      <c r="AD1" s="3"/>
      <c r="AE1" s="3"/>
      <c r="AF1" s="3"/>
      <c r="AG1" s="3"/>
      <c r="AH1" s="3"/>
      <c r="AI1" s="3"/>
      <c r="AJ1" s="3"/>
      <c r="AK1" s="3"/>
      <c r="AL1" s="3"/>
      <c r="AM1" s="3"/>
      <c r="AN1" s="3"/>
      <c r="AO1" s="9"/>
      <c r="AP1" s="9"/>
      <c r="AQ1" s="9"/>
      <c r="AR1" s="9"/>
    </row>
    <row r="2" outlineLevel="1">
      <c r="A2" s="10"/>
      <c r="B2" s="11"/>
      <c r="C2" s="11"/>
      <c r="D2" s="11"/>
      <c r="E2" s="2"/>
      <c r="F2" s="4"/>
      <c r="G2" s="2"/>
      <c r="H2" s="2"/>
      <c r="I2" s="2"/>
      <c r="J2" s="2"/>
      <c r="K2" s="5"/>
      <c r="L2" s="6"/>
      <c r="M2" s="6"/>
      <c r="N2" s="6"/>
      <c r="O2" s="6"/>
      <c r="P2" s="6"/>
      <c r="Q2" s="6"/>
      <c r="R2" s="7"/>
      <c r="S2" s="8"/>
      <c r="T2" s="8"/>
      <c r="U2" s="8"/>
      <c r="V2" s="8"/>
      <c r="W2" s="8"/>
      <c r="X2" s="8"/>
      <c r="Y2" s="8"/>
      <c r="Z2" s="580"/>
      <c r="AA2" s="581"/>
      <c r="AB2" s="3"/>
      <c r="AC2" s="3"/>
      <c r="AD2" s="3"/>
      <c r="AE2" s="3"/>
      <c r="AF2" s="3"/>
      <c r="AG2" s="3"/>
      <c r="AH2" s="3"/>
      <c r="AI2" s="3"/>
      <c r="AJ2" s="3"/>
      <c r="AK2" s="3"/>
      <c r="AL2" s="3"/>
      <c r="AM2" s="3"/>
      <c r="AN2" s="3"/>
      <c r="AO2" s="9"/>
      <c r="AP2" s="9"/>
      <c r="AQ2" s="9"/>
      <c r="AR2" s="9"/>
    </row>
    <row r="3" ht="27.0" customHeight="1" outlineLevel="1">
      <c r="A3" s="12" t="s">
        <v>1</v>
      </c>
      <c r="B3" s="13" t="s">
        <v>2</v>
      </c>
      <c r="C3" s="14" t="s">
        <v>3</v>
      </c>
      <c r="D3" s="14" t="s">
        <v>4</v>
      </c>
      <c r="E3" s="15" t="s">
        <v>5</v>
      </c>
      <c r="F3" s="671"/>
      <c r="G3" s="671"/>
      <c r="H3" s="671"/>
      <c r="I3" s="671"/>
      <c r="J3" s="6"/>
      <c r="K3" s="2"/>
      <c r="L3" s="5"/>
      <c r="M3" s="6"/>
      <c r="N3" s="6"/>
      <c r="O3" s="6"/>
      <c r="P3" s="6"/>
      <c r="Q3" s="6"/>
      <c r="R3" s="6"/>
      <c r="S3" s="7"/>
      <c r="T3" s="7"/>
      <c r="U3" s="7"/>
      <c r="V3" s="7"/>
      <c r="W3" s="7"/>
      <c r="X3" s="8"/>
      <c r="Y3" s="8"/>
      <c r="Z3" s="580"/>
      <c r="AA3" s="8"/>
      <c r="AB3" s="581"/>
      <c r="AC3" s="3"/>
      <c r="AD3" s="3"/>
      <c r="AE3" s="3"/>
      <c r="AF3" s="3"/>
      <c r="AG3" s="3"/>
      <c r="AH3" s="3"/>
      <c r="AI3" s="3"/>
      <c r="AJ3" s="3"/>
      <c r="AK3" s="3"/>
      <c r="AL3" s="3"/>
      <c r="AM3" s="3"/>
      <c r="AN3" s="3"/>
      <c r="AO3" s="9"/>
      <c r="AP3" s="9"/>
      <c r="AQ3" s="9"/>
      <c r="AR3" s="9"/>
    </row>
    <row r="4" ht="27.0" customHeight="1" outlineLevel="1">
      <c r="A4" s="17"/>
      <c r="B4" s="18"/>
      <c r="C4" s="19" t="s">
        <v>6</v>
      </c>
      <c r="D4" s="20">
        <f>sum(D5,D7,D9:D10)</f>
        <v>37</v>
      </c>
      <c r="E4" s="20">
        <f>Sum(E5:E12)</f>
        <v>625000000</v>
      </c>
      <c r="F4" s="671"/>
      <c r="G4" s="671"/>
      <c r="H4" s="671"/>
      <c r="I4" s="671"/>
      <c r="J4" s="2"/>
      <c r="K4" s="2"/>
      <c r="L4" s="5"/>
      <c r="M4" s="6"/>
      <c r="N4" s="6"/>
      <c r="O4" s="6"/>
      <c r="P4" s="6"/>
      <c r="Q4" s="6"/>
      <c r="R4" s="6"/>
      <c r="S4" s="7"/>
      <c r="T4" s="7"/>
      <c r="U4" s="7"/>
      <c r="V4" s="7"/>
      <c r="W4" s="7"/>
      <c r="X4" s="672"/>
      <c r="Y4" s="672"/>
      <c r="Z4" s="673"/>
      <c r="AA4" s="672"/>
      <c r="AB4" s="674"/>
      <c r="AC4" s="219"/>
      <c r="AD4" s="3"/>
      <c r="AE4" s="3"/>
      <c r="AF4" s="3"/>
      <c r="AG4" s="3"/>
      <c r="AH4" s="3"/>
      <c r="AI4" s="3"/>
      <c r="AJ4" s="3"/>
      <c r="AK4" s="3"/>
      <c r="AL4" s="3"/>
      <c r="AM4" s="3"/>
      <c r="AN4" s="3"/>
      <c r="AO4" s="9"/>
      <c r="AP4" s="9"/>
      <c r="AQ4" s="9"/>
      <c r="AR4" s="9"/>
    </row>
    <row r="5" ht="27.0" customHeight="1" outlineLevel="1">
      <c r="A5" s="675">
        <v>1.0</v>
      </c>
      <c r="B5" s="22" t="str">
        <f>A21</f>
        <v>FOODY REVIEWER</v>
      </c>
      <c r="C5" s="23" t="s">
        <v>7</v>
      </c>
      <c r="D5" s="24">
        <f t="shared" ref="D5:D6" si="1">K21</f>
        <v>9</v>
      </c>
      <c r="E5" s="25">
        <f>Q21</f>
        <v>217000000</v>
      </c>
      <c r="F5" s="671"/>
      <c r="G5" s="671"/>
      <c r="H5" s="671"/>
      <c r="I5" s="671"/>
      <c r="J5" s="2"/>
      <c r="K5" s="2"/>
      <c r="L5" s="5"/>
      <c r="M5" s="6"/>
      <c r="N5" s="6"/>
      <c r="O5" s="6"/>
      <c r="P5" s="6"/>
      <c r="Q5" s="6"/>
      <c r="R5" s="6"/>
      <c r="S5" s="7"/>
      <c r="T5" s="7"/>
      <c r="U5" s="7"/>
      <c r="V5" s="7"/>
      <c r="W5" s="7"/>
      <c r="X5" s="672"/>
      <c r="Y5" s="672"/>
      <c r="Z5" s="673"/>
      <c r="AA5" s="672"/>
      <c r="AB5" s="674"/>
      <c r="AC5" s="219"/>
      <c r="AD5" s="3"/>
      <c r="AE5" s="3"/>
      <c r="AF5" s="3"/>
      <c r="AG5" s="3"/>
      <c r="AH5" s="3"/>
      <c r="AI5" s="3"/>
      <c r="AJ5" s="3"/>
      <c r="AK5" s="3"/>
      <c r="AL5" s="3"/>
      <c r="AM5" s="3"/>
      <c r="AN5" s="3"/>
      <c r="AO5" s="9"/>
      <c r="AP5" s="9"/>
      <c r="AQ5" s="9"/>
      <c r="AR5" s="9"/>
    </row>
    <row r="6" ht="27.0" customHeight="1" outlineLevel="1">
      <c r="A6" s="26"/>
      <c r="B6" s="26"/>
      <c r="C6" s="23" t="s">
        <v>8</v>
      </c>
      <c r="D6" s="24">
        <f t="shared" si="1"/>
        <v>9</v>
      </c>
      <c r="E6" s="26"/>
      <c r="F6" s="671"/>
      <c r="G6" s="671"/>
      <c r="H6" s="671"/>
      <c r="I6" s="671"/>
      <c r="J6" s="2"/>
      <c r="K6" s="2"/>
      <c r="L6" s="5"/>
      <c r="M6" s="6"/>
      <c r="N6" s="6"/>
      <c r="O6" s="6"/>
      <c r="P6" s="6"/>
      <c r="Q6" s="6"/>
      <c r="R6" s="6"/>
      <c r="S6" s="7"/>
      <c r="T6" s="7"/>
      <c r="U6" s="7"/>
      <c r="V6" s="7"/>
      <c r="W6" s="7"/>
      <c r="X6" s="672"/>
      <c r="Y6" s="672"/>
      <c r="Z6" s="673"/>
      <c r="AA6" s="672"/>
      <c r="AB6" s="674"/>
      <c r="AC6" s="219"/>
      <c r="AD6" s="3"/>
      <c r="AE6" s="3"/>
      <c r="AF6" s="3"/>
      <c r="AG6" s="3"/>
      <c r="AH6" s="3"/>
      <c r="AI6" s="3"/>
      <c r="AJ6" s="3"/>
      <c r="AK6" s="3"/>
      <c r="AL6" s="3"/>
      <c r="AM6" s="3"/>
      <c r="AN6" s="3"/>
      <c r="AO6" s="9"/>
      <c r="AP6" s="9"/>
      <c r="AQ6" s="9"/>
      <c r="AR6" s="9"/>
    </row>
    <row r="7" ht="27.0" customHeight="1" outlineLevel="1">
      <c r="A7" s="676">
        <v>2.0</v>
      </c>
      <c r="B7" s="22" t="str">
        <f>A41</f>
        <v>FOODY UGC</v>
      </c>
      <c r="C7" s="23" t="s">
        <v>7</v>
      </c>
      <c r="D7" s="24">
        <f t="shared" ref="D7:D8" si="2">K41</f>
        <v>18</v>
      </c>
      <c r="E7" s="25">
        <f>Q41</f>
        <v>163000000</v>
      </c>
      <c r="F7" s="671"/>
      <c r="G7" s="671"/>
      <c r="H7" s="671"/>
      <c r="I7" s="671"/>
      <c r="J7" s="2"/>
      <c r="K7" s="2"/>
      <c r="L7" s="5"/>
      <c r="M7" s="6"/>
      <c r="N7" s="6"/>
      <c r="O7" s="6"/>
      <c r="P7" s="6"/>
      <c r="Q7" s="6"/>
      <c r="R7" s="6"/>
      <c r="S7" s="7"/>
      <c r="T7" s="7"/>
      <c r="U7" s="7"/>
      <c r="V7" s="7"/>
      <c r="W7" s="7"/>
      <c r="X7" s="672"/>
      <c r="Y7" s="672"/>
      <c r="Z7" s="673"/>
      <c r="AA7" s="672"/>
      <c r="AB7" s="674"/>
      <c r="AC7" s="219"/>
      <c r="AD7" s="3"/>
      <c r="AE7" s="3"/>
      <c r="AF7" s="3"/>
      <c r="AG7" s="3"/>
      <c r="AH7" s="3"/>
      <c r="AI7" s="3"/>
      <c r="AJ7" s="3"/>
      <c r="AK7" s="3"/>
      <c r="AL7" s="3"/>
      <c r="AM7" s="3"/>
      <c r="AN7" s="3"/>
      <c r="AO7" s="9"/>
      <c r="AP7" s="9"/>
      <c r="AQ7" s="9"/>
      <c r="AR7" s="9"/>
    </row>
    <row r="8" ht="27.0" customHeight="1" outlineLevel="1">
      <c r="A8" s="26"/>
      <c r="B8" s="26"/>
      <c r="C8" s="23" t="s">
        <v>8</v>
      </c>
      <c r="D8" s="28">
        <f t="shared" si="2"/>
        <v>18</v>
      </c>
      <c r="E8" s="26"/>
      <c r="F8" s="671"/>
      <c r="G8" s="671"/>
      <c r="H8" s="671"/>
      <c r="I8" s="671"/>
      <c r="J8" s="2"/>
      <c r="K8" s="2"/>
      <c r="L8" s="5"/>
      <c r="M8" s="6"/>
      <c r="N8" s="6"/>
      <c r="O8" s="6"/>
      <c r="P8" s="6"/>
      <c r="Q8" s="6"/>
      <c r="R8" s="6"/>
      <c r="S8" s="7"/>
      <c r="T8" s="7"/>
      <c r="U8" s="7"/>
      <c r="V8" s="7"/>
      <c r="W8" s="7"/>
      <c r="X8" s="672"/>
      <c r="Y8" s="672"/>
      <c r="Z8" s="673"/>
      <c r="AA8" s="672"/>
      <c r="AB8" s="674"/>
      <c r="AC8" s="219"/>
      <c r="AD8" s="3"/>
      <c r="AE8" s="3"/>
      <c r="AF8" s="3"/>
      <c r="AG8" s="3"/>
      <c r="AH8" s="3"/>
      <c r="AI8" s="3"/>
      <c r="AJ8" s="3"/>
      <c r="AK8" s="3"/>
      <c r="AL8" s="3"/>
      <c r="AM8" s="3"/>
      <c r="AN8" s="3"/>
      <c r="AO8" s="9"/>
      <c r="AP8" s="9"/>
      <c r="AQ8" s="9"/>
      <c r="AR8" s="9"/>
    </row>
    <row r="9" ht="27.0" customHeight="1" outlineLevel="1">
      <c r="A9" s="676">
        <v>3.0</v>
      </c>
      <c r="B9" s="22" t="str">
        <f>A83</f>
        <v>FOODY COMMUNITY</v>
      </c>
      <c r="C9" s="23" t="s">
        <v>9</v>
      </c>
      <c r="D9" s="28">
        <f>K84</f>
        <v>5</v>
      </c>
      <c r="E9" s="25">
        <f>Q83</f>
        <v>216000000</v>
      </c>
      <c r="F9" s="671"/>
      <c r="G9" s="671"/>
      <c r="H9" s="671"/>
      <c r="I9" s="671"/>
      <c r="J9" s="2"/>
      <c r="K9" s="2"/>
      <c r="L9" s="5"/>
      <c r="M9" s="6"/>
      <c r="N9" s="6"/>
      <c r="O9" s="6"/>
      <c r="P9" s="6"/>
      <c r="Q9" s="6"/>
      <c r="R9" s="6"/>
      <c r="S9" s="7"/>
      <c r="T9" s="7"/>
      <c r="U9" s="7"/>
      <c r="V9" s="7"/>
      <c r="W9" s="7"/>
      <c r="X9" s="672"/>
      <c r="Y9" s="672"/>
      <c r="Z9" s="673"/>
      <c r="AA9" s="672"/>
      <c r="AB9" s="674"/>
      <c r="AC9" s="219"/>
      <c r="AD9" s="3"/>
      <c r="AE9" s="3"/>
      <c r="AF9" s="3"/>
      <c r="AG9" s="3"/>
      <c r="AH9" s="3"/>
      <c r="AI9" s="3"/>
      <c r="AJ9" s="3"/>
      <c r="AK9" s="3"/>
      <c r="AL9" s="3"/>
      <c r="AM9" s="3"/>
      <c r="AN9" s="3"/>
      <c r="AO9" s="9"/>
      <c r="AP9" s="9"/>
      <c r="AQ9" s="9"/>
      <c r="AR9" s="9"/>
    </row>
    <row r="10" ht="27.0" customHeight="1" outlineLevel="1">
      <c r="A10" s="26"/>
      <c r="B10" s="26"/>
      <c r="C10" s="29" t="s">
        <v>10</v>
      </c>
      <c r="D10" s="28">
        <f>K83</f>
        <v>5</v>
      </c>
      <c r="E10" s="26"/>
      <c r="F10" s="671"/>
      <c r="G10" s="671"/>
      <c r="H10" s="671"/>
      <c r="I10" s="671"/>
      <c r="J10" s="2"/>
      <c r="K10" s="2"/>
      <c r="L10" s="5"/>
      <c r="M10" s="6"/>
      <c r="N10" s="6"/>
      <c r="O10" s="6"/>
      <c r="P10" s="6"/>
      <c r="Q10" s="6"/>
      <c r="R10" s="6"/>
      <c r="S10" s="7"/>
      <c r="T10" s="7"/>
      <c r="U10" s="7"/>
      <c r="V10" s="7"/>
      <c r="W10" s="7"/>
      <c r="X10" s="672"/>
      <c r="Y10" s="672"/>
      <c r="Z10" s="673"/>
      <c r="AA10" s="672"/>
      <c r="AB10" s="674"/>
      <c r="AC10" s="219"/>
      <c r="AD10" s="3"/>
      <c r="AE10" s="3"/>
      <c r="AF10" s="3"/>
      <c r="AG10" s="3"/>
      <c r="AH10" s="3"/>
      <c r="AI10" s="3"/>
      <c r="AJ10" s="3"/>
      <c r="AK10" s="3"/>
      <c r="AL10" s="3"/>
      <c r="AM10" s="3"/>
      <c r="AN10" s="3"/>
      <c r="AO10" s="9"/>
      <c r="AP10" s="9"/>
      <c r="AQ10" s="9"/>
      <c r="AR10" s="9"/>
    </row>
    <row r="11" ht="27.0" customHeight="1" outlineLevel="1">
      <c r="A11" s="677">
        <v>4.0</v>
      </c>
      <c r="B11" s="31" t="str">
        <f>A97</f>
        <v>SEEDING PACKAGE</v>
      </c>
      <c r="C11" s="29" t="s">
        <v>11</v>
      </c>
      <c r="D11" s="28">
        <f>K98</f>
        <v>2000</v>
      </c>
      <c r="E11" s="32">
        <f>Q97</f>
        <v>20000000</v>
      </c>
      <c r="F11" s="671"/>
      <c r="G11" s="671"/>
      <c r="H11" s="671"/>
      <c r="I11" s="671"/>
      <c r="J11" s="2"/>
      <c r="K11" s="2"/>
      <c r="L11" s="5"/>
      <c r="M11" s="6"/>
      <c r="N11" s="6"/>
      <c r="O11" s="6"/>
      <c r="P11" s="6"/>
      <c r="Q11" s="6"/>
      <c r="R11" s="6"/>
      <c r="S11" s="7"/>
      <c r="T11" s="7"/>
      <c r="U11" s="7"/>
      <c r="V11" s="7"/>
      <c r="W11" s="7"/>
      <c r="X11" s="672"/>
      <c r="Y11" s="672"/>
      <c r="Z11" s="673"/>
      <c r="AA11" s="672"/>
      <c r="AB11" s="674"/>
      <c r="AC11" s="219"/>
      <c r="AD11" s="3"/>
      <c r="AE11" s="3"/>
      <c r="AF11" s="3"/>
      <c r="AG11" s="3"/>
      <c r="AH11" s="3"/>
      <c r="AI11" s="3"/>
      <c r="AJ11" s="3"/>
      <c r="AK11" s="3"/>
      <c r="AL11" s="3"/>
      <c r="AM11" s="3"/>
      <c r="AN11" s="3"/>
      <c r="AO11" s="9"/>
      <c r="AP11" s="9"/>
      <c r="AQ11" s="9"/>
      <c r="AR11" s="9"/>
    </row>
    <row r="12" ht="27.0" customHeight="1" outlineLevel="1">
      <c r="A12" s="678">
        <v>5.0</v>
      </c>
      <c r="B12" s="31" t="str">
        <f>A95</f>
        <v>TRANSPORTATION FEE</v>
      </c>
      <c r="C12" s="679" t="s">
        <v>890</v>
      </c>
      <c r="D12" s="679">
        <f>N95</f>
        <v>1</v>
      </c>
      <c r="E12" s="32">
        <f>Q95</f>
        <v>9000000</v>
      </c>
      <c r="F12" s="671"/>
      <c r="G12" s="671"/>
      <c r="H12" s="671"/>
      <c r="I12" s="671"/>
      <c r="J12" s="2"/>
      <c r="K12" s="2"/>
      <c r="L12" s="5"/>
      <c r="M12" s="6"/>
      <c r="N12" s="6"/>
      <c r="O12" s="6"/>
      <c r="P12" s="6"/>
      <c r="Q12" s="6"/>
      <c r="R12" s="6"/>
      <c r="S12" s="7"/>
      <c r="T12" s="7"/>
      <c r="U12" s="7"/>
      <c r="V12" s="7"/>
      <c r="W12" s="7"/>
      <c r="X12" s="672"/>
      <c r="Y12" s="672"/>
      <c r="Z12" s="673"/>
      <c r="AA12" s="672"/>
      <c r="AB12" s="674"/>
      <c r="AC12" s="219"/>
      <c r="AD12" s="3"/>
      <c r="AE12" s="3"/>
      <c r="AF12" s="3"/>
      <c r="AG12" s="3"/>
      <c r="AH12" s="3"/>
      <c r="AI12" s="3"/>
      <c r="AJ12" s="3"/>
      <c r="AK12" s="3"/>
      <c r="AL12" s="3"/>
      <c r="AM12" s="3"/>
      <c r="AN12" s="3"/>
      <c r="AO12" s="9"/>
      <c r="AP12" s="9"/>
      <c r="AQ12" s="9"/>
      <c r="AR12" s="9"/>
    </row>
    <row r="13" ht="27.0" customHeight="1" outlineLevel="1">
      <c r="A13" s="33"/>
      <c r="B13" s="680" t="s">
        <v>12</v>
      </c>
      <c r="C13" s="35"/>
      <c r="D13" s="35"/>
      <c r="E13" s="36">
        <f>E4</f>
        <v>625000000</v>
      </c>
      <c r="F13" s="671"/>
      <c r="G13" s="671"/>
      <c r="H13" s="671"/>
      <c r="I13" s="671"/>
      <c r="J13" s="671"/>
      <c r="K13" s="2"/>
      <c r="L13" s="5"/>
      <c r="M13" s="6"/>
      <c r="N13" s="6"/>
      <c r="O13" s="6"/>
      <c r="P13" s="6"/>
      <c r="Q13" s="6"/>
      <c r="R13" s="681"/>
      <c r="S13" s="7"/>
      <c r="T13" s="7"/>
      <c r="U13" s="7"/>
      <c r="V13" s="7"/>
      <c r="W13" s="7"/>
      <c r="X13" s="672"/>
      <c r="Y13" s="672"/>
      <c r="Z13" s="673"/>
      <c r="AA13" s="672"/>
      <c r="AB13" s="682"/>
      <c r="AC13" s="218"/>
      <c r="AD13" s="2"/>
      <c r="AE13" s="2"/>
      <c r="AF13" s="2"/>
      <c r="AG13" s="2"/>
      <c r="AH13" s="2"/>
      <c r="AI13" s="2"/>
      <c r="AJ13" s="2"/>
      <c r="AK13" s="2"/>
      <c r="AL13" s="2"/>
      <c r="AM13" s="2"/>
      <c r="AN13" s="2"/>
      <c r="AO13" s="9"/>
      <c r="AP13" s="9"/>
      <c r="AQ13" s="9"/>
      <c r="AR13" s="9"/>
    </row>
    <row r="14" ht="27.0" customHeight="1" outlineLevel="1">
      <c r="A14" s="38"/>
      <c r="B14" s="680" t="s">
        <v>13</v>
      </c>
      <c r="C14" s="39"/>
      <c r="D14" s="40">
        <v>0.12</v>
      </c>
      <c r="E14" s="41">
        <f>E13*D14</f>
        <v>75000000</v>
      </c>
      <c r="F14" s="671"/>
      <c r="G14" s="671"/>
      <c r="H14" s="671"/>
      <c r="I14" s="671"/>
      <c r="J14" s="42"/>
      <c r="K14" s="42"/>
      <c r="L14" s="43"/>
      <c r="M14" s="43"/>
      <c r="N14" s="43"/>
      <c r="O14" s="43"/>
      <c r="P14" s="43"/>
      <c r="Q14" s="43"/>
      <c r="R14" s="7"/>
      <c r="S14" s="8"/>
      <c r="T14" s="8"/>
      <c r="U14" s="8"/>
      <c r="V14" s="8"/>
      <c r="W14" s="8"/>
      <c r="X14" s="8"/>
      <c r="Y14" s="8"/>
      <c r="Z14" s="580"/>
      <c r="AA14" s="683"/>
      <c r="AB14" s="42"/>
      <c r="AC14" s="42"/>
      <c r="AD14" s="42"/>
      <c r="AE14" s="42"/>
      <c r="AF14" s="42"/>
      <c r="AG14" s="42"/>
      <c r="AH14" s="42"/>
      <c r="AI14" s="42"/>
      <c r="AJ14" s="42"/>
      <c r="AK14" s="43"/>
      <c r="AL14" s="43"/>
      <c r="AM14" s="43"/>
      <c r="AN14" s="43"/>
      <c r="AO14" s="9"/>
      <c r="AP14" s="9"/>
      <c r="AQ14" s="9"/>
      <c r="AR14" s="9"/>
    </row>
    <row r="15" ht="27.0" customHeight="1" outlineLevel="1">
      <c r="A15" s="38"/>
      <c r="B15" s="680" t="s">
        <v>14</v>
      </c>
      <c r="C15" s="39"/>
      <c r="D15" s="39"/>
      <c r="E15" s="41">
        <f>sum(E13:E14)</f>
        <v>700000000</v>
      </c>
      <c r="F15" s="671"/>
      <c r="G15" s="671"/>
      <c r="H15" s="671"/>
      <c r="I15" s="671"/>
      <c r="J15" s="42"/>
      <c r="K15" s="42"/>
      <c r="L15" s="43"/>
      <c r="M15" s="43"/>
      <c r="N15" s="43"/>
      <c r="O15" s="43"/>
      <c r="P15" s="43"/>
      <c r="Q15" s="43"/>
      <c r="R15" s="7"/>
      <c r="S15" s="8"/>
      <c r="T15" s="8"/>
      <c r="U15" s="8"/>
      <c r="V15" s="8"/>
      <c r="W15" s="8"/>
      <c r="X15" s="8"/>
      <c r="Y15" s="8"/>
      <c r="Z15" s="580"/>
      <c r="AA15" s="683"/>
      <c r="AB15" s="42"/>
      <c r="AC15" s="42"/>
      <c r="AD15" s="42"/>
      <c r="AE15" s="42"/>
      <c r="AF15" s="42"/>
      <c r="AG15" s="42"/>
      <c r="AH15" s="42"/>
      <c r="AI15" s="42"/>
      <c r="AJ15" s="42"/>
      <c r="AK15" s="43"/>
      <c r="AL15" s="43"/>
      <c r="AM15" s="43"/>
      <c r="AN15" s="43"/>
      <c r="AO15" s="9"/>
      <c r="AP15" s="9"/>
      <c r="AQ15" s="9"/>
      <c r="AR15" s="9"/>
    </row>
    <row r="16" ht="27.0" customHeight="1" outlineLevel="1">
      <c r="A16" s="38"/>
      <c r="B16" s="680" t="s">
        <v>15</v>
      </c>
      <c r="C16" s="39"/>
      <c r="D16" s="39"/>
      <c r="E16" s="41">
        <f>E15*1.08</f>
        <v>756000000</v>
      </c>
      <c r="F16" s="671"/>
      <c r="G16" s="671"/>
      <c r="H16" s="671"/>
      <c r="I16" s="671"/>
      <c r="J16" s="42"/>
      <c r="K16" s="42"/>
      <c r="L16" s="43"/>
      <c r="M16" s="43"/>
      <c r="N16" s="43"/>
      <c r="O16" s="43"/>
      <c r="P16" s="43"/>
      <c r="Q16" s="43"/>
      <c r="R16" s="7"/>
      <c r="S16" s="8"/>
      <c r="T16" s="8"/>
      <c r="U16" s="8"/>
      <c r="V16" s="8"/>
      <c r="W16" s="8"/>
      <c r="X16" s="8"/>
      <c r="Y16" s="8"/>
      <c r="Z16" s="580"/>
      <c r="AA16" s="683"/>
      <c r="AB16" s="42"/>
      <c r="AC16" s="42"/>
      <c r="AD16" s="42"/>
      <c r="AE16" s="42"/>
      <c r="AF16" s="42"/>
      <c r="AG16" s="42"/>
      <c r="AH16" s="42"/>
      <c r="AI16" s="42"/>
      <c r="AJ16" s="42"/>
      <c r="AK16" s="43"/>
      <c r="AL16" s="43"/>
      <c r="AM16" s="43"/>
      <c r="AN16" s="43"/>
      <c r="AO16" s="9"/>
      <c r="AP16" s="9"/>
      <c r="AQ16" s="9"/>
      <c r="AR16" s="9"/>
    </row>
    <row r="17" outlineLevel="1">
      <c r="A17" s="38"/>
      <c r="B17" s="44"/>
      <c r="C17" s="42"/>
      <c r="D17" s="42"/>
      <c r="E17" s="42"/>
      <c r="F17" s="671"/>
      <c r="G17" s="671"/>
      <c r="H17" s="671"/>
      <c r="I17" s="671"/>
      <c r="J17" s="42"/>
      <c r="K17" s="42"/>
      <c r="L17" s="43"/>
      <c r="M17" s="43"/>
      <c r="N17" s="43"/>
      <c r="O17" s="43"/>
      <c r="P17" s="43"/>
      <c r="Q17" s="43"/>
      <c r="R17" s="7"/>
      <c r="S17" s="8"/>
      <c r="T17" s="8"/>
      <c r="U17" s="8"/>
      <c r="V17" s="8"/>
      <c r="W17" s="8"/>
      <c r="X17" s="8"/>
      <c r="Y17" s="8"/>
      <c r="Z17" s="580"/>
      <c r="AA17" s="683"/>
      <c r="AB17" s="42"/>
      <c r="AC17" s="42"/>
      <c r="AD17" s="42"/>
      <c r="AE17" s="42"/>
      <c r="AF17" s="42"/>
      <c r="AG17" s="42"/>
      <c r="AH17" s="42"/>
      <c r="AI17" s="42"/>
      <c r="AJ17" s="42"/>
      <c r="AK17" s="43"/>
      <c r="AL17" s="43"/>
      <c r="AM17" s="43"/>
      <c r="AN17" s="43"/>
      <c r="AO17" s="9"/>
      <c r="AP17" s="9"/>
      <c r="AQ17" s="9"/>
      <c r="AR17" s="9"/>
    </row>
    <row r="18" outlineLevel="1">
      <c r="A18" s="671"/>
      <c r="B18" s="671"/>
      <c r="C18" s="671"/>
      <c r="D18" s="671"/>
      <c r="E18" s="671"/>
      <c r="F18" s="671"/>
      <c r="G18" s="671"/>
      <c r="H18" s="671"/>
      <c r="I18" s="671"/>
      <c r="J18" s="671"/>
      <c r="K18" s="671"/>
      <c r="L18" s="671"/>
      <c r="M18" s="671"/>
      <c r="N18" s="671"/>
      <c r="O18" s="671"/>
      <c r="P18" s="671"/>
      <c r="Q18" s="671"/>
      <c r="R18" s="684"/>
      <c r="S18" s="8"/>
      <c r="T18" s="8"/>
      <c r="U18" s="8"/>
      <c r="V18" s="8"/>
      <c r="W18" s="8"/>
      <c r="X18" s="8"/>
      <c r="Y18" s="8"/>
      <c r="Z18" s="580"/>
      <c r="AA18" s="685" t="s">
        <v>891</v>
      </c>
      <c r="AB18" s="686"/>
      <c r="AC18" s="687" t="s">
        <v>892</v>
      </c>
      <c r="AD18" s="688"/>
      <c r="AE18" s="688"/>
      <c r="AF18" s="688"/>
      <c r="AG18" s="688"/>
      <c r="AH18" s="688"/>
      <c r="AI18" s="688"/>
      <c r="AJ18" s="688"/>
      <c r="AK18" s="686"/>
      <c r="AL18" s="686"/>
      <c r="AM18" s="686"/>
      <c r="AN18" s="689"/>
      <c r="AO18" s="9"/>
      <c r="AP18" s="9"/>
      <c r="AQ18" s="9"/>
      <c r="AR18" s="9"/>
    </row>
    <row r="19" ht="44.25" customHeight="1" outlineLevel="1">
      <c r="A19" s="43"/>
      <c r="B19" s="43"/>
      <c r="C19" s="43"/>
      <c r="D19" s="43"/>
      <c r="E19" s="43"/>
      <c r="F19" s="671"/>
      <c r="G19" s="43"/>
      <c r="H19" s="43"/>
      <c r="I19" s="671"/>
      <c r="J19" s="671"/>
      <c r="K19" s="43"/>
      <c r="L19" s="43"/>
      <c r="M19" s="43"/>
      <c r="N19" s="43"/>
      <c r="O19" s="43"/>
      <c r="P19" s="43"/>
      <c r="Q19" s="43"/>
      <c r="R19" s="690"/>
      <c r="S19" s="47"/>
      <c r="T19" s="47"/>
      <c r="U19" s="47"/>
      <c r="V19" s="47"/>
      <c r="W19" s="47"/>
      <c r="X19" s="47"/>
      <c r="Y19" s="47"/>
      <c r="Z19" s="691"/>
      <c r="AA19" s="692" t="s">
        <v>893</v>
      </c>
      <c r="AB19" s="693" t="s">
        <v>894</v>
      </c>
      <c r="AC19" s="694" t="s">
        <v>38</v>
      </c>
      <c r="AD19" s="688"/>
      <c r="AE19" s="688"/>
      <c r="AF19" s="688"/>
      <c r="AG19" s="695" t="s">
        <v>320</v>
      </c>
      <c r="AH19" s="696"/>
      <c r="AI19" s="696"/>
      <c r="AJ19" s="697"/>
      <c r="AK19" s="698" t="s">
        <v>895</v>
      </c>
      <c r="AL19" s="693" t="s">
        <v>896</v>
      </c>
      <c r="AM19" s="693" t="s">
        <v>897</v>
      </c>
      <c r="AN19" s="693" t="s">
        <v>898</v>
      </c>
      <c r="AO19" s="9"/>
      <c r="AP19" s="9"/>
      <c r="AQ19" s="9"/>
      <c r="AR19" s="9"/>
    </row>
    <row r="20" ht="30.75" customHeight="1">
      <c r="A20" s="699" t="s">
        <v>16</v>
      </c>
      <c r="B20" s="700" t="s">
        <v>17</v>
      </c>
      <c r="C20" s="700" t="s">
        <v>18</v>
      </c>
      <c r="D20" s="50" t="s">
        <v>19</v>
      </c>
      <c r="E20" s="701" t="s">
        <v>20</v>
      </c>
      <c r="F20" s="52" t="s">
        <v>21</v>
      </c>
      <c r="G20" s="700" t="s">
        <v>22</v>
      </c>
      <c r="H20" s="700" t="s">
        <v>23</v>
      </c>
      <c r="I20" s="700" t="s">
        <v>24</v>
      </c>
      <c r="J20" s="700" t="s">
        <v>3</v>
      </c>
      <c r="K20" s="700" t="s">
        <v>4</v>
      </c>
      <c r="L20" s="700" t="s">
        <v>25</v>
      </c>
      <c r="M20" s="50" t="s">
        <v>26</v>
      </c>
      <c r="N20" s="700" t="s">
        <v>27</v>
      </c>
      <c r="O20" s="700" t="s">
        <v>28</v>
      </c>
      <c r="P20" s="700" t="s">
        <v>29</v>
      </c>
      <c r="Q20" s="700" t="s">
        <v>30</v>
      </c>
      <c r="R20" s="700" t="s">
        <v>31</v>
      </c>
      <c r="S20" s="702" t="s">
        <v>32</v>
      </c>
      <c r="T20" s="702" t="s">
        <v>33</v>
      </c>
      <c r="U20" s="702" t="s">
        <v>34</v>
      </c>
      <c r="V20" s="54"/>
      <c r="W20" s="54"/>
      <c r="X20" s="703" t="s">
        <v>899</v>
      </c>
      <c r="Y20" s="703" t="s">
        <v>900</v>
      </c>
      <c r="Z20" s="704"/>
      <c r="AA20" s="705"/>
      <c r="AB20" s="706"/>
      <c r="AC20" s="707" t="s">
        <v>901</v>
      </c>
      <c r="AD20" s="707" t="s">
        <v>902</v>
      </c>
      <c r="AE20" s="707" t="s">
        <v>903</v>
      </c>
      <c r="AF20" s="707" t="s">
        <v>904</v>
      </c>
      <c r="AG20" s="708" t="s">
        <v>901</v>
      </c>
      <c r="AH20" s="708" t="s">
        <v>902</v>
      </c>
      <c r="AI20" s="708" t="s">
        <v>903</v>
      </c>
      <c r="AJ20" s="708" t="s">
        <v>904</v>
      </c>
      <c r="AK20" s="707" t="s">
        <v>905</v>
      </c>
      <c r="AL20" s="706"/>
      <c r="AM20" s="706"/>
      <c r="AN20" s="706"/>
      <c r="AO20" s="9"/>
      <c r="AP20" s="9"/>
      <c r="AQ20" s="9"/>
      <c r="AR20" s="9"/>
    </row>
    <row r="21" ht="30.0" customHeight="1">
      <c r="A21" s="709" t="s">
        <v>35</v>
      </c>
      <c r="B21" s="710"/>
      <c r="C21" s="711"/>
      <c r="D21" s="712"/>
      <c r="E21" s="713"/>
      <c r="F21" s="713"/>
      <c r="G21" s="713"/>
      <c r="H21" s="713"/>
      <c r="I21" s="713"/>
      <c r="J21" s="714" t="s">
        <v>7</v>
      </c>
      <c r="K21" s="714">
        <f>SUMIFS(K23:K40,J23:J40,"Video Post")</f>
        <v>9</v>
      </c>
      <c r="L21" s="715"/>
      <c r="M21" s="716">
        <f t="shared" ref="M21:N21" si="3">sumif($I$23:$I$40,"TRUE",M23:M40)</f>
        <v>710000</v>
      </c>
      <c r="N21" s="716">
        <f t="shared" si="3"/>
        <v>28700</v>
      </c>
      <c r="O21" s="715"/>
      <c r="P21" s="715"/>
      <c r="Q21" s="716">
        <v>2.17E8</v>
      </c>
      <c r="R21" s="713"/>
      <c r="S21" s="68"/>
      <c r="T21" s="68"/>
      <c r="U21" s="68"/>
      <c r="V21" s="69"/>
      <c r="W21" s="69"/>
      <c r="X21" s="717"/>
      <c r="Y21" s="717"/>
      <c r="Z21" s="718"/>
      <c r="AA21" s="719"/>
      <c r="AB21" s="720"/>
      <c r="AC21" s="721"/>
      <c r="AD21" s="721"/>
      <c r="AE21" s="721"/>
      <c r="AF21" s="722"/>
      <c r="AG21" s="723"/>
      <c r="AH21" s="721"/>
      <c r="AI21" s="721"/>
      <c r="AJ21" s="721"/>
      <c r="AK21" s="724"/>
      <c r="AL21" s="724"/>
      <c r="AM21" s="724"/>
      <c r="AN21" s="725"/>
      <c r="AO21" s="9"/>
      <c r="AP21" s="9"/>
      <c r="AQ21" s="9"/>
      <c r="AR21" s="9"/>
    </row>
    <row r="22" ht="30.0" customHeight="1">
      <c r="A22" s="726"/>
      <c r="B22" s="727"/>
      <c r="C22" s="711"/>
      <c r="D22" s="712"/>
      <c r="E22" s="713"/>
      <c r="F22" s="713"/>
      <c r="G22" s="713"/>
      <c r="H22" s="713"/>
      <c r="I22" s="713"/>
      <c r="J22" s="714" t="s">
        <v>8</v>
      </c>
      <c r="K22" s="714">
        <f>SUMIFS(K23:K40,J23:J40,"Tháng")</f>
        <v>9</v>
      </c>
      <c r="L22" s="715"/>
      <c r="M22" s="72"/>
      <c r="N22" s="72"/>
      <c r="O22" s="715"/>
      <c r="P22" s="715"/>
      <c r="Q22" s="72"/>
      <c r="R22" s="713"/>
      <c r="S22" s="72"/>
      <c r="T22" s="72"/>
      <c r="U22" s="72"/>
      <c r="V22" s="69"/>
      <c r="W22" s="69"/>
      <c r="X22" s="717"/>
      <c r="Y22" s="717"/>
      <c r="Z22" s="728"/>
      <c r="AA22" s="719"/>
      <c r="AB22" s="720"/>
      <c r="AC22" s="721"/>
      <c r="AD22" s="721"/>
      <c r="AE22" s="721"/>
      <c r="AF22" s="722"/>
      <c r="AG22" s="723"/>
      <c r="AH22" s="721"/>
      <c r="AI22" s="721"/>
      <c r="AJ22" s="721"/>
      <c r="AK22" s="724"/>
      <c r="AL22" s="724"/>
      <c r="AM22" s="724"/>
      <c r="AN22" s="725"/>
      <c r="AO22" s="9"/>
      <c r="AP22" s="9"/>
      <c r="AQ22" s="9"/>
      <c r="AR22" s="9"/>
    </row>
    <row r="23" ht="59.25" customHeight="1" outlineLevel="1">
      <c r="A23" s="729" t="s">
        <v>36</v>
      </c>
      <c r="B23" s="730" t="s">
        <v>37</v>
      </c>
      <c r="C23" s="731" t="s">
        <v>38</v>
      </c>
      <c r="D23" s="732" t="s">
        <v>39</v>
      </c>
      <c r="E23" s="733" t="s">
        <v>40</v>
      </c>
      <c r="F23" s="734" t="s">
        <v>21</v>
      </c>
      <c r="G23" s="735" t="s">
        <v>41</v>
      </c>
      <c r="H23" s="736" t="s">
        <v>906</v>
      </c>
      <c r="I23" s="737" t="b">
        <v>1</v>
      </c>
      <c r="J23" s="83" t="s">
        <v>7</v>
      </c>
      <c r="K23" s="83">
        <f t="shared" ref="K23:K40" si="4">if(I23=True,1,if(I23=False,0))</f>
        <v>1</v>
      </c>
      <c r="L23" s="84">
        <v>1.6E7</v>
      </c>
      <c r="M23" s="84">
        <v>50000.0</v>
      </c>
      <c r="N23" s="84">
        <v>3000.0</v>
      </c>
      <c r="O23" s="84">
        <f t="shared" ref="O23:O33" si="5">IFERROR(Q23/M23,"-")</f>
        <v>320</v>
      </c>
      <c r="P23" s="84">
        <f t="shared" ref="P23:P33" si="6">IFERROR(Q23/N23,"-")</f>
        <v>5333.333333</v>
      </c>
      <c r="Q23" s="84">
        <v>1.6E7</v>
      </c>
      <c r="R23" s="738" t="s">
        <v>907</v>
      </c>
      <c r="S23" s="85" t="s">
        <v>44</v>
      </c>
      <c r="T23" s="739"/>
      <c r="U23" s="733" t="s">
        <v>45</v>
      </c>
      <c r="V23" s="87"/>
      <c r="W23" s="87"/>
      <c r="X23" s="740"/>
      <c r="Y23" s="740"/>
      <c r="Z23" s="741" t="s">
        <v>908</v>
      </c>
      <c r="AA23" s="742">
        <f>3500000/0.9</f>
        <v>3888888.889</v>
      </c>
      <c r="AB23" s="743">
        <v>6.0</v>
      </c>
      <c r="AC23" s="744">
        <v>20000.0</v>
      </c>
      <c r="AD23" s="744">
        <v>30000.0</v>
      </c>
      <c r="AE23" s="744">
        <v>1000.0</v>
      </c>
      <c r="AF23" s="745">
        <v>2000.0</v>
      </c>
      <c r="AG23" s="746"/>
      <c r="AH23" s="744"/>
      <c r="AI23" s="744"/>
      <c r="AJ23" s="744"/>
      <c r="AK23" s="747">
        <f t="shared" ref="AK23:AK40" si="7">(AD23*2+AF23*50+AH23*10+AJ23*50)*K23</f>
        <v>160000</v>
      </c>
      <c r="AL23" s="747">
        <f t="shared" ref="AL23:AL40" si="8">sum(AA23,AK23)*K23</f>
        <v>4048888.889</v>
      </c>
      <c r="AM23" s="747">
        <f t="shared" ref="AM23:AM40" si="9">iferror(Q23-AL23,"-")</f>
        <v>11951111.11</v>
      </c>
      <c r="AN23" s="748">
        <f t="shared" ref="AN23:AN40" si="10">iferror(AM23/Q23,"-")</f>
        <v>0.7469444444</v>
      </c>
      <c r="AO23" s="9"/>
      <c r="AP23" s="9"/>
      <c r="AQ23" s="9"/>
      <c r="AR23" s="9"/>
    </row>
    <row r="24" ht="59.25" customHeight="1" outlineLevel="1">
      <c r="A24" s="72"/>
      <c r="B24" s="749"/>
      <c r="C24" s="72"/>
      <c r="D24" s="72"/>
      <c r="E24" s="72"/>
      <c r="F24" s="72"/>
      <c r="G24" s="72"/>
      <c r="H24" s="750" t="s">
        <v>909</v>
      </c>
      <c r="I24" s="737" t="b">
        <v>1</v>
      </c>
      <c r="J24" s="83" t="s">
        <v>47</v>
      </c>
      <c r="K24" s="83">
        <f t="shared" si="4"/>
        <v>1</v>
      </c>
      <c r="L24" s="84">
        <v>8000000.0</v>
      </c>
      <c r="M24" s="84">
        <v>0.0</v>
      </c>
      <c r="N24" s="84">
        <v>0.0</v>
      </c>
      <c r="O24" s="84" t="str">
        <f t="shared" si="5"/>
        <v>-</v>
      </c>
      <c r="P24" s="84" t="str">
        <f t="shared" si="6"/>
        <v>-</v>
      </c>
      <c r="Q24" s="84">
        <v>8000000.0</v>
      </c>
      <c r="R24" s="72"/>
      <c r="S24" s="72"/>
      <c r="T24" s="72"/>
      <c r="U24" s="72"/>
      <c r="V24" s="87"/>
      <c r="W24" s="87"/>
      <c r="X24" s="26"/>
      <c r="Y24" s="26"/>
      <c r="Z24" s="751" t="s">
        <v>910</v>
      </c>
      <c r="AA24" s="742">
        <v>0.0</v>
      </c>
      <c r="AB24" s="743">
        <v>4.0</v>
      </c>
      <c r="AC24" s="744"/>
      <c r="AD24" s="744"/>
      <c r="AE24" s="744"/>
      <c r="AF24" s="745"/>
      <c r="AG24" s="746"/>
      <c r="AH24" s="744"/>
      <c r="AI24" s="744"/>
      <c r="AJ24" s="744"/>
      <c r="AK24" s="747">
        <f t="shared" si="7"/>
        <v>0</v>
      </c>
      <c r="AL24" s="747">
        <f t="shared" si="8"/>
        <v>0</v>
      </c>
      <c r="AM24" s="747">
        <f t="shared" si="9"/>
        <v>8000000</v>
      </c>
      <c r="AN24" s="748">
        <f t="shared" si="10"/>
        <v>1</v>
      </c>
      <c r="AO24" s="9"/>
      <c r="AP24" s="9"/>
      <c r="AQ24" s="9"/>
      <c r="AR24" s="9"/>
    </row>
    <row r="25" ht="59.25" customHeight="1" outlineLevel="1">
      <c r="A25" s="729" t="s">
        <v>36</v>
      </c>
      <c r="B25" s="752" t="s">
        <v>48</v>
      </c>
      <c r="C25" s="731" t="s">
        <v>38</v>
      </c>
      <c r="D25" s="732" t="s">
        <v>49</v>
      </c>
      <c r="E25" s="733" t="s">
        <v>40</v>
      </c>
      <c r="F25" s="734" t="s">
        <v>21</v>
      </c>
      <c r="G25" s="735" t="s">
        <v>50</v>
      </c>
      <c r="H25" s="736" t="s">
        <v>911</v>
      </c>
      <c r="I25" s="737" t="b">
        <v>1</v>
      </c>
      <c r="J25" s="83" t="s">
        <v>7</v>
      </c>
      <c r="K25" s="83">
        <f t="shared" si="4"/>
        <v>1</v>
      </c>
      <c r="L25" s="84">
        <v>1.2E7</v>
      </c>
      <c r="M25" s="84">
        <v>100000.0</v>
      </c>
      <c r="N25" s="84">
        <v>3000.0</v>
      </c>
      <c r="O25" s="84">
        <f t="shared" si="5"/>
        <v>120</v>
      </c>
      <c r="P25" s="84">
        <f t="shared" si="6"/>
        <v>4000</v>
      </c>
      <c r="Q25" s="84">
        <v>1.2E7</v>
      </c>
      <c r="R25" s="738" t="s">
        <v>912</v>
      </c>
      <c r="S25" s="85" t="s">
        <v>53</v>
      </c>
      <c r="T25" s="739"/>
      <c r="U25" s="733" t="s">
        <v>45</v>
      </c>
      <c r="V25" s="87"/>
      <c r="W25" s="87"/>
      <c r="X25" s="740"/>
      <c r="Y25" s="740"/>
      <c r="Z25" s="751" t="s">
        <v>913</v>
      </c>
      <c r="AA25" s="742">
        <f>5500000/0.9</f>
        <v>6111111.111</v>
      </c>
      <c r="AB25" s="743">
        <v>1.0</v>
      </c>
      <c r="AC25" s="744">
        <v>50000.0</v>
      </c>
      <c r="AD25" s="744">
        <v>50000.0</v>
      </c>
      <c r="AE25" s="744">
        <v>1000.0</v>
      </c>
      <c r="AF25" s="745">
        <v>2000.0</v>
      </c>
      <c r="AG25" s="746"/>
      <c r="AH25" s="744"/>
      <c r="AI25" s="744"/>
      <c r="AJ25" s="744"/>
      <c r="AK25" s="747">
        <f t="shared" si="7"/>
        <v>200000</v>
      </c>
      <c r="AL25" s="747">
        <f t="shared" si="8"/>
        <v>6311111.111</v>
      </c>
      <c r="AM25" s="747">
        <f t="shared" si="9"/>
        <v>5688888.889</v>
      </c>
      <c r="AN25" s="748">
        <f t="shared" si="10"/>
        <v>0.4740740741</v>
      </c>
      <c r="AO25" s="9"/>
      <c r="AP25" s="9"/>
      <c r="AQ25" s="9"/>
      <c r="AR25" s="9"/>
    </row>
    <row r="26" ht="59.25" customHeight="1" outlineLevel="1">
      <c r="A26" s="72"/>
      <c r="B26" s="72"/>
      <c r="C26" s="72"/>
      <c r="D26" s="72"/>
      <c r="E26" s="72"/>
      <c r="F26" s="72"/>
      <c r="G26" s="72"/>
      <c r="H26" s="750" t="s">
        <v>914</v>
      </c>
      <c r="I26" s="737" t="b">
        <v>1</v>
      </c>
      <c r="J26" s="83" t="s">
        <v>47</v>
      </c>
      <c r="K26" s="83">
        <f t="shared" si="4"/>
        <v>1</v>
      </c>
      <c r="L26" s="84">
        <v>6000000.0</v>
      </c>
      <c r="M26" s="84">
        <v>0.0</v>
      </c>
      <c r="N26" s="84">
        <v>0.0</v>
      </c>
      <c r="O26" s="84" t="str">
        <f t="shared" si="5"/>
        <v>-</v>
      </c>
      <c r="P26" s="84" t="str">
        <f t="shared" si="6"/>
        <v>-</v>
      </c>
      <c r="Q26" s="84">
        <v>6000000.0</v>
      </c>
      <c r="R26" s="72"/>
      <c r="S26" s="72"/>
      <c r="T26" s="72"/>
      <c r="U26" s="72"/>
      <c r="V26" s="9"/>
      <c r="W26" s="9"/>
      <c r="X26" s="26"/>
      <c r="Y26" s="26"/>
      <c r="Z26" s="751" t="s">
        <v>915</v>
      </c>
      <c r="AA26" s="742">
        <v>0.0</v>
      </c>
      <c r="AB26" s="743"/>
      <c r="AC26" s="744"/>
      <c r="AD26" s="744"/>
      <c r="AE26" s="744"/>
      <c r="AF26" s="745"/>
      <c r="AG26" s="746"/>
      <c r="AH26" s="744"/>
      <c r="AI26" s="744"/>
      <c r="AJ26" s="744"/>
      <c r="AK26" s="747">
        <f t="shared" si="7"/>
        <v>0</v>
      </c>
      <c r="AL26" s="747">
        <f t="shared" si="8"/>
        <v>0</v>
      </c>
      <c r="AM26" s="747">
        <f t="shared" si="9"/>
        <v>6000000</v>
      </c>
      <c r="AN26" s="748">
        <f t="shared" si="10"/>
        <v>1</v>
      </c>
      <c r="AO26" s="9"/>
      <c r="AP26" s="9"/>
      <c r="AQ26" s="9"/>
      <c r="AR26" s="9"/>
    </row>
    <row r="27" ht="59.25" customHeight="1" outlineLevel="1">
      <c r="A27" s="729" t="s">
        <v>36</v>
      </c>
      <c r="B27" s="753" t="s">
        <v>55</v>
      </c>
      <c r="C27" s="731" t="s">
        <v>38</v>
      </c>
      <c r="D27" s="732" t="s">
        <v>56</v>
      </c>
      <c r="E27" s="733" t="s">
        <v>40</v>
      </c>
      <c r="F27" s="734" t="s">
        <v>21</v>
      </c>
      <c r="G27" s="735" t="s">
        <v>50</v>
      </c>
      <c r="H27" s="736" t="s">
        <v>916</v>
      </c>
      <c r="I27" s="737" t="b">
        <v>1</v>
      </c>
      <c r="J27" s="83" t="s">
        <v>7</v>
      </c>
      <c r="K27" s="83">
        <f t="shared" si="4"/>
        <v>1</v>
      </c>
      <c r="L27" s="84">
        <v>2.0E7</v>
      </c>
      <c r="M27" s="84">
        <v>130000.0</v>
      </c>
      <c r="N27" s="84">
        <v>4000.0</v>
      </c>
      <c r="O27" s="84">
        <f t="shared" si="5"/>
        <v>153.8461538</v>
      </c>
      <c r="P27" s="84">
        <f t="shared" si="6"/>
        <v>5000</v>
      </c>
      <c r="Q27" s="84">
        <v>2.0E7</v>
      </c>
      <c r="R27" s="738" t="s">
        <v>917</v>
      </c>
      <c r="S27" s="85" t="s">
        <v>59</v>
      </c>
      <c r="T27" s="739"/>
      <c r="U27" s="733" t="s">
        <v>45</v>
      </c>
      <c r="V27" s="87"/>
      <c r="W27" s="87"/>
      <c r="X27" s="740"/>
      <c r="Y27" s="740"/>
      <c r="Z27" s="741" t="s">
        <v>918</v>
      </c>
      <c r="AA27" s="742">
        <v>1.2E7</v>
      </c>
      <c r="AB27" s="743">
        <v>0.5</v>
      </c>
      <c r="AC27" s="744">
        <v>80000.0</v>
      </c>
      <c r="AD27" s="744">
        <v>50000.0</v>
      </c>
      <c r="AE27" s="744">
        <v>2000.0</v>
      </c>
      <c r="AF27" s="745">
        <v>2000.0</v>
      </c>
      <c r="AG27" s="746"/>
      <c r="AH27" s="744"/>
      <c r="AI27" s="744"/>
      <c r="AJ27" s="744"/>
      <c r="AK27" s="747">
        <f t="shared" si="7"/>
        <v>200000</v>
      </c>
      <c r="AL27" s="747">
        <f t="shared" si="8"/>
        <v>12200000</v>
      </c>
      <c r="AM27" s="747">
        <f t="shared" si="9"/>
        <v>7800000</v>
      </c>
      <c r="AN27" s="748">
        <f t="shared" si="10"/>
        <v>0.39</v>
      </c>
      <c r="AO27" s="9"/>
      <c r="AP27" s="9"/>
      <c r="AQ27" s="9"/>
      <c r="AR27" s="9"/>
    </row>
    <row r="28" ht="59.25" customHeight="1" outlineLevel="1">
      <c r="A28" s="72"/>
      <c r="B28" s="72"/>
      <c r="C28" s="72"/>
      <c r="D28" s="72"/>
      <c r="E28" s="72"/>
      <c r="F28" s="72"/>
      <c r="G28" s="72"/>
      <c r="H28" s="750" t="s">
        <v>919</v>
      </c>
      <c r="I28" s="737" t="b">
        <v>1</v>
      </c>
      <c r="J28" s="83" t="s">
        <v>47</v>
      </c>
      <c r="K28" s="83">
        <f t="shared" si="4"/>
        <v>1</v>
      </c>
      <c r="L28" s="84">
        <v>1.3E7</v>
      </c>
      <c r="M28" s="84">
        <v>0.0</v>
      </c>
      <c r="N28" s="84">
        <v>0.0</v>
      </c>
      <c r="O28" s="84" t="str">
        <f t="shared" si="5"/>
        <v>-</v>
      </c>
      <c r="P28" s="84" t="str">
        <f t="shared" si="6"/>
        <v>-</v>
      </c>
      <c r="Q28" s="84">
        <v>1.3E7</v>
      </c>
      <c r="R28" s="72"/>
      <c r="S28" s="72"/>
      <c r="T28" s="72"/>
      <c r="U28" s="72"/>
      <c r="V28" s="9"/>
      <c r="W28" s="9"/>
      <c r="X28" s="26"/>
      <c r="Y28" s="26"/>
      <c r="Z28" s="751" t="s">
        <v>910</v>
      </c>
      <c r="AA28" s="742">
        <v>3000000.0</v>
      </c>
      <c r="AB28" s="743">
        <v>0.5</v>
      </c>
      <c r="AC28" s="744"/>
      <c r="AD28" s="744"/>
      <c r="AE28" s="744"/>
      <c r="AF28" s="745"/>
      <c r="AG28" s="746"/>
      <c r="AH28" s="744"/>
      <c r="AI28" s="744"/>
      <c r="AJ28" s="744"/>
      <c r="AK28" s="747">
        <f t="shared" si="7"/>
        <v>0</v>
      </c>
      <c r="AL28" s="747">
        <f t="shared" si="8"/>
        <v>3000000</v>
      </c>
      <c r="AM28" s="747">
        <f t="shared" si="9"/>
        <v>10000000</v>
      </c>
      <c r="AN28" s="748">
        <f t="shared" si="10"/>
        <v>0.7692307692</v>
      </c>
      <c r="AO28" s="9"/>
      <c r="AP28" s="9"/>
      <c r="AQ28" s="9"/>
      <c r="AR28" s="9"/>
    </row>
    <row r="29" ht="59.25" customHeight="1" outlineLevel="1">
      <c r="A29" s="729" t="s">
        <v>36</v>
      </c>
      <c r="B29" s="752" t="s">
        <v>61</v>
      </c>
      <c r="C29" s="731" t="s">
        <v>38</v>
      </c>
      <c r="D29" s="732" t="s">
        <v>62</v>
      </c>
      <c r="E29" s="733" t="s">
        <v>40</v>
      </c>
      <c r="F29" s="734" t="s">
        <v>21</v>
      </c>
      <c r="G29" s="735" t="s">
        <v>50</v>
      </c>
      <c r="H29" s="736" t="s">
        <v>920</v>
      </c>
      <c r="I29" s="737" t="b">
        <v>1</v>
      </c>
      <c r="J29" s="83" t="s">
        <v>7</v>
      </c>
      <c r="K29" s="83">
        <f t="shared" si="4"/>
        <v>1</v>
      </c>
      <c r="L29" s="84">
        <v>8000000.0</v>
      </c>
      <c r="M29" s="84">
        <v>30000.0</v>
      </c>
      <c r="N29" s="84">
        <v>1200.0</v>
      </c>
      <c r="O29" s="84">
        <f t="shared" si="5"/>
        <v>266.6666667</v>
      </c>
      <c r="P29" s="84">
        <f t="shared" si="6"/>
        <v>6666.666667</v>
      </c>
      <c r="Q29" s="84">
        <v>8000000.0</v>
      </c>
      <c r="R29" s="738" t="s">
        <v>921</v>
      </c>
      <c r="S29" s="85" t="s">
        <v>65</v>
      </c>
      <c r="T29" s="739"/>
      <c r="U29" s="733" t="s">
        <v>45</v>
      </c>
      <c r="V29" s="87"/>
      <c r="W29" s="87"/>
      <c r="X29" s="740"/>
      <c r="Y29" s="740"/>
      <c r="Z29" s="751" t="s">
        <v>913</v>
      </c>
      <c r="AA29" s="742">
        <f>3800000/0.9</f>
        <v>4222222.222</v>
      </c>
      <c r="AB29" s="743">
        <v>1.0</v>
      </c>
      <c r="AC29" s="744">
        <v>5000.0</v>
      </c>
      <c r="AD29" s="744">
        <v>25000.0</v>
      </c>
      <c r="AE29" s="744">
        <v>200.0</v>
      </c>
      <c r="AF29" s="745">
        <v>1000.0</v>
      </c>
      <c r="AG29" s="746"/>
      <c r="AH29" s="744"/>
      <c r="AI29" s="744"/>
      <c r="AJ29" s="744"/>
      <c r="AK29" s="747">
        <f t="shared" si="7"/>
        <v>100000</v>
      </c>
      <c r="AL29" s="747">
        <f t="shared" si="8"/>
        <v>4322222.222</v>
      </c>
      <c r="AM29" s="747">
        <f t="shared" si="9"/>
        <v>3677777.778</v>
      </c>
      <c r="AN29" s="748">
        <f t="shared" si="10"/>
        <v>0.4597222222</v>
      </c>
      <c r="AO29" s="9"/>
      <c r="AP29" s="9"/>
      <c r="AQ29" s="9"/>
      <c r="AR29" s="9"/>
    </row>
    <row r="30" ht="59.25" customHeight="1" outlineLevel="1">
      <c r="A30" s="72"/>
      <c r="B30" s="72"/>
      <c r="C30" s="72"/>
      <c r="D30" s="72"/>
      <c r="E30" s="72"/>
      <c r="F30" s="72"/>
      <c r="G30" s="72"/>
      <c r="H30" s="750" t="s">
        <v>922</v>
      </c>
      <c r="I30" s="737" t="b">
        <v>1</v>
      </c>
      <c r="J30" s="83" t="s">
        <v>47</v>
      </c>
      <c r="K30" s="83">
        <f t="shared" si="4"/>
        <v>1</v>
      </c>
      <c r="L30" s="84">
        <v>4000000.0</v>
      </c>
      <c r="M30" s="84">
        <v>0.0</v>
      </c>
      <c r="N30" s="84">
        <v>0.0</v>
      </c>
      <c r="O30" s="84" t="str">
        <f t="shared" si="5"/>
        <v>-</v>
      </c>
      <c r="P30" s="84" t="str">
        <f t="shared" si="6"/>
        <v>-</v>
      </c>
      <c r="Q30" s="84">
        <v>4000000.0</v>
      </c>
      <c r="R30" s="72"/>
      <c r="S30" s="72"/>
      <c r="T30" s="72"/>
      <c r="U30" s="72"/>
      <c r="V30" s="9"/>
      <c r="W30" s="9"/>
      <c r="X30" s="26"/>
      <c r="Y30" s="26"/>
      <c r="Z30" s="751" t="s">
        <v>923</v>
      </c>
      <c r="AA30" s="742">
        <v>0.0</v>
      </c>
      <c r="AB30" s="743"/>
      <c r="AC30" s="744"/>
      <c r="AD30" s="744"/>
      <c r="AE30" s="744"/>
      <c r="AF30" s="745"/>
      <c r="AG30" s="746"/>
      <c r="AH30" s="744"/>
      <c r="AI30" s="744"/>
      <c r="AJ30" s="744"/>
      <c r="AK30" s="747">
        <f t="shared" si="7"/>
        <v>0</v>
      </c>
      <c r="AL30" s="747">
        <f t="shared" si="8"/>
        <v>0</v>
      </c>
      <c r="AM30" s="747">
        <f t="shared" si="9"/>
        <v>4000000</v>
      </c>
      <c r="AN30" s="748">
        <f t="shared" si="10"/>
        <v>1</v>
      </c>
      <c r="AO30" s="9"/>
      <c r="AP30" s="9"/>
      <c r="AQ30" s="9"/>
      <c r="AR30" s="9"/>
    </row>
    <row r="31" ht="59.25" customHeight="1" outlineLevel="1">
      <c r="A31" s="729" t="s">
        <v>36</v>
      </c>
      <c r="B31" s="752" t="s">
        <v>67</v>
      </c>
      <c r="C31" s="731" t="s">
        <v>38</v>
      </c>
      <c r="D31" s="732" t="s">
        <v>68</v>
      </c>
      <c r="E31" s="733" t="s">
        <v>40</v>
      </c>
      <c r="F31" s="734" t="s">
        <v>21</v>
      </c>
      <c r="G31" s="735" t="s">
        <v>50</v>
      </c>
      <c r="H31" s="736" t="s">
        <v>924</v>
      </c>
      <c r="I31" s="737" t="b">
        <v>1</v>
      </c>
      <c r="J31" s="83" t="s">
        <v>7</v>
      </c>
      <c r="K31" s="83">
        <f t="shared" si="4"/>
        <v>1</v>
      </c>
      <c r="L31" s="84">
        <v>1.0E7</v>
      </c>
      <c r="M31" s="84">
        <v>50000.0</v>
      </c>
      <c r="N31" s="84">
        <v>3000.0</v>
      </c>
      <c r="O31" s="84">
        <f t="shared" si="5"/>
        <v>200</v>
      </c>
      <c r="P31" s="84">
        <f t="shared" si="6"/>
        <v>3333.333333</v>
      </c>
      <c r="Q31" s="84">
        <v>1.0E7</v>
      </c>
      <c r="R31" s="738" t="s">
        <v>925</v>
      </c>
      <c r="S31" s="85" t="s">
        <v>71</v>
      </c>
      <c r="T31" s="739"/>
      <c r="U31" s="733" t="s">
        <v>45</v>
      </c>
      <c r="V31" s="87"/>
      <c r="W31" s="87"/>
      <c r="X31" s="740"/>
      <c r="Y31" s="740"/>
      <c r="Z31" s="751" t="s">
        <v>913</v>
      </c>
      <c r="AA31" s="742">
        <f>5000000/0.9</f>
        <v>5555555.556</v>
      </c>
      <c r="AB31" s="743">
        <v>0.8</v>
      </c>
      <c r="AC31" s="744">
        <v>15000.0</v>
      </c>
      <c r="AD31" s="744">
        <v>35000.0</v>
      </c>
      <c r="AE31" s="744">
        <v>1000.0</v>
      </c>
      <c r="AF31" s="745">
        <v>2000.0</v>
      </c>
      <c r="AG31" s="746"/>
      <c r="AH31" s="744"/>
      <c r="AI31" s="744"/>
      <c r="AJ31" s="744"/>
      <c r="AK31" s="747">
        <f t="shared" si="7"/>
        <v>170000</v>
      </c>
      <c r="AL31" s="747">
        <f t="shared" si="8"/>
        <v>5725555.556</v>
      </c>
      <c r="AM31" s="747">
        <f t="shared" si="9"/>
        <v>4274444.444</v>
      </c>
      <c r="AN31" s="748">
        <f t="shared" si="10"/>
        <v>0.4274444444</v>
      </c>
      <c r="AO31" s="9"/>
      <c r="AP31" s="9"/>
      <c r="AQ31" s="9"/>
      <c r="AR31" s="9"/>
    </row>
    <row r="32" ht="59.25" customHeight="1" outlineLevel="1">
      <c r="A32" s="72"/>
      <c r="B32" s="72"/>
      <c r="C32" s="72"/>
      <c r="D32" s="72"/>
      <c r="E32" s="72"/>
      <c r="F32" s="72"/>
      <c r="G32" s="72"/>
      <c r="H32" s="750" t="s">
        <v>926</v>
      </c>
      <c r="I32" s="737" t="b">
        <v>1</v>
      </c>
      <c r="J32" s="83" t="s">
        <v>47</v>
      </c>
      <c r="K32" s="83">
        <f t="shared" si="4"/>
        <v>1</v>
      </c>
      <c r="L32" s="84">
        <v>5000000.0</v>
      </c>
      <c r="M32" s="84">
        <v>0.0</v>
      </c>
      <c r="N32" s="84">
        <v>0.0</v>
      </c>
      <c r="O32" s="84" t="str">
        <f t="shared" si="5"/>
        <v>-</v>
      </c>
      <c r="P32" s="84" t="str">
        <f t="shared" si="6"/>
        <v>-</v>
      </c>
      <c r="Q32" s="84">
        <v>5000000.0</v>
      </c>
      <c r="R32" s="72"/>
      <c r="S32" s="72"/>
      <c r="T32" s="72"/>
      <c r="U32" s="72"/>
      <c r="V32" s="9"/>
      <c r="W32" s="9"/>
      <c r="X32" s="26"/>
      <c r="Y32" s="26"/>
      <c r="Z32" s="751" t="s">
        <v>927</v>
      </c>
      <c r="AA32" s="742">
        <v>0.0</v>
      </c>
      <c r="AB32" s="743"/>
      <c r="AC32" s="744"/>
      <c r="AD32" s="744"/>
      <c r="AE32" s="744"/>
      <c r="AF32" s="745"/>
      <c r="AG32" s="746"/>
      <c r="AH32" s="744"/>
      <c r="AI32" s="744"/>
      <c r="AJ32" s="744"/>
      <c r="AK32" s="747">
        <f t="shared" si="7"/>
        <v>0</v>
      </c>
      <c r="AL32" s="747">
        <f t="shared" si="8"/>
        <v>0</v>
      </c>
      <c r="AM32" s="747">
        <f t="shared" si="9"/>
        <v>5000000</v>
      </c>
      <c r="AN32" s="748">
        <f t="shared" si="10"/>
        <v>1</v>
      </c>
      <c r="AO32" s="9"/>
      <c r="AP32" s="9"/>
      <c r="AQ32" s="9"/>
      <c r="AR32" s="9"/>
    </row>
    <row r="33" ht="59.25" customHeight="1" outlineLevel="1">
      <c r="A33" s="729" t="s">
        <v>73</v>
      </c>
      <c r="B33" s="753" t="s">
        <v>74</v>
      </c>
      <c r="C33" s="731" t="s">
        <v>38</v>
      </c>
      <c r="D33" s="732" t="s">
        <v>75</v>
      </c>
      <c r="E33" s="733" t="s">
        <v>40</v>
      </c>
      <c r="F33" s="734" t="s">
        <v>21</v>
      </c>
      <c r="G33" s="735" t="s">
        <v>50</v>
      </c>
      <c r="H33" s="736" t="s">
        <v>928</v>
      </c>
      <c r="I33" s="737" t="b">
        <v>1</v>
      </c>
      <c r="J33" s="83" t="s">
        <v>7</v>
      </c>
      <c r="K33" s="83">
        <f t="shared" si="4"/>
        <v>1</v>
      </c>
      <c r="L33" s="84">
        <v>3.0E7</v>
      </c>
      <c r="M33" s="84">
        <v>120000.0</v>
      </c>
      <c r="N33" s="84">
        <v>4500.0</v>
      </c>
      <c r="O33" s="84">
        <f t="shared" si="5"/>
        <v>250</v>
      </c>
      <c r="P33" s="84">
        <f t="shared" si="6"/>
        <v>6666.666667</v>
      </c>
      <c r="Q33" s="84">
        <v>3.0E7</v>
      </c>
      <c r="R33" s="738" t="s">
        <v>929</v>
      </c>
      <c r="S33" s="754" t="s">
        <v>78</v>
      </c>
      <c r="T33" s="85" t="s">
        <v>79</v>
      </c>
      <c r="U33" s="733" t="s">
        <v>45</v>
      </c>
      <c r="V33" s="9"/>
      <c r="W33" s="9"/>
      <c r="X33" s="740"/>
      <c r="Y33" s="740"/>
      <c r="Z33" s="741" t="s">
        <v>918</v>
      </c>
      <c r="AA33" s="742">
        <v>1.8E7</v>
      </c>
      <c r="AB33" s="743">
        <v>0.5</v>
      </c>
      <c r="AC33" s="744">
        <v>30000.0</v>
      </c>
      <c r="AD33" s="744">
        <v>90000.0</v>
      </c>
      <c r="AE33" s="744">
        <v>2000.0</v>
      </c>
      <c r="AF33" s="745">
        <v>2500.0</v>
      </c>
      <c r="AG33" s="746"/>
      <c r="AH33" s="744"/>
      <c r="AI33" s="744"/>
      <c r="AJ33" s="744"/>
      <c r="AK33" s="747">
        <f t="shared" si="7"/>
        <v>305000</v>
      </c>
      <c r="AL33" s="747">
        <f t="shared" si="8"/>
        <v>18305000</v>
      </c>
      <c r="AM33" s="747">
        <f t="shared" si="9"/>
        <v>11695000</v>
      </c>
      <c r="AN33" s="748">
        <f t="shared" si="10"/>
        <v>0.3898333333</v>
      </c>
      <c r="AO33" s="9"/>
      <c r="AP33" s="9"/>
      <c r="AQ33" s="9"/>
      <c r="AR33" s="9"/>
    </row>
    <row r="34" ht="59.25" customHeight="1" outlineLevel="1">
      <c r="A34" s="72"/>
      <c r="B34" s="72"/>
      <c r="C34" s="72"/>
      <c r="D34" s="72"/>
      <c r="E34" s="72"/>
      <c r="F34" s="72"/>
      <c r="G34" s="72"/>
      <c r="H34" s="750" t="s">
        <v>930</v>
      </c>
      <c r="I34" s="737" t="b">
        <v>1</v>
      </c>
      <c r="J34" s="83" t="s">
        <v>47</v>
      </c>
      <c r="K34" s="83">
        <f t="shared" si="4"/>
        <v>1</v>
      </c>
      <c r="L34" s="84">
        <v>1.7E7</v>
      </c>
      <c r="M34" s="84">
        <v>0.0</v>
      </c>
      <c r="N34" s="84">
        <v>0.0</v>
      </c>
      <c r="O34" s="84" t="s">
        <v>81</v>
      </c>
      <c r="P34" s="84" t="s">
        <v>81</v>
      </c>
      <c r="Q34" s="84">
        <v>1.7E7</v>
      </c>
      <c r="R34" s="72"/>
      <c r="S34" s="72"/>
      <c r="T34" s="72"/>
      <c r="U34" s="72"/>
      <c r="V34" s="9"/>
      <c r="W34" s="9"/>
      <c r="X34" s="26"/>
      <c r="Y34" s="26"/>
      <c r="Z34" s="751" t="s">
        <v>910</v>
      </c>
      <c r="AA34" s="742">
        <v>1.0E7</v>
      </c>
      <c r="AB34" s="743">
        <v>0.5</v>
      </c>
      <c r="AC34" s="744"/>
      <c r="AD34" s="744"/>
      <c r="AE34" s="744"/>
      <c r="AF34" s="745"/>
      <c r="AG34" s="746"/>
      <c r="AH34" s="744"/>
      <c r="AI34" s="744"/>
      <c r="AJ34" s="744"/>
      <c r="AK34" s="747">
        <f t="shared" si="7"/>
        <v>0</v>
      </c>
      <c r="AL34" s="747">
        <f t="shared" si="8"/>
        <v>10000000</v>
      </c>
      <c r="AM34" s="747">
        <f t="shared" si="9"/>
        <v>7000000</v>
      </c>
      <c r="AN34" s="748">
        <f t="shared" si="10"/>
        <v>0.4117647059</v>
      </c>
      <c r="AO34" s="9"/>
      <c r="AP34" s="9"/>
      <c r="AQ34" s="9"/>
      <c r="AR34" s="9"/>
    </row>
    <row r="35" ht="59.25" customHeight="1" outlineLevel="1">
      <c r="A35" s="729" t="s">
        <v>73</v>
      </c>
      <c r="B35" s="755" t="s">
        <v>89</v>
      </c>
      <c r="C35" s="731" t="s">
        <v>38</v>
      </c>
      <c r="D35" s="732" t="s">
        <v>90</v>
      </c>
      <c r="E35" s="733" t="s">
        <v>40</v>
      </c>
      <c r="F35" s="734" t="s">
        <v>21</v>
      </c>
      <c r="G35" s="735" t="s">
        <v>50</v>
      </c>
      <c r="H35" s="736" t="s">
        <v>931</v>
      </c>
      <c r="I35" s="737" t="b">
        <v>1</v>
      </c>
      <c r="J35" s="83" t="s">
        <v>7</v>
      </c>
      <c r="K35" s="83">
        <f t="shared" si="4"/>
        <v>1</v>
      </c>
      <c r="L35" s="84">
        <v>1.7E7</v>
      </c>
      <c r="M35" s="84">
        <v>100000.0</v>
      </c>
      <c r="N35" s="84">
        <v>4000.0</v>
      </c>
      <c r="O35" s="84">
        <f t="shared" ref="O35:O40" si="11">IFERROR(Q35/M35,"-")</f>
        <v>170</v>
      </c>
      <c r="P35" s="84">
        <f t="shared" ref="P35:P40" si="12">IFERROR(Q35/N35,"-")</f>
        <v>4250</v>
      </c>
      <c r="Q35" s="84">
        <v>1.7E7</v>
      </c>
      <c r="R35" s="738" t="s">
        <v>932</v>
      </c>
      <c r="S35" s="85" t="s">
        <v>93</v>
      </c>
      <c r="T35" s="85" t="s">
        <v>79</v>
      </c>
      <c r="U35" s="733" t="s">
        <v>45</v>
      </c>
      <c r="V35" s="9"/>
      <c r="W35" s="9"/>
      <c r="X35" s="740"/>
      <c r="Y35" s="740"/>
      <c r="Z35" s="741" t="s">
        <v>933</v>
      </c>
      <c r="AA35" s="742">
        <f>3500000/0.9</f>
        <v>3888888.889</v>
      </c>
      <c r="AB35" s="743">
        <v>2.5</v>
      </c>
      <c r="AC35" s="744">
        <v>50000.0</v>
      </c>
      <c r="AD35" s="744">
        <v>50000.0</v>
      </c>
      <c r="AE35" s="744">
        <v>2000.0</v>
      </c>
      <c r="AF35" s="745">
        <v>2000.0</v>
      </c>
      <c r="AG35" s="746"/>
      <c r="AH35" s="744"/>
      <c r="AI35" s="744"/>
      <c r="AJ35" s="744"/>
      <c r="AK35" s="747">
        <f t="shared" si="7"/>
        <v>200000</v>
      </c>
      <c r="AL35" s="747">
        <f t="shared" si="8"/>
        <v>4088888.889</v>
      </c>
      <c r="AM35" s="747">
        <f t="shared" si="9"/>
        <v>12911111.11</v>
      </c>
      <c r="AN35" s="748">
        <f t="shared" si="10"/>
        <v>0.7594771242</v>
      </c>
      <c r="AO35" s="9"/>
      <c r="AP35" s="9"/>
      <c r="AQ35" s="9"/>
      <c r="AR35" s="9"/>
    </row>
    <row r="36" ht="59.25" customHeight="1" outlineLevel="1">
      <c r="A36" s="72"/>
      <c r="B36" s="72"/>
      <c r="C36" s="72"/>
      <c r="D36" s="72"/>
      <c r="E36" s="72"/>
      <c r="F36" s="72"/>
      <c r="G36" s="72"/>
      <c r="H36" s="750" t="s">
        <v>934</v>
      </c>
      <c r="I36" s="737" t="b">
        <v>1</v>
      </c>
      <c r="J36" s="83" t="s">
        <v>47</v>
      </c>
      <c r="K36" s="83">
        <f t="shared" si="4"/>
        <v>1</v>
      </c>
      <c r="L36" s="84">
        <v>7000000.0</v>
      </c>
      <c r="M36" s="84">
        <v>0.0</v>
      </c>
      <c r="N36" s="84">
        <v>0.0</v>
      </c>
      <c r="O36" s="84" t="str">
        <f t="shared" si="11"/>
        <v>-</v>
      </c>
      <c r="P36" s="84" t="str">
        <f t="shared" si="12"/>
        <v>-</v>
      </c>
      <c r="Q36" s="84">
        <v>7000000.0</v>
      </c>
      <c r="R36" s="72"/>
      <c r="S36" s="72"/>
      <c r="T36" s="72"/>
      <c r="U36" s="72"/>
      <c r="V36" s="9"/>
      <c r="W36" s="9"/>
      <c r="X36" s="26"/>
      <c r="Y36" s="26"/>
      <c r="Z36" s="751" t="s">
        <v>910</v>
      </c>
      <c r="AA36" s="742"/>
      <c r="AB36" s="743">
        <v>2.0</v>
      </c>
      <c r="AC36" s="744"/>
      <c r="AD36" s="744"/>
      <c r="AE36" s="744"/>
      <c r="AF36" s="745"/>
      <c r="AG36" s="746"/>
      <c r="AH36" s="744"/>
      <c r="AI36" s="744"/>
      <c r="AJ36" s="744"/>
      <c r="AK36" s="747">
        <f t="shared" si="7"/>
        <v>0</v>
      </c>
      <c r="AL36" s="747">
        <f t="shared" si="8"/>
        <v>0</v>
      </c>
      <c r="AM36" s="747">
        <f t="shared" si="9"/>
        <v>7000000</v>
      </c>
      <c r="AN36" s="748">
        <f t="shared" si="10"/>
        <v>1</v>
      </c>
      <c r="AO36" s="9"/>
      <c r="AP36" s="9"/>
      <c r="AQ36" s="9"/>
      <c r="AR36" s="9"/>
    </row>
    <row r="37" ht="59.25" customHeight="1" outlineLevel="1">
      <c r="A37" s="729" t="s">
        <v>109</v>
      </c>
      <c r="B37" s="756" t="s">
        <v>110</v>
      </c>
      <c r="C37" s="731" t="s">
        <v>38</v>
      </c>
      <c r="D37" s="735" t="s">
        <v>111</v>
      </c>
      <c r="E37" s="733" t="s">
        <v>40</v>
      </c>
      <c r="F37" s="757" t="s">
        <v>112</v>
      </c>
      <c r="G37" s="735" t="s">
        <v>105</v>
      </c>
      <c r="H37" s="736" t="s">
        <v>935</v>
      </c>
      <c r="I37" s="758" t="b">
        <v>1</v>
      </c>
      <c r="J37" s="83" t="s">
        <v>7</v>
      </c>
      <c r="K37" s="99">
        <f t="shared" si="4"/>
        <v>1</v>
      </c>
      <c r="L37" s="84">
        <v>1.9E7</v>
      </c>
      <c r="M37" s="100">
        <v>65000.0</v>
      </c>
      <c r="N37" s="100">
        <v>3000.0</v>
      </c>
      <c r="O37" s="100">
        <f t="shared" si="11"/>
        <v>292.3076923</v>
      </c>
      <c r="P37" s="100">
        <f t="shared" si="12"/>
        <v>6333.333333</v>
      </c>
      <c r="Q37" s="84">
        <v>1.9E7</v>
      </c>
      <c r="R37" s="738" t="s">
        <v>936</v>
      </c>
      <c r="S37" s="739"/>
      <c r="T37" s="739"/>
      <c r="U37" s="733" t="s">
        <v>45</v>
      </c>
      <c r="V37" s="9"/>
      <c r="W37" s="9"/>
      <c r="X37" s="740"/>
      <c r="Y37" s="740"/>
      <c r="Z37" s="759" t="s">
        <v>937</v>
      </c>
      <c r="AA37" s="760">
        <v>1.1E7</v>
      </c>
      <c r="AB37" s="743">
        <v>0.7</v>
      </c>
      <c r="AC37" s="744">
        <v>10000.0</v>
      </c>
      <c r="AD37" s="744">
        <v>55000.0</v>
      </c>
      <c r="AE37" s="744"/>
      <c r="AF37" s="745">
        <v>3000.0</v>
      </c>
      <c r="AG37" s="746"/>
      <c r="AH37" s="744"/>
      <c r="AI37" s="744"/>
      <c r="AJ37" s="744"/>
      <c r="AK37" s="747">
        <f t="shared" si="7"/>
        <v>260000</v>
      </c>
      <c r="AL37" s="747">
        <f t="shared" si="8"/>
        <v>11260000</v>
      </c>
      <c r="AM37" s="747">
        <f t="shared" si="9"/>
        <v>7740000</v>
      </c>
      <c r="AN37" s="748">
        <f t="shared" si="10"/>
        <v>0.4073684211</v>
      </c>
      <c r="AO37" s="9"/>
      <c r="AP37" s="9"/>
      <c r="AQ37" s="9"/>
      <c r="AR37" s="9"/>
    </row>
    <row r="38" ht="59.25" customHeight="1" outlineLevel="1">
      <c r="A38" s="72"/>
      <c r="B38" s="72"/>
      <c r="C38" s="72"/>
      <c r="D38" s="72"/>
      <c r="E38" s="72"/>
      <c r="F38" s="72"/>
      <c r="G38" s="72"/>
      <c r="H38" s="750" t="s">
        <v>938</v>
      </c>
      <c r="I38" s="758" t="b">
        <v>1</v>
      </c>
      <c r="J38" s="99" t="s">
        <v>47</v>
      </c>
      <c r="K38" s="99">
        <f t="shared" si="4"/>
        <v>1</v>
      </c>
      <c r="L38" s="84">
        <v>6000000.0</v>
      </c>
      <c r="M38" s="100">
        <v>0.0</v>
      </c>
      <c r="N38" s="100">
        <v>0.0</v>
      </c>
      <c r="O38" s="100" t="str">
        <f t="shared" si="11"/>
        <v>-</v>
      </c>
      <c r="P38" s="100" t="str">
        <f t="shared" si="12"/>
        <v>-</v>
      </c>
      <c r="Q38" s="84">
        <v>6000000.0</v>
      </c>
      <c r="R38" s="72"/>
      <c r="S38" s="72"/>
      <c r="T38" s="72"/>
      <c r="U38" s="72"/>
      <c r="V38" s="9"/>
      <c r="W38" s="9"/>
      <c r="X38" s="26"/>
      <c r="Y38" s="26"/>
      <c r="AA38" s="760">
        <v>3500000.0</v>
      </c>
      <c r="AB38" s="743">
        <v>0.7</v>
      </c>
      <c r="AC38" s="744"/>
      <c r="AD38" s="744"/>
      <c r="AE38" s="744"/>
      <c r="AF38" s="745"/>
      <c r="AG38" s="746"/>
      <c r="AH38" s="744"/>
      <c r="AI38" s="744"/>
      <c r="AJ38" s="744"/>
      <c r="AK38" s="747">
        <f t="shared" si="7"/>
        <v>0</v>
      </c>
      <c r="AL38" s="747">
        <f t="shared" si="8"/>
        <v>3500000</v>
      </c>
      <c r="AM38" s="747">
        <f t="shared" si="9"/>
        <v>2500000</v>
      </c>
      <c r="AN38" s="748">
        <f t="shared" si="10"/>
        <v>0.4166666667</v>
      </c>
      <c r="AO38" s="9"/>
      <c r="AP38" s="9"/>
      <c r="AQ38" s="9"/>
      <c r="AR38" s="9"/>
    </row>
    <row r="39" ht="59.25" customHeight="1" outlineLevel="1">
      <c r="A39" s="77" t="s">
        <v>101</v>
      </c>
      <c r="B39" s="756" t="s">
        <v>102</v>
      </c>
      <c r="C39" s="731" t="s">
        <v>38</v>
      </c>
      <c r="D39" s="735" t="s">
        <v>103</v>
      </c>
      <c r="E39" s="733" t="s">
        <v>40</v>
      </c>
      <c r="F39" s="757" t="s">
        <v>104</v>
      </c>
      <c r="G39" s="735" t="s">
        <v>105</v>
      </c>
      <c r="H39" s="761" t="s">
        <v>939</v>
      </c>
      <c r="I39" s="97" t="b">
        <v>1</v>
      </c>
      <c r="J39" s="83" t="s">
        <v>7</v>
      </c>
      <c r="K39" s="99">
        <f t="shared" si="4"/>
        <v>1</v>
      </c>
      <c r="L39" s="90">
        <v>1.5E7</v>
      </c>
      <c r="M39" s="100">
        <v>65000.0</v>
      </c>
      <c r="N39" s="100">
        <v>3000.0</v>
      </c>
      <c r="O39" s="100">
        <f t="shared" si="11"/>
        <v>230.7692308</v>
      </c>
      <c r="P39" s="100">
        <f t="shared" si="12"/>
        <v>5000</v>
      </c>
      <c r="Q39" s="84">
        <v>1.5E7</v>
      </c>
      <c r="R39" s="762" t="s">
        <v>940</v>
      </c>
      <c r="S39" s="739"/>
      <c r="T39" s="739"/>
      <c r="U39" s="763" t="s">
        <v>45</v>
      </c>
      <c r="V39" s="9"/>
      <c r="W39" s="9"/>
      <c r="X39" s="740"/>
      <c r="Y39" s="740"/>
      <c r="Z39" s="764" t="s">
        <v>364</v>
      </c>
      <c r="AA39" s="760">
        <v>9000000.0</v>
      </c>
      <c r="AB39" s="743">
        <v>0.7</v>
      </c>
      <c r="AC39" s="744">
        <v>15000.0</v>
      </c>
      <c r="AD39" s="744"/>
      <c r="AE39" s="744">
        <v>1000.0</v>
      </c>
      <c r="AF39" s="745"/>
      <c r="AG39" s="746"/>
      <c r="AH39" s="744"/>
      <c r="AI39" s="744"/>
      <c r="AJ39" s="744"/>
      <c r="AK39" s="747">
        <f t="shared" si="7"/>
        <v>0</v>
      </c>
      <c r="AL39" s="747">
        <f t="shared" si="8"/>
        <v>9000000</v>
      </c>
      <c r="AM39" s="747">
        <f t="shared" si="9"/>
        <v>6000000</v>
      </c>
      <c r="AN39" s="748">
        <f t="shared" si="10"/>
        <v>0.4</v>
      </c>
      <c r="AO39" s="9"/>
      <c r="AP39" s="9"/>
      <c r="AQ39" s="9"/>
      <c r="AR39" s="9"/>
    </row>
    <row r="40" ht="59.25" customHeight="1" outlineLevel="1">
      <c r="A40" s="72"/>
      <c r="B40" s="72"/>
      <c r="C40" s="72"/>
      <c r="D40" s="72"/>
      <c r="E40" s="72"/>
      <c r="F40" s="72"/>
      <c r="G40" s="72"/>
      <c r="H40" s="761" t="s">
        <v>941</v>
      </c>
      <c r="I40" s="97" t="b">
        <v>1</v>
      </c>
      <c r="J40" s="99" t="s">
        <v>47</v>
      </c>
      <c r="K40" s="99">
        <f t="shared" si="4"/>
        <v>1</v>
      </c>
      <c r="L40" s="90">
        <v>4000000.0</v>
      </c>
      <c r="M40" s="100">
        <v>0.0</v>
      </c>
      <c r="N40" s="100">
        <v>0.0</v>
      </c>
      <c r="O40" s="100" t="str">
        <f t="shared" si="11"/>
        <v>-</v>
      </c>
      <c r="P40" s="100" t="str">
        <f t="shared" si="12"/>
        <v>-</v>
      </c>
      <c r="Q40" s="84">
        <v>4000000.0</v>
      </c>
      <c r="R40" s="72"/>
      <c r="S40" s="72"/>
      <c r="T40" s="72"/>
      <c r="U40" s="72"/>
      <c r="V40" s="9"/>
      <c r="W40" s="9"/>
      <c r="X40" s="26"/>
      <c r="Y40" s="26"/>
      <c r="AA40" s="760"/>
      <c r="AB40" s="743">
        <v>0.7</v>
      </c>
      <c r="AC40" s="744"/>
      <c r="AD40" s="744"/>
      <c r="AE40" s="744"/>
      <c r="AF40" s="745"/>
      <c r="AG40" s="746"/>
      <c r="AH40" s="744"/>
      <c r="AI40" s="744"/>
      <c r="AJ40" s="744"/>
      <c r="AK40" s="747">
        <f t="shared" si="7"/>
        <v>0</v>
      </c>
      <c r="AL40" s="747">
        <f t="shared" si="8"/>
        <v>0</v>
      </c>
      <c r="AM40" s="747">
        <f t="shared" si="9"/>
        <v>4000000</v>
      </c>
      <c r="AN40" s="748">
        <f t="shared" si="10"/>
        <v>1</v>
      </c>
      <c r="AO40" s="9"/>
      <c r="AP40" s="9"/>
      <c r="AQ40" s="9"/>
      <c r="AR40" s="9"/>
    </row>
    <row r="41" ht="30.0" customHeight="1">
      <c r="A41" s="709" t="s">
        <v>134</v>
      </c>
      <c r="B41" s="56"/>
      <c r="C41" s="711"/>
      <c r="D41" s="712"/>
      <c r="E41" s="713"/>
      <c r="F41" s="713"/>
      <c r="G41" s="713"/>
      <c r="H41" s="713"/>
      <c r="I41" s="713"/>
      <c r="J41" s="714" t="s">
        <v>7</v>
      </c>
      <c r="K41" s="714">
        <f>SUMIFS(K44:K82,J44:J82,"Video Post")</f>
        <v>18</v>
      </c>
      <c r="L41" s="715"/>
      <c r="M41" s="716">
        <f t="shared" ref="M41:N41" si="13">sumif($I$44:$I$82,"TRUE",M44:M82)</f>
        <v>521500</v>
      </c>
      <c r="N41" s="716">
        <f t="shared" si="13"/>
        <v>30000</v>
      </c>
      <c r="O41" s="715"/>
      <c r="P41" s="715"/>
      <c r="Q41" s="716">
        <v>1.63E8</v>
      </c>
      <c r="R41" s="765"/>
      <c r="S41" s="765"/>
      <c r="T41" s="765"/>
      <c r="U41" s="765"/>
      <c r="V41" s="69"/>
      <c r="W41" s="69"/>
      <c r="X41" s="717"/>
      <c r="Y41" s="717"/>
      <c r="Z41" s="718"/>
      <c r="AA41" s="719"/>
      <c r="AB41" s="720"/>
      <c r="AC41" s="721"/>
      <c r="AD41" s="721"/>
      <c r="AE41" s="721"/>
      <c r="AF41" s="722"/>
      <c r="AG41" s="723"/>
      <c r="AH41" s="721"/>
      <c r="AI41" s="721"/>
      <c r="AJ41" s="721"/>
      <c r="AK41" s="724"/>
      <c r="AL41" s="724"/>
      <c r="AM41" s="724"/>
      <c r="AN41" s="725"/>
      <c r="AO41" s="9"/>
      <c r="AP41" s="9"/>
      <c r="AQ41" s="9"/>
      <c r="AR41" s="9"/>
    </row>
    <row r="42" ht="30.0" customHeight="1">
      <c r="A42" s="70"/>
      <c r="B42" s="71"/>
      <c r="C42" s="711"/>
      <c r="D42" s="712"/>
      <c r="E42" s="713"/>
      <c r="F42" s="713"/>
      <c r="G42" s="713"/>
      <c r="H42" s="713"/>
      <c r="I42" s="713"/>
      <c r="J42" s="714" t="s">
        <v>8</v>
      </c>
      <c r="K42" s="714">
        <f>SUMIFS(K44:K82,J44:J82,"Tháng")</f>
        <v>18</v>
      </c>
      <c r="L42" s="715"/>
      <c r="M42" s="72"/>
      <c r="N42" s="72"/>
      <c r="O42" s="715"/>
      <c r="P42" s="715"/>
      <c r="Q42" s="72"/>
      <c r="R42" s="765"/>
      <c r="S42" s="765"/>
      <c r="T42" s="765"/>
      <c r="U42" s="765"/>
      <c r="V42" s="69"/>
      <c r="W42" s="69"/>
      <c r="X42" s="717"/>
      <c r="Y42" s="717"/>
      <c r="Z42" s="728"/>
      <c r="AA42" s="719"/>
      <c r="AB42" s="720"/>
      <c r="AC42" s="721"/>
      <c r="AD42" s="721"/>
      <c r="AE42" s="721"/>
      <c r="AF42" s="722"/>
      <c r="AG42" s="723"/>
      <c r="AH42" s="721"/>
      <c r="AI42" s="721"/>
      <c r="AJ42" s="721"/>
      <c r="AK42" s="724"/>
      <c r="AL42" s="724"/>
      <c r="AM42" s="724"/>
      <c r="AN42" s="725"/>
      <c r="AO42" s="9"/>
      <c r="AP42" s="9"/>
      <c r="AQ42" s="9"/>
      <c r="AR42" s="9"/>
    </row>
    <row r="43" outlineLevel="1">
      <c r="A43" s="766" t="s">
        <v>135</v>
      </c>
      <c r="B43" s="767" t="s">
        <v>136</v>
      </c>
      <c r="C43" s="768"/>
      <c r="D43" s="769"/>
      <c r="E43" s="768"/>
      <c r="F43" s="770"/>
      <c r="G43" s="770"/>
      <c r="H43" s="770"/>
      <c r="I43" s="771" t="b">
        <v>0</v>
      </c>
      <c r="J43" s="772"/>
      <c r="K43" s="772"/>
      <c r="L43" s="772"/>
      <c r="M43" s="772"/>
      <c r="N43" s="772"/>
      <c r="O43" s="772"/>
      <c r="P43" s="772"/>
      <c r="Q43" s="772"/>
      <c r="R43" s="770"/>
      <c r="S43" s="772"/>
      <c r="T43" s="772"/>
      <c r="U43" s="768"/>
      <c r="V43" s="146"/>
      <c r="W43" s="146"/>
      <c r="X43" s="773"/>
      <c r="Y43" s="773"/>
      <c r="Z43" s="774"/>
      <c r="AA43" s="775"/>
      <c r="AB43" s="776"/>
      <c r="AC43" s="777"/>
      <c r="AD43" s="777"/>
      <c r="AE43" s="777"/>
      <c r="AF43" s="778"/>
      <c r="AG43" s="779"/>
      <c r="AH43" s="777"/>
      <c r="AI43" s="777"/>
      <c r="AJ43" s="777"/>
      <c r="AK43" s="780"/>
      <c r="AL43" s="780"/>
      <c r="AM43" s="780"/>
      <c r="AN43" s="781"/>
      <c r="AO43" s="146"/>
      <c r="AP43" s="146"/>
      <c r="AQ43" s="146"/>
      <c r="AR43" s="146"/>
    </row>
    <row r="44" ht="43.5" customHeight="1" outlineLevel="1">
      <c r="A44" s="729" t="s">
        <v>45</v>
      </c>
      <c r="B44" s="755" t="s">
        <v>137</v>
      </c>
      <c r="C44" s="731" t="s">
        <v>38</v>
      </c>
      <c r="D44" s="732" t="s">
        <v>138</v>
      </c>
      <c r="E44" s="733" t="s">
        <v>40</v>
      </c>
      <c r="F44" s="734" t="s">
        <v>139</v>
      </c>
      <c r="G44" s="735" t="s">
        <v>50</v>
      </c>
      <c r="H44" s="736" t="s">
        <v>942</v>
      </c>
      <c r="I44" s="737" t="b">
        <v>1</v>
      </c>
      <c r="J44" s="83" t="s">
        <v>7</v>
      </c>
      <c r="K44" s="83">
        <f t="shared" ref="K44:K59" si="14">if(I44=True,1,if(I44=False,0))</f>
        <v>1</v>
      </c>
      <c r="L44" s="84">
        <v>6000000.0</v>
      </c>
      <c r="M44" s="84">
        <v>30000.0</v>
      </c>
      <c r="N44" s="84">
        <v>2000.0</v>
      </c>
      <c r="O44" s="84">
        <f>IFERROR(Q44/M44,"-")</f>
        <v>200</v>
      </c>
      <c r="P44" s="84">
        <f>IFERROR(Q44/N44,"-")</f>
        <v>3000</v>
      </c>
      <c r="Q44" s="84">
        <v>6000000.0</v>
      </c>
      <c r="R44" s="738" t="s">
        <v>943</v>
      </c>
      <c r="S44" s="85" t="s">
        <v>142</v>
      </c>
      <c r="T44" s="739"/>
      <c r="U44" s="733" t="s">
        <v>45</v>
      </c>
      <c r="V44" s="9"/>
      <c r="W44" s="9"/>
      <c r="X44" s="740"/>
      <c r="Y44" s="740"/>
      <c r="Z44" s="741" t="s">
        <v>944</v>
      </c>
      <c r="AA44" s="742">
        <f>3300000/0.9</f>
        <v>3666666.667</v>
      </c>
      <c r="AB44" s="743">
        <v>0.5</v>
      </c>
      <c r="AC44" s="744">
        <v>20000.0</v>
      </c>
      <c r="AD44" s="744">
        <v>10000.0</v>
      </c>
      <c r="AE44" s="744">
        <v>1000.0</v>
      </c>
      <c r="AF44" s="745">
        <v>1000.0</v>
      </c>
      <c r="AG44" s="746"/>
      <c r="AH44" s="744"/>
      <c r="AI44" s="744"/>
      <c r="AJ44" s="744"/>
      <c r="AK44" s="747">
        <f t="shared" ref="AK44:AK59" si="15">(AD44*2+AF44*50+AH44*10+AJ44*50)*K44</f>
        <v>70000</v>
      </c>
      <c r="AL44" s="747">
        <f t="shared" ref="AL44:AL59" si="16">sum(AA44,AK44)*K44</f>
        <v>3736666.667</v>
      </c>
      <c r="AM44" s="747">
        <f t="shared" ref="AM44:AM59" si="17">iferror(Q44-AL44,"-")</f>
        <v>2263333.333</v>
      </c>
      <c r="AN44" s="748">
        <f t="shared" ref="AN44:AN59" si="18">iferror(AM44/Q44,"-")</f>
        <v>0.3772222222</v>
      </c>
      <c r="AO44" s="9"/>
      <c r="AP44" s="9"/>
      <c r="AQ44" s="9"/>
      <c r="AR44" s="9"/>
    </row>
    <row r="45" ht="43.5" customHeight="1" outlineLevel="1">
      <c r="A45" s="72"/>
      <c r="B45" s="72"/>
      <c r="C45" s="72"/>
      <c r="D45" s="72"/>
      <c r="E45" s="72"/>
      <c r="F45" s="72"/>
      <c r="G45" s="72"/>
      <c r="H45" s="750" t="s">
        <v>945</v>
      </c>
      <c r="I45" s="737" t="b">
        <v>1</v>
      </c>
      <c r="J45" s="83" t="s">
        <v>47</v>
      </c>
      <c r="K45" s="83">
        <f t="shared" si="14"/>
        <v>1</v>
      </c>
      <c r="L45" s="84">
        <v>2000000.0</v>
      </c>
      <c r="M45" s="84">
        <v>0.0</v>
      </c>
      <c r="N45" s="84">
        <v>0.0</v>
      </c>
      <c r="O45" s="84" t="s">
        <v>81</v>
      </c>
      <c r="P45" s="84" t="s">
        <v>81</v>
      </c>
      <c r="Q45" s="84">
        <v>2000000.0</v>
      </c>
      <c r="R45" s="72"/>
      <c r="S45" s="72"/>
      <c r="T45" s="72"/>
      <c r="U45" s="72"/>
      <c r="V45" s="9"/>
      <c r="W45" s="9"/>
      <c r="X45" s="26"/>
      <c r="Y45" s="26"/>
      <c r="Z45" s="751" t="s">
        <v>910</v>
      </c>
      <c r="AA45" s="742">
        <v>0.0</v>
      </c>
      <c r="AB45" s="743">
        <v>0.5</v>
      </c>
      <c r="AC45" s="744"/>
      <c r="AD45" s="744"/>
      <c r="AE45" s="744"/>
      <c r="AF45" s="745"/>
      <c r="AG45" s="746"/>
      <c r="AH45" s="744"/>
      <c r="AI45" s="744"/>
      <c r="AJ45" s="744"/>
      <c r="AK45" s="747">
        <f t="shared" si="15"/>
        <v>0</v>
      </c>
      <c r="AL45" s="747">
        <f t="shared" si="16"/>
        <v>0</v>
      </c>
      <c r="AM45" s="747">
        <f t="shared" si="17"/>
        <v>2000000</v>
      </c>
      <c r="AN45" s="748">
        <f t="shared" si="18"/>
        <v>1</v>
      </c>
      <c r="AO45" s="9"/>
      <c r="AP45" s="9"/>
      <c r="AQ45" s="9"/>
      <c r="AR45" s="9"/>
    </row>
    <row r="46" ht="43.5" customHeight="1" outlineLevel="1">
      <c r="A46" s="729" t="s">
        <v>45</v>
      </c>
      <c r="B46" s="755" t="s">
        <v>144</v>
      </c>
      <c r="C46" s="731" t="s">
        <v>38</v>
      </c>
      <c r="D46" s="732" t="s">
        <v>145</v>
      </c>
      <c r="E46" s="733" t="s">
        <v>146</v>
      </c>
      <c r="F46" s="734" t="s">
        <v>139</v>
      </c>
      <c r="G46" s="735" t="s">
        <v>50</v>
      </c>
      <c r="H46" s="736" t="s">
        <v>946</v>
      </c>
      <c r="I46" s="737" t="b">
        <v>1</v>
      </c>
      <c r="J46" s="83" t="s">
        <v>7</v>
      </c>
      <c r="K46" s="83">
        <f t="shared" si="14"/>
        <v>1</v>
      </c>
      <c r="L46" s="84">
        <v>5000000.0</v>
      </c>
      <c r="M46" s="84">
        <v>20000.0</v>
      </c>
      <c r="N46" s="84">
        <v>1500.0</v>
      </c>
      <c r="O46" s="84">
        <f t="shared" ref="O46:O59" si="19">IFERROR(Q46/M46,"-")</f>
        <v>250</v>
      </c>
      <c r="P46" s="84">
        <f t="shared" ref="P46:P59" si="20">IFERROR(Q46/N46,"-")</f>
        <v>3333.333333</v>
      </c>
      <c r="Q46" s="84">
        <v>5000000.0</v>
      </c>
      <c r="R46" s="738" t="s">
        <v>947</v>
      </c>
      <c r="S46" s="85" t="s">
        <v>149</v>
      </c>
      <c r="T46" s="739"/>
      <c r="U46" s="733" t="s">
        <v>45</v>
      </c>
      <c r="V46" s="87"/>
      <c r="W46" s="87"/>
      <c r="X46" s="740"/>
      <c r="Y46" s="740"/>
      <c r="Z46" s="741" t="s">
        <v>948</v>
      </c>
      <c r="AA46" s="742">
        <f>3300000/0.9</f>
        <v>3666666.667</v>
      </c>
      <c r="AB46" s="743">
        <v>0.5</v>
      </c>
      <c r="AC46" s="744">
        <v>10000.0</v>
      </c>
      <c r="AD46" s="744">
        <v>10000.0</v>
      </c>
      <c r="AE46" s="744">
        <v>500.0</v>
      </c>
      <c r="AF46" s="745">
        <v>1000.0</v>
      </c>
      <c r="AG46" s="746"/>
      <c r="AH46" s="744"/>
      <c r="AI46" s="744"/>
      <c r="AJ46" s="744"/>
      <c r="AK46" s="747">
        <f t="shared" si="15"/>
        <v>70000</v>
      </c>
      <c r="AL46" s="747">
        <f t="shared" si="16"/>
        <v>3736666.667</v>
      </c>
      <c r="AM46" s="747">
        <f t="shared" si="17"/>
        <v>1263333.333</v>
      </c>
      <c r="AN46" s="748">
        <f t="shared" si="18"/>
        <v>0.2526666667</v>
      </c>
      <c r="AO46" s="9"/>
      <c r="AP46" s="9"/>
      <c r="AQ46" s="9"/>
      <c r="AR46" s="9"/>
    </row>
    <row r="47" ht="43.5" customHeight="1" outlineLevel="1">
      <c r="A47" s="72"/>
      <c r="B47" s="72"/>
      <c r="C47" s="72"/>
      <c r="D47" s="72"/>
      <c r="E47" s="72"/>
      <c r="F47" s="72"/>
      <c r="G47" s="72"/>
      <c r="H47" s="750" t="s">
        <v>949</v>
      </c>
      <c r="I47" s="737" t="b">
        <v>1</v>
      </c>
      <c r="J47" s="83" t="s">
        <v>47</v>
      </c>
      <c r="K47" s="83">
        <f t="shared" si="14"/>
        <v>1</v>
      </c>
      <c r="L47" s="84">
        <v>2000000.0</v>
      </c>
      <c r="M47" s="84">
        <v>0.0</v>
      </c>
      <c r="N47" s="84">
        <v>0.0</v>
      </c>
      <c r="O47" s="84" t="str">
        <f t="shared" si="19"/>
        <v>-</v>
      </c>
      <c r="P47" s="84" t="str">
        <f t="shared" si="20"/>
        <v>-</v>
      </c>
      <c r="Q47" s="84">
        <v>2000000.0</v>
      </c>
      <c r="R47" s="72"/>
      <c r="S47" s="72"/>
      <c r="T47" s="72"/>
      <c r="U47" s="72"/>
      <c r="V47" s="9"/>
      <c r="W47" s="9"/>
      <c r="X47" s="26"/>
      <c r="Y47" s="26"/>
      <c r="Z47" s="751" t="s">
        <v>910</v>
      </c>
      <c r="AA47" s="742"/>
      <c r="AB47" s="743">
        <v>0.8</v>
      </c>
      <c r="AC47" s="744"/>
      <c r="AD47" s="744"/>
      <c r="AE47" s="744"/>
      <c r="AF47" s="745"/>
      <c r="AG47" s="746"/>
      <c r="AH47" s="744"/>
      <c r="AI47" s="744"/>
      <c r="AJ47" s="744"/>
      <c r="AK47" s="747">
        <f t="shared" si="15"/>
        <v>0</v>
      </c>
      <c r="AL47" s="747">
        <f t="shared" si="16"/>
        <v>0</v>
      </c>
      <c r="AM47" s="747">
        <f t="shared" si="17"/>
        <v>2000000</v>
      </c>
      <c r="AN47" s="748">
        <f t="shared" si="18"/>
        <v>1</v>
      </c>
      <c r="AO47" s="9"/>
      <c r="AP47" s="9"/>
      <c r="AQ47" s="9"/>
      <c r="AR47" s="9"/>
    </row>
    <row r="48" ht="43.5" customHeight="1" outlineLevel="1">
      <c r="A48" s="729" t="s">
        <v>45</v>
      </c>
      <c r="B48" s="755" t="s">
        <v>151</v>
      </c>
      <c r="C48" s="731" t="s">
        <v>38</v>
      </c>
      <c r="D48" s="732" t="s">
        <v>152</v>
      </c>
      <c r="E48" s="733" t="s">
        <v>146</v>
      </c>
      <c r="F48" s="734" t="s">
        <v>139</v>
      </c>
      <c r="G48" s="735" t="s">
        <v>50</v>
      </c>
      <c r="H48" s="736" t="s">
        <v>950</v>
      </c>
      <c r="I48" s="737" t="b">
        <v>1</v>
      </c>
      <c r="J48" s="83" t="s">
        <v>7</v>
      </c>
      <c r="K48" s="83">
        <f t="shared" si="14"/>
        <v>1</v>
      </c>
      <c r="L48" s="84">
        <v>3000000.0</v>
      </c>
      <c r="M48" s="84">
        <v>20000.0</v>
      </c>
      <c r="N48" s="84">
        <v>1500.0</v>
      </c>
      <c r="O48" s="84">
        <f t="shared" si="19"/>
        <v>150</v>
      </c>
      <c r="P48" s="84">
        <f t="shared" si="20"/>
        <v>2000</v>
      </c>
      <c r="Q48" s="84">
        <v>3000000.0</v>
      </c>
      <c r="R48" s="738" t="s">
        <v>951</v>
      </c>
      <c r="S48" s="85" t="s">
        <v>155</v>
      </c>
      <c r="T48" s="739"/>
      <c r="U48" s="733" t="s">
        <v>45</v>
      </c>
      <c r="V48" s="9"/>
      <c r="W48" s="9"/>
      <c r="X48" s="740"/>
      <c r="Y48" s="740"/>
      <c r="Z48" s="741" t="s">
        <v>952</v>
      </c>
      <c r="AA48" s="742">
        <f>2000000/0.9</f>
        <v>2222222.222</v>
      </c>
      <c r="AB48" s="743">
        <v>0.5</v>
      </c>
      <c r="AC48" s="744">
        <v>10000.0</v>
      </c>
      <c r="AD48" s="744">
        <v>10000.0</v>
      </c>
      <c r="AE48" s="744">
        <v>500.0</v>
      </c>
      <c r="AF48" s="745">
        <v>1000.0</v>
      </c>
      <c r="AG48" s="746"/>
      <c r="AH48" s="744"/>
      <c r="AI48" s="744"/>
      <c r="AJ48" s="744"/>
      <c r="AK48" s="747">
        <f t="shared" si="15"/>
        <v>70000</v>
      </c>
      <c r="AL48" s="747">
        <f t="shared" si="16"/>
        <v>2292222.222</v>
      </c>
      <c r="AM48" s="747">
        <f t="shared" si="17"/>
        <v>707777.7778</v>
      </c>
      <c r="AN48" s="748">
        <f t="shared" si="18"/>
        <v>0.2359259259</v>
      </c>
      <c r="AO48" s="9"/>
      <c r="AP48" s="9"/>
      <c r="AQ48" s="9"/>
      <c r="AR48" s="9"/>
    </row>
    <row r="49" ht="43.5" customHeight="1" outlineLevel="1">
      <c r="A49" s="72"/>
      <c r="B49" s="72"/>
      <c r="C49" s="72"/>
      <c r="D49" s="72"/>
      <c r="E49" s="72"/>
      <c r="F49" s="72"/>
      <c r="G49" s="72"/>
      <c r="H49" s="750" t="s">
        <v>953</v>
      </c>
      <c r="I49" s="737" t="b">
        <v>1</v>
      </c>
      <c r="J49" s="83" t="s">
        <v>47</v>
      </c>
      <c r="K49" s="83">
        <f t="shared" si="14"/>
        <v>1</v>
      </c>
      <c r="L49" s="84">
        <v>2000000.0</v>
      </c>
      <c r="M49" s="84">
        <v>0.0</v>
      </c>
      <c r="N49" s="84">
        <v>0.0</v>
      </c>
      <c r="O49" s="84" t="str">
        <f t="shared" si="19"/>
        <v>-</v>
      </c>
      <c r="P49" s="84" t="str">
        <f t="shared" si="20"/>
        <v>-</v>
      </c>
      <c r="Q49" s="84">
        <v>2000000.0</v>
      </c>
      <c r="R49" s="72"/>
      <c r="S49" s="72"/>
      <c r="T49" s="72"/>
      <c r="U49" s="72"/>
      <c r="V49" s="9"/>
      <c r="W49" s="9"/>
      <c r="X49" s="26"/>
      <c r="Y49" s="26"/>
      <c r="Z49" s="751" t="s">
        <v>910</v>
      </c>
      <c r="AA49" s="742">
        <v>0.0</v>
      </c>
      <c r="AB49" s="743">
        <v>1.0</v>
      </c>
      <c r="AC49" s="744"/>
      <c r="AD49" s="744"/>
      <c r="AE49" s="744"/>
      <c r="AF49" s="745"/>
      <c r="AG49" s="746"/>
      <c r="AH49" s="744"/>
      <c r="AI49" s="744"/>
      <c r="AJ49" s="744"/>
      <c r="AK49" s="747">
        <f t="shared" si="15"/>
        <v>0</v>
      </c>
      <c r="AL49" s="747">
        <f t="shared" si="16"/>
        <v>0</v>
      </c>
      <c r="AM49" s="747">
        <f t="shared" si="17"/>
        <v>2000000</v>
      </c>
      <c r="AN49" s="748">
        <f t="shared" si="18"/>
        <v>1</v>
      </c>
      <c r="AO49" s="9"/>
      <c r="AP49" s="9"/>
      <c r="AQ49" s="9"/>
      <c r="AR49" s="9"/>
    </row>
    <row r="50" ht="43.5" customHeight="1" outlineLevel="1">
      <c r="A50" s="729" t="s">
        <v>73</v>
      </c>
      <c r="B50" s="782" t="s">
        <v>163</v>
      </c>
      <c r="C50" s="731" t="s">
        <v>38</v>
      </c>
      <c r="D50" s="732" t="s">
        <v>164</v>
      </c>
      <c r="E50" s="733" t="s">
        <v>146</v>
      </c>
      <c r="F50" s="734" t="s">
        <v>21</v>
      </c>
      <c r="G50" s="735" t="s">
        <v>50</v>
      </c>
      <c r="H50" s="736" t="s">
        <v>954</v>
      </c>
      <c r="I50" s="737" t="b">
        <v>1</v>
      </c>
      <c r="J50" s="83" t="s">
        <v>7</v>
      </c>
      <c r="K50" s="83">
        <f t="shared" si="14"/>
        <v>1</v>
      </c>
      <c r="L50" s="84">
        <v>5000000.0</v>
      </c>
      <c r="M50" s="84">
        <v>20000.0</v>
      </c>
      <c r="N50" s="84">
        <v>1500.0</v>
      </c>
      <c r="O50" s="84">
        <f t="shared" si="19"/>
        <v>250</v>
      </c>
      <c r="P50" s="84">
        <f t="shared" si="20"/>
        <v>3333.333333</v>
      </c>
      <c r="Q50" s="84">
        <v>5000000.0</v>
      </c>
      <c r="R50" s="738" t="s">
        <v>955</v>
      </c>
      <c r="S50" s="85" t="s">
        <v>167</v>
      </c>
      <c r="T50" s="739"/>
      <c r="U50" s="733" t="s">
        <v>45</v>
      </c>
      <c r="V50" s="87"/>
      <c r="W50" s="87"/>
      <c r="X50" s="740"/>
      <c r="Y50" s="740"/>
      <c r="Z50" s="741" t="s">
        <v>956</v>
      </c>
      <c r="AA50" s="742">
        <f>2700000/0.9</f>
        <v>3000000</v>
      </c>
      <c r="AB50" s="743">
        <v>0.5</v>
      </c>
      <c r="AC50" s="744">
        <v>10000.0</v>
      </c>
      <c r="AD50" s="744">
        <v>10000.0</v>
      </c>
      <c r="AE50" s="744">
        <v>500.0</v>
      </c>
      <c r="AF50" s="745">
        <v>1000.0</v>
      </c>
      <c r="AG50" s="746"/>
      <c r="AH50" s="744"/>
      <c r="AI50" s="744"/>
      <c r="AJ50" s="744"/>
      <c r="AK50" s="747">
        <f t="shared" si="15"/>
        <v>70000</v>
      </c>
      <c r="AL50" s="747">
        <f t="shared" si="16"/>
        <v>3070000</v>
      </c>
      <c r="AM50" s="747">
        <f t="shared" si="17"/>
        <v>1930000</v>
      </c>
      <c r="AN50" s="748">
        <f t="shared" si="18"/>
        <v>0.386</v>
      </c>
      <c r="AO50" s="9"/>
      <c r="AP50" s="9"/>
      <c r="AQ50" s="9"/>
      <c r="AR50" s="9"/>
    </row>
    <row r="51" ht="43.5" customHeight="1" outlineLevel="1">
      <c r="A51" s="72"/>
      <c r="B51" s="72"/>
      <c r="C51" s="72"/>
      <c r="D51" s="72"/>
      <c r="E51" s="72"/>
      <c r="F51" s="72"/>
      <c r="G51" s="72"/>
      <c r="H51" s="750" t="s">
        <v>957</v>
      </c>
      <c r="I51" s="737" t="b">
        <v>1</v>
      </c>
      <c r="J51" s="83" t="s">
        <v>47</v>
      </c>
      <c r="K51" s="83">
        <f t="shared" si="14"/>
        <v>1</v>
      </c>
      <c r="L51" s="84">
        <v>3000000.0</v>
      </c>
      <c r="M51" s="84">
        <v>0.0</v>
      </c>
      <c r="N51" s="84">
        <v>0.0</v>
      </c>
      <c r="O51" s="84" t="str">
        <f t="shared" si="19"/>
        <v>-</v>
      </c>
      <c r="P51" s="84" t="str">
        <f t="shared" si="20"/>
        <v>-</v>
      </c>
      <c r="Q51" s="84">
        <v>3000000.0</v>
      </c>
      <c r="R51" s="72"/>
      <c r="S51" s="72"/>
      <c r="T51" s="72"/>
      <c r="U51" s="72"/>
      <c r="V51" s="9"/>
      <c r="W51" s="9"/>
      <c r="X51" s="26"/>
      <c r="Y51" s="26"/>
      <c r="Z51" s="751" t="s">
        <v>910</v>
      </c>
      <c r="AA51" s="742"/>
      <c r="AB51" s="743">
        <v>0.5</v>
      </c>
      <c r="AC51" s="744"/>
      <c r="AD51" s="744"/>
      <c r="AE51" s="744"/>
      <c r="AF51" s="745"/>
      <c r="AG51" s="746"/>
      <c r="AH51" s="744"/>
      <c r="AI51" s="744"/>
      <c r="AJ51" s="744"/>
      <c r="AK51" s="747">
        <f t="shared" si="15"/>
        <v>0</v>
      </c>
      <c r="AL51" s="747">
        <f t="shared" si="16"/>
        <v>0</v>
      </c>
      <c r="AM51" s="747">
        <f t="shared" si="17"/>
        <v>3000000</v>
      </c>
      <c r="AN51" s="748">
        <f t="shared" si="18"/>
        <v>1</v>
      </c>
      <c r="AO51" s="9"/>
      <c r="AP51" s="9"/>
      <c r="AQ51" s="9"/>
      <c r="AR51" s="9"/>
    </row>
    <row r="52" ht="43.5" customHeight="1" outlineLevel="1">
      <c r="A52" s="729" t="s">
        <v>73</v>
      </c>
      <c r="B52" s="755" t="s">
        <v>169</v>
      </c>
      <c r="C52" s="731" t="s">
        <v>38</v>
      </c>
      <c r="D52" s="732">
        <v>6489.0</v>
      </c>
      <c r="E52" s="733" t="s">
        <v>146</v>
      </c>
      <c r="F52" s="734" t="s">
        <v>139</v>
      </c>
      <c r="G52" s="735" t="s">
        <v>50</v>
      </c>
      <c r="H52" s="736" t="s">
        <v>958</v>
      </c>
      <c r="I52" s="737" t="b">
        <v>1</v>
      </c>
      <c r="J52" s="83" t="s">
        <v>7</v>
      </c>
      <c r="K52" s="83">
        <f t="shared" si="14"/>
        <v>1</v>
      </c>
      <c r="L52" s="84">
        <v>3000000.0</v>
      </c>
      <c r="M52" s="84">
        <v>15000.0</v>
      </c>
      <c r="N52" s="84">
        <v>1000.0</v>
      </c>
      <c r="O52" s="84">
        <f t="shared" si="19"/>
        <v>200</v>
      </c>
      <c r="P52" s="84">
        <f t="shared" si="20"/>
        <v>3000</v>
      </c>
      <c r="Q52" s="84">
        <v>3000000.0</v>
      </c>
      <c r="R52" s="738" t="s">
        <v>959</v>
      </c>
      <c r="S52" s="85" t="s">
        <v>172</v>
      </c>
      <c r="T52" s="85" t="s">
        <v>79</v>
      </c>
      <c r="U52" s="733" t="s">
        <v>45</v>
      </c>
      <c r="V52" s="9"/>
      <c r="W52" s="9"/>
      <c r="X52" s="740"/>
      <c r="Y52" s="740"/>
      <c r="Z52" s="741" t="s">
        <v>960</v>
      </c>
      <c r="AA52" s="742">
        <f>1700000/0.9</f>
        <v>1888888.889</v>
      </c>
      <c r="AB52" s="743">
        <v>0.5</v>
      </c>
      <c r="AC52" s="744">
        <v>5000.0</v>
      </c>
      <c r="AD52" s="744">
        <v>10000.0</v>
      </c>
      <c r="AE52" s="744">
        <v>500.0</v>
      </c>
      <c r="AF52" s="745">
        <v>500.0</v>
      </c>
      <c r="AG52" s="746"/>
      <c r="AH52" s="744"/>
      <c r="AI52" s="744"/>
      <c r="AJ52" s="744"/>
      <c r="AK52" s="747">
        <f t="shared" si="15"/>
        <v>45000</v>
      </c>
      <c r="AL52" s="747">
        <f t="shared" si="16"/>
        <v>1933888.889</v>
      </c>
      <c r="AM52" s="747">
        <f t="shared" si="17"/>
        <v>1066111.111</v>
      </c>
      <c r="AN52" s="748">
        <f t="shared" si="18"/>
        <v>0.3553703704</v>
      </c>
      <c r="AO52" s="9"/>
      <c r="AP52" s="9"/>
      <c r="AQ52" s="9"/>
      <c r="AR52" s="9"/>
    </row>
    <row r="53" ht="43.5" customHeight="1" outlineLevel="1">
      <c r="A53" s="72"/>
      <c r="B53" s="72"/>
      <c r="C53" s="72"/>
      <c r="D53" s="72"/>
      <c r="E53" s="72"/>
      <c r="F53" s="72"/>
      <c r="G53" s="72"/>
      <c r="H53" s="750" t="s">
        <v>961</v>
      </c>
      <c r="I53" s="737" t="b">
        <v>1</v>
      </c>
      <c r="J53" s="83" t="s">
        <v>47</v>
      </c>
      <c r="K53" s="83">
        <f t="shared" si="14"/>
        <v>1</v>
      </c>
      <c r="L53" s="84">
        <v>2000000.0</v>
      </c>
      <c r="M53" s="84">
        <v>0.0</v>
      </c>
      <c r="N53" s="84">
        <v>0.0</v>
      </c>
      <c r="O53" s="84" t="str">
        <f t="shared" si="19"/>
        <v>-</v>
      </c>
      <c r="P53" s="84" t="str">
        <f t="shared" si="20"/>
        <v>-</v>
      </c>
      <c r="Q53" s="84">
        <v>2000000.0</v>
      </c>
      <c r="R53" s="72"/>
      <c r="S53" s="72"/>
      <c r="T53" s="72"/>
      <c r="U53" s="72"/>
      <c r="V53" s="9"/>
      <c r="W53" s="9"/>
      <c r="X53" s="26"/>
      <c r="Y53" s="26"/>
      <c r="Z53" s="751" t="s">
        <v>910</v>
      </c>
      <c r="AA53" s="742"/>
      <c r="AB53" s="743">
        <v>1.2</v>
      </c>
      <c r="AC53" s="744"/>
      <c r="AD53" s="744"/>
      <c r="AE53" s="744"/>
      <c r="AF53" s="745"/>
      <c r="AG53" s="746"/>
      <c r="AH53" s="744"/>
      <c r="AI53" s="744"/>
      <c r="AJ53" s="744"/>
      <c r="AK53" s="747">
        <f t="shared" si="15"/>
        <v>0</v>
      </c>
      <c r="AL53" s="747">
        <f t="shared" si="16"/>
        <v>0</v>
      </c>
      <c r="AM53" s="747">
        <f t="shared" si="17"/>
        <v>2000000</v>
      </c>
      <c r="AN53" s="748">
        <f t="shared" si="18"/>
        <v>1</v>
      </c>
      <c r="AO53" s="9"/>
      <c r="AP53" s="9"/>
      <c r="AQ53" s="9"/>
      <c r="AR53" s="9"/>
    </row>
    <row r="54" ht="43.5" customHeight="1" outlineLevel="1">
      <c r="A54" s="729" t="s">
        <v>109</v>
      </c>
      <c r="B54" s="783" t="s">
        <v>174</v>
      </c>
      <c r="C54" s="731" t="s">
        <v>38</v>
      </c>
      <c r="D54" s="732" t="s">
        <v>175</v>
      </c>
      <c r="E54" s="733" t="s">
        <v>146</v>
      </c>
      <c r="F54" s="734" t="s">
        <v>176</v>
      </c>
      <c r="G54" s="735" t="s">
        <v>50</v>
      </c>
      <c r="H54" s="736" t="s">
        <v>962</v>
      </c>
      <c r="I54" s="758" t="b">
        <v>1</v>
      </c>
      <c r="J54" s="83" t="s">
        <v>7</v>
      </c>
      <c r="K54" s="83">
        <f t="shared" si="14"/>
        <v>1</v>
      </c>
      <c r="L54" s="84">
        <v>1.1E7</v>
      </c>
      <c r="M54" s="84">
        <v>46000.0</v>
      </c>
      <c r="N54" s="84">
        <v>2000.0</v>
      </c>
      <c r="O54" s="84">
        <f t="shared" si="19"/>
        <v>239.1304348</v>
      </c>
      <c r="P54" s="84">
        <f t="shared" si="20"/>
        <v>5500</v>
      </c>
      <c r="Q54" s="84">
        <v>1.1E7</v>
      </c>
      <c r="R54" s="738" t="s">
        <v>963</v>
      </c>
      <c r="S54" s="739"/>
      <c r="T54" s="739"/>
      <c r="U54" s="733" t="s">
        <v>45</v>
      </c>
      <c r="V54" s="87"/>
      <c r="W54" s="87"/>
      <c r="X54" s="740"/>
      <c r="Y54" s="740"/>
      <c r="Z54" s="741" t="s">
        <v>964</v>
      </c>
      <c r="AA54" s="742">
        <v>6500000.0</v>
      </c>
      <c r="AB54" s="743">
        <v>0.7</v>
      </c>
      <c r="AC54" s="744">
        <v>10000.0</v>
      </c>
      <c r="AD54" s="744">
        <v>35000.0</v>
      </c>
      <c r="AE54" s="744">
        <v>1000.0</v>
      </c>
      <c r="AF54" s="744">
        <v>1000.0</v>
      </c>
      <c r="AG54" s="746"/>
      <c r="AH54" s="744"/>
      <c r="AI54" s="744"/>
      <c r="AJ54" s="744"/>
      <c r="AK54" s="747">
        <f t="shared" si="15"/>
        <v>120000</v>
      </c>
      <c r="AL54" s="747">
        <f t="shared" si="16"/>
        <v>6620000</v>
      </c>
      <c r="AM54" s="747">
        <f t="shared" si="17"/>
        <v>4380000</v>
      </c>
      <c r="AN54" s="748">
        <f t="shared" si="18"/>
        <v>0.3981818182</v>
      </c>
      <c r="AO54" s="9"/>
      <c r="AP54" s="9"/>
      <c r="AQ54" s="9"/>
      <c r="AR54" s="9"/>
    </row>
    <row r="55" ht="43.5" customHeight="1" outlineLevel="1">
      <c r="A55" s="72"/>
      <c r="B55" s="72"/>
      <c r="C55" s="72"/>
      <c r="D55" s="72"/>
      <c r="E55" s="72"/>
      <c r="F55" s="72"/>
      <c r="G55" s="72"/>
      <c r="H55" s="750" t="s">
        <v>965</v>
      </c>
      <c r="I55" s="758" t="b">
        <v>1</v>
      </c>
      <c r="J55" s="83" t="s">
        <v>47</v>
      </c>
      <c r="K55" s="83">
        <f t="shared" si="14"/>
        <v>1</v>
      </c>
      <c r="L55" s="84">
        <v>2000000.0</v>
      </c>
      <c r="M55" s="84">
        <v>0.0</v>
      </c>
      <c r="N55" s="84">
        <v>0.0</v>
      </c>
      <c r="O55" s="84" t="str">
        <f t="shared" si="19"/>
        <v>-</v>
      </c>
      <c r="P55" s="84" t="str">
        <f t="shared" si="20"/>
        <v>-</v>
      </c>
      <c r="Q55" s="84">
        <v>2000000.0</v>
      </c>
      <c r="R55" s="72"/>
      <c r="S55" s="72"/>
      <c r="T55" s="72"/>
      <c r="U55" s="72"/>
      <c r="V55" s="9"/>
      <c r="W55" s="9"/>
      <c r="X55" s="26"/>
      <c r="Y55" s="26"/>
      <c r="AA55" s="742">
        <v>1500000.0</v>
      </c>
      <c r="AB55" s="743">
        <v>0.5</v>
      </c>
      <c r="AC55" s="744"/>
      <c r="AD55" s="744"/>
      <c r="AE55" s="744"/>
      <c r="AF55" s="744"/>
      <c r="AG55" s="746"/>
      <c r="AH55" s="744"/>
      <c r="AI55" s="744"/>
      <c r="AJ55" s="744"/>
      <c r="AK55" s="747">
        <f t="shared" si="15"/>
        <v>0</v>
      </c>
      <c r="AL55" s="747">
        <f t="shared" si="16"/>
        <v>1500000</v>
      </c>
      <c r="AM55" s="747">
        <f t="shared" si="17"/>
        <v>500000</v>
      </c>
      <c r="AN55" s="748">
        <f t="shared" si="18"/>
        <v>0.25</v>
      </c>
      <c r="AO55" s="9"/>
      <c r="AP55" s="9"/>
      <c r="AQ55" s="9"/>
      <c r="AR55" s="9"/>
    </row>
    <row r="56" ht="43.5" customHeight="1" outlineLevel="1">
      <c r="A56" s="729" t="s">
        <v>109</v>
      </c>
      <c r="B56" s="784" t="s">
        <v>180</v>
      </c>
      <c r="C56" s="731" t="s">
        <v>38</v>
      </c>
      <c r="D56" s="732" t="s">
        <v>181</v>
      </c>
      <c r="E56" s="733" t="s">
        <v>146</v>
      </c>
      <c r="F56" s="734" t="s">
        <v>182</v>
      </c>
      <c r="G56" s="735" t="s">
        <v>50</v>
      </c>
      <c r="H56" s="736" t="s">
        <v>966</v>
      </c>
      <c r="I56" s="758" t="b">
        <v>1</v>
      </c>
      <c r="J56" s="83" t="s">
        <v>7</v>
      </c>
      <c r="K56" s="83">
        <f t="shared" si="14"/>
        <v>1</v>
      </c>
      <c r="L56" s="84">
        <v>1.0E7</v>
      </c>
      <c r="M56" s="84">
        <v>40500.0</v>
      </c>
      <c r="N56" s="84">
        <v>2000.0</v>
      </c>
      <c r="O56" s="84">
        <f t="shared" si="19"/>
        <v>246.9135802</v>
      </c>
      <c r="P56" s="84">
        <f t="shared" si="20"/>
        <v>5000</v>
      </c>
      <c r="Q56" s="84">
        <v>1.0E7</v>
      </c>
      <c r="R56" s="738" t="s">
        <v>967</v>
      </c>
      <c r="S56" s="739"/>
      <c r="T56" s="739"/>
      <c r="U56" s="733" t="s">
        <v>45</v>
      </c>
      <c r="V56" s="9"/>
      <c r="W56" s="9"/>
      <c r="X56" s="740"/>
      <c r="Y56" s="740"/>
      <c r="Z56" s="764" t="s">
        <v>968</v>
      </c>
      <c r="AA56" s="742">
        <v>6500000.0</v>
      </c>
      <c r="AB56" s="743">
        <v>0.5</v>
      </c>
      <c r="AC56" s="744">
        <v>10000.0</v>
      </c>
      <c r="AD56" s="744">
        <v>30000.0</v>
      </c>
      <c r="AE56" s="744">
        <v>500.0</v>
      </c>
      <c r="AF56" s="744">
        <v>1500.0</v>
      </c>
      <c r="AG56" s="746"/>
      <c r="AH56" s="744"/>
      <c r="AI56" s="744"/>
      <c r="AJ56" s="744"/>
      <c r="AK56" s="747">
        <f t="shared" si="15"/>
        <v>135000</v>
      </c>
      <c r="AL56" s="747">
        <f t="shared" si="16"/>
        <v>6635000</v>
      </c>
      <c r="AM56" s="747">
        <f t="shared" si="17"/>
        <v>3365000</v>
      </c>
      <c r="AN56" s="748">
        <f t="shared" si="18"/>
        <v>0.3365</v>
      </c>
      <c r="AO56" s="9"/>
      <c r="AP56" s="9"/>
      <c r="AQ56" s="9"/>
      <c r="AR56" s="9"/>
    </row>
    <row r="57" ht="43.5" customHeight="1" outlineLevel="1">
      <c r="A57" s="72"/>
      <c r="B57" s="72"/>
      <c r="C57" s="72"/>
      <c r="D57" s="72"/>
      <c r="E57" s="72"/>
      <c r="F57" s="72"/>
      <c r="G57" s="72"/>
      <c r="H57" s="750" t="s">
        <v>969</v>
      </c>
      <c r="I57" s="758" t="b">
        <v>1</v>
      </c>
      <c r="J57" s="83" t="s">
        <v>47</v>
      </c>
      <c r="K57" s="83">
        <f t="shared" si="14"/>
        <v>1</v>
      </c>
      <c r="L57" s="84">
        <v>3000000.0</v>
      </c>
      <c r="M57" s="84">
        <v>0.0</v>
      </c>
      <c r="N57" s="84">
        <v>0.0</v>
      </c>
      <c r="O57" s="84" t="str">
        <f t="shared" si="19"/>
        <v>-</v>
      </c>
      <c r="P57" s="84" t="str">
        <f t="shared" si="20"/>
        <v>-</v>
      </c>
      <c r="Q57" s="84">
        <v>3000000.0</v>
      </c>
      <c r="R57" s="72"/>
      <c r="S57" s="72"/>
      <c r="T57" s="72"/>
      <c r="U57" s="72"/>
      <c r="V57" s="9"/>
      <c r="W57" s="9"/>
      <c r="X57" s="26"/>
      <c r="Y57" s="26"/>
      <c r="AA57" s="742">
        <v>2000000.0</v>
      </c>
      <c r="AB57" s="743">
        <v>0.5</v>
      </c>
      <c r="AC57" s="744"/>
      <c r="AD57" s="744"/>
      <c r="AE57" s="744"/>
      <c r="AF57" s="744"/>
      <c r="AG57" s="746"/>
      <c r="AH57" s="744"/>
      <c r="AI57" s="744"/>
      <c r="AJ57" s="744"/>
      <c r="AK57" s="747">
        <f t="shared" si="15"/>
        <v>0</v>
      </c>
      <c r="AL57" s="747">
        <f t="shared" si="16"/>
        <v>2000000</v>
      </c>
      <c r="AM57" s="747">
        <f t="shared" si="17"/>
        <v>1000000</v>
      </c>
      <c r="AN57" s="748">
        <f t="shared" si="18"/>
        <v>0.3333333333</v>
      </c>
      <c r="AO57" s="9"/>
      <c r="AP57" s="9"/>
      <c r="AQ57" s="9"/>
      <c r="AR57" s="9"/>
    </row>
    <row r="58" ht="43.5" customHeight="1" outlineLevel="1">
      <c r="A58" s="729" t="s">
        <v>186</v>
      </c>
      <c r="B58" s="753" t="s">
        <v>187</v>
      </c>
      <c r="C58" s="731" t="s">
        <v>38</v>
      </c>
      <c r="D58" s="732" t="s">
        <v>188</v>
      </c>
      <c r="E58" s="733" t="s">
        <v>146</v>
      </c>
      <c r="F58" s="734" t="s">
        <v>139</v>
      </c>
      <c r="G58" s="735" t="s">
        <v>50</v>
      </c>
      <c r="H58" s="736" t="s">
        <v>970</v>
      </c>
      <c r="I58" s="737" t="b">
        <v>1</v>
      </c>
      <c r="J58" s="83" t="s">
        <v>7</v>
      </c>
      <c r="K58" s="83">
        <f t="shared" si="14"/>
        <v>1</v>
      </c>
      <c r="L58" s="84">
        <v>1.2E7</v>
      </c>
      <c r="M58" s="84">
        <v>60000.0</v>
      </c>
      <c r="N58" s="84">
        <v>3000.0</v>
      </c>
      <c r="O58" s="84">
        <f t="shared" si="19"/>
        <v>200</v>
      </c>
      <c r="P58" s="84">
        <f t="shared" si="20"/>
        <v>4000</v>
      </c>
      <c r="Q58" s="84">
        <v>1.2E7</v>
      </c>
      <c r="R58" s="738" t="s">
        <v>971</v>
      </c>
      <c r="S58" s="739"/>
      <c r="T58" s="739"/>
      <c r="U58" s="733" t="s">
        <v>45</v>
      </c>
      <c r="V58" s="87"/>
      <c r="W58" s="87"/>
      <c r="X58" s="740"/>
      <c r="Y58" s="740"/>
      <c r="Z58" s="741" t="s">
        <v>918</v>
      </c>
      <c r="AA58" s="742">
        <v>8000000.0</v>
      </c>
      <c r="AB58" s="743">
        <v>0.4</v>
      </c>
      <c r="AC58" s="744">
        <v>10000.0</v>
      </c>
      <c r="AD58" s="744">
        <v>50000.0</v>
      </c>
      <c r="AE58" s="744">
        <v>500.0</v>
      </c>
      <c r="AF58" s="745">
        <v>2500.0</v>
      </c>
      <c r="AG58" s="746"/>
      <c r="AH58" s="744"/>
      <c r="AI58" s="744"/>
      <c r="AJ58" s="744"/>
      <c r="AK58" s="747">
        <f t="shared" si="15"/>
        <v>225000</v>
      </c>
      <c r="AL58" s="747">
        <f t="shared" si="16"/>
        <v>8225000</v>
      </c>
      <c r="AM58" s="747">
        <f t="shared" si="17"/>
        <v>3775000</v>
      </c>
      <c r="AN58" s="748">
        <f t="shared" si="18"/>
        <v>0.3145833333</v>
      </c>
      <c r="AO58" s="9"/>
      <c r="AP58" s="9"/>
      <c r="AQ58" s="9"/>
      <c r="AR58" s="9"/>
    </row>
    <row r="59" ht="43.5" customHeight="1" outlineLevel="1">
      <c r="A59" s="72"/>
      <c r="B59" s="72"/>
      <c r="C59" s="72"/>
      <c r="D59" s="72"/>
      <c r="E59" s="72"/>
      <c r="F59" s="72"/>
      <c r="G59" s="72"/>
      <c r="H59" s="750" t="s">
        <v>972</v>
      </c>
      <c r="I59" s="737" t="b">
        <v>1</v>
      </c>
      <c r="J59" s="83" t="s">
        <v>47</v>
      </c>
      <c r="K59" s="83">
        <f t="shared" si="14"/>
        <v>1</v>
      </c>
      <c r="L59" s="84">
        <v>8000000.0</v>
      </c>
      <c r="M59" s="84">
        <v>0.0</v>
      </c>
      <c r="N59" s="84">
        <v>0.0</v>
      </c>
      <c r="O59" s="84" t="str">
        <f t="shared" si="19"/>
        <v>-</v>
      </c>
      <c r="P59" s="84" t="str">
        <f t="shared" si="20"/>
        <v>-</v>
      </c>
      <c r="Q59" s="84">
        <v>8000000.0</v>
      </c>
      <c r="R59" s="72"/>
      <c r="S59" s="72"/>
      <c r="T59" s="72"/>
      <c r="U59" s="72"/>
      <c r="V59" s="9"/>
      <c r="W59" s="9"/>
      <c r="X59" s="26"/>
      <c r="Y59" s="26"/>
      <c r="Z59" s="751" t="s">
        <v>910</v>
      </c>
      <c r="AA59" s="742">
        <v>3000000.0</v>
      </c>
      <c r="AB59" s="743">
        <v>0.4</v>
      </c>
      <c r="AC59" s="744"/>
      <c r="AD59" s="744"/>
      <c r="AE59" s="744"/>
      <c r="AF59" s="745"/>
      <c r="AG59" s="746"/>
      <c r="AH59" s="744"/>
      <c r="AI59" s="744"/>
      <c r="AJ59" s="744"/>
      <c r="AK59" s="747">
        <f t="shared" si="15"/>
        <v>0</v>
      </c>
      <c r="AL59" s="747">
        <f t="shared" si="16"/>
        <v>3000000</v>
      </c>
      <c r="AM59" s="747">
        <f t="shared" si="17"/>
        <v>5000000</v>
      </c>
      <c r="AN59" s="748">
        <f t="shared" si="18"/>
        <v>0.625</v>
      </c>
      <c r="AO59" s="9"/>
      <c r="AP59" s="9"/>
      <c r="AQ59" s="9"/>
      <c r="AR59" s="9"/>
    </row>
    <row r="60" outlineLevel="1">
      <c r="A60" s="766" t="s">
        <v>202</v>
      </c>
      <c r="B60" s="767" t="s">
        <v>203</v>
      </c>
      <c r="C60" s="770"/>
      <c r="D60" s="769"/>
      <c r="E60" s="770"/>
      <c r="F60" s="770"/>
      <c r="G60" s="770"/>
      <c r="H60" s="770"/>
      <c r="I60" s="770"/>
      <c r="J60" s="772"/>
      <c r="K60" s="772"/>
      <c r="L60" s="772"/>
      <c r="M60" s="772"/>
      <c r="N60" s="772"/>
      <c r="O60" s="772"/>
      <c r="P60" s="772"/>
      <c r="Q60" s="772"/>
      <c r="R60" s="770"/>
      <c r="S60" s="772"/>
      <c r="T60" s="772"/>
      <c r="U60" s="768"/>
      <c r="V60" s="146"/>
      <c r="W60" s="146"/>
      <c r="X60" s="773"/>
      <c r="Y60" s="773"/>
      <c r="Z60" s="774"/>
      <c r="AA60" s="775"/>
      <c r="AB60" s="776"/>
      <c r="AC60" s="777"/>
      <c r="AD60" s="777"/>
      <c r="AE60" s="777"/>
      <c r="AF60" s="778"/>
      <c r="AG60" s="779"/>
      <c r="AH60" s="777"/>
      <c r="AI60" s="777"/>
      <c r="AJ60" s="777"/>
      <c r="AK60" s="780"/>
      <c r="AL60" s="780"/>
      <c r="AM60" s="780"/>
      <c r="AN60" s="781"/>
      <c r="AO60" s="146"/>
      <c r="AP60" s="146"/>
      <c r="AQ60" s="146"/>
      <c r="AR60" s="146"/>
    </row>
    <row r="61" ht="42.0" customHeight="1" outlineLevel="1">
      <c r="A61" s="729" t="s">
        <v>101</v>
      </c>
      <c r="B61" s="755" t="s">
        <v>204</v>
      </c>
      <c r="C61" s="731" t="s">
        <v>38</v>
      </c>
      <c r="D61" s="732" t="s">
        <v>205</v>
      </c>
      <c r="E61" s="733" t="s">
        <v>146</v>
      </c>
      <c r="F61" s="734" t="s">
        <v>206</v>
      </c>
      <c r="G61" s="735" t="s">
        <v>105</v>
      </c>
      <c r="H61" s="736" t="s">
        <v>973</v>
      </c>
      <c r="I61" s="737" t="b">
        <v>1</v>
      </c>
      <c r="J61" s="83" t="s">
        <v>7</v>
      </c>
      <c r="K61" s="83">
        <f t="shared" ref="K61:K70" si="21">if(I61=True,1,if(I61=False,0))</f>
        <v>1</v>
      </c>
      <c r="L61" s="84">
        <v>4000000.0</v>
      </c>
      <c r="M61" s="84">
        <v>20000.0</v>
      </c>
      <c r="N61" s="84">
        <v>1500.0</v>
      </c>
      <c r="O61" s="84">
        <f t="shared" ref="O61:O70" si="22">IFERROR(Q61/M61,"-")</f>
        <v>200</v>
      </c>
      <c r="P61" s="84">
        <f t="shared" ref="P61:P70" si="23">IFERROR(Q61/N61,"-")</f>
        <v>2666.666667</v>
      </c>
      <c r="Q61" s="84">
        <v>4000000.0</v>
      </c>
      <c r="R61" s="738" t="s">
        <v>974</v>
      </c>
      <c r="S61" s="85" t="s">
        <v>209</v>
      </c>
      <c r="T61" s="739"/>
      <c r="U61" s="733" t="s">
        <v>45</v>
      </c>
      <c r="V61" s="9"/>
      <c r="W61" s="9"/>
      <c r="X61" s="740"/>
      <c r="Y61" s="740"/>
      <c r="Z61" s="741" t="s">
        <v>975</v>
      </c>
      <c r="AA61" s="742">
        <f>2800000/0.9</f>
        <v>3111111.111</v>
      </c>
      <c r="AB61" s="743">
        <v>0.5</v>
      </c>
      <c r="AC61" s="744">
        <v>10000.0</v>
      </c>
      <c r="AD61" s="744">
        <v>10000.0</v>
      </c>
      <c r="AE61" s="744">
        <v>500.0</v>
      </c>
      <c r="AF61" s="745">
        <v>1000.0</v>
      </c>
      <c r="AG61" s="746"/>
      <c r="AH61" s="744"/>
      <c r="AI61" s="744"/>
      <c r="AJ61" s="744"/>
      <c r="AK61" s="747">
        <f t="shared" ref="AK61:AK70" si="24">(AD61*2+AF61*50+AH61*10+AJ61*50)*K61</f>
        <v>70000</v>
      </c>
      <c r="AL61" s="747">
        <f t="shared" ref="AL61:AL70" si="25">sum(AA61,AK61)*K61</f>
        <v>3181111.111</v>
      </c>
      <c r="AM61" s="747">
        <f t="shared" ref="AM61:AM70" si="26">iferror(Q61-AL61,"-")</f>
        <v>818888.8889</v>
      </c>
      <c r="AN61" s="748">
        <f t="shared" ref="AN61:AN70" si="27">iferror(AM61/Q61,"-")</f>
        <v>0.2047222222</v>
      </c>
      <c r="AO61" s="9"/>
      <c r="AP61" s="9"/>
      <c r="AQ61" s="9"/>
      <c r="AR61" s="9"/>
    </row>
    <row r="62" ht="42.0" customHeight="1" outlineLevel="1">
      <c r="A62" s="72"/>
      <c r="B62" s="72"/>
      <c r="C62" s="72"/>
      <c r="D62" s="72"/>
      <c r="E62" s="72"/>
      <c r="F62" s="72"/>
      <c r="G62" s="72"/>
      <c r="H62" s="750" t="s">
        <v>976</v>
      </c>
      <c r="I62" s="737" t="b">
        <v>1</v>
      </c>
      <c r="J62" s="83" t="s">
        <v>47</v>
      </c>
      <c r="K62" s="83">
        <f t="shared" si="21"/>
        <v>1</v>
      </c>
      <c r="L62" s="84">
        <v>2000000.0</v>
      </c>
      <c r="M62" s="84">
        <v>0.0</v>
      </c>
      <c r="N62" s="84">
        <v>0.0</v>
      </c>
      <c r="O62" s="84" t="str">
        <f t="shared" si="22"/>
        <v>-</v>
      </c>
      <c r="P62" s="84" t="str">
        <f t="shared" si="23"/>
        <v>-</v>
      </c>
      <c r="Q62" s="84">
        <v>2000000.0</v>
      </c>
      <c r="R62" s="68"/>
      <c r="S62" s="72"/>
      <c r="T62" s="72"/>
      <c r="U62" s="72"/>
      <c r="V62" s="9"/>
      <c r="W62" s="9"/>
      <c r="X62" s="26"/>
      <c r="Y62" s="26"/>
      <c r="Z62" s="741" t="s">
        <v>977</v>
      </c>
      <c r="AA62" s="742"/>
      <c r="AB62" s="743">
        <v>2.0</v>
      </c>
      <c r="AC62" s="744"/>
      <c r="AD62" s="744"/>
      <c r="AE62" s="744"/>
      <c r="AF62" s="745"/>
      <c r="AG62" s="746"/>
      <c r="AH62" s="744"/>
      <c r="AI62" s="744"/>
      <c r="AJ62" s="744"/>
      <c r="AK62" s="747">
        <f t="shared" si="24"/>
        <v>0</v>
      </c>
      <c r="AL62" s="747">
        <f t="shared" si="25"/>
        <v>0</v>
      </c>
      <c r="AM62" s="747">
        <f t="shared" si="26"/>
        <v>2000000</v>
      </c>
      <c r="AN62" s="748">
        <f t="shared" si="27"/>
        <v>1</v>
      </c>
      <c r="AO62" s="9"/>
      <c r="AP62" s="9"/>
      <c r="AQ62" s="9"/>
      <c r="AR62" s="9"/>
    </row>
    <row r="63" ht="42.0" customHeight="1" outlineLevel="1">
      <c r="A63" s="729" t="s">
        <v>101</v>
      </c>
      <c r="B63" s="785" t="s">
        <v>211</v>
      </c>
      <c r="C63" s="731" t="s">
        <v>38</v>
      </c>
      <c r="D63" s="732">
        <v>45000.0</v>
      </c>
      <c r="E63" s="733" t="s">
        <v>146</v>
      </c>
      <c r="F63" s="734" t="s">
        <v>212</v>
      </c>
      <c r="G63" s="735" t="s">
        <v>213</v>
      </c>
      <c r="H63" s="736" t="s">
        <v>978</v>
      </c>
      <c r="I63" s="737" t="b">
        <v>1</v>
      </c>
      <c r="J63" s="83" t="s">
        <v>7</v>
      </c>
      <c r="K63" s="83">
        <f t="shared" si="21"/>
        <v>1</v>
      </c>
      <c r="L63" s="84">
        <v>5000000.0</v>
      </c>
      <c r="M63" s="84">
        <v>20000.0</v>
      </c>
      <c r="N63" s="84">
        <v>1500.0</v>
      </c>
      <c r="O63" s="84">
        <f t="shared" si="22"/>
        <v>250</v>
      </c>
      <c r="P63" s="84">
        <f t="shared" si="23"/>
        <v>3333.333333</v>
      </c>
      <c r="Q63" s="84">
        <v>5000000.0</v>
      </c>
      <c r="R63" s="68"/>
      <c r="S63" s="85" t="s">
        <v>215</v>
      </c>
      <c r="T63" s="739"/>
      <c r="U63" s="733" t="s">
        <v>45</v>
      </c>
      <c r="V63" s="9"/>
      <c r="W63" s="9"/>
      <c r="X63" s="740"/>
      <c r="Y63" s="740"/>
      <c r="Z63" s="741" t="s">
        <v>979</v>
      </c>
      <c r="AA63" s="742">
        <f>3000000/0.9</f>
        <v>3333333.333</v>
      </c>
      <c r="AB63" s="743">
        <v>0.5</v>
      </c>
      <c r="AC63" s="744">
        <v>10000.0</v>
      </c>
      <c r="AD63" s="744">
        <v>10000.0</v>
      </c>
      <c r="AE63" s="744">
        <v>500.0</v>
      </c>
      <c r="AF63" s="745">
        <v>1000.0</v>
      </c>
      <c r="AG63" s="746"/>
      <c r="AH63" s="744"/>
      <c r="AI63" s="744"/>
      <c r="AJ63" s="744"/>
      <c r="AK63" s="747">
        <f t="shared" si="24"/>
        <v>70000</v>
      </c>
      <c r="AL63" s="747">
        <f t="shared" si="25"/>
        <v>3403333.333</v>
      </c>
      <c r="AM63" s="747">
        <f t="shared" si="26"/>
        <v>1596666.667</v>
      </c>
      <c r="AN63" s="748">
        <f t="shared" si="27"/>
        <v>0.3193333333</v>
      </c>
      <c r="AO63" s="9"/>
      <c r="AP63" s="9"/>
      <c r="AQ63" s="9"/>
      <c r="AR63" s="9"/>
    </row>
    <row r="64" ht="42.0" customHeight="1" outlineLevel="1">
      <c r="A64" s="72"/>
      <c r="B64" s="72"/>
      <c r="C64" s="72"/>
      <c r="D64" s="72"/>
      <c r="E64" s="72"/>
      <c r="F64" s="72"/>
      <c r="G64" s="72"/>
      <c r="H64" s="750" t="s">
        <v>980</v>
      </c>
      <c r="I64" s="737" t="b">
        <v>1</v>
      </c>
      <c r="J64" s="83" t="s">
        <v>47</v>
      </c>
      <c r="K64" s="83">
        <f t="shared" si="21"/>
        <v>1</v>
      </c>
      <c r="L64" s="84">
        <v>2000000.0</v>
      </c>
      <c r="M64" s="84">
        <v>0.0</v>
      </c>
      <c r="N64" s="84">
        <v>0.0</v>
      </c>
      <c r="O64" s="84" t="str">
        <f t="shared" si="22"/>
        <v>-</v>
      </c>
      <c r="P64" s="84" t="str">
        <f t="shared" si="23"/>
        <v>-</v>
      </c>
      <c r="Q64" s="84">
        <v>2000000.0</v>
      </c>
      <c r="R64" s="68"/>
      <c r="S64" s="72"/>
      <c r="T64" s="72"/>
      <c r="U64" s="72"/>
      <c r="V64" s="87"/>
      <c r="W64" s="87"/>
      <c r="X64" s="26"/>
      <c r="Y64" s="26"/>
      <c r="Z64" s="741" t="s">
        <v>981</v>
      </c>
      <c r="AA64" s="742">
        <v>0.0</v>
      </c>
      <c r="AB64" s="743">
        <v>2.0</v>
      </c>
      <c r="AC64" s="744"/>
      <c r="AD64" s="744"/>
      <c r="AE64" s="744"/>
      <c r="AF64" s="745"/>
      <c r="AG64" s="746"/>
      <c r="AH64" s="744"/>
      <c r="AI64" s="744"/>
      <c r="AJ64" s="744"/>
      <c r="AK64" s="747">
        <f t="shared" si="24"/>
        <v>0</v>
      </c>
      <c r="AL64" s="747">
        <f t="shared" si="25"/>
        <v>0</v>
      </c>
      <c r="AM64" s="747">
        <f t="shared" si="26"/>
        <v>2000000</v>
      </c>
      <c r="AN64" s="748">
        <f t="shared" si="27"/>
        <v>1</v>
      </c>
      <c r="AO64" s="9"/>
      <c r="AP64" s="9"/>
      <c r="AQ64" s="9"/>
      <c r="AR64" s="9"/>
    </row>
    <row r="65" ht="42.0" customHeight="1" outlineLevel="1">
      <c r="A65" s="729" t="s">
        <v>109</v>
      </c>
      <c r="B65" s="783" t="s">
        <v>242</v>
      </c>
      <c r="C65" s="731" t="s">
        <v>38</v>
      </c>
      <c r="D65" s="732" t="s">
        <v>243</v>
      </c>
      <c r="E65" s="733" t="s">
        <v>146</v>
      </c>
      <c r="F65" s="734" t="s">
        <v>244</v>
      </c>
      <c r="G65" s="735" t="s">
        <v>105</v>
      </c>
      <c r="H65" s="736" t="s">
        <v>982</v>
      </c>
      <c r="I65" s="758" t="b">
        <v>1</v>
      </c>
      <c r="J65" s="83" t="s">
        <v>7</v>
      </c>
      <c r="K65" s="83">
        <f t="shared" si="21"/>
        <v>1</v>
      </c>
      <c r="L65" s="84">
        <v>1.0E7</v>
      </c>
      <c r="M65" s="84">
        <v>35000.0</v>
      </c>
      <c r="N65" s="84">
        <v>1500.0</v>
      </c>
      <c r="O65" s="84">
        <f t="shared" si="22"/>
        <v>285.7142857</v>
      </c>
      <c r="P65" s="84">
        <f t="shared" si="23"/>
        <v>6666.666667</v>
      </c>
      <c r="Q65" s="84">
        <v>1.0E7</v>
      </c>
      <c r="R65" s="738" t="s">
        <v>983</v>
      </c>
      <c r="S65" s="739"/>
      <c r="T65" s="739"/>
      <c r="U65" s="733" t="s">
        <v>45</v>
      </c>
      <c r="V65" s="9"/>
      <c r="W65" s="9"/>
      <c r="X65" s="740"/>
      <c r="Y65" s="740"/>
      <c r="Z65" s="786" t="s">
        <v>984</v>
      </c>
      <c r="AA65" s="742">
        <v>5000000.0</v>
      </c>
      <c r="AB65" s="743">
        <v>1.0</v>
      </c>
      <c r="AC65" s="744">
        <v>5000.0</v>
      </c>
      <c r="AD65" s="744">
        <v>30000.0</v>
      </c>
      <c r="AE65" s="744"/>
      <c r="AF65" s="745">
        <v>1500.0</v>
      </c>
      <c r="AG65" s="746"/>
      <c r="AH65" s="744"/>
      <c r="AI65" s="744"/>
      <c r="AJ65" s="744"/>
      <c r="AK65" s="747">
        <f t="shared" si="24"/>
        <v>135000</v>
      </c>
      <c r="AL65" s="747">
        <f t="shared" si="25"/>
        <v>5135000</v>
      </c>
      <c r="AM65" s="747">
        <f t="shared" si="26"/>
        <v>4865000</v>
      </c>
      <c r="AN65" s="748">
        <f t="shared" si="27"/>
        <v>0.4865</v>
      </c>
      <c r="AO65" s="9"/>
      <c r="AP65" s="9"/>
      <c r="AQ65" s="9"/>
      <c r="AR65" s="9"/>
    </row>
    <row r="66" ht="42.0" customHeight="1" outlineLevel="1">
      <c r="A66" s="72"/>
      <c r="B66" s="72"/>
      <c r="C66" s="72"/>
      <c r="D66" s="72"/>
      <c r="E66" s="72"/>
      <c r="F66" s="72"/>
      <c r="G66" s="72"/>
      <c r="H66" s="750" t="s">
        <v>985</v>
      </c>
      <c r="I66" s="758" t="b">
        <v>1</v>
      </c>
      <c r="J66" s="83" t="s">
        <v>47</v>
      </c>
      <c r="K66" s="83">
        <f t="shared" si="21"/>
        <v>1</v>
      </c>
      <c r="L66" s="84">
        <v>2000000.0</v>
      </c>
      <c r="M66" s="84">
        <v>0.0</v>
      </c>
      <c r="N66" s="84">
        <v>0.0</v>
      </c>
      <c r="O66" s="84" t="str">
        <f t="shared" si="22"/>
        <v>-</v>
      </c>
      <c r="P66" s="84" t="str">
        <f t="shared" si="23"/>
        <v>-</v>
      </c>
      <c r="Q66" s="84">
        <v>2000000.0</v>
      </c>
      <c r="R66" s="72"/>
      <c r="S66" s="72"/>
      <c r="T66" s="72"/>
      <c r="U66" s="72"/>
      <c r="V66" s="87"/>
      <c r="W66" s="87"/>
      <c r="X66" s="26"/>
      <c r="Y66" s="26"/>
      <c r="Z66" s="26"/>
      <c r="AA66" s="742">
        <v>0.0</v>
      </c>
      <c r="AB66" s="743"/>
      <c r="AC66" s="744"/>
      <c r="AD66" s="744"/>
      <c r="AE66" s="744"/>
      <c r="AF66" s="745"/>
      <c r="AG66" s="746"/>
      <c r="AH66" s="744"/>
      <c r="AI66" s="744"/>
      <c r="AJ66" s="744"/>
      <c r="AK66" s="747">
        <f t="shared" si="24"/>
        <v>0</v>
      </c>
      <c r="AL66" s="747">
        <f t="shared" si="25"/>
        <v>0</v>
      </c>
      <c r="AM66" s="747">
        <f t="shared" si="26"/>
        <v>2000000</v>
      </c>
      <c r="AN66" s="748">
        <f t="shared" si="27"/>
        <v>1</v>
      </c>
      <c r="AO66" s="9"/>
      <c r="AP66" s="9"/>
      <c r="AQ66" s="9"/>
      <c r="AR66" s="9"/>
    </row>
    <row r="67" ht="42.0" customHeight="1" outlineLevel="1">
      <c r="A67" s="729" t="s">
        <v>109</v>
      </c>
      <c r="B67" s="783" t="s">
        <v>254</v>
      </c>
      <c r="C67" s="731" t="s">
        <v>38</v>
      </c>
      <c r="D67" s="732" t="s">
        <v>255</v>
      </c>
      <c r="E67" s="733" t="s">
        <v>146</v>
      </c>
      <c r="F67" s="734" t="s">
        <v>256</v>
      </c>
      <c r="G67" s="735" t="s">
        <v>105</v>
      </c>
      <c r="H67" s="736" t="s">
        <v>986</v>
      </c>
      <c r="I67" s="758" t="b">
        <v>1</v>
      </c>
      <c r="J67" s="83" t="s">
        <v>7</v>
      </c>
      <c r="K67" s="83">
        <f t="shared" si="21"/>
        <v>1</v>
      </c>
      <c r="L67" s="84">
        <v>9000000.0</v>
      </c>
      <c r="M67" s="84">
        <v>30000.0</v>
      </c>
      <c r="N67" s="84">
        <v>1500.0</v>
      </c>
      <c r="O67" s="84">
        <f t="shared" si="22"/>
        <v>300</v>
      </c>
      <c r="P67" s="84">
        <f t="shared" si="23"/>
        <v>6000</v>
      </c>
      <c r="Q67" s="84">
        <v>9000000.0</v>
      </c>
      <c r="R67" s="738" t="s">
        <v>987</v>
      </c>
      <c r="S67" s="739"/>
      <c r="T67" s="739"/>
      <c r="U67" s="733" t="s">
        <v>45</v>
      </c>
      <c r="V67" s="9"/>
      <c r="W67" s="9"/>
      <c r="X67" s="740"/>
      <c r="Y67" s="740"/>
      <c r="Z67" s="786" t="s">
        <v>988</v>
      </c>
      <c r="AA67" s="742">
        <v>5000000.0</v>
      </c>
      <c r="AB67" s="743">
        <v>0.7</v>
      </c>
      <c r="AC67" s="744">
        <v>5000.0</v>
      </c>
      <c r="AD67" s="744">
        <v>25000.0</v>
      </c>
      <c r="AE67" s="744">
        <v>200.0</v>
      </c>
      <c r="AF67" s="745">
        <v>1300.0</v>
      </c>
      <c r="AG67" s="746"/>
      <c r="AH67" s="744"/>
      <c r="AI67" s="744"/>
      <c r="AJ67" s="744"/>
      <c r="AK67" s="747">
        <f t="shared" si="24"/>
        <v>115000</v>
      </c>
      <c r="AL67" s="747">
        <f t="shared" si="25"/>
        <v>5115000</v>
      </c>
      <c r="AM67" s="747">
        <f t="shared" si="26"/>
        <v>3885000</v>
      </c>
      <c r="AN67" s="748">
        <f t="shared" si="27"/>
        <v>0.4316666667</v>
      </c>
      <c r="AO67" s="9"/>
      <c r="AP67" s="9"/>
      <c r="AQ67" s="9"/>
      <c r="AR67" s="9"/>
    </row>
    <row r="68" ht="42.0" customHeight="1" outlineLevel="1">
      <c r="A68" s="72"/>
      <c r="B68" s="72"/>
      <c r="C68" s="72"/>
      <c r="D68" s="72"/>
      <c r="E68" s="72"/>
      <c r="F68" s="72"/>
      <c r="G68" s="72"/>
      <c r="H68" s="750" t="s">
        <v>989</v>
      </c>
      <c r="I68" s="758" t="b">
        <v>1</v>
      </c>
      <c r="J68" s="83" t="s">
        <v>47</v>
      </c>
      <c r="K68" s="83">
        <f t="shared" si="21"/>
        <v>1</v>
      </c>
      <c r="L68" s="84">
        <v>3000000.0</v>
      </c>
      <c r="M68" s="84">
        <v>0.0</v>
      </c>
      <c r="N68" s="84">
        <v>0.0</v>
      </c>
      <c r="O68" s="84" t="str">
        <f t="shared" si="22"/>
        <v>-</v>
      </c>
      <c r="P68" s="84" t="str">
        <f t="shared" si="23"/>
        <v>-</v>
      </c>
      <c r="Q68" s="84">
        <v>3000000.0</v>
      </c>
      <c r="R68" s="72"/>
      <c r="S68" s="72"/>
      <c r="T68" s="72"/>
      <c r="U68" s="72"/>
      <c r="V68" s="9"/>
      <c r="W68" s="9"/>
      <c r="X68" s="26"/>
      <c r="Y68" s="26"/>
      <c r="Z68" s="26"/>
      <c r="AA68" s="742">
        <v>1500000.0</v>
      </c>
      <c r="AB68" s="743">
        <v>0.7</v>
      </c>
      <c r="AC68" s="744"/>
      <c r="AD68" s="744"/>
      <c r="AE68" s="744"/>
      <c r="AF68" s="745"/>
      <c r="AG68" s="746"/>
      <c r="AH68" s="744"/>
      <c r="AI68" s="744"/>
      <c r="AJ68" s="744"/>
      <c r="AK68" s="747">
        <f t="shared" si="24"/>
        <v>0</v>
      </c>
      <c r="AL68" s="747">
        <f t="shared" si="25"/>
        <v>1500000</v>
      </c>
      <c r="AM68" s="747">
        <f t="shared" si="26"/>
        <v>1500000</v>
      </c>
      <c r="AN68" s="748">
        <f t="shared" si="27"/>
        <v>0.5</v>
      </c>
      <c r="AO68" s="9"/>
      <c r="AP68" s="9"/>
      <c r="AQ68" s="9"/>
      <c r="AR68" s="9"/>
    </row>
    <row r="69" ht="59.25" customHeight="1" outlineLevel="1">
      <c r="A69" s="94" t="s">
        <v>101</v>
      </c>
      <c r="B69" s="787" t="s">
        <v>648</v>
      </c>
      <c r="C69" s="731" t="s">
        <v>38</v>
      </c>
      <c r="D69" s="788" t="s">
        <v>649</v>
      </c>
      <c r="E69" s="733" t="s">
        <v>146</v>
      </c>
      <c r="F69" s="789" t="s">
        <v>650</v>
      </c>
      <c r="G69" s="735" t="s">
        <v>105</v>
      </c>
      <c r="H69" s="761" t="s">
        <v>990</v>
      </c>
      <c r="I69" s="97" t="b">
        <v>1</v>
      </c>
      <c r="J69" s="83" t="s">
        <v>7</v>
      </c>
      <c r="K69" s="99">
        <f t="shared" si="21"/>
        <v>1</v>
      </c>
      <c r="L69" s="90">
        <v>7000000.0</v>
      </c>
      <c r="M69" s="100">
        <f>sum(AC69,AD69)</f>
        <v>30000</v>
      </c>
      <c r="N69" s="100">
        <f>sum(AE69,AF69)</f>
        <v>1500</v>
      </c>
      <c r="O69" s="100">
        <f t="shared" si="22"/>
        <v>233.3333333</v>
      </c>
      <c r="P69" s="100">
        <f t="shared" si="23"/>
        <v>4666.666667</v>
      </c>
      <c r="Q69" s="84">
        <v>7000000.0</v>
      </c>
      <c r="R69" s="762" t="s">
        <v>991</v>
      </c>
      <c r="S69" s="739"/>
      <c r="T69" s="739"/>
      <c r="U69" s="763" t="s">
        <v>45</v>
      </c>
      <c r="V69" s="9"/>
      <c r="W69" s="9"/>
      <c r="X69" s="740"/>
      <c r="Y69" s="740"/>
      <c r="Z69" s="786" t="s">
        <v>992</v>
      </c>
      <c r="AA69" s="760">
        <v>5000000.0</v>
      </c>
      <c r="AB69" s="743">
        <v>0.7</v>
      </c>
      <c r="AC69" s="744">
        <v>10000.0</v>
      </c>
      <c r="AD69" s="744">
        <v>20000.0</v>
      </c>
      <c r="AE69" s="744">
        <v>1000.0</v>
      </c>
      <c r="AF69" s="745">
        <v>500.0</v>
      </c>
      <c r="AG69" s="746"/>
      <c r="AH69" s="744"/>
      <c r="AI69" s="744"/>
      <c r="AJ69" s="744"/>
      <c r="AK69" s="747">
        <f t="shared" si="24"/>
        <v>65000</v>
      </c>
      <c r="AL69" s="747">
        <f t="shared" si="25"/>
        <v>5065000</v>
      </c>
      <c r="AM69" s="747">
        <f t="shared" si="26"/>
        <v>1935000</v>
      </c>
      <c r="AN69" s="748">
        <f t="shared" si="27"/>
        <v>0.2764285714</v>
      </c>
      <c r="AO69" s="9"/>
      <c r="AP69" s="9"/>
      <c r="AQ69" s="9"/>
      <c r="AR69" s="9"/>
    </row>
    <row r="70" ht="59.25" customHeight="1" outlineLevel="1">
      <c r="A70" s="72"/>
      <c r="B70" s="72"/>
      <c r="C70" s="72"/>
      <c r="D70" s="72"/>
      <c r="E70" s="72"/>
      <c r="F70" s="72"/>
      <c r="G70" s="72"/>
      <c r="H70" s="761" t="s">
        <v>993</v>
      </c>
      <c r="I70" s="97" t="b">
        <v>1</v>
      </c>
      <c r="J70" s="99" t="s">
        <v>47</v>
      </c>
      <c r="K70" s="99">
        <f t="shared" si="21"/>
        <v>1</v>
      </c>
      <c r="L70" s="90">
        <v>3000000.0</v>
      </c>
      <c r="M70" s="100">
        <v>0.0</v>
      </c>
      <c r="N70" s="100">
        <v>0.0</v>
      </c>
      <c r="O70" s="100" t="str">
        <f t="shared" si="22"/>
        <v>-</v>
      </c>
      <c r="P70" s="100" t="str">
        <f t="shared" si="23"/>
        <v>-</v>
      </c>
      <c r="Q70" s="84">
        <v>3000000.0</v>
      </c>
      <c r="R70" s="72"/>
      <c r="S70" s="72"/>
      <c r="T70" s="72"/>
      <c r="U70" s="72"/>
      <c r="V70" s="9"/>
      <c r="W70" s="9"/>
      <c r="X70" s="26"/>
      <c r="Y70" s="26"/>
      <c r="Z70" s="26"/>
      <c r="AA70" s="760"/>
      <c r="AB70" s="743">
        <v>0.7</v>
      </c>
      <c r="AC70" s="744"/>
      <c r="AD70" s="744"/>
      <c r="AE70" s="744"/>
      <c r="AF70" s="745"/>
      <c r="AG70" s="746"/>
      <c r="AH70" s="744"/>
      <c r="AI70" s="744"/>
      <c r="AJ70" s="744"/>
      <c r="AK70" s="747">
        <f t="shared" si="24"/>
        <v>0</v>
      </c>
      <c r="AL70" s="747">
        <f t="shared" si="25"/>
        <v>0</v>
      </c>
      <c r="AM70" s="747">
        <f t="shared" si="26"/>
        <v>3000000</v>
      </c>
      <c r="AN70" s="748">
        <f t="shared" si="27"/>
        <v>1</v>
      </c>
      <c r="AO70" s="9"/>
      <c r="AP70" s="9"/>
      <c r="AQ70" s="9"/>
      <c r="AR70" s="9"/>
    </row>
    <row r="71" outlineLevel="1">
      <c r="A71" s="766" t="s">
        <v>270</v>
      </c>
      <c r="B71" s="767" t="s">
        <v>271</v>
      </c>
      <c r="C71" s="770"/>
      <c r="D71" s="769"/>
      <c r="E71" s="770"/>
      <c r="F71" s="770"/>
      <c r="G71" s="770"/>
      <c r="H71" s="770"/>
      <c r="I71" s="771" t="b">
        <v>0</v>
      </c>
      <c r="J71" s="772"/>
      <c r="K71" s="772"/>
      <c r="L71" s="772"/>
      <c r="M71" s="772"/>
      <c r="N71" s="772"/>
      <c r="O71" s="772"/>
      <c r="P71" s="772"/>
      <c r="Q71" s="772"/>
      <c r="R71" s="770"/>
      <c r="S71" s="772"/>
      <c r="T71" s="772"/>
      <c r="U71" s="768"/>
      <c r="V71" s="146"/>
      <c r="W71" s="146"/>
      <c r="X71" s="773"/>
      <c r="Y71" s="773"/>
      <c r="Z71" s="774"/>
      <c r="AA71" s="775"/>
      <c r="AB71" s="776"/>
      <c r="AC71" s="777"/>
      <c r="AD71" s="777"/>
      <c r="AE71" s="777"/>
      <c r="AF71" s="778"/>
      <c r="AG71" s="779"/>
      <c r="AH71" s="777"/>
      <c r="AI71" s="777"/>
      <c r="AJ71" s="777"/>
      <c r="AK71" s="780"/>
      <c r="AL71" s="780"/>
      <c r="AM71" s="780"/>
      <c r="AN71" s="781"/>
      <c r="AO71" s="146"/>
      <c r="AP71" s="146"/>
      <c r="AQ71" s="146"/>
      <c r="AR71" s="146"/>
    </row>
    <row r="72" ht="42.75" customHeight="1" outlineLevel="1">
      <c r="A72" s="729" t="s">
        <v>45</v>
      </c>
      <c r="B72" s="755" t="s">
        <v>272</v>
      </c>
      <c r="C72" s="731" t="s">
        <v>38</v>
      </c>
      <c r="D72" s="732" t="s">
        <v>273</v>
      </c>
      <c r="E72" s="733" t="s">
        <v>146</v>
      </c>
      <c r="F72" s="734" t="s">
        <v>274</v>
      </c>
      <c r="G72" s="735" t="s">
        <v>275</v>
      </c>
      <c r="H72" s="736" t="s">
        <v>994</v>
      </c>
      <c r="I72" s="737" t="b">
        <v>1</v>
      </c>
      <c r="J72" s="83" t="s">
        <v>7</v>
      </c>
      <c r="K72" s="83">
        <f t="shared" ref="K72:K79" si="28">if(I72=True,1,if(I72=False,0))</f>
        <v>1</v>
      </c>
      <c r="L72" s="84">
        <v>5000000.0</v>
      </c>
      <c r="M72" s="84">
        <v>40000.0</v>
      </c>
      <c r="N72" s="84">
        <v>2000.0</v>
      </c>
      <c r="O72" s="84">
        <f t="shared" ref="O72:O79" si="29">IFERROR(Q72/M72,"-")</f>
        <v>125</v>
      </c>
      <c r="P72" s="84">
        <f t="shared" ref="P72:P79" si="30">IFERROR(Q72/N72,"-")</f>
        <v>2500</v>
      </c>
      <c r="Q72" s="84">
        <v>5000000.0</v>
      </c>
      <c r="R72" s="738" t="s">
        <v>995</v>
      </c>
      <c r="S72" s="85" t="s">
        <v>278</v>
      </c>
      <c r="T72" s="739"/>
      <c r="U72" s="733" t="s">
        <v>45</v>
      </c>
      <c r="V72" s="9"/>
      <c r="W72" s="9"/>
      <c r="X72" s="740"/>
      <c r="Y72" s="740"/>
      <c r="Z72" s="741" t="s">
        <v>996</v>
      </c>
      <c r="AA72" s="742">
        <f>3000000/0.9</f>
        <v>3333333.333</v>
      </c>
      <c r="AB72" s="743">
        <v>0.5</v>
      </c>
      <c r="AC72" s="744">
        <v>20000.0</v>
      </c>
      <c r="AD72" s="744">
        <v>20000.0</v>
      </c>
      <c r="AE72" s="744">
        <v>1000.0</v>
      </c>
      <c r="AF72" s="745">
        <v>1000.0</v>
      </c>
      <c r="AG72" s="746"/>
      <c r="AH72" s="744"/>
      <c r="AI72" s="744"/>
      <c r="AJ72" s="744"/>
      <c r="AK72" s="747">
        <f t="shared" ref="AK72:AK79" si="31">(AD72*2+AF72*50+AH72*10+AJ72*50)*K72</f>
        <v>90000</v>
      </c>
      <c r="AL72" s="747">
        <f t="shared" ref="AL72:AL79" si="32">sum(AA72,AK72)*K72</f>
        <v>3423333.333</v>
      </c>
      <c r="AM72" s="747">
        <f t="shared" ref="AM72:AM79" si="33">iferror(Q72-AL72,"-")</f>
        <v>1576666.667</v>
      </c>
      <c r="AN72" s="748">
        <f t="shared" ref="AN72:AN79" si="34">iferror(AM72/Q72,"-")</f>
        <v>0.3153333333</v>
      </c>
      <c r="AO72" s="9"/>
      <c r="AP72" s="9"/>
      <c r="AQ72" s="9"/>
      <c r="AR72" s="9"/>
    </row>
    <row r="73" ht="42.75" customHeight="1" outlineLevel="1">
      <c r="A73" s="72"/>
      <c r="B73" s="72"/>
      <c r="C73" s="72"/>
      <c r="D73" s="72"/>
      <c r="E73" s="72"/>
      <c r="F73" s="72"/>
      <c r="G73" s="72"/>
      <c r="H73" s="750" t="s">
        <v>997</v>
      </c>
      <c r="I73" s="737" t="b">
        <v>1</v>
      </c>
      <c r="J73" s="83" t="s">
        <v>47</v>
      </c>
      <c r="K73" s="83">
        <f t="shared" si="28"/>
        <v>1</v>
      </c>
      <c r="L73" s="84">
        <v>2000000.0</v>
      </c>
      <c r="M73" s="84">
        <v>0.0</v>
      </c>
      <c r="N73" s="84">
        <v>0.0</v>
      </c>
      <c r="O73" s="84" t="str">
        <f t="shared" si="29"/>
        <v>-</v>
      </c>
      <c r="P73" s="84" t="str">
        <f t="shared" si="30"/>
        <v>-</v>
      </c>
      <c r="Q73" s="84">
        <v>2000000.0</v>
      </c>
      <c r="R73" s="68"/>
      <c r="S73" s="72"/>
      <c r="T73" s="72"/>
      <c r="U73" s="72"/>
      <c r="V73" s="9"/>
      <c r="W73" s="9"/>
      <c r="X73" s="26"/>
      <c r="Y73" s="26"/>
      <c r="Z73" s="741" t="s">
        <v>998</v>
      </c>
      <c r="AA73" s="742"/>
      <c r="AB73" s="743">
        <v>2.0</v>
      </c>
      <c r="AC73" s="744"/>
      <c r="AD73" s="744"/>
      <c r="AE73" s="744"/>
      <c r="AF73" s="745"/>
      <c r="AG73" s="746"/>
      <c r="AH73" s="744"/>
      <c r="AI73" s="744"/>
      <c r="AJ73" s="744"/>
      <c r="AK73" s="747">
        <f t="shared" si="31"/>
        <v>0</v>
      </c>
      <c r="AL73" s="747">
        <f t="shared" si="32"/>
        <v>0</v>
      </c>
      <c r="AM73" s="747">
        <f t="shared" si="33"/>
        <v>2000000</v>
      </c>
      <c r="AN73" s="748">
        <f t="shared" si="34"/>
        <v>1</v>
      </c>
      <c r="AO73" s="9"/>
      <c r="AP73" s="9"/>
      <c r="AQ73" s="9"/>
      <c r="AR73" s="9"/>
    </row>
    <row r="74" ht="42.75" customHeight="1" outlineLevel="1">
      <c r="A74" s="729" t="s">
        <v>73</v>
      </c>
      <c r="B74" s="755" t="s">
        <v>280</v>
      </c>
      <c r="C74" s="731" t="s">
        <v>38</v>
      </c>
      <c r="D74" s="732">
        <v>13600.0</v>
      </c>
      <c r="E74" s="733" t="s">
        <v>146</v>
      </c>
      <c r="F74" s="734" t="s">
        <v>281</v>
      </c>
      <c r="G74" s="735" t="s">
        <v>41</v>
      </c>
      <c r="H74" s="736" t="s">
        <v>999</v>
      </c>
      <c r="I74" s="737" t="b">
        <v>1</v>
      </c>
      <c r="J74" s="83" t="s">
        <v>7</v>
      </c>
      <c r="K74" s="83">
        <f t="shared" si="28"/>
        <v>1</v>
      </c>
      <c r="L74" s="84">
        <v>5000000.0</v>
      </c>
      <c r="M74" s="84">
        <v>25000.0</v>
      </c>
      <c r="N74" s="84">
        <v>1500.0</v>
      </c>
      <c r="O74" s="84">
        <f t="shared" si="29"/>
        <v>200</v>
      </c>
      <c r="P74" s="84">
        <f t="shared" si="30"/>
        <v>3333.333333</v>
      </c>
      <c r="Q74" s="84">
        <v>5000000.0</v>
      </c>
      <c r="R74" s="68"/>
      <c r="S74" s="85" t="s">
        <v>283</v>
      </c>
      <c r="T74" s="85" t="s">
        <v>79</v>
      </c>
      <c r="U74" s="733" t="s">
        <v>45</v>
      </c>
      <c r="V74" s="9"/>
      <c r="W74" s="9"/>
      <c r="X74" s="740"/>
      <c r="Y74" s="740"/>
      <c r="Z74" s="741" t="s">
        <v>1000</v>
      </c>
      <c r="AA74" s="742">
        <f>2800000/0.9</f>
        <v>3111111.111</v>
      </c>
      <c r="AB74" s="743">
        <v>0.5</v>
      </c>
      <c r="AC74" s="744">
        <v>10000.0</v>
      </c>
      <c r="AD74" s="744">
        <v>15000.0</v>
      </c>
      <c r="AE74" s="744">
        <v>500.0</v>
      </c>
      <c r="AF74" s="745">
        <v>1000.0</v>
      </c>
      <c r="AG74" s="746"/>
      <c r="AH74" s="744"/>
      <c r="AI74" s="744"/>
      <c r="AJ74" s="744"/>
      <c r="AK74" s="747">
        <f t="shared" si="31"/>
        <v>80000</v>
      </c>
      <c r="AL74" s="747">
        <f t="shared" si="32"/>
        <v>3191111.111</v>
      </c>
      <c r="AM74" s="747">
        <f t="shared" si="33"/>
        <v>1808888.889</v>
      </c>
      <c r="AN74" s="748">
        <f t="shared" si="34"/>
        <v>0.3617777778</v>
      </c>
      <c r="AO74" s="9"/>
      <c r="AP74" s="9"/>
      <c r="AQ74" s="9"/>
      <c r="AR74" s="9"/>
    </row>
    <row r="75" ht="42.75" customHeight="1" outlineLevel="1">
      <c r="A75" s="72"/>
      <c r="B75" s="72"/>
      <c r="C75" s="72"/>
      <c r="D75" s="72"/>
      <c r="E75" s="72"/>
      <c r="F75" s="72"/>
      <c r="G75" s="72"/>
      <c r="H75" s="750" t="s">
        <v>1001</v>
      </c>
      <c r="I75" s="737" t="b">
        <v>1</v>
      </c>
      <c r="J75" s="83" t="s">
        <v>47</v>
      </c>
      <c r="K75" s="83">
        <f t="shared" si="28"/>
        <v>1</v>
      </c>
      <c r="L75" s="84">
        <v>2000000.0</v>
      </c>
      <c r="M75" s="84">
        <v>0.0</v>
      </c>
      <c r="N75" s="84">
        <v>0.0</v>
      </c>
      <c r="O75" s="84" t="str">
        <f t="shared" si="29"/>
        <v>-</v>
      </c>
      <c r="P75" s="84" t="str">
        <f t="shared" si="30"/>
        <v>-</v>
      </c>
      <c r="Q75" s="84">
        <v>2000000.0</v>
      </c>
      <c r="R75" s="68"/>
      <c r="S75" s="72"/>
      <c r="T75" s="72"/>
      <c r="U75" s="72"/>
      <c r="V75" s="9"/>
      <c r="W75" s="9"/>
      <c r="X75" s="26"/>
      <c r="Y75" s="26"/>
      <c r="Z75" s="741" t="s">
        <v>1002</v>
      </c>
      <c r="AA75" s="742"/>
      <c r="AB75" s="743">
        <v>2.0</v>
      </c>
      <c r="AC75" s="744"/>
      <c r="AD75" s="744"/>
      <c r="AE75" s="744"/>
      <c r="AF75" s="745"/>
      <c r="AG75" s="746"/>
      <c r="AH75" s="744"/>
      <c r="AI75" s="744"/>
      <c r="AJ75" s="744"/>
      <c r="AK75" s="747">
        <f t="shared" si="31"/>
        <v>0</v>
      </c>
      <c r="AL75" s="747">
        <f t="shared" si="32"/>
        <v>0</v>
      </c>
      <c r="AM75" s="747">
        <f t="shared" si="33"/>
        <v>2000000</v>
      </c>
      <c r="AN75" s="748">
        <f t="shared" si="34"/>
        <v>1</v>
      </c>
      <c r="AO75" s="9"/>
      <c r="AP75" s="9"/>
      <c r="AQ75" s="9"/>
      <c r="AR75" s="9"/>
    </row>
    <row r="76" ht="42.75" customHeight="1" outlineLevel="1">
      <c r="A76" s="729" t="s">
        <v>73</v>
      </c>
      <c r="B76" s="782" t="s">
        <v>285</v>
      </c>
      <c r="C76" s="731" t="s">
        <v>38</v>
      </c>
      <c r="D76" s="732" t="s">
        <v>286</v>
      </c>
      <c r="E76" s="733" t="s">
        <v>146</v>
      </c>
      <c r="F76" s="734" t="s">
        <v>287</v>
      </c>
      <c r="G76" s="735" t="s">
        <v>275</v>
      </c>
      <c r="H76" s="736" t="s">
        <v>1003</v>
      </c>
      <c r="I76" s="737" t="b">
        <v>1</v>
      </c>
      <c r="J76" s="83" t="s">
        <v>7</v>
      </c>
      <c r="K76" s="83">
        <f t="shared" si="28"/>
        <v>1</v>
      </c>
      <c r="L76" s="84">
        <v>5000000.0</v>
      </c>
      <c r="M76" s="84">
        <v>20000.0</v>
      </c>
      <c r="N76" s="84">
        <v>1000.0</v>
      </c>
      <c r="O76" s="84">
        <f t="shared" si="29"/>
        <v>250</v>
      </c>
      <c r="P76" s="84">
        <f t="shared" si="30"/>
        <v>5000</v>
      </c>
      <c r="Q76" s="84">
        <v>5000000.0</v>
      </c>
      <c r="R76" s="68"/>
      <c r="S76" s="85" t="s">
        <v>289</v>
      </c>
      <c r="T76" s="85" t="s">
        <v>79</v>
      </c>
      <c r="U76" s="733" t="s">
        <v>45</v>
      </c>
      <c r="V76" s="9"/>
      <c r="W76" s="9"/>
      <c r="X76" s="740"/>
      <c r="Y76" s="740"/>
      <c r="Z76" s="741" t="s">
        <v>1004</v>
      </c>
      <c r="AA76" s="742">
        <f>3000000/0.9</f>
        <v>3333333.333</v>
      </c>
      <c r="AB76" s="743">
        <v>0.5</v>
      </c>
      <c r="AC76" s="744">
        <v>5000.0</v>
      </c>
      <c r="AD76" s="744">
        <v>15000.0</v>
      </c>
      <c r="AE76" s="744">
        <v>500.0</v>
      </c>
      <c r="AF76" s="745">
        <v>500.0</v>
      </c>
      <c r="AG76" s="746"/>
      <c r="AH76" s="744"/>
      <c r="AI76" s="744"/>
      <c r="AJ76" s="744"/>
      <c r="AK76" s="747">
        <f t="shared" si="31"/>
        <v>55000</v>
      </c>
      <c r="AL76" s="747">
        <f t="shared" si="32"/>
        <v>3388333.333</v>
      </c>
      <c r="AM76" s="747">
        <f t="shared" si="33"/>
        <v>1611666.667</v>
      </c>
      <c r="AN76" s="748">
        <f t="shared" si="34"/>
        <v>0.3223333333</v>
      </c>
      <c r="AO76" s="9"/>
      <c r="AP76" s="9"/>
      <c r="AQ76" s="9"/>
      <c r="AR76" s="9"/>
    </row>
    <row r="77" ht="42.75" customHeight="1" outlineLevel="1">
      <c r="A77" s="72"/>
      <c r="B77" s="72"/>
      <c r="C77" s="72"/>
      <c r="D77" s="72"/>
      <c r="E77" s="72"/>
      <c r="F77" s="72"/>
      <c r="G77" s="72"/>
      <c r="H77" s="750" t="s">
        <v>1005</v>
      </c>
      <c r="I77" s="737" t="b">
        <v>1</v>
      </c>
      <c r="J77" s="83" t="s">
        <v>47</v>
      </c>
      <c r="K77" s="83">
        <f t="shared" si="28"/>
        <v>1</v>
      </c>
      <c r="L77" s="84">
        <v>2000000.0</v>
      </c>
      <c r="M77" s="84">
        <v>0.0</v>
      </c>
      <c r="N77" s="84">
        <v>0.0</v>
      </c>
      <c r="O77" s="84" t="str">
        <f t="shared" si="29"/>
        <v>-</v>
      </c>
      <c r="P77" s="84" t="str">
        <f t="shared" si="30"/>
        <v>-</v>
      </c>
      <c r="Q77" s="84">
        <v>2000000.0</v>
      </c>
      <c r="R77" s="68"/>
      <c r="S77" s="72"/>
      <c r="T77" s="72"/>
      <c r="U77" s="72"/>
      <c r="V77" s="9"/>
      <c r="W77" s="9"/>
      <c r="X77" s="26"/>
      <c r="Y77" s="26"/>
      <c r="Z77" s="741" t="s">
        <v>1006</v>
      </c>
      <c r="AA77" s="742"/>
      <c r="AB77" s="743">
        <v>2.0</v>
      </c>
      <c r="AC77" s="744"/>
      <c r="AD77" s="744"/>
      <c r="AE77" s="744"/>
      <c r="AF77" s="745"/>
      <c r="AG77" s="746"/>
      <c r="AH77" s="744"/>
      <c r="AI77" s="744"/>
      <c r="AJ77" s="744"/>
      <c r="AK77" s="747">
        <f t="shared" si="31"/>
        <v>0</v>
      </c>
      <c r="AL77" s="747">
        <f t="shared" si="32"/>
        <v>0</v>
      </c>
      <c r="AM77" s="747">
        <f t="shared" si="33"/>
        <v>2000000</v>
      </c>
      <c r="AN77" s="748">
        <f t="shared" si="34"/>
        <v>1</v>
      </c>
      <c r="AO77" s="9"/>
      <c r="AP77" s="9"/>
      <c r="AQ77" s="9"/>
      <c r="AR77" s="9"/>
    </row>
    <row r="78" ht="42.75" customHeight="1" outlineLevel="1">
      <c r="A78" s="729" t="s">
        <v>101</v>
      </c>
      <c r="B78" s="785" t="s">
        <v>291</v>
      </c>
      <c r="C78" s="731" t="s">
        <v>38</v>
      </c>
      <c r="D78" s="790" t="s">
        <v>292</v>
      </c>
      <c r="E78" s="733" t="s">
        <v>146</v>
      </c>
      <c r="F78" s="734" t="s">
        <v>293</v>
      </c>
      <c r="G78" s="735" t="s">
        <v>41</v>
      </c>
      <c r="H78" s="736" t="s">
        <v>1007</v>
      </c>
      <c r="I78" s="737" t="b">
        <v>1</v>
      </c>
      <c r="J78" s="83" t="s">
        <v>7</v>
      </c>
      <c r="K78" s="83">
        <f t="shared" si="28"/>
        <v>1</v>
      </c>
      <c r="L78" s="84">
        <v>5000000.0</v>
      </c>
      <c r="M78" s="84">
        <v>20000.0</v>
      </c>
      <c r="N78" s="84">
        <v>1500.0</v>
      </c>
      <c r="O78" s="84">
        <f t="shared" si="29"/>
        <v>250</v>
      </c>
      <c r="P78" s="84">
        <f t="shared" si="30"/>
        <v>3333.333333</v>
      </c>
      <c r="Q78" s="84">
        <v>5000000.0</v>
      </c>
      <c r="R78" s="68"/>
      <c r="S78" s="739"/>
      <c r="T78" s="739"/>
      <c r="U78" s="733" t="s">
        <v>45</v>
      </c>
      <c r="V78" s="9"/>
      <c r="W78" s="9"/>
      <c r="X78" s="740"/>
      <c r="Y78" s="740"/>
      <c r="Z78" s="741" t="s">
        <v>1008</v>
      </c>
      <c r="AA78" s="742">
        <f>3000000/0.9</f>
        <v>3333333.333</v>
      </c>
      <c r="AB78" s="743">
        <v>0.5</v>
      </c>
      <c r="AC78" s="744">
        <v>10000.0</v>
      </c>
      <c r="AD78" s="744">
        <v>10000.0</v>
      </c>
      <c r="AE78" s="744">
        <v>500.0</v>
      </c>
      <c r="AF78" s="745">
        <v>1000.0</v>
      </c>
      <c r="AG78" s="746"/>
      <c r="AH78" s="744"/>
      <c r="AI78" s="744"/>
      <c r="AJ78" s="744"/>
      <c r="AK78" s="747">
        <f t="shared" si="31"/>
        <v>70000</v>
      </c>
      <c r="AL78" s="747">
        <f t="shared" si="32"/>
        <v>3403333.333</v>
      </c>
      <c r="AM78" s="747">
        <f t="shared" si="33"/>
        <v>1596666.667</v>
      </c>
      <c r="AN78" s="748">
        <f t="shared" si="34"/>
        <v>0.3193333333</v>
      </c>
      <c r="AO78" s="9"/>
      <c r="AP78" s="9"/>
      <c r="AQ78" s="9"/>
      <c r="AR78" s="9"/>
    </row>
    <row r="79" ht="42.75" customHeight="1" outlineLevel="1">
      <c r="A79" s="72"/>
      <c r="B79" s="72"/>
      <c r="C79" s="72"/>
      <c r="D79" s="72"/>
      <c r="E79" s="72"/>
      <c r="F79" s="72"/>
      <c r="G79" s="72"/>
      <c r="H79" s="750" t="s">
        <v>1009</v>
      </c>
      <c r="I79" s="737" t="b">
        <v>1</v>
      </c>
      <c r="J79" s="83" t="s">
        <v>47</v>
      </c>
      <c r="K79" s="83">
        <f t="shared" si="28"/>
        <v>1</v>
      </c>
      <c r="L79" s="84">
        <v>3000000.0</v>
      </c>
      <c r="M79" s="84">
        <v>0.0</v>
      </c>
      <c r="N79" s="84">
        <v>0.0</v>
      </c>
      <c r="O79" s="84" t="str">
        <f t="shared" si="29"/>
        <v>-</v>
      </c>
      <c r="P79" s="84" t="str">
        <f t="shared" si="30"/>
        <v>-</v>
      </c>
      <c r="Q79" s="84">
        <v>3000000.0</v>
      </c>
      <c r="R79" s="72"/>
      <c r="S79" s="72"/>
      <c r="T79" s="72"/>
      <c r="U79" s="72"/>
      <c r="V79" s="87"/>
      <c r="W79" s="87"/>
      <c r="X79" s="26"/>
      <c r="Y79" s="26"/>
      <c r="Z79" s="741" t="s">
        <v>1010</v>
      </c>
      <c r="AA79" s="742"/>
      <c r="AB79" s="743">
        <v>2.0</v>
      </c>
      <c r="AC79" s="744"/>
      <c r="AD79" s="744"/>
      <c r="AE79" s="744"/>
      <c r="AF79" s="745"/>
      <c r="AG79" s="746"/>
      <c r="AH79" s="744"/>
      <c r="AI79" s="744"/>
      <c r="AJ79" s="744"/>
      <c r="AK79" s="747">
        <f t="shared" si="31"/>
        <v>0</v>
      </c>
      <c r="AL79" s="747">
        <f t="shared" si="32"/>
        <v>0</v>
      </c>
      <c r="AM79" s="747">
        <f t="shared" si="33"/>
        <v>3000000</v>
      </c>
      <c r="AN79" s="748">
        <f t="shared" si="34"/>
        <v>1</v>
      </c>
      <c r="AO79" s="9"/>
      <c r="AP79" s="9"/>
      <c r="AQ79" s="9"/>
      <c r="AR79" s="9"/>
    </row>
    <row r="80" ht="42.75" customHeight="1" outlineLevel="1">
      <c r="A80" s="766" t="s">
        <v>296</v>
      </c>
      <c r="B80" s="767" t="s">
        <v>297</v>
      </c>
      <c r="C80" s="768"/>
      <c r="D80" s="769"/>
      <c r="E80" s="768"/>
      <c r="F80" s="770"/>
      <c r="G80" s="770"/>
      <c r="H80" s="770"/>
      <c r="I80" s="771" t="b">
        <v>0</v>
      </c>
      <c r="J80" s="772"/>
      <c r="K80" s="772"/>
      <c r="L80" s="772"/>
      <c r="M80" s="772"/>
      <c r="N80" s="772"/>
      <c r="O80" s="772"/>
      <c r="P80" s="772"/>
      <c r="Q80" s="772"/>
      <c r="R80" s="770"/>
      <c r="S80" s="772"/>
      <c r="T80" s="772"/>
      <c r="U80" s="768"/>
      <c r="V80" s="146"/>
      <c r="W80" s="146"/>
      <c r="X80" s="773"/>
      <c r="Y80" s="773"/>
      <c r="Z80" s="774"/>
      <c r="AA80" s="775"/>
      <c r="AB80" s="776"/>
      <c r="AC80" s="777"/>
      <c r="AD80" s="777"/>
      <c r="AE80" s="777"/>
      <c r="AF80" s="778"/>
      <c r="AG80" s="779"/>
      <c r="AH80" s="777"/>
      <c r="AI80" s="777"/>
      <c r="AJ80" s="777"/>
      <c r="AK80" s="780"/>
      <c r="AL80" s="780"/>
      <c r="AM80" s="780"/>
      <c r="AN80" s="781"/>
      <c r="AO80" s="146"/>
      <c r="AP80" s="146"/>
      <c r="AQ80" s="146"/>
      <c r="AR80" s="146"/>
    </row>
    <row r="81" ht="42.75" customHeight="1" outlineLevel="1">
      <c r="A81" s="729" t="s">
        <v>45</v>
      </c>
      <c r="B81" s="755" t="s">
        <v>298</v>
      </c>
      <c r="C81" s="731" t="s">
        <v>38</v>
      </c>
      <c r="D81" s="732">
        <v>270000.0</v>
      </c>
      <c r="E81" s="733" t="s">
        <v>40</v>
      </c>
      <c r="F81" s="734" t="s">
        <v>299</v>
      </c>
      <c r="G81" s="735" t="s">
        <v>300</v>
      </c>
      <c r="H81" s="736" t="s">
        <v>1011</v>
      </c>
      <c r="I81" s="737" t="b">
        <v>1</v>
      </c>
      <c r="J81" s="83" t="s">
        <v>7</v>
      </c>
      <c r="K81" s="83">
        <f t="shared" ref="K81:K82" si="35">if(I81=True,1,if(I81=False,0))</f>
        <v>1</v>
      </c>
      <c r="L81" s="84">
        <v>6000000.0</v>
      </c>
      <c r="M81" s="84">
        <v>30000.0</v>
      </c>
      <c r="N81" s="84">
        <v>2000.0</v>
      </c>
      <c r="O81" s="84">
        <f>IFERROR(Q81/M81,"-")</f>
        <v>200</v>
      </c>
      <c r="P81" s="84">
        <f>IFERROR(Q81/N81,"-")</f>
        <v>3000</v>
      </c>
      <c r="Q81" s="84">
        <v>6000000.0</v>
      </c>
      <c r="R81" s="738" t="s">
        <v>1012</v>
      </c>
      <c r="S81" s="85" t="s">
        <v>303</v>
      </c>
      <c r="T81" s="739"/>
      <c r="U81" s="733" t="s">
        <v>45</v>
      </c>
      <c r="V81" s="9"/>
      <c r="W81" s="9"/>
      <c r="X81" s="740"/>
      <c r="Y81" s="740"/>
      <c r="Z81" s="741" t="s">
        <v>1013</v>
      </c>
      <c r="AA81" s="742">
        <f>4000000/0.9</f>
        <v>4444444.444</v>
      </c>
      <c r="AB81" s="743">
        <v>0.5</v>
      </c>
      <c r="AC81" s="744">
        <v>20000.0</v>
      </c>
      <c r="AD81" s="744">
        <v>10000.0</v>
      </c>
      <c r="AE81" s="744">
        <v>1000.0</v>
      </c>
      <c r="AF81" s="745">
        <v>1000.0</v>
      </c>
      <c r="AG81" s="746"/>
      <c r="AH81" s="744"/>
      <c r="AI81" s="744"/>
      <c r="AJ81" s="744"/>
      <c r="AK81" s="747">
        <f t="shared" ref="AK81:AK82" si="36">(AD81*2+AF81*50+AH81*10+AJ81*50)*K81</f>
        <v>70000</v>
      </c>
      <c r="AL81" s="747">
        <f t="shared" ref="AL81:AL82" si="37">sum(AA81,AK81)*K81</f>
        <v>4514444.444</v>
      </c>
      <c r="AM81" s="747">
        <f t="shared" ref="AM81:AM82" si="38">iferror(Q81-AL81,"-")</f>
        <v>1485555.556</v>
      </c>
      <c r="AN81" s="748">
        <f t="shared" ref="AN81:AN82" si="39">iferror(AM81/Q81,"-")</f>
        <v>0.2475925926</v>
      </c>
      <c r="AO81" s="9"/>
      <c r="AP81" s="9"/>
      <c r="AQ81" s="9"/>
      <c r="AR81" s="9"/>
    </row>
    <row r="82" ht="42.75" customHeight="1" outlineLevel="1">
      <c r="A82" s="72"/>
      <c r="B82" s="72"/>
      <c r="C82" s="72"/>
      <c r="D82" s="72"/>
      <c r="E82" s="72"/>
      <c r="F82" s="72"/>
      <c r="G82" s="72"/>
      <c r="H82" s="750" t="s">
        <v>1014</v>
      </c>
      <c r="I82" s="737" t="b">
        <v>1</v>
      </c>
      <c r="J82" s="83" t="s">
        <v>47</v>
      </c>
      <c r="K82" s="83">
        <f t="shared" si="35"/>
        <v>1</v>
      </c>
      <c r="L82" s="84">
        <v>2000000.0</v>
      </c>
      <c r="M82" s="84">
        <v>0.0</v>
      </c>
      <c r="N82" s="84">
        <v>0.0</v>
      </c>
      <c r="O82" s="84" t="s">
        <v>81</v>
      </c>
      <c r="P82" s="84" t="s">
        <v>81</v>
      </c>
      <c r="Q82" s="84">
        <v>2000000.0</v>
      </c>
      <c r="R82" s="72"/>
      <c r="S82" s="72"/>
      <c r="T82" s="72"/>
      <c r="U82" s="72"/>
      <c r="V82" s="9"/>
      <c r="W82" s="9"/>
      <c r="X82" s="26"/>
      <c r="Y82" s="26"/>
      <c r="Z82" s="741" t="s">
        <v>1015</v>
      </c>
      <c r="AA82" s="742"/>
      <c r="AB82" s="743">
        <v>2.0</v>
      </c>
      <c r="AC82" s="744"/>
      <c r="AD82" s="744"/>
      <c r="AE82" s="744"/>
      <c r="AF82" s="745"/>
      <c r="AG82" s="746"/>
      <c r="AH82" s="744"/>
      <c r="AI82" s="744"/>
      <c r="AJ82" s="744"/>
      <c r="AK82" s="747">
        <f t="shared" si="36"/>
        <v>0</v>
      </c>
      <c r="AL82" s="747">
        <f t="shared" si="37"/>
        <v>0</v>
      </c>
      <c r="AM82" s="747">
        <f t="shared" si="38"/>
        <v>2000000</v>
      </c>
      <c r="AN82" s="748">
        <f t="shared" si="39"/>
        <v>1</v>
      </c>
      <c r="AO82" s="9"/>
      <c r="AP82" s="9"/>
      <c r="AQ82" s="9"/>
      <c r="AR82" s="9"/>
    </row>
    <row r="83" ht="34.5" customHeight="1">
      <c r="A83" s="791" t="s">
        <v>318</v>
      </c>
      <c r="B83" s="56"/>
      <c r="C83" s="713"/>
      <c r="D83" s="713"/>
      <c r="E83" s="713"/>
      <c r="F83" s="713"/>
      <c r="G83" s="713"/>
      <c r="H83" s="713"/>
      <c r="I83" s="713"/>
      <c r="J83" s="714" t="s">
        <v>10</v>
      </c>
      <c r="K83" s="714">
        <f>SUMIFS(K85:K94,J85:J94,"Photo Post")</f>
        <v>5</v>
      </c>
      <c r="L83" s="715"/>
      <c r="M83" s="716">
        <f t="shared" ref="M83:N83" si="40">sum(M85:M94)</f>
        <v>320000</v>
      </c>
      <c r="N83" s="716">
        <f t="shared" si="40"/>
        <v>23500</v>
      </c>
      <c r="O83" s="715"/>
      <c r="P83" s="715"/>
      <c r="Q83" s="716">
        <v>2.16E8</v>
      </c>
      <c r="R83" s="765"/>
      <c r="S83" s="765"/>
      <c r="T83" s="765"/>
      <c r="U83" s="765"/>
      <c r="V83" s="69"/>
      <c r="W83" s="69"/>
      <c r="X83" s="717"/>
      <c r="Y83" s="717"/>
      <c r="Z83" s="9"/>
      <c r="AA83" s="719"/>
      <c r="AB83" s="720"/>
      <c r="AC83" s="721"/>
      <c r="AD83" s="721"/>
      <c r="AE83" s="721"/>
      <c r="AF83" s="722"/>
      <c r="AG83" s="723"/>
      <c r="AH83" s="721"/>
      <c r="AI83" s="721"/>
      <c r="AJ83" s="721"/>
      <c r="AK83" s="724"/>
      <c r="AL83" s="724"/>
      <c r="AM83" s="724"/>
      <c r="AN83" s="725"/>
      <c r="AO83" s="9"/>
      <c r="AP83" s="9"/>
      <c r="AQ83" s="9"/>
      <c r="AR83" s="9"/>
    </row>
    <row r="84" ht="34.5" customHeight="1">
      <c r="A84" s="70"/>
      <c r="B84" s="71"/>
      <c r="C84" s="713"/>
      <c r="D84" s="713"/>
      <c r="E84" s="713"/>
      <c r="F84" s="713"/>
      <c r="G84" s="713"/>
      <c r="H84" s="713"/>
      <c r="I84" s="713"/>
      <c r="J84" s="714" t="s">
        <v>7</v>
      </c>
      <c r="K84" s="714">
        <f>SUMIFS(K85:K94,J85:J94,"Video Post")</f>
        <v>5</v>
      </c>
      <c r="L84" s="715"/>
      <c r="M84" s="72"/>
      <c r="N84" s="72"/>
      <c r="O84" s="715"/>
      <c r="P84" s="715"/>
      <c r="Q84" s="72"/>
      <c r="R84" s="765"/>
      <c r="S84" s="765"/>
      <c r="T84" s="765"/>
      <c r="U84" s="765"/>
      <c r="V84" s="69"/>
      <c r="W84" s="69"/>
      <c r="X84" s="717"/>
      <c r="Y84" s="717"/>
      <c r="Z84" s="718"/>
      <c r="AA84" s="719"/>
      <c r="AB84" s="720"/>
      <c r="AC84" s="721"/>
      <c r="AD84" s="721"/>
      <c r="AE84" s="721"/>
      <c r="AF84" s="722"/>
      <c r="AG84" s="723"/>
      <c r="AH84" s="721"/>
      <c r="AI84" s="721"/>
      <c r="AJ84" s="721"/>
      <c r="AK84" s="724"/>
      <c r="AL84" s="724"/>
      <c r="AM84" s="724"/>
      <c r="AN84" s="725"/>
      <c r="AO84" s="9"/>
      <c r="AP84" s="9"/>
      <c r="AQ84" s="9"/>
      <c r="AR84" s="9"/>
    </row>
    <row r="85" ht="75.0" customHeight="1" outlineLevel="1">
      <c r="A85" s="792" t="s">
        <v>45</v>
      </c>
      <c r="B85" s="793" t="s">
        <v>319</v>
      </c>
      <c r="C85" s="794" t="s">
        <v>320</v>
      </c>
      <c r="D85" s="795" t="s">
        <v>321</v>
      </c>
      <c r="E85" s="796" t="s">
        <v>118</v>
      </c>
      <c r="F85" s="797" t="s">
        <v>21</v>
      </c>
      <c r="G85" s="737" t="s">
        <v>322</v>
      </c>
      <c r="H85" s="794" t="s">
        <v>323</v>
      </c>
      <c r="I85" s="758" t="b">
        <v>1</v>
      </c>
      <c r="J85" s="99" t="s">
        <v>10</v>
      </c>
      <c r="K85" s="99">
        <f t="shared" ref="K85:K94" si="41">if(I85=True,1,if(I85=False,0))</f>
        <v>1</v>
      </c>
      <c r="L85" s="100">
        <v>3.2E7</v>
      </c>
      <c r="M85" s="100">
        <v>0.0</v>
      </c>
      <c r="N85" s="100">
        <v>3000.0</v>
      </c>
      <c r="O85" s="100" t="str">
        <f t="shared" ref="O85:O94" si="42">IFERROR(Q85/M85,"-")</f>
        <v>-</v>
      </c>
      <c r="P85" s="100">
        <f t="shared" ref="P85:P94" si="43">IFERROR(Q85/N85,"-")</f>
        <v>10666.66667</v>
      </c>
      <c r="Q85" s="100">
        <v>3.2E7</v>
      </c>
      <c r="R85" s="794" t="s">
        <v>1016</v>
      </c>
      <c r="S85" s="768"/>
      <c r="T85" s="768"/>
      <c r="U85" s="792" t="s">
        <v>45</v>
      </c>
      <c r="V85" s="168"/>
      <c r="W85" s="168"/>
      <c r="X85" s="798"/>
      <c r="Y85" s="798"/>
      <c r="Z85" s="799" t="s">
        <v>1017</v>
      </c>
      <c r="AA85" s="800">
        <v>1.45E7</v>
      </c>
      <c r="AB85" s="743">
        <v>1.0</v>
      </c>
      <c r="AC85" s="801"/>
      <c r="AD85" s="801"/>
      <c r="AE85" s="801"/>
      <c r="AF85" s="802"/>
      <c r="AG85" s="803"/>
      <c r="AH85" s="801"/>
      <c r="AI85" s="744">
        <v>3000.0</v>
      </c>
      <c r="AJ85" s="801"/>
      <c r="AK85" s="804">
        <f>(AD85*2+AF85*50+AH85*10+AJ85*50)*K85</f>
        <v>0</v>
      </c>
      <c r="AL85" s="804">
        <f t="shared" ref="AL85:AL94" si="44">sum(AA85,AK85)*K85</f>
        <v>14500000</v>
      </c>
      <c r="AM85" s="804">
        <f t="shared" ref="AM85:AM94" si="45">iferror(Q85-AL85,"-")</f>
        <v>17500000</v>
      </c>
      <c r="AN85" s="805">
        <f t="shared" ref="AN85:AN94" si="46">iferror(AM85/Q85,"-")</f>
        <v>0.546875</v>
      </c>
      <c r="AO85" s="9"/>
      <c r="AP85" s="9"/>
      <c r="AQ85" s="9"/>
      <c r="AR85" s="9"/>
    </row>
    <row r="86" ht="75.0" customHeight="1" outlineLevel="1">
      <c r="A86" s="792" t="s">
        <v>45</v>
      </c>
      <c r="B86" s="793" t="s">
        <v>325</v>
      </c>
      <c r="C86" s="794" t="s">
        <v>320</v>
      </c>
      <c r="D86" s="795" t="s">
        <v>326</v>
      </c>
      <c r="E86" s="796" t="s">
        <v>118</v>
      </c>
      <c r="F86" s="797" t="s">
        <v>139</v>
      </c>
      <c r="G86" s="737" t="s">
        <v>322</v>
      </c>
      <c r="H86" s="794" t="s">
        <v>323</v>
      </c>
      <c r="I86" s="758" t="b">
        <v>1</v>
      </c>
      <c r="J86" s="99" t="s">
        <v>10</v>
      </c>
      <c r="K86" s="99">
        <f t="shared" si="41"/>
        <v>1</v>
      </c>
      <c r="L86" s="100">
        <v>2.6E7</v>
      </c>
      <c r="M86" s="100">
        <v>0.0</v>
      </c>
      <c r="N86" s="100">
        <v>3000.0</v>
      </c>
      <c r="O86" s="100" t="str">
        <f t="shared" si="42"/>
        <v>-</v>
      </c>
      <c r="P86" s="100">
        <f t="shared" si="43"/>
        <v>8666.666667</v>
      </c>
      <c r="Q86" s="100">
        <v>2.6E7</v>
      </c>
      <c r="R86" s="794" t="s">
        <v>1018</v>
      </c>
      <c r="S86" s="806"/>
      <c r="T86" s="806"/>
      <c r="U86" s="792" t="s">
        <v>45</v>
      </c>
      <c r="V86" s="170"/>
      <c r="W86" s="170"/>
      <c r="X86" s="798"/>
      <c r="Y86" s="798"/>
      <c r="Z86" s="799" t="s">
        <v>1017</v>
      </c>
      <c r="AA86" s="742">
        <v>1.15E7</v>
      </c>
      <c r="AB86" s="743">
        <v>1.0</v>
      </c>
      <c r="AC86" s="744"/>
      <c r="AD86" s="744"/>
      <c r="AE86" s="744"/>
      <c r="AF86" s="745"/>
      <c r="AG86" s="746"/>
      <c r="AH86" s="744"/>
      <c r="AI86" s="744">
        <v>3000.0</v>
      </c>
      <c r="AJ86" s="744"/>
      <c r="AK86" s="747">
        <f t="shared" ref="AK86:AK87" si="47">(AJ86*50+AF86*50+AH86*20+AD86*2)*K86</f>
        <v>0</v>
      </c>
      <c r="AL86" s="747">
        <f t="shared" si="44"/>
        <v>11500000</v>
      </c>
      <c r="AM86" s="747">
        <f t="shared" si="45"/>
        <v>14500000</v>
      </c>
      <c r="AN86" s="748">
        <f t="shared" si="46"/>
        <v>0.5576923077</v>
      </c>
      <c r="AO86" s="9"/>
      <c r="AP86" s="9"/>
      <c r="AQ86" s="9"/>
      <c r="AR86" s="9"/>
    </row>
    <row r="87" ht="75.0" customHeight="1" outlineLevel="1">
      <c r="A87" s="792" t="s">
        <v>45</v>
      </c>
      <c r="B87" s="793" t="s">
        <v>328</v>
      </c>
      <c r="C87" s="794" t="s">
        <v>320</v>
      </c>
      <c r="D87" s="795" t="s">
        <v>329</v>
      </c>
      <c r="E87" s="796" t="s">
        <v>118</v>
      </c>
      <c r="F87" s="797" t="s">
        <v>21</v>
      </c>
      <c r="G87" s="737" t="s">
        <v>322</v>
      </c>
      <c r="H87" s="794" t="s">
        <v>323</v>
      </c>
      <c r="I87" s="758" t="b">
        <v>1</v>
      </c>
      <c r="J87" s="99" t="s">
        <v>10</v>
      </c>
      <c r="K87" s="99">
        <f t="shared" si="41"/>
        <v>1</v>
      </c>
      <c r="L87" s="100">
        <v>2.6E7</v>
      </c>
      <c r="M87" s="100">
        <v>0.0</v>
      </c>
      <c r="N87" s="100">
        <v>3000.0</v>
      </c>
      <c r="O87" s="100" t="str">
        <f t="shared" si="42"/>
        <v>-</v>
      </c>
      <c r="P87" s="100">
        <f t="shared" si="43"/>
        <v>8666.666667</v>
      </c>
      <c r="Q87" s="100">
        <v>2.6E7</v>
      </c>
      <c r="R87" s="794" t="s">
        <v>1019</v>
      </c>
      <c r="S87" s="806"/>
      <c r="T87" s="806"/>
      <c r="U87" s="792" t="s">
        <v>45</v>
      </c>
      <c r="V87" s="170"/>
      <c r="W87" s="170"/>
      <c r="X87" s="798"/>
      <c r="Y87" s="798"/>
      <c r="Z87" s="799" t="s">
        <v>1017</v>
      </c>
      <c r="AA87" s="742">
        <v>1.0E7</v>
      </c>
      <c r="AB87" s="743">
        <v>1.3</v>
      </c>
      <c r="AC87" s="744"/>
      <c r="AD87" s="744"/>
      <c r="AE87" s="744"/>
      <c r="AF87" s="745"/>
      <c r="AG87" s="746"/>
      <c r="AH87" s="744"/>
      <c r="AI87" s="744">
        <v>3000.0</v>
      </c>
      <c r="AJ87" s="744"/>
      <c r="AK87" s="747">
        <f t="shared" si="47"/>
        <v>0</v>
      </c>
      <c r="AL87" s="747">
        <f t="shared" si="44"/>
        <v>10000000</v>
      </c>
      <c r="AM87" s="747">
        <f t="shared" si="45"/>
        <v>16000000</v>
      </c>
      <c r="AN87" s="748">
        <f t="shared" si="46"/>
        <v>0.6153846154</v>
      </c>
      <c r="AO87" s="9"/>
      <c r="AP87" s="9"/>
      <c r="AQ87" s="9"/>
      <c r="AR87" s="9"/>
    </row>
    <row r="88" ht="75.0" customHeight="1" outlineLevel="1">
      <c r="A88" s="792" t="s">
        <v>45</v>
      </c>
      <c r="B88" s="793" t="s">
        <v>331</v>
      </c>
      <c r="C88" s="794" t="s">
        <v>320</v>
      </c>
      <c r="D88" s="795" t="s">
        <v>332</v>
      </c>
      <c r="E88" s="796" t="s">
        <v>40</v>
      </c>
      <c r="F88" s="797" t="s">
        <v>21</v>
      </c>
      <c r="G88" s="737" t="s">
        <v>50</v>
      </c>
      <c r="H88" s="794" t="s">
        <v>323</v>
      </c>
      <c r="I88" s="758" t="b">
        <v>1</v>
      </c>
      <c r="J88" s="99" t="s">
        <v>10</v>
      </c>
      <c r="K88" s="99">
        <f t="shared" si="41"/>
        <v>1</v>
      </c>
      <c r="L88" s="100">
        <v>2.5E7</v>
      </c>
      <c r="M88" s="100">
        <v>0.0</v>
      </c>
      <c r="N88" s="100">
        <v>3000.0</v>
      </c>
      <c r="O88" s="100" t="str">
        <f t="shared" si="42"/>
        <v>-</v>
      </c>
      <c r="P88" s="100">
        <f t="shared" si="43"/>
        <v>8333.333333</v>
      </c>
      <c r="Q88" s="100">
        <v>2.5E7</v>
      </c>
      <c r="R88" s="794" t="s">
        <v>1020</v>
      </c>
      <c r="S88" s="806"/>
      <c r="T88" s="806"/>
      <c r="U88" s="792" t="s">
        <v>45</v>
      </c>
      <c r="V88" s="170"/>
      <c r="W88" s="170"/>
      <c r="X88" s="798"/>
      <c r="Y88" s="798"/>
      <c r="Z88" s="799" t="s">
        <v>1017</v>
      </c>
      <c r="AA88" s="742">
        <v>1.15E7</v>
      </c>
      <c r="AB88" s="743">
        <v>0.95</v>
      </c>
      <c r="AC88" s="744"/>
      <c r="AD88" s="744"/>
      <c r="AE88" s="744"/>
      <c r="AF88" s="745"/>
      <c r="AG88" s="746"/>
      <c r="AH88" s="744"/>
      <c r="AI88" s="744">
        <v>3000.0</v>
      </c>
      <c r="AJ88" s="744"/>
      <c r="AK88" s="747">
        <f t="shared" ref="AK88:AK90" si="48">(AD88*2+AF88*50+AH88*10+AJ88*50)*K88</f>
        <v>0</v>
      </c>
      <c r="AL88" s="747">
        <f t="shared" si="44"/>
        <v>11500000</v>
      </c>
      <c r="AM88" s="747">
        <f t="shared" si="45"/>
        <v>13500000</v>
      </c>
      <c r="AN88" s="748">
        <f t="shared" si="46"/>
        <v>0.54</v>
      </c>
      <c r="AO88" s="9"/>
      <c r="AP88" s="9"/>
      <c r="AQ88" s="9"/>
      <c r="AR88" s="9"/>
    </row>
    <row r="89" ht="75.0" customHeight="1" outlineLevel="1">
      <c r="A89" s="792" t="s">
        <v>45</v>
      </c>
      <c r="B89" s="793" t="s">
        <v>334</v>
      </c>
      <c r="C89" s="794" t="s">
        <v>320</v>
      </c>
      <c r="D89" s="795" t="s">
        <v>335</v>
      </c>
      <c r="E89" s="796" t="s">
        <v>40</v>
      </c>
      <c r="F89" s="797" t="s">
        <v>21</v>
      </c>
      <c r="G89" s="737" t="s">
        <v>322</v>
      </c>
      <c r="H89" s="794" t="s">
        <v>336</v>
      </c>
      <c r="I89" s="758" t="b">
        <v>1</v>
      </c>
      <c r="J89" s="99" t="s">
        <v>10</v>
      </c>
      <c r="K89" s="99">
        <f t="shared" si="41"/>
        <v>1</v>
      </c>
      <c r="L89" s="100">
        <v>1.7E7</v>
      </c>
      <c r="M89" s="100">
        <v>0.0</v>
      </c>
      <c r="N89" s="100">
        <v>3000.0</v>
      </c>
      <c r="O89" s="100" t="str">
        <f t="shared" si="42"/>
        <v>-</v>
      </c>
      <c r="P89" s="100">
        <f t="shared" si="43"/>
        <v>5666.666667</v>
      </c>
      <c r="Q89" s="100">
        <v>1.7E7</v>
      </c>
      <c r="R89" s="794" t="s">
        <v>1021</v>
      </c>
      <c r="S89" s="806"/>
      <c r="T89" s="806"/>
      <c r="U89" s="792" t="s">
        <v>45</v>
      </c>
      <c r="V89" s="170"/>
      <c r="W89" s="170"/>
      <c r="X89" s="798"/>
      <c r="Y89" s="798"/>
      <c r="Z89" s="799" t="s">
        <v>1017</v>
      </c>
      <c r="AA89" s="742">
        <v>7500000.0</v>
      </c>
      <c r="AB89" s="743">
        <v>1.0</v>
      </c>
      <c r="AC89" s="744"/>
      <c r="AD89" s="744"/>
      <c r="AE89" s="744"/>
      <c r="AF89" s="745"/>
      <c r="AG89" s="746"/>
      <c r="AH89" s="744"/>
      <c r="AI89" s="744">
        <v>3000.0</v>
      </c>
      <c r="AJ89" s="744"/>
      <c r="AK89" s="747">
        <f t="shared" si="48"/>
        <v>0</v>
      </c>
      <c r="AL89" s="747">
        <f t="shared" si="44"/>
        <v>7500000</v>
      </c>
      <c r="AM89" s="747">
        <f t="shared" si="45"/>
        <v>9500000</v>
      </c>
      <c r="AN89" s="748">
        <f t="shared" si="46"/>
        <v>0.5588235294</v>
      </c>
      <c r="AO89" s="9"/>
      <c r="AP89" s="9"/>
      <c r="AQ89" s="9"/>
      <c r="AR89" s="9"/>
    </row>
    <row r="90" ht="75.0" customHeight="1" outlineLevel="1">
      <c r="A90" s="792" t="s">
        <v>45</v>
      </c>
      <c r="B90" s="793" t="s">
        <v>338</v>
      </c>
      <c r="C90" s="794" t="s">
        <v>38</v>
      </c>
      <c r="D90" s="795" t="s">
        <v>339</v>
      </c>
      <c r="E90" s="796" t="s">
        <v>118</v>
      </c>
      <c r="F90" s="797" t="s">
        <v>21</v>
      </c>
      <c r="G90" s="737" t="s">
        <v>105</v>
      </c>
      <c r="H90" s="794" t="s">
        <v>340</v>
      </c>
      <c r="I90" s="758" t="b">
        <v>1</v>
      </c>
      <c r="J90" s="99" t="s">
        <v>7</v>
      </c>
      <c r="K90" s="99">
        <f t="shared" si="41"/>
        <v>1</v>
      </c>
      <c r="L90" s="100">
        <v>2.5E7</v>
      </c>
      <c r="M90" s="100">
        <v>80000.0</v>
      </c>
      <c r="N90" s="100">
        <v>2000.0</v>
      </c>
      <c r="O90" s="100">
        <f t="shared" si="42"/>
        <v>312.5</v>
      </c>
      <c r="P90" s="100">
        <f t="shared" si="43"/>
        <v>12500</v>
      </c>
      <c r="Q90" s="100">
        <v>2.5E7</v>
      </c>
      <c r="R90" s="794" t="s">
        <v>1022</v>
      </c>
      <c r="S90" s="806"/>
      <c r="T90" s="806"/>
      <c r="U90" s="792" t="s">
        <v>45</v>
      </c>
      <c r="V90" s="170"/>
      <c r="W90" s="170"/>
      <c r="X90" s="798"/>
      <c r="Y90" s="798"/>
      <c r="Z90" s="799" t="s">
        <v>1017</v>
      </c>
      <c r="AA90" s="742">
        <v>1.5E7</v>
      </c>
      <c r="AB90" s="743">
        <v>0.5</v>
      </c>
      <c r="AC90" s="744">
        <v>80000.0</v>
      </c>
      <c r="AD90" s="744"/>
      <c r="AE90" s="744">
        <v>1000.0</v>
      </c>
      <c r="AF90" s="745">
        <v>1000.0</v>
      </c>
      <c r="AG90" s="746"/>
      <c r="AH90" s="744"/>
      <c r="AI90" s="744"/>
      <c r="AJ90" s="744"/>
      <c r="AK90" s="747">
        <f t="shared" si="48"/>
        <v>50000</v>
      </c>
      <c r="AL90" s="747">
        <f t="shared" si="44"/>
        <v>15050000</v>
      </c>
      <c r="AM90" s="747">
        <f t="shared" si="45"/>
        <v>9950000</v>
      </c>
      <c r="AN90" s="748">
        <f t="shared" si="46"/>
        <v>0.398</v>
      </c>
      <c r="AO90" s="9"/>
      <c r="AP90" s="9"/>
      <c r="AQ90" s="9"/>
      <c r="AR90" s="9"/>
    </row>
    <row r="91" ht="75.0" customHeight="1" outlineLevel="1">
      <c r="A91" s="792" t="s">
        <v>45</v>
      </c>
      <c r="B91" s="807" t="s">
        <v>342</v>
      </c>
      <c r="C91" s="794" t="s">
        <v>38</v>
      </c>
      <c r="D91" s="795" t="s">
        <v>343</v>
      </c>
      <c r="E91" s="796" t="s">
        <v>40</v>
      </c>
      <c r="F91" s="797" t="s">
        <v>21</v>
      </c>
      <c r="G91" s="737" t="s">
        <v>50</v>
      </c>
      <c r="H91" s="794" t="s">
        <v>340</v>
      </c>
      <c r="I91" s="758" t="b">
        <v>1</v>
      </c>
      <c r="J91" s="99" t="s">
        <v>7</v>
      </c>
      <c r="K91" s="99">
        <f t="shared" si="41"/>
        <v>1</v>
      </c>
      <c r="L91" s="100">
        <v>1.5E7</v>
      </c>
      <c r="M91" s="100">
        <v>30000.0</v>
      </c>
      <c r="N91" s="100">
        <v>1500.0</v>
      </c>
      <c r="O91" s="100">
        <f t="shared" si="42"/>
        <v>500</v>
      </c>
      <c r="P91" s="100">
        <f t="shared" si="43"/>
        <v>10000</v>
      </c>
      <c r="Q91" s="100">
        <v>1.5E7</v>
      </c>
      <c r="R91" s="794" t="s">
        <v>1023</v>
      </c>
      <c r="S91" s="806"/>
      <c r="T91" s="806"/>
      <c r="U91" s="792" t="s">
        <v>45</v>
      </c>
      <c r="V91" s="170"/>
      <c r="W91" s="170"/>
      <c r="X91" s="798"/>
      <c r="Y91" s="798"/>
      <c r="Z91" s="808" t="s">
        <v>1024</v>
      </c>
      <c r="AA91" s="742">
        <f>7000000</f>
        <v>7000000</v>
      </c>
      <c r="AB91" s="743">
        <v>0.5</v>
      </c>
      <c r="AC91" s="744">
        <v>10000.0</v>
      </c>
      <c r="AD91" s="744">
        <v>20000.0</v>
      </c>
      <c r="AE91" s="744">
        <v>500.0</v>
      </c>
      <c r="AF91" s="745">
        <v>1000.0</v>
      </c>
      <c r="AG91" s="746"/>
      <c r="AH91" s="744"/>
      <c r="AI91" s="744"/>
      <c r="AJ91" s="801"/>
      <c r="AK91" s="747">
        <f>(AJ91*50+AF91*50+AH91*20+AD91*2)*K91</f>
        <v>90000</v>
      </c>
      <c r="AL91" s="747">
        <f t="shared" si="44"/>
        <v>7090000</v>
      </c>
      <c r="AM91" s="747">
        <f t="shared" si="45"/>
        <v>7910000</v>
      </c>
      <c r="AN91" s="748">
        <f t="shared" si="46"/>
        <v>0.5273333333</v>
      </c>
      <c r="AO91" s="9"/>
      <c r="AP91" s="9"/>
      <c r="AQ91" s="9"/>
      <c r="AR91" s="9"/>
    </row>
    <row r="92" ht="75.0" customHeight="1" outlineLevel="1">
      <c r="A92" s="792" t="s">
        <v>45</v>
      </c>
      <c r="B92" s="793" t="s">
        <v>345</v>
      </c>
      <c r="C92" s="794" t="s">
        <v>38</v>
      </c>
      <c r="D92" s="795" t="s">
        <v>346</v>
      </c>
      <c r="E92" s="796" t="s">
        <v>40</v>
      </c>
      <c r="F92" s="797" t="s">
        <v>21</v>
      </c>
      <c r="G92" s="737" t="s">
        <v>322</v>
      </c>
      <c r="H92" s="794" t="s">
        <v>340</v>
      </c>
      <c r="I92" s="758" t="b">
        <v>1</v>
      </c>
      <c r="J92" s="99" t="s">
        <v>7</v>
      </c>
      <c r="K92" s="99">
        <f t="shared" si="41"/>
        <v>1</v>
      </c>
      <c r="L92" s="100">
        <v>1.8E7</v>
      </c>
      <c r="M92" s="100">
        <v>80000.0</v>
      </c>
      <c r="N92" s="100">
        <v>1500.0</v>
      </c>
      <c r="O92" s="100">
        <f t="shared" si="42"/>
        <v>225</v>
      </c>
      <c r="P92" s="100">
        <f t="shared" si="43"/>
        <v>12000</v>
      </c>
      <c r="Q92" s="100">
        <v>1.8E7</v>
      </c>
      <c r="R92" s="794" t="s">
        <v>1025</v>
      </c>
      <c r="S92" s="806"/>
      <c r="T92" s="806"/>
      <c r="U92" s="792" t="s">
        <v>45</v>
      </c>
      <c r="V92" s="170"/>
      <c r="W92" s="170"/>
      <c r="X92" s="798"/>
      <c r="Y92" s="798"/>
      <c r="Z92" s="799" t="s">
        <v>1017</v>
      </c>
      <c r="AA92" s="742">
        <v>8000000.0</v>
      </c>
      <c r="AB92" s="743">
        <v>1.0</v>
      </c>
      <c r="AC92" s="744">
        <v>30000.0</v>
      </c>
      <c r="AD92" s="744">
        <v>50000.0</v>
      </c>
      <c r="AE92" s="744">
        <v>500.0</v>
      </c>
      <c r="AF92" s="745">
        <v>1000.0</v>
      </c>
      <c r="AG92" s="746"/>
      <c r="AH92" s="744"/>
      <c r="AI92" s="744"/>
      <c r="AJ92" s="744"/>
      <c r="AK92" s="747">
        <f t="shared" ref="AK92:AK94" si="49">(AD92*2+AF92*50+AH92*10+AJ92*50)*K92</f>
        <v>150000</v>
      </c>
      <c r="AL92" s="747">
        <f t="shared" si="44"/>
        <v>8150000</v>
      </c>
      <c r="AM92" s="747">
        <f t="shared" si="45"/>
        <v>9850000</v>
      </c>
      <c r="AN92" s="748">
        <f t="shared" si="46"/>
        <v>0.5472222222</v>
      </c>
      <c r="AO92" s="9"/>
      <c r="AP92" s="9"/>
      <c r="AQ92" s="9"/>
      <c r="AR92" s="9"/>
    </row>
    <row r="93" ht="75.0" customHeight="1" outlineLevel="1">
      <c r="A93" s="792" t="s">
        <v>45</v>
      </c>
      <c r="B93" s="807" t="s">
        <v>348</v>
      </c>
      <c r="C93" s="794" t="s">
        <v>38</v>
      </c>
      <c r="D93" s="795" t="s">
        <v>349</v>
      </c>
      <c r="E93" s="796" t="s">
        <v>40</v>
      </c>
      <c r="F93" s="797" t="s">
        <v>21</v>
      </c>
      <c r="G93" s="737" t="s">
        <v>50</v>
      </c>
      <c r="H93" s="794" t="s">
        <v>340</v>
      </c>
      <c r="I93" s="758" t="b">
        <v>1</v>
      </c>
      <c r="J93" s="99" t="s">
        <v>7</v>
      </c>
      <c r="K93" s="99">
        <f t="shared" si="41"/>
        <v>1</v>
      </c>
      <c r="L93" s="100">
        <v>1.2E7</v>
      </c>
      <c r="M93" s="100">
        <v>50000.0</v>
      </c>
      <c r="N93" s="100">
        <v>1500.0</v>
      </c>
      <c r="O93" s="100">
        <f t="shared" si="42"/>
        <v>240</v>
      </c>
      <c r="P93" s="100">
        <f t="shared" si="43"/>
        <v>8000</v>
      </c>
      <c r="Q93" s="100">
        <v>1.2E7</v>
      </c>
      <c r="R93" s="794" t="s">
        <v>1026</v>
      </c>
      <c r="S93" s="806"/>
      <c r="T93" s="806"/>
      <c r="U93" s="792" t="s">
        <v>45</v>
      </c>
      <c r="V93" s="170"/>
      <c r="W93" s="170"/>
      <c r="X93" s="798"/>
      <c r="Y93" s="798"/>
      <c r="Z93" s="808" t="s">
        <v>1024</v>
      </c>
      <c r="AA93" s="742">
        <f>2800000/0.9</f>
        <v>3111111.111</v>
      </c>
      <c r="AB93" s="743">
        <v>1.2</v>
      </c>
      <c r="AC93" s="744">
        <v>30000.0</v>
      </c>
      <c r="AD93" s="744">
        <v>20000.0</v>
      </c>
      <c r="AE93" s="744">
        <v>500.0</v>
      </c>
      <c r="AF93" s="745">
        <v>1000.0</v>
      </c>
      <c r="AG93" s="746"/>
      <c r="AH93" s="744"/>
      <c r="AI93" s="744"/>
      <c r="AJ93" s="744"/>
      <c r="AK93" s="747">
        <f t="shared" si="49"/>
        <v>90000</v>
      </c>
      <c r="AL93" s="747">
        <f t="shared" si="44"/>
        <v>3201111.111</v>
      </c>
      <c r="AM93" s="747">
        <f t="shared" si="45"/>
        <v>8798888.889</v>
      </c>
      <c r="AN93" s="748">
        <f t="shared" si="46"/>
        <v>0.7332407407</v>
      </c>
      <c r="AO93" s="9"/>
      <c r="AP93" s="9"/>
      <c r="AQ93" s="9"/>
      <c r="AR93" s="9"/>
    </row>
    <row r="94" ht="75.0" customHeight="1" outlineLevel="1">
      <c r="A94" s="792" t="s">
        <v>45</v>
      </c>
      <c r="B94" s="793" t="s">
        <v>351</v>
      </c>
      <c r="C94" s="794" t="s">
        <v>38</v>
      </c>
      <c r="D94" s="795" t="s">
        <v>352</v>
      </c>
      <c r="E94" s="796" t="s">
        <v>40</v>
      </c>
      <c r="F94" s="797" t="s">
        <v>21</v>
      </c>
      <c r="G94" s="737" t="s">
        <v>105</v>
      </c>
      <c r="H94" s="794" t="s">
        <v>340</v>
      </c>
      <c r="I94" s="758" t="b">
        <v>1</v>
      </c>
      <c r="J94" s="99" t="s">
        <v>7</v>
      </c>
      <c r="K94" s="99">
        <f t="shared" si="41"/>
        <v>1</v>
      </c>
      <c r="L94" s="100">
        <v>2.0E7</v>
      </c>
      <c r="M94" s="100">
        <v>80000.0</v>
      </c>
      <c r="N94" s="100">
        <v>2000.0</v>
      </c>
      <c r="O94" s="100">
        <f t="shared" si="42"/>
        <v>250</v>
      </c>
      <c r="P94" s="100">
        <f t="shared" si="43"/>
        <v>10000</v>
      </c>
      <c r="Q94" s="100">
        <v>2.0E7</v>
      </c>
      <c r="R94" s="794" t="s">
        <v>1027</v>
      </c>
      <c r="S94" s="768"/>
      <c r="T94" s="768"/>
      <c r="U94" s="792" t="s">
        <v>45</v>
      </c>
      <c r="V94" s="168"/>
      <c r="W94" s="168"/>
      <c r="X94" s="798"/>
      <c r="Y94" s="798"/>
      <c r="Z94" s="799" t="s">
        <v>1017</v>
      </c>
      <c r="AA94" s="800">
        <v>1.0E7</v>
      </c>
      <c r="AB94" s="743">
        <v>0.5</v>
      </c>
      <c r="AC94" s="744">
        <v>80000.0</v>
      </c>
      <c r="AD94" s="801"/>
      <c r="AE94" s="744">
        <v>1000.0</v>
      </c>
      <c r="AF94" s="745">
        <v>1000.0</v>
      </c>
      <c r="AG94" s="803"/>
      <c r="AH94" s="801"/>
      <c r="AI94" s="744"/>
      <c r="AJ94" s="801"/>
      <c r="AK94" s="804">
        <f t="shared" si="49"/>
        <v>50000</v>
      </c>
      <c r="AL94" s="804">
        <f t="shared" si="44"/>
        <v>10050000</v>
      </c>
      <c r="AM94" s="804">
        <f t="shared" si="45"/>
        <v>9950000</v>
      </c>
      <c r="AN94" s="805">
        <f t="shared" si="46"/>
        <v>0.4975</v>
      </c>
      <c r="AO94" s="9"/>
      <c r="AP94" s="9"/>
      <c r="AQ94" s="9"/>
      <c r="AR94" s="9"/>
    </row>
    <row r="95" ht="54.0" customHeight="1">
      <c r="A95" s="809" t="s">
        <v>1028</v>
      </c>
      <c r="B95" s="173"/>
      <c r="C95" s="174"/>
      <c r="D95" s="175"/>
      <c r="E95" s="174"/>
      <c r="F95" s="174"/>
      <c r="G95" s="174"/>
      <c r="H95" s="174"/>
      <c r="I95" s="174"/>
      <c r="J95" s="810"/>
      <c r="K95" s="810"/>
      <c r="L95" s="810"/>
      <c r="M95" s="810"/>
      <c r="N95" s="811">
        <f>K96</f>
        <v>1</v>
      </c>
      <c r="O95" s="810"/>
      <c r="P95" s="810"/>
      <c r="Q95" s="811">
        <v>9000000.0</v>
      </c>
      <c r="R95" s="812"/>
      <c r="S95" s="181"/>
      <c r="T95" s="181"/>
      <c r="U95" s="181"/>
      <c r="V95" s="181"/>
      <c r="W95" s="181"/>
      <c r="X95" s="813"/>
      <c r="Y95" s="813"/>
      <c r="Z95" s="814"/>
      <c r="AA95" s="815"/>
      <c r="AB95" s="816"/>
      <c r="AC95" s="815"/>
      <c r="AD95" s="815"/>
      <c r="AE95" s="815"/>
      <c r="AF95" s="817"/>
      <c r="AG95" s="818"/>
      <c r="AH95" s="815"/>
      <c r="AI95" s="815"/>
      <c r="AJ95" s="815"/>
      <c r="AK95" s="815"/>
      <c r="AL95" s="815"/>
      <c r="AM95" s="815"/>
      <c r="AN95" s="819"/>
      <c r="AO95" s="9"/>
      <c r="AP95" s="9"/>
      <c r="AQ95" s="9"/>
      <c r="AR95" s="9"/>
    </row>
    <row r="96" ht="180.0" customHeight="1" outlineLevel="1">
      <c r="A96" s="820">
        <v>1.0</v>
      </c>
      <c r="B96" s="821" t="s">
        <v>1029</v>
      </c>
      <c r="C96" s="822" t="s">
        <v>1030</v>
      </c>
      <c r="D96" s="185"/>
      <c r="E96" s="185"/>
      <c r="F96" s="185"/>
      <c r="G96" s="185"/>
      <c r="H96" s="186"/>
      <c r="I96" s="823" t="b">
        <v>1</v>
      </c>
      <c r="J96" s="824" t="s">
        <v>890</v>
      </c>
      <c r="K96" s="824">
        <v>1.0</v>
      </c>
      <c r="L96" s="90">
        <v>9000000.0</v>
      </c>
      <c r="M96" s="100"/>
      <c r="N96" s="100"/>
      <c r="O96" s="100" t="str">
        <f>IFERROR(Q96/M96,"-")</f>
        <v>-</v>
      </c>
      <c r="P96" s="100" t="str">
        <f>IFERROR(Q96/N96,"-")</f>
        <v>-</v>
      </c>
      <c r="Q96" s="84">
        <v>9000000.0</v>
      </c>
      <c r="R96" s="825"/>
      <c r="S96" s="181"/>
      <c r="T96" s="181"/>
      <c r="U96" s="181"/>
      <c r="V96" s="181"/>
      <c r="W96" s="181"/>
      <c r="X96" s="826"/>
      <c r="Y96" s="826"/>
      <c r="Z96" s="814"/>
      <c r="AA96" s="827">
        <f>sum(AA101:AA103)</f>
        <v>6400000</v>
      </c>
      <c r="AB96" s="743">
        <v>0.3</v>
      </c>
      <c r="AC96" s="828"/>
      <c r="AD96" s="828"/>
      <c r="AE96" s="828"/>
      <c r="AF96" s="829"/>
      <c r="AG96" s="830"/>
      <c r="AH96" s="828"/>
      <c r="AI96" s="828"/>
      <c r="AJ96" s="828"/>
      <c r="AK96" s="804">
        <f>(AD96*2+AF96*50+AH96*10+AJ96*50)*K96</f>
        <v>0</v>
      </c>
      <c r="AL96" s="804">
        <f>sum(AA96,AK96)*K96</f>
        <v>6400000</v>
      </c>
      <c r="AM96" s="804">
        <f>iferror(Q96-AL96,"-")</f>
        <v>2600000</v>
      </c>
      <c r="AN96" s="805">
        <f>iferror(AM96/Q96,"-")</f>
        <v>0.2888888889</v>
      </c>
      <c r="AO96" s="9"/>
      <c r="AP96" s="9"/>
      <c r="AQ96" s="9"/>
      <c r="AR96" s="9"/>
    </row>
    <row r="97" ht="54.0" customHeight="1">
      <c r="A97" s="172" t="s">
        <v>354</v>
      </c>
      <c r="B97" s="173"/>
      <c r="C97" s="174"/>
      <c r="D97" s="175"/>
      <c r="E97" s="174"/>
      <c r="F97" s="174"/>
      <c r="G97" s="174"/>
      <c r="H97" s="174"/>
      <c r="I97" s="174"/>
      <c r="J97" s="810"/>
      <c r="K97" s="810"/>
      <c r="L97" s="810"/>
      <c r="M97" s="810"/>
      <c r="N97" s="811">
        <f>K98</f>
        <v>2000</v>
      </c>
      <c r="O97" s="810"/>
      <c r="P97" s="810"/>
      <c r="Q97" s="811">
        <v>2.0E7</v>
      </c>
      <c r="R97" s="812"/>
      <c r="S97" s="181"/>
      <c r="T97" s="181"/>
      <c r="U97" s="181"/>
      <c r="V97" s="181"/>
      <c r="W97" s="181"/>
      <c r="X97" s="813"/>
      <c r="Y97" s="813"/>
      <c r="Z97" s="814"/>
      <c r="AA97" s="815"/>
      <c r="AB97" s="816"/>
      <c r="AC97" s="815"/>
      <c r="AD97" s="815"/>
      <c r="AE97" s="815"/>
      <c r="AF97" s="817"/>
      <c r="AG97" s="818"/>
      <c r="AH97" s="815"/>
      <c r="AI97" s="815"/>
      <c r="AJ97" s="815"/>
      <c r="AK97" s="815"/>
      <c r="AL97" s="815"/>
      <c r="AM97" s="815"/>
      <c r="AN97" s="819"/>
      <c r="AO97" s="9"/>
      <c r="AP97" s="9"/>
      <c r="AQ97" s="9"/>
      <c r="AR97" s="9"/>
    </row>
    <row r="98" ht="67.5" customHeight="1" outlineLevel="1">
      <c r="A98" s="820">
        <v>1.0</v>
      </c>
      <c r="B98" s="183" t="s">
        <v>355</v>
      </c>
      <c r="C98" s="831" t="s">
        <v>356</v>
      </c>
      <c r="D98" s="185"/>
      <c r="E98" s="185"/>
      <c r="F98" s="185"/>
      <c r="G98" s="185"/>
      <c r="H98" s="186"/>
      <c r="I98" s="823" t="b">
        <v>1</v>
      </c>
      <c r="J98" s="188" t="s">
        <v>11</v>
      </c>
      <c r="K98" s="188">
        <v>2000.0</v>
      </c>
      <c r="L98" s="188">
        <v>10000.0</v>
      </c>
      <c r="M98" s="190"/>
      <c r="N98" s="191">
        <f>L98</f>
        <v>10000</v>
      </c>
      <c r="O98" s="190"/>
      <c r="P98" s="190"/>
      <c r="Q98" s="192">
        <v>2.0E7</v>
      </c>
      <c r="R98" s="825"/>
      <c r="S98" s="181"/>
      <c r="T98" s="181"/>
      <c r="U98" s="181"/>
      <c r="V98" s="181"/>
      <c r="W98" s="181"/>
      <c r="X98" s="826"/>
      <c r="Y98" s="826"/>
      <c r="Z98" s="814"/>
      <c r="AA98" s="827">
        <f>6000/0.9</f>
        <v>6666.666667</v>
      </c>
      <c r="AB98" s="832"/>
      <c r="AC98" s="828"/>
      <c r="AD98" s="828"/>
      <c r="AE98" s="828"/>
      <c r="AF98" s="829"/>
      <c r="AG98" s="830"/>
      <c r="AH98" s="828"/>
      <c r="AI98" s="828"/>
      <c r="AJ98" s="828"/>
      <c r="AK98" s="804">
        <f>(AD98*2+AF98*50+AH98*10+AJ98*50)*K98</f>
        <v>0</v>
      </c>
      <c r="AL98" s="804">
        <f>sum(AA98,AK98)*K98</f>
        <v>13333333.33</v>
      </c>
      <c r="AM98" s="804">
        <f>iferror(Q98-AL98,"-")</f>
        <v>6666666.667</v>
      </c>
      <c r="AN98" s="805">
        <f>iferror(AM98/Q98,"-")</f>
        <v>0.3333333333</v>
      </c>
      <c r="AO98" s="9"/>
      <c r="AP98" s="9"/>
      <c r="AQ98" s="9"/>
      <c r="AR98" s="9"/>
    </row>
    <row r="99" ht="23.25" customHeight="1">
      <c r="A99" s="833"/>
      <c r="B99" s="834"/>
      <c r="C99" s="834"/>
      <c r="D99" s="834"/>
      <c r="E99" s="834"/>
      <c r="F99" s="834"/>
      <c r="G99" s="834"/>
      <c r="H99" s="834"/>
      <c r="I99" s="835" t="s">
        <v>357</v>
      </c>
      <c r="J99" s="834"/>
      <c r="K99" s="834"/>
      <c r="L99" s="834"/>
      <c r="M99" s="198">
        <f t="shared" ref="M99:N99" si="50">sum(M97,M83,M41,M21)</f>
        <v>1551500</v>
      </c>
      <c r="N99" s="198">
        <f t="shared" si="50"/>
        <v>84200</v>
      </c>
      <c r="O99" s="836"/>
      <c r="P99" s="836"/>
      <c r="Q99" s="198">
        <v>6.25E8</v>
      </c>
      <c r="R99" s="837"/>
      <c r="S99" s="838"/>
      <c r="T99" s="838"/>
      <c r="U99" s="838"/>
      <c r="V99" s="8"/>
      <c r="W99" s="8"/>
      <c r="X99" s="717"/>
      <c r="Y99" s="717"/>
      <c r="Z99" s="580"/>
      <c r="AA99" s="839"/>
      <c r="AB99" s="839"/>
      <c r="AC99" s="839"/>
      <c r="AD99" s="839"/>
      <c r="AE99" s="839"/>
      <c r="AF99" s="839"/>
      <c r="AG99" s="839"/>
      <c r="AH99" s="839"/>
      <c r="AI99" s="839"/>
      <c r="AJ99" s="839"/>
      <c r="AK99" s="840">
        <f t="shared" ref="AK99:AM99" si="51">sum(AK21:AK98)</f>
        <v>3650000</v>
      </c>
      <c r="AL99" s="840">
        <f t="shared" si="51"/>
        <v>294105555.6</v>
      </c>
      <c r="AM99" s="840">
        <f t="shared" si="51"/>
        <v>330894444.4</v>
      </c>
      <c r="AN99" s="841" t="str">
        <f>iferror(AM99/#REF!,"-")</f>
        <v>-</v>
      </c>
      <c r="AO99" s="9"/>
      <c r="AP99" s="9"/>
      <c r="AQ99" s="9"/>
      <c r="AR99" s="9"/>
    </row>
    <row r="100" ht="25.5" customHeight="1">
      <c r="A100" s="833"/>
      <c r="B100" s="834"/>
      <c r="C100" s="834"/>
      <c r="D100" s="834"/>
      <c r="E100" s="834"/>
      <c r="F100" s="834"/>
      <c r="G100" s="834"/>
      <c r="H100" s="834"/>
      <c r="I100" s="835" t="s">
        <v>358</v>
      </c>
      <c r="J100" s="834"/>
      <c r="K100" s="834"/>
      <c r="L100" s="834"/>
      <c r="M100" s="834"/>
      <c r="N100" s="834"/>
      <c r="O100" s="834"/>
      <c r="P100" s="842">
        <v>0.12</v>
      </c>
      <c r="Q100" s="198">
        <v>7.5E7</v>
      </c>
      <c r="R100" s="837"/>
      <c r="S100" s="838"/>
      <c r="T100" s="838"/>
      <c r="U100" s="838"/>
      <c r="V100" s="8"/>
      <c r="W100" s="8"/>
      <c r="X100" s="8"/>
      <c r="Y100" s="8"/>
      <c r="Z100" s="580"/>
      <c r="AA100" s="843" t="s">
        <v>1031</v>
      </c>
      <c r="AB100" s="3"/>
      <c r="AC100" s="3"/>
      <c r="AD100" s="3"/>
      <c r="AE100" s="3"/>
      <c r="AF100" s="3"/>
      <c r="AG100" s="3"/>
      <c r="AH100" s="3"/>
      <c r="AI100" s="3"/>
      <c r="AJ100" s="3"/>
      <c r="AK100" s="844" t="s">
        <v>1032</v>
      </c>
      <c r="AL100" s="845"/>
      <c r="AM100" s="3"/>
      <c r="AN100" s="3"/>
      <c r="AO100" s="9"/>
      <c r="AP100" s="9"/>
      <c r="AQ100" s="9"/>
      <c r="AR100" s="9"/>
    </row>
    <row r="101" ht="25.5" customHeight="1">
      <c r="A101" s="846"/>
      <c r="B101" s="847"/>
      <c r="C101" s="847"/>
      <c r="D101" s="847"/>
      <c r="E101" s="847"/>
      <c r="F101" s="847"/>
      <c r="G101" s="847"/>
      <c r="H101" s="847"/>
      <c r="I101" s="848" t="s">
        <v>359</v>
      </c>
      <c r="J101" s="847"/>
      <c r="K101" s="847"/>
      <c r="L101" s="847"/>
      <c r="M101" s="847"/>
      <c r="N101" s="847"/>
      <c r="O101" s="847"/>
      <c r="P101" s="849"/>
      <c r="Q101" s="207">
        <v>7.0E8</v>
      </c>
      <c r="R101" s="850"/>
      <c r="S101" s="838"/>
      <c r="T101" s="838"/>
      <c r="U101" s="838"/>
      <c r="V101" s="8"/>
      <c r="W101" s="8"/>
      <c r="X101" s="8"/>
      <c r="Y101" s="8"/>
      <c r="Z101" s="580"/>
      <c r="AA101" s="581">
        <f>6*700000</f>
        <v>4200000</v>
      </c>
      <c r="AB101" s="851" t="s">
        <v>363</v>
      </c>
      <c r="AC101" s="3"/>
      <c r="AD101" s="3"/>
      <c r="AE101" s="3"/>
      <c r="AF101" s="3"/>
      <c r="AG101" s="3"/>
      <c r="AH101" s="3"/>
      <c r="AI101" s="3"/>
      <c r="AJ101" s="3"/>
      <c r="AK101" s="852" t="s">
        <v>1033</v>
      </c>
      <c r="AL101" s="853">
        <f>(30*600000)/0.9</f>
        <v>20000000</v>
      </c>
      <c r="AM101" s="854" t="s">
        <v>1034</v>
      </c>
      <c r="AN101" s="3"/>
      <c r="AO101" s="9"/>
      <c r="AP101" s="9"/>
      <c r="AQ101" s="9"/>
      <c r="AR101" s="9"/>
    </row>
    <row r="102" ht="25.5" customHeight="1">
      <c r="A102" s="855"/>
      <c r="B102" s="856"/>
      <c r="C102" s="856"/>
      <c r="D102" s="856"/>
      <c r="E102" s="856"/>
      <c r="F102" s="856"/>
      <c r="G102" s="856"/>
      <c r="H102" s="856"/>
      <c r="I102" s="857" t="s">
        <v>360</v>
      </c>
      <c r="J102" s="856"/>
      <c r="K102" s="856"/>
      <c r="L102" s="856"/>
      <c r="M102" s="856"/>
      <c r="N102" s="856"/>
      <c r="O102" s="856"/>
      <c r="P102" s="858"/>
      <c r="Q102" s="214">
        <v>7.56E8</v>
      </c>
      <c r="R102" s="859"/>
      <c r="S102" s="838"/>
      <c r="T102" s="838"/>
      <c r="U102" s="838"/>
      <c r="V102" s="8"/>
      <c r="W102" s="8"/>
      <c r="X102" s="8"/>
      <c r="Y102" s="8"/>
      <c r="Z102" s="580"/>
      <c r="AA102" s="843">
        <v>1000000.0</v>
      </c>
      <c r="AB102" s="851" t="s">
        <v>364</v>
      </c>
      <c r="AC102" s="3"/>
      <c r="AD102" s="3"/>
      <c r="AE102" s="3"/>
      <c r="AF102" s="3"/>
      <c r="AG102" s="3"/>
      <c r="AH102" s="3"/>
      <c r="AI102" s="3"/>
      <c r="AJ102" s="3"/>
      <c r="AK102" s="860" t="s">
        <v>5</v>
      </c>
      <c r="AL102" s="861">
        <f>sum(AL99,AL101)+AN113</f>
        <v>351464670.6</v>
      </c>
      <c r="AM102" s="854"/>
      <c r="AN102" s="851"/>
      <c r="AO102" s="9"/>
      <c r="AP102" s="9"/>
      <c r="AQ102" s="9"/>
      <c r="AR102" s="9"/>
    </row>
    <row r="103" ht="25.5" customHeight="1">
      <c r="A103" s="523"/>
      <c r="B103" s="523"/>
      <c r="C103" s="523"/>
      <c r="D103" s="523"/>
      <c r="E103" s="523"/>
      <c r="F103" s="523"/>
      <c r="G103" s="523"/>
      <c r="H103" s="523"/>
      <c r="I103" s="523"/>
      <c r="J103" s="523"/>
      <c r="K103" s="523"/>
      <c r="L103" s="523"/>
      <c r="M103" s="523"/>
      <c r="N103" s="523"/>
      <c r="O103" s="523"/>
      <c r="P103" s="523"/>
      <c r="Q103" s="523"/>
      <c r="R103" s="523"/>
      <c r="S103" s="838"/>
      <c r="T103" s="838"/>
      <c r="U103" s="838"/>
      <c r="V103" s="8"/>
      <c r="W103" s="8"/>
      <c r="X103" s="8"/>
      <c r="Y103" s="8"/>
      <c r="Z103" s="580"/>
      <c r="AA103" s="581">
        <f>500000*2+200000</f>
        <v>1200000</v>
      </c>
      <c r="AB103" s="851" t="s">
        <v>362</v>
      </c>
      <c r="AC103" s="3"/>
      <c r="AD103" s="3"/>
      <c r="AE103" s="3"/>
      <c r="AF103" s="3"/>
      <c r="AG103" s="3"/>
      <c r="AH103" s="3"/>
      <c r="AI103" s="3"/>
      <c r="AJ103" s="3"/>
      <c r="AK103" s="852" t="s">
        <v>1035</v>
      </c>
      <c r="AL103" s="861">
        <f>Q99-AL102</f>
        <v>273535329.4</v>
      </c>
      <c r="AM103" s="3"/>
      <c r="AN103" s="3"/>
      <c r="AO103" s="9"/>
      <c r="AP103" s="9"/>
      <c r="AQ103" s="9"/>
      <c r="AR103" s="9"/>
    </row>
    <row r="104" ht="25.5" customHeight="1">
      <c r="A104" s="862"/>
      <c r="B104" s="862"/>
      <c r="C104" s="862"/>
      <c r="D104" s="863"/>
      <c r="E104" s="862"/>
      <c r="F104" s="862"/>
      <c r="G104" s="862"/>
      <c r="H104" s="862"/>
      <c r="I104" s="862"/>
      <c r="J104" s="864"/>
      <c r="K104" s="864"/>
      <c r="L104" s="864"/>
      <c r="M104" s="864"/>
      <c r="N104" s="864"/>
      <c r="O104" s="864"/>
      <c r="P104" s="864"/>
      <c r="Q104" s="864"/>
      <c r="R104" s="862"/>
      <c r="S104" s="838"/>
      <c r="T104" s="838"/>
      <c r="U104" s="838"/>
      <c r="V104" s="8"/>
      <c r="W104" s="8"/>
      <c r="X104" s="8"/>
      <c r="Y104" s="8"/>
      <c r="Z104" s="580"/>
      <c r="AA104" s="865"/>
      <c r="AB104" s="3"/>
      <c r="AC104" s="3"/>
      <c r="AD104" s="3"/>
      <c r="AE104" s="3"/>
      <c r="AF104" s="3"/>
      <c r="AG104" s="3"/>
      <c r="AH104" s="3"/>
      <c r="AI104" s="3"/>
      <c r="AJ104" s="3"/>
      <c r="AK104" s="866" t="s">
        <v>1036</v>
      </c>
      <c r="AL104" s="867">
        <f>iferror(AL103/Q99,"-")</f>
        <v>0.4376565271</v>
      </c>
      <c r="AM104" s="3"/>
      <c r="AN104" s="3"/>
      <c r="AO104" s="9"/>
      <c r="AP104" s="9"/>
      <c r="AQ104" s="9"/>
      <c r="AR104" s="9"/>
    </row>
    <row r="105" ht="29.25" customHeight="1">
      <c r="A105" s="523"/>
      <c r="B105" s="523"/>
      <c r="C105" s="523"/>
      <c r="D105" s="523"/>
      <c r="E105" s="523"/>
      <c r="F105" s="523"/>
      <c r="G105" s="523"/>
      <c r="H105" s="523"/>
      <c r="I105" s="523"/>
      <c r="J105" s="523"/>
      <c r="K105" s="523"/>
      <c r="L105" s="523"/>
      <c r="M105" s="523"/>
      <c r="N105" s="523"/>
      <c r="O105" s="523"/>
      <c r="P105" s="523"/>
      <c r="Q105" s="523"/>
      <c r="R105" s="523"/>
      <c r="S105" s="523"/>
      <c r="T105" s="523"/>
      <c r="U105" s="523"/>
      <c r="V105" s="224"/>
      <c r="W105" s="224"/>
      <c r="X105" s="224"/>
      <c r="Y105" s="224"/>
      <c r="Z105" s="868"/>
      <c r="AA105" s="865"/>
      <c r="AB105" s="2"/>
      <c r="AC105" s="2"/>
      <c r="AD105" s="2"/>
      <c r="AE105" s="2"/>
      <c r="AF105" s="2"/>
      <c r="AG105" s="2"/>
      <c r="AH105" s="2"/>
      <c r="AI105" s="2"/>
      <c r="AJ105" s="2"/>
      <c r="AK105" s="671"/>
      <c r="AL105" s="671"/>
      <c r="AM105" s="2"/>
      <c r="AN105" s="2"/>
      <c r="AO105" s="9"/>
      <c r="AP105" s="9"/>
      <c r="AQ105" s="9"/>
      <c r="AR105" s="9"/>
    </row>
    <row r="106">
      <c r="A106" s="523"/>
      <c r="B106" s="523"/>
      <c r="C106" s="523"/>
      <c r="D106" s="523"/>
      <c r="E106" s="523"/>
      <c r="F106" s="523"/>
      <c r="G106" s="523"/>
      <c r="H106" s="523"/>
      <c r="I106" s="523"/>
      <c r="J106" s="523"/>
      <c r="K106" s="523"/>
      <c r="L106" s="523"/>
      <c r="M106" s="523"/>
      <c r="N106" s="523"/>
      <c r="O106" s="523"/>
      <c r="P106" s="523"/>
      <c r="Q106" s="523"/>
      <c r="R106" s="523"/>
      <c r="S106" s="523"/>
      <c r="T106" s="523"/>
      <c r="U106" s="523"/>
      <c r="V106" s="224"/>
      <c r="W106" s="224"/>
      <c r="X106" s="224"/>
      <c r="Y106" s="224"/>
      <c r="Z106" s="868"/>
      <c r="AA106" s="865"/>
      <c r="AB106" s="2"/>
      <c r="AC106" s="2"/>
      <c r="AD106" s="2"/>
      <c r="AE106" s="2"/>
      <c r="AF106" s="2"/>
      <c r="AG106" s="2"/>
      <c r="AH106" s="2"/>
      <c r="AI106" s="2"/>
      <c r="AJ106" s="2"/>
      <c r="AK106" s="2"/>
      <c r="AL106" s="2"/>
      <c r="AM106" s="2"/>
      <c r="AN106" s="2"/>
      <c r="AO106" s="9"/>
      <c r="AP106" s="9"/>
      <c r="AQ106" s="9"/>
      <c r="AR106" s="9"/>
    </row>
    <row r="107">
      <c r="A107" s="523"/>
      <c r="B107" s="523"/>
      <c r="C107" s="181"/>
      <c r="D107" s="523"/>
      <c r="E107" s="523"/>
      <c r="F107" s="523"/>
      <c r="G107" s="523"/>
      <c r="H107" s="523"/>
      <c r="I107" s="523"/>
      <c r="J107" s="523"/>
      <c r="K107" s="523"/>
      <c r="L107" s="523"/>
      <c r="M107" s="523"/>
      <c r="N107" s="523"/>
      <c r="O107" s="523"/>
      <c r="P107" s="523"/>
      <c r="Q107" s="523"/>
      <c r="R107" s="523"/>
      <c r="S107" s="523"/>
      <c r="T107" s="523"/>
      <c r="U107" s="523"/>
      <c r="V107" s="224"/>
      <c r="W107" s="224"/>
      <c r="X107" s="224"/>
      <c r="Y107" s="224"/>
      <c r="Z107" s="868"/>
      <c r="AA107" s="869" t="s">
        <v>1037</v>
      </c>
      <c r="AB107" s="688"/>
      <c r="AC107" s="688"/>
      <c r="AD107" s="688"/>
      <c r="AE107" s="688"/>
      <c r="AF107" s="688"/>
      <c r="AG107" s="845"/>
      <c r="AH107" s="2"/>
      <c r="AI107" s="2"/>
      <c r="AJ107" s="2"/>
      <c r="AK107" s="870" t="s">
        <v>1038</v>
      </c>
      <c r="AL107" s="2"/>
      <c r="AM107" s="2"/>
      <c r="AN107" s="2"/>
      <c r="AO107" s="9"/>
      <c r="AP107" s="9"/>
      <c r="AQ107" s="9"/>
      <c r="AR107" s="9"/>
    </row>
    <row r="108">
      <c r="A108" s="523"/>
      <c r="B108" s="523"/>
      <c r="C108" s="523"/>
      <c r="D108" s="523"/>
      <c r="E108" s="523"/>
      <c r="F108" s="523"/>
      <c r="G108" s="523"/>
      <c r="H108" s="523"/>
      <c r="I108" s="523"/>
      <c r="J108" s="523"/>
      <c r="K108" s="523"/>
      <c r="L108" s="523"/>
      <c r="M108" s="523"/>
      <c r="N108" s="523"/>
      <c r="O108" s="523"/>
      <c r="P108" s="523"/>
      <c r="Q108" s="523"/>
      <c r="R108" s="523"/>
      <c r="S108" s="523"/>
      <c r="T108" s="523"/>
      <c r="U108" s="523"/>
      <c r="V108" s="224"/>
      <c r="W108" s="224"/>
      <c r="X108" s="224"/>
      <c r="Y108" s="224"/>
      <c r="Z108" s="868"/>
      <c r="AA108" s="871" t="s">
        <v>1039</v>
      </c>
      <c r="AB108" s="872"/>
      <c r="AC108" s="873" t="s">
        <v>1040</v>
      </c>
      <c r="AD108" s="874" t="s">
        <v>1041</v>
      </c>
      <c r="AE108" s="873" t="s">
        <v>1042</v>
      </c>
      <c r="AF108" s="873" t="s">
        <v>1043</v>
      </c>
      <c r="AG108" s="873" t="s">
        <v>1044</v>
      </c>
      <c r="AH108" s="2"/>
      <c r="AI108" s="2"/>
      <c r="AJ108" s="2"/>
      <c r="AK108" s="2"/>
      <c r="AL108" s="875" t="s">
        <v>1045</v>
      </c>
      <c r="AM108" s="876" t="s">
        <v>1046</v>
      </c>
      <c r="AN108" s="877">
        <v>1642784.0</v>
      </c>
      <c r="AO108" s="9"/>
      <c r="AP108" s="9"/>
      <c r="AQ108" s="9"/>
      <c r="AR108" s="9"/>
    </row>
    <row r="109">
      <c r="A109" s="523"/>
      <c r="B109" s="523"/>
      <c r="C109" s="523"/>
      <c r="D109" s="523"/>
      <c r="E109" s="523"/>
      <c r="F109" s="523"/>
      <c r="G109" s="523"/>
      <c r="H109" s="523"/>
      <c r="I109" s="523"/>
      <c r="J109" s="523"/>
      <c r="K109" s="523"/>
      <c r="L109" s="523"/>
      <c r="M109" s="523"/>
      <c r="N109" s="523"/>
      <c r="O109" s="523"/>
      <c r="P109" s="523"/>
      <c r="Q109" s="523"/>
      <c r="R109" s="523"/>
      <c r="S109" s="523"/>
      <c r="T109" s="523"/>
      <c r="U109" s="523"/>
      <c r="V109" s="224"/>
      <c r="W109" s="224"/>
      <c r="X109" s="224"/>
      <c r="Y109" s="224"/>
      <c r="Z109" s="868"/>
      <c r="AA109" s="878" t="s">
        <v>48</v>
      </c>
      <c r="AB109" s="879"/>
      <c r="AC109" s="878" t="s">
        <v>1047</v>
      </c>
      <c r="AD109" s="880">
        <v>216000.0</v>
      </c>
      <c r="AE109" s="880">
        <v>1.0</v>
      </c>
      <c r="AF109" s="881">
        <f t="shared" ref="AF109:AF116" si="52">AD109*AE109</f>
        <v>216000</v>
      </c>
      <c r="AG109" s="879"/>
      <c r="AH109" s="2"/>
      <c r="AI109" s="2"/>
      <c r="AJ109" s="2"/>
      <c r="AK109" s="2"/>
      <c r="AL109" s="875" t="s">
        <v>1048</v>
      </c>
      <c r="AM109" s="876" t="s">
        <v>1049</v>
      </c>
      <c r="AN109" s="877">
        <v>992703.0</v>
      </c>
      <c r="AO109" s="9"/>
      <c r="AP109" s="9"/>
      <c r="AQ109" s="9"/>
      <c r="AR109" s="9"/>
    </row>
    <row r="110">
      <c r="A110" s="523"/>
      <c r="B110" s="523"/>
      <c r="C110" s="523"/>
      <c r="D110" s="523"/>
      <c r="E110" s="523"/>
      <c r="F110" s="523"/>
      <c r="G110" s="523"/>
      <c r="H110" s="523"/>
      <c r="I110" s="523"/>
      <c r="J110" s="523"/>
      <c r="K110" s="523"/>
      <c r="L110" s="523"/>
      <c r="M110" s="523"/>
      <c r="N110" s="523"/>
      <c r="O110" s="523"/>
      <c r="P110" s="523"/>
      <c r="Q110" s="523"/>
      <c r="R110" s="523"/>
      <c r="S110" s="523"/>
      <c r="T110" s="523"/>
      <c r="U110" s="523"/>
      <c r="V110" s="224"/>
      <c r="W110" s="224"/>
      <c r="X110" s="224"/>
      <c r="Y110" s="224"/>
      <c r="Z110" s="868"/>
      <c r="AA110" s="878" t="s">
        <v>342</v>
      </c>
      <c r="AB110" s="879"/>
      <c r="AC110" s="878" t="s">
        <v>1047</v>
      </c>
      <c r="AD110" s="880">
        <v>310000.0</v>
      </c>
      <c r="AE110" s="880">
        <v>1.0</v>
      </c>
      <c r="AF110" s="881">
        <f t="shared" si="52"/>
        <v>310000</v>
      </c>
      <c r="AG110" s="879"/>
      <c r="AH110" s="2"/>
      <c r="AI110" s="2"/>
      <c r="AJ110" s="2"/>
      <c r="AK110" s="2"/>
      <c r="AL110" s="875" t="s">
        <v>1050</v>
      </c>
      <c r="AM110" s="876" t="s">
        <v>1051</v>
      </c>
      <c r="AN110" s="877">
        <v>4420408.0</v>
      </c>
      <c r="AO110" s="9"/>
      <c r="AP110" s="9"/>
      <c r="AQ110" s="9"/>
      <c r="AR110" s="9"/>
    </row>
    <row r="111">
      <c r="A111" s="523"/>
      <c r="B111" s="523"/>
      <c r="C111" s="523"/>
      <c r="D111" s="523"/>
      <c r="E111" s="523"/>
      <c r="F111" s="523"/>
      <c r="G111" s="523"/>
      <c r="H111" s="523"/>
      <c r="I111" s="523"/>
      <c r="J111" s="523"/>
      <c r="K111" s="523"/>
      <c r="L111" s="523"/>
      <c r="M111" s="523"/>
      <c r="N111" s="523"/>
      <c r="O111" s="523"/>
      <c r="P111" s="523"/>
      <c r="Q111" s="523"/>
      <c r="R111" s="523"/>
      <c r="S111" s="523"/>
      <c r="T111" s="523"/>
      <c r="U111" s="523"/>
      <c r="V111" s="224"/>
      <c r="W111" s="224"/>
      <c r="X111" s="224"/>
      <c r="Y111" s="224"/>
      <c r="Z111" s="868"/>
      <c r="AA111" s="878" t="s">
        <v>61</v>
      </c>
      <c r="AB111" s="879"/>
      <c r="AC111" s="878" t="s">
        <v>1047</v>
      </c>
      <c r="AD111" s="880">
        <v>280000.0</v>
      </c>
      <c r="AE111" s="880">
        <v>1.0</v>
      </c>
      <c r="AF111" s="881">
        <f t="shared" si="52"/>
        <v>280000</v>
      </c>
      <c r="AG111" s="879"/>
      <c r="AH111" s="2"/>
      <c r="AI111" s="2"/>
      <c r="AJ111" s="2"/>
      <c r="AK111" s="2"/>
      <c r="AL111" s="875" t="s">
        <v>1052</v>
      </c>
      <c r="AM111" s="876" t="s">
        <v>1053</v>
      </c>
      <c r="AN111" s="877">
        <v>2.3914089E7</v>
      </c>
      <c r="AO111" s="9"/>
      <c r="AP111" s="9"/>
      <c r="AQ111" s="9"/>
      <c r="AR111" s="9"/>
    </row>
    <row r="112">
      <c r="A112" s="523"/>
      <c r="B112" s="523"/>
      <c r="C112" s="523"/>
      <c r="D112" s="523"/>
      <c r="E112" s="523"/>
      <c r="F112" s="523"/>
      <c r="G112" s="523"/>
      <c r="H112" s="523"/>
      <c r="I112" s="523"/>
      <c r="J112" s="523"/>
      <c r="K112" s="523"/>
      <c r="L112" s="523"/>
      <c r="M112" s="523"/>
      <c r="N112" s="523"/>
      <c r="O112" s="523"/>
      <c r="P112" s="523"/>
      <c r="Q112" s="523"/>
      <c r="R112" s="523"/>
      <c r="S112" s="523"/>
      <c r="T112" s="523"/>
      <c r="U112" s="523"/>
      <c r="V112" s="224"/>
      <c r="W112" s="224"/>
      <c r="X112" s="224"/>
      <c r="Y112" s="224"/>
      <c r="Z112" s="868"/>
      <c r="AA112" s="878" t="s">
        <v>1054</v>
      </c>
      <c r="AB112" s="879"/>
      <c r="AC112" s="878" t="s">
        <v>1047</v>
      </c>
      <c r="AD112" s="880">
        <v>234000.0</v>
      </c>
      <c r="AE112" s="880">
        <v>1.0</v>
      </c>
      <c r="AF112" s="881">
        <f t="shared" si="52"/>
        <v>234000</v>
      </c>
      <c r="AG112" s="879"/>
      <c r="AH112" s="2"/>
      <c r="AI112" s="2"/>
      <c r="AJ112" s="2"/>
      <c r="AK112" s="2"/>
      <c r="AL112" s="875" t="s">
        <v>1055</v>
      </c>
      <c r="AM112" s="876" t="s">
        <v>1056</v>
      </c>
      <c r="AN112" s="877">
        <v>6389131.0</v>
      </c>
      <c r="AO112" s="9"/>
      <c r="AP112" s="9"/>
      <c r="AQ112" s="9"/>
      <c r="AR112" s="9"/>
    </row>
    <row r="113">
      <c r="A113" s="523"/>
      <c r="B113" s="523"/>
      <c r="C113" s="523"/>
      <c r="D113" s="523"/>
      <c r="E113" s="523"/>
      <c r="F113" s="523"/>
      <c r="G113" s="523"/>
      <c r="H113" s="523"/>
      <c r="I113" s="523"/>
      <c r="J113" s="523"/>
      <c r="K113" s="523"/>
      <c r="L113" s="523"/>
      <c r="M113" s="523"/>
      <c r="N113" s="523"/>
      <c r="O113" s="523"/>
      <c r="P113" s="523"/>
      <c r="Q113" s="523"/>
      <c r="R113" s="523"/>
      <c r="S113" s="523"/>
      <c r="T113" s="523"/>
      <c r="U113" s="523"/>
      <c r="V113" s="224"/>
      <c r="W113" s="224"/>
      <c r="X113" s="224"/>
      <c r="Y113" s="224"/>
      <c r="Z113" s="868"/>
      <c r="AA113" s="878" t="s">
        <v>1057</v>
      </c>
      <c r="AB113" s="879"/>
      <c r="AC113" s="878" t="s">
        <v>1047</v>
      </c>
      <c r="AD113" s="880">
        <v>364000.0</v>
      </c>
      <c r="AE113" s="880">
        <v>1.0</v>
      </c>
      <c r="AF113" s="881">
        <f t="shared" si="52"/>
        <v>364000</v>
      </c>
      <c r="AG113" s="879"/>
      <c r="AH113" s="2"/>
      <c r="AI113" s="2"/>
      <c r="AJ113" s="2"/>
      <c r="AK113" s="2"/>
      <c r="AL113" s="2"/>
      <c r="AM113" s="2"/>
      <c r="AN113" s="6">
        <f>SUM(AN108:AN112)</f>
        <v>37359115</v>
      </c>
      <c r="AO113" s="9"/>
      <c r="AP113" s="9"/>
      <c r="AQ113" s="9"/>
      <c r="AR113" s="9"/>
    </row>
    <row r="114">
      <c r="A114" s="523"/>
      <c r="B114" s="523"/>
      <c r="C114" s="523"/>
      <c r="D114" s="523"/>
      <c r="E114" s="523"/>
      <c r="F114" s="523"/>
      <c r="G114" s="523"/>
      <c r="H114" s="523"/>
      <c r="I114" s="523"/>
      <c r="J114" s="523"/>
      <c r="K114" s="523"/>
      <c r="L114" s="523"/>
      <c r="M114" s="523"/>
      <c r="N114" s="523"/>
      <c r="O114" s="523"/>
      <c r="P114" s="523"/>
      <c r="Q114" s="523"/>
      <c r="R114" s="523"/>
      <c r="S114" s="523"/>
      <c r="T114" s="523"/>
      <c r="U114" s="523"/>
      <c r="V114" s="224"/>
      <c r="W114" s="224"/>
      <c r="X114" s="224"/>
      <c r="Y114" s="224"/>
      <c r="Z114" s="868"/>
      <c r="AA114" s="878" t="s">
        <v>1058</v>
      </c>
      <c r="AB114" s="879"/>
      <c r="AC114" s="878" t="s">
        <v>1047</v>
      </c>
      <c r="AD114" s="881">
        <f>400000/0.9</f>
        <v>444444.4444</v>
      </c>
      <c r="AE114" s="880">
        <v>14.0</v>
      </c>
      <c r="AF114" s="881">
        <f t="shared" si="52"/>
        <v>6222222.222</v>
      </c>
      <c r="AG114" s="879"/>
      <c r="AH114" s="2"/>
      <c r="AI114" s="2"/>
      <c r="AJ114" s="2"/>
      <c r="AK114" s="2"/>
      <c r="AL114" s="2"/>
      <c r="AM114" s="2"/>
      <c r="AN114" s="2"/>
      <c r="AO114" s="9"/>
      <c r="AP114" s="9"/>
      <c r="AQ114" s="9"/>
      <c r="AR114" s="9"/>
    </row>
    <row r="115">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224"/>
      <c r="W115" s="224"/>
      <c r="X115" s="224"/>
      <c r="Y115" s="224"/>
      <c r="Z115" s="868"/>
      <c r="AA115" s="878" t="s">
        <v>363</v>
      </c>
      <c r="AB115" s="879"/>
      <c r="AC115" s="878" t="s">
        <v>1047</v>
      </c>
      <c r="AD115" s="881"/>
      <c r="AE115" s="880"/>
      <c r="AF115" s="881">
        <f t="shared" si="52"/>
        <v>0</v>
      </c>
      <c r="AG115" s="879"/>
      <c r="AH115" s="2"/>
      <c r="AI115" s="2"/>
      <c r="AJ115" s="2"/>
      <c r="AK115" s="2"/>
      <c r="AL115" s="2"/>
      <c r="AM115" s="2"/>
      <c r="AN115" s="2"/>
      <c r="AO115" s="9"/>
      <c r="AP115" s="9"/>
      <c r="AQ115" s="9"/>
      <c r="AR115" s="9"/>
    </row>
    <row r="116">
      <c r="A116" s="523"/>
      <c r="B116" s="523"/>
      <c r="C116" s="523"/>
      <c r="D116" s="523"/>
      <c r="E116" s="523"/>
      <c r="F116" s="523"/>
      <c r="G116" s="523"/>
      <c r="H116" s="523"/>
      <c r="I116" s="523"/>
      <c r="J116" s="523"/>
      <c r="K116" s="523"/>
      <c r="L116" s="523"/>
      <c r="M116" s="523"/>
      <c r="N116" s="523"/>
      <c r="O116" s="523"/>
      <c r="P116" s="523"/>
      <c r="Q116" s="523"/>
      <c r="R116" s="523"/>
      <c r="S116" s="523"/>
      <c r="T116" s="523"/>
      <c r="U116" s="523"/>
      <c r="V116" s="224"/>
      <c r="W116" s="224"/>
      <c r="X116" s="224"/>
      <c r="Y116" s="224"/>
      <c r="Z116" s="868"/>
      <c r="AA116" s="878" t="s">
        <v>364</v>
      </c>
      <c r="AB116" s="879"/>
      <c r="AC116" s="878" t="s">
        <v>1047</v>
      </c>
      <c r="AD116" s="881"/>
      <c r="AE116" s="880"/>
      <c r="AF116" s="881">
        <f t="shared" si="52"/>
        <v>0</v>
      </c>
      <c r="AG116" s="879"/>
      <c r="AH116" s="2"/>
      <c r="AI116" s="2"/>
      <c r="AJ116" s="2"/>
      <c r="AK116" s="2"/>
      <c r="AL116" s="2"/>
      <c r="AM116" s="2"/>
      <c r="AN116" s="2"/>
      <c r="AO116" s="9"/>
      <c r="AP116" s="9"/>
      <c r="AQ116" s="9"/>
      <c r="AR116" s="9"/>
    </row>
    <row r="117">
      <c r="A117" s="523"/>
      <c r="B117" s="523"/>
      <c r="C117" s="523"/>
      <c r="D117" s="523"/>
      <c r="E117" s="523"/>
      <c r="F117" s="523"/>
      <c r="G117" s="523"/>
      <c r="H117" s="523"/>
      <c r="I117" s="523"/>
      <c r="J117" s="523"/>
      <c r="K117" s="523"/>
      <c r="L117" s="523"/>
      <c r="M117" s="523"/>
      <c r="N117" s="523"/>
      <c r="O117" s="523"/>
      <c r="P117" s="523"/>
      <c r="Q117" s="523"/>
      <c r="R117" s="523"/>
      <c r="S117" s="523"/>
      <c r="T117" s="523"/>
      <c r="U117" s="523"/>
      <c r="V117" s="224"/>
      <c r="W117" s="224"/>
      <c r="X117" s="224"/>
      <c r="Y117" s="224"/>
      <c r="Z117" s="868"/>
      <c r="AA117" s="882" t="s">
        <v>1059</v>
      </c>
      <c r="AB117" s="883"/>
      <c r="AC117" s="883"/>
      <c r="AD117" s="884"/>
      <c r="AE117" s="884"/>
      <c r="AF117" s="885">
        <f>sum(AF109:AF116)</f>
        <v>7626222.222</v>
      </c>
      <c r="AG117" s="886"/>
      <c r="AH117" s="2"/>
      <c r="AI117" s="2"/>
      <c r="AJ117" s="2"/>
      <c r="AK117" s="2"/>
      <c r="AL117" s="2"/>
      <c r="AM117" s="2"/>
      <c r="AN117" s="2"/>
      <c r="AO117" s="9"/>
      <c r="AP117" s="9"/>
      <c r="AQ117" s="9"/>
      <c r="AR117" s="9"/>
    </row>
    <row r="118">
      <c r="A118" s="523"/>
      <c r="B118" s="523"/>
      <c r="C118" s="523"/>
      <c r="D118" s="523"/>
      <c r="E118" s="523"/>
      <c r="F118" s="523"/>
      <c r="G118" s="523"/>
      <c r="H118" s="523"/>
      <c r="I118" s="523"/>
      <c r="J118" s="523"/>
      <c r="K118" s="523"/>
      <c r="L118" s="523"/>
      <c r="M118" s="523"/>
      <c r="N118" s="523"/>
      <c r="O118" s="523"/>
      <c r="P118" s="523"/>
      <c r="Q118" s="523"/>
      <c r="R118" s="523"/>
      <c r="S118" s="523"/>
      <c r="T118" s="523"/>
      <c r="U118" s="523"/>
      <c r="V118" s="224"/>
      <c r="W118" s="224"/>
      <c r="X118" s="224"/>
      <c r="Y118" s="224"/>
      <c r="Z118" s="868"/>
      <c r="AA118" s="887" t="s">
        <v>1060</v>
      </c>
      <c r="AB118" s="888"/>
      <c r="AC118" s="888"/>
      <c r="AD118" s="889"/>
      <c r="AE118" s="889"/>
      <c r="AF118" s="890">
        <f>AL101-AF117</f>
        <v>12373777.78</v>
      </c>
      <c r="AG118" s="886"/>
      <c r="AH118" s="2"/>
      <c r="AI118" s="2"/>
      <c r="AJ118" s="2"/>
      <c r="AK118" s="2"/>
      <c r="AL118" s="2"/>
      <c r="AM118" s="2"/>
      <c r="AN118" s="2"/>
      <c r="AO118" s="9"/>
      <c r="AP118" s="9"/>
      <c r="AQ118" s="9"/>
      <c r="AR118" s="9"/>
    </row>
    <row r="119">
      <c r="A119" s="523"/>
      <c r="B119" s="523"/>
      <c r="C119" s="523"/>
      <c r="D119" s="523"/>
      <c r="E119" s="523"/>
      <c r="F119" s="523"/>
      <c r="G119" s="523"/>
      <c r="H119" s="523"/>
      <c r="I119" s="523"/>
      <c r="J119" s="523"/>
      <c r="K119" s="523"/>
      <c r="L119" s="523"/>
      <c r="M119" s="523"/>
      <c r="N119" s="523"/>
      <c r="O119" s="523"/>
      <c r="P119" s="523"/>
      <c r="Q119" s="523"/>
      <c r="R119" s="523"/>
      <c r="S119" s="523"/>
      <c r="T119" s="523"/>
      <c r="U119" s="523"/>
      <c r="V119" s="224"/>
      <c r="W119" s="224"/>
      <c r="X119" s="224"/>
      <c r="Y119" s="224"/>
      <c r="Z119" s="868"/>
      <c r="AA119" s="865"/>
      <c r="AB119" s="2"/>
      <c r="AC119" s="2"/>
      <c r="AD119" s="2"/>
      <c r="AE119" s="2"/>
      <c r="AF119" s="2"/>
      <c r="AG119" s="2"/>
      <c r="AH119" s="2"/>
      <c r="AI119" s="2"/>
      <c r="AJ119" s="2"/>
      <c r="AK119" s="2"/>
      <c r="AL119" s="2"/>
      <c r="AM119" s="2"/>
      <c r="AN119" s="2"/>
      <c r="AO119" s="9"/>
      <c r="AP119" s="9"/>
      <c r="AQ119" s="9"/>
      <c r="AR119" s="9"/>
    </row>
    <row r="120">
      <c r="A120" s="523"/>
      <c r="B120" s="523"/>
      <c r="C120" s="523"/>
      <c r="D120" s="523"/>
      <c r="E120" s="523"/>
      <c r="F120" s="523"/>
      <c r="G120" s="523"/>
      <c r="H120" s="523"/>
      <c r="I120" s="523"/>
      <c r="J120" s="523"/>
      <c r="K120" s="523"/>
      <c r="L120" s="523"/>
      <c r="M120" s="523"/>
      <c r="N120" s="523"/>
      <c r="O120" s="523"/>
      <c r="P120" s="523"/>
      <c r="Q120" s="523"/>
      <c r="R120" s="523"/>
      <c r="S120" s="523"/>
      <c r="T120" s="523"/>
      <c r="U120" s="523"/>
      <c r="V120" s="224"/>
      <c r="W120" s="224"/>
      <c r="X120" s="224"/>
      <c r="Y120" s="224"/>
      <c r="Z120" s="868"/>
      <c r="AA120" s="865"/>
      <c r="AB120" s="2"/>
      <c r="AC120" s="2"/>
      <c r="AD120" s="2"/>
      <c r="AE120" s="2"/>
      <c r="AF120" s="2"/>
      <c r="AG120" s="2"/>
      <c r="AH120" s="2"/>
      <c r="AI120" s="2"/>
      <c r="AJ120" s="2"/>
      <c r="AK120" s="2"/>
      <c r="AL120" s="2"/>
      <c r="AM120" s="2"/>
      <c r="AN120" s="2"/>
      <c r="AO120" s="9"/>
      <c r="AP120" s="9"/>
      <c r="AQ120" s="9"/>
      <c r="AR120" s="9"/>
    </row>
    <row r="121">
      <c r="A121" s="523"/>
      <c r="B121" s="523"/>
      <c r="C121" s="523"/>
      <c r="D121" s="523"/>
      <c r="E121" s="523"/>
      <c r="F121" s="523"/>
      <c r="G121" s="523"/>
      <c r="H121" s="523"/>
      <c r="I121" s="523"/>
      <c r="J121" s="523"/>
      <c r="K121" s="523"/>
      <c r="L121" s="523"/>
      <c r="M121" s="523"/>
      <c r="N121" s="523"/>
      <c r="O121" s="523"/>
      <c r="P121" s="523"/>
      <c r="Q121" s="523"/>
      <c r="R121" s="523"/>
      <c r="S121" s="523"/>
      <c r="T121" s="523"/>
      <c r="U121" s="523"/>
      <c r="V121" s="224"/>
      <c r="W121" s="224"/>
      <c r="X121" s="224"/>
      <c r="Y121" s="224"/>
      <c r="Z121" s="868"/>
      <c r="AA121" s="865"/>
      <c r="AB121" s="2"/>
      <c r="AC121" s="2"/>
      <c r="AD121" s="2"/>
      <c r="AE121" s="2"/>
      <c r="AF121" s="2"/>
      <c r="AG121" s="2"/>
      <c r="AH121" s="2"/>
      <c r="AI121" s="2"/>
      <c r="AJ121" s="2"/>
      <c r="AK121" s="2"/>
      <c r="AL121" s="2"/>
      <c r="AM121" s="2"/>
      <c r="AN121" s="2"/>
      <c r="AO121" s="9"/>
      <c r="AP121" s="9"/>
      <c r="AQ121" s="9"/>
      <c r="AR121" s="9"/>
    </row>
    <row r="122">
      <c r="A122" s="523"/>
      <c r="B122" s="523"/>
      <c r="C122" s="523"/>
      <c r="D122" s="523"/>
      <c r="E122" s="523"/>
      <c r="F122" s="523"/>
      <c r="G122" s="523"/>
      <c r="H122" s="523"/>
      <c r="I122" s="523"/>
      <c r="J122" s="523"/>
      <c r="K122" s="523"/>
      <c r="L122" s="523"/>
      <c r="M122" s="523"/>
      <c r="N122" s="523"/>
      <c r="O122" s="523"/>
      <c r="P122" s="523"/>
      <c r="Q122" s="523"/>
      <c r="R122" s="523"/>
      <c r="S122" s="523"/>
      <c r="T122" s="523"/>
      <c r="U122" s="523"/>
      <c r="V122" s="224"/>
      <c r="W122" s="224"/>
      <c r="X122" s="224"/>
      <c r="Y122" s="224"/>
      <c r="Z122" s="868"/>
      <c r="AA122" s="865"/>
      <c r="AB122" s="2"/>
      <c r="AC122" s="2"/>
      <c r="AD122" s="2"/>
      <c r="AE122" s="2"/>
      <c r="AF122" s="2"/>
      <c r="AG122" s="2"/>
      <c r="AH122" s="2"/>
      <c r="AI122" s="2"/>
      <c r="AJ122" s="2"/>
      <c r="AK122" s="2"/>
      <c r="AL122" s="2"/>
      <c r="AM122" s="2"/>
      <c r="AN122" s="2"/>
      <c r="AO122" s="9"/>
      <c r="AP122" s="9"/>
      <c r="AQ122" s="9"/>
      <c r="AR122" s="9"/>
    </row>
    <row r="123">
      <c r="A123" s="523"/>
      <c r="B123" s="523"/>
      <c r="C123" s="523"/>
      <c r="D123" s="523"/>
      <c r="E123" s="523"/>
      <c r="F123" s="523"/>
      <c r="G123" s="523"/>
      <c r="H123" s="523"/>
      <c r="I123" s="523"/>
      <c r="J123" s="523"/>
      <c r="K123" s="523"/>
      <c r="L123" s="523"/>
      <c r="M123" s="523"/>
      <c r="N123" s="523"/>
      <c r="O123" s="523"/>
      <c r="P123" s="523"/>
      <c r="Q123" s="523"/>
      <c r="R123" s="523"/>
      <c r="S123" s="523"/>
      <c r="T123" s="523"/>
      <c r="U123" s="523"/>
      <c r="V123" s="224"/>
      <c r="W123" s="224"/>
      <c r="X123" s="224"/>
      <c r="Y123" s="224"/>
      <c r="Z123" s="868"/>
      <c r="AA123" s="865"/>
      <c r="AB123" s="2"/>
      <c r="AC123" s="2"/>
      <c r="AD123" s="2"/>
      <c r="AE123" s="2"/>
      <c r="AF123" s="2"/>
      <c r="AG123" s="2"/>
      <c r="AH123" s="2"/>
      <c r="AI123" s="2"/>
      <c r="AJ123" s="2"/>
      <c r="AK123" s="2"/>
      <c r="AL123" s="2"/>
      <c r="AM123" s="2"/>
      <c r="AN123" s="2"/>
      <c r="AO123" s="9"/>
      <c r="AP123" s="9"/>
      <c r="AQ123" s="9"/>
      <c r="AR123" s="9"/>
    </row>
    <row r="124">
      <c r="A124" s="523"/>
      <c r="B124" s="523"/>
      <c r="C124" s="523"/>
      <c r="D124" s="523"/>
      <c r="E124" s="523"/>
      <c r="F124" s="523"/>
      <c r="G124" s="523"/>
      <c r="H124" s="523"/>
      <c r="I124" s="523"/>
      <c r="J124" s="523"/>
      <c r="K124" s="523"/>
      <c r="L124" s="523"/>
      <c r="M124" s="523"/>
      <c r="N124" s="523"/>
      <c r="O124" s="523"/>
      <c r="P124" s="523"/>
      <c r="Q124" s="523"/>
      <c r="R124" s="523"/>
      <c r="S124" s="523"/>
      <c r="T124" s="523"/>
      <c r="U124" s="523"/>
      <c r="V124" s="224"/>
      <c r="W124" s="224"/>
      <c r="X124" s="224"/>
      <c r="Y124" s="224"/>
      <c r="Z124" s="868"/>
      <c r="AA124" s="865"/>
      <c r="AB124" s="2"/>
      <c r="AC124" s="2"/>
      <c r="AD124" s="2"/>
      <c r="AE124" s="2"/>
      <c r="AF124" s="2"/>
      <c r="AG124" s="2"/>
      <c r="AH124" s="2"/>
      <c r="AI124" s="2"/>
      <c r="AJ124" s="2"/>
      <c r="AK124" s="2"/>
      <c r="AL124" s="2"/>
      <c r="AM124" s="2"/>
      <c r="AN124" s="2"/>
      <c r="AO124" s="9"/>
      <c r="AP124" s="9"/>
      <c r="AQ124" s="9"/>
      <c r="AR124" s="9"/>
    </row>
    <row r="125">
      <c r="A125" s="523"/>
      <c r="B125" s="523"/>
      <c r="C125" s="523"/>
      <c r="D125" s="523"/>
      <c r="E125" s="523"/>
      <c r="F125" s="523"/>
      <c r="G125" s="523"/>
      <c r="H125" s="523"/>
      <c r="I125" s="523"/>
      <c r="J125" s="523"/>
      <c r="K125" s="523"/>
      <c r="L125" s="523"/>
      <c r="M125" s="523"/>
      <c r="N125" s="523"/>
      <c r="O125" s="523"/>
      <c r="P125" s="523"/>
      <c r="Q125" s="523"/>
      <c r="R125" s="523"/>
      <c r="S125" s="523"/>
      <c r="T125" s="523"/>
      <c r="U125" s="523"/>
      <c r="V125" s="224"/>
      <c r="W125" s="224"/>
      <c r="X125" s="224"/>
      <c r="Y125" s="224"/>
      <c r="Z125" s="868"/>
      <c r="AA125" s="865"/>
      <c r="AB125" s="2"/>
      <c r="AC125" s="2"/>
      <c r="AD125" s="2"/>
      <c r="AE125" s="2"/>
      <c r="AF125" s="2"/>
      <c r="AG125" s="2"/>
      <c r="AH125" s="2"/>
      <c r="AI125" s="2"/>
      <c r="AJ125" s="2"/>
      <c r="AK125" s="2"/>
      <c r="AL125" s="2"/>
      <c r="AM125" s="2"/>
      <c r="AN125" s="2"/>
      <c r="AO125" s="9"/>
      <c r="AP125" s="9"/>
      <c r="AQ125" s="9"/>
      <c r="AR125" s="9"/>
    </row>
    <row r="126">
      <c r="A126" s="523"/>
      <c r="B126" s="523"/>
      <c r="C126" s="523"/>
      <c r="D126" s="523"/>
      <c r="E126" s="523"/>
      <c r="F126" s="523"/>
      <c r="G126" s="523"/>
      <c r="H126" s="523"/>
      <c r="I126" s="523"/>
      <c r="J126" s="523"/>
      <c r="K126" s="523"/>
      <c r="L126" s="523"/>
      <c r="M126" s="523"/>
      <c r="N126" s="523"/>
      <c r="O126" s="523"/>
      <c r="P126" s="523"/>
      <c r="Q126" s="523"/>
      <c r="R126" s="523"/>
      <c r="S126" s="523"/>
      <c r="T126" s="523"/>
      <c r="U126" s="523"/>
      <c r="V126" s="224"/>
      <c r="W126" s="224"/>
      <c r="X126" s="224"/>
      <c r="Y126" s="224"/>
      <c r="Z126" s="868"/>
      <c r="AA126" s="865"/>
      <c r="AB126" s="2"/>
      <c r="AC126" s="2"/>
      <c r="AD126" s="2"/>
      <c r="AE126" s="2"/>
      <c r="AF126" s="2"/>
      <c r="AG126" s="2"/>
      <c r="AH126" s="2"/>
      <c r="AI126" s="2"/>
      <c r="AJ126" s="2"/>
      <c r="AK126" s="2"/>
      <c r="AL126" s="2"/>
      <c r="AM126" s="2"/>
      <c r="AN126" s="2"/>
      <c r="AO126" s="9"/>
      <c r="AP126" s="9"/>
      <c r="AQ126" s="9"/>
      <c r="AR126" s="9"/>
    </row>
    <row r="127">
      <c r="A127" s="523"/>
      <c r="B127" s="523"/>
      <c r="C127" s="523"/>
      <c r="D127" s="523"/>
      <c r="E127" s="523"/>
      <c r="F127" s="523"/>
      <c r="G127" s="523"/>
      <c r="H127" s="523"/>
      <c r="I127" s="523"/>
      <c r="J127" s="523"/>
      <c r="K127" s="523"/>
      <c r="L127" s="523"/>
      <c r="M127" s="523"/>
      <c r="N127" s="523"/>
      <c r="O127" s="523"/>
      <c r="P127" s="523"/>
      <c r="Q127" s="523"/>
      <c r="R127" s="523"/>
      <c r="S127" s="523"/>
      <c r="T127" s="523"/>
      <c r="U127" s="523"/>
      <c r="V127" s="224"/>
      <c r="W127" s="224"/>
      <c r="X127" s="224"/>
      <c r="Y127" s="224"/>
      <c r="Z127" s="868"/>
      <c r="AA127" s="865"/>
      <c r="AB127" s="2"/>
      <c r="AC127" s="2"/>
      <c r="AD127" s="2"/>
      <c r="AE127" s="2"/>
      <c r="AF127" s="2"/>
      <c r="AG127" s="2"/>
      <c r="AH127" s="2"/>
      <c r="AI127" s="2"/>
      <c r="AJ127" s="2"/>
      <c r="AK127" s="2"/>
      <c r="AL127" s="2"/>
      <c r="AM127" s="2"/>
      <c r="AN127" s="2"/>
      <c r="AO127" s="9"/>
      <c r="AP127" s="9"/>
      <c r="AQ127" s="9"/>
      <c r="AR127" s="9"/>
    </row>
    <row r="128">
      <c r="A128" s="523"/>
      <c r="B128" s="523"/>
      <c r="C128" s="523"/>
      <c r="D128" s="523"/>
      <c r="E128" s="523"/>
      <c r="F128" s="523"/>
      <c r="G128" s="523"/>
      <c r="H128" s="523"/>
      <c r="I128" s="523"/>
      <c r="J128" s="523"/>
      <c r="K128" s="523"/>
      <c r="L128" s="523"/>
      <c r="M128" s="523"/>
      <c r="N128" s="523"/>
      <c r="O128" s="523"/>
      <c r="P128" s="523"/>
      <c r="Q128" s="523"/>
      <c r="R128" s="523"/>
      <c r="S128" s="523"/>
      <c r="T128" s="523"/>
      <c r="U128" s="523"/>
      <c r="V128" s="224"/>
      <c r="W128" s="224"/>
      <c r="X128" s="224"/>
      <c r="Y128" s="224"/>
      <c r="Z128" s="868"/>
      <c r="AA128" s="865"/>
      <c r="AB128" s="2"/>
      <c r="AC128" s="2"/>
      <c r="AD128" s="2"/>
      <c r="AE128" s="2"/>
      <c r="AF128" s="2"/>
      <c r="AG128" s="2"/>
      <c r="AH128" s="2"/>
      <c r="AI128" s="2"/>
      <c r="AJ128" s="2"/>
      <c r="AK128" s="2"/>
      <c r="AL128" s="2"/>
      <c r="AM128" s="2"/>
      <c r="AN128" s="2"/>
      <c r="AO128" s="9"/>
      <c r="AP128" s="9"/>
      <c r="AQ128" s="9"/>
      <c r="AR128" s="9"/>
    </row>
    <row r="129">
      <c r="A129" s="523"/>
      <c r="B129" s="523"/>
      <c r="C129" s="523"/>
      <c r="D129" s="523"/>
      <c r="E129" s="523"/>
      <c r="F129" s="523"/>
      <c r="G129" s="523"/>
      <c r="H129" s="523"/>
      <c r="I129" s="523"/>
      <c r="J129" s="523"/>
      <c r="K129" s="523"/>
      <c r="L129" s="523"/>
      <c r="M129" s="523"/>
      <c r="N129" s="523"/>
      <c r="O129" s="523"/>
      <c r="P129" s="523"/>
      <c r="Q129" s="523"/>
      <c r="R129" s="523"/>
      <c r="S129" s="523"/>
      <c r="T129" s="523"/>
      <c r="U129" s="523"/>
      <c r="V129" s="224"/>
      <c r="W129" s="224"/>
      <c r="X129" s="224"/>
      <c r="Y129" s="224"/>
      <c r="Z129" s="868"/>
      <c r="AA129" s="865"/>
      <c r="AB129" s="2"/>
      <c r="AC129" s="2"/>
      <c r="AD129" s="2"/>
      <c r="AE129" s="2"/>
      <c r="AF129" s="2"/>
      <c r="AG129" s="2"/>
      <c r="AH129" s="2"/>
      <c r="AI129" s="2"/>
      <c r="AJ129" s="2"/>
      <c r="AK129" s="2"/>
      <c r="AL129" s="2"/>
      <c r="AM129" s="2"/>
      <c r="AN129" s="2"/>
      <c r="AO129" s="9"/>
      <c r="AP129" s="9"/>
      <c r="AQ129" s="9"/>
      <c r="AR129" s="9"/>
    </row>
    <row r="130">
      <c r="A130" s="523"/>
      <c r="B130" s="523"/>
      <c r="C130" s="523"/>
      <c r="D130" s="523"/>
      <c r="E130" s="523"/>
      <c r="F130" s="523"/>
      <c r="G130" s="523"/>
      <c r="H130" s="523"/>
      <c r="I130" s="523"/>
      <c r="J130" s="523"/>
      <c r="K130" s="523"/>
      <c r="L130" s="523"/>
      <c r="M130" s="523"/>
      <c r="N130" s="523"/>
      <c r="O130" s="523"/>
      <c r="P130" s="523"/>
      <c r="Q130" s="523"/>
      <c r="R130" s="523"/>
      <c r="S130" s="523"/>
      <c r="T130" s="523"/>
      <c r="U130" s="523"/>
      <c r="V130" s="224"/>
      <c r="W130" s="224"/>
      <c r="X130" s="224"/>
      <c r="Y130" s="224"/>
      <c r="Z130" s="868"/>
      <c r="AA130" s="865"/>
      <c r="AB130" s="2"/>
      <c r="AC130" s="2"/>
      <c r="AD130" s="2"/>
      <c r="AE130" s="2"/>
      <c r="AF130" s="2"/>
      <c r="AG130" s="2"/>
      <c r="AH130" s="2"/>
      <c r="AI130" s="2"/>
      <c r="AJ130" s="2"/>
      <c r="AK130" s="2"/>
      <c r="AL130" s="2"/>
      <c r="AM130" s="2"/>
      <c r="AN130" s="2"/>
      <c r="AO130" s="9"/>
      <c r="AP130" s="9"/>
      <c r="AQ130" s="9"/>
      <c r="AR130" s="9"/>
    </row>
    <row r="131">
      <c r="A131" s="523"/>
      <c r="B131" s="523"/>
      <c r="C131" s="523"/>
      <c r="D131" s="523"/>
      <c r="E131" s="523"/>
      <c r="F131" s="523"/>
      <c r="G131" s="523"/>
      <c r="H131" s="523"/>
      <c r="I131" s="523"/>
      <c r="J131" s="523"/>
      <c r="K131" s="523"/>
      <c r="L131" s="523"/>
      <c r="M131" s="523"/>
      <c r="N131" s="523"/>
      <c r="O131" s="523"/>
      <c r="P131" s="523"/>
      <c r="Q131" s="523"/>
      <c r="R131" s="523"/>
      <c r="S131" s="523"/>
      <c r="T131" s="523"/>
      <c r="U131" s="523"/>
      <c r="V131" s="224"/>
      <c r="W131" s="224"/>
      <c r="X131" s="224"/>
      <c r="Y131" s="224"/>
      <c r="Z131" s="868"/>
      <c r="AA131" s="865"/>
      <c r="AB131" s="2"/>
      <c r="AC131" s="2"/>
      <c r="AD131" s="2"/>
      <c r="AE131" s="2"/>
      <c r="AF131" s="2"/>
      <c r="AG131" s="2"/>
      <c r="AH131" s="2"/>
      <c r="AI131" s="2"/>
      <c r="AJ131" s="2"/>
      <c r="AK131" s="2"/>
      <c r="AL131" s="2"/>
      <c r="AM131" s="2"/>
      <c r="AN131" s="2"/>
      <c r="AO131" s="9"/>
      <c r="AP131" s="9"/>
      <c r="AQ131" s="9"/>
      <c r="AR131" s="9"/>
    </row>
    <row r="132">
      <c r="A132" s="523"/>
      <c r="B132" s="523"/>
      <c r="C132" s="523"/>
      <c r="D132" s="523"/>
      <c r="E132" s="523"/>
      <c r="F132" s="523"/>
      <c r="G132" s="523"/>
      <c r="H132" s="523"/>
      <c r="I132" s="523"/>
      <c r="J132" s="523"/>
      <c r="K132" s="523"/>
      <c r="L132" s="523"/>
      <c r="M132" s="523"/>
      <c r="N132" s="523"/>
      <c r="O132" s="523"/>
      <c r="P132" s="523"/>
      <c r="Q132" s="523"/>
      <c r="R132" s="523"/>
      <c r="S132" s="523"/>
      <c r="T132" s="523"/>
      <c r="U132" s="523"/>
      <c r="V132" s="224"/>
      <c r="W132" s="224"/>
      <c r="X132" s="224"/>
      <c r="Y132" s="224"/>
      <c r="Z132" s="868"/>
      <c r="AA132" s="865"/>
      <c r="AB132" s="2"/>
      <c r="AC132" s="2"/>
      <c r="AD132" s="2"/>
      <c r="AE132" s="2"/>
      <c r="AF132" s="2"/>
      <c r="AG132" s="2"/>
      <c r="AH132" s="2"/>
      <c r="AI132" s="2"/>
      <c r="AJ132" s="2"/>
      <c r="AK132" s="2"/>
      <c r="AL132" s="2"/>
      <c r="AM132" s="2"/>
      <c r="AN132" s="2"/>
      <c r="AO132" s="9"/>
      <c r="AP132" s="9"/>
      <c r="AQ132" s="9"/>
      <c r="AR132" s="9"/>
    </row>
    <row r="133">
      <c r="A133" s="523"/>
      <c r="B133" s="523"/>
      <c r="C133" s="523"/>
      <c r="D133" s="523"/>
      <c r="E133" s="523"/>
      <c r="F133" s="523"/>
      <c r="G133" s="523"/>
      <c r="H133" s="523"/>
      <c r="I133" s="523"/>
      <c r="J133" s="523"/>
      <c r="K133" s="523"/>
      <c r="L133" s="523"/>
      <c r="M133" s="523"/>
      <c r="N133" s="523"/>
      <c r="O133" s="523"/>
      <c r="P133" s="523"/>
      <c r="Q133" s="523"/>
      <c r="R133" s="523"/>
      <c r="S133" s="523"/>
      <c r="T133" s="523"/>
      <c r="U133" s="523"/>
      <c r="V133" s="224"/>
      <c r="W133" s="224"/>
      <c r="X133" s="224"/>
      <c r="Y133" s="224"/>
      <c r="Z133" s="868"/>
      <c r="AA133" s="865"/>
      <c r="AB133" s="2"/>
      <c r="AC133" s="2"/>
      <c r="AD133" s="2"/>
      <c r="AE133" s="2"/>
      <c r="AF133" s="2"/>
      <c r="AG133" s="2"/>
      <c r="AH133" s="2"/>
      <c r="AI133" s="2"/>
      <c r="AJ133" s="2"/>
      <c r="AK133" s="2"/>
      <c r="AL133" s="2"/>
      <c r="AM133" s="2"/>
      <c r="AN133" s="2"/>
      <c r="AO133" s="9"/>
      <c r="AP133" s="9"/>
      <c r="AQ133" s="9"/>
      <c r="AR133" s="9"/>
    </row>
    <row r="134">
      <c r="A134" s="523"/>
      <c r="B134" s="523"/>
      <c r="C134" s="523"/>
      <c r="D134" s="523"/>
      <c r="E134" s="523"/>
      <c r="F134" s="523"/>
      <c r="G134" s="523"/>
      <c r="H134" s="523"/>
      <c r="I134" s="523"/>
      <c r="J134" s="523"/>
      <c r="K134" s="523"/>
      <c r="L134" s="523"/>
      <c r="M134" s="523"/>
      <c r="N134" s="523"/>
      <c r="O134" s="523"/>
      <c r="P134" s="523"/>
      <c r="Q134" s="523"/>
      <c r="R134" s="523"/>
      <c r="S134" s="523"/>
      <c r="T134" s="523"/>
      <c r="U134" s="523"/>
      <c r="V134" s="224"/>
      <c r="W134" s="224"/>
      <c r="X134" s="224"/>
      <c r="Y134" s="224"/>
      <c r="Z134" s="868"/>
      <c r="AA134" s="865"/>
      <c r="AB134" s="2"/>
      <c r="AC134" s="2"/>
      <c r="AD134" s="2"/>
      <c r="AE134" s="2"/>
      <c r="AF134" s="2"/>
      <c r="AG134" s="2"/>
      <c r="AH134" s="2"/>
      <c r="AI134" s="2"/>
      <c r="AJ134" s="2"/>
      <c r="AK134" s="2"/>
      <c r="AL134" s="2"/>
      <c r="AM134" s="2"/>
      <c r="AN134" s="2"/>
      <c r="AO134" s="9"/>
      <c r="AP134" s="9"/>
      <c r="AQ134" s="9"/>
      <c r="AR134" s="9"/>
    </row>
    <row r="135">
      <c r="A135" s="523"/>
      <c r="B135" s="523"/>
      <c r="C135" s="523"/>
      <c r="D135" s="523"/>
      <c r="E135" s="523"/>
      <c r="F135" s="523"/>
      <c r="G135" s="523"/>
      <c r="H135" s="523"/>
      <c r="I135" s="523"/>
      <c r="J135" s="523"/>
      <c r="K135" s="523"/>
      <c r="L135" s="523"/>
      <c r="M135" s="523"/>
      <c r="N135" s="523"/>
      <c r="O135" s="523"/>
      <c r="P135" s="523"/>
      <c r="Q135" s="523"/>
      <c r="R135" s="523"/>
      <c r="S135" s="523"/>
      <c r="T135" s="523"/>
      <c r="U135" s="523"/>
      <c r="V135" s="224"/>
      <c r="W135" s="224"/>
      <c r="X135" s="224"/>
      <c r="Y135" s="224"/>
      <c r="Z135" s="868"/>
      <c r="AA135" s="865"/>
      <c r="AB135" s="2"/>
      <c r="AC135" s="2"/>
      <c r="AD135" s="2"/>
      <c r="AE135" s="2"/>
      <c r="AF135" s="2"/>
      <c r="AG135" s="2"/>
      <c r="AH135" s="2"/>
      <c r="AI135" s="2"/>
      <c r="AJ135" s="2"/>
      <c r="AK135" s="2"/>
      <c r="AL135" s="2"/>
      <c r="AM135" s="2"/>
      <c r="AN135" s="2"/>
      <c r="AO135" s="9"/>
      <c r="AP135" s="9"/>
      <c r="AQ135" s="9"/>
      <c r="AR135" s="9"/>
    </row>
    <row r="136">
      <c r="A136" s="523"/>
      <c r="B136" s="523"/>
      <c r="C136" s="523"/>
      <c r="D136" s="523"/>
      <c r="E136" s="523"/>
      <c r="F136" s="523"/>
      <c r="G136" s="523"/>
      <c r="H136" s="523"/>
      <c r="I136" s="523"/>
      <c r="J136" s="523"/>
      <c r="K136" s="523"/>
      <c r="L136" s="523"/>
      <c r="M136" s="523"/>
      <c r="N136" s="523"/>
      <c r="O136" s="523"/>
      <c r="P136" s="523"/>
      <c r="Q136" s="523"/>
      <c r="R136" s="523"/>
      <c r="S136" s="523"/>
      <c r="T136" s="523"/>
      <c r="U136" s="523"/>
      <c r="V136" s="224"/>
      <c r="W136" s="224"/>
      <c r="X136" s="224"/>
      <c r="Y136" s="224"/>
      <c r="Z136" s="868"/>
      <c r="AA136" s="865"/>
      <c r="AB136" s="2"/>
      <c r="AC136" s="2"/>
      <c r="AD136" s="2"/>
      <c r="AE136" s="2"/>
      <c r="AF136" s="2"/>
      <c r="AG136" s="2"/>
      <c r="AH136" s="2"/>
      <c r="AI136" s="2"/>
      <c r="AJ136" s="2"/>
      <c r="AK136" s="2"/>
      <c r="AL136" s="2"/>
      <c r="AM136" s="2"/>
      <c r="AN136" s="2"/>
      <c r="AO136" s="9"/>
      <c r="AP136" s="9"/>
      <c r="AQ136" s="9"/>
      <c r="AR136" s="9"/>
    </row>
    <row r="137">
      <c r="A137" s="523"/>
      <c r="B137" s="523"/>
      <c r="C137" s="523"/>
      <c r="D137" s="523"/>
      <c r="E137" s="523"/>
      <c r="F137" s="523"/>
      <c r="G137" s="523"/>
      <c r="H137" s="523"/>
      <c r="I137" s="523"/>
      <c r="J137" s="523"/>
      <c r="K137" s="523"/>
      <c r="L137" s="523"/>
      <c r="M137" s="523"/>
      <c r="N137" s="523"/>
      <c r="O137" s="523"/>
      <c r="P137" s="523"/>
      <c r="Q137" s="523"/>
      <c r="R137" s="523"/>
      <c r="S137" s="523"/>
      <c r="T137" s="523"/>
      <c r="U137" s="523"/>
      <c r="V137" s="224"/>
      <c r="W137" s="224"/>
      <c r="X137" s="224"/>
      <c r="Y137" s="224"/>
      <c r="Z137" s="868"/>
      <c r="AA137" s="865"/>
      <c r="AB137" s="2"/>
      <c r="AC137" s="2"/>
      <c r="AD137" s="2"/>
      <c r="AE137" s="2"/>
      <c r="AF137" s="2"/>
      <c r="AG137" s="2"/>
      <c r="AH137" s="2"/>
      <c r="AI137" s="2"/>
      <c r="AJ137" s="2"/>
      <c r="AK137" s="2"/>
      <c r="AL137" s="2"/>
      <c r="AM137" s="2"/>
      <c r="AN137" s="2"/>
      <c r="AO137" s="9"/>
      <c r="AP137" s="9"/>
      <c r="AQ137" s="9"/>
      <c r="AR137" s="9"/>
    </row>
    <row r="138">
      <c r="A138" s="523"/>
      <c r="B138" s="523"/>
      <c r="C138" s="523"/>
      <c r="D138" s="523"/>
      <c r="E138" s="523"/>
      <c r="F138" s="523"/>
      <c r="G138" s="523"/>
      <c r="H138" s="523"/>
      <c r="I138" s="523"/>
      <c r="J138" s="523"/>
      <c r="K138" s="523"/>
      <c r="L138" s="523"/>
      <c r="M138" s="523"/>
      <c r="N138" s="523"/>
      <c r="O138" s="523"/>
      <c r="P138" s="523"/>
      <c r="Q138" s="523"/>
      <c r="R138" s="523"/>
      <c r="S138" s="891"/>
      <c r="T138" s="891"/>
      <c r="U138" s="891"/>
      <c r="V138" s="226"/>
      <c r="W138" s="226"/>
      <c r="X138" s="224"/>
      <c r="Y138" s="224"/>
      <c r="Z138" s="868"/>
      <c r="AA138" s="865"/>
      <c r="AB138" s="2"/>
      <c r="AC138" s="2"/>
      <c r="AD138" s="2"/>
      <c r="AE138" s="2"/>
      <c r="AF138" s="2"/>
      <c r="AG138" s="2"/>
      <c r="AH138" s="2"/>
      <c r="AI138" s="2"/>
      <c r="AJ138" s="2"/>
      <c r="AK138" s="2"/>
      <c r="AL138" s="2"/>
      <c r="AM138" s="2"/>
      <c r="AN138" s="2"/>
      <c r="AO138" s="9"/>
      <c r="AP138" s="9"/>
      <c r="AQ138" s="9"/>
      <c r="AR138" s="9"/>
    </row>
    <row r="139">
      <c r="A139" s="523"/>
      <c r="B139" s="523"/>
      <c r="C139" s="523"/>
      <c r="D139" s="523"/>
      <c r="E139" s="523"/>
      <c r="F139" s="523"/>
      <c r="G139" s="523"/>
      <c r="H139" s="523"/>
      <c r="I139" s="523"/>
      <c r="J139" s="523"/>
      <c r="K139" s="523"/>
      <c r="L139" s="523"/>
      <c r="M139" s="523"/>
      <c r="N139" s="523"/>
      <c r="O139" s="523"/>
      <c r="P139" s="523"/>
      <c r="Q139" s="523"/>
      <c r="R139" s="523"/>
      <c r="S139" s="523"/>
      <c r="T139" s="523"/>
      <c r="U139" s="523"/>
      <c r="V139" s="224"/>
      <c r="W139" s="224"/>
      <c r="X139" s="224"/>
      <c r="Y139" s="224"/>
      <c r="Z139" s="868"/>
      <c r="AA139" s="865"/>
      <c r="AB139" s="2"/>
      <c r="AC139" s="2"/>
      <c r="AD139" s="2"/>
      <c r="AE139" s="2"/>
      <c r="AF139" s="2"/>
      <c r="AG139" s="2"/>
      <c r="AH139" s="2"/>
      <c r="AI139" s="2"/>
      <c r="AJ139" s="2"/>
      <c r="AK139" s="2"/>
      <c r="AL139" s="2"/>
      <c r="AM139" s="2"/>
      <c r="AN139" s="2"/>
      <c r="AO139" s="9"/>
      <c r="AP139" s="9"/>
      <c r="AQ139" s="9"/>
      <c r="AR139" s="9"/>
    </row>
    <row r="140">
      <c r="A140" s="523"/>
      <c r="B140" s="523"/>
      <c r="C140" s="523"/>
      <c r="D140" s="523"/>
      <c r="E140" s="523"/>
      <c r="F140" s="523"/>
      <c r="G140" s="523"/>
      <c r="H140" s="523"/>
      <c r="I140" s="523"/>
      <c r="J140" s="523"/>
      <c r="K140" s="523"/>
      <c r="L140" s="523"/>
      <c r="M140" s="523"/>
      <c r="N140" s="523"/>
      <c r="O140" s="523"/>
      <c r="P140" s="523"/>
      <c r="Q140" s="523"/>
      <c r="R140" s="523"/>
      <c r="S140" s="523"/>
      <c r="T140" s="523"/>
      <c r="U140" s="523"/>
      <c r="V140" s="224"/>
      <c r="W140" s="224"/>
      <c r="X140" s="224"/>
      <c r="Y140" s="224"/>
      <c r="Z140" s="868"/>
      <c r="AA140" s="865"/>
      <c r="AB140" s="2"/>
      <c r="AC140" s="2"/>
      <c r="AD140" s="2"/>
      <c r="AE140" s="2"/>
      <c r="AF140" s="2"/>
      <c r="AG140" s="2"/>
      <c r="AH140" s="2"/>
      <c r="AI140" s="2"/>
      <c r="AJ140" s="2"/>
      <c r="AK140" s="2"/>
      <c r="AL140" s="2"/>
      <c r="AM140" s="2"/>
      <c r="AN140" s="2"/>
      <c r="AO140" s="9"/>
      <c r="AP140" s="9"/>
      <c r="AQ140" s="9"/>
      <c r="AR140" s="9"/>
    </row>
    <row r="141">
      <c r="A141" s="523"/>
      <c r="B141" s="523"/>
      <c r="C141" s="523"/>
      <c r="D141" s="523"/>
      <c r="E141" s="523"/>
      <c r="F141" s="523"/>
      <c r="G141" s="523"/>
      <c r="H141" s="523"/>
      <c r="I141" s="523"/>
      <c r="J141" s="523"/>
      <c r="K141" s="523"/>
      <c r="L141" s="523"/>
      <c r="M141" s="523"/>
      <c r="N141" s="523"/>
      <c r="O141" s="523"/>
      <c r="P141" s="523"/>
      <c r="Q141" s="523"/>
      <c r="R141" s="523"/>
      <c r="S141" s="523"/>
      <c r="T141" s="523"/>
      <c r="U141" s="523"/>
      <c r="V141" s="224"/>
      <c r="W141" s="224"/>
      <c r="X141" s="224"/>
      <c r="Y141" s="224"/>
      <c r="Z141" s="868"/>
      <c r="AA141" s="865"/>
      <c r="AB141" s="2"/>
      <c r="AC141" s="2"/>
      <c r="AD141" s="2"/>
      <c r="AE141" s="2"/>
      <c r="AF141" s="2"/>
      <c r="AG141" s="2"/>
      <c r="AH141" s="2"/>
      <c r="AI141" s="2"/>
      <c r="AJ141" s="2"/>
      <c r="AK141" s="2"/>
      <c r="AL141" s="2"/>
      <c r="AM141" s="2"/>
      <c r="AN141" s="2"/>
      <c r="AO141" s="9"/>
      <c r="AP141" s="9"/>
      <c r="AQ141" s="9"/>
      <c r="AR141" s="9"/>
    </row>
    <row r="142">
      <c r="A142" s="523"/>
      <c r="B142" s="523"/>
      <c r="C142" s="523"/>
      <c r="D142" s="523"/>
      <c r="E142" s="523"/>
      <c r="F142" s="523"/>
      <c r="G142" s="523"/>
      <c r="H142" s="523"/>
      <c r="I142" s="523"/>
      <c r="J142" s="523"/>
      <c r="K142" s="523"/>
      <c r="L142" s="523"/>
      <c r="M142" s="523"/>
      <c r="N142" s="523"/>
      <c r="O142" s="523"/>
      <c r="P142" s="523"/>
      <c r="Q142" s="523"/>
      <c r="R142" s="523"/>
      <c r="S142" s="523"/>
      <c r="T142" s="523"/>
      <c r="U142" s="523"/>
      <c r="V142" s="224"/>
      <c r="W142" s="224"/>
      <c r="X142" s="224"/>
      <c r="Y142" s="224"/>
      <c r="Z142" s="868"/>
      <c r="AA142" s="865"/>
      <c r="AB142" s="2"/>
      <c r="AC142" s="2"/>
      <c r="AD142" s="2"/>
      <c r="AE142" s="2"/>
      <c r="AF142" s="2"/>
      <c r="AG142" s="2"/>
      <c r="AH142" s="2"/>
      <c r="AI142" s="2"/>
      <c r="AJ142" s="2"/>
      <c r="AK142" s="2"/>
      <c r="AL142" s="2"/>
      <c r="AM142" s="2"/>
      <c r="AN142" s="2"/>
      <c r="AO142" s="9"/>
      <c r="AP142" s="9"/>
      <c r="AQ142" s="9"/>
      <c r="AR142" s="9"/>
    </row>
    <row r="143">
      <c r="A143" s="523"/>
      <c r="B143" s="523"/>
      <c r="C143" s="523"/>
      <c r="D143" s="523"/>
      <c r="E143" s="523"/>
      <c r="F143" s="523"/>
      <c r="G143" s="523"/>
      <c r="H143" s="523"/>
      <c r="I143" s="523"/>
      <c r="J143" s="523"/>
      <c r="K143" s="523"/>
      <c r="L143" s="523"/>
      <c r="M143" s="523"/>
      <c r="N143" s="523"/>
      <c r="O143" s="523"/>
      <c r="P143" s="523"/>
      <c r="Q143" s="523"/>
      <c r="R143" s="523"/>
      <c r="S143" s="523"/>
      <c r="T143" s="523"/>
      <c r="U143" s="523"/>
      <c r="V143" s="224"/>
      <c r="W143" s="224"/>
      <c r="X143" s="224"/>
      <c r="Y143" s="224"/>
      <c r="Z143" s="868"/>
      <c r="AA143" s="865"/>
      <c r="AB143" s="2"/>
      <c r="AC143" s="2"/>
      <c r="AD143" s="2"/>
      <c r="AE143" s="2"/>
      <c r="AF143" s="2"/>
      <c r="AG143" s="2"/>
      <c r="AH143" s="2"/>
      <c r="AI143" s="2"/>
      <c r="AJ143" s="2"/>
      <c r="AK143" s="2"/>
      <c r="AL143" s="2"/>
      <c r="AM143" s="2"/>
      <c r="AN143" s="2"/>
      <c r="AO143" s="9"/>
      <c r="AP143" s="9"/>
      <c r="AQ143" s="9"/>
      <c r="AR143" s="9"/>
    </row>
    <row r="144">
      <c r="A144" s="523"/>
      <c r="B144" s="523"/>
      <c r="C144" s="523"/>
      <c r="D144" s="523"/>
      <c r="E144" s="523"/>
      <c r="F144" s="523"/>
      <c r="G144" s="523"/>
      <c r="H144" s="523"/>
      <c r="I144" s="523"/>
      <c r="J144" s="523"/>
      <c r="K144" s="523"/>
      <c r="L144" s="523"/>
      <c r="M144" s="523"/>
      <c r="N144" s="523"/>
      <c r="O144" s="523"/>
      <c r="P144" s="523"/>
      <c r="Q144" s="523"/>
      <c r="R144" s="523"/>
      <c r="S144" s="523"/>
      <c r="T144" s="523"/>
      <c r="U144" s="523"/>
      <c r="V144" s="224"/>
      <c r="W144" s="224"/>
      <c r="X144" s="224"/>
      <c r="Y144" s="224"/>
      <c r="Z144" s="868"/>
      <c r="AA144" s="865"/>
      <c r="AB144" s="2"/>
      <c r="AC144" s="2"/>
      <c r="AD144" s="2"/>
      <c r="AE144" s="2"/>
      <c r="AF144" s="2"/>
      <c r="AG144" s="2"/>
      <c r="AH144" s="2"/>
      <c r="AI144" s="2"/>
      <c r="AJ144" s="2"/>
      <c r="AK144" s="2"/>
      <c r="AL144" s="2"/>
      <c r="AM144" s="2"/>
      <c r="AN144" s="2"/>
      <c r="AO144" s="9"/>
      <c r="AP144" s="9"/>
      <c r="AQ144" s="9"/>
      <c r="AR144" s="9"/>
    </row>
    <row r="145">
      <c r="A145" s="523"/>
      <c r="B145" s="523"/>
      <c r="C145" s="523"/>
      <c r="D145" s="523"/>
      <c r="E145" s="523"/>
      <c r="F145" s="523"/>
      <c r="G145" s="523"/>
      <c r="H145" s="523"/>
      <c r="I145" s="523"/>
      <c r="J145" s="523"/>
      <c r="K145" s="523"/>
      <c r="L145" s="523"/>
      <c r="M145" s="523"/>
      <c r="N145" s="523"/>
      <c r="O145" s="523"/>
      <c r="P145" s="523"/>
      <c r="Q145" s="523"/>
      <c r="R145" s="523"/>
      <c r="S145" s="523"/>
      <c r="T145" s="523"/>
      <c r="U145" s="523"/>
      <c r="V145" s="224"/>
      <c r="W145" s="224"/>
      <c r="X145" s="224"/>
      <c r="Y145" s="224"/>
      <c r="Z145" s="868"/>
      <c r="AA145" s="865"/>
      <c r="AB145" s="2"/>
      <c r="AC145" s="2"/>
      <c r="AD145" s="2"/>
      <c r="AE145" s="2"/>
      <c r="AF145" s="2"/>
      <c r="AG145" s="2"/>
      <c r="AH145" s="2"/>
      <c r="AI145" s="2"/>
      <c r="AJ145" s="2"/>
      <c r="AK145" s="2"/>
      <c r="AL145" s="2"/>
      <c r="AM145" s="2"/>
      <c r="AN145" s="2"/>
      <c r="AO145" s="9"/>
      <c r="AP145" s="9"/>
      <c r="AQ145" s="9"/>
      <c r="AR145" s="9"/>
    </row>
    <row r="146">
      <c r="A146" s="523"/>
      <c r="B146" s="523"/>
      <c r="C146" s="523"/>
      <c r="D146" s="523"/>
      <c r="E146" s="523"/>
      <c r="F146" s="523"/>
      <c r="G146" s="523"/>
      <c r="H146" s="523"/>
      <c r="I146" s="523"/>
      <c r="J146" s="523"/>
      <c r="K146" s="523"/>
      <c r="L146" s="523"/>
      <c r="M146" s="523"/>
      <c r="N146" s="523"/>
      <c r="O146" s="523"/>
      <c r="P146" s="523"/>
      <c r="Q146" s="523"/>
      <c r="R146" s="523"/>
      <c r="S146" s="523"/>
      <c r="T146" s="523"/>
      <c r="U146" s="523"/>
      <c r="V146" s="224"/>
      <c r="W146" s="224"/>
      <c r="X146" s="224"/>
      <c r="Y146" s="224"/>
      <c r="Z146" s="868"/>
      <c r="AA146" s="865"/>
      <c r="AB146" s="2"/>
      <c r="AC146" s="2"/>
      <c r="AD146" s="2"/>
      <c r="AE146" s="2"/>
      <c r="AF146" s="2"/>
      <c r="AG146" s="2"/>
      <c r="AH146" s="2"/>
      <c r="AI146" s="2"/>
      <c r="AJ146" s="2"/>
      <c r="AK146" s="2"/>
      <c r="AL146" s="2"/>
      <c r="AM146" s="2"/>
      <c r="AN146" s="2"/>
      <c r="AO146" s="9"/>
      <c r="AP146" s="9"/>
      <c r="AQ146" s="9"/>
      <c r="AR146" s="9"/>
    </row>
    <row r="147">
      <c r="A147" s="523"/>
      <c r="B147" s="523"/>
      <c r="C147" s="523"/>
      <c r="D147" s="523"/>
      <c r="E147" s="523"/>
      <c r="F147" s="523"/>
      <c r="G147" s="523"/>
      <c r="H147" s="523"/>
      <c r="I147" s="523"/>
      <c r="J147" s="523"/>
      <c r="K147" s="523"/>
      <c r="L147" s="523"/>
      <c r="M147" s="523"/>
      <c r="N147" s="523"/>
      <c r="O147" s="523"/>
      <c r="P147" s="523"/>
      <c r="Q147" s="523"/>
      <c r="R147" s="523"/>
      <c r="S147" s="523"/>
      <c r="T147" s="523"/>
      <c r="U147" s="523"/>
      <c r="V147" s="224"/>
      <c r="W147" s="224"/>
      <c r="X147" s="224"/>
      <c r="Y147" s="224"/>
      <c r="Z147" s="868"/>
      <c r="AA147" s="865"/>
      <c r="AB147" s="2"/>
      <c r="AC147" s="2"/>
      <c r="AD147" s="2"/>
      <c r="AE147" s="2"/>
      <c r="AF147" s="2"/>
      <c r="AG147" s="2"/>
      <c r="AH147" s="2"/>
      <c r="AI147" s="2"/>
      <c r="AJ147" s="2"/>
      <c r="AK147" s="2"/>
      <c r="AL147" s="2"/>
      <c r="AM147" s="2"/>
      <c r="AN147" s="2"/>
      <c r="AO147" s="9"/>
      <c r="AP147" s="9"/>
      <c r="AQ147" s="9"/>
      <c r="AR147" s="9"/>
    </row>
    <row r="148">
      <c r="A148" s="523"/>
      <c r="B148" s="523"/>
      <c r="C148" s="523"/>
      <c r="D148" s="523"/>
      <c r="E148" s="523"/>
      <c r="F148" s="523"/>
      <c r="G148" s="523"/>
      <c r="H148" s="523"/>
      <c r="I148" s="523"/>
      <c r="J148" s="523"/>
      <c r="K148" s="523"/>
      <c r="L148" s="523"/>
      <c r="M148" s="523"/>
      <c r="N148" s="523"/>
      <c r="O148" s="523"/>
      <c r="P148" s="523"/>
      <c r="Q148" s="523"/>
      <c r="R148" s="523"/>
      <c r="S148" s="523"/>
      <c r="T148" s="523"/>
      <c r="U148" s="523"/>
      <c r="V148" s="224"/>
      <c r="W148" s="224"/>
      <c r="X148" s="224"/>
      <c r="Y148" s="224"/>
      <c r="Z148" s="868"/>
      <c r="AA148" s="865"/>
      <c r="AB148" s="2"/>
      <c r="AC148" s="2"/>
      <c r="AD148" s="2"/>
      <c r="AE148" s="2"/>
      <c r="AF148" s="2"/>
      <c r="AG148" s="2"/>
      <c r="AH148" s="2"/>
      <c r="AI148" s="2"/>
      <c r="AJ148" s="2"/>
      <c r="AK148" s="2"/>
      <c r="AL148" s="2"/>
      <c r="AM148" s="2"/>
      <c r="AN148" s="2"/>
      <c r="AO148" s="9"/>
      <c r="AP148" s="9"/>
      <c r="AQ148" s="9"/>
      <c r="AR148" s="9"/>
    </row>
    <row r="149">
      <c r="A149" s="523"/>
      <c r="B149" s="523"/>
      <c r="C149" s="523"/>
      <c r="D149" s="523"/>
      <c r="E149" s="523"/>
      <c r="F149" s="523"/>
      <c r="G149" s="523"/>
      <c r="H149" s="523"/>
      <c r="I149" s="523"/>
      <c r="J149" s="523"/>
      <c r="K149" s="523"/>
      <c r="L149" s="523"/>
      <c r="M149" s="523"/>
      <c r="N149" s="523"/>
      <c r="O149" s="523"/>
      <c r="P149" s="523"/>
      <c r="Q149" s="523"/>
      <c r="R149" s="523"/>
      <c r="S149" s="523"/>
      <c r="T149" s="523"/>
      <c r="U149" s="523"/>
      <c r="V149" s="224"/>
      <c r="W149" s="224"/>
      <c r="X149" s="224"/>
      <c r="Y149" s="224"/>
      <c r="Z149" s="868"/>
      <c r="AA149" s="865"/>
      <c r="AB149" s="2"/>
      <c r="AC149" s="2"/>
      <c r="AD149" s="2"/>
      <c r="AE149" s="2"/>
      <c r="AF149" s="2"/>
      <c r="AG149" s="2"/>
      <c r="AH149" s="2"/>
      <c r="AI149" s="2"/>
      <c r="AJ149" s="2"/>
      <c r="AK149" s="2"/>
      <c r="AL149" s="2"/>
      <c r="AM149" s="2"/>
      <c r="AN149" s="2"/>
      <c r="AO149" s="9"/>
      <c r="AP149" s="9"/>
      <c r="AQ149" s="9"/>
      <c r="AR149" s="9"/>
    </row>
    <row r="150">
      <c r="A150" s="523"/>
      <c r="B150" s="523"/>
      <c r="C150" s="523"/>
      <c r="D150" s="523"/>
      <c r="E150" s="523"/>
      <c r="F150" s="523"/>
      <c r="G150" s="523"/>
      <c r="H150" s="523"/>
      <c r="I150" s="523"/>
      <c r="J150" s="523"/>
      <c r="K150" s="523"/>
      <c r="L150" s="523"/>
      <c r="M150" s="523"/>
      <c r="N150" s="523"/>
      <c r="O150" s="523"/>
      <c r="P150" s="523"/>
      <c r="Q150" s="523"/>
      <c r="R150" s="523"/>
      <c r="S150" s="523"/>
      <c r="T150" s="523"/>
      <c r="U150" s="523"/>
      <c r="V150" s="224"/>
      <c r="W150" s="224"/>
      <c r="X150" s="224"/>
      <c r="Y150" s="224"/>
      <c r="Z150" s="868"/>
      <c r="AA150" s="865"/>
      <c r="AB150" s="2"/>
      <c r="AC150" s="2"/>
      <c r="AD150" s="2"/>
      <c r="AE150" s="2"/>
      <c r="AF150" s="2"/>
      <c r="AG150" s="2"/>
      <c r="AH150" s="2"/>
      <c r="AI150" s="2"/>
      <c r="AJ150" s="2"/>
      <c r="AK150" s="2"/>
      <c r="AL150" s="2"/>
      <c r="AM150" s="2"/>
      <c r="AN150" s="2"/>
      <c r="AO150" s="9"/>
      <c r="AP150" s="9"/>
      <c r="AQ150" s="9"/>
      <c r="AR150" s="9"/>
    </row>
    <row r="151">
      <c r="A151" s="523"/>
      <c r="B151" s="523"/>
      <c r="C151" s="523"/>
      <c r="D151" s="523"/>
      <c r="E151" s="523"/>
      <c r="F151" s="523"/>
      <c r="G151" s="523"/>
      <c r="H151" s="523"/>
      <c r="I151" s="523"/>
      <c r="J151" s="523"/>
      <c r="K151" s="523"/>
      <c r="L151" s="523"/>
      <c r="M151" s="523"/>
      <c r="N151" s="523"/>
      <c r="O151" s="523"/>
      <c r="P151" s="523"/>
      <c r="Q151" s="523"/>
      <c r="R151" s="523"/>
      <c r="S151" s="523"/>
      <c r="T151" s="523"/>
      <c r="U151" s="523"/>
      <c r="V151" s="224"/>
      <c r="W151" s="224"/>
      <c r="X151" s="224"/>
      <c r="Y151" s="224"/>
      <c r="Z151" s="868"/>
      <c r="AA151" s="865"/>
      <c r="AB151" s="2"/>
      <c r="AC151" s="2"/>
      <c r="AD151" s="2"/>
      <c r="AE151" s="2"/>
      <c r="AF151" s="2"/>
      <c r="AG151" s="2"/>
      <c r="AH151" s="2"/>
      <c r="AI151" s="2"/>
      <c r="AJ151" s="2"/>
      <c r="AK151" s="2"/>
      <c r="AL151" s="2"/>
      <c r="AM151" s="2"/>
      <c r="AN151" s="2"/>
      <c r="AO151" s="9"/>
      <c r="AP151" s="9"/>
      <c r="AQ151" s="9"/>
      <c r="AR151" s="9"/>
    </row>
    <row r="152">
      <c r="A152" s="523"/>
      <c r="B152" s="523"/>
      <c r="C152" s="523"/>
      <c r="D152" s="523"/>
      <c r="E152" s="523"/>
      <c r="F152" s="523"/>
      <c r="G152" s="523"/>
      <c r="H152" s="523"/>
      <c r="I152" s="523"/>
      <c r="J152" s="523"/>
      <c r="K152" s="523"/>
      <c r="L152" s="523"/>
      <c r="M152" s="523"/>
      <c r="N152" s="523"/>
      <c r="O152" s="523"/>
      <c r="P152" s="523"/>
      <c r="Q152" s="523"/>
      <c r="R152" s="523"/>
      <c r="S152" s="523"/>
      <c r="T152" s="523"/>
      <c r="U152" s="523"/>
      <c r="V152" s="224"/>
      <c r="W152" s="224"/>
      <c r="X152" s="224"/>
      <c r="Y152" s="224"/>
      <c r="Z152" s="868"/>
      <c r="AA152" s="865"/>
      <c r="AB152" s="2"/>
      <c r="AC152" s="2"/>
      <c r="AD152" s="2"/>
      <c r="AE152" s="2"/>
      <c r="AF152" s="2"/>
      <c r="AG152" s="2"/>
      <c r="AH152" s="2"/>
      <c r="AI152" s="2"/>
      <c r="AJ152" s="2"/>
      <c r="AK152" s="2"/>
      <c r="AL152" s="2"/>
      <c r="AM152" s="2"/>
      <c r="AN152" s="2"/>
      <c r="AO152" s="9"/>
      <c r="AP152" s="9"/>
      <c r="AQ152" s="9"/>
      <c r="AR152" s="9"/>
    </row>
    <row r="153">
      <c r="A153" s="523"/>
      <c r="B153" s="523"/>
      <c r="C153" s="523"/>
      <c r="D153" s="523"/>
      <c r="E153" s="523"/>
      <c r="F153" s="523"/>
      <c r="G153" s="523"/>
      <c r="H153" s="523"/>
      <c r="I153" s="523"/>
      <c r="J153" s="523"/>
      <c r="K153" s="523"/>
      <c r="L153" s="523"/>
      <c r="M153" s="523"/>
      <c r="N153" s="523"/>
      <c r="O153" s="523"/>
      <c r="P153" s="523"/>
      <c r="Q153" s="523"/>
      <c r="R153" s="523"/>
      <c r="S153" s="523"/>
      <c r="T153" s="523"/>
      <c r="U153" s="523"/>
      <c r="V153" s="224"/>
      <c r="W153" s="224"/>
      <c r="X153" s="224"/>
      <c r="Y153" s="224"/>
      <c r="Z153" s="868"/>
      <c r="AA153" s="865"/>
      <c r="AB153" s="2"/>
      <c r="AC153" s="2"/>
      <c r="AD153" s="2"/>
      <c r="AE153" s="2"/>
      <c r="AF153" s="2"/>
      <c r="AG153" s="2"/>
      <c r="AH153" s="2"/>
      <c r="AI153" s="2"/>
      <c r="AJ153" s="2"/>
      <c r="AK153" s="2"/>
      <c r="AL153" s="2"/>
      <c r="AM153" s="2"/>
      <c r="AN153" s="2"/>
      <c r="AO153" s="9"/>
      <c r="AP153" s="9"/>
      <c r="AQ153" s="9"/>
      <c r="AR153" s="9"/>
    </row>
    <row r="154">
      <c r="A154" s="523"/>
      <c r="B154" s="523"/>
      <c r="C154" s="523"/>
      <c r="D154" s="523"/>
      <c r="E154" s="523"/>
      <c r="F154" s="523"/>
      <c r="G154" s="523"/>
      <c r="H154" s="523"/>
      <c r="I154" s="523"/>
      <c r="J154" s="523"/>
      <c r="K154" s="523"/>
      <c r="L154" s="523"/>
      <c r="M154" s="523"/>
      <c r="N154" s="523"/>
      <c r="O154" s="523"/>
      <c r="P154" s="523"/>
      <c r="Q154" s="523"/>
      <c r="R154" s="523"/>
      <c r="S154" s="523"/>
      <c r="T154" s="523"/>
      <c r="U154" s="523"/>
      <c r="V154" s="224"/>
      <c r="W154" s="224"/>
      <c r="X154" s="224"/>
      <c r="Y154" s="224"/>
      <c r="Z154" s="868"/>
      <c r="AA154" s="865"/>
      <c r="AB154" s="2"/>
      <c r="AC154" s="2"/>
      <c r="AD154" s="2"/>
      <c r="AE154" s="2"/>
      <c r="AF154" s="2"/>
      <c r="AG154" s="2"/>
      <c r="AH154" s="2"/>
      <c r="AI154" s="2"/>
      <c r="AJ154" s="2"/>
      <c r="AK154" s="2"/>
      <c r="AL154" s="2"/>
      <c r="AM154" s="2"/>
      <c r="AN154" s="2"/>
      <c r="AO154" s="9"/>
      <c r="AP154" s="9"/>
      <c r="AQ154" s="9"/>
      <c r="AR154" s="9"/>
    </row>
    <row r="155">
      <c r="A155" s="523"/>
      <c r="B155" s="523"/>
      <c r="C155" s="523"/>
      <c r="D155" s="523"/>
      <c r="E155" s="523"/>
      <c r="F155" s="523"/>
      <c r="G155" s="523"/>
      <c r="H155" s="523"/>
      <c r="I155" s="523"/>
      <c r="J155" s="523"/>
      <c r="K155" s="523"/>
      <c r="L155" s="523"/>
      <c r="M155" s="523"/>
      <c r="N155" s="523"/>
      <c r="O155" s="523"/>
      <c r="P155" s="523"/>
      <c r="Q155" s="523"/>
      <c r="R155" s="523"/>
      <c r="S155" s="523"/>
      <c r="T155" s="523"/>
      <c r="U155" s="523"/>
      <c r="V155" s="224"/>
      <c r="W155" s="224"/>
      <c r="X155" s="224"/>
      <c r="Y155" s="224"/>
      <c r="Z155" s="868"/>
      <c r="AA155" s="865"/>
      <c r="AB155" s="2"/>
      <c r="AC155" s="2"/>
      <c r="AD155" s="2"/>
      <c r="AE155" s="2"/>
      <c r="AF155" s="2"/>
      <c r="AG155" s="2"/>
      <c r="AH155" s="2"/>
      <c r="AI155" s="2"/>
      <c r="AJ155" s="2"/>
      <c r="AK155" s="2"/>
      <c r="AL155" s="2"/>
      <c r="AM155" s="2"/>
      <c r="AN155" s="2"/>
      <c r="AO155" s="9"/>
      <c r="AP155" s="9"/>
      <c r="AQ155" s="9"/>
      <c r="AR155" s="9"/>
    </row>
    <row r="156">
      <c r="A156" s="523"/>
      <c r="B156" s="523"/>
      <c r="C156" s="523"/>
      <c r="D156" s="523"/>
      <c r="E156" s="523"/>
      <c r="F156" s="523"/>
      <c r="G156" s="523"/>
      <c r="H156" s="523"/>
      <c r="I156" s="523"/>
      <c r="J156" s="523"/>
      <c r="K156" s="523"/>
      <c r="L156" s="523"/>
      <c r="M156" s="523"/>
      <c r="N156" s="523"/>
      <c r="O156" s="523"/>
      <c r="P156" s="523"/>
      <c r="Q156" s="523"/>
      <c r="R156" s="523"/>
      <c r="S156" s="523"/>
      <c r="T156" s="523"/>
      <c r="U156" s="523"/>
      <c r="V156" s="224"/>
      <c r="W156" s="224"/>
      <c r="X156" s="224"/>
      <c r="Y156" s="224"/>
      <c r="Z156" s="868"/>
      <c r="AA156" s="865"/>
      <c r="AB156" s="2"/>
      <c r="AC156" s="2"/>
      <c r="AD156" s="2"/>
      <c r="AE156" s="2"/>
      <c r="AF156" s="2"/>
      <c r="AG156" s="2"/>
      <c r="AH156" s="2"/>
      <c r="AI156" s="2"/>
      <c r="AJ156" s="2"/>
      <c r="AK156" s="2"/>
      <c r="AL156" s="2"/>
      <c r="AM156" s="2"/>
      <c r="AN156" s="2"/>
      <c r="AO156" s="9"/>
      <c r="AP156" s="9"/>
      <c r="AQ156" s="9"/>
      <c r="AR156" s="9"/>
    </row>
    <row r="157">
      <c r="A157" s="523"/>
      <c r="B157" s="523"/>
      <c r="C157" s="523"/>
      <c r="D157" s="523"/>
      <c r="E157" s="523"/>
      <c r="F157" s="523"/>
      <c r="G157" s="523"/>
      <c r="H157" s="523"/>
      <c r="I157" s="523"/>
      <c r="J157" s="523"/>
      <c r="K157" s="523"/>
      <c r="L157" s="523"/>
      <c r="M157" s="523"/>
      <c r="N157" s="523"/>
      <c r="O157" s="523"/>
      <c r="P157" s="523"/>
      <c r="Q157" s="523"/>
      <c r="R157" s="523"/>
      <c r="S157" s="523"/>
      <c r="T157" s="523"/>
      <c r="U157" s="523"/>
      <c r="V157" s="224"/>
      <c r="W157" s="224"/>
      <c r="X157" s="224"/>
      <c r="Y157" s="224"/>
      <c r="Z157" s="868"/>
      <c r="AA157" s="865"/>
      <c r="AB157" s="2"/>
      <c r="AC157" s="2"/>
      <c r="AD157" s="2"/>
      <c r="AE157" s="2"/>
      <c r="AF157" s="2"/>
      <c r="AG157" s="2"/>
      <c r="AH157" s="2"/>
      <c r="AI157" s="2"/>
      <c r="AJ157" s="2"/>
      <c r="AK157" s="2"/>
      <c r="AL157" s="2"/>
      <c r="AM157" s="2"/>
      <c r="AN157" s="2"/>
      <c r="AO157" s="9"/>
      <c r="AP157" s="9"/>
      <c r="AQ157" s="9"/>
      <c r="AR157" s="9"/>
    </row>
    <row r="158">
      <c r="A158" s="523"/>
      <c r="B158" s="523"/>
      <c r="C158" s="523"/>
      <c r="D158" s="523"/>
      <c r="E158" s="523"/>
      <c r="F158" s="523"/>
      <c r="G158" s="523"/>
      <c r="H158" s="523"/>
      <c r="I158" s="523"/>
      <c r="J158" s="523"/>
      <c r="K158" s="523"/>
      <c r="L158" s="523"/>
      <c r="M158" s="523"/>
      <c r="N158" s="523"/>
      <c r="O158" s="523"/>
      <c r="P158" s="523"/>
      <c r="Q158" s="523"/>
      <c r="R158" s="523"/>
      <c r="S158" s="523"/>
      <c r="T158" s="523"/>
      <c r="U158" s="523"/>
      <c r="V158" s="224"/>
      <c r="W158" s="224"/>
      <c r="X158" s="224"/>
      <c r="Y158" s="224"/>
      <c r="Z158" s="868"/>
      <c r="AA158" s="865"/>
      <c r="AB158" s="2"/>
      <c r="AC158" s="2"/>
      <c r="AD158" s="2"/>
      <c r="AE158" s="2"/>
      <c r="AF158" s="2"/>
      <c r="AG158" s="2"/>
      <c r="AH158" s="2"/>
      <c r="AI158" s="2"/>
      <c r="AJ158" s="2"/>
      <c r="AK158" s="2"/>
      <c r="AL158" s="2"/>
      <c r="AM158" s="2"/>
      <c r="AN158" s="2"/>
      <c r="AO158" s="9"/>
      <c r="AP158" s="9"/>
      <c r="AQ158" s="9"/>
      <c r="AR158" s="9"/>
    </row>
    <row r="159">
      <c r="A159" s="523"/>
      <c r="B159" s="523"/>
      <c r="C159" s="523"/>
      <c r="D159" s="523"/>
      <c r="E159" s="523"/>
      <c r="F159" s="523"/>
      <c r="G159" s="523"/>
      <c r="H159" s="523"/>
      <c r="I159" s="523"/>
      <c r="J159" s="523"/>
      <c r="K159" s="523"/>
      <c r="L159" s="523"/>
      <c r="M159" s="523"/>
      <c r="N159" s="523"/>
      <c r="O159" s="523"/>
      <c r="P159" s="523"/>
      <c r="Q159" s="523"/>
      <c r="R159" s="523"/>
      <c r="S159" s="523"/>
      <c r="T159" s="523"/>
      <c r="U159" s="523"/>
      <c r="V159" s="224"/>
      <c r="W159" s="224"/>
      <c r="X159" s="224"/>
      <c r="Y159" s="224"/>
      <c r="Z159" s="868"/>
      <c r="AA159" s="865"/>
      <c r="AB159" s="2"/>
      <c r="AC159" s="2"/>
      <c r="AD159" s="2"/>
      <c r="AE159" s="2"/>
      <c r="AF159" s="2"/>
      <c r="AG159" s="2"/>
      <c r="AH159" s="2"/>
      <c r="AI159" s="2"/>
      <c r="AJ159" s="2"/>
      <c r="AK159" s="2"/>
      <c r="AL159" s="2"/>
      <c r="AM159" s="2"/>
      <c r="AN159" s="2"/>
      <c r="AO159" s="9"/>
      <c r="AP159" s="9"/>
      <c r="AQ159" s="9"/>
      <c r="AR159" s="9"/>
    </row>
    <row r="160">
      <c r="A160" s="523"/>
      <c r="B160" s="523"/>
      <c r="C160" s="523"/>
      <c r="D160" s="523"/>
      <c r="E160" s="523"/>
      <c r="F160" s="523"/>
      <c r="G160" s="523"/>
      <c r="H160" s="523"/>
      <c r="I160" s="523"/>
      <c r="J160" s="523"/>
      <c r="K160" s="523"/>
      <c r="L160" s="523"/>
      <c r="M160" s="523"/>
      <c r="N160" s="523"/>
      <c r="O160" s="523"/>
      <c r="P160" s="523"/>
      <c r="Q160" s="523"/>
      <c r="R160" s="523"/>
      <c r="S160" s="523"/>
      <c r="T160" s="523"/>
      <c r="U160" s="523"/>
      <c r="V160" s="224"/>
      <c r="W160" s="224"/>
      <c r="X160" s="224"/>
      <c r="Y160" s="224"/>
      <c r="Z160" s="868"/>
      <c r="AA160" s="865"/>
      <c r="AB160" s="2"/>
      <c r="AC160" s="2"/>
      <c r="AD160" s="2"/>
      <c r="AE160" s="2"/>
      <c r="AF160" s="2"/>
      <c r="AG160" s="2"/>
      <c r="AH160" s="2"/>
      <c r="AI160" s="2"/>
      <c r="AJ160" s="2"/>
      <c r="AK160" s="2"/>
      <c r="AL160" s="2"/>
      <c r="AM160" s="2"/>
      <c r="AN160" s="2"/>
      <c r="AO160" s="9"/>
      <c r="AP160" s="9"/>
      <c r="AQ160" s="9"/>
      <c r="AR160" s="9"/>
    </row>
    <row r="161">
      <c r="A161" s="523"/>
      <c r="B161" s="523"/>
      <c r="C161" s="523"/>
      <c r="D161" s="523"/>
      <c r="E161" s="523"/>
      <c r="F161" s="523"/>
      <c r="G161" s="523"/>
      <c r="H161" s="523"/>
      <c r="I161" s="523"/>
      <c r="J161" s="523"/>
      <c r="K161" s="523"/>
      <c r="L161" s="523"/>
      <c r="M161" s="523"/>
      <c r="N161" s="523"/>
      <c r="O161" s="523"/>
      <c r="P161" s="523"/>
      <c r="Q161" s="523"/>
      <c r="R161" s="523"/>
      <c r="S161" s="523"/>
      <c r="T161" s="523"/>
      <c r="U161" s="523"/>
      <c r="V161" s="224"/>
      <c r="W161" s="224"/>
      <c r="X161" s="224"/>
      <c r="Y161" s="224"/>
      <c r="Z161" s="868"/>
      <c r="AA161" s="865"/>
      <c r="AB161" s="2"/>
      <c r="AC161" s="2"/>
      <c r="AD161" s="2"/>
      <c r="AE161" s="2"/>
      <c r="AF161" s="2"/>
      <c r="AG161" s="2"/>
      <c r="AH161" s="2"/>
      <c r="AI161" s="2"/>
      <c r="AJ161" s="2"/>
      <c r="AK161" s="2"/>
      <c r="AL161" s="2"/>
      <c r="AM161" s="2"/>
      <c r="AN161" s="2"/>
      <c r="AO161" s="9"/>
      <c r="AP161" s="9"/>
      <c r="AQ161" s="9"/>
      <c r="AR161" s="9"/>
    </row>
    <row r="162">
      <c r="A162" s="523"/>
      <c r="B162" s="523"/>
      <c r="C162" s="523"/>
      <c r="D162" s="523"/>
      <c r="E162" s="523"/>
      <c r="F162" s="523"/>
      <c r="G162" s="523"/>
      <c r="H162" s="523"/>
      <c r="I162" s="523"/>
      <c r="J162" s="523"/>
      <c r="K162" s="523"/>
      <c r="L162" s="523"/>
      <c r="M162" s="523"/>
      <c r="N162" s="523"/>
      <c r="O162" s="523"/>
      <c r="P162" s="523"/>
      <c r="Q162" s="523"/>
      <c r="R162" s="523"/>
      <c r="S162" s="523"/>
      <c r="T162" s="523"/>
      <c r="U162" s="523"/>
      <c r="V162" s="224"/>
      <c r="W162" s="224"/>
      <c r="X162" s="224"/>
      <c r="Y162" s="224"/>
      <c r="Z162" s="868"/>
      <c r="AA162" s="865"/>
      <c r="AB162" s="2"/>
      <c r="AC162" s="2"/>
      <c r="AD162" s="2"/>
      <c r="AE162" s="2"/>
      <c r="AF162" s="2"/>
      <c r="AG162" s="2"/>
      <c r="AH162" s="2"/>
      <c r="AI162" s="2"/>
      <c r="AJ162" s="2"/>
      <c r="AK162" s="2"/>
      <c r="AL162" s="2"/>
      <c r="AM162" s="2"/>
      <c r="AN162" s="2"/>
      <c r="AO162" s="9"/>
      <c r="AP162" s="9"/>
      <c r="AQ162" s="9"/>
      <c r="AR162" s="9"/>
    </row>
    <row r="163">
      <c r="A163" s="523"/>
      <c r="B163" s="523"/>
      <c r="C163" s="523"/>
      <c r="D163" s="523"/>
      <c r="E163" s="523"/>
      <c r="F163" s="523"/>
      <c r="G163" s="523"/>
      <c r="H163" s="523"/>
      <c r="I163" s="523"/>
      <c r="J163" s="523"/>
      <c r="K163" s="523"/>
      <c r="L163" s="523"/>
      <c r="M163" s="523"/>
      <c r="N163" s="523"/>
      <c r="O163" s="523"/>
      <c r="P163" s="523"/>
      <c r="Q163" s="523"/>
      <c r="R163" s="523"/>
      <c r="S163" s="523"/>
      <c r="T163" s="523"/>
      <c r="U163" s="523"/>
      <c r="V163" s="224"/>
      <c r="W163" s="224"/>
      <c r="X163" s="224"/>
      <c r="Y163" s="224"/>
      <c r="Z163" s="868"/>
      <c r="AA163" s="865"/>
      <c r="AB163" s="2"/>
      <c r="AC163" s="2"/>
      <c r="AD163" s="2"/>
      <c r="AE163" s="2"/>
      <c r="AF163" s="2"/>
      <c r="AG163" s="2"/>
      <c r="AH163" s="2"/>
      <c r="AI163" s="2"/>
      <c r="AJ163" s="2"/>
      <c r="AK163" s="2"/>
      <c r="AL163" s="2"/>
      <c r="AM163" s="2"/>
      <c r="AN163" s="2"/>
      <c r="AO163" s="9"/>
      <c r="AP163" s="9"/>
      <c r="AQ163" s="9"/>
      <c r="AR163" s="9"/>
    </row>
    <row r="164">
      <c r="A164" s="523"/>
      <c r="B164" s="523"/>
      <c r="C164" s="523"/>
      <c r="D164" s="523"/>
      <c r="E164" s="523"/>
      <c r="F164" s="523"/>
      <c r="G164" s="523"/>
      <c r="H164" s="523"/>
      <c r="I164" s="523"/>
      <c r="J164" s="523"/>
      <c r="K164" s="523"/>
      <c r="L164" s="523"/>
      <c r="M164" s="523"/>
      <c r="N164" s="523"/>
      <c r="O164" s="523"/>
      <c r="P164" s="523"/>
      <c r="Q164" s="523"/>
      <c r="R164" s="523"/>
      <c r="S164" s="523"/>
      <c r="T164" s="523"/>
      <c r="U164" s="523"/>
      <c r="V164" s="224"/>
      <c r="W164" s="224"/>
      <c r="X164" s="224"/>
      <c r="Y164" s="224"/>
      <c r="Z164" s="868"/>
      <c r="AA164" s="865"/>
      <c r="AB164" s="2"/>
      <c r="AC164" s="2"/>
      <c r="AD164" s="2"/>
      <c r="AE164" s="2"/>
      <c r="AF164" s="2"/>
      <c r="AG164" s="2"/>
      <c r="AH164" s="2"/>
      <c r="AI164" s="2"/>
      <c r="AJ164" s="2"/>
      <c r="AK164" s="2"/>
      <c r="AL164" s="2"/>
      <c r="AM164" s="2"/>
      <c r="AN164" s="2"/>
      <c r="AO164" s="9"/>
      <c r="AP164" s="9"/>
      <c r="AQ164" s="9"/>
      <c r="AR164" s="9"/>
    </row>
    <row r="165">
      <c r="A165" s="523"/>
      <c r="B165" s="523"/>
      <c r="C165" s="523"/>
      <c r="D165" s="523"/>
      <c r="E165" s="523"/>
      <c r="F165" s="523"/>
      <c r="G165" s="523"/>
      <c r="H165" s="523"/>
      <c r="I165" s="523"/>
      <c r="J165" s="523"/>
      <c r="K165" s="523"/>
      <c r="L165" s="523"/>
      <c r="M165" s="523"/>
      <c r="N165" s="523"/>
      <c r="O165" s="523"/>
      <c r="P165" s="523"/>
      <c r="Q165" s="523"/>
      <c r="R165" s="523"/>
      <c r="S165" s="523"/>
      <c r="T165" s="523"/>
      <c r="U165" s="523"/>
      <c r="V165" s="224"/>
      <c r="W165" s="224"/>
      <c r="X165" s="224"/>
      <c r="Y165" s="224"/>
      <c r="Z165" s="868"/>
      <c r="AA165" s="865"/>
      <c r="AB165" s="2"/>
      <c r="AC165" s="2"/>
      <c r="AD165" s="2"/>
      <c r="AE165" s="2"/>
      <c r="AF165" s="2"/>
      <c r="AG165" s="2"/>
      <c r="AH165" s="2"/>
      <c r="AI165" s="2"/>
      <c r="AJ165" s="2"/>
      <c r="AK165" s="2"/>
      <c r="AL165" s="2"/>
      <c r="AM165" s="2"/>
      <c r="AN165" s="2"/>
      <c r="AO165" s="9"/>
      <c r="AP165" s="9"/>
      <c r="AQ165" s="9"/>
      <c r="AR165" s="9"/>
    </row>
    <row r="166">
      <c r="A166" s="523"/>
      <c r="B166" s="523"/>
      <c r="C166" s="523"/>
      <c r="D166" s="523"/>
      <c r="E166" s="523"/>
      <c r="F166" s="523"/>
      <c r="G166" s="523"/>
      <c r="H166" s="523"/>
      <c r="I166" s="523"/>
      <c r="J166" s="523"/>
      <c r="K166" s="523"/>
      <c r="L166" s="523"/>
      <c r="M166" s="523"/>
      <c r="N166" s="523"/>
      <c r="O166" s="523"/>
      <c r="P166" s="523"/>
      <c r="Q166" s="523"/>
      <c r="R166" s="523"/>
      <c r="S166" s="523"/>
      <c r="T166" s="523"/>
      <c r="U166" s="523"/>
      <c r="V166" s="224"/>
      <c r="W166" s="224"/>
      <c r="X166" s="224"/>
      <c r="Y166" s="224"/>
      <c r="Z166" s="868"/>
      <c r="AA166" s="865"/>
      <c r="AB166" s="2"/>
      <c r="AC166" s="2"/>
      <c r="AD166" s="2"/>
      <c r="AE166" s="2"/>
      <c r="AF166" s="2"/>
      <c r="AG166" s="2"/>
      <c r="AH166" s="2"/>
      <c r="AI166" s="2"/>
      <c r="AJ166" s="2"/>
      <c r="AK166" s="2"/>
      <c r="AL166" s="2"/>
      <c r="AM166" s="2"/>
      <c r="AN166" s="2"/>
      <c r="AO166" s="9"/>
      <c r="AP166" s="9"/>
      <c r="AQ166" s="9"/>
      <c r="AR166" s="9"/>
    </row>
    <row r="167">
      <c r="A167" s="523"/>
      <c r="B167" s="523"/>
      <c r="C167" s="523"/>
      <c r="D167" s="523"/>
      <c r="E167" s="523"/>
      <c r="F167" s="523"/>
      <c r="G167" s="523"/>
      <c r="H167" s="523"/>
      <c r="I167" s="523"/>
      <c r="J167" s="523"/>
      <c r="K167" s="523"/>
      <c r="L167" s="523"/>
      <c r="M167" s="523"/>
      <c r="N167" s="523"/>
      <c r="O167" s="523"/>
      <c r="P167" s="523"/>
      <c r="Q167" s="523"/>
      <c r="R167" s="523"/>
      <c r="S167" s="523"/>
      <c r="T167" s="523"/>
      <c r="U167" s="523"/>
      <c r="V167" s="224"/>
      <c r="W167" s="224"/>
      <c r="X167" s="224"/>
      <c r="Y167" s="224"/>
      <c r="Z167" s="868"/>
      <c r="AA167" s="865"/>
      <c r="AB167" s="2"/>
      <c r="AC167" s="2"/>
      <c r="AD167" s="2"/>
      <c r="AE167" s="2"/>
      <c r="AF167" s="2"/>
      <c r="AG167" s="2"/>
      <c r="AH167" s="2"/>
      <c r="AI167" s="2"/>
      <c r="AJ167" s="2"/>
      <c r="AK167" s="2"/>
      <c r="AL167" s="2"/>
      <c r="AM167" s="2"/>
      <c r="AN167" s="2"/>
      <c r="AO167" s="9"/>
      <c r="AP167" s="9"/>
      <c r="AQ167" s="9"/>
      <c r="AR167" s="9"/>
    </row>
    <row r="168">
      <c r="A168" s="523"/>
      <c r="B168" s="523"/>
      <c r="C168" s="523"/>
      <c r="D168" s="523"/>
      <c r="E168" s="523"/>
      <c r="F168" s="523"/>
      <c r="G168" s="523"/>
      <c r="H168" s="523"/>
      <c r="I168" s="523"/>
      <c r="J168" s="523"/>
      <c r="K168" s="523"/>
      <c r="L168" s="523"/>
      <c r="M168" s="523"/>
      <c r="N168" s="523"/>
      <c r="O168" s="523"/>
      <c r="P168" s="523"/>
      <c r="Q168" s="523"/>
      <c r="R168" s="523"/>
      <c r="S168" s="523"/>
      <c r="T168" s="523"/>
      <c r="U168" s="523"/>
      <c r="V168" s="224"/>
      <c r="W168" s="224"/>
      <c r="X168" s="224"/>
      <c r="Y168" s="224"/>
      <c r="Z168" s="868"/>
      <c r="AA168" s="865"/>
      <c r="AB168" s="2"/>
      <c r="AC168" s="2"/>
      <c r="AD168" s="2"/>
      <c r="AE168" s="2"/>
      <c r="AF168" s="2"/>
      <c r="AG168" s="2"/>
      <c r="AH168" s="2"/>
      <c r="AI168" s="2"/>
      <c r="AJ168" s="2"/>
      <c r="AK168" s="2"/>
      <c r="AL168" s="2"/>
      <c r="AM168" s="2"/>
      <c r="AN168" s="2"/>
      <c r="AO168" s="9"/>
      <c r="AP168" s="9"/>
      <c r="AQ168" s="9"/>
      <c r="AR168" s="9"/>
    </row>
    <row r="169">
      <c r="A169" s="523"/>
      <c r="B169" s="523"/>
      <c r="C169" s="523"/>
      <c r="D169" s="523"/>
      <c r="E169" s="523"/>
      <c r="F169" s="523"/>
      <c r="G169" s="523"/>
      <c r="H169" s="523"/>
      <c r="I169" s="523"/>
      <c r="J169" s="523"/>
      <c r="K169" s="523"/>
      <c r="L169" s="523"/>
      <c r="M169" s="523"/>
      <c r="N169" s="523"/>
      <c r="O169" s="523"/>
      <c r="P169" s="523"/>
      <c r="Q169" s="523"/>
      <c r="R169" s="523"/>
      <c r="S169" s="523"/>
      <c r="T169" s="523"/>
      <c r="U169" s="523"/>
      <c r="V169" s="224"/>
      <c r="W169" s="224"/>
      <c r="X169" s="224"/>
      <c r="Y169" s="224"/>
      <c r="Z169" s="868"/>
      <c r="AA169" s="865"/>
      <c r="AB169" s="2"/>
      <c r="AC169" s="2"/>
      <c r="AD169" s="2"/>
      <c r="AE169" s="2"/>
      <c r="AF169" s="2"/>
      <c r="AG169" s="2"/>
      <c r="AH169" s="2"/>
      <c r="AI169" s="2"/>
      <c r="AJ169" s="2"/>
      <c r="AK169" s="2"/>
      <c r="AL169" s="2"/>
      <c r="AM169" s="2"/>
      <c r="AN169" s="2"/>
      <c r="AO169" s="9"/>
      <c r="AP169" s="9"/>
      <c r="AQ169" s="9"/>
      <c r="AR169" s="9"/>
    </row>
    <row r="170">
      <c r="A170" s="523"/>
      <c r="B170" s="523"/>
      <c r="C170" s="523"/>
      <c r="D170" s="523"/>
      <c r="E170" s="523"/>
      <c r="F170" s="523"/>
      <c r="G170" s="523"/>
      <c r="H170" s="523"/>
      <c r="I170" s="523"/>
      <c r="J170" s="523"/>
      <c r="K170" s="523"/>
      <c r="L170" s="523"/>
      <c r="M170" s="523"/>
      <c r="N170" s="523"/>
      <c r="O170" s="523"/>
      <c r="P170" s="523"/>
      <c r="Q170" s="523"/>
      <c r="R170" s="523"/>
      <c r="S170" s="523"/>
      <c r="T170" s="523"/>
      <c r="U170" s="523"/>
      <c r="V170" s="224"/>
      <c r="W170" s="224"/>
      <c r="X170" s="224"/>
      <c r="Y170" s="224"/>
      <c r="Z170" s="868"/>
      <c r="AA170" s="865"/>
      <c r="AB170" s="2"/>
      <c r="AC170" s="2"/>
      <c r="AD170" s="2"/>
      <c r="AE170" s="2"/>
      <c r="AF170" s="2"/>
      <c r="AG170" s="2"/>
      <c r="AH170" s="2"/>
      <c r="AI170" s="2"/>
      <c r="AJ170" s="2"/>
      <c r="AK170" s="2"/>
      <c r="AL170" s="2"/>
      <c r="AM170" s="2"/>
      <c r="AN170" s="2"/>
      <c r="AO170" s="9"/>
      <c r="AP170" s="9"/>
      <c r="AQ170" s="9"/>
      <c r="AR170" s="9"/>
    </row>
    <row r="171">
      <c r="A171" s="523"/>
      <c r="B171" s="523"/>
      <c r="C171" s="523"/>
      <c r="D171" s="523"/>
      <c r="E171" s="523"/>
      <c r="F171" s="523"/>
      <c r="G171" s="523"/>
      <c r="H171" s="523"/>
      <c r="I171" s="523"/>
      <c r="J171" s="523"/>
      <c r="K171" s="523"/>
      <c r="L171" s="523"/>
      <c r="M171" s="523"/>
      <c r="N171" s="523"/>
      <c r="O171" s="523"/>
      <c r="P171" s="523"/>
      <c r="Q171" s="523"/>
      <c r="R171" s="523"/>
      <c r="S171" s="523"/>
      <c r="T171" s="523"/>
      <c r="U171" s="523"/>
      <c r="V171" s="224"/>
      <c r="W171" s="224"/>
      <c r="X171" s="224"/>
      <c r="Y171" s="224"/>
      <c r="Z171" s="868"/>
      <c r="AA171" s="865"/>
      <c r="AB171" s="2"/>
      <c r="AC171" s="2"/>
      <c r="AD171" s="2"/>
      <c r="AE171" s="2"/>
      <c r="AF171" s="2"/>
      <c r="AG171" s="2"/>
      <c r="AH171" s="2"/>
      <c r="AI171" s="2"/>
      <c r="AJ171" s="2"/>
      <c r="AK171" s="2"/>
      <c r="AL171" s="2"/>
      <c r="AM171" s="2"/>
      <c r="AN171" s="2"/>
      <c r="AO171" s="9"/>
      <c r="AP171" s="9"/>
      <c r="AQ171" s="9"/>
      <c r="AR171" s="9"/>
    </row>
    <row r="172">
      <c r="A172" s="523"/>
      <c r="B172" s="523"/>
      <c r="C172" s="523"/>
      <c r="D172" s="523"/>
      <c r="E172" s="523"/>
      <c r="F172" s="523"/>
      <c r="G172" s="523"/>
      <c r="H172" s="523"/>
      <c r="I172" s="523"/>
      <c r="J172" s="523"/>
      <c r="K172" s="523"/>
      <c r="L172" s="523"/>
      <c r="M172" s="523"/>
      <c r="N172" s="523"/>
      <c r="O172" s="523"/>
      <c r="P172" s="523"/>
      <c r="Q172" s="523"/>
      <c r="R172" s="523"/>
      <c r="S172" s="523"/>
      <c r="T172" s="523"/>
      <c r="U172" s="523"/>
      <c r="V172" s="224"/>
      <c r="W172" s="224"/>
      <c r="X172" s="224"/>
      <c r="Y172" s="224"/>
      <c r="Z172" s="868"/>
      <c r="AA172" s="865"/>
      <c r="AB172" s="2"/>
      <c r="AC172" s="2"/>
      <c r="AD172" s="2"/>
      <c r="AE172" s="2"/>
      <c r="AF172" s="2"/>
      <c r="AG172" s="2"/>
      <c r="AH172" s="2"/>
      <c r="AI172" s="2"/>
      <c r="AJ172" s="2"/>
      <c r="AK172" s="2"/>
      <c r="AL172" s="2"/>
      <c r="AM172" s="2"/>
      <c r="AN172" s="2"/>
      <c r="AO172" s="9"/>
      <c r="AP172" s="9"/>
      <c r="AQ172" s="9"/>
      <c r="AR172" s="9"/>
    </row>
    <row r="173">
      <c r="A173" s="523"/>
      <c r="B173" s="523"/>
      <c r="C173" s="523"/>
      <c r="D173" s="523"/>
      <c r="E173" s="523"/>
      <c r="F173" s="523"/>
      <c r="G173" s="523"/>
      <c r="H173" s="523"/>
      <c r="I173" s="523"/>
      <c r="J173" s="523"/>
      <c r="K173" s="523"/>
      <c r="L173" s="523"/>
      <c r="M173" s="523"/>
      <c r="N173" s="523"/>
      <c r="O173" s="523"/>
      <c r="P173" s="523"/>
      <c r="Q173" s="523"/>
      <c r="R173" s="523"/>
      <c r="S173" s="523"/>
      <c r="T173" s="523"/>
      <c r="U173" s="523"/>
      <c r="V173" s="224"/>
      <c r="W173" s="224"/>
      <c r="X173" s="224"/>
      <c r="Y173" s="224"/>
      <c r="Z173" s="868"/>
      <c r="AA173" s="865"/>
      <c r="AB173" s="2"/>
      <c r="AC173" s="2"/>
      <c r="AD173" s="2"/>
      <c r="AE173" s="2"/>
      <c r="AF173" s="2"/>
      <c r="AG173" s="2"/>
      <c r="AH173" s="2"/>
      <c r="AI173" s="2"/>
      <c r="AJ173" s="2"/>
      <c r="AK173" s="2"/>
      <c r="AL173" s="2"/>
      <c r="AM173" s="2"/>
      <c r="AN173" s="2"/>
      <c r="AO173" s="9"/>
      <c r="AP173" s="9"/>
      <c r="AQ173" s="9"/>
      <c r="AR173" s="9"/>
    </row>
    <row r="174">
      <c r="A174" s="523"/>
      <c r="B174" s="523"/>
      <c r="C174" s="523"/>
      <c r="D174" s="523"/>
      <c r="E174" s="523"/>
      <c r="F174" s="523"/>
      <c r="G174" s="523"/>
      <c r="H174" s="523"/>
      <c r="I174" s="523"/>
      <c r="J174" s="523"/>
      <c r="K174" s="523"/>
      <c r="L174" s="523"/>
      <c r="M174" s="523"/>
      <c r="N174" s="523"/>
      <c r="O174" s="523"/>
      <c r="P174" s="523"/>
      <c r="Q174" s="523"/>
      <c r="R174" s="523"/>
      <c r="S174" s="523"/>
      <c r="T174" s="523"/>
      <c r="U174" s="523"/>
      <c r="V174" s="224"/>
      <c r="W174" s="224"/>
      <c r="X174" s="224"/>
      <c r="Y174" s="224"/>
      <c r="Z174" s="868"/>
      <c r="AA174" s="865"/>
      <c r="AB174" s="2"/>
      <c r="AC174" s="2"/>
      <c r="AD174" s="2"/>
      <c r="AE174" s="2"/>
      <c r="AF174" s="2"/>
      <c r="AG174" s="2"/>
      <c r="AH174" s="2"/>
      <c r="AI174" s="2"/>
      <c r="AJ174" s="2"/>
      <c r="AK174" s="2"/>
      <c r="AL174" s="2"/>
      <c r="AM174" s="2"/>
      <c r="AN174" s="2"/>
      <c r="AO174" s="9"/>
      <c r="AP174" s="9"/>
      <c r="AQ174" s="9"/>
      <c r="AR174" s="9"/>
    </row>
    <row r="175">
      <c r="A175" s="523"/>
      <c r="B175" s="523"/>
      <c r="C175" s="523"/>
      <c r="D175" s="523"/>
      <c r="E175" s="523"/>
      <c r="F175" s="523"/>
      <c r="G175" s="523"/>
      <c r="H175" s="523"/>
      <c r="I175" s="523"/>
      <c r="J175" s="523"/>
      <c r="K175" s="523"/>
      <c r="L175" s="523"/>
      <c r="M175" s="523"/>
      <c r="N175" s="523"/>
      <c r="O175" s="523"/>
      <c r="P175" s="523"/>
      <c r="Q175" s="523"/>
      <c r="R175" s="523"/>
      <c r="S175" s="523"/>
      <c r="T175" s="523"/>
      <c r="U175" s="523"/>
      <c r="V175" s="224"/>
      <c r="W175" s="224"/>
      <c r="X175" s="224"/>
      <c r="Y175" s="224"/>
      <c r="Z175" s="868"/>
      <c r="AA175" s="865"/>
      <c r="AB175" s="2"/>
      <c r="AC175" s="2"/>
      <c r="AD175" s="2"/>
      <c r="AE175" s="2"/>
      <c r="AF175" s="2"/>
      <c r="AG175" s="2"/>
      <c r="AH175" s="2"/>
      <c r="AI175" s="2"/>
      <c r="AJ175" s="2"/>
      <c r="AK175" s="2"/>
      <c r="AL175" s="2"/>
      <c r="AM175" s="2"/>
      <c r="AN175" s="2"/>
      <c r="AO175" s="9"/>
      <c r="AP175" s="9"/>
      <c r="AQ175" s="9"/>
      <c r="AR175" s="9"/>
    </row>
    <row r="176">
      <c r="A176" s="523"/>
      <c r="B176" s="523"/>
      <c r="C176" s="523"/>
      <c r="D176" s="523"/>
      <c r="E176" s="523"/>
      <c r="F176" s="523"/>
      <c r="G176" s="523"/>
      <c r="H176" s="523"/>
      <c r="I176" s="523"/>
      <c r="J176" s="523"/>
      <c r="K176" s="523"/>
      <c r="L176" s="523"/>
      <c r="M176" s="523"/>
      <c r="N176" s="523"/>
      <c r="O176" s="523"/>
      <c r="P176" s="523"/>
      <c r="Q176" s="523"/>
      <c r="R176" s="523"/>
      <c r="S176" s="523"/>
      <c r="T176" s="523"/>
      <c r="U176" s="523"/>
      <c r="V176" s="224"/>
      <c r="W176" s="224"/>
      <c r="X176" s="224"/>
      <c r="Y176" s="224"/>
      <c r="Z176" s="868"/>
      <c r="AA176" s="865"/>
      <c r="AB176" s="2"/>
      <c r="AC176" s="2"/>
      <c r="AD176" s="2"/>
      <c r="AE176" s="2"/>
      <c r="AF176" s="2"/>
      <c r="AG176" s="2"/>
      <c r="AH176" s="2"/>
      <c r="AI176" s="2"/>
      <c r="AJ176" s="2"/>
      <c r="AK176" s="2"/>
      <c r="AL176" s="2"/>
      <c r="AM176" s="2"/>
      <c r="AN176" s="2"/>
      <c r="AO176" s="9"/>
      <c r="AP176" s="9"/>
      <c r="AQ176" s="9"/>
      <c r="AR176" s="9"/>
    </row>
    <row r="177">
      <c r="A177" s="523"/>
      <c r="B177" s="523"/>
      <c r="C177" s="523"/>
      <c r="D177" s="523"/>
      <c r="E177" s="523"/>
      <c r="F177" s="523"/>
      <c r="G177" s="523"/>
      <c r="H177" s="523"/>
      <c r="I177" s="523"/>
      <c r="J177" s="523"/>
      <c r="K177" s="523"/>
      <c r="L177" s="523"/>
      <c r="M177" s="523"/>
      <c r="N177" s="523"/>
      <c r="O177" s="523"/>
      <c r="P177" s="523"/>
      <c r="Q177" s="523"/>
      <c r="R177" s="523"/>
      <c r="S177" s="523"/>
      <c r="T177" s="523"/>
      <c r="U177" s="523"/>
      <c r="V177" s="224"/>
      <c r="W177" s="224"/>
      <c r="X177" s="224"/>
      <c r="Y177" s="224"/>
      <c r="Z177" s="868"/>
      <c r="AA177" s="865"/>
      <c r="AB177" s="2"/>
      <c r="AC177" s="2"/>
      <c r="AD177" s="2"/>
      <c r="AE177" s="2"/>
      <c r="AF177" s="2"/>
      <c r="AG177" s="2"/>
      <c r="AH177" s="2"/>
      <c r="AI177" s="2"/>
      <c r="AJ177" s="2"/>
      <c r="AK177" s="2"/>
      <c r="AL177" s="2"/>
      <c r="AM177" s="2"/>
      <c r="AN177" s="2"/>
      <c r="AO177" s="9"/>
      <c r="AP177" s="9"/>
      <c r="AQ177" s="9"/>
      <c r="AR177" s="9"/>
    </row>
    <row r="178">
      <c r="A178" s="523"/>
      <c r="B178" s="523"/>
      <c r="C178" s="523"/>
      <c r="D178" s="523"/>
      <c r="E178" s="523"/>
      <c r="F178" s="523"/>
      <c r="G178" s="523"/>
      <c r="H178" s="523"/>
      <c r="I178" s="523"/>
      <c r="J178" s="523"/>
      <c r="K178" s="523"/>
      <c r="L178" s="523"/>
      <c r="M178" s="523"/>
      <c r="N178" s="523"/>
      <c r="O178" s="523"/>
      <c r="P178" s="523"/>
      <c r="Q178" s="523"/>
      <c r="R178" s="523"/>
      <c r="S178" s="523"/>
      <c r="T178" s="523"/>
      <c r="U178" s="523"/>
      <c r="V178" s="224"/>
      <c r="W178" s="224"/>
      <c r="X178" s="224"/>
      <c r="Y178" s="224"/>
      <c r="Z178" s="868"/>
      <c r="AA178" s="865"/>
      <c r="AB178" s="2"/>
      <c r="AC178" s="2"/>
      <c r="AD178" s="2"/>
      <c r="AE178" s="2"/>
      <c r="AF178" s="2"/>
      <c r="AG178" s="2"/>
      <c r="AH178" s="2"/>
      <c r="AI178" s="2"/>
      <c r="AJ178" s="2"/>
      <c r="AK178" s="2"/>
      <c r="AL178" s="2"/>
      <c r="AM178" s="2"/>
      <c r="AN178" s="2"/>
      <c r="AO178" s="9"/>
      <c r="AP178" s="9"/>
      <c r="AQ178" s="9"/>
      <c r="AR178" s="9"/>
    </row>
    <row r="179">
      <c r="A179" s="523"/>
      <c r="B179" s="523"/>
      <c r="C179" s="523"/>
      <c r="D179" s="523"/>
      <c r="E179" s="523"/>
      <c r="F179" s="523"/>
      <c r="G179" s="523"/>
      <c r="H179" s="523"/>
      <c r="I179" s="523"/>
      <c r="J179" s="523"/>
      <c r="K179" s="523"/>
      <c r="L179" s="523"/>
      <c r="M179" s="523"/>
      <c r="N179" s="523"/>
      <c r="O179" s="523"/>
      <c r="P179" s="523"/>
      <c r="Q179" s="523"/>
      <c r="R179" s="523"/>
      <c r="S179" s="523"/>
      <c r="T179" s="523"/>
      <c r="U179" s="523"/>
      <c r="V179" s="224"/>
      <c r="W179" s="224"/>
      <c r="X179" s="224"/>
      <c r="Y179" s="224"/>
      <c r="Z179" s="868"/>
      <c r="AA179" s="865"/>
      <c r="AB179" s="2"/>
      <c r="AC179" s="2"/>
      <c r="AD179" s="2"/>
      <c r="AE179" s="2"/>
      <c r="AF179" s="2"/>
      <c r="AG179" s="2"/>
      <c r="AH179" s="2"/>
      <c r="AI179" s="2"/>
      <c r="AJ179" s="2"/>
      <c r="AK179" s="2"/>
      <c r="AL179" s="2"/>
      <c r="AM179" s="2"/>
      <c r="AN179" s="2"/>
      <c r="AO179" s="9"/>
      <c r="AP179" s="9"/>
      <c r="AQ179" s="9"/>
      <c r="AR179" s="9"/>
    </row>
    <row r="180">
      <c r="A180" s="523"/>
      <c r="B180" s="523"/>
      <c r="C180" s="523"/>
      <c r="D180" s="523"/>
      <c r="E180" s="523"/>
      <c r="F180" s="523"/>
      <c r="G180" s="523"/>
      <c r="H180" s="523"/>
      <c r="I180" s="523"/>
      <c r="J180" s="523"/>
      <c r="K180" s="523"/>
      <c r="L180" s="523"/>
      <c r="M180" s="523"/>
      <c r="N180" s="523"/>
      <c r="O180" s="523"/>
      <c r="P180" s="523"/>
      <c r="Q180" s="523"/>
      <c r="R180" s="523"/>
      <c r="S180" s="523"/>
      <c r="T180" s="523"/>
      <c r="U180" s="523"/>
      <c r="V180" s="224"/>
      <c r="W180" s="224"/>
      <c r="X180" s="224"/>
      <c r="Y180" s="224"/>
      <c r="Z180" s="868"/>
      <c r="AA180" s="865"/>
      <c r="AB180" s="2"/>
      <c r="AC180" s="2"/>
      <c r="AD180" s="2"/>
      <c r="AE180" s="2"/>
      <c r="AF180" s="2"/>
      <c r="AG180" s="2"/>
      <c r="AH180" s="2"/>
      <c r="AI180" s="2"/>
      <c r="AJ180" s="2"/>
      <c r="AK180" s="2"/>
      <c r="AL180" s="2"/>
      <c r="AM180" s="2"/>
      <c r="AN180" s="2"/>
      <c r="AO180" s="9"/>
      <c r="AP180" s="9"/>
      <c r="AQ180" s="9"/>
      <c r="AR180" s="9"/>
    </row>
    <row r="181">
      <c r="A181" s="523"/>
      <c r="B181" s="523"/>
      <c r="C181" s="523"/>
      <c r="D181" s="523"/>
      <c r="E181" s="523"/>
      <c r="F181" s="523"/>
      <c r="G181" s="523"/>
      <c r="H181" s="523"/>
      <c r="I181" s="523"/>
      <c r="J181" s="523"/>
      <c r="K181" s="523"/>
      <c r="L181" s="523"/>
      <c r="M181" s="523"/>
      <c r="N181" s="523"/>
      <c r="O181" s="523"/>
      <c r="P181" s="523"/>
      <c r="Q181" s="523"/>
      <c r="R181" s="523"/>
      <c r="S181" s="523"/>
      <c r="T181" s="523"/>
      <c r="U181" s="523"/>
      <c r="V181" s="224"/>
      <c r="W181" s="224"/>
      <c r="X181" s="224"/>
      <c r="Y181" s="224"/>
      <c r="Z181" s="868"/>
      <c r="AA181" s="865"/>
      <c r="AB181" s="2"/>
      <c r="AC181" s="2"/>
      <c r="AD181" s="2"/>
      <c r="AE181" s="2"/>
      <c r="AF181" s="2"/>
      <c r="AG181" s="2"/>
      <c r="AH181" s="2"/>
      <c r="AI181" s="2"/>
      <c r="AJ181" s="2"/>
      <c r="AK181" s="2"/>
      <c r="AL181" s="2"/>
      <c r="AM181" s="2"/>
      <c r="AN181" s="2"/>
      <c r="AO181" s="9"/>
      <c r="AP181" s="9"/>
      <c r="AQ181" s="9"/>
      <c r="AR181" s="9"/>
    </row>
    <row r="182">
      <c r="A182" s="523"/>
      <c r="B182" s="523"/>
      <c r="C182" s="523"/>
      <c r="D182" s="523"/>
      <c r="E182" s="523"/>
      <c r="F182" s="523"/>
      <c r="G182" s="523"/>
      <c r="H182" s="523"/>
      <c r="I182" s="523"/>
      <c r="J182" s="523"/>
      <c r="K182" s="523"/>
      <c r="L182" s="523"/>
      <c r="M182" s="523"/>
      <c r="N182" s="523"/>
      <c r="O182" s="523"/>
      <c r="P182" s="523"/>
      <c r="Q182" s="523"/>
      <c r="R182" s="523"/>
      <c r="S182" s="523"/>
      <c r="T182" s="523"/>
      <c r="U182" s="523"/>
      <c r="V182" s="224"/>
      <c r="W182" s="224"/>
      <c r="X182" s="224"/>
      <c r="Y182" s="224"/>
      <c r="Z182" s="868"/>
      <c r="AA182" s="865"/>
      <c r="AB182" s="2"/>
      <c r="AC182" s="2"/>
      <c r="AD182" s="2"/>
      <c r="AE182" s="2"/>
      <c r="AF182" s="2"/>
      <c r="AG182" s="2"/>
      <c r="AH182" s="2"/>
      <c r="AI182" s="2"/>
      <c r="AJ182" s="2"/>
      <c r="AK182" s="2"/>
      <c r="AL182" s="2"/>
      <c r="AM182" s="2"/>
      <c r="AN182" s="2"/>
      <c r="AO182" s="9"/>
      <c r="AP182" s="9"/>
      <c r="AQ182" s="9"/>
      <c r="AR182" s="9"/>
    </row>
    <row r="183">
      <c r="A183" s="523"/>
      <c r="B183" s="523"/>
      <c r="C183" s="523"/>
      <c r="D183" s="523"/>
      <c r="E183" s="523"/>
      <c r="F183" s="523"/>
      <c r="G183" s="523"/>
      <c r="H183" s="523"/>
      <c r="I183" s="523"/>
      <c r="J183" s="523"/>
      <c r="K183" s="523"/>
      <c r="L183" s="523"/>
      <c r="M183" s="523"/>
      <c r="N183" s="523"/>
      <c r="O183" s="523"/>
      <c r="P183" s="523"/>
      <c r="Q183" s="523"/>
      <c r="R183" s="523"/>
      <c r="S183" s="523"/>
      <c r="T183" s="523"/>
      <c r="U183" s="523"/>
      <c r="V183" s="224"/>
      <c r="W183" s="224"/>
      <c r="X183" s="224"/>
      <c r="Y183" s="224"/>
      <c r="Z183" s="868"/>
      <c r="AA183" s="865"/>
      <c r="AB183" s="2"/>
      <c r="AC183" s="2"/>
      <c r="AD183" s="2"/>
      <c r="AE183" s="2"/>
      <c r="AF183" s="2"/>
      <c r="AG183" s="2"/>
      <c r="AH183" s="2"/>
      <c r="AI183" s="2"/>
      <c r="AJ183" s="2"/>
      <c r="AK183" s="2"/>
      <c r="AL183" s="2"/>
      <c r="AM183" s="2"/>
      <c r="AN183" s="2"/>
      <c r="AO183" s="9"/>
      <c r="AP183" s="9"/>
      <c r="AQ183" s="9"/>
      <c r="AR183" s="9"/>
    </row>
    <row r="184">
      <c r="A184" s="523"/>
      <c r="B184" s="523"/>
      <c r="C184" s="523"/>
      <c r="D184" s="523"/>
      <c r="E184" s="523"/>
      <c r="F184" s="523"/>
      <c r="G184" s="523"/>
      <c r="H184" s="523"/>
      <c r="I184" s="523"/>
      <c r="J184" s="523"/>
      <c r="K184" s="523"/>
      <c r="L184" s="523"/>
      <c r="M184" s="523"/>
      <c r="N184" s="523"/>
      <c r="O184" s="523"/>
      <c r="P184" s="523"/>
      <c r="Q184" s="523"/>
      <c r="R184" s="523"/>
      <c r="S184" s="523"/>
      <c r="T184" s="523"/>
      <c r="U184" s="523"/>
      <c r="V184" s="224"/>
      <c r="W184" s="224"/>
      <c r="X184" s="224"/>
      <c r="Y184" s="224"/>
      <c r="Z184" s="868"/>
      <c r="AA184" s="865"/>
      <c r="AB184" s="2"/>
      <c r="AC184" s="2"/>
      <c r="AD184" s="2"/>
      <c r="AE184" s="2"/>
      <c r="AF184" s="2"/>
      <c r="AG184" s="2"/>
      <c r="AH184" s="2"/>
      <c r="AI184" s="2"/>
      <c r="AJ184" s="2"/>
      <c r="AK184" s="2"/>
      <c r="AL184" s="2"/>
      <c r="AM184" s="2"/>
      <c r="AN184" s="2"/>
      <c r="AO184" s="9"/>
      <c r="AP184" s="9"/>
      <c r="AQ184" s="9"/>
      <c r="AR184" s="9"/>
    </row>
    <row r="185">
      <c r="A185" s="523"/>
      <c r="B185" s="523"/>
      <c r="C185" s="523"/>
      <c r="D185" s="523"/>
      <c r="E185" s="523"/>
      <c r="F185" s="523"/>
      <c r="G185" s="523"/>
      <c r="H185" s="523"/>
      <c r="I185" s="523"/>
      <c r="J185" s="523"/>
      <c r="K185" s="523"/>
      <c r="L185" s="523"/>
      <c r="M185" s="523"/>
      <c r="N185" s="523"/>
      <c r="O185" s="523"/>
      <c r="P185" s="523"/>
      <c r="Q185" s="523"/>
      <c r="R185" s="523"/>
      <c r="S185" s="523"/>
      <c r="T185" s="523"/>
      <c r="U185" s="523"/>
      <c r="V185" s="224"/>
      <c r="W185" s="224"/>
      <c r="X185" s="224"/>
      <c r="Y185" s="224"/>
      <c r="Z185" s="868"/>
      <c r="AA185" s="865"/>
      <c r="AB185" s="2"/>
      <c r="AC185" s="2"/>
      <c r="AD185" s="2"/>
      <c r="AE185" s="2"/>
      <c r="AF185" s="2"/>
      <c r="AG185" s="2"/>
      <c r="AH185" s="2"/>
      <c r="AI185" s="2"/>
      <c r="AJ185" s="2"/>
      <c r="AK185" s="2"/>
      <c r="AL185" s="2"/>
      <c r="AM185" s="2"/>
      <c r="AN185" s="2"/>
      <c r="AO185" s="9"/>
      <c r="AP185" s="9"/>
      <c r="AQ185" s="9"/>
      <c r="AR185" s="9"/>
    </row>
    <row r="186">
      <c r="A186" s="523"/>
      <c r="B186" s="523"/>
      <c r="C186" s="523"/>
      <c r="D186" s="523"/>
      <c r="E186" s="523"/>
      <c r="F186" s="523"/>
      <c r="G186" s="523"/>
      <c r="H186" s="523"/>
      <c r="I186" s="523"/>
      <c r="J186" s="523"/>
      <c r="K186" s="523"/>
      <c r="L186" s="523"/>
      <c r="M186" s="523"/>
      <c r="N186" s="523"/>
      <c r="O186" s="523"/>
      <c r="P186" s="523"/>
      <c r="Q186" s="523"/>
      <c r="R186" s="523"/>
      <c r="S186" s="523"/>
      <c r="T186" s="523"/>
      <c r="U186" s="523"/>
      <c r="V186" s="224"/>
      <c r="W186" s="224"/>
      <c r="X186" s="224"/>
      <c r="Y186" s="224"/>
      <c r="Z186" s="868"/>
      <c r="AA186" s="865"/>
      <c r="AB186" s="2"/>
      <c r="AC186" s="2"/>
      <c r="AD186" s="2"/>
      <c r="AE186" s="2"/>
      <c r="AF186" s="2"/>
      <c r="AG186" s="2"/>
      <c r="AH186" s="2"/>
      <c r="AI186" s="2"/>
      <c r="AJ186" s="2"/>
      <c r="AK186" s="2"/>
      <c r="AL186" s="2"/>
      <c r="AM186" s="2"/>
      <c r="AN186" s="2"/>
      <c r="AO186" s="9"/>
      <c r="AP186" s="9"/>
      <c r="AQ186" s="9"/>
      <c r="AR186" s="9"/>
    </row>
    <row r="187">
      <c r="A187" s="523"/>
      <c r="B187" s="523"/>
      <c r="C187" s="523"/>
      <c r="D187" s="523"/>
      <c r="E187" s="523"/>
      <c r="F187" s="523"/>
      <c r="G187" s="523"/>
      <c r="H187" s="523"/>
      <c r="I187" s="523"/>
      <c r="J187" s="523"/>
      <c r="K187" s="523"/>
      <c r="L187" s="523"/>
      <c r="M187" s="523"/>
      <c r="N187" s="523"/>
      <c r="O187" s="523"/>
      <c r="P187" s="523"/>
      <c r="Q187" s="523"/>
      <c r="R187" s="523"/>
      <c r="S187" s="523"/>
      <c r="T187" s="523"/>
      <c r="U187" s="523"/>
      <c r="V187" s="224"/>
      <c r="W187" s="224"/>
      <c r="X187" s="224"/>
      <c r="Y187" s="224"/>
      <c r="Z187" s="868"/>
      <c r="AA187" s="865"/>
      <c r="AB187" s="2"/>
      <c r="AC187" s="2"/>
      <c r="AD187" s="2"/>
      <c r="AE187" s="2"/>
      <c r="AF187" s="2"/>
      <c r="AG187" s="2"/>
      <c r="AH187" s="2"/>
      <c r="AI187" s="2"/>
      <c r="AJ187" s="2"/>
      <c r="AK187" s="2"/>
      <c r="AL187" s="2"/>
      <c r="AM187" s="2"/>
      <c r="AN187" s="2"/>
      <c r="AO187" s="9"/>
      <c r="AP187" s="9"/>
      <c r="AQ187" s="9"/>
      <c r="AR187" s="9"/>
    </row>
    <row r="188">
      <c r="A188" s="523"/>
      <c r="B188" s="523"/>
      <c r="C188" s="523"/>
      <c r="D188" s="523"/>
      <c r="E188" s="523"/>
      <c r="F188" s="523"/>
      <c r="G188" s="523"/>
      <c r="H188" s="523"/>
      <c r="I188" s="523"/>
      <c r="J188" s="523"/>
      <c r="K188" s="523"/>
      <c r="L188" s="523"/>
      <c r="M188" s="523"/>
      <c r="N188" s="523"/>
      <c r="O188" s="523"/>
      <c r="P188" s="523"/>
      <c r="Q188" s="523"/>
      <c r="R188" s="523"/>
      <c r="S188" s="523"/>
      <c r="T188" s="523"/>
      <c r="U188" s="523"/>
      <c r="V188" s="224"/>
      <c r="W188" s="224"/>
      <c r="X188" s="224"/>
      <c r="Y188" s="224"/>
      <c r="Z188" s="868"/>
      <c r="AA188" s="865"/>
      <c r="AB188" s="2"/>
      <c r="AC188" s="2"/>
      <c r="AD188" s="2"/>
      <c r="AE188" s="2"/>
      <c r="AF188" s="2"/>
      <c r="AG188" s="2"/>
      <c r="AH188" s="2"/>
      <c r="AI188" s="2"/>
      <c r="AJ188" s="2"/>
      <c r="AK188" s="2"/>
      <c r="AL188" s="2"/>
      <c r="AM188" s="2"/>
      <c r="AN188" s="2"/>
      <c r="AO188" s="9"/>
      <c r="AP188" s="9"/>
      <c r="AQ188" s="9"/>
      <c r="AR188" s="9"/>
    </row>
    <row r="189">
      <c r="A189" s="523"/>
      <c r="B189" s="523"/>
      <c r="C189" s="523"/>
      <c r="D189" s="523"/>
      <c r="E189" s="523"/>
      <c r="F189" s="523"/>
      <c r="G189" s="523"/>
      <c r="H189" s="523"/>
      <c r="I189" s="523"/>
      <c r="J189" s="523"/>
      <c r="K189" s="523"/>
      <c r="L189" s="523"/>
      <c r="M189" s="523"/>
      <c r="N189" s="523"/>
      <c r="O189" s="523"/>
      <c r="P189" s="523"/>
      <c r="Q189" s="523"/>
      <c r="R189" s="523"/>
      <c r="S189" s="523"/>
      <c r="T189" s="523"/>
      <c r="U189" s="523"/>
      <c r="V189" s="224"/>
      <c r="W189" s="224"/>
      <c r="X189" s="224"/>
      <c r="Y189" s="224"/>
      <c r="Z189" s="868"/>
      <c r="AA189" s="865"/>
      <c r="AB189" s="2"/>
      <c r="AC189" s="2"/>
      <c r="AD189" s="2"/>
      <c r="AE189" s="2"/>
      <c r="AF189" s="2"/>
      <c r="AG189" s="2"/>
      <c r="AH189" s="2"/>
      <c r="AI189" s="2"/>
      <c r="AJ189" s="2"/>
      <c r="AK189" s="2"/>
      <c r="AL189" s="2"/>
      <c r="AM189" s="2"/>
      <c r="AN189" s="2"/>
      <c r="AO189" s="9"/>
      <c r="AP189" s="9"/>
      <c r="AQ189" s="9"/>
      <c r="AR189" s="9"/>
    </row>
    <row r="190">
      <c r="A190" s="523"/>
      <c r="B190" s="523"/>
      <c r="C190" s="523"/>
      <c r="D190" s="523"/>
      <c r="E190" s="523"/>
      <c r="F190" s="523"/>
      <c r="G190" s="523"/>
      <c r="H190" s="523"/>
      <c r="I190" s="523"/>
      <c r="J190" s="523"/>
      <c r="K190" s="523"/>
      <c r="L190" s="523"/>
      <c r="M190" s="523"/>
      <c r="N190" s="523"/>
      <c r="O190" s="523"/>
      <c r="P190" s="523"/>
      <c r="Q190" s="523"/>
      <c r="R190" s="523"/>
      <c r="S190" s="523"/>
      <c r="T190" s="523"/>
      <c r="U190" s="523"/>
      <c r="V190" s="224"/>
      <c r="W190" s="224"/>
      <c r="X190" s="224"/>
      <c r="Y190" s="224"/>
      <c r="Z190" s="868"/>
      <c r="AA190" s="865"/>
      <c r="AB190" s="2"/>
      <c r="AC190" s="2"/>
      <c r="AD190" s="2"/>
      <c r="AE190" s="2"/>
      <c r="AF190" s="2"/>
      <c r="AG190" s="2"/>
      <c r="AH190" s="2"/>
      <c r="AI190" s="2"/>
      <c r="AJ190" s="2"/>
      <c r="AK190" s="2"/>
      <c r="AL190" s="2"/>
      <c r="AM190" s="2"/>
      <c r="AN190" s="2"/>
      <c r="AO190" s="9"/>
      <c r="AP190" s="9"/>
      <c r="AQ190" s="9"/>
      <c r="AR190" s="9"/>
    </row>
    <row r="191">
      <c r="A191" s="523"/>
      <c r="B191" s="523"/>
      <c r="C191" s="523"/>
      <c r="D191" s="523"/>
      <c r="E191" s="523"/>
      <c r="F191" s="523"/>
      <c r="G191" s="523"/>
      <c r="H191" s="523"/>
      <c r="I191" s="523"/>
      <c r="J191" s="523"/>
      <c r="K191" s="523"/>
      <c r="L191" s="523"/>
      <c r="M191" s="523"/>
      <c r="N191" s="523"/>
      <c r="O191" s="523"/>
      <c r="P191" s="523"/>
      <c r="Q191" s="523"/>
      <c r="R191" s="523"/>
      <c r="S191" s="523"/>
      <c r="T191" s="523"/>
      <c r="U191" s="523"/>
      <c r="V191" s="224"/>
      <c r="W191" s="224"/>
      <c r="X191" s="224"/>
      <c r="Y191" s="224"/>
      <c r="Z191" s="868"/>
      <c r="AA191" s="865"/>
      <c r="AB191" s="2"/>
      <c r="AC191" s="2"/>
      <c r="AD191" s="2"/>
      <c r="AE191" s="2"/>
      <c r="AF191" s="2"/>
      <c r="AG191" s="2"/>
      <c r="AH191" s="2"/>
      <c r="AI191" s="2"/>
      <c r="AJ191" s="2"/>
      <c r="AK191" s="2"/>
      <c r="AL191" s="2"/>
      <c r="AM191" s="2"/>
      <c r="AN191" s="2"/>
      <c r="AO191" s="9"/>
      <c r="AP191" s="9"/>
      <c r="AQ191" s="9"/>
      <c r="AR191" s="9"/>
    </row>
    <row r="192">
      <c r="A192" s="523"/>
      <c r="B192" s="523"/>
      <c r="C192" s="523"/>
      <c r="D192" s="523"/>
      <c r="E192" s="523"/>
      <c r="F192" s="523"/>
      <c r="G192" s="523"/>
      <c r="H192" s="523"/>
      <c r="I192" s="523"/>
      <c r="J192" s="523"/>
      <c r="K192" s="523"/>
      <c r="L192" s="523"/>
      <c r="M192" s="523"/>
      <c r="N192" s="523"/>
      <c r="O192" s="523"/>
      <c r="P192" s="523"/>
      <c r="Q192" s="523"/>
      <c r="R192" s="523"/>
      <c r="S192" s="523"/>
      <c r="T192" s="523"/>
      <c r="U192" s="523"/>
      <c r="V192" s="224"/>
      <c r="W192" s="224"/>
      <c r="X192" s="224"/>
      <c r="Y192" s="224"/>
      <c r="Z192" s="868"/>
      <c r="AA192" s="865"/>
      <c r="AB192" s="2"/>
      <c r="AC192" s="2"/>
      <c r="AD192" s="2"/>
      <c r="AE192" s="2"/>
      <c r="AF192" s="2"/>
      <c r="AG192" s="2"/>
      <c r="AH192" s="2"/>
      <c r="AI192" s="2"/>
      <c r="AJ192" s="2"/>
      <c r="AK192" s="2"/>
      <c r="AL192" s="2"/>
      <c r="AM192" s="2"/>
      <c r="AN192" s="2"/>
      <c r="AO192" s="9"/>
      <c r="AP192" s="9"/>
      <c r="AQ192" s="9"/>
      <c r="AR192" s="9"/>
    </row>
    <row r="193">
      <c r="A193" s="523"/>
      <c r="B193" s="523"/>
      <c r="C193" s="523"/>
      <c r="D193" s="523"/>
      <c r="E193" s="523"/>
      <c r="F193" s="523"/>
      <c r="G193" s="523"/>
      <c r="H193" s="523"/>
      <c r="I193" s="523"/>
      <c r="J193" s="523"/>
      <c r="K193" s="523"/>
      <c r="L193" s="523"/>
      <c r="M193" s="523"/>
      <c r="N193" s="523"/>
      <c r="O193" s="523"/>
      <c r="P193" s="523"/>
      <c r="Q193" s="523"/>
      <c r="R193" s="523"/>
      <c r="S193" s="523"/>
      <c r="T193" s="523"/>
      <c r="U193" s="523"/>
      <c r="V193" s="224"/>
      <c r="W193" s="224"/>
      <c r="X193" s="224"/>
      <c r="Y193" s="224"/>
      <c r="Z193" s="868"/>
      <c r="AA193" s="865"/>
      <c r="AB193" s="2"/>
      <c r="AC193" s="2"/>
      <c r="AD193" s="2"/>
      <c r="AE193" s="2"/>
      <c r="AF193" s="2"/>
      <c r="AG193" s="2"/>
      <c r="AH193" s="2"/>
      <c r="AI193" s="2"/>
      <c r="AJ193" s="2"/>
      <c r="AK193" s="2"/>
      <c r="AL193" s="2"/>
      <c r="AM193" s="2"/>
      <c r="AN193" s="2"/>
      <c r="AO193" s="9"/>
      <c r="AP193" s="9"/>
      <c r="AQ193" s="9"/>
      <c r="AR193" s="9"/>
    </row>
    <row r="194">
      <c r="A194" s="523"/>
      <c r="B194" s="523"/>
      <c r="C194" s="523"/>
      <c r="D194" s="523"/>
      <c r="E194" s="523"/>
      <c r="F194" s="523"/>
      <c r="G194" s="523"/>
      <c r="H194" s="523"/>
      <c r="I194" s="523"/>
      <c r="J194" s="523"/>
      <c r="K194" s="523"/>
      <c r="L194" s="523"/>
      <c r="M194" s="523"/>
      <c r="N194" s="523"/>
      <c r="O194" s="523"/>
      <c r="P194" s="523"/>
      <c r="Q194" s="523"/>
      <c r="R194" s="523"/>
      <c r="S194" s="523"/>
      <c r="T194" s="523"/>
      <c r="U194" s="523"/>
      <c r="V194" s="224"/>
      <c r="W194" s="224"/>
      <c r="X194" s="224"/>
      <c r="Y194" s="224"/>
      <c r="Z194" s="868"/>
      <c r="AA194" s="865"/>
      <c r="AB194" s="2"/>
      <c r="AC194" s="2"/>
      <c r="AD194" s="2"/>
      <c r="AE194" s="2"/>
      <c r="AF194" s="2"/>
      <c r="AG194" s="2"/>
      <c r="AH194" s="2"/>
      <c r="AI194" s="2"/>
      <c r="AJ194" s="2"/>
      <c r="AK194" s="2"/>
      <c r="AL194" s="2"/>
      <c r="AM194" s="2"/>
      <c r="AN194" s="2"/>
      <c r="AO194" s="9"/>
      <c r="AP194" s="9"/>
      <c r="AQ194" s="9"/>
      <c r="AR194" s="9"/>
    </row>
    <row r="195">
      <c r="A195" s="523"/>
      <c r="B195" s="523"/>
      <c r="C195" s="523"/>
      <c r="D195" s="523"/>
      <c r="E195" s="523"/>
      <c r="F195" s="523"/>
      <c r="G195" s="523"/>
      <c r="H195" s="523"/>
      <c r="I195" s="523"/>
      <c r="J195" s="523"/>
      <c r="K195" s="523"/>
      <c r="L195" s="523"/>
      <c r="M195" s="523"/>
      <c r="N195" s="523"/>
      <c r="O195" s="523"/>
      <c r="P195" s="523"/>
      <c r="Q195" s="523"/>
      <c r="R195" s="523"/>
      <c r="S195" s="523"/>
      <c r="T195" s="523"/>
      <c r="U195" s="523"/>
      <c r="V195" s="224"/>
      <c r="W195" s="224"/>
      <c r="X195" s="224"/>
      <c r="Y195" s="224"/>
      <c r="Z195" s="868"/>
      <c r="AA195" s="865"/>
      <c r="AB195" s="2"/>
      <c r="AC195" s="2"/>
      <c r="AD195" s="2"/>
      <c r="AE195" s="2"/>
      <c r="AF195" s="2"/>
      <c r="AG195" s="2"/>
      <c r="AH195" s="2"/>
      <c r="AI195" s="2"/>
      <c r="AJ195" s="2"/>
      <c r="AK195" s="2"/>
      <c r="AL195" s="2"/>
      <c r="AM195" s="2"/>
      <c r="AN195" s="2"/>
      <c r="AO195" s="9"/>
      <c r="AP195" s="9"/>
      <c r="AQ195" s="9"/>
      <c r="AR195" s="9"/>
    </row>
    <row r="196">
      <c r="A196" s="523"/>
      <c r="B196" s="523"/>
      <c r="C196" s="523"/>
      <c r="D196" s="523"/>
      <c r="E196" s="523"/>
      <c r="F196" s="523"/>
      <c r="G196" s="523"/>
      <c r="H196" s="523"/>
      <c r="I196" s="523"/>
      <c r="J196" s="523"/>
      <c r="K196" s="523"/>
      <c r="L196" s="523"/>
      <c r="M196" s="523"/>
      <c r="N196" s="523"/>
      <c r="O196" s="523"/>
      <c r="P196" s="523"/>
      <c r="Q196" s="523"/>
      <c r="R196" s="523"/>
      <c r="S196" s="523"/>
      <c r="T196" s="523"/>
      <c r="U196" s="523"/>
      <c r="V196" s="224"/>
      <c r="W196" s="224"/>
      <c r="X196" s="224"/>
      <c r="Y196" s="224"/>
      <c r="Z196" s="868"/>
      <c r="AA196" s="865"/>
      <c r="AB196" s="2"/>
      <c r="AC196" s="2"/>
      <c r="AD196" s="2"/>
      <c r="AE196" s="2"/>
      <c r="AF196" s="2"/>
      <c r="AG196" s="2"/>
      <c r="AH196" s="2"/>
      <c r="AI196" s="2"/>
      <c r="AJ196" s="2"/>
      <c r="AK196" s="2"/>
      <c r="AL196" s="2"/>
      <c r="AM196" s="2"/>
      <c r="AN196" s="2"/>
      <c r="AO196" s="9"/>
      <c r="AP196" s="9"/>
      <c r="AQ196" s="9"/>
      <c r="AR196" s="9"/>
    </row>
    <row r="197">
      <c r="A197" s="523"/>
      <c r="B197" s="523"/>
      <c r="C197" s="523"/>
      <c r="D197" s="523"/>
      <c r="E197" s="523"/>
      <c r="F197" s="523"/>
      <c r="G197" s="523"/>
      <c r="H197" s="523"/>
      <c r="I197" s="523"/>
      <c r="J197" s="523"/>
      <c r="K197" s="523"/>
      <c r="L197" s="523"/>
      <c r="M197" s="523"/>
      <c r="N197" s="523"/>
      <c r="O197" s="523"/>
      <c r="P197" s="523"/>
      <c r="Q197" s="523"/>
      <c r="R197" s="523"/>
      <c r="S197" s="523"/>
      <c r="T197" s="523"/>
      <c r="U197" s="523"/>
      <c r="V197" s="224"/>
      <c r="W197" s="224"/>
      <c r="X197" s="224"/>
      <c r="Y197" s="224"/>
      <c r="Z197" s="868"/>
      <c r="AA197" s="865"/>
      <c r="AB197" s="2"/>
      <c r="AC197" s="2"/>
      <c r="AD197" s="2"/>
      <c r="AE197" s="2"/>
      <c r="AF197" s="2"/>
      <c r="AG197" s="2"/>
      <c r="AH197" s="2"/>
      <c r="AI197" s="2"/>
      <c r="AJ197" s="2"/>
      <c r="AK197" s="2"/>
      <c r="AL197" s="2"/>
      <c r="AM197" s="2"/>
      <c r="AN197" s="2"/>
      <c r="AO197" s="9"/>
      <c r="AP197" s="9"/>
      <c r="AQ197" s="9"/>
      <c r="AR197" s="9"/>
    </row>
    <row r="198">
      <c r="A198" s="523"/>
      <c r="B198" s="523"/>
      <c r="C198" s="523"/>
      <c r="D198" s="523"/>
      <c r="E198" s="523"/>
      <c r="F198" s="523"/>
      <c r="G198" s="523"/>
      <c r="H198" s="523"/>
      <c r="I198" s="523"/>
      <c r="J198" s="523"/>
      <c r="K198" s="523"/>
      <c r="L198" s="523"/>
      <c r="M198" s="523"/>
      <c r="N198" s="523"/>
      <c r="O198" s="523"/>
      <c r="P198" s="523"/>
      <c r="Q198" s="523"/>
      <c r="R198" s="523"/>
      <c r="S198" s="523"/>
      <c r="T198" s="523"/>
      <c r="U198" s="523"/>
      <c r="V198" s="224"/>
      <c r="W198" s="224"/>
      <c r="X198" s="224"/>
      <c r="Y198" s="224"/>
      <c r="Z198" s="868"/>
      <c r="AA198" s="865"/>
      <c r="AB198" s="2"/>
      <c r="AC198" s="2"/>
      <c r="AD198" s="2"/>
      <c r="AE198" s="2"/>
      <c r="AF198" s="2"/>
      <c r="AG198" s="2"/>
      <c r="AH198" s="2"/>
      <c r="AI198" s="2"/>
      <c r="AJ198" s="2"/>
      <c r="AK198" s="2"/>
      <c r="AL198" s="2"/>
      <c r="AM198" s="2"/>
      <c r="AN198" s="2"/>
      <c r="AO198" s="9"/>
      <c r="AP198" s="9"/>
      <c r="AQ198" s="9"/>
      <c r="AR198" s="9"/>
    </row>
    <row r="199">
      <c r="A199" s="523"/>
      <c r="B199" s="523"/>
      <c r="C199" s="523"/>
      <c r="D199" s="523"/>
      <c r="E199" s="523"/>
      <c r="F199" s="523"/>
      <c r="G199" s="523"/>
      <c r="H199" s="523"/>
      <c r="I199" s="523"/>
      <c r="J199" s="523"/>
      <c r="K199" s="523"/>
      <c r="L199" s="523"/>
      <c r="M199" s="523"/>
      <c r="N199" s="523"/>
      <c r="O199" s="523"/>
      <c r="P199" s="523"/>
      <c r="Q199" s="523"/>
      <c r="R199" s="523"/>
      <c r="S199" s="523"/>
      <c r="T199" s="523"/>
      <c r="U199" s="523"/>
      <c r="V199" s="224"/>
      <c r="W199" s="224"/>
      <c r="X199" s="224"/>
      <c r="Y199" s="224"/>
      <c r="Z199" s="868"/>
      <c r="AA199" s="865"/>
      <c r="AB199" s="2"/>
      <c r="AC199" s="2"/>
      <c r="AD199" s="2"/>
      <c r="AE199" s="2"/>
      <c r="AF199" s="2"/>
      <c r="AG199" s="2"/>
      <c r="AH199" s="2"/>
      <c r="AI199" s="2"/>
      <c r="AJ199" s="2"/>
      <c r="AK199" s="2"/>
      <c r="AL199" s="2"/>
      <c r="AM199" s="2"/>
      <c r="AN199" s="2"/>
      <c r="AO199" s="9"/>
      <c r="AP199" s="9"/>
      <c r="AQ199" s="9"/>
      <c r="AR199" s="9"/>
    </row>
    <row r="200">
      <c r="A200" s="523"/>
      <c r="B200" s="523"/>
      <c r="C200" s="523"/>
      <c r="D200" s="523"/>
      <c r="E200" s="523"/>
      <c r="F200" s="523"/>
      <c r="G200" s="523"/>
      <c r="H200" s="523"/>
      <c r="I200" s="523"/>
      <c r="J200" s="523"/>
      <c r="K200" s="523"/>
      <c r="L200" s="523"/>
      <c r="M200" s="523"/>
      <c r="N200" s="523"/>
      <c r="O200" s="523"/>
      <c r="P200" s="523"/>
      <c r="Q200" s="523"/>
      <c r="R200" s="523"/>
      <c r="S200" s="523"/>
      <c r="T200" s="523"/>
      <c r="U200" s="523"/>
      <c r="V200" s="224"/>
      <c r="W200" s="224"/>
      <c r="X200" s="224"/>
      <c r="Y200" s="224"/>
      <c r="Z200" s="868"/>
      <c r="AA200" s="865"/>
      <c r="AB200" s="2"/>
      <c r="AC200" s="2"/>
      <c r="AD200" s="2"/>
      <c r="AE200" s="2"/>
      <c r="AF200" s="2"/>
      <c r="AG200" s="2"/>
      <c r="AH200" s="2"/>
      <c r="AI200" s="2"/>
      <c r="AJ200" s="2"/>
      <c r="AK200" s="2"/>
      <c r="AL200" s="2"/>
      <c r="AM200" s="2"/>
      <c r="AN200" s="2"/>
      <c r="AO200" s="9"/>
      <c r="AP200" s="9"/>
      <c r="AQ200" s="9"/>
      <c r="AR200" s="9"/>
    </row>
    <row r="201">
      <c r="A201" s="523"/>
      <c r="B201" s="523"/>
      <c r="C201" s="523"/>
      <c r="D201" s="523"/>
      <c r="E201" s="523"/>
      <c r="F201" s="523"/>
      <c r="G201" s="523"/>
      <c r="H201" s="523"/>
      <c r="I201" s="523"/>
      <c r="J201" s="523"/>
      <c r="K201" s="523"/>
      <c r="L201" s="523"/>
      <c r="M201" s="523"/>
      <c r="N201" s="523"/>
      <c r="O201" s="523"/>
      <c r="P201" s="523"/>
      <c r="Q201" s="523"/>
      <c r="R201" s="523"/>
      <c r="S201" s="523"/>
      <c r="T201" s="523"/>
      <c r="U201" s="523"/>
      <c r="V201" s="224"/>
      <c r="W201" s="224"/>
      <c r="X201" s="224"/>
      <c r="Y201" s="224"/>
      <c r="Z201" s="868"/>
      <c r="AA201" s="865"/>
      <c r="AB201" s="2"/>
      <c r="AC201" s="2"/>
      <c r="AD201" s="2"/>
      <c r="AE201" s="2"/>
      <c r="AF201" s="2"/>
      <c r="AG201" s="2"/>
      <c r="AH201" s="2"/>
      <c r="AI201" s="2"/>
      <c r="AJ201" s="2"/>
      <c r="AK201" s="2"/>
      <c r="AL201" s="2"/>
      <c r="AM201" s="2"/>
      <c r="AN201" s="2"/>
      <c r="AO201" s="9"/>
      <c r="AP201" s="9"/>
      <c r="AQ201" s="9"/>
      <c r="AR201" s="9"/>
    </row>
    <row r="202">
      <c r="A202" s="523"/>
      <c r="B202" s="523"/>
      <c r="C202" s="523"/>
      <c r="D202" s="523"/>
      <c r="E202" s="523"/>
      <c r="F202" s="523"/>
      <c r="G202" s="523"/>
      <c r="H202" s="523"/>
      <c r="I202" s="523"/>
      <c r="J202" s="523"/>
      <c r="K202" s="523"/>
      <c r="L202" s="523"/>
      <c r="M202" s="523"/>
      <c r="N202" s="523"/>
      <c r="O202" s="523"/>
      <c r="P202" s="523"/>
      <c r="Q202" s="523"/>
      <c r="R202" s="523"/>
      <c r="S202" s="523"/>
      <c r="T202" s="523"/>
      <c r="U202" s="523"/>
      <c r="V202" s="224"/>
      <c r="W202" s="224"/>
      <c r="X202" s="224"/>
      <c r="Y202" s="224"/>
      <c r="Z202" s="868"/>
      <c r="AA202" s="865"/>
      <c r="AB202" s="2"/>
      <c r="AC202" s="2"/>
      <c r="AD202" s="2"/>
      <c r="AE202" s="2"/>
      <c r="AF202" s="2"/>
      <c r="AG202" s="2"/>
      <c r="AH202" s="2"/>
      <c r="AI202" s="2"/>
      <c r="AJ202" s="2"/>
      <c r="AK202" s="2"/>
      <c r="AL202" s="2"/>
      <c r="AM202" s="2"/>
      <c r="AN202" s="2"/>
      <c r="AO202" s="9"/>
      <c r="AP202" s="9"/>
      <c r="AQ202" s="9"/>
      <c r="AR202" s="9"/>
    </row>
    <row r="203">
      <c r="A203" s="523"/>
      <c r="B203" s="523"/>
      <c r="C203" s="523"/>
      <c r="D203" s="523"/>
      <c r="E203" s="523"/>
      <c r="F203" s="523"/>
      <c r="G203" s="523"/>
      <c r="H203" s="523"/>
      <c r="I203" s="523"/>
      <c r="J203" s="523"/>
      <c r="K203" s="523"/>
      <c r="L203" s="523"/>
      <c r="M203" s="523"/>
      <c r="N203" s="523"/>
      <c r="O203" s="523"/>
      <c r="P203" s="523"/>
      <c r="Q203" s="523"/>
      <c r="R203" s="523"/>
      <c r="S203" s="523"/>
      <c r="T203" s="523"/>
      <c r="U203" s="523"/>
      <c r="V203" s="224"/>
      <c r="W203" s="224"/>
      <c r="X203" s="224"/>
      <c r="Y203" s="224"/>
      <c r="Z203" s="868"/>
      <c r="AA203" s="865"/>
      <c r="AB203" s="2"/>
      <c r="AC203" s="2"/>
      <c r="AD203" s="2"/>
      <c r="AE203" s="2"/>
      <c r="AF203" s="2"/>
      <c r="AG203" s="2"/>
      <c r="AH203" s="2"/>
      <c r="AI203" s="2"/>
      <c r="AJ203" s="2"/>
      <c r="AK203" s="2"/>
      <c r="AL203" s="2"/>
      <c r="AM203" s="2"/>
      <c r="AN203" s="2"/>
      <c r="AO203" s="9"/>
      <c r="AP203" s="9"/>
      <c r="AQ203" s="9"/>
      <c r="AR203" s="9"/>
    </row>
    <row r="204">
      <c r="A204" s="523"/>
      <c r="B204" s="523"/>
      <c r="C204" s="523"/>
      <c r="D204" s="523"/>
      <c r="E204" s="523"/>
      <c r="F204" s="523"/>
      <c r="G204" s="523"/>
      <c r="H204" s="523"/>
      <c r="I204" s="523"/>
      <c r="J204" s="523"/>
      <c r="K204" s="523"/>
      <c r="L204" s="523"/>
      <c r="M204" s="523"/>
      <c r="N204" s="523"/>
      <c r="O204" s="523"/>
      <c r="P204" s="523"/>
      <c r="Q204" s="523"/>
      <c r="R204" s="523"/>
      <c r="S204" s="523"/>
      <c r="T204" s="523"/>
      <c r="U204" s="523"/>
      <c r="V204" s="224"/>
      <c r="W204" s="224"/>
      <c r="X204" s="224"/>
      <c r="Y204" s="224"/>
      <c r="Z204" s="868"/>
      <c r="AA204" s="865"/>
      <c r="AB204" s="2"/>
      <c r="AC204" s="2"/>
      <c r="AD204" s="2"/>
      <c r="AE204" s="2"/>
      <c r="AF204" s="2"/>
      <c r="AG204" s="2"/>
      <c r="AH204" s="2"/>
      <c r="AI204" s="2"/>
      <c r="AJ204" s="2"/>
      <c r="AK204" s="2"/>
      <c r="AL204" s="2"/>
      <c r="AM204" s="2"/>
      <c r="AN204" s="2"/>
      <c r="AO204" s="9"/>
      <c r="AP204" s="9"/>
      <c r="AQ204" s="9"/>
      <c r="AR204" s="9"/>
    </row>
    <row r="205">
      <c r="A205" s="523"/>
      <c r="B205" s="523"/>
      <c r="C205" s="523"/>
      <c r="D205" s="523"/>
      <c r="E205" s="523"/>
      <c r="F205" s="523"/>
      <c r="G205" s="523"/>
      <c r="H205" s="523"/>
      <c r="I205" s="523"/>
      <c r="J205" s="523"/>
      <c r="K205" s="523"/>
      <c r="L205" s="523"/>
      <c r="M205" s="523"/>
      <c r="N205" s="523"/>
      <c r="O205" s="523"/>
      <c r="P205" s="523"/>
      <c r="Q205" s="523"/>
      <c r="R205" s="523"/>
      <c r="S205" s="523"/>
      <c r="T205" s="523"/>
      <c r="U205" s="523"/>
      <c r="V205" s="224"/>
      <c r="W205" s="224"/>
      <c r="X205" s="224"/>
      <c r="Y205" s="224"/>
      <c r="Z205" s="868"/>
      <c r="AA205" s="865"/>
      <c r="AB205" s="2"/>
      <c r="AC205" s="2"/>
      <c r="AD205" s="2"/>
      <c r="AE205" s="2"/>
      <c r="AF205" s="2"/>
      <c r="AG205" s="2"/>
      <c r="AH205" s="2"/>
      <c r="AI205" s="2"/>
      <c r="AJ205" s="2"/>
      <c r="AK205" s="2"/>
      <c r="AL205" s="2"/>
      <c r="AM205" s="2"/>
      <c r="AN205" s="2"/>
      <c r="AO205" s="9"/>
      <c r="AP205" s="9"/>
      <c r="AQ205" s="9"/>
      <c r="AR205" s="9"/>
    </row>
    <row r="206">
      <c r="A206" s="523"/>
      <c r="B206" s="523"/>
      <c r="C206" s="523"/>
      <c r="D206" s="523"/>
      <c r="E206" s="523"/>
      <c r="F206" s="523"/>
      <c r="G206" s="523"/>
      <c r="H206" s="523"/>
      <c r="I206" s="523"/>
      <c r="J206" s="523"/>
      <c r="K206" s="523"/>
      <c r="L206" s="523"/>
      <c r="M206" s="523"/>
      <c r="N206" s="523"/>
      <c r="O206" s="523"/>
      <c r="P206" s="523"/>
      <c r="Q206" s="523"/>
      <c r="R206" s="523"/>
      <c r="S206" s="523"/>
      <c r="T206" s="523"/>
      <c r="U206" s="523"/>
      <c r="V206" s="224"/>
      <c r="W206" s="224"/>
      <c r="X206" s="224"/>
      <c r="Y206" s="224"/>
      <c r="Z206" s="868"/>
      <c r="AA206" s="865"/>
      <c r="AB206" s="2"/>
      <c r="AC206" s="2"/>
      <c r="AD206" s="2"/>
      <c r="AE206" s="2"/>
      <c r="AF206" s="2"/>
      <c r="AG206" s="2"/>
      <c r="AH206" s="2"/>
      <c r="AI206" s="2"/>
      <c r="AJ206" s="2"/>
      <c r="AK206" s="2"/>
      <c r="AL206" s="2"/>
      <c r="AM206" s="2"/>
      <c r="AN206" s="2"/>
      <c r="AO206" s="9"/>
      <c r="AP206" s="9"/>
      <c r="AQ206" s="9"/>
      <c r="AR206" s="9"/>
    </row>
    <row r="207">
      <c r="A207" s="523"/>
      <c r="B207" s="523"/>
      <c r="C207" s="523"/>
      <c r="D207" s="523"/>
      <c r="E207" s="523"/>
      <c r="F207" s="523"/>
      <c r="G207" s="523"/>
      <c r="H207" s="523"/>
      <c r="I207" s="523"/>
      <c r="J207" s="523"/>
      <c r="K207" s="523"/>
      <c r="L207" s="523"/>
      <c r="M207" s="523"/>
      <c r="N207" s="523"/>
      <c r="O207" s="523"/>
      <c r="P207" s="523"/>
      <c r="Q207" s="523"/>
      <c r="R207" s="523"/>
      <c r="S207" s="523"/>
      <c r="T207" s="523"/>
      <c r="U207" s="523"/>
      <c r="V207" s="224"/>
      <c r="W207" s="224"/>
      <c r="X207" s="224"/>
      <c r="Y207" s="224"/>
      <c r="Z207" s="868"/>
      <c r="AA207" s="865"/>
      <c r="AB207" s="2"/>
      <c r="AC207" s="2"/>
      <c r="AD207" s="2"/>
      <c r="AE207" s="2"/>
      <c r="AF207" s="2"/>
      <c r="AG207" s="2"/>
      <c r="AH207" s="2"/>
      <c r="AI207" s="2"/>
      <c r="AJ207" s="2"/>
      <c r="AK207" s="2"/>
      <c r="AL207" s="2"/>
      <c r="AM207" s="2"/>
      <c r="AN207" s="2"/>
      <c r="AO207" s="9"/>
      <c r="AP207" s="9"/>
      <c r="AQ207" s="9"/>
      <c r="AR207" s="9"/>
    </row>
    <row r="208">
      <c r="A208" s="523"/>
      <c r="B208" s="523"/>
      <c r="C208" s="523"/>
      <c r="D208" s="523"/>
      <c r="E208" s="523"/>
      <c r="F208" s="523"/>
      <c r="G208" s="523"/>
      <c r="H208" s="523"/>
      <c r="I208" s="523"/>
      <c r="J208" s="523"/>
      <c r="K208" s="523"/>
      <c r="L208" s="523"/>
      <c r="M208" s="523"/>
      <c r="N208" s="523"/>
      <c r="O208" s="523"/>
      <c r="P208" s="523"/>
      <c r="Q208" s="523"/>
      <c r="R208" s="523"/>
      <c r="S208" s="523"/>
      <c r="T208" s="523"/>
      <c r="U208" s="523"/>
      <c r="V208" s="224"/>
      <c r="W208" s="224"/>
      <c r="X208" s="224"/>
      <c r="Y208" s="224"/>
      <c r="Z208" s="868"/>
      <c r="AA208" s="865"/>
      <c r="AB208" s="2"/>
      <c r="AC208" s="2"/>
      <c r="AD208" s="2"/>
      <c r="AE208" s="2"/>
      <c r="AF208" s="2"/>
      <c r="AG208" s="2"/>
      <c r="AH208" s="2"/>
      <c r="AI208" s="2"/>
      <c r="AJ208" s="2"/>
      <c r="AK208" s="2"/>
      <c r="AL208" s="2"/>
      <c r="AM208" s="2"/>
      <c r="AN208" s="2"/>
      <c r="AO208" s="9"/>
      <c r="AP208" s="9"/>
      <c r="AQ208" s="9"/>
      <c r="AR208" s="9"/>
    </row>
    <row r="209">
      <c r="A209" s="523"/>
      <c r="B209" s="523"/>
      <c r="C209" s="523"/>
      <c r="D209" s="523"/>
      <c r="E209" s="523"/>
      <c r="F209" s="523"/>
      <c r="G209" s="523"/>
      <c r="H209" s="523"/>
      <c r="I209" s="523"/>
      <c r="J209" s="523"/>
      <c r="K209" s="523"/>
      <c r="L209" s="523"/>
      <c r="M209" s="523"/>
      <c r="N209" s="523"/>
      <c r="O209" s="523"/>
      <c r="P209" s="523"/>
      <c r="Q209" s="523"/>
      <c r="R209" s="523"/>
      <c r="S209" s="523"/>
      <c r="T209" s="523"/>
      <c r="U209" s="523"/>
      <c r="V209" s="224"/>
      <c r="W209" s="224"/>
      <c r="X209" s="224"/>
      <c r="Y209" s="224"/>
      <c r="Z209" s="868"/>
      <c r="AA209" s="865"/>
      <c r="AB209" s="2"/>
      <c r="AC209" s="2"/>
      <c r="AD209" s="2"/>
      <c r="AE209" s="2"/>
      <c r="AF209" s="2"/>
      <c r="AG209" s="2"/>
      <c r="AH209" s="2"/>
      <c r="AI209" s="2"/>
      <c r="AJ209" s="2"/>
      <c r="AK209" s="2"/>
      <c r="AL209" s="2"/>
      <c r="AM209" s="2"/>
      <c r="AN209" s="2"/>
      <c r="AO209" s="9"/>
      <c r="AP209" s="9"/>
      <c r="AQ209" s="9"/>
      <c r="AR209" s="9"/>
    </row>
    <row r="210">
      <c r="A210" s="523"/>
      <c r="B210" s="523"/>
      <c r="C210" s="523"/>
      <c r="D210" s="523"/>
      <c r="E210" s="523"/>
      <c r="F210" s="523"/>
      <c r="G210" s="523"/>
      <c r="H210" s="523"/>
      <c r="I210" s="523"/>
      <c r="J210" s="523"/>
      <c r="K210" s="523"/>
      <c r="L210" s="523"/>
      <c r="M210" s="523"/>
      <c r="N210" s="523"/>
      <c r="O210" s="523"/>
      <c r="P210" s="523"/>
      <c r="Q210" s="523"/>
      <c r="R210" s="523"/>
      <c r="S210" s="523"/>
      <c r="T210" s="523"/>
      <c r="U210" s="523"/>
      <c r="V210" s="224"/>
      <c r="W210" s="224"/>
      <c r="X210" s="224"/>
      <c r="Y210" s="224"/>
      <c r="Z210" s="868"/>
      <c r="AA210" s="865"/>
      <c r="AB210" s="2"/>
      <c r="AC210" s="2"/>
      <c r="AD210" s="2"/>
      <c r="AE210" s="2"/>
      <c r="AF210" s="2"/>
      <c r="AG210" s="2"/>
      <c r="AH210" s="2"/>
      <c r="AI210" s="2"/>
      <c r="AJ210" s="2"/>
      <c r="AK210" s="2"/>
      <c r="AL210" s="2"/>
      <c r="AM210" s="2"/>
      <c r="AN210" s="2"/>
      <c r="AO210" s="9"/>
      <c r="AP210" s="9"/>
      <c r="AQ210" s="9"/>
      <c r="AR210" s="9"/>
    </row>
    <row r="211">
      <c r="A211" s="523"/>
      <c r="B211" s="523"/>
      <c r="C211" s="523"/>
      <c r="D211" s="523"/>
      <c r="E211" s="523"/>
      <c r="F211" s="523"/>
      <c r="G211" s="523"/>
      <c r="H211" s="523"/>
      <c r="I211" s="523"/>
      <c r="J211" s="523"/>
      <c r="K211" s="523"/>
      <c r="L211" s="523"/>
      <c r="M211" s="523"/>
      <c r="N211" s="523"/>
      <c r="O211" s="523"/>
      <c r="P211" s="523"/>
      <c r="Q211" s="523"/>
      <c r="R211" s="523"/>
      <c r="S211" s="523"/>
      <c r="T211" s="523"/>
      <c r="U211" s="523"/>
      <c r="V211" s="224"/>
      <c r="W211" s="224"/>
      <c r="X211" s="224"/>
      <c r="Y211" s="224"/>
      <c r="Z211" s="868"/>
      <c r="AA211" s="865"/>
      <c r="AB211" s="2"/>
      <c r="AC211" s="2"/>
      <c r="AD211" s="2"/>
      <c r="AE211" s="2"/>
      <c r="AF211" s="2"/>
      <c r="AG211" s="2"/>
      <c r="AH211" s="2"/>
      <c r="AI211" s="2"/>
      <c r="AJ211" s="2"/>
      <c r="AK211" s="2"/>
      <c r="AL211" s="2"/>
      <c r="AM211" s="2"/>
      <c r="AN211" s="2"/>
      <c r="AO211" s="9"/>
      <c r="AP211" s="9"/>
      <c r="AQ211" s="9"/>
      <c r="AR211" s="9"/>
    </row>
    <row r="212">
      <c r="A212" s="523"/>
      <c r="B212" s="523"/>
      <c r="C212" s="523"/>
      <c r="D212" s="523"/>
      <c r="E212" s="523"/>
      <c r="F212" s="523"/>
      <c r="G212" s="523"/>
      <c r="H212" s="523"/>
      <c r="I212" s="523"/>
      <c r="J212" s="523"/>
      <c r="K212" s="523"/>
      <c r="L212" s="523"/>
      <c r="M212" s="523"/>
      <c r="N212" s="523"/>
      <c r="O212" s="523"/>
      <c r="P212" s="523"/>
      <c r="Q212" s="523"/>
      <c r="R212" s="523"/>
      <c r="S212" s="523"/>
      <c r="T212" s="523"/>
      <c r="U212" s="523"/>
      <c r="V212" s="224"/>
      <c r="W212" s="224"/>
      <c r="X212" s="224"/>
      <c r="Y212" s="224"/>
      <c r="Z212" s="868"/>
      <c r="AA212" s="865"/>
      <c r="AB212" s="2"/>
      <c r="AC212" s="2"/>
      <c r="AD212" s="2"/>
      <c r="AE212" s="2"/>
      <c r="AF212" s="2"/>
      <c r="AG212" s="2"/>
      <c r="AH212" s="2"/>
      <c r="AI212" s="2"/>
      <c r="AJ212" s="2"/>
      <c r="AK212" s="2"/>
      <c r="AL212" s="2"/>
      <c r="AM212" s="2"/>
      <c r="AN212" s="2"/>
      <c r="AO212" s="9"/>
      <c r="AP212" s="9"/>
      <c r="AQ212" s="9"/>
      <c r="AR212" s="9"/>
    </row>
    <row r="213">
      <c r="A213" s="523"/>
      <c r="B213" s="523"/>
      <c r="C213" s="523"/>
      <c r="D213" s="523"/>
      <c r="E213" s="523"/>
      <c r="F213" s="523"/>
      <c r="G213" s="523"/>
      <c r="H213" s="523"/>
      <c r="I213" s="523"/>
      <c r="J213" s="523"/>
      <c r="K213" s="523"/>
      <c r="L213" s="523"/>
      <c r="M213" s="523"/>
      <c r="N213" s="523"/>
      <c r="O213" s="523"/>
      <c r="P213" s="523"/>
      <c r="Q213" s="523"/>
      <c r="R213" s="523"/>
      <c r="S213" s="523"/>
      <c r="T213" s="523"/>
      <c r="U213" s="523"/>
      <c r="V213" s="224"/>
      <c r="W213" s="224"/>
      <c r="X213" s="224"/>
      <c r="Y213" s="224"/>
      <c r="Z213" s="868"/>
      <c r="AA213" s="865"/>
      <c r="AB213" s="2"/>
      <c r="AC213" s="2"/>
      <c r="AD213" s="2"/>
      <c r="AE213" s="2"/>
      <c r="AF213" s="2"/>
      <c r="AG213" s="2"/>
      <c r="AH213" s="2"/>
      <c r="AI213" s="2"/>
      <c r="AJ213" s="2"/>
      <c r="AK213" s="2"/>
      <c r="AL213" s="2"/>
      <c r="AM213" s="2"/>
      <c r="AN213" s="2"/>
      <c r="AO213" s="9"/>
      <c r="AP213" s="9"/>
      <c r="AQ213" s="9"/>
      <c r="AR213" s="9"/>
    </row>
    <row r="214">
      <c r="A214" s="523"/>
      <c r="B214" s="523"/>
      <c r="C214" s="523"/>
      <c r="D214" s="523"/>
      <c r="E214" s="523"/>
      <c r="F214" s="523"/>
      <c r="G214" s="523"/>
      <c r="H214" s="523"/>
      <c r="I214" s="523"/>
      <c r="J214" s="523"/>
      <c r="K214" s="523"/>
      <c r="L214" s="523"/>
      <c r="M214" s="523"/>
      <c r="N214" s="523"/>
      <c r="O214" s="523"/>
      <c r="P214" s="523"/>
      <c r="Q214" s="523"/>
      <c r="R214" s="523"/>
      <c r="S214" s="523"/>
      <c r="T214" s="523"/>
      <c r="U214" s="523"/>
      <c r="V214" s="224"/>
      <c r="W214" s="224"/>
      <c r="X214" s="224"/>
      <c r="Y214" s="224"/>
      <c r="Z214" s="868"/>
      <c r="AA214" s="865"/>
      <c r="AB214" s="2"/>
      <c r="AC214" s="2"/>
      <c r="AD214" s="2"/>
      <c r="AE214" s="2"/>
      <c r="AF214" s="2"/>
      <c r="AG214" s="2"/>
      <c r="AH214" s="2"/>
      <c r="AI214" s="2"/>
      <c r="AJ214" s="2"/>
      <c r="AK214" s="2"/>
      <c r="AL214" s="2"/>
      <c r="AM214" s="2"/>
      <c r="AN214" s="2"/>
      <c r="AO214" s="9"/>
      <c r="AP214" s="9"/>
      <c r="AQ214" s="9"/>
      <c r="AR214" s="9"/>
    </row>
    <row r="215">
      <c r="A215" s="523"/>
      <c r="B215" s="523"/>
      <c r="C215" s="523"/>
      <c r="D215" s="523"/>
      <c r="E215" s="523"/>
      <c r="F215" s="523"/>
      <c r="G215" s="523"/>
      <c r="H215" s="523"/>
      <c r="I215" s="523"/>
      <c r="J215" s="523"/>
      <c r="K215" s="523"/>
      <c r="L215" s="523"/>
      <c r="M215" s="523"/>
      <c r="N215" s="523"/>
      <c r="O215" s="523"/>
      <c r="P215" s="523"/>
      <c r="Q215" s="523"/>
      <c r="R215" s="523"/>
      <c r="S215" s="523"/>
      <c r="T215" s="523"/>
      <c r="U215" s="523"/>
      <c r="V215" s="224"/>
      <c r="W215" s="224"/>
      <c r="X215" s="224"/>
      <c r="Y215" s="224"/>
      <c r="Z215" s="868"/>
      <c r="AA215" s="865"/>
      <c r="AB215" s="2"/>
      <c r="AC215" s="2"/>
      <c r="AD215" s="2"/>
      <c r="AE215" s="2"/>
      <c r="AF215" s="2"/>
      <c r="AG215" s="2"/>
      <c r="AH215" s="2"/>
      <c r="AI215" s="2"/>
      <c r="AJ215" s="2"/>
      <c r="AK215" s="2"/>
      <c r="AL215" s="2"/>
      <c r="AM215" s="2"/>
      <c r="AN215" s="2"/>
      <c r="AO215" s="9"/>
      <c r="AP215" s="9"/>
      <c r="AQ215" s="9"/>
      <c r="AR215" s="9"/>
    </row>
    <row r="216">
      <c r="A216" s="523"/>
      <c r="B216" s="523"/>
      <c r="C216" s="523"/>
      <c r="D216" s="523"/>
      <c r="E216" s="523"/>
      <c r="F216" s="523"/>
      <c r="G216" s="523"/>
      <c r="H216" s="523"/>
      <c r="I216" s="523"/>
      <c r="J216" s="523"/>
      <c r="K216" s="523"/>
      <c r="L216" s="523"/>
      <c r="M216" s="523"/>
      <c r="N216" s="523"/>
      <c r="O216" s="523"/>
      <c r="P216" s="523"/>
      <c r="Q216" s="523"/>
      <c r="R216" s="523"/>
      <c r="S216" s="523"/>
      <c r="T216" s="523"/>
      <c r="U216" s="523"/>
      <c r="V216" s="224"/>
      <c r="W216" s="224"/>
      <c r="X216" s="224"/>
      <c r="Y216" s="224"/>
      <c r="Z216" s="868"/>
      <c r="AA216" s="865"/>
      <c r="AB216" s="2"/>
      <c r="AC216" s="2"/>
      <c r="AD216" s="2"/>
      <c r="AE216" s="2"/>
      <c r="AF216" s="2"/>
      <c r="AG216" s="2"/>
      <c r="AH216" s="2"/>
      <c r="AI216" s="2"/>
      <c r="AJ216" s="2"/>
      <c r="AK216" s="2"/>
      <c r="AL216" s="2"/>
      <c r="AM216" s="2"/>
      <c r="AN216" s="2"/>
      <c r="AO216" s="9"/>
      <c r="AP216" s="9"/>
      <c r="AQ216" s="9"/>
      <c r="AR216" s="9"/>
    </row>
    <row r="217">
      <c r="A217" s="523"/>
      <c r="B217" s="523"/>
      <c r="C217" s="523"/>
      <c r="D217" s="523"/>
      <c r="E217" s="523"/>
      <c r="F217" s="523"/>
      <c r="G217" s="523"/>
      <c r="H217" s="523"/>
      <c r="I217" s="523"/>
      <c r="J217" s="523"/>
      <c r="K217" s="523"/>
      <c r="L217" s="523"/>
      <c r="M217" s="523"/>
      <c r="N217" s="523"/>
      <c r="O217" s="523"/>
      <c r="P217" s="523"/>
      <c r="Q217" s="523"/>
      <c r="R217" s="523"/>
      <c r="S217" s="523"/>
      <c r="T217" s="523"/>
      <c r="U217" s="523"/>
      <c r="V217" s="224"/>
      <c r="W217" s="224"/>
      <c r="X217" s="224"/>
      <c r="Y217" s="224"/>
      <c r="Z217" s="868"/>
      <c r="AA217" s="865"/>
      <c r="AB217" s="2"/>
      <c r="AC217" s="2"/>
      <c r="AD217" s="2"/>
      <c r="AE217" s="2"/>
      <c r="AF217" s="2"/>
      <c r="AG217" s="2"/>
      <c r="AH217" s="2"/>
      <c r="AI217" s="2"/>
      <c r="AJ217" s="2"/>
      <c r="AK217" s="2"/>
      <c r="AL217" s="2"/>
      <c r="AM217" s="2"/>
      <c r="AN217" s="2"/>
      <c r="AO217" s="9"/>
      <c r="AP217" s="9"/>
      <c r="AQ217" s="9"/>
      <c r="AR217" s="9"/>
    </row>
    <row r="218">
      <c r="A218" s="523"/>
      <c r="B218" s="523"/>
      <c r="C218" s="523"/>
      <c r="D218" s="523"/>
      <c r="E218" s="523"/>
      <c r="F218" s="523"/>
      <c r="G218" s="523"/>
      <c r="H218" s="523"/>
      <c r="I218" s="523"/>
      <c r="J218" s="523"/>
      <c r="K218" s="523"/>
      <c r="L218" s="523"/>
      <c r="M218" s="523"/>
      <c r="N218" s="523"/>
      <c r="O218" s="523"/>
      <c r="P218" s="523"/>
      <c r="Q218" s="523"/>
      <c r="R218" s="523"/>
      <c r="S218" s="523"/>
      <c r="T218" s="523"/>
      <c r="U218" s="523"/>
      <c r="V218" s="224"/>
      <c r="W218" s="224"/>
      <c r="X218" s="224"/>
      <c r="Y218" s="224"/>
      <c r="Z218" s="868"/>
      <c r="AA218" s="865"/>
      <c r="AB218" s="2"/>
      <c r="AC218" s="2"/>
      <c r="AD218" s="2"/>
      <c r="AE218" s="2"/>
      <c r="AF218" s="2"/>
      <c r="AG218" s="2"/>
      <c r="AH218" s="2"/>
      <c r="AI218" s="2"/>
      <c r="AJ218" s="2"/>
      <c r="AK218" s="2"/>
      <c r="AL218" s="2"/>
      <c r="AM218" s="2"/>
      <c r="AN218" s="2"/>
      <c r="AO218" s="9"/>
      <c r="AP218" s="9"/>
      <c r="AQ218" s="9"/>
      <c r="AR218" s="9"/>
    </row>
    <row r="219">
      <c r="A219" s="523"/>
      <c r="B219" s="523"/>
      <c r="C219" s="523"/>
      <c r="D219" s="523"/>
      <c r="E219" s="523"/>
      <c r="F219" s="523"/>
      <c r="G219" s="523"/>
      <c r="H219" s="523"/>
      <c r="I219" s="523"/>
      <c r="J219" s="523"/>
      <c r="K219" s="523"/>
      <c r="L219" s="523"/>
      <c r="M219" s="523"/>
      <c r="N219" s="523"/>
      <c r="O219" s="523"/>
      <c r="P219" s="523"/>
      <c r="Q219" s="523"/>
      <c r="R219" s="523"/>
      <c r="S219" s="523"/>
      <c r="T219" s="523"/>
      <c r="U219" s="523"/>
      <c r="V219" s="224"/>
      <c r="W219" s="224"/>
      <c r="X219" s="224"/>
      <c r="Y219" s="224"/>
      <c r="Z219" s="868"/>
      <c r="AA219" s="865"/>
      <c r="AB219" s="2"/>
      <c r="AC219" s="2"/>
      <c r="AD219" s="2"/>
      <c r="AE219" s="2"/>
      <c r="AF219" s="2"/>
      <c r="AG219" s="2"/>
      <c r="AH219" s="2"/>
      <c r="AI219" s="2"/>
      <c r="AJ219" s="2"/>
      <c r="AK219" s="2"/>
      <c r="AL219" s="2"/>
      <c r="AM219" s="2"/>
      <c r="AN219" s="2"/>
      <c r="AO219" s="9"/>
      <c r="AP219" s="9"/>
      <c r="AQ219" s="9"/>
      <c r="AR219" s="9"/>
    </row>
    <row r="220">
      <c r="A220" s="523"/>
      <c r="B220" s="523"/>
      <c r="C220" s="523"/>
      <c r="D220" s="523"/>
      <c r="E220" s="523"/>
      <c r="F220" s="523"/>
      <c r="G220" s="523"/>
      <c r="H220" s="523"/>
      <c r="I220" s="523"/>
      <c r="J220" s="523"/>
      <c r="K220" s="523"/>
      <c r="L220" s="523"/>
      <c r="M220" s="523"/>
      <c r="N220" s="523"/>
      <c r="O220" s="523"/>
      <c r="P220" s="523"/>
      <c r="Q220" s="523"/>
      <c r="R220" s="523"/>
      <c r="S220" s="523"/>
      <c r="T220" s="523"/>
      <c r="U220" s="523"/>
      <c r="V220" s="224"/>
      <c r="W220" s="224"/>
      <c r="X220" s="224"/>
      <c r="Y220" s="224"/>
      <c r="Z220" s="868"/>
      <c r="AA220" s="865"/>
      <c r="AB220" s="2"/>
      <c r="AC220" s="2"/>
      <c r="AD220" s="2"/>
      <c r="AE220" s="2"/>
      <c r="AF220" s="2"/>
      <c r="AG220" s="2"/>
      <c r="AH220" s="2"/>
      <c r="AI220" s="2"/>
      <c r="AJ220" s="2"/>
      <c r="AK220" s="2"/>
      <c r="AL220" s="2"/>
      <c r="AM220" s="2"/>
      <c r="AN220" s="2"/>
      <c r="AO220" s="9"/>
      <c r="AP220" s="9"/>
      <c r="AQ220" s="9"/>
      <c r="AR220" s="9"/>
    </row>
    <row r="221">
      <c r="A221" s="523"/>
      <c r="B221" s="523"/>
      <c r="C221" s="523"/>
      <c r="D221" s="523"/>
      <c r="E221" s="523"/>
      <c r="F221" s="523"/>
      <c r="G221" s="523"/>
      <c r="H221" s="523"/>
      <c r="I221" s="523"/>
      <c r="J221" s="523"/>
      <c r="K221" s="523"/>
      <c r="L221" s="523"/>
      <c r="M221" s="523"/>
      <c r="N221" s="523"/>
      <c r="O221" s="523"/>
      <c r="P221" s="523"/>
      <c r="Q221" s="523"/>
      <c r="R221" s="523"/>
      <c r="S221" s="523"/>
      <c r="T221" s="523"/>
      <c r="U221" s="523"/>
      <c r="V221" s="224"/>
      <c r="W221" s="224"/>
      <c r="X221" s="224"/>
      <c r="Y221" s="224"/>
      <c r="Z221" s="868"/>
      <c r="AA221" s="865"/>
      <c r="AB221" s="2"/>
      <c r="AC221" s="2"/>
      <c r="AD221" s="2"/>
      <c r="AE221" s="2"/>
      <c r="AF221" s="2"/>
      <c r="AG221" s="2"/>
      <c r="AH221" s="2"/>
      <c r="AI221" s="2"/>
      <c r="AJ221" s="2"/>
      <c r="AK221" s="2"/>
      <c r="AL221" s="2"/>
      <c r="AM221" s="2"/>
      <c r="AN221" s="2"/>
      <c r="AO221" s="9"/>
      <c r="AP221" s="9"/>
      <c r="AQ221" s="9"/>
      <c r="AR221" s="9"/>
    </row>
    <row r="222">
      <c r="A222" s="523"/>
      <c r="B222" s="523"/>
      <c r="C222" s="523"/>
      <c r="D222" s="523"/>
      <c r="E222" s="523"/>
      <c r="F222" s="523"/>
      <c r="G222" s="523"/>
      <c r="H222" s="523"/>
      <c r="I222" s="523"/>
      <c r="J222" s="523"/>
      <c r="K222" s="523"/>
      <c r="L222" s="523"/>
      <c r="M222" s="523"/>
      <c r="N222" s="523"/>
      <c r="O222" s="523"/>
      <c r="P222" s="523"/>
      <c r="Q222" s="523"/>
      <c r="R222" s="523"/>
      <c r="S222" s="523"/>
      <c r="T222" s="523"/>
      <c r="U222" s="523"/>
      <c r="V222" s="224"/>
      <c r="W222" s="224"/>
      <c r="X222" s="224"/>
      <c r="Y222" s="224"/>
      <c r="Z222" s="868"/>
      <c r="AA222" s="865"/>
      <c r="AB222" s="2"/>
      <c r="AC222" s="2"/>
      <c r="AD222" s="2"/>
      <c r="AE222" s="2"/>
      <c r="AF222" s="2"/>
      <c r="AG222" s="2"/>
      <c r="AH222" s="2"/>
      <c r="AI222" s="2"/>
      <c r="AJ222" s="2"/>
      <c r="AK222" s="2"/>
      <c r="AL222" s="2"/>
      <c r="AM222" s="2"/>
      <c r="AN222" s="2"/>
      <c r="AO222" s="9"/>
      <c r="AP222" s="9"/>
      <c r="AQ222" s="9"/>
      <c r="AR222" s="9"/>
    </row>
    <row r="223">
      <c r="A223" s="523"/>
      <c r="B223" s="523"/>
      <c r="C223" s="523"/>
      <c r="D223" s="523"/>
      <c r="E223" s="523"/>
      <c r="F223" s="523"/>
      <c r="G223" s="523"/>
      <c r="H223" s="523"/>
      <c r="I223" s="523"/>
      <c r="J223" s="523"/>
      <c r="K223" s="523"/>
      <c r="L223" s="523"/>
      <c r="M223" s="523"/>
      <c r="N223" s="523"/>
      <c r="O223" s="523"/>
      <c r="P223" s="523"/>
      <c r="Q223" s="523"/>
      <c r="R223" s="523"/>
      <c r="S223" s="523"/>
      <c r="T223" s="523"/>
      <c r="U223" s="523"/>
      <c r="V223" s="224"/>
      <c r="W223" s="224"/>
      <c r="X223" s="224"/>
      <c r="Y223" s="224"/>
      <c r="Z223" s="868"/>
      <c r="AA223" s="865"/>
      <c r="AB223" s="2"/>
      <c r="AC223" s="2"/>
      <c r="AD223" s="2"/>
      <c r="AE223" s="2"/>
      <c r="AF223" s="2"/>
      <c r="AG223" s="2"/>
      <c r="AH223" s="2"/>
      <c r="AI223" s="2"/>
      <c r="AJ223" s="2"/>
      <c r="AK223" s="2"/>
      <c r="AL223" s="2"/>
      <c r="AM223" s="2"/>
      <c r="AN223" s="2"/>
      <c r="AO223" s="9"/>
      <c r="AP223" s="9"/>
      <c r="AQ223" s="9"/>
      <c r="AR223" s="9"/>
    </row>
    <row r="224">
      <c r="A224" s="523"/>
      <c r="B224" s="523"/>
      <c r="C224" s="523"/>
      <c r="D224" s="523"/>
      <c r="E224" s="523"/>
      <c r="F224" s="523"/>
      <c r="G224" s="523"/>
      <c r="H224" s="523"/>
      <c r="I224" s="523"/>
      <c r="J224" s="523"/>
      <c r="K224" s="523"/>
      <c r="L224" s="523"/>
      <c r="M224" s="523"/>
      <c r="N224" s="523"/>
      <c r="O224" s="523"/>
      <c r="P224" s="523"/>
      <c r="Q224" s="523"/>
      <c r="R224" s="523"/>
      <c r="S224" s="523"/>
      <c r="T224" s="523"/>
      <c r="U224" s="523"/>
      <c r="V224" s="224"/>
      <c r="W224" s="224"/>
      <c r="X224" s="224"/>
      <c r="Y224" s="224"/>
      <c r="Z224" s="868"/>
      <c r="AA224" s="865"/>
      <c r="AB224" s="2"/>
      <c r="AC224" s="2"/>
      <c r="AD224" s="2"/>
      <c r="AE224" s="2"/>
      <c r="AF224" s="2"/>
      <c r="AG224" s="2"/>
      <c r="AH224" s="2"/>
      <c r="AI224" s="2"/>
      <c r="AJ224" s="2"/>
      <c r="AK224" s="2"/>
      <c r="AL224" s="2"/>
      <c r="AM224" s="2"/>
      <c r="AN224" s="2"/>
      <c r="AO224" s="9"/>
      <c r="AP224" s="9"/>
      <c r="AQ224" s="9"/>
      <c r="AR224" s="9"/>
    </row>
    <row r="225">
      <c r="A225" s="523"/>
      <c r="B225" s="523"/>
      <c r="C225" s="523"/>
      <c r="D225" s="523"/>
      <c r="E225" s="523"/>
      <c r="F225" s="523"/>
      <c r="G225" s="523"/>
      <c r="H225" s="523"/>
      <c r="I225" s="523"/>
      <c r="J225" s="523"/>
      <c r="K225" s="523"/>
      <c r="L225" s="523"/>
      <c r="M225" s="523"/>
      <c r="N225" s="523"/>
      <c r="O225" s="523"/>
      <c r="P225" s="523"/>
      <c r="Q225" s="523"/>
      <c r="R225" s="523"/>
      <c r="S225" s="523"/>
      <c r="T225" s="523"/>
      <c r="U225" s="523"/>
      <c r="V225" s="224"/>
      <c r="W225" s="224"/>
      <c r="X225" s="224"/>
      <c r="Y225" s="224"/>
      <c r="Z225" s="868"/>
      <c r="AA225" s="865"/>
      <c r="AB225" s="2"/>
      <c r="AC225" s="2"/>
      <c r="AD225" s="2"/>
      <c r="AE225" s="2"/>
      <c r="AF225" s="2"/>
      <c r="AG225" s="2"/>
      <c r="AH225" s="2"/>
      <c r="AI225" s="2"/>
      <c r="AJ225" s="2"/>
      <c r="AK225" s="2"/>
      <c r="AL225" s="2"/>
      <c r="AM225" s="2"/>
      <c r="AN225" s="2"/>
      <c r="AO225" s="9"/>
      <c r="AP225" s="9"/>
      <c r="AQ225" s="9"/>
      <c r="AR225" s="9"/>
    </row>
    <row r="226">
      <c r="A226" s="523"/>
      <c r="B226" s="523"/>
      <c r="C226" s="523"/>
      <c r="D226" s="523"/>
      <c r="E226" s="523"/>
      <c r="F226" s="523"/>
      <c r="G226" s="523"/>
      <c r="H226" s="523"/>
      <c r="I226" s="523"/>
      <c r="J226" s="523"/>
      <c r="K226" s="523"/>
      <c r="L226" s="523"/>
      <c r="M226" s="523"/>
      <c r="N226" s="523"/>
      <c r="O226" s="523"/>
      <c r="P226" s="523"/>
      <c r="Q226" s="523"/>
      <c r="R226" s="523"/>
      <c r="S226" s="523"/>
      <c r="T226" s="523"/>
      <c r="U226" s="523"/>
      <c r="V226" s="224"/>
      <c r="W226" s="224"/>
      <c r="X226" s="224"/>
      <c r="Y226" s="224"/>
      <c r="Z226" s="868"/>
      <c r="AA226" s="865"/>
      <c r="AB226" s="2"/>
      <c r="AC226" s="2"/>
      <c r="AD226" s="2"/>
      <c r="AE226" s="2"/>
      <c r="AF226" s="2"/>
      <c r="AG226" s="2"/>
      <c r="AH226" s="2"/>
      <c r="AI226" s="2"/>
      <c r="AJ226" s="2"/>
      <c r="AK226" s="2"/>
      <c r="AL226" s="2"/>
      <c r="AM226" s="2"/>
      <c r="AN226" s="2"/>
      <c r="AO226" s="9"/>
      <c r="AP226" s="9"/>
      <c r="AQ226" s="9"/>
      <c r="AR226" s="9"/>
    </row>
    <row r="227">
      <c r="A227" s="523"/>
      <c r="B227" s="523"/>
      <c r="C227" s="523"/>
      <c r="D227" s="523"/>
      <c r="E227" s="523"/>
      <c r="F227" s="523"/>
      <c r="G227" s="523"/>
      <c r="H227" s="523"/>
      <c r="I227" s="523"/>
      <c r="J227" s="523"/>
      <c r="K227" s="523"/>
      <c r="L227" s="523"/>
      <c r="M227" s="523"/>
      <c r="N227" s="523"/>
      <c r="O227" s="523"/>
      <c r="P227" s="523"/>
      <c r="Q227" s="523"/>
      <c r="R227" s="523"/>
      <c r="S227" s="523"/>
      <c r="T227" s="523"/>
      <c r="U227" s="523"/>
      <c r="V227" s="224"/>
      <c r="W227" s="224"/>
      <c r="X227" s="224"/>
      <c r="Y227" s="224"/>
      <c r="Z227" s="868"/>
      <c r="AA227" s="865"/>
      <c r="AB227" s="2"/>
      <c r="AC227" s="2"/>
      <c r="AD227" s="2"/>
      <c r="AE227" s="2"/>
      <c r="AF227" s="2"/>
      <c r="AG227" s="2"/>
      <c r="AH227" s="2"/>
      <c r="AI227" s="2"/>
      <c r="AJ227" s="2"/>
      <c r="AK227" s="2"/>
      <c r="AL227" s="2"/>
      <c r="AM227" s="2"/>
      <c r="AN227" s="2"/>
      <c r="AO227" s="9"/>
      <c r="AP227" s="9"/>
      <c r="AQ227" s="9"/>
      <c r="AR227" s="9"/>
    </row>
    <row r="228">
      <c r="A228" s="523"/>
      <c r="B228" s="523"/>
      <c r="C228" s="523"/>
      <c r="D228" s="523"/>
      <c r="E228" s="523"/>
      <c r="F228" s="523"/>
      <c r="G228" s="523"/>
      <c r="H228" s="523"/>
      <c r="I228" s="523"/>
      <c r="J228" s="523"/>
      <c r="K228" s="523"/>
      <c r="L228" s="523"/>
      <c r="M228" s="523"/>
      <c r="N228" s="523"/>
      <c r="O228" s="523"/>
      <c r="P228" s="523"/>
      <c r="Q228" s="523"/>
      <c r="R228" s="523"/>
      <c r="S228" s="523"/>
      <c r="T228" s="523"/>
      <c r="U228" s="523"/>
      <c r="V228" s="224"/>
      <c r="W228" s="224"/>
      <c r="X228" s="224"/>
      <c r="Y228" s="224"/>
      <c r="Z228" s="868"/>
      <c r="AA228" s="865"/>
      <c r="AB228" s="2"/>
      <c r="AC228" s="2"/>
      <c r="AD228" s="2"/>
      <c r="AE228" s="2"/>
      <c r="AF228" s="2"/>
      <c r="AG228" s="2"/>
      <c r="AH228" s="2"/>
      <c r="AI228" s="2"/>
      <c r="AJ228" s="2"/>
      <c r="AK228" s="2"/>
      <c r="AL228" s="2"/>
      <c r="AM228" s="2"/>
      <c r="AN228" s="2"/>
      <c r="AO228" s="9"/>
      <c r="AP228" s="9"/>
      <c r="AQ228" s="9"/>
      <c r="AR228" s="9"/>
    </row>
    <row r="229">
      <c r="A229" s="523"/>
      <c r="B229" s="523"/>
      <c r="C229" s="523"/>
      <c r="D229" s="523"/>
      <c r="E229" s="523"/>
      <c r="F229" s="523"/>
      <c r="G229" s="523"/>
      <c r="H229" s="523"/>
      <c r="I229" s="523"/>
      <c r="J229" s="523"/>
      <c r="K229" s="523"/>
      <c r="L229" s="523"/>
      <c r="M229" s="523"/>
      <c r="N229" s="523"/>
      <c r="O229" s="523"/>
      <c r="P229" s="523"/>
      <c r="Q229" s="523"/>
      <c r="R229" s="523"/>
      <c r="S229" s="523"/>
      <c r="T229" s="523"/>
      <c r="U229" s="523"/>
      <c r="V229" s="224"/>
      <c r="W229" s="224"/>
      <c r="X229" s="224"/>
      <c r="Y229" s="224"/>
      <c r="Z229" s="868"/>
      <c r="AA229" s="865"/>
      <c r="AB229" s="2"/>
      <c r="AC229" s="2"/>
      <c r="AD229" s="2"/>
      <c r="AE229" s="2"/>
      <c r="AF229" s="2"/>
      <c r="AG229" s="2"/>
      <c r="AH229" s="2"/>
      <c r="AI229" s="2"/>
      <c r="AJ229" s="2"/>
      <c r="AK229" s="2"/>
      <c r="AL229" s="2"/>
      <c r="AM229" s="2"/>
      <c r="AN229" s="2"/>
      <c r="AO229" s="9"/>
      <c r="AP229" s="9"/>
      <c r="AQ229" s="9"/>
      <c r="AR229" s="9"/>
    </row>
    <row r="230">
      <c r="A230" s="523"/>
      <c r="B230" s="523"/>
      <c r="C230" s="523"/>
      <c r="D230" s="523"/>
      <c r="E230" s="523"/>
      <c r="F230" s="523"/>
      <c r="G230" s="523"/>
      <c r="H230" s="523"/>
      <c r="I230" s="523"/>
      <c r="J230" s="523"/>
      <c r="K230" s="523"/>
      <c r="L230" s="523"/>
      <c r="M230" s="523"/>
      <c r="N230" s="523"/>
      <c r="O230" s="523"/>
      <c r="P230" s="523"/>
      <c r="Q230" s="523"/>
      <c r="R230" s="523"/>
      <c r="S230" s="523"/>
      <c r="T230" s="523"/>
      <c r="U230" s="523"/>
      <c r="V230" s="224"/>
      <c r="W230" s="224"/>
      <c r="X230" s="224"/>
      <c r="Y230" s="224"/>
      <c r="Z230" s="868"/>
      <c r="AA230" s="865"/>
      <c r="AB230" s="2"/>
      <c r="AC230" s="2"/>
      <c r="AD230" s="2"/>
      <c r="AE230" s="2"/>
      <c r="AF230" s="2"/>
      <c r="AG230" s="2"/>
      <c r="AH230" s="2"/>
      <c r="AI230" s="2"/>
      <c r="AJ230" s="2"/>
      <c r="AK230" s="2"/>
      <c r="AL230" s="2"/>
      <c r="AM230" s="2"/>
      <c r="AN230" s="2"/>
      <c r="AO230" s="9"/>
      <c r="AP230" s="9"/>
      <c r="AQ230" s="9"/>
      <c r="AR230" s="9"/>
    </row>
    <row r="231">
      <c r="A231" s="523"/>
      <c r="B231" s="523"/>
      <c r="C231" s="523"/>
      <c r="D231" s="523"/>
      <c r="E231" s="523"/>
      <c r="F231" s="523"/>
      <c r="G231" s="523"/>
      <c r="H231" s="523"/>
      <c r="I231" s="523"/>
      <c r="J231" s="523"/>
      <c r="K231" s="523"/>
      <c r="L231" s="523"/>
      <c r="M231" s="523"/>
      <c r="N231" s="523"/>
      <c r="O231" s="523"/>
      <c r="P231" s="523"/>
      <c r="Q231" s="523"/>
      <c r="R231" s="523"/>
      <c r="S231" s="523"/>
      <c r="T231" s="523"/>
      <c r="U231" s="523"/>
      <c r="V231" s="224"/>
      <c r="W231" s="224"/>
      <c r="X231" s="224"/>
      <c r="Y231" s="224"/>
      <c r="Z231" s="868"/>
      <c r="AA231" s="865"/>
      <c r="AB231" s="2"/>
      <c r="AC231" s="2"/>
      <c r="AD231" s="2"/>
      <c r="AE231" s="2"/>
      <c r="AF231" s="2"/>
      <c r="AG231" s="2"/>
      <c r="AH231" s="2"/>
      <c r="AI231" s="2"/>
      <c r="AJ231" s="2"/>
      <c r="AK231" s="2"/>
      <c r="AL231" s="2"/>
      <c r="AM231" s="2"/>
      <c r="AN231" s="2"/>
      <c r="AO231" s="9"/>
      <c r="AP231" s="9"/>
      <c r="AQ231" s="9"/>
      <c r="AR231" s="9"/>
    </row>
    <row r="232">
      <c r="A232" s="523"/>
      <c r="B232" s="523"/>
      <c r="C232" s="523"/>
      <c r="D232" s="523"/>
      <c r="E232" s="523"/>
      <c r="F232" s="523"/>
      <c r="G232" s="523"/>
      <c r="H232" s="523"/>
      <c r="I232" s="523"/>
      <c r="J232" s="523"/>
      <c r="K232" s="523"/>
      <c r="L232" s="523"/>
      <c r="M232" s="523"/>
      <c r="N232" s="523"/>
      <c r="O232" s="523"/>
      <c r="P232" s="523"/>
      <c r="Q232" s="523"/>
      <c r="R232" s="523"/>
      <c r="S232" s="523"/>
      <c r="T232" s="523"/>
      <c r="U232" s="523"/>
      <c r="V232" s="224"/>
      <c r="W232" s="224"/>
      <c r="X232" s="224"/>
      <c r="Y232" s="224"/>
      <c r="Z232" s="868"/>
      <c r="AA232" s="865"/>
      <c r="AB232" s="2"/>
      <c r="AC232" s="2"/>
      <c r="AD232" s="2"/>
      <c r="AE232" s="2"/>
      <c r="AF232" s="2"/>
      <c r="AG232" s="2"/>
      <c r="AH232" s="2"/>
      <c r="AI232" s="2"/>
      <c r="AJ232" s="2"/>
      <c r="AK232" s="2"/>
      <c r="AL232" s="2"/>
      <c r="AM232" s="2"/>
      <c r="AN232" s="2"/>
      <c r="AO232" s="9"/>
      <c r="AP232" s="9"/>
      <c r="AQ232" s="9"/>
      <c r="AR232" s="9"/>
    </row>
    <row r="233">
      <c r="A233" s="523"/>
      <c r="B233" s="523"/>
      <c r="C233" s="523"/>
      <c r="D233" s="523"/>
      <c r="E233" s="523"/>
      <c r="F233" s="523"/>
      <c r="G233" s="523"/>
      <c r="H233" s="523"/>
      <c r="I233" s="523"/>
      <c r="J233" s="523"/>
      <c r="K233" s="523"/>
      <c r="L233" s="523"/>
      <c r="M233" s="523"/>
      <c r="N233" s="523"/>
      <c r="O233" s="523"/>
      <c r="P233" s="523"/>
      <c r="Q233" s="523"/>
      <c r="R233" s="523"/>
      <c r="S233" s="523"/>
      <c r="T233" s="523"/>
      <c r="U233" s="523"/>
      <c r="V233" s="224"/>
      <c r="W233" s="224"/>
      <c r="X233" s="224"/>
      <c r="Y233" s="224"/>
      <c r="Z233" s="868"/>
      <c r="AA233" s="865"/>
      <c r="AB233" s="2"/>
      <c r="AC233" s="2"/>
      <c r="AD233" s="2"/>
      <c r="AE233" s="2"/>
      <c r="AF233" s="2"/>
      <c r="AG233" s="2"/>
      <c r="AH233" s="2"/>
      <c r="AI233" s="2"/>
      <c r="AJ233" s="2"/>
      <c r="AK233" s="2"/>
      <c r="AL233" s="2"/>
      <c r="AM233" s="2"/>
      <c r="AN233" s="2"/>
      <c r="AO233" s="9"/>
      <c r="AP233" s="9"/>
      <c r="AQ233" s="9"/>
      <c r="AR233" s="9"/>
    </row>
    <row r="234">
      <c r="A234" s="523"/>
      <c r="B234" s="523"/>
      <c r="C234" s="523"/>
      <c r="D234" s="523"/>
      <c r="E234" s="523"/>
      <c r="F234" s="523"/>
      <c r="G234" s="523"/>
      <c r="H234" s="523"/>
      <c r="I234" s="523"/>
      <c r="J234" s="523"/>
      <c r="K234" s="523"/>
      <c r="L234" s="523"/>
      <c r="M234" s="523"/>
      <c r="N234" s="523"/>
      <c r="O234" s="523"/>
      <c r="P234" s="523"/>
      <c r="Q234" s="523"/>
      <c r="R234" s="523"/>
      <c r="S234" s="523"/>
      <c r="T234" s="523"/>
      <c r="U234" s="523"/>
      <c r="V234" s="224"/>
      <c r="W234" s="224"/>
      <c r="X234" s="224"/>
      <c r="Y234" s="224"/>
      <c r="Z234" s="868"/>
      <c r="AA234" s="865"/>
      <c r="AB234" s="2"/>
      <c r="AC234" s="2"/>
      <c r="AD234" s="2"/>
      <c r="AE234" s="2"/>
      <c r="AF234" s="2"/>
      <c r="AG234" s="2"/>
      <c r="AH234" s="2"/>
      <c r="AI234" s="2"/>
      <c r="AJ234" s="2"/>
      <c r="AK234" s="2"/>
      <c r="AL234" s="2"/>
      <c r="AM234" s="2"/>
      <c r="AN234" s="2"/>
      <c r="AO234" s="9"/>
      <c r="AP234" s="9"/>
      <c r="AQ234" s="9"/>
      <c r="AR234" s="9"/>
    </row>
    <row r="235">
      <c r="A235" s="523"/>
      <c r="B235" s="523"/>
      <c r="C235" s="523"/>
      <c r="D235" s="523"/>
      <c r="E235" s="523"/>
      <c r="F235" s="523"/>
      <c r="G235" s="523"/>
      <c r="H235" s="523"/>
      <c r="I235" s="523"/>
      <c r="J235" s="523"/>
      <c r="K235" s="523"/>
      <c r="L235" s="523"/>
      <c r="M235" s="523"/>
      <c r="N235" s="523"/>
      <c r="O235" s="523"/>
      <c r="P235" s="523"/>
      <c r="Q235" s="523"/>
      <c r="R235" s="523"/>
      <c r="S235" s="523"/>
      <c r="T235" s="523"/>
      <c r="U235" s="523"/>
      <c r="V235" s="224"/>
      <c r="W235" s="224"/>
      <c r="X235" s="224"/>
      <c r="Y235" s="224"/>
      <c r="Z235" s="868"/>
      <c r="AA235" s="865"/>
      <c r="AB235" s="2"/>
      <c r="AC235" s="2"/>
      <c r="AD235" s="2"/>
      <c r="AE235" s="2"/>
      <c r="AF235" s="2"/>
      <c r="AG235" s="2"/>
      <c r="AH235" s="2"/>
      <c r="AI235" s="2"/>
      <c r="AJ235" s="2"/>
      <c r="AK235" s="2"/>
      <c r="AL235" s="2"/>
      <c r="AM235" s="2"/>
      <c r="AN235" s="2"/>
      <c r="AO235" s="9"/>
      <c r="AP235" s="9"/>
      <c r="AQ235" s="9"/>
      <c r="AR235" s="9"/>
    </row>
    <row r="236">
      <c r="A236" s="523"/>
      <c r="B236" s="523"/>
      <c r="C236" s="523"/>
      <c r="D236" s="523"/>
      <c r="E236" s="523"/>
      <c r="F236" s="523"/>
      <c r="G236" s="523"/>
      <c r="H236" s="523"/>
      <c r="I236" s="523"/>
      <c r="J236" s="523"/>
      <c r="K236" s="523"/>
      <c r="L236" s="523"/>
      <c r="M236" s="523"/>
      <c r="N236" s="523"/>
      <c r="O236" s="523"/>
      <c r="P236" s="523"/>
      <c r="Q236" s="523"/>
      <c r="R236" s="523"/>
      <c r="S236" s="523"/>
      <c r="T236" s="523"/>
      <c r="U236" s="523"/>
      <c r="V236" s="224"/>
      <c r="W236" s="224"/>
      <c r="X236" s="224"/>
      <c r="Y236" s="224"/>
      <c r="Z236" s="868"/>
      <c r="AA236" s="865"/>
      <c r="AB236" s="2"/>
      <c r="AC236" s="2"/>
      <c r="AD236" s="2"/>
      <c r="AE236" s="2"/>
      <c r="AF236" s="2"/>
      <c r="AG236" s="2"/>
      <c r="AH236" s="2"/>
      <c r="AI236" s="2"/>
      <c r="AJ236" s="2"/>
      <c r="AK236" s="2"/>
      <c r="AL236" s="2"/>
      <c r="AM236" s="2"/>
      <c r="AN236" s="2"/>
      <c r="AO236" s="9"/>
      <c r="AP236" s="9"/>
      <c r="AQ236" s="9"/>
      <c r="AR236" s="9"/>
    </row>
    <row r="237">
      <c r="A237" s="523"/>
      <c r="B237" s="523"/>
      <c r="C237" s="523"/>
      <c r="D237" s="523"/>
      <c r="E237" s="523"/>
      <c r="F237" s="523"/>
      <c r="G237" s="523"/>
      <c r="H237" s="523"/>
      <c r="I237" s="523"/>
      <c r="J237" s="523"/>
      <c r="K237" s="523"/>
      <c r="L237" s="523"/>
      <c r="M237" s="523"/>
      <c r="N237" s="523"/>
      <c r="O237" s="523"/>
      <c r="P237" s="523"/>
      <c r="Q237" s="523"/>
      <c r="R237" s="523"/>
      <c r="S237" s="523"/>
      <c r="T237" s="523"/>
      <c r="U237" s="523"/>
      <c r="V237" s="224"/>
      <c r="W237" s="224"/>
      <c r="X237" s="224"/>
      <c r="Y237" s="224"/>
      <c r="Z237" s="868"/>
      <c r="AA237" s="865"/>
      <c r="AB237" s="2"/>
      <c r="AC237" s="2"/>
      <c r="AD237" s="2"/>
      <c r="AE237" s="2"/>
      <c r="AF237" s="2"/>
      <c r="AG237" s="2"/>
      <c r="AH237" s="2"/>
      <c r="AI237" s="2"/>
      <c r="AJ237" s="2"/>
      <c r="AK237" s="2"/>
      <c r="AL237" s="2"/>
      <c r="AM237" s="2"/>
      <c r="AN237" s="2"/>
      <c r="AO237" s="9"/>
      <c r="AP237" s="9"/>
      <c r="AQ237" s="9"/>
      <c r="AR237" s="9"/>
    </row>
    <row r="238">
      <c r="A238" s="523"/>
      <c r="B238" s="523"/>
      <c r="C238" s="523"/>
      <c r="D238" s="523"/>
      <c r="E238" s="523"/>
      <c r="F238" s="523"/>
      <c r="G238" s="523"/>
      <c r="H238" s="523"/>
      <c r="I238" s="523"/>
      <c r="J238" s="523"/>
      <c r="K238" s="523"/>
      <c r="L238" s="523"/>
      <c r="M238" s="523"/>
      <c r="N238" s="523"/>
      <c r="O238" s="523"/>
      <c r="P238" s="523"/>
      <c r="Q238" s="523"/>
      <c r="R238" s="523"/>
      <c r="S238" s="523"/>
      <c r="T238" s="523"/>
      <c r="U238" s="523"/>
      <c r="V238" s="224"/>
      <c r="W238" s="224"/>
      <c r="X238" s="224"/>
      <c r="Y238" s="224"/>
      <c r="Z238" s="868"/>
      <c r="AA238" s="865"/>
      <c r="AB238" s="2"/>
      <c r="AC238" s="2"/>
      <c r="AD238" s="2"/>
      <c r="AE238" s="2"/>
      <c r="AF238" s="2"/>
      <c r="AG238" s="2"/>
      <c r="AH238" s="2"/>
      <c r="AI238" s="2"/>
      <c r="AJ238" s="2"/>
      <c r="AK238" s="2"/>
      <c r="AL238" s="2"/>
      <c r="AM238" s="2"/>
      <c r="AN238" s="2"/>
      <c r="AO238" s="9"/>
      <c r="AP238" s="9"/>
      <c r="AQ238" s="9"/>
      <c r="AR238" s="9"/>
    </row>
    <row r="239">
      <c r="A239" s="523"/>
      <c r="B239" s="523"/>
      <c r="C239" s="523"/>
      <c r="D239" s="523"/>
      <c r="E239" s="523"/>
      <c r="F239" s="523"/>
      <c r="G239" s="523"/>
      <c r="H239" s="523"/>
      <c r="I239" s="523"/>
      <c r="J239" s="523"/>
      <c r="K239" s="523"/>
      <c r="L239" s="523"/>
      <c r="M239" s="523"/>
      <c r="N239" s="523"/>
      <c r="O239" s="523"/>
      <c r="P239" s="523"/>
      <c r="Q239" s="523"/>
      <c r="R239" s="523"/>
      <c r="S239" s="523"/>
      <c r="T239" s="523"/>
      <c r="U239" s="523"/>
      <c r="V239" s="224"/>
      <c r="W239" s="224"/>
      <c r="X239" s="224"/>
      <c r="Y239" s="224"/>
      <c r="Z239" s="868"/>
      <c r="AA239" s="865"/>
      <c r="AB239" s="2"/>
      <c r="AC239" s="2"/>
      <c r="AD239" s="2"/>
      <c r="AE239" s="2"/>
      <c r="AF239" s="2"/>
      <c r="AG239" s="2"/>
      <c r="AH239" s="2"/>
      <c r="AI239" s="2"/>
      <c r="AJ239" s="2"/>
      <c r="AK239" s="2"/>
      <c r="AL239" s="2"/>
      <c r="AM239" s="2"/>
      <c r="AN239" s="2"/>
      <c r="AO239" s="9"/>
      <c r="AP239" s="9"/>
      <c r="AQ239" s="9"/>
      <c r="AR239" s="9"/>
    </row>
    <row r="240">
      <c r="A240" s="523"/>
      <c r="B240" s="523"/>
      <c r="C240" s="523"/>
      <c r="D240" s="523"/>
      <c r="E240" s="523"/>
      <c r="F240" s="523"/>
      <c r="G240" s="523"/>
      <c r="H240" s="523"/>
      <c r="I240" s="523"/>
      <c r="J240" s="523"/>
      <c r="K240" s="523"/>
      <c r="L240" s="523"/>
      <c r="M240" s="523"/>
      <c r="N240" s="523"/>
      <c r="O240" s="523"/>
      <c r="P240" s="523"/>
      <c r="Q240" s="523"/>
      <c r="R240" s="523"/>
      <c r="S240" s="523"/>
      <c r="T240" s="523"/>
      <c r="U240" s="523"/>
      <c r="V240" s="224"/>
      <c r="W240" s="224"/>
      <c r="X240" s="224"/>
      <c r="Y240" s="224"/>
      <c r="Z240" s="868"/>
      <c r="AA240" s="865"/>
      <c r="AB240" s="2"/>
      <c r="AC240" s="2"/>
      <c r="AD240" s="2"/>
      <c r="AE240" s="2"/>
      <c r="AF240" s="2"/>
      <c r="AG240" s="2"/>
      <c r="AH240" s="2"/>
      <c r="AI240" s="2"/>
      <c r="AJ240" s="2"/>
      <c r="AK240" s="2"/>
      <c r="AL240" s="2"/>
      <c r="AM240" s="2"/>
      <c r="AN240" s="2"/>
      <c r="AO240" s="9"/>
      <c r="AP240" s="9"/>
      <c r="AQ240" s="9"/>
      <c r="AR240" s="9"/>
    </row>
    <row r="241">
      <c r="A241" s="523"/>
      <c r="B241" s="523"/>
      <c r="C241" s="523"/>
      <c r="D241" s="523"/>
      <c r="E241" s="523"/>
      <c r="F241" s="523"/>
      <c r="G241" s="523"/>
      <c r="H241" s="523"/>
      <c r="I241" s="523"/>
      <c r="J241" s="523"/>
      <c r="K241" s="523"/>
      <c r="L241" s="523"/>
      <c r="M241" s="523"/>
      <c r="N241" s="523"/>
      <c r="O241" s="523"/>
      <c r="P241" s="523"/>
      <c r="Q241" s="523"/>
      <c r="R241" s="523"/>
      <c r="S241" s="523"/>
      <c r="T241" s="523"/>
      <c r="U241" s="523"/>
      <c r="V241" s="224"/>
      <c r="W241" s="224"/>
      <c r="X241" s="224"/>
      <c r="Y241" s="224"/>
      <c r="Z241" s="868"/>
      <c r="AA241" s="865"/>
      <c r="AB241" s="2"/>
      <c r="AC241" s="2"/>
      <c r="AD241" s="2"/>
      <c r="AE241" s="2"/>
      <c r="AF241" s="2"/>
      <c r="AG241" s="2"/>
      <c r="AH241" s="2"/>
      <c r="AI241" s="2"/>
      <c r="AJ241" s="2"/>
      <c r="AK241" s="2"/>
      <c r="AL241" s="2"/>
      <c r="AM241" s="2"/>
      <c r="AN241" s="2"/>
      <c r="AO241" s="9"/>
      <c r="AP241" s="9"/>
      <c r="AQ241" s="9"/>
      <c r="AR241" s="9"/>
    </row>
    <row r="242">
      <c r="A242" s="523"/>
      <c r="B242" s="523"/>
      <c r="C242" s="523"/>
      <c r="D242" s="523"/>
      <c r="E242" s="523"/>
      <c r="F242" s="523"/>
      <c r="G242" s="523"/>
      <c r="H242" s="523"/>
      <c r="I242" s="523"/>
      <c r="J242" s="523"/>
      <c r="K242" s="523"/>
      <c r="L242" s="523"/>
      <c r="M242" s="523"/>
      <c r="N242" s="523"/>
      <c r="O242" s="523"/>
      <c r="P242" s="523"/>
      <c r="Q242" s="523"/>
      <c r="R242" s="523"/>
      <c r="S242" s="523"/>
      <c r="T242" s="523"/>
      <c r="U242" s="523"/>
      <c r="V242" s="224"/>
      <c r="W242" s="224"/>
      <c r="X242" s="224"/>
      <c r="Y242" s="224"/>
      <c r="Z242" s="868"/>
      <c r="AA242" s="865"/>
      <c r="AB242" s="2"/>
      <c r="AC242" s="2"/>
      <c r="AD242" s="2"/>
      <c r="AE242" s="2"/>
      <c r="AF242" s="2"/>
      <c r="AG242" s="2"/>
      <c r="AH242" s="2"/>
      <c r="AI242" s="2"/>
      <c r="AJ242" s="2"/>
      <c r="AK242" s="2"/>
      <c r="AL242" s="2"/>
      <c r="AM242" s="2"/>
      <c r="AN242" s="2"/>
      <c r="AO242" s="9"/>
      <c r="AP242" s="9"/>
      <c r="AQ242" s="9"/>
      <c r="AR242" s="9"/>
    </row>
    <row r="243">
      <c r="A243" s="523"/>
      <c r="B243" s="523"/>
      <c r="C243" s="523"/>
      <c r="D243" s="523"/>
      <c r="E243" s="523"/>
      <c r="F243" s="523"/>
      <c r="G243" s="523"/>
      <c r="H243" s="523"/>
      <c r="I243" s="523"/>
      <c r="J243" s="523"/>
      <c r="K243" s="523"/>
      <c r="L243" s="523"/>
      <c r="M243" s="523"/>
      <c r="N243" s="523"/>
      <c r="O243" s="523"/>
      <c r="P243" s="523"/>
      <c r="Q243" s="523"/>
      <c r="R243" s="523"/>
      <c r="S243" s="523"/>
      <c r="T243" s="523"/>
      <c r="U243" s="523"/>
      <c r="V243" s="224"/>
      <c r="W243" s="224"/>
      <c r="X243" s="224"/>
      <c r="Y243" s="224"/>
      <c r="Z243" s="868"/>
      <c r="AA243" s="865"/>
      <c r="AB243" s="2"/>
      <c r="AC243" s="2"/>
      <c r="AD243" s="2"/>
      <c r="AE243" s="2"/>
      <c r="AF243" s="2"/>
      <c r="AG243" s="2"/>
      <c r="AH243" s="2"/>
      <c r="AI243" s="2"/>
      <c r="AJ243" s="2"/>
      <c r="AK243" s="2"/>
      <c r="AL243" s="2"/>
      <c r="AM243" s="2"/>
      <c r="AN243" s="2"/>
      <c r="AO243" s="9"/>
      <c r="AP243" s="9"/>
      <c r="AQ243" s="9"/>
      <c r="AR243" s="9"/>
    </row>
    <row r="244">
      <c r="A244" s="523"/>
      <c r="B244" s="523"/>
      <c r="C244" s="523"/>
      <c r="D244" s="523"/>
      <c r="E244" s="523"/>
      <c r="F244" s="523"/>
      <c r="G244" s="523"/>
      <c r="H244" s="523"/>
      <c r="I244" s="523"/>
      <c r="J244" s="523"/>
      <c r="K244" s="523"/>
      <c r="L244" s="523"/>
      <c r="M244" s="523"/>
      <c r="N244" s="523"/>
      <c r="O244" s="523"/>
      <c r="P244" s="523"/>
      <c r="Q244" s="523"/>
      <c r="R244" s="523"/>
      <c r="S244" s="523"/>
      <c r="T244" s="523"/>
      <c r="U244" s="523"/>
      <c r="V244" s="224"/>
      <c r="W244" s="224"/>
      <c r="X244" s="224"/>
      <c r="Y244" s="224"/>
      <c r="Z244" s="868"/>
      <c r="AA244" s="865"/>
      <c r="AB244" s="2"/>
      <c r="AC244" s="2"/>
      <c r="AD244" s="2"/>
      <c r="AE244" s="2"/>
      <c r="AF244" s="2"/>
      <c r="AG244" s="2"/>
      <c r="AH244" s="2"/>
      <c r="AI244" s="2"/>
      <c r="AJ244" s="2"/>
      <c r="AK244" s="2"/>
      <c r="AL244" s="2"/>
      <c r="AM244" s="2"/>
      <c r="AN244" s="2"/>
      <c r="AO244" s="9"/>
      <c r="AP244" s="9"/>
      <c r="AQ244" s="9"/>
      <c r="AR244" s="9"/>
    </row>
    <row r="245">
      <c r="A245" s="523"/>
      <c r="B245" s="523"/>
      <c r="C245" s="523"/>
      <c r="D245" s="523"/>
      <c r="E245" s="523"/>
      <c r="F245" s="523"/>
      <c r="G245" s="523"/>
      <c r="H245" s="523"/>
      <c r="I245" s="523"/>
      <c r="J245" s="523"/>
      <c r="K245" s="523"/>
      <c r="L245" s="523"/>
      <c r="M245" s="523"/>
      <c r="N245" s="523"/>
      <c r="O245" s="523"/>
      <c r="P245" s="523"/>
      <c r="Q245" s="523"/>
      <c r="R245" s="523"/>
      <c r="S245" s="523"/>
      <c r="T245" s="523"/>
      <c r="U245" s="523"/>
      <c r="V245" s="224"/>
      <c r="W245" s="224"/>
      <c r="X245" s="224"/>
      <c r="Y245" s="224"/>
      <c r="Z245" s="868"/>
      <c r="AA245" s="865"/>
      <c r="AB245" s="2"/>
      <c r="AC245" s="2"/>
      <c r="AD245" s="2"/>
      <c r="AE245" s="2"/>
      <c r="AF245" s="2"/>
      <c r="AG245" s="2"/>
      <c r="AH245" s="2"/>
      <c r="AI245" s="2"/>
      <c r="AJ245" s="2"/>
      <c r="AK245" s="2"/>
      <c r="AL245" s="2"/>
      <c r="AM245" s="2"/>
      <c r="AN245" s="2"/>
      <c r="AO245" s="9"/>
      <c r="AP245" s="9"/>
      <c r="AQ245" s="9"/>
      <c r="AR245" s="9"/>
    </row>
    <row r="246">
      <c r="A246" s="523"/>
      <c r="B246" s="523"/>
      <c r="C246" s="523"/>
      <c r="D246" s="523"/>
      <c r="E246" s="523"/>
      <c r="F246" s="523"/>
      <c r="G246" s="523"/>
      <c r="H246" s="523"/>
      <c r="I246" s="523"/>
      <c r="J246" s="523"/>
      <c r="K246" s="523"/>
      <c r="L246" s="523"/>
      <c r="M246" s="523"/>
      <c r="N246" s="523"/>
      <c r="O246" s="523"/>
      <c r="P246" s="523"/>
      <c r="Q246" s="523"/>
      <c r="R246" s="523"/>
      <c r="S246" s="523"/>
      <c r="T246" s="523"/>
      <c r="U246" s="523"/>
      <c r="V246" s="224"/>
      <c r="W246" s="224"/>
      <c r="X246" s="224"/>
      <c r="Y246" s="224"/>
      <c r="Z246" s="868"/>
      <c r="AA246" s="865"/>
      <c r="AB246" s="2"/>
      <c r="AC246" s="2"/>
      <c r="AD246" s="2"/>
      <c r="AE246" s="2"/>
      <c r="AF246" s="2"/>
      <c r="AG246" s="2"/>
      <c r="AH246" s="2"/>
      <c r="AI246" s="2"/>
      <c r="AJ246" s="2"/>
      <c r="AK246" s="2"/>
      <c r="AL246" s="2"/>
      <c r="AM246" s="2"/>
      <c r="AN246" s="2"/>
      <c r="AO246" s="9"/>
      <c r="AP246" s="9"/>
      <c r="AQ246" s="9"/>
      <c r="AR246" s="9"/>
    </row>
    <row r="247">
      <c r="A247" s="523"/>
      <c r="B247" s="523"/>
      <c r="C247" s="523"/>
      <c r="D247" s="523"/>
      <c r="E247" s="523"/>
      <c r="F247" s="523"/>
      <c r="G247" s="523"/>
      <c r="H247" s="523"/>
      <c r="I247" s="523"/>
      <c r="J247" s="523"/>
      <c r="K247" s="523"/>
      <c r="L247" s="523"/>
      <c r="M247" s="523"/>
      <c r="N247" s="523"/>
      <c r="O247" s="523"/>
      <c r="P247" s="523"/>
      <c r="Q247" s="523"/>
      <c r="R247" s="523"/>
      <c r="S247" s="523"/>
      <c r="T247" s="523"/>
      <c r="U247" s="523"/>
      <c r="V247" s="224"/>
      <c r="W247" s="224"/>
      <c r="X247" s="224"/>
      <c r="Y247" s="224"/>
      <c r="Z247" s="868"/>
      <c r="AA247" s="865"/>
      <c r="AB247" s="2"/>
      <c r="AC247" s="2"/>
      <c r="AD247" s="2"/>
      <c r="AE247" s="2"/>
      <c r="AF247" s="2"/>
      <c r="AG247" s="2"/>
      <c r="AH247" s="2"/>
      <c r="AI247" s="2"/>
      <c r="AJ247" s="2"/>
      <c r="AK247" s="2"/>
      <c r="AL247" s="2"/>
      <c r="AM247" s="2"/>
      <c r="AN247" s="2"/>
      <c r="AO247" s="9"/>
      <c r="AP247" s="9"/>
      <c r="AQ247" s="9"/>
      <c r="AR247" s="9"/>
    </row>
    <row r="248">
      <c r="A248" s="523"/>
      <c r="B248" s="523"/>
      <c r="C248" s="523"/>
      <c r="D248" s="523"/>
      <c r="E248" s="523"/>
      <c r="F248" s="523"/>
      <c r="G248" s="523"/>
      <c r="H248" s="523"/>
      <c r="I248" s="523"/>
      <c r="J248" s="523"/>
      <c r="K248" s="523"/>
      <c r="L248" s="523"/>
      <c r="M248" s="523"/>
      <c r="N248" s="523"/>
      <c r="O248" s="523"/>
      <c r="P248" s="523"/>
      <c r="Q248" s="523"/>
      <c r="R248" s="523"/>
      <c r="S248" s="523"/>
      <c r="T248" s="523"/>
      <c r="U248" s="523"/>
      <c r="V248" s="224"/>
      <c r="W248" s="224"/>
      <c r="X248" s="224"/>
      <c r="Y248" s="224"/>
      <c r="Z248" s="868"/>
      <c r="AA248" s="865"/>
      <c r="AB248" s="2"/>
      <c r="AC248" s="2"/>
      <c r="AD248" s="2"/>
      <c r="AE248" s="2"/>
      <c r="AF248" s="2"/>
      <c r="AG248" s="2"/>
      <c r="AH248" s="2"/>
      <c r="AI248" s="2"/>
      <c r="AJ248" s="2"/>
      <c r="AK248" s="2"/>
      <c r="AL248" s="2"/>
      <c r="AM248" s="2"/>
      <c r="AN248" s="2"/>
      <c r="AO248" s="9"/>
      <c r="AP248" s="9"/>
      <c r="AQ248" s="9"/>
      <c r="AR248" s="9"/>
    </row>
    <row r="249">
      <c r="A249" s="523"/>
      <c r="B249" s="523"/>
      <c r="C249" s="523"/>
      <c r="D249" s="523"/>
      <c r="E249" s="523"/>
      <c r="F249" s="523"/>
      <c r="G249" s="523"/>
      <c r="H249" s="523"/>
      <c r="I249" s="523"/>
      <c r="J249" s="523"/>
      <c r="K249" s="523"/>
      <c r="L249" s="523"/>
      <c r="M249" s="523"/>
      <c r="N249" s="523"/>
      <c r="O249" s="523"/>
      <c r="P249" s="523"/>
      <c r="Q249" s="523"/>
      <c r="R249" s="523"/>
      <c r="S249" s="523"/>
      <c r="T249" s="523"/>
      <c r="U249" s="523"/>
      <c r="V249" s="224"/>
      <c r="W249" s="224"/>
      <c r="X249" s="224"/>
      <c r="Y249" s="224"/>
      <c r="Z249" s="868"/>
      <c r="AA249" s="865"/>
      <c r="AB249" s="2"/>
      <c r="AC249" s="2"/>
      <c r="AD249" s="2"/>
      <c r="AE249" s="2"/>
      <c r="AF249" s="2"/>
      <c r="AG249" s="2"/>
      <c r="AH249" s="2"/>
      <c r="AI249" s="2"/>
      <c r="AJ249" s="2"/>
      <c r="AK249" s="2"/>
      <c r="AL249" s="2"/>
      <c r="AM249" s="2"/>
      <c r="AN249" s="2"/>
      <c r="AO249" s="9"/>
      <c r="AP249" s="9"/>
      <c r="AQ249" s="9"/>
      <c r="AR249" s="9"/>
    </row>
    <row r="250">
      <c r="A250" s="523"/>
      <c r="B250" s="523"/>
      <c r="C250" s="523"/>
      <c r="D250" s="523"/>
      <c r="E250" s="523"/>
      <c r="F250" s="523"/>
      <c r="G250" s="523"/>
      <c r="H250" s="523"/>
      <c r="I250" s="523"/>
      <c r="J250" s="523"/>
      <c r="K250" s="523"/>
      <c r="L250" s="523"/>
      <c r="M250" s="523"/>
      <c r="N250" s="523"/>
      <c r="O250" s="523"/>
      <c r="P250" s="523"/>
      <c r="Q250" s="523"/>
      <c r="R250" s="523"/>
      <c r="S250" s="523"/>
      <c r="T250" s="523"/>
      <c r="U250" s="523"/>
      <c r="V250" s="224"/>
      <c r="W250" s="224"/>
      <c r="X250" s="224"/>
      <c r="Y250" s="224"/>
      <c r="Z250" s="868"/>
      <c r="AA250" s="865"/>
      <c r="AB250" s="2"/>
      <c r="AC250" s="2"/>
      <c r="AD250" s="2"/>
      <c r="AE250" s="2"/>
      <c r="AF250" s="2"/>
      <c r="AG250" s="2"/>
      <c r="AH250" s="2"/>
      <c r="AI250" s="2"/>
      <c r="AJ250" s="2"/>
      <c r="AK250" s="2"/>
      <c r="AL250" s="2"/>
      <c r="AM250" s="2"/>
      <c r="AN250" s="2"/>
      <c r="AO250" s="9"/>
      <c r="AP250" s="9"/>
      <c r="AQ250" s="9"/>
      <c r="AR250" s="9"/>
    </row>
    <row r="251">
      <c r="A251" s="523"/>
      <c r="B251" s="523"/>
      <c r="C251" s="523"/>
      <c r="D251" s="523"/>
      <c r="E251" s="523"/>
      <c r="F251" s="523"/>
      <c r="G251" s="523"/>
      <c r="H251" s="523"/>
      <c r="I251" s="523"/>
      <c r="J251" s="523"/>
      <c r="K251" s="523"/>
      <c r="L251" s="523"/>
      <c r="M251" s="523"/>
      <c r="N251" s="523"/>
      <c r="O251" s="523"/>
      <c r="P251" s="523"/>
      <c r="Q251" s="523"/>
      <c r="R251" s="523"/>
      <c r="S251" s="523"/>
      <c r="T251" s="523"/>
      <c r="U251" s="523"/>
      <c r="V251" s="224"/>
      <c r="W251" s="224"/>
      <c r="X251" s="224"/>
      <c r="Y251" s="224"/>
      <c r="Z251" s="868"/>
      <c r="AA251" s="865"/>
      <c r="AB251" s="2"/>
      <c r="AC251" s="2"/>
      <c r="AD251" s="2"/>
      <c r="AE251" s="2"/>
      <c r="AF251" s="2"/>
      <c r="AG251" s="2"/>
      <c r="AH251" s="2"/>
      <c r="AI251" s="2"/>
      <c r="AJ251" s="2"/>
      <c r="AK251" s="2"/>
      <c r="AL251" s="2"/>
      <c r="AM251" s="2"/>
      <c r="AN251" s="2"/>
      <c r="AO251" s="9"/>
      <c r="AP251" s="9"/>
      <c r="AQ251" s="9"/>
      <c r="AR251" s="9"/>
    </row>
    <row r="252">
      <c r="A252" s="523"/>
      <c r="B252" s="523"/>
      <c r="C252" s="523"/>
      <c r="D252" s="523"/>
      <c r="E252" s="523"/>
      <c r="F252" s="523"/>
      <c r="G252" s="523"/>
      <c r="H252" s="523"/>
      <c r="I252" s="523"/>
      <c r="J252" s="523"/>
      <c r="K252" s="523"/>
      <c r="L252" s="523"/>
      <c r="M252" s="523"/>
      <c r="N252" s="523"/>
      <c r="O252" s="523"/>
      <c r="P252" s="523"/>
      <c r="Q252" s="523"/>
      <c r="R252" s="523"/>
      <c r="S252" s="523"/>
      <c r="T252" s="523"/>
      <c r="U252" s="523"/>
      <c r="V252" s="224"/>
      <c r="W252" s="224"/>
      <c r="X252" s="224"/>
      <c r="Y252" s="224"/>
      <c r="Z252" s="868"/>
      <c r="AA252" s="865"/>
      <c r="AB252" s="2"/>
      <c r="AC252" s="2"/>
      <c r="AD252" s="2"/>
      <c r="AE252" s="2"/>
      <c r="AF252" s="2"/>
      <c r="AG252" s="2"/>
      <c r="AH252" s="2"/>
      <c r="AI252" s="2"/>
      <c r="AJ252" s="2"/>
      <c r="AK252" s="2"/>
      <c r="AL252" s="2"/>
      <c r="AM252" s="2"/>
      <c r="AN252" s="2"/>
      <c r="AO252" s="9"/>
      <c r="AP252" s="9"/>
      <c r="AQ252" s="9"/>
      <c r="AR252" s="9"/>
    </row>
    <row r="253">
      <c r="A253" s="523"/>
      <c r="B253" s="523"/>
      <c r="C253" s="523"/>
      <c r="D253" s="523"/>
      <c r="E253" s="523"/>
      <c r="F253" s="523"/>
      <c r="G253" s="523"/>
      <c r="H253" s="523"/>
      <c r="I253" s="523"/>
      <c r="J253" s="523"/>
      <c r="K253" s="523"/>
      <c r="L253" s="523"/>
      <c r="M253" s="523"/>
      <c r="N253" s="523"/>
      <c r="O253" s="523"/>
      <c r="P253" s="523"/>
      <c r="Q253" s="523"/>
      <c r="R253" s="523"/>
      <c r="S253" s="523"/>
      <c r="T253" s="523"/>
      <c r="U253" s="523"/>
      <c r="V253" s="224"/>
      <c r="W253" s="224"/>
      <c r="X253" s="224"/>
      <c r="Y253" s="224"/>
      <c r="Z253" s="868"/>
      <c r="AA253" s="865"/>
      <c r="AB253" s="2"/>
      <c r="AC253" s="2"/>
      <c r="AD253" s="2"/>
      <c r="AE253" s="2"/>
      <c r="AF253" s="2"/>
      <c r="AG253" s="2"/>
      <c r="AH253" s="2"/>
      <c r="AI253" s="2"/>
      <c r="AJ253" s="2"/>
      <c r="AK253" s="2"/>
      <c r="AL253" s="2"/>
      <c r="AM253" s="2"/>
      <c r="AN253" s="2"/>
      <c r="AO253" s="9"/>
      <c r="AP253" s="9"/>
      <c r="AQ253" s="9"/>
      <c r="AR253" s="9"/>
    </row>
    <row r="254">
      <c r="A254" s="523"/>
      <c r="B254" s="523"/>
      <c r="C254" s="523"/>
      <c r="D254" s="523"/>
      <c r="E254" s="523"/>
      <c r="F254" s="523"/>
      <c r="G254" s="523"/>
      <c r="H254" s="523"/>
      <c r="I254" s="523"/>
      <c r="J254" s="523"/>
      <c r="K254" s="523"/>
      <c r="L254" s="523"/>
      <c r="M254" s="523"/>
      <c r="N254" s="523"/>
      <c r="O254" s="523"/>
      <c r="P254" s="523"/>
      <c r="Q254" s="523"/>
      <c r="R254" s="523"/>
      <c r="S254" s="523"/>
      <c r="T254" s="523"/>
      <c r="U254" s="523"/>
      <c r="V254" s="224"/>
      <c r="W254" s="224"/>
      <c r="X254" s="224"/>
      <c r="Y254" s="224"/>
      <c r="Z254" s="868"/>
      <c r="AA254" s="865"/>
      <c r="AB254" s="2"/>
      <c r="AC254" s="2"/>
      <c r="AD254" s="2"/>
      <c r="AE254" s="2"/>
      <c r="AF254" s="2"/>
      <c r="AG254" s="2"/>
      <c r="AH254" s="2"/>
      <c r="AI254" s="2"/>
      <c r="AJ254" s="2"/>
      <c r="AK254" s="2"/>
      <c r="AL254" s="2"/>
      <c r="AM254" s="2"/>
      <c r="AN254" s="2"/>
      <c r="AO254" s="9"/>
      <c r="AP254" s="9"/>
      <c r="AQ254" s="9"/>
      <c r="AR254" s="9"/>
    </row>
    <row r="255">
      <c r="A255" s="523"/>
      <c r="B255" s="523"/>
      <c r="C255" s="523"/>
      <c r="D255" s="523"/>
      <c r="E255" s="523"/>
      <c r="F255" s="523"/>
      <c r="G255" s="523"/>
      <c r="H255" s="523"/>
      <c r="I255" s="523"/>
      <c r="J255" s="523"/>
      <c r="K255" s="523"/>
      <c r="L255" s="523"/>
      <c r="M255" s="523"/>
      <c r="N255" s="523"/>
      <c r="O255" s="523"/>
      <c r="P255" s="523"/>
      <c r="Q255" s="523"/>
      <c r="R255" s="523"/>
      <c r="S255" s="523"/>
      <c r="T255" s="523"/>
      <c r="U255" s="523"/>
      <c r="V255" s="224"/>
      <c r="W255" s="224"/>
      <c r="X255" s="224"/>
      <c r="Y255" s="224"/>
      <c r="Z255" s="868"/>
      <c r="AA255" s="865"/>
      <c r="AB255" s="2"/>
      <c r="AC255" s="2"/>
      <c r="AD255" s="2"/>
      <c r="AE255" s="2"/>
      <c r="AF255" s="2"/>
      <c r="AG255" s="2"/>
      <c r="AH255" s="2"/>
      <c r="AI255" s="2"/>
      <c r="AJ255" s="2"/>
      <c r="AK255" s="2"/>
      <c r="AL255" s="2"/>
      <c r="AM255" s="2"/>
      <c r="AN255" s="2"/>
      <c r="AO255" s="9"/>
      <c r="AP255" s="9"/>
      <c r="AQ255" s="9"/>
      <c r="AR255" s="9"/>
    </row>
    <row r="256">
      <c r="A256" s="523"/>
      <c r="B256" s="523"/>
      <c r="C256" s="523"/>
      <c r="D256" s="523"/>
      <c r="E256" s="523"/>
      <c r="F256" s="523"/>
      <c r="G256" s="523"/>
      <c r="H256" s="523"/>
      <c r="I256" s="523"/>
      <c r="J256" s="523"/>
      <c r="K256" s="523"/>
      <c r="L256" s="523"/>
      <c r="M256" s="523"/>
      <c r="N256" s="523"/>
      <c r="O256" s="523"/>
      <c r="P256" s="523"/>
      <c r="Q256" s="523"/>
      <c r="R256" s="523"/>
      <c r="S256" s="523"/>
      <c r="T256" s="523"/>
      <c r="U256" s="523"/>
      <c r="V256" s="224"/>
      <c r="W256" s="224"/>
      <c r="X256" s="224"/>
      <c r="Y256" s="224"/>
      <c r="Z256" s="868"/>
      <c r="AA256" s="865"/>
      <c r="AB256" s="2"/>
      <c r="AC256" s="2"/>
      <c r="AD256" s="2"/>
      <c r="AE256" s="2"/>
      <c r="AF256" s="2"/>
      <c r="AG256" s="2"/>
      <c r="AH256" s="2"/>
      <c r="AI256" s="2"/>
      <c r="AJ256" s="2"/>
      <c r="AK256" s="2"/>
      <c r="AL256" s="2"/>
      <c r="AM256" s="2"/>
      <c r="AN256" s="2"/>
      <c r="AO256" s="9"/>
      <c r="AP256" s="9"/>
      <c r="AQ256" s="9"/>
      <c r="AR256" s="9"/>
    </row>
    <row r="257">
      <c r="A257" s="523"/>
      <c r="B257" s="523"/>
      <c r="C257" s="523"/>
      <c r="D257" s="523"/>
      <c r="E257" s="523"/>
      <c r="F257" s="523"/>
      <c r="G257" s="523"/>
      <c r="H257" s="523"/>
      <c r="I257" s="523"/>
      <c r="J257" s="523"/>
      <c r="K257" s="523"/>
      <c r="L257" s="523"/>
      <c r="M257" s="523"/>
      <c r="N257" s="523"/>
      <c r="O257" s="523"/>
      <c r="P257" s="523"/>
      <c r="Q257" s="523"/>
      <c r="R257" s="523"/>
      <c r="S257" s="523"/>
      <c r="T257" s="523"/>
      <c r="U257" s="523"/>
      <c r="V257" s="224"/>
      <c r="W257" s="224"/>
      <c r="X257" s="224"/>
      <c r="Y257" s="224"/>
      <c r="Z257" s="868"/>
      <c r="AA257" s="865"/>
      <c r="AB257" s="2"/>
      <c r="AC257" s="2"/>
      <c r="AD257" s="2"/>
      <c r="AE257" s="2"/>
      <c r="AF257" s="2"/>
      <c r="AG257" s="2"/>
      <c r="AH257" s="2"/>
      <c r="AI257" s="2"/>
      <c r="AJ257" s="2"/>
      <c r="AK257" s="2"/>
      <c r="AL257" s="2"/>
      <c r="AM257" s="2"/>
      <c r="AN257" s="2"/>
      <c r="AO257" s="9"/>
      <c r="AP257" s="9"/>
      <c r="AQ257" s="9"/>
      <c r="AR257" s="9"/>
    </row>
    <row r="258">
      <c r="A258" s="523"/>
      <c r="B258" s="523"/>
      <c r="C258" s="523"/>
      <c r="D258" s="523"/>
      <c r="E258" s="523"/>
      <c r="F258" s="523"/>
      <c r="G258" s="523"/>
      <c r="H258" s="523"/>
      <c r="I258" s="523"/>
      <c r="J258" s="523"/>
      <c r="K258" s="523"/>
      <c r="L258" s="523"/>
      <c r="M258" s="523"/>
      <c r="N258" s="523"/>
      <c r="O258" s="523"/>
      <c r="P258" s="523"/>
      <c r="Q258" s="523"/>
      <c r="R258" s="523"/>
      <c r="S258" s="523"/>
      <c r="T258" s="523"/>
      <c r="U258" s="523"/>
      <c r="V258" s="224"/>
      <c r="W258" s="224"/>
      <c r="X258" s="224"/>
      <c r="Y258" s="224"/>
      <c r="Z258" s="868"/>
      <c r="AA258" s="865"/>
      <c r="AB258" s="2"/>
      <c r="AC258" s="2"/>
      <c r="AD258" s="2"/>
      <c r="AE258" s="2"/>
      <c r="AF258" s="2"/>
      <c r="AG258" s="2"/>
      <c r="AH258" s="2"/>
      <c r="AI258" s="2"/>
      <c r="AJ258" s="2"/>
      <c r="AK258" s="2"/>
      <c r="AL258" s="2"/>
      <c r="AM258" s="2"/>
      <c r="AN258" s="2"/>
      <c r="AO258" s="9"/>
      <c r="AP258" s="9"/>
      <c r="AQ258" s="9"/>
      <c r="AR258" s="9"/>
    </row>
    <row r="259">
      <c r="A259" s="523"/>
      <c r="B259" s="523"/>
      <c r="C259" s="523"/>
      <c r="D259" s="523"/>
      <c r="E259" s="523"/>
      <c r="F259" s="523"/>
      <c r="G259" s="523"/>
      <c r="H259" s="523"/>
      <c r="I259" s="523"/>
      <c r="J259" s="523"/>
      <c r="K259" s="523"/>
      <c r="L259" s="523"/>
      <c r="M259" s="523"/>
      <c r="N259" s="523"/>
      <c r="O259" s="523"/>
      <c r="P259" s="523"/>
      <c r="Q259" s="523"/>
      <c r="R259" s="523"/>
      <c r="S259" s="523"/>
      <c r="T259" s="523"/>
      <c r="U259" s="523"/>
      <c r="V259" s="224"/>
      <c r="W259" s="224"/>
      <c r="X259" s="224"/>
      <c r="Y259" s="224"/>
      <c r="Z259" s="868"/>
      <c r="AA259" s="865"/>
      <c r="AB259" s="2"/>
      <c r="AC259" s="2"/>
      <c r="AD259" s="2"/>
      <c r="AE259" s="2"/>
      <c r="AF259" s="2"/>
      <c r="AG259" s="2"/>
      <c r="AH259" s="2"/>
      <c r="AI259" s="2"/>
      <c r="AJ259" s="2"/>
      <c r="AK259" s="2"/>
      <c r="AL259" s="2"/>
      <c r="AM259" s="2"/>
      <c r="AN259" s="2"/>
      <c r="AO259" s="9"/>
      <c r="AP259" s="9"/>
      <c r="AQ259" s="9"/>
      <c r="AR259" s="9"/>
    </row>
    <row r="260">
      <c r="A260" s="523"/>
      <c r="B260" s="523"/>
      <c r="C260" s="523"/>
      <c r="D260" s="523"/>
      <c r="E260" s="523"/>
      <c r="F260" s="523"/>
      <c r="G260" s="523"/>
      <c r="H260" s="523"/>
      <c r="I260" s="523"/>
      <c r="J260" s="523"/>
      <c r="K260" s="523"/>
      <c r="L260" s="523"/>
      <c r="M260" s="523"/>
      <c r="N260" s="523"/>
      <c r="O260" s="523"/>
      <c r="P260" s="523"/>
      <c r="Q260" s="523"/>
      <c r="R260" s="523"/>
      <c r="S260" s="523"/>
      <c r="T260" s="523"/>
      <c r="U260" s="523"/>
      <c r="V260" s="224"/>
      <c r="W260" s="224"/>
      <c r="X260" s="224"/>
      <c r="Y260" s="224"/>
      <c r="Z260" s="868"/>
      <c r="AA260" s="865"/>
      <c r="AB260" s="2"/>
      <c r="AC260" s="2"/>
      <c r="AD260" s="2"/>
      <c r="AE260" s="2"/>
      <c r="AF260" s="2"/>
      <c r="AG260" s="2"/>
      <c r="AH260" s="2"/>
      <c r="AI260" s="2"/>
      <c r="AJ260" s="2"/>
      <c r="AK260" s="2"/>
      <c r="AL260" s="2"/>
      <c r="AM260" s="2"/>
      <c r="AN260" s="2"/>
      <c r="AO260" s="9"/>
      <c r="AP260" s="9"/>
      <c r="AQ260" s="9"/>
      <c r="AR260" s="9"/>
    </row>
    <row r="261">
      <c r="A261" s="523"/>
      <c r="B261" s="523"/>
      <c r="C261" s="523"/>
      <c r="D261" s="523"/>
      <c r="E261" s="523"/>
      <c r="F261" s="523"/>
      <c r="G261" s="523"/>
      <c r="H261" s="523"/>
      <c r="I261" s="523"/>
      <c r="J261" s="523"/>
      <c r="K261" s="523"/>
      <c r="L261" s="523"/>
      <c r="M261" s="523"/>
      <c r="N261" s="523"/>
      <c r="O261" s="523"/>
      <c r="P261" s="523"/>
      <c r="Q261" s="523"/>
      <c r="R261" s="523"/>
      <c r="S261" s="523"/>
      <c r="T261" s="523"/>
      <c r="U261" s="523"/>
      <c r="V261" s="224"/>
      <c r="W261" s="224"/>
      <c r="X261" s="224"/>
      <c r="Y261" s="224"/>
      <c r="Z261" s="868"/>
      <c r="AA261" s="865"/>
      <c r="AB261" s="2"/>
      <c r="AC261" s="2"/>
      <c r="AD261" s="2"/>
      <c r="AE261" s="2"/>
      <c r="AF261" s="2"/>
      <c r="AG261" s="2"/>
      <c r="AH261" s="2"/>
      <c r="AI261" s="2"/>
      <c r="AJ261" s="2"/>
      <c r="AK261" s="2"/>
      <c r="AL261" s="2"/>
      <c r="AM261" s="2"/>
      <c r="AN261" s="2"/>
      <c r="AO261" s="9"/>
      <c r="AP261" s="9"/>
      <c r="AQ261" s="9"/>
      <c r="AR261" s="9"/>
    </row>
    <row r="262">
      <c r="A262" s="523"/>
      <c r="B262" s="523"/>
      <c r="C262" s="523"/>
      <c r="D262" s="523"/>
      <c r="E262" s="523"/>
      <c r="F262" s="523"/>
      <c r="G262" s="523"/>
      <c r="H262" s="523"/>
      <c r="I262" s="523"/>
      <c r="J262" s="523"/>
      <c r="K262" s="523"/>
      <c r="L262" s="523"/>
      <c r="M262" s="523"/>
      <c r="N262" s="523"/>
      <c r="O262" s="523"/>
      <c r="P262" s="523"/>
      <c r="Q262" s="523"/>
      <c r="R262" s="523"/>
      <c r="S262" s="523"/>
      <c r="T262" s="523"/>
      <c r="U262" s="523"/>
      <c r="V262" s="224"/>
      <c r="W262" s="224"/>
      <c r="X262" s="224"/>
      <c r="Y262" s="224"/>
      <c r="Z262" s="868"/>
      <c r="AA262" s="865"/>
      <c r="AB262" s="2"/>
      <c r="AC262" s="2"/>
      <c r="AD262" s="2"/>
      <c r="AE262" s="2"/>
      <c r="AF262" s="2"/>
      <c r="AG262" s="2"/>
      <c r="AH262" s="2"/>
      <c r="AI262" s="2"/>
      <c r="AJ262" s="2"/>
      <c r="AK262" s="2"/>
      <c r="AL262" s="2"/>
      <c r="AM262" s="2"/>
      <c r="AN262" s="2"/>
      <c r="AO262" s="9"/>
      <c r="AP262" s="9"/>
      <c r="AQ262" s="9"/>
      <c r="AR262" s="9"/>
    </row>
    <row r="263">
      <c r="A263" s="523"/>
      <c r="B263" s="523"/>
      <c r="C263" s="523"/>
      <c r="D263" s="523"/>
      <c r="E263" s="523"/>
      <c r="F263" s="523"/>
      <c r="G263" s="523"/>
      <c r="H263" s="523"/>
      <c r="I263" s="523"/>
      <c r="J263" s="523"/>
      <c r="K263" s="523"/>
      <c r="L263" s="523"/>
      <c r="M263" s="523"/>
      <c r="N263" s="523"/>
      <c r="O263" s="523"/>
      <c r="P263" s="523"/>
      <c r="Q263" s="523"/>
      <c r="R263" s="523"/>
      <c r="S263" s="523"/>
      <c r="T263" s="523"/>
      <c r="U263" s="523"/>
      <c r="V263" s="224"/>
      <c r="W263" s="224"/>
      <c r="X263" s="224"/>
      <c r="Y263" s="224"/>
      <c r="Z263" s="868"/>
      <c r="AA263" s="865"/>
      <c r="AB263" s="2"/>
      <c r="AC263" s="2"/>
      <c r="AD263" s="2"/>
      <c r="AE263" s="2"/>
      <c r="AF263" s="2"/>
      <c r="AG263" s="2"/>
      <c r="AH263" s="2"/>
      <c r="AI263" s="2"/>
      <c r="AJ263" s="2"/>
      <c r="AK263" s="2"/>
      <c r="AL263" s="2"/>
      <c r="AM263" s="2"/>
      <c r="AN263" s="2"/>
      <c r="AO263" s="9"/>
      <c r="AP263" s="9"/>
      <c r="AQ263" s="9"/>
      <c r="AR263" s="9"/>
    </row>
    <row r="264">
      <c r="A264" s="523"/>
      <c r="B264" s="523"/>
      <c r="C264" s="523"/>
      <c r="D264" s="523"/>
      <c r="E264" s="523"/>
      <c r="F264" s="523"/>
      <c r="G264" s="523"/>
      <c r="H264" s="523"/>
      <c r="I264" s="523"/>
      <c r="J264" s="523"/>
      <c r="K264" s="523"/>
      <c r="L264" s="523"/>
      <c r="M264" s="523"/>
      <c r="N264" s="523"/>
      <c r="O264" s="523"/>
      <c r="P264" s="523"/>
      <c r="Q264" s="523"/>
      <c r="R264" s="523"/>
      <c r="S264" s="523"/>
      <c r="T264" s="523"/>
      <c r="U264" s="523"/>
      <c r="V264" s="224"/>
      <c r="W264" s="224"/>
      <c r="X264" s="224"/>
      <c r="Y264" s="224"/>
      <c r="Z264" s="868"/>
      <c r="AA264" s="865"/>
      <c r="AB264" s="2"/>
      <c r="AC264" s="2"/>
      <c r="AD264" s="2"/>
      <c r="AE264" s="2"/>
      <c r="AF264" s="2"/>
      <c r="AG264" s="2"/>
      <c r="AH264" s="2"/>
      <c r="AI264" s="2"/>
      <c r="AJ264" s="2"/>
      <c r="AK264" s="2"/>
      <c r="AL264" s="2"/>
      <c r="AM264" s="2"/>
      <c r="AN264" s="2"/>
      <c r="AO264" s="9"/>
      <c r="AP264" s="9"/>
      <c r="AQ264" s="9"/>
      <c r="AR264" s="9"/>
    </row>
    <row r="265">
      <c r="A265" s="523"/>
      <c r="B265" s="523"/>
      <c r="C265" s="523"/>
      <c r="D265" s="523"/>
      <c r="E265" s="523"/>
      <c r="F265" s="523"/>
      <c r="G265" s="523"/>
      <c r="H265" s="523"/>
      <c r="I265" s="523"/>
      <c r="J265" s="523"/>
      <c r="K265" s="523"/>
      <c r="L265" s="523"/>
      <c r="M265" s="523"/>
      <c r="N265" s="523"/>
      <c r="O265" s="523"/>
      <c r="P265" s="523"/>
      <c r="Q265" s="523"/>
      <c r="R265" s="523"/>
      <c r="S265" s="523"/>
      <c r="T265" s="523"/>
      <c r="U265" s="523"/>
      <c r="V265" s="224"/>
      <c r="W265" s="224"/>
      <c r="X265" s="224"/>
      <c r="Y265" s="224"/>
      <c r="Z265" s="868"/>
      <c r="AA265" s="865"/>
      <c r="AB265" s="2"/>
      <c r="AC265" s="2"/>
      <c r="AD265" s="2"/>
      <c r="AE265" s="2"/>
      <c r="AF265" s="2"/>
      <c r="AG265" s="2"/>
      <c r="AH265" s="2"/>
      <c r="AI265" s="2"/>
      <c r="AJ265" s="2"/>
      <c r="AK265" s="2"/>
      <c r="AL265" s="2"/>
      <c r="AM265" s="2"/>
      <c r="AN265" s="2"/>
      <c r="AO265" s="9"/>
      <c r="AP265" s="9"/>
      <c r="AQ265" s="9"/>
      <c r="AR265" s="9"/>
    </row>
    <row r="266">
      <c r="A266" s="523"/>
      <c r="B266" s="523"/>
      <c r="C266" s="523"/>
      <c r="D266" s="523"/>
      <c r="E266" s="523"/>
      <c r="F266" s="523"/>
      <c r="G266" s="523"/>
      <c r="H266" s="523"/>
      <c r="I266" s="523"/>
      <c r="J266" s="523"/>
      <c r="K266" s="523"/>
      <c r="L266" s="523"/>
      <c r="M266" s="523"/>
      <c r="N266" s="523"/>
      <c r="O266" s="523"/>
      <c r="P266" s="523"/>
      <c r="Q266" s="523"/>
      <c r="R266" s="523"/>
      <c r="S266" s="523"/>
      <c r="T266" s="523"/>
      <c r="U266" s="523"/>
      <c r="V266" s="224"/>
      <c r="W266" s="224"/>
      <c r="X266" s="224"/>
      <c r="Y266" s="224"/>
      <c r="Z266" s="868"/>
      <c r="AA266" s="865"/>
      <c r="AB266" s="2"/>
      <c r="AC266" s="2"/>
      <c r="AD266" s="2"/>
      <c r="AE266" s="2"/>
      <c r="AF266" s="2"/>
      <c r="AG266" s="2"/>
      <c r="AH266" s="2"/>
      <c r="AI266" s="2"/>
      <c r="AJ266" s="2"/>
      <c r="AK266" s="2"/>
      <c r="AL266" s="2"/>
      <c r="AM266" s="2"/>
      <c r="AN266" s="2"/>
      <c r="AO266" s="9"/>
      <c r="AP266" s="9"/>
      <c r="AQ266" s="9"/>
      <c r="AR266" s="9"/>
    </row>
    <row r="267">
      <c r="A267" s="523"/>
      <c r="B267" s="523"/>
      <c r="C267" s="523"/>
      <c r="D267" s="523"/>
      <c r="E267" s="523"/>
      <c r="F267" s="523"/>
      <c r="G267" s="523"/>
      <c r="H267" s="523"/>
      <c r="I267" s="523"/>
      <c r="J267" s="523"/>
      <c r="K267" s="523"/>
      <c r="L267" s="523"/>
      <c r="M267" s="523"/>
      <c r="N267" s="523"/>
      <c r="O267" s="523"/>
      <c r="P267" s="523"/>
      <c r="Q267" s="523"/>
      <c r="R267" s="523"/>
      <c r="S267" s="523"/>
      <c r="T267" s="523"/>
      <c r="U267" s="523"/>
      <c r="V267" s="224"/>
      <c r="W267" s="224"/>
      <c r="X267" s="224"/>
      <c r="Y267" s="224"/>
      <c r="Z267" s="868"/>
      <c r="AA267" s="865"/>
      <c r="AB267" s="2"/>
      <c r="AC267" s="2"/>
      <c r="AD267" s="2"/>
      <c r="AE267" s="2"/>
      <c r="AF267" s="2"/>
      <c r="AG267" s="2"/>
      <c r="AH267" s="2"/>
      <c r="AI267" s="2"/>
      <c r="AJ267" s="2"/>
      <c r="AK267" s="2"/>
      <c r="AL267" s="2"/>
      <c r="AM267" s="2"/>
      <c r="AN267" s="2"/>
      <c r="AO267" s="9"/>
      <c r="AP267" s="9"/>
      <c r="AQ267" s="9"/>
      <c r="AR267" s="9"/>
    </row>
    <row r="268">
      <c r="A268" s="523"/>
      <c r="B268" s="523"/>
      <c r="C268" s="523"/>
      <c r="D268" s="523"/>
      <c r="E268" s="523"/>
      <c r="F268" s="523"/>
      <c r="G268" s="523"/>
      <c r="H268" s="523"/>
      <c r="I268" s="523"/>
      <c r="J268" s="523"/>
      <c r="K268" s="523"/>
      <c r="L268" s="523"/>
      <c r="M268" s="523"/>
      <c r="N268" s="523"/>
      <c r="O268" s="523"/>
      <c r="P268" s="523"/>
      <c r="Q268" s="523"/>
      <c r="R268" s="523"/>
      <c r="S268" s="523"/>
      <c r="T268" s="523"/>
      <c r="U268" s="523"/>
      <c r="V268" s="224"/>
      <c r="W268" s="224"/>
      <c r="X268" s="224"/>
      <c r="Y268" s="224"/>
      <c r="Z268" s="868"/>
      <c r="AA268" s="865"/>
      <c r="AB268" s="2"/>
      <c r="AC268" s="2"/>
      <c r="AD268" s="2"/>
      <c r="AE268" s="2"/>
      <c r="AF268" s="2"/>
      <c r="AG268" s="2"/>
      <c r="AH268" s="2"/>
      <c r="AI268" s="2"/>
      <c r="AJ268" s="2"/>
      <c r="AK268" s="2"/>
      <c r="AL268" s="2"/>
      <c r="AM268" s="2"/>
      <c r="AN268" s="2"/>
      <c r="AO268" s="9"/>
      <c r="AP268" s="9"/>
      <c r="AQ268" s="9"/>
      <c r="AR268" s="9"/>
    </row>
    <row r="269">
      <c r="A269" s="523"/>
      <c r="B269" s="523"/>
      <c r="C269" s="523"/>
      <c r="D269" s="523"/>
      <c r="E269" s="523"/>
      <c r="F269" s="523"/>
      <c r="G269" s="523"/>
      <c r="H269" s="523"/>
      <c r="I269" s="523"/>
      <c r="J269" s="523"/>
      <c r="K269" s="523"/>
      <c r="L269" s="523"/>
      <c r="M269" s="523"/>
      <c r="N269" s="523"/>
      <c r="O269" s="523"/>
      <c r="P269" s="523"/>
      <c r="Q269" s="523"/>
      <c r="R269" s="523"/>
      <c r="S269" s="523"/>
      <c r="T269" s="523"/>
      <c r="U269" s="523"/>
      <c r="V269" s="224"/>
      <c r="W269" s="224"/>
      <c r="X269" s="224"/>
      <c r="Y269" s="224"/>
      <c r="Z269" s="868"/>
      <c r="AA269" s="865"/>
      <c r="AB269" s="2"/>
      <c r="AC269" s="2"/>
      <c r="AD269" s="2"/>
      <c r="AE269" s="2"/>
      <c r="AF269" s="2"/>
      <c r="AG269" s="2"/>
      <c r="AH269" s="2"/>
      <c r="AI269" s="2"/>
      <c r="AJ269" s="2"/>
      <c r="AK269" s="2"/>
      <c r="AL269" s="2"/>
      <c r="AM269" s="2"/>
      <c r="AN269" s="2"/>
      <c r="AO269" s="9"/>
      <c r="AP269" s="9"/>
      <c r="AQ269" s="9"/>
      <c r="AR269" s="9"/>
    </row>
    <row r="270">
      <c r="A270" s="523"/>
      <c r="B270" s="523"/>
      <c r="C270" s="523"/>
      <c r="D270" s="523"/>
      <c r="E270" s="523"/>
      <c r="F270" s="523"/>
      <c r="G270" s="523"/>
      <c r="H270" s="523"/>
      <c r="I270" s="523"/>
      <c r="J270" s="523"/>
      <c r="K270" s="523"/>
      <c r="L270" s="523"/>
      <c r="M270" s="523"/>
      <c r="N270" s="523"/>
      <c r="O270" s="523"/>
      <c r="P270" s="523"/>
      <c r="Q270" s="523"/>
      <c r="R270" s="523"/>
      <c r="S270" s="523"/>
      <c r="T270" s="523"/>
      <c r="U270" s="523"/>
      <c r="V270" s="224"/>
      <c r="W270" s="224"/>
      <c r="X270" s="224"/>
      <c r="Y270" s="224"/>
      <c r="Z270" s="868"/>
      <c r="AA270" s="865"/>
      <c r="AB270" s="2"/>
      <c r="AC270" s="2"/>
      <c r="AD270" s="2"/>
      <c r="AE270" s="2"/>
      <c r="AF270" s="2"/>
      <c r="AG270" s="2"/>
      <c r="AH270" s="2"/>
      <c r="AI270" s="2"/>
      <c r="AJ270" s="2"/>
      <c r="AK270" s="2"/>
      <c r="AL270" s="2"/>
      <c r="AM270" s="2"/>
      <c r="AN270" s="2"/>
      <c r="AO270" s="9"/>
      <c r="AP270" s="9"/>
      <c r="AQ270" s="9"/>
      <c r="AR270" s="9"/>
    </row>
    <row r="271">
      <c r="A271" s="523"/>
      <c r="B271" s="523"/>
      <c r="C271" s="523"/>
      <c r="D271" s="523"/>
      <c r="E271" s="523"/>
      <c r="F271" s="523"/>
      <c r="G271" s="523"/>
      <c r="H271" s="523"/>
      <c r="I271" s="523"/>
      <c r="J271" s="523"/>
      <c r="K271" s="523"/>
      <c r="L271" s="523"/>
      <c r="M271" s="523"/>
      <c r="N271" s="523"/>
      <c r="O271" s="523"/>
      <c r="P271" s="523"/>
      <c r="Q271" s="523"/>
      <c r="R271" s="523"/>
      <c r="S271" s="523"/>
      <c r="T271" s="523"/>
      <c r="U271" s="523"/>
      <c r="V271" s="224"/>
      <c r="W271" s="224"/>
      <c r="X271" s="224"/>
      <c r="Y271" s="224"/>
      <c r="Z271" s="868"/>
      <c r="AA271" s="865"/>
      <c r="AB271" s="2"/>
      <c r="AC271" s="2"/>
      <c r="AD271" s="2"/>
      <c r="AE271" s="2"/>
      <c r="AF271" s="2"/>
      <c r="AG271" s="2"/>
      <c r="AH271" s="2"/>
      <c r="AI271" s="2"/>
      <c r="AJ271" s="2"/>
      <c r="AK271" s="2"/>
      <c r="AL271" s="2"/>
      <c r="AM271" s="2"/>
      <c r="AN271" s="2"/>
      <c r="AO271" s="9"/>
      <c r="AP271" s="9"/>
      <c r="AQ271" s="9"/>
      <c r="AR271" s="9"/>
    </row>
    <row r="272">
      <c r="A272" s="523"/>
      <c r="B272" s="523"/>
      <c r="C272" s="523"/>
      <c r="D272" s="523"/>
      <c r="E272" s="523"/>
      <c r="F272" s="523"/>
      <c r="G272" s="523"/>
      <c r="H272" s="523"/>
      <c r="I272" s="523"/>
      <c r="J272" s="523"/>
      <c r="K272" s="523"/>
      <c r="L272" s="523"/>
      <c r="M272" s="523"/>
      <c r="N272" s="523"/>
      <c r="O272" s="523"/>
      <c r="P272" s="523"/>
      <c r="Q272" s="523"/>
      <c r="R272" s="523"/>
      <c r="S272" s="523"/>
      <c r="T272" s="523"/>
      <c r="U272" s="523"/>
      <c r="V272" s="224"/>
      <c r="W272" s="224"/>
      <c r="X272" s="224"/>
      <c r="Y272" s="224"/>
      <c r="Z272" s="868"/>
      <c r="AA272" s="865"/>
      <c r="AB272" s="2"/>
      <c r="AC272" s="2"/>
      <c r="AD272" s="2"/>
      <c r="AE272" s="2"/>
      <c r="AF272" s="2"/>
      <c r="AG272" s="2"/>
      <c r="AH272" s="2"/>
      <c r="AI272" s="2"/>
      <c r="AJ272" s="2"/>
      <c r="AK272" s="2"/>
      <c r="AL272" s="2"/>
      <c r="AM272" s="2"/>
      <c r="AN272" s="2"/>
      <c r="AO272" s="9"/>
      <c r="AP272" s="9"/>
      <c r="AQ272" s="9"/>
      <c r="AR272" s="9"/>
    </row>
    <row r="273">
      <c r="A273" s="523"/>
      <c r="B273" s="523"/>
      <c r="C273" s="523"/>
      <c r="D273" s="523"/>
      <c r="E273" s="523"/>
      <c r="F273" s="523"/>
      <c r="G273" s="523"/>
      <c r="H273" s="523"/>
      <c r="I273" s="523"/>
      <c r="J273" s="523"/>
      <c r="K273" s="523"/>
      <c r="L273" s="523"/>
      <c r="M273" s="523"/>
      <c r="N273" s="523"/>
      <c r="O273" s="523"/>
      <c r="P273" s="523"/>
      <c r="Q273" s="523"/>
      <c r="R273" s="523"/>
      <c r="S273" s="523"/>
      <c r="T273" s="523"/>
      <c r="U273" s="523"/>
      <c r="V273" s="224"/>
      <c r="W273" s="224"/>
      <c r="X273" s="224"/>
      <c r="Y273" s="224"/>
      <c r="Z273" s="868"/>
      <c r="AA273" s="865"/>
      <c r="AB273" s="2"/>
      <c r="AC273" s="2"/>
      <c r="AD273" s="2"/>
      <c r="AE273" s="2"/>
      <c r="AF273" s="2"/>
      <c r="AG273" s="2"/>
      <c r="AH273" s="2"/>
      <c r="AI273" s="2"/>
      <c r="AJ273" s="2"/>
      <c r="AK273" s="2"/>
      <c r="AL273" s="2"/>
      <c r="AM273" s="2"/>
      <c r="AN273" s="2"/>
      <c r="AO273" s="9"/>
      <c r="AP273" s="9"/>
      <c r="AQ273" s="9"/>
      <c r="AR273" s="9"/>
    </row>
    <row r="274">
      <c r="A274" s="523"/>
      <c r="B274" s="523"/>
      <c r="C274" s="523"/>
      <c r="D274" s="523"/>
      <c r="E274" s="523"/>
      <c r="F274" s="523"/>
      <c r="G274" s="523"/>
      <c r="H274" s="523"/>
      <c r="I274" s="523"/>
      <c r="J274" s="523"/>
      <c r="K274" s="523"/>
      <c r="L274" s="523"/>
      <c r="M274" s="523"/>
      <c r="N274" s="523"/>
      <c r="O274" s="523"/>
      <c r="P274" s="523"/>
      <c r="Q274" s="523"/>
      <c r="R274" s="523"/>
      <c r="S274" s="523"/>
      <c r="T274" s="523"/>
      <c r="U274" s="523"/>
      <c r="V274" s="224"/>
      <c r="W274" s="224"/>
      <c r="X274" s="224"/>
      <c r="Y274" s="224"/>
      <c r="Z274" s="868"/>
      <c r="AA274" s="865"/>
      <c r="AB274" s="2"/>
      <c r="AC274" s="2"/>
      <c r="AD274" s="2"/>
      <c r="AE274" s="2"/>
      <c r="AF274" s="2"/>
      <c r="AG274" s="2"/>
      <c r="AH274" s="2"/>
      <c r="AI274" s="2"/>
      <c r="AJ274" s="2"/>
      <c r="AK274" s="2"/>
      <c r="AL274" s="2"/>
      <c r="AM274" s="2"/>
      <c r="AN274" s="2"/>
      <c r="AO274" s="9"/>
      <c r="AP274" s="9"/>
      <c r="AQ274" s="9"/>
      <c r="AR274" s="9"/>
    </row>
    <row r="275">
      <c r="A275" s="523"/>
      <c r="B275" s="523"/>
      <c r="C275" s="523"/>
      <c r="D275" s="523"/>
      <c r="E275" s="523"/>
      <c r="F275" s="523"/>
      <c r="G275" s="523"/>
      <c r="H275" s="523"/>
      <c r="I275" s="523"/>
      <c r="J275" s="523"/>
      <c r="K275" s="523"/>
      <c r="L275" s="523"/>
      <c r="M275" s="523"/>
      <c r="N275" s="523"/>
      <c r="O275" s="523"/>
      <c r="P275" s="523"/>
      <c r="Q275" s="523"/>
      <c r="R275" s="523"/>
      <c r="S275" s="523"/>
      <c r="T275" s="523"/>
      <c r="U275" s="523"/>
      <c r="V275" s="224"/>
      <c r="W275" s="224"/>
      <c r="X275" s="224"/>
      <c r="Y275" s="224"/>
      <c r="Z275" s="868"/>
      <c r="AA275" s="865"/>
      <c r="AB275" s="2"/>
      <c r="AC275" s="2"/>
      <c r="AD275" s="2"/>
      <c r="AE275" s="2"/>
      <c r="AF275" s="2"/>
      <c r="AG275" s="2"/>
      <c r="AH275" s="2"/>
      <c r="AI275" s="2"/>
      <c r="AJ275" s="2"/>
      <c r="AK275" s="2"/>
      <c r="AL275" s="2"/>
      <c r="AM275" s="2"/>
      <c r="AN275" s="2"/>
      <c r="AO275" s="9"/>
      <c r="AP275" s="9"/>
      <c r="AQ275" s="9"/>
      <c r="AR275" s="9"/>
    </row>
    <row r="276">
      <c r="A276" s="523"/>
      <c r="B276" s="523"/>
      <c r="C276" s="523"/>
      <c r="D276" s="523"/>
      <c r="E276" s="523"/>
      <c r="F276" s="523"/>
      <c r="G276" s="523"/>
      <c r="H276" s="523"/>
      <c r="I276" s="523"/>
      <c r="J276" s="523"/>
      <c r="K276" s="523"/>
      <c r="L276" s="523"/>
      <c r="M276" s="523"/>
      <c r="N276" s="523"/>
      <c r="O276" s="523"/>
      <c r="P276" s="523"/>
      <c r="Q276" s="523"/>
      <c r="R276" s="523"/>
      <c r="S276" s="523"/>
      <c r="T276" s="523"/>
      <c r="U276" s="523"/>
      <c r="V276" s="224"/>
      <c r="W276" s="224"/>
      <c r="X276" s="224"/>
      <c r="Y276" s="224"/>
      <c r="Z276" s="868"/>
      <c r="AA276" s="865"/>
      <c r="AB276" s="2"/>
      <c r="AC276" s="2"/>
      <c r="AD276" s="2"/>
      <c r="AE276" s="2"/>
      <c r="AF276" s="2"/>
      <c r="AG276" s="2"/>
      <c r="AH276" s="2"/>
      <c r="AI276" s="2"/>
      <c r="AJ276" s="2"/>
      <c r="AK276" s="2"/>
      <c r="AL276" s="2"/>
      <c r="AM276" s="2"/>
      <c r="AN276" s="2"/>
      <c r="AO276" s="9"/>
      <c r="AP276" s="9"/>
      <c r="AQ276" s="9"/>
      <c r="AR276" s="9"/>
    </row>
    <row r="277">
      <c r="A277" s="523"/>
      <c r="B277" s="523"/>
      <c r="C277" s="523"/>
      <c r="D277" s="523"/>
      <c r="E277" s="523"/>
      <c r="F277" s="523"/>
      <c r="G277" s="523"/>
      <c r="H277" s="523"/>
      <c r="I277" s="523"/>
      <c r="J277" s="523"/>
      <c r="K277" s="523"/>
      <c r="L277" s="523"/>
      <c r="M277" s="523"/>
      <c r="N277" s="523"/>
      <c r="O277" s="523"/>
      <c r="P277" s="523"/>
      <c r="Q277" s="523"/>
      <c r="R277" s="523"/>
      <c r="S277" s="523"/>
      <c r="T277" s="523"/>
      <c r="U277" s="523"/>
      <c r="V277" s="224"/>
      <c r="W277" s="224"/>
      <c r="X277" s="224"/>
      <c r="Y277" s="224"/>
      <c r="Z277" s="868"/>
      <c r="AA277" s="865"/>
      <c r="AB277" s="2"/>
      <c r="AC277" s="2"/>
      <c r="AD277" s="2"/>
      <c r="AE277" s="2"/>
      <c r="AF277" s="2"/>
      <c r="AG277" s="2"/>
      <c r="AH277" s="2"/>
      <c r="AI277" s="2"/>
      <c r="AJ277" s="2"/>
      <c r="AK277" s="2"/>
      <c r="AL277" s="2"/>
      <c r="AM277" s="2"/>
      <c r="AN277" s="2"/>
      <c r="AO277" s="9"/>
      <c r="AP277" s="9"/>
      <c r="AQ277" s="9"/>
      <c r="AR277" s="9"/>
    </row>
    <row r="278">
      <c r="A278" s="523"/>
      <c r="B278" s="523"/>
      <c r="C278" s="523"/>
      <c r="D278" s="523"/>
      <c r="E278" s="523"/>
      <c r="F278" s="523"/>
      <c r="G278" s="523"/>
      <c r="H278" s="523"/>
      <c r="I278" s="523"/>
      <c r="J278" s="523"/>
      <c r="K278" s="523"/>
      <c r="L278" s="523"/>
      <c r="M278" s="523"/>
      <c r="N278" s="523"/>
      <c r="O278" s="523"/>
      <c r="P278" s="523"/>
      <c r="Q278" s="523"/>
      <c r="R278" s="523"/>
      <c r="S278" s="523"/>
      <c r="T278" s="523"/>
      <c r="U278" s="523"/>
      <c r="V278" s="224"/>
      <c r="W278" s="224"/>
      <c r="X278" s="224"/>
      <c r="Y278" s="224"/>
      <c r="Z278" s="868"/>
      <c r="AA278" s="865"/>
      <c r="AB278" s="2"/>
      <c r="AC278" s="2"/>
      <c r="AD278" s="2"/>
      <c r="AE278" s="2"/>
      <c r="AF278" s="2"/>
      <c r="AG278" s="2"/>
      <c r="AH278" s="2"/>
      <c r="AI278" s="2"/>
      <c r="AJ278" s="2"/>
      <c r="AK278" s="2"/>
      <c r="AL278" s="2"/>
      <c r="AM278" s="2"/>
      <c r="AN278" s="2"/>
      <c r="AO278" s="9"/>
      <c r="AP278" s="9"/>
      <c r="AQ278" s="9"/>
      <c r="AR278" s="9"/>
    </row>
    <row r="279">
      <c r="A279" s="523"/>
      <c r="B279" s="523"/>
      <c r="C279" s="523"/>
      <c r="D279" s="523"/>
      <c r="E279" s="523"/>
      <c r="F279" s="523"/>
      <c r="G279" s="523"/>
      <c r="H279" s="523"/>
      <c r="I279" s="523"/>
      <c r="J279" s="523"/>
      <c r="K279" s="523"/>
      <c r="L279" s="523"/>
      <c r="M279" s="523"/>
      <c r="N279" s="523"/>
      <c r="O279" s="523"/>
      <c r="P279" s="523"/>
      <c r="Q279" s="523"/>
      <c r="R279" s="523"/>
      <c r="S279" s="523"/>
      <c r="T279" s="523"/>
      <c r="U279" s="523"/>
      <c r="V279" s="224"/>
      <c r="W279" s="224"/>
      <c r="X279" s="224"/>
      <c r="Y279" s="224"/>
      <c r="Z279" s="868"/>
      <c r="AA279" s="865"/>
      <c r="AB279" s="2"/>
      <c r="AC279" s="2"/>
      <c r="AD279" s="2"/>
      <c r="AE279" s="2"/>
      <c r="AF279" s="2"/>
      <c r="AG279" s="2"/>
      <c r="AH279" s="2"/>
      <c r="AI279" s="2"/>
      <c r="AJ279" s="2"/>
      <c r="AK279" s="2"/>
      <c r="AL279" s="2"/>
      <c r="AM279" s="2"/>
      <c r="AN279" s="2"/>
      <c r="AO279" s="9"/>
      <c r="AP279" s="9"/>
      <c r="AQ279" s="9"/>
      <c r="AR279" s="9"/>
    </row>
    <row r="280">
      <c r="A280" s="523"/>
      <c r="B280" s="523"/>
      <c r="C280" s="523"/>
      <c r="D280" s="523"/>
      <c r="E280" s="523"/>
      <c r="F280" s="523"/>
      <c r="G280" s="523"/>
      <c r="H280" s="523"/>
      <c r="I280" s="523"/>
      <c r="J280" s="523"/>
      <c r="K280" s="523"/>
      <c r="L280" s="523"/>
      <c r="M280" s="523"/>
      <c r="N280" s="523"/>
      <c r="O280" s="523"/>
      <c r="P280" s="523"/>
      <c r="Q280" s="523"/>
      <c r="R280" s="523"/>
      <c r="S280" s="523"/>
      <c r="T280" s="523"/>
      <c r="U280" s="523"/>
      <c r="V280" s="224"/>
      <c r="W280" s="224"/>
      <c r="X280" s="224"/>
      <c r="Y280" s="224"/>
      <c r="Z280" s="868"/>
      <c r="AA280" s="865"/>
      <c r="AB280" s="2"/>
      <c r="AC280" s="2"/>
      <c r="AD280" s="2"/>
      <c r="AE280" s="2"/>
      <c r="AF280" s="2"/>
      <c r="AG280" s="2"/>
      <c r="AH280" s="2"/>
      <c r="AI280" s="2"/>
      <c r="AJ280" s="2"/>
      <c r="AK280" s="2"/>
      <c r="AL280" s="2"/>
      <c r="AM280" s="2"/>
      <c r="AN280" s="2"/>
      <c r="AO280" s="9"/>
      <c r="AP280" s="9"/>
      <c r="AQ280" s="9"/>
      <c r="AR280" s="9"/>
    </row>
    <row r="281">
      <c r="A281" s="523"/>
      <c r="B281" s="523"/>
      <c r="C281" s="523"/>
      <c r="D281" s="523"/>
      <c r="E281" s="523"/>
      <c r="F281" s="523"/>
      <c r="G281" s="523"/>
      <c r="H281" s="523"/>
      <c r="I281" s="523"/>
      <c r="J281" s="523"/>
      <c r="K281" s="523"/>
      <c r="L281" s="523"/>
      <c r="M281" s="523"/>
      <c r="N281" s="523"/>
      <c r="O281" s="523"/>
      <c r="P281" s="523"/>
      <c r="Q281" s="523"/>
      <c r="R281" s="523"/>
      <c r="S281" s="523"/>
      <c r="T281" s="523"/>
      <c r="U281" s="523"/>
      <c r="V281" s="224"/>
      <c r="W281" s="224"/>
      <c r="X281" s="224"/>
      <c r="Y281" s="224"/>
      <c r="Z281" s="868"/>
      <c r="AA281" s="865"/>
      <c r="AB281" s="2"/>
      <c r="AC281" s="2"/>
      <c r="AD281" s="2"/>
      <c r="AE281" s="2"/>
      <c r="AF281" s="2"/>
      <c r="AG281" s="2"/>
      <c r="AH281" s="2"/>
      <c r="AI281" s="2"/>
      <c r="AJ281" s="2"/>
      <c r="AK281" s="2"/>
      <c r="AL281" s="2"/>
      <c r="AM281" s="2"/>
      <c r="AN281" s="2"/>
      <c r="AO281" s="9"/>
      <c r="AP281" s="9"/>
      <c r="AQ281" s="9"/>
      <c r="AR281" s="9"/>
    </row>
    <row r="282">
      <c r="A282" s="523"/>
      <c r="B282" s="523"/>
      <c r="C282" s="523"/>
      <c r="D282" s="523"/>
      <c r="E282" s="523"/>
      <c r="F282" s="523"/>
      <c r="G282" s="523"/>
      <c r="H282" s="523"/>
      <c r="I282" s="523"/>
      <c r="J282" s="523"/>
      <c r="K282" s="523"/>
      <c r="L282" s="523"/>
      <c r="M282" s="523"/>
      <c r="N282" s="523"/>
      <c r="O282" s="523"/>
      <c r="P282" s="523"/>
      <c r="Q282" s="523"/>
      <c r="R282" s="523"/>
      <c r="S282" s="523"/>
      <c r="T282" s="523"/>
      <c r="U282" s="523"/>
      <c r="V282" s="224"/>
      <c r="W282" s="224"/>
      <c r="X282" s="224"/>
      <c r="Y282" s="224"/>
      <c r="Z282" s="868"/>
      <c r="AA282" s="865"/>
      <c r="AB282" s="2"/>
      <c r="AC282" s="2"/>
      <c r="AD282" s="2"/>
      <c r="AE282" s="2"/>
      <c r="AF282" s="2"/>
      <c r="AG282" s="2"/>
      <c r="AH282" s="2"/>
      <c r="AI282" s="2"/>
      <c r="AJ282" s="2"/>
      <c r="AK282" s="2"/>
      <c r="AL282" s="2"/>
      <c r="AM282" s="2"/>
      <c r="AN282" s="2"/>
      <c r="AO282" s="9"/>
      <c r="AP282" s="9"/>
      <c r="AQ282" s="9"/>
      <c r="AR282" s="9"/>
    </row>
    <row r="283">
      <c r="A283" s="523"/>
      <c r="B283" s="523"/>
      <c r="C283" s="523"/>
      <c r="D283" s="523"/>
      <c r="E283" s="523"/>
      <c r="F283" s="523"/>
      <c r="G283" s="523"/>
      <c r="H283" s="523"/>
      <c r="I283" s="523"/>
      <c r="J283" s="523"/>
      <c r="K283" s="523"/>
      <c r="L283" s="523"/>
      <c r="M283" s="523"/>
      <c r="N283" s="523"/>
      <c r="O283" s="523"/>
      <c r="P283" s="523"/>
      <c r="Q283" s="523"/>
      <c r="R283" s="523"/>
      <c r="S283" s="523"/>
      <c r="T283" s="523"/>
      <c r="U283" s="523"/>
      <c r="V283" s="224"/>
      <c r="W283" s="224"/>
      <c r="X283" s="224"/>
      <c r="Y283" s="224"/>
      <c r="Z283" s="868"/>
      <c r="AA283" s="865"/>
      <c r="AB283" s="2"/>
      <c r="AC283" s="2"/>
      <c r="AD283" s="2"/>
      <c r="AE283" s="2"/>
      <c r="AF283" s="2"/>
      <c r="AG283" s="2"/>
      <c r="AH283" s="2"/>
      <c r="AI283" s="2"/>
      <c r="AJ283" s="2"/>
      <c r="AK283" s="2"/>
      <c r="AL283" s="2"/>
      <c r="AM283" s="2"/>
      <c r="AN283" s="2"/>
      <c r="AO283" s="9"/>
      <c r="AP283" s="9"/>
      <c r="AQ283" s="9"/>
      <c r="AR283" s="9"/>
    </row>
    <row r="284">
      <c r="A284" s="523"/>
      <c r="B284" s="523"/>
      <c r="C284" s="523"/>
      <c r="D284" s="523"/>
      <c r="E284" s="523"/>
      <c r="F284" s="523"/>
      <c r="G284" s="523"/>
      <c r="H284" s="523"/>
      <c r="I284" s="523"/>
      <c r="J284" s="523"/>
      <c r="K284" s="523"/>
      <c r="L284" s="523"/>
      <c r="M284" s="523"/>
      <c r="N284" s="523"/>
      <c r="O284" s="523"/>
      <c r="P284" s="523"/>
      <c r="Q284" s="523"/>
      <c r="R284" s="523"/>
      <c r="S284" s="523"/>
      <c r="T284" s="523"/>
      <c r="U284" s="523"/>
      <c r="V284" s="224"/>
      <c r="W284" s="224"/>
      <c r="X284" s="224"/>
      <c r="Y284" s="224"/>
      <c r="Z284" s="868"/>
      <c r="AA284" s="865"/>
      <c r="AB284" s="2"/>
      <c r="AC284" s="2"/>
      <c r="AD284" s="2"/>
      <c r="AE284" s="2"/>
      <c r="AF284" s="2"/>
      <c r="AG284" s="2"/>
      <c r="AH284" s="2"/>
      <c r="AI284" s="2"/>
      <c r="AJ284" s="2"/>
      <c r="AK284" s="2"/>
      <c r="AL284" s="2"/>
      <c r="AM284" s="2"/>
      <c r="AN284" s="2"/>
      <c r="AO284" s="9"/>
      <c r="AP284" s="9"/>
      <c r="AQ284" s="9"/>
      <c r="AR284" s="9"/>
    </row>
    <row r="285">
      <c r="A285" s="523"/>
      <c r="B285" s="523"/>
      <c r="C285" s="523"/>
      <c r="D285" s="523"/>
      <c r="E285" s="523"/>
      <c r="F285" s="523"/>
      <c r="G285" s="523"/>
      <c r="H285" s="523"/>
      <c r="I285" s="523"/>
      <c r="J285" s="523"/>
      <c r="K285" s="523"/>
      <c r="L285" s="523"/>
      <c r="M285" s="523"/>
      <c r="N285" s="523"/>
      <c r="O285" s="523"/>
      <c r="P285" s="523"/>
      <c r="Q285" s="523"/>
      <c r="R285" s="523"/>
      <c r="S285" s="523"/>
      <c r="T285" s="523"/>
      <c r="U285" s="523"/>
      <c r="V285" s="224"/>
      <c r="W285" s="224"/>
      <c r="X285" s="224"/>
      <c r="Y285" s="224"/>
      <c r="Z285" s="868"/>
      <c r="AA285" s="865"/>
      <c r="AB285" s="2"/>
      <c r="AC285" s="2"/>
      <c r="AD285" s="2"/>
      <c r="AE285" s="2"/>
      <c r="AF285" s="2"/>
      <c r="AG285" s="2"/>
      <c r="AH285" s="2"/>
      <c r="AI285" s="2"/>
      <c r="AJ285" s="2"/>
      <c r="AK285" s="2"/>
      <c r="AL285" s="2"/>
      <c r="AM285" s="2"/>
      <c r="AN285" s="2"/>
      <c r="AO285" s="9"/>
      <c r="AP285" s="9"/>
      <c r="AQ285" s="9"/>
      <c r="AR285" s="9"/>
    </row>
    <row r="286">
      <c r="A286" s="523"/>
      <c r="B286" s="523"/>
      <c r="C286" s="523"/>
      <c r="D286" s="523"/>
      <c r="E286" s="523"/>
      <c r="F286" s="523"/>
      <c r="G286" s="523"/>
      <c r="H286" s="523"/>
      <c r="I286" s="523"/>
      <c r="J286" s="523"/>
      <c r="K286" s="523"/>
      <c r="L286" s="523"/>
      <c r="M286" s="523"/>
      <c r="N286" s="523"/>
      <c r="O286" s="523"/>
      <c r="P286" s="523"/>
      <c r="Q286" s="523"/>
      <c r="R286" s="523"/>
      <c r="S286" s="523"/>
      <c r="T286" s="523"/>
      <c r="U286" s="523"/>
      <c r="V286" s="224"/>
      <c r="W286" s="224"/>
      <c r="X286" s="224"/>
      <c r="Y286" s="224"/>
      <c r="Z286" s="868"/>
      <c r="AA286" s="865"/>
      <c r="AB286" s="2"/>
      <c r="AC286" s="2"/>
      <c r="AD286" s="2"/>
      <c r="AE286" s="2"/>
      <c r="AF286" s="2"/>
      <c r="AG286" s="2"/>
      <c r="AH286" s="2"/>
      <c r="AI286" s="2"/>
      <c r="AJ286" s="2"/>
      <c r="AK286" s="2"/>
      <c r="AL286" s="2"/>
      <c r="AM286" s="2"/>
      <c r="AN286" s="2"/>
      <c r="AO286" s="9"/>
      <c r="AP286" s="9"/>
      <c r="AQ286" s="9"/>
      <c r="AR286" s="9"/>
    </row>
    <row r="287">
      <c r="A287" s="523"/>
      <c r="B287" s="523"/>
      <c r="C287" s="523"/>
      <c r="D287" s="523"/>
      <c r="E287" s="523"/>
      <c r="F287" s="523"/>
      <c r="G287" s="523"/>
      <c r="H287" s="523"/>
      <c r="I287" s="523"/>
      <c r="J287" s="523"/>
      <c r="K287" s="523"/>
      <c r="L287" s="523"/>
      <c r="M287" s="523"/>
      <c r="N287" s="523"/>
      <c r="O287" s="523"/>
      <c r="P287" s="523"/>
      <c r="Q287" s="523"/>
      <c r="R287" s="523"/>
      <c r="S287" s="523"/>
      <c r="T287" s="523"/>
      <c r="U287" s="523"/>
      <c r="V287" s="224"/>
      <c r="W287" s="224"/>
      <c r="X287" s="224"/>
      <c r="Y287" s="224"/>
      <c r="Z287" s="868"/>
      <c r="AA287" s="865"/>
      <c r="AB287" s="2"/>
      <c r="AC287" s="2"/>
      <c r="AD287" s="2"/>
      <c r="AE287" s="2"/>
      <c r="AF287" s="2"/>
      <c r="AG287" s="2"/>
      <c r="AH287" s="2"/>
      <c r="AI287" s="2"/>
      <c r="AJ287" s="2"/>
      <c r="AK287" s="2"/>
      <c r="AL287" s="2"/>
      <c r="AM287" s="2"/>
      <c r="AN287" s="2"/>
      <c r="AO287" s="9"/>
      <c r="AP287" s="9"/>
      <c r="AQ287" s="9"/>
      <c r="AR287" s="9"/>
    </row>
    <row r="288">
      <c r="A288" s="523"/>
      <c r="B288" s="523"/>
      <c r="C288" s="523"/>
      <c r="D288" s="523"/>
      <c r="E288" s="523"/>
      <c r="F288" s="523"/>
      <c r="G288" s="523"/>
      <c r="H288" s="523"/>
      <c r="I288" s="523"/>
      <c r="J288" s="523"/>
      <c r="K288" s="523"/>
      <c r="L288" s="523"/>
      <c r="M288" s="523"/>
      <c r="N288" s="523"/>
      <c r="O288" s="523"/>
      <c r="P288" s="523"/>
      <c r="Q288" s="523"/>
      <c r="R288" s="523"/>
      <c r="S288" s="523"/>
      <c r="T288" s="523"/>
      <c r="U288" s="523"/>
      <c r="V288" s="224"/>
      <c r="W288" s="224"/>
      <c r="X288" s="224"/>
      <c r="Y288" s="224"/>
      <c r="Z288" s="868"/>
      <c r="AA288" s="865"/>
      <c r="AB288" s="2"/>
      <c r="AC288" s="2"/>
      <c r="AD288" s="2"/>
      <c r="AE288" s="2"/>
      <c r="AF288" s="2"/>
      <c r="AG288" s="2"/>
      <c r="AH288" s="2"/>
      <c r="AI288" s="2"/>
      <c r="AJ288" s="2"/>
      <c r="AK288" s="2"/>
      <c r="AL288" s="2"/>
      <c r="AM288" s="2"/>
      <c r="AN288" s="2"/>
      <c r="AO288" s="9"/>
      <c r="AP288" s="9"/>
      <c r="AQ288" s="9"/>
      <c r="AR288" s="9"/>
    </row>
    <row r="289">
      <c r="A289" s="523"/>
      <c r="B289" s="523"/>
      <c r="C289" s="523"/>
      <c r="D289" s="523"/>
      <c r="E289" s="523"/>
      <c r="F289" s="523"/>
      <c r="G289" s="523"/>
      <c r="H289" s="523"/>
      <c r="I289" s="523"/>
      <c r="J289" s="523"/>
      <c r="K289" s="523"/>
      <c r="L289" s="523"/>
      <c r="M289" s="523"/>
      <c r="N289" s="523"/>
      <c r="O289" s="523"/>
      <c r="P289" s="523"/>
      <c r="Q289" s="523"/>
      <c r="R289" s="523"/>
      <c r="S289" s="523"/>
      <c r="T289" s="523"/>
      <c r="U289" s="523"/>
      <c r="V289" s="224"/>
      <c r="W289" s="224"/>
      <c r="X289" s="224"/>
      <c r="Y289" s="224"/>
      <c r="Z289" s="868"/>
      <c r="AA289" s="865"/>
      <c r="AB289" s="2"/>
      <c r="AC289" s="2"/>
      <c r="AD289" s="2"/>
      <c r="AE289" s="2"/>
      <c r="AF289" s="2"/>
      <c r="AG289" s="2"/>
      <c r="AH289" s="2"/>
      <c r="AI289" s="2"/>
      <c r="AJ289" s="2"/>
      <c r="AK289" s="2"/>
      <c r="AL289" s="2"/>
      <c r="AM289" s="2"/>
      <c r="AN289" s="2"/>
      <c r="AO289" s="9"/>
      <c r="AP289" s="9"/>
      <c r="AQ289" s="9"/>
      <c r="AR289" s="9"/>
    </row>
    <row r="290">
      <c r="A290" s="523"/>
      <c r="B290" s="523"/>
      <c r="C290" s="523"/>
      <c r="D290" s="523"/>
      <c r="E290" s="523"/>
      <c r="F290" s="523"/>
      <c r="G290" s="523"/>
      <c r="H290" s="523"/>
      <c r="I290" s="523"/>
      <c r="J290" s="523"/>
      <c r="K290" s="523"/>
      <c r="L290" s="523"/>
      <c r="M290" s="523"/>
      <c r="N290" s="523"/>
      <c r="O290" s="523"/>
      <c r="P290" s="523"/>
      <c r="Q290" s="523"/>
      <c r="R290" s="523"/>
      <c r="S290" s="523"/>
      <c r="T290" s="523"/>
      <c r="U290" s="523"/>
      <c r="V290" s="224"/>
      <c r="W290" s="224"/>
      <c r="X290" s="224"/>
      <c r="Y290" s="224"/>
      <c r="Z290" s="868"/>
      <c r="AA290" s="865"/>
      <c r="AB290" s="2"/>
      <c r="AC290" s="2"/>
      <c r="AD290" s="2"/>
      <c r="AE290" s="2"/>
      <c r="AF290" s="2"/>
      <c r="AG290" s="2"/>
      <c r="AH290" s="2"/>
      <c r="AI290" s="2"/>
      <c r="AJ290" s="2"/>
      <c r="AK290" s="2"/>
      <c r="AL290" s="2"/>
      <c r="AM290" s="2"/>
      <c r="AN290" s="2"/>
      <c r="AO290" s="9"/>
      <c r="AP290" s="9"/>
      <c r="AQ290" s="9"/>
      <c r="AR290" s="9"/>
    </row>
    <row r="291">
      <c r="A291" s="523"/>
      <c r="B291" s="523"/>
      <c r="C291" s="523"/>
      <c r="D291" s="523"/>
      <c r="E291" s="523"/>
      <c r="F291" s="523"/>
      <c r="G291" s="523"/>
      <c r="H291" s="523"/>
      <c r="I291" s="523"/>
      <c r="J291" s="523"/>
      <c r="K291" s="523"/>
      <c r="L291" s="523"/>
      <c r="M291" s="523"/>
      <c r="N291" s="523"/>
      <c r="O291" s="523"/>
      <c r="P291" s="523"/>
      <c r="Q291" s="523"/>
      <c r="R291" s="523"/>
      <c r="S291" s="523"/>
      <c r="T291" s="523"/>
      <c r="U291" s="523"/>
      <c r="V291" s="224"/>
      <c r="W291" s="224"/>
      <c r="X291" s="224"/>
      <c r="Y291" s="224"/>
      <c r="Z291" s="868"/>
      <c r="AA291" s="865"/>
      <c r="AB291" s="2"/>
      <c r="AC291" s="2"/>
      <c r="AD291" s="2"/>
      <c r="AE291" s="2"/>
      <c r="AF291" s="2"/>
      <c r="AG291" s="2"/>
      <c r="AH291" s="2"/>
      <c r="AI291" s="2"/>
      <c r="AJ291" s="2"/>
      <c r="AK291" s="2"/>
      <c r="AL291" s="2"/>
      <c r="AM291" s="2"/>
      <c r="AN291" s="2"/>
      <c r="AO291" s="9"/>
      <c r="AP291" s="9"/>
      <c r="AQ291" s="9"/>
      <c r="AR291" s="9"/>
    </row>
    <row r="292">
      <c r="A292" s="523"/>
      <c r="B292" s="523"/>
      <c r="C292" s="523"/>
      <c r="D292" s="523"/>
      <c r="E292" s="523"/>
      <c r="F292" s="523"/>
      <c r="G292" s="523"/>
      <c r="H292" s="523"/>
      <c r="I292" s="523"/>
      <c r="J292" s="523"/>
      <c r="K292" s="523"/>
      <c r="L292" s="523"/>
      <c r="M292" s="523"/>
      <c r="N292" s="523"/>
      <c r="O292" s="523"/>
      <c r="P292" s="523"/>
      <c r="Q292" s="523"/>
      <c r="R292" s="523"/>
      <c r="S292" s="523"/>
      <c r="T292" s="523"/>
      <c r="U292" s="523"/>
      <c r="V292" s="224"/>
      <c r="W292" s="224"/>
      <c r="X292" s="224"/>
      <c r="Y292" s="224"/>
      <c r="Z292" s="868"/>
      <c r="AA292" s="865"/>
      <c r="AB292" s="2"/>
      <c r="AC292" s="2"/>
      <c r="AD292" s="2"/>
      <c r="AE292" s="2"/>
      <c r="AF292" s="2"/>
      <c r="AG292" s="2"/>
      <c r="AH292" s="2"/>
      <c r="AI292" s="2"/>
      <c r="AJ292" s="2"/>
      <c r="AK292" s="2"/>
      <c r="AL292" s="2"/>
      <c r="AM292" s="2"/>
      <c r="AN292" s="2"/>
      <c r="AO292" s="9"/>
      <c r="AP292" s="9"/>
      <c r="AQ292" s="9"/>
      <c r="AR292" s="9"/>
    </row>
    <row r="293">
      <c r="A293" s="523"/>
      <c r="B293" s="523"/>
      <c r="C293" s="523"/>
      <c r="D293" s="523"/>
      <c r="E293" s="523"/>
      <c r="F293" s="523"/>
      <c r="G293" s="523"/>
      <c r="H293" s="523"/>
      <c r="I293" s="523"/>
      <c r="J293" s="523"/>
      <c r="K293" s="523"/>
      <c r="L293" s="523"/>
      <c r="M293" s="523"/>
      <c r="N293" s="523"/>
      <c r="O293" s="523"/>
      <c r="P293" s="523"/>
      <c r="Q293" s="523"/>
      <c r="R293" s="523"/>
      <c r="S293" s="523"/>
      <c r="T293" s="523"/>
      <c r="U293" s="523"/>
      <c r="V293" s="224"/>
      <c r="W293" s="224"/>
      <c r="X293" s="224"/>
      <c r="Y293" s="224"/>
      <c r="Z293" s="868"/>
      <c r="AA293" s="865"/>
      <c r="AB293" s="2"/>
      <c r="AC293" s="2"/>
      <c r="AD293" s="2"/>
      <c r="AE293" s="2"/>
      <c r="AF293" s="2"/>
      <c r="AG293" s="2"/>
      <c r="AH293" s="2"/>
      <c r="AI293" s="2"/>
      <c r="AJ293" s="2"/>
      <c r="AK293" s="2"/>
      <c r="AL293" s="2"/>
      <c r="AM293" s="2"/>
      <c r="AN293" s="2"/>
      <c r="AO293" s="9"/>
      <c r="AP293" s="9"/>
      <c r="AQ293" s="9"/>
      <c r="AR293" s="9"/>
    </row>
    <row r="294">
      <c r="A294" s="523"/>
      <c r="B294" s="523"/>
      <c r="C294" s="523"/>
      <c r="D294" s="523"/>
      <c r="E294" s="523"/>
      <c r="F294" s="523"/>
      <c r="G294" s="523"/>
      <c r="H294" s="523"/>
      <c r="I294" s="523"/>
      <c r="J294" s="523"/>
      <c r="K294" s="523"/>
      <c r="L294" s="523"/>
      <c r="M294" s="523"/>
      <c r="N294" s="523"/>
      <c r="O294" s="523"/>
      <c r="P294" s="523"/>
      <c r="Q294" s="523"/>
      <c r="R294" s="523"/>
      <c r="S294" s="523"/>
      <c r="T294" s="523"/>
      <c r="U294" s="523"/>
      <c r="V294" s="224"/>
      <c r="W294" s="224"/>
      <c r="X294" s="224"/>
      <c r="Y294" s="224"/>
      <c r="Z294" s="868"/>
      <c r="AA294" s="865"/>
      <c r="AB294" s="2"/>
      <c r="AC294" s="2"/>
      <c r="AD294" s="2"/>
      <c r="AE294" s="2"/>
      <c r="AF294" s="2"/>
      <c r="AG294" s="2"/>
      <c r="AH294" s="2"/>
      <c r="AI294" s="2"/>
      <c r="AJ294" s="2"/>
      <c r="AK294" s="2"/>
      <c r="AL294" s="2"/>
      <c r="AM294" s="2"/>
      <c r="AN294" s="2"/>
      <c r="AO294" s="9"/>
      <c r="AP294" s="9"/>
      <c r="AQ294" s="9"/>
      <c r="AR294" s="9"/>
    </row>
    <row r="295">
      <c r="A295" s="523"/>
      <c r="B295" s="523"/>
      <c r="C295" s="523"/>
      <c r="D295" s="523"/>
      <c r="E295" s="523"/>
      <c r="F295" s="523"/>
      <c r="G295" s="523"/>
      <c r="H295" s="523"/>
      <c r="I295" s="523"/>
      <c r="J295" s="523"/>
      <c r="K295" s="523"/>
      <c r="L295" s="523"/>
      <c r="M295" s="523"/>
      <c r="N295" s="523"/>
      <c r="O295" s="523"/>
      <c r="P295" s="523"/>
      <c r="Q295" s="523"/>
      <c r="R295" s="523"/>
      <c r="S295" s="523"/>
      <c r="T295" s="523"/>
      <c r="U295" s="523"/>
      <c r="V295" s="224"/>
      <c r="W295" s="224"/>
      <c r="X295" s="224"/>
      <c r="Y295" s="224"/>
      <c r="Z295" s="868"/>
      <c r="AA295" s="865"/>
      <c r="AB295" s="2"/>
      <c r="AC295" s="2"/>
      <c r="AD295" s="2"/>
      <c r="AE295" s="2"/>
      <c r="AF295" s="2"/>
      <c r="AG295" s="2"/>
      <c r="AH295" s="2"/>
      <c r="AI295" s="2"/>
      <c r="AJ295" s="2"/>
      <c r="AK295" s="2"/>
      <c r="AL295" s="2"/>
      <c r="AM295" s="2"/>
      <c r="AN295" s="2"/>
      <c r="AO295" s="9"/>
      <c r="AP295" s="9"/>
      <c r="AQ295" s="9"/>
      <c r="AR295" s="9"/>
    </row>
    <row r="296">
      <c r="A296" s="523"/>
      <c r="B296" s="523"/>
      <c r="C296" s="523"/>
      <c r="D296" s="523"/>
      <c r="E296" s="523"/>
      <c r="F296" s="523"/>
      <c r="G296" s="523"/>
      <c r="H296" s="523"/>
      <c r="I296" s="523"/>
      <c r="J296" s="523"/>
      <c r="K296" s="523"/>
      <c r="L296" s="523"/>
      <c r="M296" s="523"/>
      <c r="N296" s="523"/>
      <c r="O296" s="523"/>
      <c r="P296" s="523"/>
      <c r="Q296" s="523"/>
      <c r="R296" s="523"/>
      <c r="S296" s="523"/>
      <c r="T296" s="523"/>
      <c r="U296" s="523"/>
      <c r="V296" s="224"/>
      <c r="W296" s="224"/>
      <c r="X296" s="224"/>
      <c r="Y296" s="224"/>
      <c r="Z296" s="868"/>
      <c r="AA296" s="865"/>
      <c r="AB296" s="2"/>
      <c r="AC296" s="2"/>
      <c r="AD296" s="2"/>
      <c r="AE296" s="2"/>
      <c r="AF296" s="2"/>
      <c r="AG296" s="2"/>
      <c r="AH296" s="2"/>
      <c r="AI296" s="2"/>
      <c r="AJ296" s="2"/>
      <c r="AK296" s="2"/>
      <c r="AL296" s="2"/>
      <c r="AM296" s="2"/>
      <c r="AN296" s="2"/>
      <c r="AO296" s="9"/>
      <c r="AP296" s="9"/>
      <c r="AQ296" s="9"/>
      <c r="AR296" s="9"/>
    </row>
    <row r="297">
      <c r="A297" s="523"/>
      <c r="B297" s="523"/>
      <c r="C297" s="523"/>
      <c r="D297" s="523"/>
      <c r="E297" s="523"/>
      <c r="F297" s="523"/>
      <c r="G297" s="523"/>
      <c r="H297" s="523"/>
      <c r="I297" s="523"/>
      <c r="J297" s="523"/>
      <c r="K297" s="523"/>
      <c r="L297" s="523"/>
      <c r="M297" s="523"/>
      <c r="N297" s="523"/>
      <c r="O297" s="523"/>
      <c r="P297" s="523"/>
      <c r="Q297" s="523"/>
      <c r="R297" s="523"/>
      <c r="S297" s="523"/>
      <c r="T297" s="523"/>
      <c r="U297" s="523"/>
      <c r="V297" s="224"/>
      <c r="W297" s="224"/>
      <c r="X297" s="224"/>
      <c r="Y297" s="224"/>
      <c r="Z297" s="868"/>
      <c r="AA297" s="865"/>
      <c r="AB297" s="2"/>
      <c r="AC297" s="2"/>
      <c r="AD297" s="2"/>
      <c r="AE297" s="2"/>
      <c r="AF297" s="2"/>
      <c r="AG297" s="2"/>
      <c r="AH297" s="2"/>
      <c r="AI297" s="2"/>
      <c r="AJ297" s="2"/>
      <c r="AK297" s="2"/>
      <c r="AL297" s="2"/>
      <c r="AM297" s="2"/>
      <c r="AN297" s="2"/>
      <c r="AO297" s="9"/>
      <c r="AP297" s="9"/>
      <c r="AQ297" s="9"/>
      <c r="AR297" s="9"/>
    </row>
    <row r="298">
      <c r="A298" s="523"/>
      <c r="B298" s="523"/>
      <c r="C298" s="523"/>
      <c r="D298" s="523"/>
      <c r="E298" s="523"/>
      <c r="F298" s="523"/>
      <c r="G298" s="523"/>
      <c r="H298" s="523"/>
      <c r="I298" s="523"/>
      <c r="J298" s="523"/>
      <c r="K298" s="523"/>
      <c r="L298" s="523"/>
      <c r="M298" s="523"/>
      <c r="N298" s="523"/>
      <c r="O298" s="523"/>
      <c r="P298" s="523"/>
      <c r="Q298" s="523"/>
      <c r="R298" s="523"/>
      <c r="S298" s="523"/>
      <c r="T298" s="523"/>
      <c r="U298" s="523"/>
      <c r="V298" s="224"/>
      <c r="W298" s="224"/>
      <c r="X298" s="224"/>
      <c r="Y298" s="224"/>
      <c r="Z298" s="868"/>
      <c r="AA298" s="865"/>
      <c r="AB298" s="2"/>
      <c r="AC298" s="2"/>
      <c r="AD298" s="2"/>
      <c r="AE298" s="2"/>
      <c r="AF298" s="2"/>
      <c r="AG298" s="2"/>
      <c r="AH298" s="2"/>
      <c r="AI298" s="2"/>
      <c r="AJ298" s="2"/>
      <c r="AK298" s="2"/>
      <c r="AL298" s="2"/>
      <c r="AM298" s="2"/>
      <c r="AN298" s="2"/>
      <c r="AO298" s="9"/>
      <c r="AP298" s="9"/>
      <c r="AQ298" s="9"/>
      <c r="AR298" s="9"/>
    </row>
    <row r="299">
      <c r="A299" s="523"/>
      <c r="B299" s="523"/>
      <c r="C299" s="523"/>
      <c r="D299" s="523"/>
      <c r="E299" s="523"/>
      <c r="F299" s="523"/>
      <c r="G299" s="523"/>
      <c r="H299" s="523"/>
      <c r="I299" s="523"/>
      <c r="J299" s="523"/>
      <c r="K299" s="523"/>
      <c r="L299" s="523"/>
      <c r="M299" s="523"/>
      <c r="N299" s="523"/>
      <c r="O299" s="523"/>
      <c r="P299" s="523"/>
      <c r="Q299" s="523"/>
      <c r="R299" s="523"/>
      <c r="S299" s="523"/>
      <c r="T299" s="523"/>
      <c r="U299" s="523"/>
      <c r="V299" s="224"/>
      <c r="W299" s="224"/>
      <c r="X299" s="224"/>
      <c r="Y299" s="224"/>
      <c r="Z299" s="868"/>
      <c r="AA299" s="865"/>
      <c r="AB299" s="2"/>
      <c r="AC299" s="2"/>
      <c r="AD299" s="2"/>
      <c r="AE299" s="2"/>
      <c r="AF299" s="2"/>
      <c r="AG299" s="2"/>
      <c r="AH299" s="2"/>
      <c r="AI299" s="2"/>
      <c r="AJ299" s="2"/>
      <c r="AK299" s="2"/>
      <c r="AL299" s="2"/>
      <c r="AM299" s="2"/>
      <c r="AN299" s="2"/>
      <c r="AO299" s="9"/>
      <c r="AP299" s="9"/>
      <c r="AQ299" s="9"/>
      <c r="AR299" s="9"/>
    </row>
    <row r="300">
      <c r="A300" s="523"/>
      <c r="B300" s="523"/>
      <c r="C300" s="523"/>
      <c r="D300" s="523"/>
      <c r="E300" s="523"/>
      <c r="F300" s="523"/>
      <c r="G300" s="523"/>
      <c r="H300" s="523"/>
      <c r="I300" s="523"/>
      <c r="J300" s="523"/>
      <c r="K300" s="523"/>
      <c r="L300" s="523"/>
      <c r="M300" s="523"/>
      <c r="N300" s="523"/>
      <c r="O300" s="523"/>
      <c r="P300" s="523"/>
      <c r="Q300" s="523"/>
      <c r="R300" s="523"/>
      <c r="S300" s="523"/>
      <c r="T300" s="523"/>
      <c r="U300" s="523"/>
      <c r="V300" s="224"/>
      <c r="W300" s="224"/>
      <c r="X300" s="224"/>
      <c r="Y300" s="224"/>
      <c r="Z300" s="868"/>
      <c r="AA300" s="865"/>
      <c r="AB300" s="2"/>
      <c r="AC300" s="2"/>
      <c r="AD300" s="2"/>
      <c r="AE300" s="2"/>
      <c r="AF300" s="2"/>
      <c r="AG300" s="2"/>
      <c r="AH300" s="2"/>
      <c r="AI300" s="2"/>
      <c r="AJ300" s="2"/>
      <c r="AK300" s="2"/>
      <c r="AL300" s="2"/>
      <c r="AM300" s="2"/>
      <c r="AN300" s="2"/>
      <c r="AO300" s="9"/>
      <c r="AP300" s="9"/>
      <c r="AQ300" s="9"/>
      <c r="AR300" s="9"/>
    </row>
    <row r="301">
      <c r="A301" s="523"/>
      <c r="B301" s="523"/>
      <c r="C301" s="523"/>
      <c r="D301" s="523"/>
      <c r="E301" s="523"/>
      <c r="F301" s="523"/>
      <c r="G301" s="523"/>
      <c r="H301" s="523"/>
      <c r="I301" s="523"/>
      <c r="J301" s="523"/>
      <c r="K301" s="523"/>
      <c r="L301" s="523"/>
      <c r="M301" s="523"/>
      <c r="N301" s="523"/>
      <c r="O301" s="523"/>
      <c r="P301" s="523"/>
      <c r="Q301" s="523"/>
      <c r="R301" s="523"/>
      <c r="S301" s="523"/>
      <c r="T301" s="523"/>
      <c r="U301" s="523"/>
      <c r="V301" s="224"/>
      <c r="W301" s="224"/>
      <c r="X301" s="224"/>
      <c r="Y301" s="224"/>
      <c r="Z301" s="868"/>
      <c r="AA301" s="865"/>
      <c r="AB301" s="2"/>
      <c r="AC301" s="2"/>
      <c r="AD301" s="2"/>
      <c r="AE301" s="2"/>
      <c r="AF301" s="2"/>
      <c r="AG301" s="2"/>
      <c r="AH301" s="2"/>
      <c r="AI301" s="2"/>
      <c r="AJ301" s="2"/>
      <c r="AK301" s="2"/>
      <c r="AL301" s="2"/>
      <c r="AM301" s="2"/>
      <c r="AN301" s="2"/>
      <c r="AO301" s="9"/>
      <c r="AP301" s="9"/>
      <c r="AQ301" s="9"/>
      <c r="AR301" s="9"/>
    </row>
    <row r="302">
      <c r="A302" s="523"/>
      <c r="B302" s="523"/>
      <c r="C302" s="523"/>
      <c r="D302" s="523"/>
      <c r="E302" s="523"/>
      <c r="F302" s="523"/>
      <c r="G302" s="523"/>
      <c r="H302" s="523"/>
      <c r="I302" s="523"/>
      <c r="J302" s="523"/>
      <c r="K302" s="523"/>
      <c r="L302" s="523"/>
      <c r="M302" s="523"/>
      <c r="N302" s="523"/>
      <c r="O302" s="523"/>
      <c r="P302" s="523"/>
      <c r="Q302" s="523"/>
      <c r="R302" s="523"/>
      <c r="S302" s="523"/>
      <c r="T302" s="523"/>
      <c r="U302" s="523"/>
      <c r="V302" s="224"/>
      <c r="W302" s="224"/>
      <c r="X302" s="224"/>
      <c r="Y302" s="224"/>
      <c r="Z302" s="868"/>
      <c r="AA302" s="865"/>
      <c r="AB302" s="2"/>
      <c r="AC302" s="2"/>
      <c r="AD302" s="2"/>
      <c r="AE302" s="2"/>
      <c r="AF302" s="2"/>
      <c r="AG302" s="2"/>
      <c r="AH302" s="2"/>
      <c r="AI302" s="2"/>
      <c r="AJ302" s="2"/>
      <c r="AK302" s="2"/>
      <c r="AL302" s="2"/>
      <c r="AM302" s="2"/>
      <c r="AN302" s="2"/>
      <c r="AO302" s="9"/>
      <c r="AP302" s="9"/>
      <c r="AQ302" s="9"/>
      <c r="AR302" s="9"/>
    </row>
    <row r="303">
      <c r="A303" s="523"/>
      <c r="B303" s="523"/>
      <c r="C303" s="523"/>
      <c r="D303" s="523"/>
      <c r="E303" s="523"/>
      <c r="F303" s="523"/>
      <c r="G303" s="523"/>
      <c r="H303" s="523"/>
      <c r="I303" s="523"/>
      <c r="J303" s="523"/>
      <c r="K303" s="523"/>
      <c r="L303" s="523"/>
      <c r="M303" s="523"/>
      <c r="N303" s="523"/>
      <c r="O303" s="523"/>
      <c r="P303" s="523"/>
      <c r="Q303" s="523"/>
      <c r="R303" s="523"/>
      <c r="S303" s="523"/>
      <c r="T303" s="523"/>
      <c r="U303" s="523"/>
      <c r="V303" s="224"/>
      <c r="W303" s="224"/>
      <c r="X303" s="224"/>
      <c r="Y303" s="224"/>
      <c r="Z303" s="868"/>
      <c r="AA303" s="865"/>
      <c r="AB303" s="2"/>
      <c r="AC303" s="2"/>
      <c r="AD303" s="2"/>
      <c r="AE303" s="2"/>
      <c r="AF303" s="2"/>
      <c r="AG303" s="2"/>
      <c r="AH303" s="2"/>
      <c r="AI303" s="2"/>
      <c r="AJ303" s="2"/>
      <c r="AK303" s="2"/>
      <c r="AL303" s="2"/>
      <c r="AM303" s="2"/>
      <c r="AN303" s="2"/>
      <c r="AO303" s="9"/>
      <c r="AP303" s="9"/>
      <c r="AQ303" s="9"/>
      <c r="AR303" s="9"/>
    </row>
    <row r="304">
      <c r="A304" s="523"/>
      <c r="B304" s="523"/>
      <c r="C304" s="523"/>
      <c r="D304" s="523"/>
      <c r="E304" s="523"/>
      <c r="F304" s="523"/>
      <c r="G304" s="523"/>
      <c r="H304" s="523"/>
      <c r="I304" s="523"/>
      <c r="J304" s="523"/>
      <c r="K304" s="523"/>
      <c r="L304" s="523"/>
      <c r="M304" s="523"/>
      <c r="N304" s="523"/>
      <c r="O304" s="523"/>
      <c r="P304" s="523"/>
      <c r="Q304" s="523"/>
      <c r="R304" s="523"/>
      <c r="S304" s="523"/>
      <c r="T304" s="523"/>
      <c r="U304" s="523"/>
      <c r="V304" s="224"/>
      <c r="W304" s="224"/>
      <c r="X304" s="224"/>
      <c r="Y304" s="224"/>
      <c r="Z304" s="868"/>
      <c r="AA304" s="865"/>
      <c r="AB304" s="2"/>
      <c r="AC304" s="2"/>
      <c r="AD304" s="2"/>
      <c r="AE304" s="2"/>
      <c r="AF304" s="2"/>
      <c r="AG304" s="2"/>
      <c r="AH304" s="2"/>
      <c r="AI304" s="2"/>
      <c r="AJ304" s="2"/>
      <c r="AK304" s="2"/>
      <c r="AL304" s="2"/>
      <c r="AM304" s="2"/>
      <c r="AN304" s="2"/>
      <c r="AO304" s="9"/>
      <c r="AP304" s="9"/>
      <c r="AQ304" s="9"/>
      <c r="AR304" s="9"/>
    </row>
    <row r="305">
      <c r="A305" s="523"/>
      <c r="B305" s="523"/>
      <c r="C305" s="523"/>
      <c r="D305" s="523"/>
      <c r="E305" s="523"/>
      <c r="F305" s="523"/>
      <c r="G305" s="523"/>
      <c r="H305" s="523"/>
      <c r="I305" s="523"/>
      <c r="J305" s="523"/>
      <c r="K305" s="523"/>
      <c r="L305" s="523"/>
      <c r="M305" s="523"/>
      <c r="N305" s="523"/>
      <c r="O305" s="523"/>
      <c r="P305" s="523"/>
      <c r="Q305" s="523"/>
      <c r="R305" s="523"/>
      <c r="S305" s="523"/>
      <c r="T305" s="523"/>
      <c r="U305" s="523"/>
      <c r="V305" s="224"/>
      <c r="W305" s="224"/>
      <c r="X305" s="224"/>
      <c r="Y305" s="224"/>
      <c r="Z305" s="868"/>
      <c r="AA305" s="865"/>
      <c r="AB305" s="2"/>
      <c r="AC305" s="2"/>
      <c r="AD305" s="2"/>
      <c r="AE305" s="2"/>
      <c r="AF305" s="2"/>
      <c r="AG305" s="2"/>
      <c r="AH305" s="2"/>
      <c r="AI305" s="2"/>
      <c r="AJ305" s="2"/>
      <c r="AK305" s="2"/>
      <c r="AL305" s="2"/>
      <c r="AM305" s="2"/>
      <c r="AN305" s="2"/>
      <c r="AO305" s="9"/>
      <c r="AP305" s="9"/>
      <c r="AQ305" s="9"/>
      <c r="AR305" s="9"/>
    </row>
    <row r="306">
      <c r="A306" s="523"/>
      <c r="B306" s="523"/>
      <c r="C306" s="523"/>
      <c r="D306" s="523"/>
      <c r="E306" s="523"/>
      <c r="F306" s="523"/>
      <c r="G306" s="523"/>
      <c r="H306" s="523"/>
      <c r="I306" s="523"/>
      <c r="J306" s="523"/>
      <c r="K306" s="523"/>
      <c r="L306" s="523"/>
      <c r="M306" s="523"/>
      <c r="N306" s="523"/>
      <c r="O306" s="523"/>
      <c r="P306" s="523"/>
      <c r="Q306" s="523"/>
      <c r="R306" s="523"/>
      <c r="S306" s="523"/>
      <c r="T306" s="523"/>
      <c r="U306" s="523"/>
      <c r="V306" s="224"/>
      <c r="W306" s="224"/>
      <c r="X306" s="224"/>
      <c r="Y306" s="224"/>
      <c r="Z306" s="868"/>
      <c r="AA306" s="865"/>
      <c r="AB306" s="2"/>
      <c r="AC306" s="2"/>
      <c r="AD306" s="2"/>
      <c r="AE306" s="2"/>
      <c r="AF306" s="2"/>
      <c r="AG306" s="2"/>
      <c r="AH306" s="2"/>
      <c r="AI306" s="2"/>
      <c r="AJ306" s="2"/>
      <c r="AK306" s="2"/>
      <c r="AL306" s="2"/>
      <c r="AM306" s="2"/>
      <c r="AN306" s="2"/>
      <c r="AO306" s="9"/>
      <c r="AP306" s="9"/>
      <c r="AQ306" s="9"/>
      <c r="AR306" s="9"/>
    </row>
    <row r="307">
      <c r="A307" s="523"/>
      <c r="B307" s="523"/>
      <c r="C307" s="523"/>
      <c r="D307" s="523"/>
      <c r="E307" s="523"/>
      <c r="F307" s="523"/>
      <c r="G307" s="523"/>
      <c r="H307" s="523"/>
      <c r="I307" s="523"/>
      <c r="J307" s="523"/>
      <c r="K307" s="523"/>
      <c r="L307" s="523"/>
      <c r="M307" s="523"/>
      <c r="N307" s="523"/>
      <c r="O307" s="523"/>
      <c r="P307" s="523"/>
      <c r="Q307" s="523"/>
      <c r="R307" s="523"/>
      <c r="S307" s="523"/>
      <c r="T307" s="523"/>
      <c r="U307" s="523"/>
      <c r="V307" s="224"/>
      <c r="W307" s="224"/>
      <c r="X307" s="224"/>
      <c r="Y307" s="224"/>
      <c r="Z307" s="868"/>
      <c r="AA307" s="865"/>
      <c r="AB307" s="2"/>
      <c r="AC307" s="2"/>
      <c r="AD307" s="2"/>
      <c r="AE307" s="2"/>
      <c r="AF307" s="2"/>
      <c r="AG307" s="2"/>
      <c r="AH307" s="2"/>
      <c r="AI307" s="2"/>
      <c r="AJ307" s="2"/>
      <c r="AK307" s="2"/>
      <c r="AL307" s="2"/>
      <c r="AM307" s="2"/>
      <c r="AN307" s="2"/>
      <c r="AO307" s="9"/>
      <c r="AP307" s="9"/>
      <c r="AQ307" s="9"/>
      <c r="AR307" s="9"/>
    </row>
    <row r="308">
      <c r="A308" s="523"/>
      <c r="B308" s="523"/>
      <c r="C308" s="523"/>
      <c r="D308" s="523"/>
      <c r="E308" s="523"/>
      <c r="F308" s="523"/>
      <c r="G308" s="523"/>
      <c r="H308" s="523"/>
      <c r="I308" s="523"/>
      <c r="J308" s="523"/>
      <c r="K308" s="523"/>
      <c r="L308" s="523"/>
      <c r="M308" s="523"/>
      <c r="N308" s="523"/>
      <c r="O308" s="523"/>
      <c r="P308" s="523"/>
      <c r="Q308" s="523"/>
      <c r="R308" s="523"/>
      <c r="S308" s="523"/>
      <c r="T308" s="523"/>
      <c r="U308" s="523"/>
      <c r="V308" s="224"/>
      <c r="W308" s="224"/>
      <c r="X308" s="224"/>
      <c r="Y308" s="224"/>
      <c r="Z308" s="868"/>
      <c r="AA308" s="865"/>
      <c r="AB308" s="2"/>
      <c r="AC308" s="2"/>
      <c r="AD308" s="2"/>
      <c r="AE308" s="2"/>
      <c r="AF308" s="2"/>
      <c r="AG308" s="2"/>
      <c r="AH308" s="2"/>
      <c r="AI308" s="2"/>
      <c r="AJ308" s="2"/>
      <c r="AK308" s="2"/>
      <c r="AL308" s="2"/>
      <c r="AM308" s="2"/>
      <c r="AN308" s="2"/>
      <c r="AO308" s="9"/>
      <c r="AP308" s="9"/>
      <c r="AQ308" s="9"/>
      <c r="AR308" s="9"/>
    </row>
    <row r="309">
      <c r="A309" s="523"/>
      <c r="B309" s="523"/>
      <c r="C309" s="523"/>
      <c r="D309" s="523"/>
      <c r="E309" s="523"/>
      <c r="F309" s="523"/>
      <c r="G309" s="523"/>
      <c r="H309" s="523"/>
      <c r="I309" s="523"/>
      <c r="J309" s="523"/>
      <c r="K309" s="523"/>
      <c r="L309" s="523"/>
      <c r="M309" s="523"/>
      <c r="N309" s="523"/>
      <c r="O309" s="523"/>
      <c r="P309" s="523"/>
      <c r="Q309" s="523"/>
      <c r="R309" s="523"/>
      <c r="S309" s="523"/>
      <c r="T309" s="523"/>
      <c r="U309" s="523"/>
      <c r="V309" s="224"/>
      <c r="W309" s="224"/>
      <c r="X309" s="224"/>
      <c r="Y309" s="224"/>
      <c r="Z309" s="868"/>
      <c r="AA309" s="865"/>
      <c r="AB309" s="2"/>
      <c r="AC309" s="2"/>
      <c r="AD309" s="2"/>
      <c r="AE309" s="2"/>
      <c r="AF309" s="2"/>
      <c r="AG309" s="2"/>
      <c r="AH309" s="2"/>
      <c r="AI309" s="2"/>
      <c r="AJ309" s="2"/>
      <c r="AK309" s="2"/>
      <c r="AL309" s="2"/>
      <c r="AM309" s="2"/>
      <c r="AN309" s="2"/>
      <c r="AO309" s="9"/>
      <c r="AP309" s="9"/>
      <c r="AQ309" s="9"/>
      <c r="AR309" s="9"/>
    </row>
    <row r="310">
      <c r="A310" s="523"/>
      <c r="B310" s="523"/>
      <c r="C310" s="523"/>
      <c r="D310" s="523"/>
      <c r="E310" s="523"/>
      <c r="F310" s="523"/>
      <c r="G310" s="523"/>
      <c r="H310" s="523"/>
      <c r="I310" s="523"/>
      <c r="J310" s="523"/>
      <c r="K310" s="523"/>
      <c r="L310" s="523"/>
      <c r="M310" s="523"/>
      <c r="N310" s="523"/>
      <c r="O310" s="523"/>
      <c r="P310" s="523"/>
      <c r="Q310" s="523"/>
      <c r="R310" s="523"/>
      <c r="S310" s="523"/>
      <c r="T310" s="523"/>
      <c r="U310" s="523"/>
      <c r="V310" s="224"/>
      <c r="W310" s="224"/>
      <c r="X310" s="224"/>
      <c r="Y310" s="224"/>
      <c r="Z310" s="868"/>
      <c r="AA310" s="865"/>
      <c r="AB310" s="2"/>
      <c r="AC310" s="2"/>
      <c r="AD310" s="2"/>
      <c r="AE310" s="2"/>
      <c r="AF310" s="2"/>
      <c r="AG310" s="2"/>
      <c r="AH310" s="2"/>
      <c r="AI310" s="2"/>
      <c r="AJ310" s="2"/>
      <c r="AK310" s="2"/>
      <c r="AL310" s="2"/>
      <c r="AM310" s="2"/>
      <c r="AN310" s="2"/>
      <c r="AO310" s="9"/>
      <c r="AP310" s="9"/>
      <c r="AQ310" s="9"/>
      <c r="AR310" s="9"/>
    </row>
    <row r="311">
      <c r="A311" s="523"/>
      <c r="B311" s="523"/>
      <c r="C311" s="523"/>
      <c r="D311" s="523"/>
      <c r="E311" s="523"/>
      <c r="F311" s="523"/>
      <c r="G311" s="523"/>
      <c r="H311" s="523"/>
      <c r="I311" s="523"/>
      <c r="J311" s="523"/>
      <c r="K311" s="523"/>
      <c r="L311" s="523"/>
      <c r="M311" s="523"/>
      <c r="N311" s="523"/>
      <c r="O311" s="523"/>
      <c r="P311" s="523"/>
      <c r="Q311" s="523"/>
      <c r="R311" s="523"/>
      <c r="S311" s="523"/>
      <c r="T311" s="523"/>
      <c r="U311" s="523"/>
      <c r="V311" s="224"/>
      <c r="W311" s="224"/>
      <c r="X311" s="224"/>
      <c r="Y311" s="224"/>
      <c r="Z311" s="868"/>
      <c r="AA311" s="865"/>
      <c r="AB311" s="2"/>
      <c r="AC311" s="2"/>
      <c r="AD311" s="2"/>
      <c r="AE311" s="2"/>
      <c r="AF311" s="2"/>
      <c r="AG311" s="2"/>
      <c r="AH311" s="2"/>
      <c r="AI311" s="2"/>
      <c r="AJ311" s="2"/>
      <c r="AK311" s="2"/>
      <c r="AL311" s="2"/>
      <c r="AM311" s="2"/>
      <c r="AN311" s="2"/>
      <c r="AO311" s="9"/>
      <c r="AP311" s="9"/>
      <c r="AQ311" s="9"/>
      <c r="AR311" s="9"/>
    </row>
    <row r="312">
      <c r="A312" s="523"/>
      <c r="B312" s="523"/>
      <c r="C312" s="523"/>
      <c r="D312" s="523"/>
      <c r="E312" s="523"/>
      <c r="F312" s="523"/>
      <c r="G312" s="523"/>
      <c r="H312" s="523"/>
      <c r="I312" s="523"/>
      <c r="J312" s="523"/>
      <c r="K312" s="523"/>
      <c r="L312" s="523"/>
      <c r="M312" s="523"/>
      <c r="N312" s="523"/>
      <c r="O312" s="523"/>
      <c r="P312" s="523"/>
      <c r="Q312" s="523"/>
      <c r="R312" s="523"/>
      <c r="S312" s="523"/>
      <c r="T312" s="523"/>
      <c r="U312" s="523"/>
      <c r="V312" s="224"/>
      <c r="W312" s="224"/>
      <c r="X312" s="224"/>
      <c r="Y312" s="224"/>
      <c r="Z312" s="868"/>
      <c r="AA312" s="865"/>
      <c r="AB312" s="2"/>
      <c r="AC312" s="2"/>
      <c r="AD312" s="2"/>
      <c r="AE312" s="2"/>
      <c r="AF312" s="2"/>
      <c r="AG312" s="2"/>
      <c r="AH312" s="2"/>
      <c r="AI312" s="2"/>
      <c r="AJ312" s="2"/>
      <c r="AK312" s="2"/>
      <c r="AL312" s="2"/>
      <c r="AM312" s="2"/>
      <c r="AN312" s="2"/>
      <c r="AO312" s="9"/>
      <c r="AP312" s="9"/>
      <c r="AQ312" s="9"/>
      <c r="AR312" s="9"/>
    </row>
    <row r="313">
      <c r="A313" s="523"/>
      <c r="B313" s="523"/>
      <c r="C313" s="523"/>
      <c r="D313" s="523"/>
      <c r="E313" s="523"/>
      <c r="F313" s="523"/>
      <c r="G313" s="523"/>
      <c r="H313" s="523"/>
      <c r="I313" s="523"/>
      <c r="J313" s="523"/>
      <c r="K313" s="523"/>
      <c r="L313" s="523"/>
      <c r="M313" s="523"/>
      <c r="N313" s="523"/>
      <c r="O313" s="523"/>
      <c r="P313" s="523"/>
      <c r="Q313" s="523"/>
      <c r="R313" s="523"/>
      <c r="S313" s="523"/>
      <c r="T313" s="523"/>
      <c r="U313" s="523"/>
      <c r="V313" s="224"/>
      <c r="W313" s="224"/>
      <c r="X313" s="224"/>
      <c r="Y313" s="224"/>
      <c r="Z313" s="868"/>
      <c r="AA313" s="865"/>
      <c r="AB313" s="2"/>
      <c r="AC313" s="2"/>
      <c r="AD313" s="2"/>
      <c r="AE313" s="2"/>
      <c r="AF313" s="2"/>
      <c r="AG313" s="2"/>
      <c r="AH313" s="2"/>
      <c r="AI313" s="2"/>
      <c r="AJ313" s="2"/>
      <c r="AK313" s="2"/>
      <c r="AL313" s="2"/>
      <c r="AM313" s="2"/>
      <c r="AN313" s="2"/>
      <c r="AO313" s="9"/>
      <c r="AP313" s="9"/>
      <c r="AQ313" s="9"/>
      <c r="AR313" s="9"/>
    </row>
    <row r="314">
      <c r="A314" s="523"/>
      <c r="B314" s="523"/>
      <c r="C314" s="523"/>
      <c r="D314" s="523"/>
      <c r="E314" s="523"/>
      <c r="F314" s="523"/>
      <c r="G314" s="523"/>
      <c r="H314" s="523"/>
      <c r="I314" s="523"/>
      <c r="J314" s="523"/>
      <c r="K314" s="523"/>
      <c r="L314" s="523"/>
      <c r="M314" s="523"/>
      <c r="N314" s="523"/>
      <c r="O314" s="523"/>
      <c r="P314" s="523"/>
      <c r="Q314" s="523"/>
      <c r="R314" s="523"/>
      <c r="S314" s="523"/>
      <c r="T314" s="523"/>
      <c r="U314" s="523"/>
      <c r="V314" s="224"/>
      <c r="W314" s="224"/>
      <c r="X314" s="224"/>
      <c r="Y314" s="224"/>
      <c r="Z314" s="868"/>
      <c r="AA314" s="865"/>
      <c r="AB314" s="2"/>
      <c r="AC314" s="2"/>
      <c r="AD314" s="2"/>
      <c r="AE314" s="2"/>
      <c r="AF314" s="2"/>
      <c r="AG314" s="2"/>
      <c r="AH314" s="2"/>
      <c r="AI314" s="2"/>
      <c r="AJ314" s="2"/>
      <c r="AK314" s="2"/>
      <c r="AL314" s="2"/>
      <c r="AM314" s="2"/>
      <c r="AN314" s="2"/>
      <c r="AO314" s="9"/>
      <c r="AP314" s="9"/>
      <c r="AQ314" s="9"/>
      <c r="AR314" s="9"/>
    </row>
    <row r="315">
      <c r="A315" s="523"/>
      <c r="B315" s="523"/>
      <c r="C315" s="523"/>
      <c r="D315" s="523"/>
      <c r="E315" s="523"/>
      <c r="F315" s="523"/>
      <c r="G315" s="523"/>
      <c r="H315" s="523"/>
      <c r="I315" s="523"/>
      <c r="J315" s="523"/>
      <c r="K315" s="523"/>
      <c r="L315" s="523"/>
      <c r="M315" s="523"/>
      <c r="N315" s="523"/>
      <c r="O315" s="523"/>
      <c r="P315" s="523"/>
      <c r="Q315" s="523"/>
      <c r="R315" s="523"/>
      <c r="S315" s="523"/>
      <c r="T315" s="523"/>
      <c r="U315" s="523"/>
      <c r="V315" s="224"/>
      <c r="W315" s="224"/>
      <c r="X315" s="224"/>
      <c r="Y315" s="224"/>
      <c r="Z315" s="868"/>
      <c r="AA315" s="865"/>
      <c r="AB315" s="2"/>
      <c r="AC315" s="2"/>
      <c r="AD315" s="2"/>
      <c r="AE315" s="2"/>
      <c r="AF315" s="2"/>
      <c r="AG315" s="2"/>
      <c r="AH315" s="2"/>
      <c r="AI315" s="2"/>
      <c r="AJ315" s="2"/>
      <c r="AK315" s="2"/>
      <c r="AL315" s="2"/>
      <c r="AM315" s="2"/>
      <c r="AN315" s="2"/>
      <c r="AO315" s="9"/>
      <c r="AP315" s="9"/>
      <c r="AQ315" s="9"/>
      <c r="AR315" s="9"/>
    </row>
    <row r="316">
      <c r="A316" s="523"/>
      <c r="B316" s="523"/>
      <c r="C316" s="523"/>
      <c r="D316" s="523"/>
      <c r="E316" s="523"/>
      <c r="F316" s="523"/>
      <c r="G316" s="523"/>
      <c r="H316" s="523"/>
      <c r="I316" s="523"/>
      <c r="J316" s="523"/>
      <c r="K316" s="523"/>
      <c r="L316" s="523"/>
      <c r="M316" s="523"/>
      <c r="N316" s="523"/>
      <c r="O316" s="523"/>
      <c r="P316" s="523"/>
      <c r="Q316" s="523"/>
      <c r="R316" s="523"/>
      <c r="S316" s="523"/>
      <c r="T316" s="523"/>
      <c r="U316" s="523"/>
      <c r="V316" s="224"/>
      <c r="W316" s="224"/>
      <c r="X316" s="224"/>
      <c r="Y316" s="224"/>
      <c r="Z316" s="868"/>
      <c r="AA316" s="865"/>
      <c r="AB316" s="2"/>
      <c r="AC316" s="2"/>
      <c r="AD316" s="2"/>
      <c r="AE316" s="2"/>
      <c r="AF316" s="2"/>
      <c r="AG316" s="2"/>
      <c r="AH316" s="2"/>
      <c r="AI316" s="2"/>
      <c r="AJ316" s="2"/>
      <c r="AK316" s="2"/>
      <c r="AL316" s="2"/>
      <c r="AM316" s="2"/>
      <c r="AN316" s="2"/>
      <c r="AO316" s="9"/>
      <c r="AP316" s="9"/>
      <c r="AQ316" s="9"/>
      <c r="AR316" s="9"/>
    </row>
    <row r="317">
      <c r="A317" s="523"/>
      <c r="B317" s="523"/>
      <c r="C317" s="523"/>
      <c r="D317" s="523"/>
      <c r="E317" s="523"/>
      <c r="F317" s="523"/>
      <c r="G317" s="523"/>
      <c r="H317" s="523"/>
      <c r="I317" s="523"/>
      <c r="J317" s="523"/>
      <c r="K317" s="523"/>
      <c r="L317" s="523"/>
      <c r="M317" s="523"/>
      <c r="N317" s="523"/>
      <c r="O317" s="523"/>
      <c r="P317" s="523"/>
      <c r="Q317" s="523"/>
      <c r="R317" s="523"/>
      <c r="S317" s="523"/>
      <c r="T317" s="523"/>
      <c r="U317" s="523"/>
      <c r="V317" s="224"/>
      <c r="W317" s="224"/>
      <c r="X317" s="224"/>
      <c r="Y317" s="224"/>
      <c r="Z317" s="868"/>
      <c r="AA317" s="865"/>
      <c r="AB317" s="2"/>
      <c r="AC317" s="2"/>
      <c r="AD317" s="2"/>
      <c r="AE317" s="2"/>
      <c r="AF317" s="2"/>
      <c r="AG317" s="2"/>
      <c r="AH317" s="2"/>
      <c r="AI317" s="2"/>
      <c r="AJ317" s="2"/>
      <c r="AK317" s="2"/>
      <c r="AL317" s="2"/>
      <c r="AM317" s="2"/>
      <c r="AN317" s="2"/>
      <c r="AO317" s="9"/>
      <c r="AP317" s="9"/>
      <c r="AQ317" s="9"/>
      <c r="AR317" s="9"/>
    </row>
    <row r="318">
      <c r="A318" s="523"/>
      <c r="B318" s="523"/>
      <c r="C318" s="523"/>
      <c r="D318" s="523"/>
      <c r="E318" s="523"/>
      <c r="F318" s="523"/>
      <c r="G318" s="523"/>
      <c r="H318" s="523"/>
      <c r="I318" s="523"/>
      <c r="J318" s="523"/>
      <c r="K318" s="523"/>
      <c r="L318" s="523"/>
      <c r="M318" s="523"/>
      <c r="N318" s="523"/>
      <c r="O318" s="523"/>
      <c r="P318" s="523"/>
      <c r="Q318" s="523"/>
      <c r="R318" s="523"/>
      <c r="S318" s="523"/>
      <c r="T318" s="523"/>
      <c r="U318" s="523"/>
      <c r="V318" s="224"/>
      <c r="W318" s="224"/>
      <c r="X318" s="224"/>
      <c r="Y318" s="224"/>
      <c r="Z318" s="868"/>
      <c r="AA318" s="865"/>
      <c r="AB318" s="2"/>
      <c r="AC318" s="2"/>
      <c r="AD318" s="2"/>
      <c r="AE318" s="2"/>
      <c r="AF318" s="2"/>
      <c r="AG318" s="2"/>
      <c r="AH318" s="2"/>
      <c r="AI318" s="2"/>
      <c r="AJ318" s="2"/>
      <c r="AK318" s="2"/>
      <c r="AL318" s="2"/>
      <c r="AM318" s="2"/>
      <c r="AN318" s="2"/>
      <c r="AO318" s="9"/>
      <c r="AP318" s="9"/>
      <c r="AQ318" s="9"/>
      <c r="AR318" s="9"/>
    </row>
    <row r="319">
      <c r="A319" s="523"/>
      <c r="B319" s="523"/>
      <c r="C319" s="523"/>
      <c r="D319" s="523"/>
      <c r="E319" s="523"/>
      <c r="F319" s="523"/>
      <c r="G319" s="523"/>
      <c r="H319" s="523"/>
      <c r="I319" s="523"/>
      <c r="J319" s="523"/>
      <c r="K319" s="523"/>
      <c r="L319" s="523"/>
      <c r="M319" s="523"/>
      <c r="N319" s="523"/>
      <c r="O319" s="523"/>
      <c r="P319" s="523"/>
      <c r="Q319" s="523"/>
      <c r="R319" s="523"/>
      <c r="S319" s="523"/>
      <c r="T319" s="523"/>
      <c r="U319" s="523"/>
      <c r="V319" s="224"/>
      <c r="W319" s="224"/>
      <c r="X319" s="224"/>
      <c r="Y319" s="224"/>
      <c r="Z319" s="868"/>
      <c r="AA319" s="865"/>
      <c r="AB319" s="2"/>
      <c r="AC319" s="2"/>
      <c r="AD319" s="2"/>
      <c r="AE319" s="2"/>
      <c r="AF319" s="2"/>
      <c r="AG319" s="2"/>
      <c r="AH319" s="2"/>
      <c r="AI319" s="2"/>
      <c r="AJ319" s="2"/>
      <c r="AK319" s="2"/>
      <c r="AL319" s="2"/>
      <c r="AM319" s="2"/>
      <c r="AN319" s="2"/>
      <c r="AO319" s="9"/>
      <c r="AP319" s="9"/>
      <c r="AQ319" s="9"/>
      <c r="AR319" s="9"/>
    </row>
    <row r="320">
      <c r="A320" s="523"/>
      <c r="B320" s="523"/>
      <c r="C320" s="523"/>
      <c r="D320" s="523"/>
      <c r="E320" s="523"/>
      <c r="F320" s="523"/>
      <c r="G320" s="523"/>
      <c r="H320" s="523"/>
      <c r="I320" s="523"/>
      <c r="J320" s="523"/>
      <c r="K320" s="523"/>
      <c r="L320" s="523"/>
      <c r="M320" s="523"/>
      <c r="N320" s="523"/>
      <c r="O320" s="523"/>
      <c r="P320" s="523"/>
      <c r="Q320" s="523"/>
      <c r="R320" s="523"/>
      <c r="S320" s="523"/>
      <c r="T320" s="523"/>
      <c r="U320" s="523"/>
      <c r="V320" s="224"/>
      <c r="W320" s="224"/>
      <c r="X320" s="224"/>
      <c r="Y320" s="224"/>
      <c r="Z320" s="868"/>
      <c r="AA320" s="865"/>
      <c r="AB320" s="2"/>
      <c r="AC320" s="2"/>
      <c r="AD320" s="2"/>
      <c r="AE320" s="2"/>
      <c r="AF320" s="2"/>
      <c r="AG320" s="2"/>
      <c r="AH320" s="2"/>
      <c r="AI320" s="2"/>
      <c r="AJ320" s="2"/>
      <c r="AK320" s="2"/>
      <c r="AL320" s="2"/>
      <c r="AM320" s="2"/>
      <c r="AN320" s="2"/>
      <c r="AO320" s="9"/>
      <c r="AP320" s="9"/>
      <c r="AQ320" s="9"/>
      <c r="AR320" s="9"/>
    </row>
    <row r="321">
      <c r="A321" s="523"/>
      <c r="B321" s="523"/>
      <c r="C321" s="523"/>
      <c r="D321" s="523"/>
      <c r="E321" s="523"/>
      <c r="F321" s="523"/>
      <c r="G321" s="523"/>
      <c r="H321" s="523"/>
      <c r="I321" s="523"/>
      <c r="J321" s="523"/>
      <c r="K321" s="523"/>
      <c r="L321" s="523"/>
      <c r="M321" s="523"/>
      <c r="N321" s="523"/>
      <c r="O321" s="523"/>
      <c r="P321" s="523"/>
      <c r="Q321" s="523"/>
      <c r="R321" s="523"/>
      <c r="S321" s="523"/>
      <c r="T321" s="523"/>
      <c r="U321" s="523"/>
      <c r="V321" s="224"/>
      <c r="W321" s="224"/>
      <c r="X321" s="224"/>
      <c r="Y321" s="224"/>
      <c r="Z321" s="868"/>
      <c r="AA321" s="865"/>
      <c r="AB321" s="2"/>
      <c r="AC321" s="2"/>
      <c r="AD321" s="2"/>
      <c r="AE321" s="2"/>
      <c r="AF321" s="2"/>
      <c r="AG321" s="2"/>
      <c r="AH321" s="2"/>
      <c r="AI321" s="2"/>
      <c r="AJ321" s="2"/>
      <c r="AK321" s="2"/>
      <c r="AL321" s="2"/>
      <c r="AM321" s="2"/>
      <c r="AN321" s="2"/>
      <c r="AO321" s="9"/>
      <c r="AP321" s="9"/>
      <c r="AQ321" s="9"/>
      <c r="AR321" s="9"/>
    </row>
    <row r="322">
      <c r="A322" s="523"/>
      <c r="B322" s="523"/>
      <c r="C322" s="523"/>
      <c r="D322" s="523"/>
      <c r="E322" s="523"/>
      <c r="F322" s="523"/>
      <c r="G322" s="523"/>
      <c r="H322" s="523"/>
      <c r="I322" s="523"/>
      <c r="J322" s="523"/>
      <c r="K322" s="523"/>
      <c r="L322" s="523"/>
      <c r="M322" s="523"/>
      <c r="N322" s="523"/>
      <c r="O322" s="523"/>
      <c r="P322" s="523"/>
      <c r="Q322" s="523"/>
      <c r="R322" s="523"/>
      <c r="S322" s="523"/>
      <c r="T322" s="523"/>
      <c r="U322" s="523"/>
      <c r="V322" s="224"/>
      <c r="W322" s="224"/>
      <c r="X322" s="224"/>
      <c r="Y322" s="224"/>
      <c r="Z322" s="868"/>
      <c r="AA322" s="865"/>
      <c r="AB322" s="2"/>
      <c r="AC322" s="2"/>
      <c r="AD322" s="2"/>
      <c r="AE322" s="2"/>
      <c r="AF322" s="2"/>
      <c r="AG322" s="2"/>
      <c r="AH322" s="2"/>
      <c r="AI322" s="2"/>
      <c r="AJ322" s="2"/>
      <c r="AK322" s="2"/>
      <c r="AL322" s="2"/>
      <c r="AM322" s="2"/>
      <c r="AN322" s="2"/>
      <c r="AO322" s="9"/>
      <c r="AP322" s="9"/>
      <c r="AQ322" s="9"/>
      <c r="AR322" s="9"/>
    </row>
    <row r="323">
      <c r="A323" s="523"/>
      <c r="B323" s="523"/>
      <c r="C323" s="523"/>
      <c r="D323" s="523"/>
      <c r="E323" s="523"/>
      <c r="F323" s="523"/>
      <c r="G323" s="523"/>
      <c r="H323" s="523"/>
      <c r="I323" s="523"/>
      <c r="J323" s="523"/>
      <c r="K323" s="523"/>
      <c r="L323" s="523"/>
      <c r="M323" s="523"/>
      <c r="N323" s="523"/>
      <c r="O323" s="523"/>
      <c r="P323" s="523"/>
      <c r="Q323" s="523"/>
      <c r="R323" s="523"/>
      <c r="S323" s="523"/>
      <c r="T323" s="523"/>
      <c r="U323" s="523"/>
      <c r="V323" s="224"/>
      <c r="W323" s="224"/>
      <c r="X323" s="224"/>
      <c r="Y323" s="224"/>
      <c r="Z323" s="868"/>
      <c r="AA323" s="865"/>
      <c r="AB323" s="2"/>
      <c r="AC323" s="2"/>
      <c r="AD323" s="2"/>
      <c r="AE323" s="2"/>
      <c r="AF323" s="2"/>
      <c r="AG323" s="2"/>
      <c r="AH323" s="2"/>
      <c r="AI323" s="2"/>
      <c r="AJ323" s="2"/>
      <c r="AK323" s="2"/>
      <c r="AL323" s="2"/>
      <c r="AM323" s="2"/>
      <c r="AN323" s="2"/>
      <c r="AO323" s="9"/>
      <c r="AP323" s="9"/>
      <c r="AQ323" s="9"/>
      <c r="AR323" s="9"/>
    </row>
    <row r="324">
      <c r="A324" s="523"/>
      <c r="B324" s="523"/>
      <c r="C324" s="523"/>
      <c r="D324" s="523"/>
      <c r="E324" s="523"/>
      <c r="F324" s="523"/>
      <c r="G324" s="523"/>
      <c r="H324" s="523"/>
      <c r="I324" s="523"/>
      <c r="J324" s="523"/>
      <c r="K324" s="523"/>
      <c r="L324" s="523"/>
      <c r="M324" s="523"/>
      <c r="N324" s="523"/>
      <c r="O324" s="523"/>
      <c r="P324" s="523"/>
      <c r="Q324" s="523"/>
      <c r="R324" s="523"/>
      <c r="S324" s="523"/>
      <c r="T324" s="523"/>
      <c r="U324" s="523"/>
      <c r="V324" s="224"/>
      <c r="W324" s="224"/>
      <c r="X324" s="224"/>
      <c r="Y324" s="224"/>
      <c r="Z324" s="868"/>
      <c r="AA324" s="865"/>
      <c r="AB324" s="2"/>
      <c r="AC324" s="2"/>
      <c r="AD324" s="2"/>
      <c r="AE324" s="2"/>
      <c r="AF324" s="2"/>
      <c r="AG324" s="2"/>
      <c r="AH324" s="2"/>
      <c r="AI324" s="2"/>
      <c r="AJ324" s="2"/>
      <c r="AK324" s="2"/>
      <c r="AL324" s="2"/>
      <c r="AM324" s="2"/>
      <c r="AN324" s="2"/>
      <c r="AO324" s="9"/>
      <c r="AP324" s="9"/>
      <c r="AQ324" s="9"/>
      <c r="AR324" s="9"/>
    </row>
    <row r="325">
      <c r="A325" s="523"/>
      <c r="B325" s="523"/>
      <c r="C325" s="523"/>
      <c r="D325" s="523"/>
      <c r="E325" s="523"/>
      <c r="F325" s="523"/>
      <c r="G325" s="523"/>
      <c r="H325" s="523"/>
      <c r="I325" s="523"/>
      <c r="J325" s="523"/>
      <c r="K325" s="523"/>
      <c r="L325" s="523"/>
      <c r="M325" s="523"/>
      <c r="N325" s="523"/>
      <c r="O325" s="523"/>
      <c r="P325" s="523"/>
      <c r="Q325" s="523"/>
      <c r="R325" s="523"/>
      <c r="S325" s="523"/>
      <c r="T325" s="523"/>
      <c r="U325" s="523"/>
      <c r="V325" s="224"/>
      <c r="W325" s="224"/>
      <c r="X325" s="224"/>
      <c r="Y325" s="224"/>
      <c r="Z325" s="868"/>
      <c r="AA325" s="865"/>
      <c r="AB325" s="2"/>
      <c r="AC325" s="2"/>
      <c r="AD325" s="2"/>
      <c r="AE325" s="2"/>
      <c r="AF325" s="2"/>
      <c r="AG325" s="2"/>
      <c r="AH325" s="2"/>
      <c r="AI325" s="2"/>
      <c r="AJ325" s="2"/>
      <c r="AK325" s="2"/>
      <c r="AL325" s="2"/>
      <c r="AM325" s="2"/>
      <c r="AN325" s="2"/>
      <c r="AO325" s="9"/>
      <c r="AP325" s="9"/>
      <c r="AQ325" s="9"/>
      <c r="AR325" s="9"/>
    </row>
    <row r="326">
      <c r="A326" s="523"/>
      <c r="B326" s="523"/>
      <c r="C326" s="523"/>
      <c r="D326" s="523"/>
      <c r="E326" s="523"/>
      <c r="F326" s="523"/>
      <c r="G326" s="523"/>
      <c r="H326" s="523"/>
      <c r="I326" s="523"/>
      <c r="J326" s="523"/>
      <c r="K326" s="523"/>
      <c r="L326" s="523"/>
      <c r="M326" s="523"/>
      <c r="N326" s="523"/>
      <c r="O326" s="523"/>
      <c r="P326" s="523"/>
      <c r="Q326" s="523"/>
      <c r="R326" s="523"/>
      <c r="S326" s="523"/>
      <c r="T326" s="523"/>
      <c r="U326" s="523"/>
      <c r="V326" s="224"/>
      <c r="W326" s="224"/>
      <c r="X326" s="224"/>
      <c r="Y326" s="224"/>
      <c r="Z326" s="868"/>
      <c r="AA326" s="865"/>
      <c r="AB326" s="2"/>
      <c r="AC326" s="2"/>
      <c r="AD326" s="2"/>
      <c r="AE326" s="2"/>
      <c r="AF326" s="2"/>
      <c r="AG326" s="2"/>
      <c r="AH326" s="2"/>
      <c r="AI326" s="2"/>
      <c r="AJ326" s="2"/>
      <c r="AK326" s="2"/>
      <c r="AL326" s="2"/>
      <c r="AM326" s="2"/>
      <c r="AN326" s="2"/>
      <c r="AO326" s="9"/>
      <c r="AP326" s="9"/>
      <c r="AQ326" s="9"/>
      <c r="AR326" s="9"/>
    </row>
    <row r="327">
      <c r="A327" s="523"/>
      <c r="B327" s="523"/>
      <c r="C327" s="523"/>
      <c r="D327" s="523"/>
      <c r="E327" s="523"/>
      <c r="F327" s="523"/>
      <c r="G327" s="523"/>
      <c r="H327" s="523"/>
      <c r="I327" s="523"/>
      <c r="J327" s="523"/>
      <c r="K327" s="523"/>
      <c r="L327" s="523"/>
      <c r="M327" s="523"/>
      <c r="N327" s="523"/>
      <c r="O327" s="523"/>
      <c r="P327" s="523"/>
      <c r="Q327" s="523"/>
      <c r="R327" s="523"/>
      <c r="S327" s="523"/>
      <c r="T327" s="523"/>
      <c r="U327" s="523"/>
      <c r="V327" s="224"/>
      <c r="W327" s="224"/>
      <c r="X327" s="224"/>
      <c r="Y327" s="224"/>
      <c r="Z327" s="868"/>
      <c r="AA327" s="865"/>
      <c r="AB327" s="2"/>
      <c r="AC327" s="2"/>
      <c r="AD327" s="2"/>
      <c r="AE327" s="2"/>
      <c r="AF327" s="2"/>
      <c r="AG327" s="2"/>
      <c r="AH327" s="2"/>
      <c r="AI327" s="2"/>
      <c r="AJ327" s="2"/>
      <c r="AK327" s="2"/>
      <c r="AL327" s="2"/>
      <c r="AM327" s="2"/>
      <c r="AN327" s="2"/>
      <c r="AO327" s="9"/>
      <c r="AP327" s="9"/>
      <c r="AQ327" s="9"/>
      <c r="AR327" s="9"/>
    </row>
    <row r="328">
      <c r="A328" s="523"/>
      <c r="B328" s="523"/>
      <c r="C328" s="523"/>
      <c r="D328" s="523"/>
      <c r="E328" s="523"/>
      <c r="F328" s="523"/>
      <c r="G328" s="523"/>
      <c r="H328" s="523"/>
      <c r="I328" s="523"/>
      <c r="J328" s="523"/>
      <c r="K328" s="523"/>
      <c r="L328" s="523"/>
      <c r="M328" s="523"/>
      <c r="N328" s="523"/>
      <c r="O328" s="523"/>
      <c r="P328" s="523"/>
      <c r="Q328" s="523"/>
      <c r="R328" s="523"/>
      <c r="S328" s="523"/>
      <c r="T328" s="523"/>
      <c r="U328" s="523"/>
      <c r="V328" s="224"/>
      <c r="W328" s="224"/>
      <c r="X328" s="224"/>
      <c r="Y328" s="224"/>
      <c r="Z328" s="868"/>
      <c r="AA328" s="865"/>
      <c r="AB328" s="2"/>
      <c r="AC328" s="2"/>
      <c r="AD328" s="2"/>
      <c r="AE328" s="2"/>
      <c r="AF328" s="2"/>
      <c r="AG328" s="2"/>
      <c r="AH328" s="2"/>
      <c r="AI328" s="2"/>
      <c r="AJ328" s="2"/>
      <c r="AK328" s="2"/>
      <c r="AL328" s="2"/>
      <c r="AM328" s="2"/>
      <c r="AN328" s="2"/>
      <c r="AO328" s="9"/>
      <c r="AP328" s="9"/>
      <c r="AQ328" s="9"/>
      <c r="AR328" s="9"/>
    </row>
    <row r="329">
      <c r="A329" s="523"/>
      <c r="B329" s="523"/>
      <c r="C329" s="523"/>
      <c r="D329" s="523"/>
      <c r="E329" s="523"/>
      <c r="F329" s="523"/>
      <c r="G329" s="523"/>
      <c r="H329" s="523"/>
      <c r="I329" s="523"/>
      <c r="J329" s="523"/>
      <c r="K329" s="523"/>
      <c r="L329" s="523"/>
      <c r="M329" s="523"/>
      <c r="N329" s="523"/>
      <c r="O329" s="523"/>
      <c r="P329" s="523"/>
      <c r="Q329" s="523"/>
      <c r="R329" s="523"/>
      <c r="S329" s="523"/>
      <c r="T329" s="523"/>
      <c r="U329" s="523"/>
      <c r="V329" s="224"/>
      <c r="W329" s="224"/>
      <c r="X329" s="224"/>
      <c r="Y329" s="224"/>
      <c r="Z329" s="868"/>
      <c r="AA329" s="865"/>
      <c r="AB329" s="2"/>
      <c r="AC329" s="2"/>
      <c r="AD329" s="2"/>
      <c r="AE329" s="2"/>
      <c r="AF329" s="2"/>
      <c r="AG329" s="2"/>
      <c r="AH329" s="2"/>
      <c r="AI329" s="2"/>
      <c r="AJ329" s="2"/>
      <c r="AK329" s="2"/>
      <c r="AL329" s="2"/>
      <c r="AM329" s="2"/>
      <c r="AN329" s="2"/>
      <c r="AO329" s="9"/>
      <c r="AP329" s="9"/>
      <c r="AQ329" s="9"/>
      <c r="AR329" s="9"/>
    </row>
    <row r="330">
      <c r="A330" s="523"/>
      <c r="B330" s="523"/>
      <c r="C330" s="523"/>
      <c r="D330" s="523"/>
      <c r="E330" s="523"/>
      <c r="F330" s="523"/>
      <c r="G330" s="523"/>
      <c r="H330" s="523"/>
      <c r="I330" s="523"/>
      <c r="J330" s="523"/>
      <c r="K330" s="523"/>
      <c r="L330" s="523"/>
      <c r="M330" s="523"/>
      <c r="N330" s="523"/>
      <c r="O330" s="523"/>
      <c r="P330" s="523"/>
      <c r="Q330" s="523"/>
      <c r="R330" s="523"/>
      <c r="S330" s="523"/>
      <c r="T330" s="523"/>
      <c r="U330" s="523"/>
      <c r="V330" s="224"/>
      <c r="W330" s="224"/>
      <c r="X330" s="224"/>
      <c r="Y330" s="224"/>
      <c r="Z330" s="868"/>
      <c r="AA330" s="865"/>
      <c r="AB330" s="2"/>
      <c r="AC330" s="2"/>
      <c r="AD330" s="2"/>
      <c r="AE330" s="2"/>
      <c r="AF330" s="2"/>
      <c r="AG330" s="2"/>
      <c r="AH330" s="2"/>
      <c r="AI330" s="2"/>
      <c r="AJ330" s="2"/>
      <c r="AK330" s="2"/>
      <c r="AL330" s="2"/>
      <c r="AM330" s="2"/>
      <c r="AN330" s="2"/>
      <c r="AO330" s="9"/>
      <c r="AP330" s="9"/>
      <c r="AQ330" s="9"/>
      <c r="AR330" s="9"/>
    </row>
    <row r="331">
      <c r="A331" s="523"/>
      <c r="B331" s="523"/>
      <c r="C331" s="523"/>
      <c r="D331" s="523"/>
      <c r="E331" s="523"/>
      <c r="F331" s="523"/>
      <c r="G331" s="523"/>
      <c r="H331" s="523"/>
      <c r="I331" s="523"/>
      <c r="J331" s="523"/>
      <c r="K331" s="523"/>
      <c r="L331" s="523"/>
      <c r="M331" s="523"/>
      <c r="N331" s="523"/>
      <c r="O331" s="523"/>
      <c r="P331" s="523"/>
      <c r="Q331" s="523"/>
      <c r="R331" s="523"/>
      <c r="S331" s="523"/>
      <c r="T331" s="523"/>
      <c r="U331" s="523"/>
      <c r="V331" s="224"/>
      <c r="W331" s="224"/>
      <c r="X331" s="224"/>
      <c r="Y331" s="224"/>
      <c r="Z331" s="868"/>
      <c r="AA331" s="865"/>
      <c r="AB331" s="2"/>
      <c r="AC331" s="2"/>
      <c r="AD331" s="2"/>
      <c r="AE331" s="2"/>
      <c r="AF331" s="2"/>
      <c r="AG331" s="2"/>
      <c r="AH331" s="2"/>
      <c r="AI331" s="2"/>
      <c r="AJ331" s="2"/>
      <c r="AK331" s="2"/>
      <c r="AL331" s="2"/>
      <c r="AM331" s="2"/>
      <c r="AN331" s="2"/>
      <c r="AO331" s="9"/>
      <c r="AP331" s="9"/>
      <c r="AQ331" s="9"/>
      <c r="AR331" s="9"/>
    </row>
    <row r="332">
      <c r="A332" s="523"/>
      <c r="B332" s="523"/>
      <c r="C332" s="523"/>
      <c r="D332" s="523"/>
      <c r="E332" s="523"/>
      <c r="F332" s="523"/>
      <c r="G332" s="523"/>
      <c r="H332" s="523"/>
      <c r="I332" s="523"/>
      <c r="J332" s="523"/>
      <c r="K332" s="523"/>
      <c r="L332" s="523"/>
      <c r="M332" s="523"/>
      <c r="N332" s="523"/>
      <c r="O332" s="523"/>
      <c r="P332" s="523"/>
      <c r="Q332" s="523"/>
      <c r="R332" s="523"/>
      <c r="S332" s="523"/>
      <c r="T332" s="523"/>
      <c r="U332" s="523"/>
      <c r="V332" s="224"/>
      <c r="W332" s="224"/>
      <c r="X332" s="224"/>
      <c r="Y332" s="224"/>
      <c r="Z332" s="868"/>
      <c r="AA332" s="865"/>
      <c r="AB332" s="2"/>
      <c r="AC332" s="2"/>
      <c r="AD332" s="2"/>
      <c r="AE332" s="2"/>
      <c r="AF332" s="2"/>
      <c r="AG332" s="2"/>
      <c r="AH332" s="2"/>
      <c r="AI332" s="2"/>
      <c r="AJ332" s="2"/>
      <c r="AK332" s="2"/>
      <c r="AL332" s="2"/>
      <c r="AM332" s="2"/>
      <c r="AN332" s="2"/>
      <c r="AO332" s="9"/>
      <c r="AP332" s="9"/>
      <c r="AQ332" s="9"/>
      <c r="AR332" s="9"/>
    </row>
    <row r="333">
      <c r="A333" s="523"/>
      <c r="B333" s="523"/>
      <c r="C333" s="523"/>
      <c r="D333" s="523"/>
      <c r="E333" s="523"/>
      <c r="F333" s="523"/>
      <c r="G333" s="523"/>
      <c r="H333" s="523"/>
      <c r="I333" s="523"/>
      <c r="J333" s="523"/>
      <c r="K333" s="523"/>
      <c r="L333" s="523"/>
      <c r="M333" s="523"/>
      <c r="N333" s="523"/>
      <c r="O333" s="523"/>
      <c r="P333" s="523"/>
      <c r="Q333" s="523"/>
      <c r="R333" s="523"/>
      <c r="S333" s="523"/>
      <c r="T333" s="523"/>
      <c r="U333" s="523"/>
      <c r="V333" s="224"/>
      <c r="W333" s="224"/>
      <c r="X333" s="224"/>
      <c r="Y333" s="224"/>
      <c r="Z333" s="868"/>
      <c r="AA333" s="865"/>
      <c r="AB333" s="2"/>
      <c r="AC333" s="2"/>
      <c r="AD333" s="2"/>
      <c r="AE333" s="2"/>
      <c r="AF333" s="2"/>
      <c r="AG333" s="2"/>
      <c r="AH333" s="2"/>
      <c r="AI333" s="2"/>
      <c r="AJ333" s="2"/>
      <c r="AK333" s="2"/>
      <c r="AL333" s="2"/>
      <c r="AM333" s="2"/>
      <c r="AN333" s="2"/>
      <c r="AO333" s="9"/>
      <c r="AP333" s="9"/>
      <c r="AQ333" s="9"/>
      <c r="AR333" s="9"/>
    </row>
    <row r="334">
      <c r="A334" s="523"/>
      <c r="B334" s="523"/>
      <c r="C334" s="523"/>
      <c r="D334" s="523"/>
      <c r="E334" s="523"/>
      <c r="F334" s="523"/>
      <c r="G334" s="523"/>
      <c r="H334" s="523"/>
      <c r="I334" s="523"/>
      <c r="J334" s="523"/>
      <c r="K334" s="523"/>
      <c r="L334" s="523"/>
      <c r="M334" s="523"/>
      <c r="N334" s="523"/>
      <c r="O334" s="523"/>
      <c r="P334" s="523"/>
      <c r="Q334" s="523"/>
      <c r="R334" s="523"/>
      <c r="S334" s="523"/>
      <c r="T334" s="523"/>
      <c r="U334" s="523"/>
      <c r="V334" s="224"/>
      <c r="W334" s="224"/>
      <c r="X334" s="224"/>
      <c r="Y334" s="224"/>
      <c r="Z334" s="868"/>
      <c r="AA334" s="865"/>
      <c r="AB334" s="2"/>
      <c r="AC334" s="2"/>
      <c r="AD334" s="2"/>
      <c r="AE334" s="2"/>
      <c r="AF334" s="2"/>
      <c r="AG334" s="2"/>
      <c r="AH334" s="2"/>
      <c r="AI334" s="2"/>
      <c r="AJ334" s="2"/>
      <c r="AK334" s="2"/>
      <c r="AL334" s="2"/>
      <c r="AM334" s="2"/>
      <c r="AN334" s="2"/>
      <c r="AO334" s="9"/>
      <c r="AP334" s="9"/>
      <c r="AQ334" s="9"/>
      <c r="AR334" s="9"/>
    </row>
    <row r="335">
      <c r="A335" s="523"/>
      <c r="B335" s="523"/>
      <c r="C335" s="523"/>
      <c r="D335" s="523"/>
      <c r="E335" s="523"/>
      <c r="F335" s="523"/>
      <c r="G335" s="523"/>
      <c r="H335" s="523"/>
      <c r="I335" s="523"/>
      <c r="J335" s="523"/>
      <c r="K335" s="523"/>
      <c r="L335" s="523"/>
      <c r="M335" s="523"/>
      <c r="N335" s="523"/>
      <c r="O335" s="523"/>
      <c r="P335" s="523"/>
      <c r="Q335" s="523"/>
      <c r="R335" s="523"/>
      <c r="S335" s="523"/>
      <c r="T335" s="523"/>
      <c r="U335" s="523"/>
      <c r="V335" s="224"/>
      <c r="W335" s="224"/>
      <c r="X335" s="224"/>
      <c r="Y335" s="224"/>
      <c r="Z335" s="868"/>
      <c r="AA335" s="865"/>
      <c r="AB335" s="2"/>
      <c r="AC335" s="2"/>
      <c r="AD335" s="2"/>
      <c r="AE335" s="2"/>
      <c r="AF335" s="2"/>
      <c r="AG335" s="2"/>
      <c r="AH335" s="2"/>
      <c r="AI335" s="2"/>
      <c r="AJ335" s="2"/>
      <c r="AK335" s="2"/>
      <c r="AL335" s="2"/>
      <c r="AM335" s="2"/>
      <c r="AN335" s="2"/>
      <c r="AO335" s="9"/>
      <c r="AP335" s="9"/>
      <c r="AQ335" s="9"/>
      <c r="AR335" s="9"/>
    </row>
    <row r="336">
      <c r="A336" s="523"/>
      <c r="B336" s="523"/>
      <c r="C336" s="523"/>
      <c r="D336" s="523"/>
      <c r="E336" s="523"/>
      <c r="F336" s="523"/>
      <c r="G336" s="523"/>
      <c r="H336" s="523"/>
      <c r="I336" s="523"/>
      <c r="J336" s="523"/>
      <c r="K336" s="523"/>
      <c r="L336" s="523"/>
      <c r="M336" s="523"/>
      <c r="N336" s="523"/>
      <c r="O336" s="523"/>
      <c r="P336" s="523"/>
      <c r="Q336" s="523"/>
      <c r="R336" s="523"/>
      <c r="S336" s="523"/>
      <c r="T336" s="523"/>
      <c r="U336" s="523"/>
      <c r="V336" s="224"/>
      <c r="W336" s="224"/>
      <c r="X336" s="224"/>
      <c r="Y336" s="224"/>
      <c r="Z336" s="868"/>
      <c r="AA336" s="865"/>
      <c r="AB336" s="2"/>
      <c r="AC336" s="2"/>
      <c r="AD336" s="2"/>
      <c r="AE336" s="2"/>
      <c r="AF336" s="2"/>
      <c r="AG336" s="2"/>
      <c r="AH336" s="2"/>
      <c r="AI336" s="2"/>
      <c r="AJ336" s="2"/>
      <c r="AK336" s="2"/>
      <c r="AL336" s="2"/>
      <c r="AM336" s="2"/>
      <c r="AN336" s="2"/>
      <c r="AO336" s="9"/>
      <c r="AP336" s="9"/>
      <c r="AQ336" s="9"/>
      <c r="AR336" s="9"/>
    </row>
    <row r="337">
      <c r="A337" s="523"/>
      <c r="B337" s="523"/>
      <c r="C337" s="523"/>
      <c r="D337" s="523"/>
      <c r="E337" s="523"/>
      <c r="F337" s="523"/>
      <c r="G337" s="523"/>
      <c r="H337" s="523"/>
      <c r="I337" s="523"/>
      <c r="J337" s="523"/>
      <c r="K337" s="523"/>
      <c r="L337" s="523"/>
      <c r="M337" s="523"/>
      <c r="N337" s="523"/>
      <c r="O337" s="523"/>
      <c r="P337" s="523"/>
      <c r="Q337" s="523"/>
      <c r="R337" s="523"/>
      <c r="S337" s="523"/>
      <c r="T337" s="523"/>
      <c r="U337" s="523"/>
      <c r="V337" s="224"/>
      <c r="W337" s="224"/>
      <c r="X337" s="224"/>
      <c r="Y337" s="224"/>
      <c r="Z337" s="868"/>
      <c r="AA337" s="865"/>
      <c r="AB337" s="2"/>
      <c r="AC337" s="2"/>
      <c r="AD337" s="2"/>
      <c r="AE337" s="2"/>
      <c r="AF337" s="2"/>
      <c r="AG337" s="2"/>
      <c r="AH337" s="2"/>
      <c r="AI337" s="2"/>
      <c r="AJ337" s="2"/>
      <c r="AK337" s="2"/>
      <c r="AL337" s="2"/>
      <c r="AM337" s="2"/>
      <c r="AN337" s="2"/>
      <c r="AO337" s="9"/>
      <c r="AP337" s="9"/>
      <c r="AQ337" s="9"/>
      <c r="AR337" s="9"/>
    </row>
    <row r="338">
      <c r="A338" s="523"/>
      <c r="B338" s="523"/>
      <c r="C338" s="523"/>
      <c r="D338" s="523"/>
      <c r="E338" s="523"/>
      <c r="F338" s="523"/>
      <c r="G338" s="523"/>
      <c r="H338" s="523"/>
      <c r="I338" s="523"/>
      <c r="J338" s="523"/>
      <c r="K338" s="523"/>
      <c r="L338" s="523"/>
      <c r="M338" s="523"/>
      <c r="N338" s="523"/>
      <c r="O338" s="523"/>
      <c r="P338" s="523"/>
      <c r="Q338" s="523"/>
      <c r="R338" s="523"/>
      <c r="S338" s="523"/>
      <c r="T338" s="523"/>
      <c r="U338" s="523"/>
      <c r="V338" s="224"/>
      <c r="W338" s="224"/>
      <c r="X338" s="224"/>
      <c r="Y338" s="224"/>
      <c r="Z338" s="868"/>
      <c r="AA338" s="865"/>
      <c r="AB338" s="2"/>
      <c r="AC338" s="2"/>
      <c r="AD338" s="2"/>
      <c r="AE338" s="2"/>
      <c r="AF338" s="2"/>
      <c r="AG338" s="2"/>
      <c r="AH338" s="2"/>
      <c r="AI338" s="2"/>
      <c r="AJ338" s="2"/>
      <c r="AK338" s="2"/>
      <c r="AL338" s="2"/>
      <c r="AM338" s="2"/>
      <c r="AN338" s="2"/>
      <c r="AO338" s="9"/>
      <c r="AP338" s="9"/>
      <c r="AQ338" s="9"/>
      <c r="AR338" s="9"/>
    </row>
    <row r="339">
      <c r="A339" s="523"/>
      <c r="B339" s="523"/>
      <c r="C339" s="523"/>
      <c r="D339" s="523"/>
      <c r="E339" s="523"/>
      <c r="F339" s="523"/>
      <c r="G339" s="523"/>
      <c r="H339" s="523"/>
      <c r="I339" s="523"/>
      <c r="J339" s="523"/>
      <c r="K339" s="523"/>
      <c r="L339" s="523"/>
      <c r="M339" s="523"/>
      <c r="N339" s="523"/>
      <c r="O339" s="523"/>
      <c r="P339" s="523"/>
      <c r="Q339" s="523"/>
      <c r="R339" s="523"/>
      <c r="S339" s="523"/>
      <c r="T339" s="523"/>
      <c r="U339" s="523"/>
      <c r="V339" s="224"/>
      <c r="W339" s="224"/>
      <c r="X339" s="224"/>
      <c r="Y339" s="224"/>
      <c r="Z339" s="868"/>
      <c r="AA339" s="865"/>
      <c r="AB339" s="2"/>
      <c r="AC339" s="2"/>
      <c r="AD339" s="2"/>
      <c r="AE339" s="2"/>
      <c r="AF339" s="2"/>
      <c r="AG339" s="2"/>
      <c r="AH339" s="2"/>
      <c r="AI339" s="2"/>
      <c r="AJ339" s="2"/>
      <c r="AK339" s="2"/>
      <c r="AL339" s="2"/>
      <c r="AM339" s="2"/>
      <c r="AN339" s="2"/>
      <c r="AO339" s="9"/>
      <c r="AP339" s="9"/>
      <c r="AQ339" s="9"/>
      <c r="AR339" s="9"/>
    </row>
    <row r="340">
      <c r="A340" s="523"/>
      <c r="B340" s="523"/>
      <c r="C340" s="523"/>
      <c r="D340" s="523"/>
      <c r="E340" s="523"/>
      <c r="F340" s="523"/>
      <c r="G340" s="523"/>
      <c r="H340" s="523"/>
      <c r="I340" s="523"/>
      <c r="J340" s="523"/>
      <c r="K340" s="523"/>
      <c r="L340" s="523"/>
      <c r="M340" s="523"/>
      <c r="N340" s="523"/>
      <c r="O340" s="523"/>
      <c r="P340" s="523"/>
      <c r="Q340" s="523"/>
      <c r="R340" s="523"/>
      <c r="S340" s="523"/>
      <c r="T340" s="523"/>
      <c r="U340" s="523"/>
      <c r="V340" s="224"/>
      <c r="W340" s="224"/>
      <c r="X340" s="224"/>
      <c r="Y340" s="224"/>
      <c r="Z340" s="868"/>
      <c r="AA340" s="865"/>
      <c r="AB340" s="2"/>
      <c r="AC340" s="2"/>
      <c r="AD340" s="2"/>
      <c r="AE340" s="2"/>
      <c r="AF340" s="2"/>
      <c r="AG340" s="2"/>
      <c r="AH340" s="2"/>
      <c r="AI340" s="2"/>
      <c r="AJ340" s="2"/>
      <c r="AK340" s="2"/>
      <c r="AL340" s="2"/>
      <c r="AM340" s="2"/>
      <c r="AN340" s="2"/>
      <c r="AO340" s="9"/>
      <c r="AP340" s="9"/>
      <c r="AQ340" s="9"/>
      <c r="AR340" s="9"/>
    </row>
    <row r="341">
      <c r="A341" s="523"/>
      <c r="B341" s="523"/>
      <c r="C341" s="523"/>
      <c r="D341" s="523"/>
      <c r="E341" s="523"/>
      <c r="F341" s="523"/>
      <c r="G341" s="523"/>
      <c r="H341" s="523"/>
      <c r="I341" s="523"/>
      <c r="J341" s="523"/>
      <c r="K341" s="523"/>
      <c r="L341" s="523"/>
      <c r="M341" s="523"/>
      <c r="N341" s="523"/>
      <c r="O341" s="523"/>
      <c r="P341" s="523"/>
      <c r="Q341" s="523"/>
      <c r="R341" s="523"/>
      <c r="S341" s="523"/>
      <c r="T341" s="523"/>
      <c r="U341" s="523"/>
      <c r="V341" s="224"/>
      <c r="W341" s="224"/>
      <c r="X341" s="224"/>
      <c r="Y341" s="224"/>
      <c r="Z341" s="868"/>
      <c r="AA341" s="865"/>
      <c r="AB341" s="2"/>
      <c r="AC341" s="2"/>
      <c r="AD341" s="2"/>
      <c r="AE341" s="2"/>
      <c r="AF341" s="2"/>
      <c r="AG341" s="2"/>
      <c r="AH341" s="2"/>
      <c r="AI341" s="2"/>
      <c r="AJ341" s="2"/>
      <c r="AK341" s="2"/>
      <c r="AL341" s="2"/>
      <c r="AM341" s="2"/>
      <c r="AN341" s="2"/>
      <c r="AO341" s="9"/>
      <c r="AP341" s="9"/>
      <c r="AQ341" s="9"/>
      <c r="AR341" s="9"/>
    </row>
    <row r="342">
      <c r="A342" s="523"/>
      <c r="B342" s="523"/>
      <c r="C342" s="523"/>
      <c r="D342" s="523"/>
      <c r="E342" s="523"/>
      <c r="F342" s="523"/>
      <c r="G342" s="523"/>
      <c r="H342" s="523"/>
      <c r="I342" s="523"/>
      <c r="J342" s="523"/>
      <c r="K342" s="523"/>
      <c r="L342" s="523"/>
      <c r="M342" s="523"/>
      <c r="N342" s="523"/>
      <c r="O342" s="523"/>
      <c r="P342" s="523"/>
      <c r="Q342" s="523"/>
      <c r="R342" s="523"/>
      <c r="S342" s="523"/>
      <c r="T342" s="523"/>
      <c r="U342" s="523"/>
      <c r="V342" s="224"/>
      <c r="W342" s="224"/>
      <c r="X342" s="224"/>
      <c r="Y342" s="224"/>
      <c r="Z342" s="868"/>
      <c r="AA342" s="865"/>
      <c r="AB342" s="2"/>
      <c r="AC342" s="2"/>
      <c r="AD342" s="2"/>
      <c r="AE342" s="2"/>
      <c r="AF342" s="2"/>
      <c r="AG342" s="2"/>
      <c r="AH342" s="2"/>
      <c r="AI342" s="2"/>
      <c r="AJ342" s="2"/>
      <c r="AK342" s="2"/>
      <c r="AL342" s="2"/>
      <c r="AM342" s="2"/>
      <c r="AN342" s="2"/>
      <c r="AO342" s="9"/>
      <c r="AP342" s="9"/>
      <c r="AQ342" s="9"/>
      <c r="AR342" s="9"/>
    </row>
    <row r="343">
      <c r="A343" s="523"/>
      <c r="B343" s="523"/>
      <c r="C343" s="523"/>
      <c r="D343" s="523"/>
      <c r="E343" s="523"/>
      <c r="F343" s="523"/>
      <c r="G343" s="523"/>
      <c r="H343" s="523"/>
      <c r="I343" s="523"/>
      <c r="J343" s="523"/>
      <c r="K343" s="523"/>
      <c r="L343" s="523"/>
      <c r="M343" s="523"/>
      <c r="N343" s="523"/>
      <c r="O343" s="523"/>
      <c r="P343" s="523"/>
      <c r="Q343" s="523"/>
      <c r="R343" s="523"/>
      <c r="S343" s="523"/>
      <c r="T343" s="523"/>
      <c r="U343" s="523"/>
      <c r="V343" s="224"/>
      <c r="W343" s="224"/>
      <c r="X343" s="224"/>
      <c r="Y343" s="224"/>
      <c r="Z343" s="868"/>
      <c r="AA343" s="865"/>
      <c r="AB343" s="2"/>
      <c r="AC343" s="2"/>
      <c r="AD343" s="2"/>
      <c r="AE343" s="2"/>
      <c r="AF343" s="2"/>
      <c r="AG343" s="2"/>
      <c r="AH343" s="2"/>
      <c r="AI343" s="2"/>
      <c r="AJ343" s="2"/>
      <c r="AK343" s="2"/>
      <c r="AL343" s="2"/>
      <c r="AM343" s="2"/>
      <c r="AN343" s="2"/>
      <c r="AO343" s="9"/>
      <c r="AP343" s="9"/>
      <c r="AQ343" s="9"/>
      <c r="AR343" s="9"/>
    </row>
    <row r="344">
      <c r="A344" s="523"/>
      <c r="B344" s="523"/>
      <c r="C344" s="523"/>
      <c r="D344" s="523"/>
      <c r="E344" s="523"/>
      <c r="F344" s="523"/>
      <c r="G344" s="523"/>
      <c r="H344" s="523"/>
      <c r="I344" s="523"/>
      <c r="J344" s="523"/>
      <c r="K344" s="523"/>
      <c r="L344" s="523"/>
      <c r="M344" s="523"/>
      <c r="N344" s="523"/>
      <c r="O344" s="523"/>
      <c r="P344" s="523"/>
      <c r="Q344" s="523"/>
      <c r="R344" s="523"/>
      <c r="S344" s="523"/>
      <c r="T344" s="523"/>
      <c r="U344" s="523"/>
      <c r="V344" s="224"/>
      <c r="W344" s="224"/>
      <c r="X344" s="224"/>
      <c r="Y344" s="224"/>
      <c r="Z344" s="868"/>
      <c r="AA344" s="865"/>
      <c r="AB344" s="2"/>
      <c r="AC344" s="2"/>
      <c r="AD344" s="2"/>
      <c r="AE344" s="2"/>
      <c r="AF344" s="2"/>
      <c r="AG344" s="2"/>
      <c r="AH344" s="2"/>
      <c r="AI344" s="2"/>
      <c r="AJ344" s="2"/>
      <c r="AK344" s="2"/>
      <c r="AL344" s="2"/>
      <c r="AM344" s="2"/>
      <c r="AN344" s="2"/>
      <c r="AO344" s="9"/>
      <c r="AP344" s="9"/>
      <c r="AQ344" s="9"/>
      <c r="AR344" s="9"/>
    </row>
    <row r="345">
      <c r="A345" s="523"/>
      <c r="B345" s="523"/>
      <c r="C345" s="523"/>
      <c r="D345" s="523"/>
      <c r="E345" s="523"/>
      <c r="F345" s="523"/>
      <c r="G345" s="523"/>
      <c r="H345" s="523"/>
      <c r="I345" s="523"/>
      <c r="J345" s="523"/>
      <c r="K345" s="523"/>
      <c r="L345" s="523"/>
      <c r="M345" s="523"/>
      <c r="N345" s="523"/>
      <c r="O345" s="523"/>
      <c r="P345" s="523"/>
      <c r="Q345" s="523"/>
      <c r="R345" s="523"/>
      <c r="S345" s="523"/>
      <c r="T345" s="523"/>
      <c r="U345" s="523"/>
      <c r="V345" s="224"/>
      <c r="W345" s="224"/>
      <c r="X345" s="224"/>
      <c r="Y345" s="224"/>
      <c r="Z345" s="868"/>
      <c r="AA345" s="865"/>
      <c r="AB345" s="2"/>
      <c r="AC345" s="2"/>
      <c r="AD345" s="2"/>
      <c r="AE345" s="2"/>
      <c r="AF345" s="2"/>
      <c r="AG345" s="2"/>
      <c r="AH345" s="2"/>
      <c r="AI345" s="2"/>
      <c r="AJ345" s="2"/>
      <c r="AK345" s="2"/>
      <c r="AL345" s="2"/>
      <c r="AM345" s="2"/>
      <c r="AN345" s="2"/>
      <c r="AO345" s="9"/>
      <c r="AP345" s="9"/>
      <c r="AQ345" s="9"/>
      <c r="AR345" s="9"/>
    </row>
    <row r="346">
      <c r="A346" s="523"/>
      <c r="B346" s="523"/>
      <c r="C346" s="523"/>
      <c r="D346" s="523"/>
      <c r="E346" s="523"/>
      <c r="F346" s="523"/>
      <c r="G346" s="523"/>
      <c r="H346" s="523"/>
      <c r="I346" s="523"/>
      <c r="J346" s="523"/>
      <c r="K346" s="523"/>
      <c r="L346" s="523"/>
      <c r="M346" s="523"/>
      <c r="N346" s="523"/>
      <c r="O346" s="523"/>
      <c r="P346" s="523"/>
      <c r="Q346" s="523"/>
      <c r="R346" s="523"/>
      <c r="S346" s="523"/>
      <c r="T346" s="523"/>
      <c r="U346" s="523"/>
      <c r="V346" s="224"/>
      <c r="W346" s="224"/>
      <c r="X346" s="224"/>
      <c r="Y346" s="224"/>
      <c r="Z346" s="868"/>
      <c r="AA346" s="865"/>
      <c r="AB346" s="2"/>
      <c r="AC346" s="2"/>
      <c r="AD346" s="2"/>
      <c r="AE346" s="2"/>
      <c r="AF346" s="2"/>
      <c r="AG346" s="2"/>
      <c r="AH346" s="2"/>
      <c r="AI346" s="2"/>
      <c r="AJ346" s="2"/>
      <c r="AK346" s="2"/>
      <c r="AL346" s="2"/>
      <c r="AM346" s="2"/>
      <c r="AN346" s="2"/>
      <c r="AO346" s="9"/>
      <c r="AP346" s="9"/>
      <c r="AQ346" s="9"/>
      <c r="AR346" s="9"/>
    </row>
    <row r="347">
      <c r="A347" s="523"/>
      <c r="B347" s="523"/>
      <c r="C347" s="523"/>
      <c r="D347" s="523"/>
      <c r="E347" s="523"/>
      <c r="F347" s="523"/>
      <c r="G347" s="523"/>
      <c r="H347" s="523"/>
      <c r="I347" s="523"/>
      <c r="J347" s="523"/>
      <c r="K347" s="523"/>
      <c r="L347" s="523"/>
      <c r="M347" s="523"/>
      <c r="N347" s="523"/>
      <c r="O347" s="523"/>
      <c r="P347" s="523"/>
      <c r="Q347" s="523"/>
      <c r="R347" s="523"/>
      <c r="S347" s="523"/>
      <c r="T347" s="523"/>
      <c r="U347" s="523"/>
      <c r="V347" s="224"/>
      <c r="W347" s="224"/>
      <c r="X347" s="224"/>
      <c r="Y347" s="224"/>
      <c r="Z347" s="868"/>
      <c r="AA347" s="865"/>
      <c r="AB347" s="2"/>
      <c r="AC347" s="2"/>
      <c r="AD347" s="2"/>
      <c r="AE347" s="2"/>
      <c r="AF347" s="2"/>
      <c r="AG347" s="2"/>
      <c r="AH347" s="2"/>
      <c r="AI347" s="2"/>
      <c r="AJ347" s="2"/>
      <c r="AK347" s="2"/>
      <c r="AL347" s="2"/>
      <c r="AM347" s="2"/>
      <c r="AN347" s="2"/>
      <c r="AO347" s="9"/>
      <c r="AP347" s="9"/>
      <c r="AQ347" s="9"/>
      <c r="AR347" s="9"/>
    </row>
    <row r="348">
      <c r="A348" s="523"/>
      <c r="B348" s="523"/>
      <c r="C348" s="523"/>
      <c r="D348" s="523"/>
      <c r="E348" s="523"/>
      <c r="F348" s="523"/>
      <c r="G348" s="523"/>
      <c r="H348" s="523"/>
      <c r="I348" s="523"/>
      <c r="J348" s="523"/>
      <c r="K348" s="523"/>
      <c r="L348" s="523"/>
      <c r="M348" s="523"/>
      <c r="N348" s="523"/>
      <c r="O348" s="523"/>
      <c r="P348" s="523"/>
      <c r="Q348" s="523"/>
      <c r="R348" s="523"/>
      <c r="S348" s="523"/>
      <c r="T348" s="523"/>
      <c r="U348" s="523"/>
      <c r="V348" s="224"/>
      <c r="W348" s="224"/>
      <c r="X348" s="224"/>
      <c r="Y348" s="224"/>
      <c r="Z348" s="868"/>
      <c r="AA348" s="865"/>
      <c r="AB348" s="2"/>
      <c r="AC348" s="2"/>
      <c r="AD348" s="2"/>
      <c r="AE348" s="2"/>
      <c r="AF348" s="2"/>
      <c r="AG348" s="2"/>
      <c r="AH348" s="2"/>
      <c r="AI348" s="2"/>
      <c r="AJ348" s="2"/>
      <c r="AK348" s="2"/>
      <c r="AL348" s="2"/>
      <c r="AM348" s="2"/>
      <c r="AN348" s="2"/>
      <c r="AO348" s="9"/>
      <c r="AP348" s="9"/>
      <c r="AQ348" s="9"/>
      <c r="AR348" s="9"/>
    </row>
    <row r="349">
      <c r="A349" s="523"/>
      <c r="B349" s="523"/>
      <c r="C349" s="523"/>
      <c r="D349" s="523"/>
      <c r="E349" s="523"/>
      <c r="F349" s="523"/>
      <c r="G349" s="523"/>
      <c r="H349" s="523"/>
      <c r="I349" s="523"/>
      <c r="J349" s="523"/>
      <c r="K349" s="523"/>
      <c r="L349" s="523"/>
      <c r="M349" s="523"/>
      <c r="N349" s="523"/>
      <c r="O349" s="523"/>
      <c r="P349" s="523"/>
      <c r="Q349" s="523"/>
      <c r="R349" s="523"/>
      <c r="S349" s="523"/>
      <c r="T349" s="523"/>
      <c r="U349" s="523"/>
      <c r="V349" s="224"/>
      <c r="W349" s="224"/>
      <c r="X349" s="224"/>
      <c r="Y349" s="224"/>
      <c r="Z349" s="868"/>
      <c r="AA349" s="865"/>
      <c r="AB349" s="2"/>
      <c r="AC349" s="2"/>
      <c r="AD349" s="2"/>
      <c r="AE349" s="2"/>
      <c r="AF349" s="2"/>
      <c r="AG349" s="2"/>
      <c r="AH349" s="2"/>
      <c r="AI349" s="2"/>
      <c r="AJ349" s="2"/>
      <c r="AK349" s="2"/>
      <c r="AL349" s="2"/>
      <c r="AM349" s="2"/>
      <c r="AN349" s="2"/>
      <c r="AO349" s="9"/>
      <c r="AP349" s="9"/>
      <c r="AQ349" s="9"/>
      <c r="AR349" s="9"/>
    </row>
    <row r="350">
      <c r="A350" s="523"/>
      <c r="B350" s="523"/>
      <c r="C350" s="523"/>
      <c r="D350" s="523"/>
      <c r="E350" s="523"/>
      <c r="F350" s="523"/>
      <c r="G350" s="523"/>
      <c r="H350" s="523"/>
      <c r="I350" s="523"/>
      <c r="J350" s="523"/>
      <c r="K350" s="523"/>
      <c r="L350" s="523"/>
      <c r="M350" s="523"/>
      <c r="N350" s="523"/>
      <c r="O350" s="523"/>
      <c r="P350" s="523"/>
      <c r="Q350" s="523"/>
      <c r="R350" s="523"/>
      <c r="S350" s="523"/>
      <c r="T350" s="523"/>
      <c r="U350" s="523"/>
      <c r="V350" s="224"/>
      <c r="W350" s="224"/>
      <c r="X350" s="224"/>
      <c r="Y350" s="224"/>
      <c r="Z350" s="868"/>
      <c r="AA350" s="865"/>
      <c r="AB350" s="2"/>
      <c r="AC350" s="2"/>
      <c r="AD350" s="2"/>
      <c r="AE350" s="2"/>
      <c r="AF350" s="2"/>
      <c r="AG350" s="2"/>
      <c r="AH350" s="2"/>
      <c r="AI350" s="2"/>
      <c r="AJ350" s="2"/>
      <c r="AK350" s="2"/>
      <c r="AL350" s="2"/>
      <c r="AM350" s="2"/>
      <c r="AN350" s="2"/>
      <c r="AO350" s="9"/>
      <c r="AP350" s="9"/>
      <c r="AQ350" s="9"/>
      <c r="AR350" s="9"/>
    </row>
    <row r="351">
      <c r="A351" s="523"/>
      <c r="B351" s="523"/>
      <c r="C351" s="523"/>
      <c r="D351" s="523"/>
      <c r="E351" s="523"/>
      <c r="F351" s="523"/>
      <c r="G351" s="523"/>
      <c r="H351" s="523"/>
      <c r="I351" s="523"/>
      <c r="J351" s="523"/>
      <c r="K351" s="523"/>
      <c r="L351" s="523"/>
      <c r="M351" s="523"/>
      <c r="N351" s="523"/>
      <c r="O351" s="523"/>
      <c r="P351" s="523"/>
      <c r="Q351" s="523"/>
      <c r="R351" s="523"/>
      <c r="S351" s="523"/>
      <c r="T351" s="523"/>
      <c r="U351" s="523"/>
      <c r="V351" s="224"/>
      <c r="W351" s="224"/>
      <c r="X351" s="224"/>
      <c r="Y351" s="224"/>
      <c r="Z351" s="868"/>
      <c r="AA351" s="865"/>
      <c r="AB351" s="2"/>
      <c r="AC351" s="2"/>
      <c r="AD351" s="2"/>
      <c r="AE351" s="2"/>
      <c r="AF351" s="2"/>
      <c r="AG351" s="2"/>
      <c r="AH351" s="2"/>
      <c r="AI351" s="2"/>
      <c r="AJ351" s="2"/>
      <c r="AK351" s="2"/>
      <c r="AL351" s="2"/>
      <c r="AM351" s="2"/>
      <c r="AN351" s="2"/>
      <c r="AO351" s="9"/>
      <c r="AP351" s="9"/>
      <c r="AQ351" s="9"/>
      <c r="AR351" s="9"/>
    </row>
    <row r="352">
      <c r="A352" s="523"/>
      <c r="B352" s="523"/>
      <c r="C352" s="523"/>
      <c r="D352" s="523"/>
      <c r="E352" s="523"/>
      <c r="F352" s="523"/>
      <c r="G352" s="523"/>
      <c r="H352" s="523"/>
      <c r="I352" s="523"/>
      <c r="J352" s="523"/>
      <c r="K352" s="523"/>
      <c r="L352" s="523"/>
      <c r="M352" s="523"/>
      <c r="N352" s="523"/>
      <c r="O352" s="523"/>
      <c r="P352" s="523"/>
      <c r="Q352" s="523"/>
      <c r="R352" s="523"/>
      <c r="S352" s="523"/>
      <c r="T352" s="523"/>
      <c r="U352" s="523"/>
      <c r="V352" s="224"/>
      <c r="W352" s="224"/>
      <c r="X352" s="224"/>
      <c r="Y352" s="224"/>
      <c r="Z352" s="868"/>
      <c r="AA352" s="865"/>
      <c r="AB352" s="2"/>
      <c r="AC352" s="2"/>
      <c r="AD352" s="2"/>
      <c r="AE352" s="2"/>
      <c r="AF352" s="2"/>
      <c r="AG352" s="2"/>
      <c r="AH352" s="2"/>
      <c r="AI352" s="2"/>
      <c r="AJ352" s="2"/>
      <c r="AK352" s="2"/>
      <c r="AL352" s="2"/>
      <c r="AM352" s="2"/>
      <c r="AN352" s="2"/>
      <c r="AO352" s="9"/>
      <c r="AP352" s="9"/>
      <c r="AQ352" s="9"/>
      <c r="AR352" s="9"/>
    </row>
    <row r="353">
      <c r="A353" s="523"/>
      <c r="B353" s="523"/>
      <c r="C353" s="523"/>
      <c r="D353" s="523"/>
      <c r="E353" s="523"/>
      <c r="F353" s="523"/>
      <c r="G353" s="523"/>
      <c r="H353" s="523"/>
      <c r="I353" s="523"/>
      <c r="J353" s="523"/>
      <c r="K353" s="523"/>
      <c r="L353" s="523"/>
      <c r="M353" s="523"/>
      <c r="N353" s="523"/>
      <c r="O353" s="523"/>
      <c r="P353" s="523"/>
      <c r="Q353" s="523"/>
      <c r="R353" s="523"/>
      <c r="S353" s="523"/>
      <c r="T353" s="523"/>
      <c r="U353" s="523"/>
      <c r="V353" s="224"/>
      <c r="W353" s="224"/>
      <c r="X353" s="224"/>
      <c r="Y353" s="224"/>
      <c r="Z353" s="868"/>
      <c r="AA353" s="865"/>
      <c r="AB353" s="2"/>
      <c r="AC353" s="2"/>
      <c r="AD353" s="2"/>
      <c r="AE353" s="2"/>
      <c r="AF353" s="2"/>
      <c r="AG353" s="2"/>
      <c r="AH353" s="2"/>
      <c r="AI353" s="2"/>
      <c r="AJ353" s="2"/>
      <c r="AK353" s="2"/>
      <c r="AL353" s="2"/>
      <c r="AM353" s="2"/>
      <c r="AN353" s="2"/>
      <c r="AO353" s="9"/>
      <c r="AP353" s="9"/>
      <c r="AQ353" s="9"/>
      <c r="AR353" s="9"/>
    </row>
    <row r="354">
      <c r="A354" s="523"/>
      <c r="B354" s="523"/>
      <c r="C354" s="523"/>
      <c r="D354" s="523"/>
      <c r="E354" s="523"/>
      <c r="F354" s="523"/>
      <c r="G354" s="523"/>
      <c r="H354" s="523"/>
      <c r="I354" s="523"/>
      <c r="J354" s="523"/>
      <c r="K354" s="523"/>
      <c r="L354" s="523"/>
      <c r="M354" s="523"/>
      <c r="N354" s="523"/>
      <c r="O354" s="523"/>
      <c r="P354" s="523"/>
      <c r="Q354" s="523"/>
      <c r="R354" s="523"/>
      <c r="S354" s="523"/>
      <c r="T354" s="523"/>
      <c r="U354" s="523"/>
      <c r="V354" s="224"/>
      <c r="W354" s="224"/>
      <c r="X354" s="224"/>
      <c r="Y354" s="224"/>
      <c r="Z354" s="868"/>
      <c r="AA354" s="865"/>
      <c r="AB354" s="2"/>
      <c r="AC354" s="2"/>
      <c r="AD354" s="2"/>
      <c r="AE354" s="2"/>
      <c r="AF354" s="2"/>
      <c r="AG354" s="2"/>
      <c r="AH354" s="2"/>
      <c r="AI354" s="2"/>
      <c r="AJ354" s="2"/>
      <c r="AK354" s="2"/>
      <c r="AL354" s="2"/>
      <c r="AM354" s="2"/>
      <c r="AN354" s="2"/>
      <c r="AO354" s="9"/>
      <c r="AP354" s="9"/>
      <c r="AQ354" s="9"/>
      <c r="AR354" s="9"/>
    </row>
    <row r="355">
      <c r="A355" s="523"/>
      <c r="B355" s="523"/>
      <c r="C355" s="523"/>
      <c r="D355" s="523"/>
      <c r="E355" s="523"/>
      <c r="F355" s="523"/>
      <c r="G355" s="523"/>
      <c r="H355" s="523"/>
      <c r="I355" s="523"/>
      <c r="J355" s="523"/>
      <c r="K355" s="523"/>
      <c r="L355" s="523"/>
      <c r="M355" s="523"/>
      <c r="N355" s="523"/>
      <c r="O355" s="523"/>
      <c r="P355" s="523"/>
      <c r="Q355" s="523"/>
      <c r="R355" s="523"/>
      <c r="S355" s="523"/>
      <c r="T355" s="523"/>
      <c r="U355" s="523"/>
      <c r="V355" s="224"/>
      <c r="W355" s="224"/>
      <c r="X355" s="224"/>
      <c r="Y355" s="224"/>
      <c r="Z355" s="868"/>
      <c r="AA355" s="865"/>
      <c r="AB355" s="2"/>
      <c r="AC355" s="2"/>
      <c r="AD355" s="2"/>
      <c r="AE355" s="2"/>
      <c r="AF355" s="2"/>
      <c r="AG355" s="2"/>
      <c r="AH355" s="2"/>
      <c r="AI355" s="2"/>
      <c r="AJ355" s="2"/>
      <c r="AK355" s="2"/>
      <c r="AL355" s="2"/>
      <c r="AM355" s="2"/>
      <c r="AN355" s="2"/>
      <c r="AO355" s="9"/>
      <c r="AP355" s="9"/>
      <c r="AQ355" s="9"/>
      <c r="AR355" s="9"/>
    </row>
    <row r="356">
      <c r="A356" s="523"/>
      <c r="B356" s="523"/>
      <c r="C356" s="523"/>
      <c r="D356" s="523"/>
      <c r="E356" s="523"/>
      <c r="F356" s="523"/>
      <c r="G356" s="523"/>
      <c r="H356" s="523"/>
      <c r="I356" s="523"/>
      <c r="J356" s="523"/>
      <c r="K356" s="523"/>
      <c r="L356" s="523"/>
      <c r="M356" s="523"/>
      <c r="N356" s="523"/>
      <c r="O356" s="523"/>
      <c r="P356" s="523"/>
      <c r="Q356" s="523"/>
      <c r="R356" s="523"/>
      <c r="S356" s="523"/>
      <c r="T356" s="523"/>
      <c r="U356" s="523"/>
      <c r="V356" s="224"/>
      <c r="W356" s="224"/>
      <c r="X356" s="224"/>
      <c r="Y356" s="224"/>
      <c r="Z356" s="868"/>
      <c r="AA356" s="865"/>
      <c r="AB356" s="2"/>
      <c r="AC356" s="2"/>
      <c r="AD356" s="2"/>
      <c r="AE356" s="2"/>
      <c r="AF356" s="2"/>
      <c r="AG356" s="2"/>
      <c r="AH356" s="2"/>
      <c r="AI356" s="2"/>
      <c r="AJ356" s="2"/>
      <c r="AK356" s="2"/>
      <c r="AL356" s="2"/>
      <c r="AM356" s="2"/>
      <c r="AN356" s="2"/>
      <c r="AO356" s="9"/>
      <c r="AP356" s="9"/>
      <c r="AQ356" s="9"/>
      <c r="AR356" s="9"/>
    </row>
    <row r="357">
      <c r="A357" s="523"/>
      <c r="B357" s="523"/>
      <c r="C357" s="523"/>
      <c r="D357" s="523"/>
      <c r="E357" s="523"/>
      <c r="F357" s="523"/>
      <c r="G357" s="523"/>
      <c r="H357" s="523"/>
      <c r="I357" s="523"/>
      <c r="J357" s="523"/>
      <c r="K357" s="523"/>
      <c r="L357" s="523"/>
      <c r="M357" s="523"/>
      <c r="N357" s="523"/>
      <c r="O357" s="523"/>
      <c r="P357" s="523"/>
      <c r="Q357" s="523"/>
      <c r="R357" s="523"/>
      <c r="S357" s="523"/>
      <c r="T357" s="523"/>
      <c r="U357" s="523"/>
      <c r="V357" s="224"/>
      <c r="W357" s="224"/>
      <c r="X357" s="224"/>
      <c r="Y357" s="224"/>
      <c r="Z357" s="868"/>
      <c r="AA357" s="865"/>
      <c r="AB357" s="2"/>
      <c r="AC357" s="2"/>
      <c r="AD357" s="2"/>
      <c r="AE357" s="2"/>
      <c r="AF357" s="2"/>
      <c r="AG357" s="2"/>
      <c r="AH357" s="2"/>
      <c r="AI357" s="2"/>
      <c r="AJ357" s="2"/>
      <c r="AK357" s="2"/>
      <c r="AL357" s="2"/>
      <c r="AM357" s="2"/>
      <c r="AN357" s="2"/>
      <c r="AO357" s="9"/>
      <c r="AP357" s="9"/>
      <c r="AQ357" s="9"/>
      <c r="AR357" s="9"/>
    </row>
    <row r="358">
      <c r="A358" s="523"/>
      <c r="B358" s="523"/>
      <c r="C358" s="523"/>
      <c r="D358" s="523"/>
      <c r="E358" s="523"/>
      <c r="F358" s="523"/>
      <c r="G358" s="523"/>
      <c r="H358" s="523"/>
      <c r="I358" s="523"/>
      <c r="J358" s="523"/>
      <c r="K358" s="523"/>
      <c r="L358" s="523"/>
      <c r="M358" s="523"/>
      <c r="N358" s="523"/>
      <c r="O358" s="523"/>
      <c r="P358" s="523"/>
      <c r="Q358" s="523"/>
      <c r="R358" s="523"/>
      <c r="S358" s="523"/>
      <c r="T358" s="523"/>
      <c r="U358" s="523"/>
      <c r="V358" s="224"/>
      <c r="W358" s="224"/>
      <c r="X358" s="224"/>
      <c r="Y358" s="224"/>
      <c r="Z358" s="868"/>
      <c r="AA358" s="865"/>
      <c r="AB358" s="2"/>
      <c r="AC358" s="2"/>
      <c r="AD358" s="2"/>
      <c r="AE358" s="2"/>
      <c r="AF358" s="2"/>
      <c r="AG358" s="2"/>
      <c r="AH358" s="2"/>
      <c r="AI358" s="2"/>
      <c r="AJ358" s="2"/>
      <c r="AK358" s="2"/>
      <c r="AL358" s="2"/>
      <c r="AM358" s="2"/>
      <c r="AN358" s="2"/>
      <c r="AO358" s="9"/>
      <c r="AP358" s="9"/>
      <c r="AQ358" s="9"/>
      <c r="AR358" s="9"/>
    </row>
    <row r="359">
      <c r="A359" s="523"/>
      <c r="B359" s="523"/>
      <c r="C359" s="523"/>
      <c r="D359" s="523"/>
      <c r="E359" s="523"/>
      <c r="F359" s="523"/>
      <c r="G359" s="523"/>
      <c r="H359" s="523"/>
      <c r="I359" s="523"/>
      <c r="J359" s="523"/>
      <c r="K359" s="523"/>
      <c r="L359" s="523"/>
      <c r="M359" s="523"/>
      <c r="N359" s="523"/>
      <c r="O359" s="523"/>
      <c r="P359" s="523"/>
      <c r="Q359" s="523"/>
      <c r="R359" s="523"/>
      <c r="S359" s="523"/>
      <c r="T359" s="523"/>
      <c r="U359" s="523"/>
      <c r="V359" s="224"/>
      <c r="W359" s="224"/>
      <c r="X359" s="224"/>
      <c r="Y359" s="224"/>
      <c r="Z359" s="868"/>
      <c r="AA359" s="865"/>
      <c r="AB359" s="2"/>
      <c r="AC359" s="2"/>
      <c r="AD359" s="2"/>
      <c r="AE359" s="2"/>
      <c r="AF359" s="2"/>
      <c r="AG359" s="2"/>
      <c r="AH359" s="2"/>
      <c r="AI359" s="2"/>
      <c r="AJ359" s="2"/>
      <c r="AK359" s="2"/>
      <c r="AL359" s="2"/>
      <c r="AM359" s="2"/>
      <c r="AN359" s="2"/>
      <c r="AO359" s="9"/>
      <c r="AP359" s="9"/>
      <c r="AQ359" s="9"/>
      <c r="AR359" s="9"/>
    </row>
    <row r="360">
      <c r="A360" s="523"/>
      <c r="B360" s="523"/>
      <c r="C360" s="523"/>
      <c r="D360" s="523"/>
      <c r="E360" s="523"/>
      <c r="F360" s="523"/>
      <c r="G360" s="523"/>
      <c r="H360" s="523"/>
      <c r="I360" s="523"/>
      <c r="J360" s="523"/>
      <c r="K360" s="523"/>
      <c r="L360" s="523"/>
      <c r="M360" s="523"/>
      <c r="N360" s="523"/>
      <c r="O360" s="523"/>
      <c r="P360" s="523"/>
      <c r="Q360" s="523"/>
      <c r="R360" s="523"/>
      <c r="S360" s="523"/>
      <c r="T360" s="523"/>
      <c r="U360" s="523"/>
      <c r="V360" s="224"/>
      <c r="W360" s="224"/>
      <c r="X360" s="224"/>
      <c r="Y360" s="224"/>
      <c r="Z360" s="868"/>
      <c r="AA360" s="865"/>
      <c r="AB360" s="2"/>
      <c r="AC360" s="2"/>
      <c r="AD360" s="2"/>
      <c r="AE360" s="2"/>
      <c r="AF360" s="2"/>
      <c r="AG360" s="2"/>
      <c r="AH360" s="2"/>
      <c r="AI360" s="2"/>
      <c r="AJ360" s="2"/>
      <c r="AK360" s="2"/>
      <c r="AL360" s="2"/>
      <c r="AM360" s="2"/>
      <c r="AN360" s="2"/>
      <c r="AO360" s="9"/>
      <c r="AP360" s="9"/>
      <c r="AQ360" s="9"/>
      <c r="AR360" s="9"/>
    </row>
    <row r="361">
      <c r="A361" s="523"/>
      <c r="B361" s="523"/>
      <c r="C361" s="523"/>
      <c r="D361" s="523"/>
      <c r="E361" s="523"/>
      <c r="F361" s="523"/>
      <c r="G361" s="523"/>
      <c r="H361" s="523"/>
      <c r="I361" s="523"/>
      <c r="J361" s="523"/>
      <c r="K361" s="523"/>
      <c r="L361" s="523"/>
      <c r="M361" s="523"/>
      <c r="N361" s="523"/>
      <c r="O361" s="523"/>
      <c r="P361" s="523"/>
      <c r="Q361" s="523"/>
      <c r="R361" s="523"/>
      <c r="S361" s="523"/>
      <c r="T361" s="523"/>
      <c r="U361" s="523"/>
      <c r="V361" s="224"/>
      <c r="W361" s="224"/>
      <c r="X361" s="224"/>
      <c r="Y361" s="224"/>
      <c r="Z361" s="868"/>
      <c r="AA361" s="865"/>
      <c r="AB361" s="2"/>
      <c r="AC361" s="2"/>
      <c r="AD361" s="2"/>
      <c r="AE361" s="2"/>
      <c r="AF361" s="2"/>
      <c r="AG361" s="2"/>
      <c r="AH361" s="2"/>
      <c r="AI361" s="2"/>
      <c r="AJ361" s="2"/>
      <c r="AK361" s="2"/>
      <c r="AL361" s="2"/>
      <c r="AM361" s="2"/>
      <c r="AN361" s="2"/>
      <c r="AO361" s="9"/>
      <c r="AP361" s="9"/>
      <c r="AQ361" s="9"/>
      <c r="AR361" s="9"/>
    </row>
    <row r="362">
      <c r="A362" s="523"/>
      <c r="B362" s="523"/>
      <c r="C362" s="523"/>
      <c r="D362" s="523"/>
      <c r="E362" s="523"/>
      <c r="F362" s="523"/>
      <c r="G362" s="523"/>
      <c r="H362" s="523"/>
      <c r="I362" s="523"/>
      <c r="J362" s="523"/>
      <c r="K362" s="523"/>
      <c r="L362" s="523"/>
      <c r="M362" s="523"/>
      <c r="N362" s="523"/>
      <c r="O362" s="523"/>
      <c r="P362" s="523"/>
      <c r="Q362" s="523"/>
      <c r="R362" s="523"/>
      <c r="S362" s="523"/>
      <c r="T362" s="523"/>
      <c r="U362" s="523"/>
      <c r="V362" s="224"/>
      <c r="W362" s="224"/>
      <c r="X362" s="224"/>
      <c r="Y362" s="224"/>
      <c r="Z362" s="868"/>
      <c r="AA362" s="865"/>
      <c r="AB362" s="2"/>
      <c r="AC362" s="2"/>
      <c r="AD362" s="2"/>
      <c r="AE362" s="2"/>
      <c r="AF362" s="2"/>
      <c r="AG362" s="2"/>
      <c r="AH362" s="2"/>
      <c r="AI362" s="2"/>
      <c r="AJ362" s="2"/>
      <c r="AK362" s="2"/>
      <c r="AL362" s="2"/>
      <c r="AM362" s="2"/>
      <c r="AN362" s="2"/>
      <c r="AO362" s="9"/>
      <c r="AP362" s="9"/>
      <c r="AQ362" s="9"/>
      <c r="AR362" s="9"/>
    </row>
    <row r="363">
      <c r="A363" s="523"/>
      <c r="B363" s="523"/>
      <c r="C363" s="523"/>
      <c r="D363" s="523"/>
      <c r="E363" s="523"/>
      <c r="F363" s="523"/>
      <c r="G363" s="523"/>
      <c r="H363" s="523"/>
      <c r="I363" s="523"/>
      <c r="J363" s="523"/>
      <c r="K363" s="523"/>
      <c r="L363" s="523"/>
      <c r="M363" s="523"/>
      <c r="N363" s="523"/>
      <c r="O363" s="523"/>
      <c r="P363" s="523"/>
      <c r="Q363" s="523"/>
      <c r="R363" s="523"/>
      <c r="S363" s="523"/>
      <c r="T363" s="523"/>
      <c r="U363" s="523"/>
      <c r="V363" s="224"/>
      <c r="W363" s="224"/>
      <c r="X363" s="224"/>
      <c r="Y363" s="224"/>
      <c r="Z363" s="868"/>
      <c r="AA363" s="865"/>
      <c r="AB363" s="2"/>
      <c r="AC363" s="2"/>
      <c r="AD363" s="2"/>
      <c r="AE363" s="2"/>
      <c r="AF363" s="2"/>
      <c r="AG363" s="2"/>
      <c r="AH363" s="2"/>
      <c r="AI363" s="2"/>
      <c r="AJ363" s="2"/>
      <c r="AK363" s="2"/>
      <c r="AL363" s="2"/>
      <c r="AM363" s="2"/>
      <c r="AN363" s="2"/>
      <c r="AO363" s="9"/>
      <c r="AP363" s="9"/>
      <c r="AQ363" s="9"/>
      <c r="AR363" s="9"/>
    </row>
    <row r="364">
      <c r="A364" s="523"/>
      <c r="B364" s="523"/>
      <c r="C364" s="523"/>
      <c r="D364" s="523"/>
      <c r="E364" s="523"/>
      <c r="F364" s="523"/>
      <c r="G364" s="523"/>
      <c r="H364" s="523"/>
      <c r="I364" s="523"/>
      <c r="J364" s="523"/>
      <c r="K364" s="523"/>
      <c r="L364" s="523"/>
      <c r="M364" s="523"/>
      <c r="N364" s="523"/>
      <c r="O364" s="523"/>
      <c r="P364" s="523"/>
      <c r="Q364" s="523"/>
      <c r="R364" s="523"/>
      <c r="S364" s="523"/>
      <c r="T364" s="523"/>
      <c r="U364" s="523"/>
      <c r="V364" s="224"/>
      <c r="W364" s="224"/>
      <c r="X364" s="224"/>
      <c r="Y364" s="224"/>
      <c r="Z364" s="868"/>
      <c r="AA364" s="865"/>
      <c r="AB364" s="2"/>
      <c r="AC364" s="2"/>
      <c r="AD364" s="2"/>
      <c r="AE364" s="2"/>
      <c r="AF364" s="2"/>
      <c r="AG364" s="2"/>
      <c r="AH364" s="2"/>
      <c r="AI364" s="2"/>
      <c r="AJ364" s="2"/>
      <c r="AK364" s="2"/>
      <c r="AL364" s="2"/>
      <c r="AM364" s="2"/>
      <c r="AN364" s="2"/>
      <c r="AO364" s="9"/>
      <c r="AP364" s="9"/>
      <c r="AQ364" s="9"/>
      <c r="AR364" s="9"/>
    </row>
    <row r="365">
      <c r="A365" s="523"/>
      <c r="B365" s="523"/>
      <c r="C365" s="523"/>
      <c r="D365" s="523"/>
      <c r="E365" s="523"/>
      <c r="F365" s="523"/>
      <c r="G365" s="523"/>
      <c r="H365" s="523"/>
      <c r="I365" s="523"/>
      <c r="J365" s="523"/>
      <c r="K365" s="523"/>
      <c r="L365" s="523"/>
      <c r="M365" s="523"/>
      <c r="N365" s="523"/>
      <c r="O365" s="523"/>
      <c r="P365" s="523"/>
      <c r="Q365" s="523"/>
      <c r="R365" s="523"/>
      <c r="S365" s="523"/>
      <c r="T365" s="523"/>
      <c r="U365" s="523"/>
      <c r="V365" s="224"/>
      <c r="W365" s="224"/>
      <c r="X365" s="224"/>
      <c r="Y365" s="224"/>
      <c r="Z365" s="868"/>
      <c r="AA365" s="865"/>
      <c r="AB365" s="2"/>
      <c r="AC365" s="2"/>
      <c r="AD365" s="2"/>
      <c r="AE365" s="2"/>
      <c r="AF365" s="2"/>
      <c r="AG365" s="2"/>
      <c r="AH365" s="2"/>
      <c r="AI365" s="2"/>
      <c r="AJ365" s="2"/>
      <c r="AK365" s="2"/>
      <c r="AL365" s="2"/>
      <c r="AM365" s="2"/>
      <c r="AN365" s="2"/>
      <c r="AO365" s="9"/>
      <c r="AP365" s="9"/>
      <c r="AQ365" s="9"/>
      <c r="AR365" s="9"/>
    </row>
    <row r="366">
      <c r="A366" s="523"/>
      <c r="B366" s="523"/>
      <c r="C366" s="523"/>
      <c r="D366" s="523"/>
      <c r="E366" s="523"/>
      <c r="F366" s="523"/>
      <c r="G366" s="523"/>
      <c r="H366" s="523"/>
      <c r="I366" s="523"/>
      <c r="J366" s="523"/>
      <c r="K366" s="523"/>
      <c r="L366" s="523"/>
      <c r="M366" s="523"/>
      <c r="N366" s="523"/>
      <c r="O366" s="523"/>
      <c r="P366" s="523"/>
      <c r="Q366" s="523"/>
      <c r="R366" s="523"/>
      <c r="S366" s="523"/>
      <c r="T366" s="523"/>
      <c r="U366" s="523"/>
      <c r="V366" s="224"/>
      <c r="W366" s="224"/>
      <c r="X366" s="224"/>
      <c r="Y366" s="224"/>
      <c r="Z366" s="868"/>
      <c r="AA366" s="865"/>
      <c r="AB366" s="2"/>
      <c r="AC366" s="2"/>
      <c r="AD366" s="2"/>
      <c r="AE366" s="2"/>
      <c r="AF366" s="2"/>
      <c r="AG366" s="2"/>
      <c r="AH366" s="2"/>
      <c r="AI366" s="2"/>
      <c r="AJ366" s="2"/>
      <c r="AK366" s="2"/>
      <c r="AL366" s="2"/>
      <c r="AM366" s="2"/>
      <c r="AN366" s="2"/>
      <c r="AO366" s="9"/>
      <c r="AP366" s="9"/>
      <c r="AQ366" s="9"/>
      <c r="AR366" s="9"/>
    </row>
    <row r="367">
      <c r="A367" s="523"/>
      <c r="B367" s="523"/>
      <c r="C367" s="523"/>
      <c r="D367" s="523"/>
      <c r="E367" s="523"/>
      <c r="F367" s="523"/>
      <c r="G367" s="523"/>
      <c r="H367" s="523"/>
      <c r="I367" s="523"/>
      <c r="J367" s="523"/>
      <c r="K367" s="523"/>
      <c r="L367" s="523"/>
      <c r="M367" s="523"/>
      <c r="N367" s="523"/>
      <c r="O367" s="523"/>
      <c r="P367" s="523"/>
      <c r="Q367" s="523"/>
      <c r="R367" s="523"/>
      <c r="S367" s="523"/>
      <c r="T367" s="523"/>
      <c r="U367" s="523"/>
      <c r="V367" s="224"/>
      <c r="W367" s="224"/>
      <c r="X367" s="224"/>
      <c r="Y367" s="224"/>
      <c r="Z367" s="868"/>
      <c r="AA367" s="865"/>
      <c r="AB367" s="2"/>
      <c r="AC367" s="2"/>
      <c r="AD367" s="2"/>
      <c r="AE367" s="2"/>
      <c r="AF367" s="2"/>
      <c r="AG367" s="2"/>
      <c r="AH367" s="2"/>
      <c r="AI367" s="2"/>
      <c r="AJ367" s="2"/>
      <c r="AK367" s="2"/>
      <c r="AL367" s="2"/>
      <c r="AM367" s="2"/>
      <c r="AN367" s="2"/>
      <c r="AO367" s="9"/>
      <c r="AP367" s="9"/>
      <c r="AQ367" s="9"/>
      <c r="AR367" s="9"/>
    </row>
    <row r="368">
      <c r="A368" s="523"/>
      <c r="B368" s="523"/>
      <c r="C368" s="523"/>
      <c r="D368" s="523"/>
      <c r="E368" s="523"/>
      <c r="F368" s="523"/>
      <c r="G368" s="523"/>
      <c r="H368" s="523"/>
      <c r="I368" s="523"/>
      <c r="J368" s="523"/>
      <c r="K368" s="523"/>
      <c r="L368" s="523"/>
      <c r="M368" s="523"/>
      <c r="N368" s="523"/>
      <c r="O368" s="523"/>
      <c r="P368" s="523"/>
      <c r="Q368" s="523"/>
      <c r="R368" s="523"/>
      <c r="S368" s="523"/>
      <c r="T368" s="523"/>
      <c r="U368" s="523"/>
      <c r="V368" s="224"/>
      <c r="W368" s="224"/>
      <c r="X368" s="224"/>
      <c r="Y368" s="224"/>
      <c r="Z368" s="868"/>
      <c r="AA368" s="865"/>
      <c r="AB368" s="2"/>
      <c r="AC368" s="2"/>
      <c r="AD368" s="2"/>
      <c r="AE368" s="2"/>
      <c r="AF368" s="2"/>
      <c r="AG368" s="2"/>
      <c r="AH368" s="2"/>
      <c r="AI368" s="2"/>
      <c r="AJ368" s="2"/>
      <c r="AK368" s="2"/>
      <c r="AL368" s="2"/>
      <c r="AM368" s="2"/>
      <c r="AN368" s="2"/>
      <c r="AO368" s="9"/>
      <c r="AP368" s="9"/>
      <c r="AQ368" s="9"/>
      <c r="AR368" s="9"/>
    </row>
    <row r="369">
      <c r="A369" s="523"/>
      <c r="B369" s="523"/>
      <c r="C369" s="523"/>
      <c r="D369" s="523"/>
      <c r="E369" s="523"/>
      <c r="F369" s="523"/>
      <c r="G369" s="523"/>
      <c r="H369" s="523"/>
      <c r="I369" s="523"/>
      <c r="J369" s="523"/>
      <c r="K369" s="523"/>
      <c r="L369" s="523"/>
      <c r="M369" s="523"/>
      <c r="N369" s="523"/>
      <c r="O369" s="523"/>
      <c r="P369" s="523"/>
      <c r="Q369" s="523"/>
      <c r="R369" s="523"/>
      <c r="S369" s="523"/>
      <c r="T369" s="523"/>
      <c r="U369" s="523"/>
      <c r="V369" s="224"/>
      <c r="W369" s="224"/>
      <c r="X369" s="224"/>
      <c r="Y369" s="224"/>
      <c r="Z369" s="868"/>
      <c r="AA369" s="865"/>
      <c r="AB369" s="2"/>
      <c r="AC369" s="2"/>
      <c r="AD369" s="2"/>
      <c r="AE369" s="2"/>
      <c r="AF369" s="2"/>
      <c r="AG369" s="2"/>
      <c r="AH369" s="2"/>
      <c r="AI369" s="2"/>
      <c r="AJ369" s="2"/>
      <c r="AK369" s="2"/>
      <c r="AL369" s="2"/>
      <c r="AM369" s="2"/>
      <c r="AN369" s="2"/>
      <c r="AO369" s="9"/>
      <c r="AP369" s="9"/>
      <c r="AQ369" s="9"/>
      <c r="AR369" s="9"/>
    </row>
    <row r="370">
      <c r="A370" s="523"/>
      <c r="B370" s="523"/>
      <c r="C370" s="523"/>
      <c r="D370" s="523"/>
      <c r="E370" s="523"/>
      <c r="F370" s="523"/>
      <c r="G370" s="523"/>
      <c r="H370" s="523"/>
      <c r="I370" s="523"/>
      <c r="J370" s="523"/>
      <c r="K370" s="523"/>
      <c r="L370" s="523"/>
      <c r="M370" s="523"/>
      <c r="N370" s="523"/>
      <c r="O370" s="523"/>
      <c r="P370" s="523"/>
      <c r="Q370" s="523"/>
      <c r="R370" s="523"/>
      <c r="S370" s="523"/>
      <c r="T370" s="523"/>
      <c r="U370" s="523"/>
      <c r="V370" s="224"/>
      <c r="W370" s="224"/>
      <c r="X370" s="224"/>
      <c r="Y370" s="224"/>
      <c r="Z370" s="868"/>
      <c r="AA370" s="865"/>
      <c r="AB370" s="2"/>
      <c r="AC370" s="2"/>
      <c r="AD370" s="2"/>
      <c r="AE370" s="2"/>
      <c r="AF370" s="2"/>
      <c r="AG370" s="2"/>
      <c r="AH370" s="2"/>
      <c r="AI370" s="2"/>
      <c r="AJ370" s="2"/>
      <c r="AK370" s="2"/>
      <c r="AL370" s="2"/>
      <c r="AM370" s="2"/>
      <c r="AN370" s="2"/>
      <c r="AO370" s="9"/>
      <c r="AP370" s="9"/>
      <c r="AQ370" s="9"/>
      <c r="AR370" s="9"/>
    </row>
    <row r="371">
      <c r="A371" s="523"/>
      <c r="B371" s="523"/>
      <c r="C371" s="523"/>
      <c r="D371" s="523"/>
      <c r="E371" s="523"/>
      <c r="F371" s="523"/>
      <c r="G371" s="523"/>
      <c r="H371" s="523"/>
      <c r="I371" s="523"/>
      <c r="J371" s="523"/>
      <c r="K371" s="523"/>
      <c r="L371" s="523"/>
      <c r="M371" s="523"/>
      <c r="N371" s="523"/>
      <c r="O371" s="523"/>
      <c r="P371" s="523"/>
      <c r="Q371" s="523"/>
      <c r="R371" s="523"/>
      <c r="S371" s="523"/>
      <c r="T371" s="523"/>
      <c r="U371" s="523"/>
      <c r="V371" s="224"/>
      <c r="W371" s="224"/>
      <c r="X371" s="224"/>
      <c r="Y371" s="224"/>
      <c r="Z371" s="868"/>
      <c r="AA371" s="865"/>
      <c r="AB371" s="2"/>
      <c r="AC371" s="2"/>
      <c r="AD371" s="2"/>
      <c r="AE371" s="2"/>
      <c r="AF371" s="2"/>
      <c r="AG371" s="2"/>
      <c r="AH371" s="2"/>
      <c r="AI371" s="2"/>
      <c r="AJ371" s="2"/>
      <c r="AK371" s="2"/>
      <c r="AL371" s="2"/>
      <c r="AM371" s="2"/>
      <c r="AN371" s="2"/>
      <c r="AO371" s="9"/>
      <c r="AP371" s="9"/>
      <c r="AQ371" s="9"/>
      <c r="AR371" s="9"/>
    </row>
    <row r="372">
      <c r="A372" s="523"/>
      <c r="B372" s="523"/>
      <c r="C372" s="523"/>
      <c r="D372" s="523"/>
      <c r="E372" s="523"/>
      <c r="F372" s="523"/>
      <c r="G372" s="523"/>
      <c r="H372" s="523"/>
      <c r="I372" s="523"/>
      <c r="J372" s="523"/>
      <c r="K372" s="523"/>
      <c r="L372" s="523"/>
      <c r="M372" s="523"/>
      <c r="N372" s="523"/>
      <c r="O372" s="523"/>
      <c r="P372" s="523"/>
      <c r="Q372" s="523"/>
      <c r="R372" s="523"/>
      <c r="S372" s="523"/>
      <c r="T372" s="523"/>
      <c r="U372" s="523"/>
      <c r="V372" s="224"/>
      <c r="W372" s="224"/>
      <c r="X372" s="224"/>
      <c r="Y372" s="224"/>
      <c r="Z372" s="868"/>
      <c r="AA372" s="865"/>
      <c r="AB372" s="2"/>
      <c r="AC372" s="2"/>
      <c r="AD372" s="2"/>
      <c r="AE372" s="2"/>
      <c r="AF372" s="2"/>
      <c r="AG372" s="2"/>
      <c r="AH372" s="2"/>
      <c r="AI372" s="2"/>
      <c r="AJ372" s="2"/>
      <c r="AK372" s="2"/>
      <c r="AL372" s="2"/>
      <c r="AM372" s="2"/>
      <c r="AN372" s="2"/>
      <c r="AO372" s="9"/>
      <c r="AP372" s="9"/>
      <c r="AQ372" s="9"/>
      <c r="AR372" s="9"/>
    </row>
    <row r="373">
      <c r="A373" s="523"/>
      <c r="B373" s="523"/>
      <c r="C373" s="523"/>
      <c r="D373" s="523"/>
      <c r="E373" s="523"/>
      <c r="F373" s="523"/>
      <c r="G373" s="523"/>
      <c r="H373" s="523"/>
      <c r="I373" s="523"/>
      <c r="J373" s="523"/>
      <c r="K373" s="523"/>
      <c r="L373" s="523"/>
      <c r="M373" s="523"/>
      <c r="N373" s="523"/>
      <c r="O373" s="523"/>
      <c r="P373" s="523"/>
      <c r="Q373" s="523"/>
      <c r="R373" s="523"/>
      <c r="S373" s="523"/>
      <c r="T373" s="523"/>
      <c r="U373" s="523"/>
      <c r="V373" s="224"/>
      <c r="W373" s="224"/>
      <c r="X373" s="224"/>
      <c r="Y373" s="224"/>
      <c r="Z373" s="868"/>
      <c r="AA373" s="865"/>
      <c r="AB373" s="2"/>
      <c r="AC373" s="2"/>
      <c r="AD373" s="2"/>
      <c r="AE373" s="2"/>
      <c r="AF373" s="2"/>
      <c r="AG373" s="2"/>
      <c r="AH373" s="2"/>
      <c r="AI373" s="2"/>
      <c r="AJ373" s="2"/>
      <c r="AK373" s="2"/>
      <c r="AL373" s="2"/>
      <c r="AM373" s="2"/>
      <c r="AN373" s="2"/>
      <c r="AO373" s="9"/>
      <c r="AP373" s="9"/>
      <c r="AQ373" s="9"/>
      <c r="AR373" s="9"/>
    </row>
    <row r="374">
      <c r="A374" s="523"/>
      <c r="B374" s="523"/>
      <c r="C374" s="523"/>
      <c r="D374" s="523"/>
      <c r="E374" s="523"/>
      <c r="F374" s="523"/>
      <c r="G374" s="523"/>
      <c r="H374" s="523"/>
      <c r="I374" s="523"/>
      <c r="J374" s="523"/>
      <c r="K374" s="523"/>
      <c r="L374" s="523"/>
      <c r="M374" s="523"/>
      <c r="N374" s="523"/>
      <c r="O374" s="523"/>
      <c r="P374" s="523"/>
      <c r="Q374" s="523"/>
      <c r="R374" s="523"/>
      <c r="S374" s="523"/>
      <c r="T374" s="523"/>
      <c r="U374" s="523"/>
      <c r="V374" s="224"/>
      <c r="W374" s="224"/>
      <c r="X374" s="224"/>
      <c r="Y374" s="224"/>
      <c r="Z374" s="868"/>
      <c r="AA374" s="865"/>
      <c r="AB374" s="2"/>
      <c r="AC374" s="2"/>
      <c r="AD374" s="2"/>
      <c r="AE374" s="2"/>
      <c r="AF374" s="2"/>
      <c r="AG374" s="2"/>
      <c r="AH374" s="2"/>
      <c r="AI374" s="2"/>
      <c r="AJ374" s="2"/>
      <c r="AK374" s="2"/>
      <c r="AL374" s="2"/>
      <c r="AM374" s="2"/>
      <c r="AN374" s="2"/>
      <c r="AO374" s="9"/>
      <c r="AP374" s="9"/>
      <c r="AQ374" s="9"/>
      <c r="AR374" s="9"/>
    </row>
    <row r="375">
      <c r="A375" s="523"/>
      <c r="B375" s="523"/>
      <c r="C375" s="523"/>
      <c r="D375" s="523"/>
      <c r="E375" s="523"/>
      <c r="F375" s="523"/>
      <c r="G375" s="523"/>
      <c r="H375" s="523"/>
      <c r="I375" s="523"/>
      <c r="J375" s="523"/>
      <c r="K375" s="523"/>
      <c r="L375" s="523"/>
      <c r="M375" s="523"/>
      <c r="N375" s="523"/>
      <c r="O375" s="523"/>
      <c r="P375" s="523"/>
      <c r="Q375" s="523"/>
      <c r="R375" s="523"/>
      <c r="S375" s="523"/>
      <c r="T375" s="523"/>
      <c r="U375" s="523"/>
      <c r="V375" s="224"/>
      <c r="W375" s="224"/>
      <c r="X375" s="224"/>
      <c r="Y375" s="224"/>
      <c r="Z375" s="868"/>
      <c r="AA375" s="865"/>
      <c r="AB375" s="2"/>
      <c r="AC375" s="2"/>
      <c r="AD375" s="2"/>
      <c r="AE375" s="2"/>
      <c r="AF375" s="2"/>
      <c r="AG375" s="2"/>
      <c r="AH375" s="2"/>
      <c r="AI375" s="2"/>
      <c r="AJ375" s="2"/>
      <c r="AK375" s="2"/>
      <c r="AL375" s="2"/>
      <c r="AM375" s="2"/>
      <c r="AN375" s="2"/>
      <c r="AO375" s="9"/>
      <c r="AP375" s="9"/>
      <c r="AQ375" s="9"/>
      <c r="AR375" s="9"/>
    </row>
    <row r="376">
      <c r="A376" s="523"/>
      <c r="B376" s="523"/>
      <c r="C376" s="523"/>
      <c r="D376" s="523"/>
      <c r="E376" s="523"/>
      <c r="F376" s="523"/>
      <c r="G376" s="523"/>
      <c r="H376" s="523"/>
      <c r="I376" s="523"/>
      <c r="J376" s="523"/>
      <c r="K376" s="523"/>
      <c r="L376" s="523"/>
      <c r="M376" s="523"/>
      <c r="N376" s="523"/>
      <c r="O376" s="523"/>
      <c r="P376" s="523"/>
      <c r="Q376" s="523"/>
      <c r="R376" s="523"/>
      <c r="S376" s="523"/>
      <c r="T376" s="523"/>
      <c r="U376" s="523"/>
      <c r="V376" s="224"/>
      <c r="W376" s="224"/>
      <c r="X376" s="224"/>
      <c r="Y376" s="224"/>
      <c r="Z376" s="868"/>
      <c r="AA376" s="865"/>
      <c r="AB376" s="2"/>
      <c r="AC376" s="2"/>
      <c r="AD376" s="2"/>
      <c r="AE376" s="2"/>
      <c r="AF376" s="2"/>
      <c r="AG376" s="2"/>
      <c r="AH376" s="2"/>
      <c r="AI376" s="2"/>
      <c r="AJ376" s="2"/>
      <c r="AK376" s="2"/>
      <c r="AL376" s="2"/>
      <c r="AM376" s="2"/>
      <c r="AN376" s="2"/>
      <c r="AO376" s="9"/>
      <c r="AP376" s="9"/>
      <c r="AQ376" s="9"/>
      <c r="AR376" s="9"/>
    </row>
    <row r="377">
      <c r="A377" s="523"/>
      <c r="B377" s="523"/>
      <c r="C377" s="523"/>
      <c r="D377" s="523"/>
      <c r="E377" s="523"/>
      <c r="F377" s="523"/>
      <c r="G377" s="523"/>
      <c r="H377" s="523"/>
      <c r="I377" s="523"/>
      <c r="J377" s="523"/>
      <c r="K377" s="523"/>
      <c r="L377" s="523"/>
      <c r="M377" s="523"/>
      <c r="N377" s="523"/>
      <c r="O377" s="523"/>
      <c r="P377" s="523"/>
      <c r="Q377" s="523"/>
      <c r="R377" s="523"/>
      <c r="S377" s="523"/>
      <c r="T377" s="523"/>
      <c r="U377" s="523"/>
      <c r="V377" s="224"/>
      <c r="W377" s="224"/>
      <c r="X377" s="224"/>
      <c r="Y377" s="224"/>
      <c r="Z377" s="868"/>
      <c r="AA377" s="865"/>
      <c r="AB377" s="2"/>
      <c r="AC377" s="2"/>
      <c r="AD377" s="2"/>
      <c r="AE377" s="2"/>
      <c r="AF377" s="2"/>
      <c r="AG377" s="2"/>
      <c r="AH377" s="2"/>
      <c r="AI377" s="2"/>
      <c r="AJ377" s="2"/>
      <c r="AK377" s="2"/>
      <c r="AL377" s="2"/>
      <c r="AM377" s="2"/>
      <c r="AN377" s="2"/>
      <c r="AO377" s="9"/>
      <c r="AP377" s="9"/>
      <c r="AQ377" s="9"/>
      <c r="AR377" s="9"/>
    </row>
    <row r="378">
      <c r="A378" s="523"/>
      <c r="B378" s="523"/>
      <c r="C378" s="523"/>
      <c r="D378" s="523"/>
      <c r="E378" s="523"/>
      <c r="F378" s="523"/>
      <c r="G378" s="523"/>
      <c r="H378" s="523"/>
      <c r="I378" s="523"/>
      <c r="J378" s="523"/>
      <c r="K378" s="523"/>
      <c r="L378" s="523"/>
      <c r="M378" s="523"/>
      <c r="N378" s="523"/>
      <c r="O378" s="523"/>
      <c r="P378" s="523"/>
      <c r="Q378" s="523"/>
      <c r="R378" s="523"/>
      <c r="S378" s="523"/>
      <c r="T378" s="523"/>
      <c r="U378" s="523"/>
      <c r="V378" s="224"/>
      <c r="W378" s="224"/>
      <c r="X378" s="224"/>
      <c r="Y378" s="224"/>
      <c r="Z378" s="868"/>
      <c r="AA378" s="865"/>
      <c r="AB378" s="2"/>
      <c r="AC378" s="2"/>
      <c r="AD378" s="2"/>
      <c r="AE378" s="2"/>
      <c r="AF378" s="2"/>
      <c r="AG378" s="2"/>
      <c r="AH378" s="2"/>
      <c r="AI378" s="2"/>
      <c r="AJ378" s="2"/>
      <c r="AK378" s="2"/>
      <c r="AL378" s="2"/>
      <c r="AM378" s="2"/>
      <c r="AN378" s="2"/>
      <c r="AO378" s="9"/>
      <c r="AP378" s="9"/>
      <c r="AQ378" s="9"/>
      <c r="AR378" s="9"/>
    </row>
    <row r="379">
      <c r="A379" s="523"/>
      <c r="B379" s="523"/>
      <c r="C379" s="523"/>
      <c r="D379" s="523"/>
      <c r="E379" s="523"/>
      <c r="F379" s="523"/>
      <c r="G379" s="523"/>
      <c r="H379" s="523"/>
      <c r="I379" s="523"/>
      <c r="J379" s="523"/>
      <c r="K379" s="523"/>
      <c r="L379" s="523"/>
      <c r="M379" s="523"/>
      <c r="N379" s="523"/>
      <c r="O379" s="523"/>
      <c r="P379" s="523"/>
      <c r="Q379" s="523"/>
      <c r="R379" s="523"/>
      <c r="S379" s="523"/>
      <c r="T379" s="523"/>
      <c r="U379" s="523"/>
      <c r="V379" s="224"/>
      <c r="W379" s="224"/>
      <c r="X379" s="224"/>
      <c r="Y379" s="224"/>
      <c r="Z379" s="868"/>
      <c r="AA379" s="865"/>
      <c r="AB379" s="2"/>
      <c r="AC379" s="2"/>
      <c r="AD379" s="2"/>
      <c r="AE379" s="2"/>
      <c r="AF379" s="2"/>
      <c r="AG379" s="2"/>
      <c r="AH379" s="2"/>
      <c r="AI379" s="2"/>
      <c r="AJ379" s="2"/>
      <c r="AK379" s="2"/>
      <c r="AL379" s="2"/>
      <c r="AM379" s="2"/>
      <c r="AN379" s="2"/>
      <c r="AO379" s="9"/>
      <c r="AP379" s="9"/>
      <c r="AQ379" s="9"/>
      <c r="AR379" s="9"/>
    </row>
    <row r="380">
      <c r="A380" s="523"/>
      <c r="B380" s="523"/>
      <c r="C380" s="523"/>
      <c r="D380" s="523"/>
      <c r="E380" s="523"/>
      <c r="F380" s="523"/>
      <c r="G380" s="523"/>
      <c r="H380" s="523"/>
      <c r="I380" s="523"/>
      <c r="J380" s="523"/>
      <c r="K380" s="523"/>
      <c r="L380" s="523"/>
      <c r="M380" s="523"/>
      <c r="N380" s="523"/>
      <c r="O380" s="523"/>
      <c r="P380" s="523"/>
      <c r="Q380" s="523"/>
      <c r="R380" s="523"/>
      <c r="S380" s="523"/>
      <c r="T380" s="523"/>
      <c r="U380" s="523"/>
      <c r="V380" s="224"/>
      <c r="W380" s="224"/>
      <c r="X380" s="224"/>
      <c r="Y380" s="224"/>
      <c r="Z380" s="868"/>
      <c r="AA380" s="865"/>
      <c r="AB380" s="2"/>
      <c r="AC380" s="2"/>
      <c r="AD380" s="2"/>
      <c r="AE380" s="2"/>
      <c r="AF380" s="2"/>
      <c r="AG380" s="2"/>
      <c r="AH380" s="2"/>
      <c r="AI380" s="2"/>
      <c r="AJ380" s="2"/>
      <c r="AK380" s="2"/>
      <c r="AL380" s="2"/>
      <c r="AM380" s="2"/>
      <c r="AN380" s="2"/>
      <c r="AO380" s="9"/>
      <c r="AP380" s="9"/>
      <c r="AQ380" s="9"/>
      <c r="AR380" s="9"/>
    </row>
    <row r="381">
      <c r="A381" s="523"/>
      <c r="B381" s="523"/>
      <c r="C381" s="523"/>
      <c r="D381" s="523"/>
      <c r="E381" s="523"/>
      <c r="F381" s="523"/>
      <c r="G381" s="523"/>
      <c r="H381" s="523"/>
      <c r="I381" s="523"/>
      <c r="J381" s="523"/>
      <c r="K381" s="523"/>
      <c r="L381" s="523"/>
      <c r="M381" s="523"/>
      <c r="N381" s="523"/>
      <c r="O381" s="523"/>
      <c r="P381" s="523"/>
      <c r="Q381" s="523"/>
      <c r="R381" s="523"/>
      <c r="S381" s="523"/>
      <c r="T381" s="523"/>
      <c r="U381" s="523"/>
      <c r="V381" s="224"/>
      <c r="W381" s="224"/>
      <c r="X381" s="224"/>
      <c r="Y381" s="224"/>
      <c r="Z381" s="868"/>
      <c r="AA381" s="865"/>
      <c r="AB381" s="2"/>
      <c r="AC381" s="2"/>
      <c r="AD381" s="2"/>
      <c r="AE381" s="2"/>
      <c r="AF381" s="2"/>
      <c r="AG381" s="2"/>
      <c r="AH381" s="2"/>
      <c r="AI381" s="2"/>
      <c r="AJ381" s="2"/>
      <c r="AK381" s="2"/>
      <c r="AL381" s="2"/>
      <c r="AM381" s="2"/>
      <c r="AN381" s="2"/>
      <c r="AO381" s="9"/>
      <c r="AP381" s="9"/>
      <c r="AQ381" s="9"/>
      <c r="AR381" s="9"/>
    </row>
    <row r="382">
      <c r="A382" s="523"/>
      <c r="B382" s="523"/>
      <c r="C382" s="523"/>
      <c r="D382" s="523"/>
      <c r="E382" s="523"/>
      <c r="F382" s="523"/>
      <c r="G382" s="523"/>
      <c r="H382" s="523"/>
      <c r="I382" s="523"/>
      <c r="J382" s="523"/>
      <c r="K382" s="523"/>
      <c r="L382" s="523"/>
      <c r="M382" s="523"/>
      <c r="N382" s="523"/>
      <c r="O382" s="523"/>
      <c r="P382" s="523"/>
      <c r="Q382" s="523"/>
      <c r="R382" s="523"/>
      <c r="S382" s="523"/>
      <c r="T382" s="523"/>
      <c r="U382" s="523"/>
      <c r="V382" s="224"/>
      <c r="W382" s="224"/>
      <c r="X382" s="224"/>
      <c r="Y382" s="224"/>
      <c r="Z382" s="868"/>
      <c r="AA382" s="865"/>
      <c r="AB382" s="2"/>
      <c r="AC382" s="2"/>
      <c r="AD382" s="2"/>
      <c r="AE382" s="2"/>
      <c r="AF382" s="2"/>
      <c r="AG382" s="2"/>
      <c r="AH382" s="2"/>
      <c r="AI382" s="2"/>
      <c r="AJ382" s="2"/>
      <c r="AK382" s="2"/>
      <c r="AL382" s="2"/>
      <c r="AM382" s="2"/>
      <c r="AN382" s="2"/>
      <c r="AO382" s="9"/>
      <c r="AP382" s="9"/>
      <c r="AQ382" s="9"/>
      <c r="AR382" s="9"/>
    </row>
    <row r="383">
      <c r="A383" s="523"/>
      <c r="B383" s="523"/>
      <c r="C383" s="523"/>
      <c r="D383" s="523"/>
      <c r="E383" s="523"/>
      <c r="F383" s="523"/>
      <c r="G383" s="523"/>
      <c r="H383" s="523"/>
      <c r="I383" s="523"/>
      <c r="J383" s="523"/>
      <c r="K383" s="523"/>
      <c r="L383" s="523"/>
      <c r="M383" s="523"/>
      <c r="N383" s="523"/>
      <c r="O383" s="523"/>
      <c r="P383" s="523"/>
      <c r="Q383" s="523"/>
      <c r="R383" s="523"/>
      <c r="S383" s="523"/>
      <c r="T383" s="523"/>
      <c r="U383" s="523"/>
      <c r="V383" s="224"/>
      <c r="W383" s="224"/>
      <c r="X383" s="224"/>
      <c r="Y383" s="224"/>
      <c r="Z383" s="868"/>
      <c r="AA383" s="865"/>
      <c r="AB383" s="2"/>
      <c r="AC383" s="2"/>
      <c r="AD383" s="2"/>
      <c r="AE383" s="2"/>
      <c r="AF383" s="2"/>
      <c r="AG383" s="2"/>
      <c r="AH383" s="2"/>
      <c r="AI383" s="2"/>
      <c r="AJ383" s="2"/>
      <c r="AK383" s="2"/>
      <c r="AL383" s="2"/>
      <c r="AM383" s="2"/>
      <c r="AN383" s="2"/>
      <c r="AO383" s="9"/>
      <c r="AP383" s="9"/>
      <c r="AQ383" s="9"/>
      <c r="AR383" s="9"/>
    </row>
    <row r="384">
      <c r="A384" s="523"/>
      <c r="B384" s="523"/>
      <c r="C384" s="523"/>
      <c r="D384" s="523"/>
      <c r="E384" s="523"/>
      <c r="F384" s="523"/>
      <c r="G384" s="523"/>
      <c r="H384" s="523"/>
      <c r="I384" s="523"/>
      <c r="J384" s="523"/>
      <c r="K384" s="523"/>
      <c r="L384" s="523"/>
      <c r="M384" s="523"/>
      <c r="N384" s="523"/>
      <c r="O384" s="523"/>
      <c r="P384" s="523"/>
      <c r="Q384" s="523"/>
      <c r="R384" s="523"/>
      <c r="S384" s="523"/>
      <c r="T384" s="523"/>
      <c r="U384" s="523"/>
      <c r="V384" s="224"/>
      <c r="W384" s="224"/>
      <c r="X384" s="224"/>
      <c r="Y384" s="224"/>
      <c r="Z384" s="868"/>
      <c r="AA384" s="865"/>
      <c r="AB384" s="2"/>
      <c r="AC384" s="2"/>
      <c r="AD384" s="2"/>
      <c r="AE384" s="2"/>
      <c r="AF384" s="2"/>
      <c r="AG384" s="2"/>
      <c r="AH384" s="2"/>
      <c r="AI384" s="2"/>
      <c r="AJ384" s="2"/>
      <c r="AK384" s="2"/>
      <c r="AL384" s="2"/>
      <c r="AM384" s="2"/>
      <c r="AN384" s="2"/>
      <c r="AO384" s="9"/>
      <c r="AP384" s="9"/>
      <c r="AQ384" s="9"/>
      <c r="AR384" s="9"/>
    </row>
    <row r="385">
      <c r="A385" s="523"/>
      <c r="B385" s="523"/>
      <c r="C385" s="523"/>
      <c r="D385" s="523"/>
      <c r="E385" s="523"/>
      <c r="F385" s="523"/>
      <c r="G385" s="523"/>
      <c r="H385" s="523"/>
      <c r="I385" s="523"/>
      <c r="J385" s="523"/>
      <c r="K385" s="523"/>
      <c r="L385" s="523"/>
      <c r="M385" s="523"/>
      <c r="N385" s="523"/>
      <c r="O385" s="523"/>
      <c r="P385" s="523"/>
      <c r="Q385" s="523"/>
      <c r="R385" s="523"/>
      <c r="S385" s="523"/>
      <c r="T385" s="523"/>
      <c r="U385" s="523"/>
      <c r="V385" s="224"/>
      <c r="W385" s="224"/>
      <c r="X385" s="224"/>
      <c r="Y385" s="224"/>
      <c r="Z385" s="868"/>
      <c r="AA385" s="865"/>
      <c r="AB385" s="2"/>
      <c r="AC385" s="2"/>
      <c r="AD385" s="2"/>
      <c r="AE385" s="2"/>
      <c r="AF385" s="2"/>
      <c r="AG385" s="2"/>
      <c r="AH385" s="2"/>
      <c r="AI385" s="2"/>
      <c r="AJ385" s="2"/>
      <c r="AK385" s="2"/>
      <c r="AL385" s="2"/>
      <c r="AM385" s="2"/>
      <c r="AN385" s="2"/>
      <c r="AO385" s="9"/>
      <c r="AP385" s="9"/>
      <c r="AQ385" s="9"/>
      <c r="AR385" s="9"/>
    </row>
    <row r="386">
      <c r="A386" s="523"/>
      <c r="B386" s="523"/>
      <c r="C386" s="523"/>
      <c r="D386" s="523"/>
      <c r="E386" s="523"/>
      <c r="F386" s="523"/>
      <c r="G386" s="523"/>
      <c r="H386" s="523"/>
      <c r="I386" s="523"/>
      <c r="J386" s="523"/>
      <c r="K386" s="523"/>
      <c r="L386" s="523"/>
      <c r="M386" s="523"/>
      <c r="N386" s="523"/>
      <c r="O386" s="523"/>
      <c r="P386" s="523"/>
      <c r="Q386" s="523"/>
      <c r="R386" s="523"/>
      <c r="S386" s="523"/>
      <c r="T386" s="523"/>
      <c r="U386" s="523"/>
      <c r="V386" s="224"/>
      <c r="W386" s="224"/>
      <c r="X386" s="224"/>
      <c r="Y386" s="224"/>
      <c r="Z386" s="868"/>
      <c r="AA386" s="865"/>
      <c r="AB386" s="2"/>
      <c r="AC386" s="2"/>
      <c r="AD386" s="2"/>
      <c r="AE386" s="2"/>
      <c r="AF386" s="2"/>
      <c r="AG386" s="2"/>
      <c r="AH386" s="2"/>
      <c r="AI386" s="2"/>
      <c r="AJ386" s="2"/>
      <c r="AK386" s="2"/>
      <c r="AL386" s="2"/>
      <c r="AM386" s="2"/>
      <c r="AN386" s="2"/>
      <c r="AO386" s="9"/>
      <c r="AP386" s="9"/>
      <c r="AQ386" s="9"/>
      <c r="AR386" s="9"/>
    </row>
    <row r="387">
      <c r="A387" s="523"/>
      <c r="B387" s="523"/>
      <c r="C387" s="523"/>
      <c r="D387" s="523"/>
      <c r="E387" s="523"/>
      <c r="F387" s="523"/>
      <c r="G387" s="523"/>
      <c r="H387" s="523"/>
      <c r="I387" s="523"/>
      <c r="J387" s="523"/>
      <c r="K387" s="523"/>
      <c r="L387" s="523"/>
      <c r="M387" s="523"/>
      <c r="N387" s="523"/>
      <c r="O387" s="523"/>
      <c r="P387" s="523"/>
      <c r="Q387" s="523"/>
      <c r="R387" s="523"/>
      <c r="S387" s="523"/>
      <c r="T387" s="523"/>
      <c r="U387" s="523"/>
      <c r="V387" s="224"/>
      <c r="W387" s="224"/>
      <c r="X387" s="224"/>
      <c r="Y387" s="224"/>
      <c r="Z387" s="868"/>
      <c r="AA387" s="865"/>
      <c r="AB387" s="2"/>
      <c r="AC387" s="2"/>
      <c r="AD387" s="2"/>
      <c r="AE387" s="2"/>
      <c r="AF387" s="2"/>
      <c r="AG387" s="2"/>
      <c r="AH387" s="2"/>
      <c r="AI387" s="2"/>
      <c r="AJ387" s="2"/>
      <c r="AK387" s="2"/>
      <c r="AL387" s="2"/>
      <c r="AM387" s="2"/>
      <c r="AN387" s="2"/>
      <c r="AO387" s="9"/>
      <c r="AP387" s="9"/>
      <c r="AQ387" s="9"/>
      <c r="AR387" s="9"/>
    </row>
    <row r="388">
      <c r="A388" s="523"/>
      <c r="B388" s="523"/>
      <c r="C388" s="523"/>
      <c r="D388" s="523"/>
      <c r="E388" s="523"/>
      <c r="F388" s="523"/>
      <c r="G388" s="523"/>
      <c r="H388" s="523"/>
      <c r="I388" s="523"/>
      <c r="J388" s="523"/>
      <c r="K388" s="523"/>
      <c r="L388" s="523"/>
      <c r="M388" s="523"/>
      <c r="N388" s="523"/>
      <c r="O388" s="523"/>
      <c r="P388" s="523"/>
      <c r="Q388" s="523"/>
      <c r="R388" s="523"/>
      <c r="S388" s="523"/>
      <c r="T388" s="523"/>
      <c r="U388" s="523"/>
      <c r="V388" s="224"/>
      <c r="W388" s="224"/>
      <c r="X388" s="224"/>
      <c r="Y388" s="224"/>
      <c r="Z388" s="868"/>
      <c r="AA388" s="865"/>
      <c r="AB388" s="2"/>
      <c r="AC388" s="2"/>
      <c r="AD388" s="2"/>
      <c r="AE388" s="2"/>
      <c r="AF388" s="2"/>
      <c r="AG388" s="2"/>
      <c r="AH388" s="2"/>
      <c r="AI388" s="2"/>
      <c r="AJ388" s="2"/>
      <c r="AK388" s="2"/>
      <c r="AL388" s="2"/>
      <c r="AM388" s="2"/>
      <c r="AN388" s="2"/>
      <c r="AO388" s="9"/>
      <c r="AP388" s="9"/>
      <c r="AQ388" s="9"/>
      <c r="AR388" s="9"/>
    </row>
    <row r="389">
      <c r="A389" s="523"/>
      <c r="B389" s="523"/>
      <c r="C389" s="523"/>
      <c r="D389" s="523"/>
      <c r="E389" s="523"/>
      <c r="F389" s="523"/>
      <c r="G389" s="523"/>
      <c r="H389" s="523"/>
      <c r="I389" s="523"/>
      <c r="J389" s="523"/>
      <c r="K389" s="523"/>
      <c r="L389" s="523"/>
      <c r="M389" s="523"/>
      <c r="N389" s="523"/>
      <c r="O389" s="523"/>
      <c r="P389" s="523"/>
      <c r="Q389" s="523"/>
      <c r="R389" s="523"/>
      <c r="S389" s="523"/>
      <c r="T389" s="523"/>
      <c r="U389" s="523"/>
      <c r="V389" s="224"/>
      <c r="W389" s="224"/>
      <c r="X389" s="224"/>
      <c r="Y389" s="224"/>
      <c r="Z389" s="868"/>
      <c r="AA389" s="865"/>
      <c r="AB389" s="2"/>
      <c r="AC389" s="2"/>
      <c r="AD389" s="2"/>
      <c r="AE389" s="2"/>
      <c r="AF389" s="2"/>
      <c r="AG389" s="2"/>
      <c r="AH389" s="2"/>
      <c r="AI389" s="2"/>
      <c r="AJ389" s="2"/>
      <c r="AK389" s="2"/>
      <c r="AL389" s="2"/>
      <c r="AM389" s="2"/>
      <c r="AN389" s="2"/>
      <c r="AO389" s="9"/>
      <c r="AP389" s="9"/>
      <c r="AQ389" s="9"/>
      <c r="AR389" s="9"/>
    </row>
    <row r="390">
      <c r="A390" s="523"/>
      <c r="B390" s="523"/>
      <c r="C390" s="523"/>
      <c r="D390" s="523"/>
      <c r="E390" s="523"/>
      <c r="F390" s="523"/>
      <c r="G390" s="523"/>
      <c r="H390" s="523"/>
      <c r="I390" s="523"/>
      <c r="J390" s="523"/>
      <c r="K390" s="523"/>
      <c r="L390" s="523"/>
      <c r="M390" s="523"/>
      <c r="N390" s="523"/>
      <c r="O390" s="523"/>
      <c r="P390" s="523"/>
      <c r="Q390" s="523"/>
      <c r="R390" s="523"/>
      <c r="S390" s="523"/>
      <c r="T390" s="523"/>
      <c r="U390" s="523"/>
      <c r="V390" s="224"/>
      <c r="W390" s="224"/>
      <c r="X390" s="224"/>
      <c r="Y390" s="224"/>
      <c r="Z390" s="868"/>
      <c r="AA390" s="865"/>
      <c r="AB390" s="2"/>
      <c r="AC390" s="2"/>
      <c r="AD390" s="2"/>
      <c r="AE390" s="2"/>
      <c r="AF390" s="2"/>
      <c r="AG390" s="2"/>
      <c r="AH390" s="2"/>
      <c r="AI390" s="2"/>
      <c r="AJ390" s="2"/>
      <c r="AK390" s="2"/>
      <c r="AL390" s="2"/>
      <c r="AM390" s="2"/>
      <c r="AN390" s="2"/>
      <c r="AO390" s="9"/>
      <c r="AP390" s="9"/>
      <c r="AQ390" s="9"/>
      <c r="AR390" s="9"/>
    </row>
    <row r="391">
      <c r="A391" s="523"/>
      <c r="B391" s="523"/>
      <c r="C391" s="523"/>
      <c r="D391" s="523"/>
      <c r="E391" s="523"/>
      <c r="F391" s="523"/>
      <c r="G391" s="523"/>
      <c r="H391" s="523"/>
      <c r="I391" s="523"/>
      <c r="J391" s="523"/>
      <c r="K391" s="523"/>
      <c r="L391" s="523"/>
      <c r="M391" s="523"/>
      <c r="N391" s="523"/>
      <c r="O391" s="523"/>
      <c r="P391" s="523"/>
      <c r="Q391" s="523"/>
      <c r="R391" s="523"/>
      <c r="S391" s="523"/>
      <c r="T391" s="523"/>
      <c r="U391" s="523"/>
      <c r="V391" s="224"/>
      <c r="W391" s="224"/>
      <c r="X391" s="224"/>
      <c r="Y391" s="224"/>
      <c r="Z391" s="868"/>
      <c r="AA391" s="865"/>
      <c r="AB391" s="2"/>
      <c r="AC391" s="2"/>
      <c r="AD391" s="2"/>
      <c r="AE391" s="2"/>
      <c r="AF391" s="2"/>
      <c r="AG391" s="2"/>
      <c r="AH391" s="2"/>
      <c r="AI391" s="2"/>
      <c r="AJ391" s="2"/>
      <c r="AK391" s="2"/>
      <c r="AL391" s="2"/>
      <c r="AM391" s="2"/>
      <c r="AN391" s="2"/>
      <c r="AO391" s="9"/>
      <c r="AP391" s="9"/>
      <c r="AQ391" s="9"/>
      <c r="AR391" s="9"/>
    </row>
    <row r="392">
      <c r="A392" s="523"/>
      <c r="B392" s="523"/>
      <c r="C392" s="523"/>
      <c r="D392" s="523"/>
      <c r="E392" s="523"/>
      <c r="F392" s="523"/>
      <c r="G392" s="523"/>
      <c r="H392" s="523"/>
      <c r="I392" s="523"/>
      <c r="J392" s="523"/>
      <c r="K392" s="523"/>
      <c r="L392" s="523"/>
      <c r="M392" s="523"/>
      <c r="N392" s="523"/>
      <c r="O392" s="523"/>
      <c r="P392" s="523"/>
      <c r="Q392" s="523"/>
      <c r="R392" s="523"/>
      <c r="S392" s="523"/>
      <c r="T392" s="523"/>
      <c r="U392" s="523"/>
      <c r="V392" s="224"/>
      <c r="W392" s="224"/>
      <c r="X392" s="224"/>
      <c r="Y392" s="224"/>
      <c r="Z392" s="868"/>
      <c r="AA392" s="865"/>
      <c r="AB392" s="2"/>
      <c r="AC392" s="2"/>
      <c r="AD392" s="2"/>
      <c r="AE392" s="2"/>
      <c r="AF392" s="2"/>
      <c r="AG392" s="2"/>
      <c r="AH392" s="2"/>
      <c r="AI392" s="2"/>
      <c r="AJ392" s="2"/>
      <c r="AK392" s="2"/>
      <c r="AL392" s="2"/>
      <c r="AM392" s="2"/>
      <c r="AN392" s="2"/>
      <c r="AO392" s="9"/>
      <c r="AP392" s="9"/>
      <c r="AQ392" s="9"/>
      <c r="AR392" s="9"/>
    </row>
    <row r="393">
      <c r="A393" s="523"/>
      <c r="B393" s="523"/>
      <c r="C393" s="523"/>
      <c r="D393" s="523"/>
      <c r="E393" s="523"/>
      <c r="F393" s="523"/>
      <c r="G393" s="523"/>
      <c r="H393" s="523"/>
      <c r="I393" s="523"/>
      <c r="J393" s="523"/>
      <c r="K393" s="523"/>
      <c r="L393" s="523"/>
      <c r="M393" s="523"/>
      <c r="N393" s="523"/>
      <c r="O393" s="523"/>
      <c r="P393" s="523"/>
      <c r="Q393" s="523"/>
      <c r="R393" s="523"/>
      <c r="S393" s="523"/>
      <c r="T393" s="523"/>
      <c r="U393" s="523"/>
      <c r="V393" s="224"/>
      <c r="W393" s="224"/>
      <c r="X393" s="224"/>
      <c r="Y393" s="224"/>
      <c r="Z393" s="868"/>
      <c r="AA393" s="865"/>
      <c r="AB393" s="2"/>
      <c r="AC393" s="2"/>
      <c r="AD393" s="2"/>
      <c r="AE393" s="2"/>
      <c r="AF393" s="2"/>
      <c r="AG393" s="2"/>
      <c r="AH393" s="2"/>
      <c r="AI393" s="2"/>
      <c r="AJ393" s="2"/>
      <c r="AK393" s="2"/>
      <c r="AL393" s="2"/>
      <c r="AM393" s="2"/>
      <c r="AN393" s="2"/>
      <c r="AO393" s="9"/>
      <c r="AP393" s="9"/>
      <c r="AQ393" s="9"/>
      <c r="AR393" s="9"/>
    </row>
    <row r="394">
      <c r="A394" s="523"/>
      <c r="B394" s="523"/>
      <c r="C394" s="523"/>
      <c r="D394" s="523"/>
      <c r="E394" s="523"/>
      <c r="F394" s="523"/>
      <c r="G394" s="523"/>
      <c r="H394" s="523"/>
      <c r="I394" s="523"/>
      <c r="J394" s="523"/>
      <c r="K394" s="523"/>
      <c r="L394" s="523"/>
      <c r="M394" s="523"/>
      <c r="N394" s="523"/>
      <c r="O394" s="523"/>
      <c r="P394" s="523"/>
      <c r="Q394" s="523"/>
      <c r="R394" s="523"/>
      <c r="S394" s="523"/>
      <c r="T394" s="523"/>
      <c r="U394" s="523"/>
      <c r="V394" s="224"/>
      <c r="W394" s="224"/>
      <c r="X394" s="224"/>
      <c r="Y394" s="224"/>
      <c r="Z394" s="868"/>
      <c r="AA394" s="865"/>
      <c r="AB394" s="2"/>
      <c r="AC394" s="2"/>
      <c r="AD394" s="2"/>
      <c r="AE394" s="2"/>
      <c r="AF394" s="2"/>
      <c r="AG394" s="2"/>
      <c r="AH394" s="2"/>
      <c r="AI394" s="2"/>
      <c r="AJ394" s="2"/>
      <c r="AK394" s="2"/>
      <c r="AL394" s="2"/>
      <c r="AM394" s="2"/>
      <c r="AN394" s="2"/>
      <c r="AO394" s="9"/>
      <c r="AP394" s="9"/>
      <c r="AQ394" s="9"/>
      <c r="AR394" s="9"/>
    </row>
    <row r="395">
      <c r="A395" s="523"/>
      <c r="B395" s="523"/>
      <c r="C395" s="523"/>
      <c r="D395" s="523"/>
      <c r="E395" s="523"/>
      <c r="F395" s="523"/>
      <c r="G395" s="523"/>
      <c r="H395" s="523"/>
      <c r="I395" s="523"/>
      <c r="J395" s="523"/>
      <c r="K395" s="523"/>
      <c r="L395" s="523"/>
      <c r="M395" s="523"/>
      <c r="N395" s="523"/>
      <c r="O395" s="523"/>
      <c r="P395" s="523"/>
      <c r="Q395" s="523"/>
      <c r="R395" s="523"/>
      <c r="S395" s="523"/>
      <c r="T395" s="523"/>
      <c r="U395" s="523"/>
      <c r="V395" s="224"/>
      <c r="W395" s="224"/>
      <c r="X395" s="224"/>
      <c r="Y395" s="224"/>
      <c r="Z395" s="868"/>
      <c r="AA395" s="865"/>
      <c r="AB395" s="2"/>
      <c r="AC395" s="2"/>
      <c r="AD395" s="2"/>
      <c r="AE395" s="2"/>
      <c r="AF395" s="2"/>
      <c r="AG395" s="2"/>
      <c r="AH395" s="2"/>
      <c r="AI395" s="2"/>
      <c r="AJ395" s="2"/>
      <c r="AK395" s="2"/>
      <c r="AL395" s="2"/>
      <c r="AM395" s="2"/>
      <c r="AN395" s="2"/>
      <c r="AO395" s="9"/>
      <c r="AP395" s="9"/>
      <c r="AQ395" s="9"/>
      <c r="AR395" s="9"/>
    </row>
    <row r="396">
      <c r="A396" s="523"/>
      <c r="B396" s="523"/>
      <c r="C396" s="523"/>
      <c r="D396" s="523"/>
      <c r="E396" s="523"/>
      <c r="F396" s="523"/>
      <c r="G396" s="523"/>
      <c r="H396" s="523"/>
      <c r="I396" s="523"/>
      <c r="J396" s="523"/>
      <c r="K396" s="523"/>
      <c r="L396" s="523"/>
      <c r="M396" s="523"/>
      <c r="N396" s="523"/>
      <c r="O396" s="523"/>
      <c r="P396" s="523"/>
      <c r="Q396" s="523"/>
      <c r="R396" s="523"/>
      <c r="S396" s="523"/>
      <c r="T396" s="523"/>
      <c r="U396" s="523"/>
      <c r="V396" s="224"/>
      <c r="W396" s="224"/>
      <c r="X396" s="224"/>
      <c r="Y396" s="224"/>
      <c r="Z396" s="868"/>
      <c r="AA396" s="865"/>
      <c r="AB396" s="2"/>
      <c r="AC396" s="2"/>
      <c r="AD396" s="2"/>
      <c r="AE396" s="2"/>
      <c r="AF396" s="2"/>
      <c r="AG396" s="2"/>
      <c r="AH396" s="2"/>
      <c r="AI396" s="2"/>
      <c r="AJ396" s="2"/>
      <c r="AK396" s="2"/>
      <c r="AL396" s="2"/>
      <c r="AM396" s="2"/>
      <c r="AN396" s="2"/>
      <c r="AO396" s="9"/>
      <c r="AP396" s="9"/>
      <c r="AQ396" s="9"/>
      <c r="AR396" s="9"/>
    </row>
    <row r="397">
      <c r="A397" s="523"/>
      <c r="B397" s="523"/>
      <c r="C397" s="523"/>
      <c r="D397" s="523"/>
      <c r="E397" s="523"/>
      <c r="F397" s="523"/>
      <c r="G397" s="523"/>
      <c r="H397" s="523"/>
      <c r="I397" s="523"/>
      <c r="J397" s="523"/>
      <c r="K397" s="523"/>
      <c r="L397" s="523"/>
      <c r="M397" s="523"/>
      <c r="N397" s="523"/>
      <c r="O397" s="523"/>
      <c r="P397" s="523"/>
      <c r="Q397" s="523"/>
      <c r="R397" s="523"/>
      <c r="S397" s="523"/>
      <c r="T397" s="523"/>
      <c r="U397" s="523"/>
      <c r="V397" s="224"/>
      <c r="W397" s="224"/>
      <c r="X397" s="224"/>
      <c r="Y397" s="224"/>
      <c r="Z397" s="868"/>
      <c r="AA397" s="865"/>
      <c r="AB397" s="2"/>
      <c r="AC397" s="2"/>
      <c r="AD397" s="2"/>
      <c r="AE397" s="2"/>
      <c r="AF397" s="2"/>
      <c r="AG397" s="2"/>
      <c r="AH397" s="2"/>
      <c r="AI397" s="2"/>
      <c r="AJ397" s="2"/>
      <c r="AK397" s="2"/>
      <c r="AL397" s="2"/>
      <c r="AM397" s="2"/>
      <c r="AN397" s="2"/>
      <c r="AO397" s="9"/>
      <c r="AP397" s="9"/>
      <c r="AQ397" s="9"/>
      <c r="AR397" s="9"/>
    </row>
    <row r="398">
      <c r="A398" s="523"/>
      <c r="B398" s="523"/>
      <c r="C398" s="523"/>
      <c r="D398" s="523"/>
      <c r="E398" s="523"/>
      <c r="F398" s="523"/>
      <c r="G398" s="523"/>
      <c r="H398" s="523"/>
      <c r="I398" s="523"/>
      <c r="J398" s="523"/>
      <c r="K398" s="523"/>
      <c r="L398" s="523"/>
      <c r="M398" s="523"/>
      <c r="N398" s="523"/>
      <c r="O398" s="523"/>
      <c r="P398" s="523"/>
      <c r="Q398" s="523"/>
      <c r="R398" s="523"/>
      <c r="S398" s="523"/>
      <c r="T398" s="523"/>
      <c r="U398" s="523"/>
      <c r="V398" s="224"/>
      <c r="W398" s="224"/>
      <c r="X398" s="224"/>
      <c r="Y398" s="224"/>
      <c r="Z398" s="868"/>
      <c r="AA398" s="865"/>
      <c r="AB398" s="2"/>
      <c r="AC398" s="2"/>
      <c r="AD398" s="2"/>
      <c r="AE398" s="2"/>
      <c r="AF398" s="2"/>
      <c r="AG398" s="2"/>
      <c r="AH398" s="2"/>
      <c r="AI398" s="2"/>
      <c r="AJ398" s="2"/>
      <c r="AK398" s="2"/>
      <c r="AL398" s="2"/>
      <c r="AM398" s="2"/>
      <c r="AN398" s="2"/>
      <c r="AO398" s="9"/>
      <c r="AP398" s="9"/>
      <c r="AQ398" s="9"/>
      <c r="AR398" s="9"/>
    </row>
    <row r="399">
      <c r="A399" s="523"/>
      <c r="B399" s="523"/>
      <c r="C399" s="523"/>
      <c r="D399" s="523"/>
      <c r="E399" s="523"/>
      <c r="F399" s="523"/>
      <c r="G399" s="523"/>
      <c r="H399" s="523"/>
      <c r="I399" s="523"/>
      <c r="J399" s="523"/>
      <c r="K399" s="523"/>
      <c r="L399" s="523"/>
      <c r="M399" s="523"/>
      <c r="N399" s="523"/>
      <c r="O399" s="523"/>
      <c r="P399" s="523"/>
      <c r="Q399" s="523"/>
      <c r="R399" s="523"/>
      <c r="S399" s="523"/>
      <c r="T399" s="523"/>
      <c r="U399" s="523"/>
      <c r="V399" s="224"/>
      <c r="W399" s="224"/>
      <c r="X399" s="224"/>
      <c r="Y399" s="224"/>
      <c r="Z399" s="868"/>
      <c r="AA399" s="865"/>
      <c r="AB399" s="2"/>
      <c r="AC399" s="2"/>
      <c r="AD399" s="2"/>
      <c r="AE399" s="2"/>
      <c r="AF399" s="2"/>
      <c r="AG399" s="2"/>
      <c r="AH399" s="2"/>
      <c r="AI399" s="2"/>
      <c r="AJ399" s="2"/>
      <c r="AK399" s="2"/>
      <c r="AL399" s="2"/>
      <c r="AM399" s="2"/>
      <c r="AN399" s="2"/>
      <c r="AO399" s="9"/>
      <c r="AP399" s="9"/>
      <c r="AQ399" s="9"/>
      <c r="AR399" s="9"/>
    </row>
    <row r="400">
      <c r="A400" s="523"/>
      <c r="B400" s="523"/>
      <c r="C400" s="523"/>
      <c r="D400" s="523"/>
      <c r="E400" s="523"/>
      <c r="F400" s="523"/>
      <c r="G400" s="523"/>
      <c r="H400" s="523"/>
      <c r="I400" s="523"/>
      <c r="J400" s="523"/>
      <c r="K400" s="523"/>
      <c r="L400" s="523"/>
      <c r="M400" s="523"/>
      <c r="N400" s="523"/>
      <c r="O400" s="523"/>
      <c r="P400" s="523"/>
      <c r="Q400" s="523"/>
      <c r="R400" s="523"/>
      <c r="S400" s="523"/>
      <c r="T400" s="523"/>
      <c r="U400" s="523"/>
      <c r="V400" s="224"/>
      <c r="W400" s="224"/>
      <c r="X400" s="224"/>
      <c r="Y400" s="224"/>
      <c r="Z400" s="868"/>
      <c r="AA400" s="865"/>
      <c r="AB400" s="2"/>
      <c r="AC400" s="2"/>
      <c r="AD400" s="2"/>
      <c r="AE400" s="2"/>
      <c r="AF400" s="2"/>
      <c r="AG400" s="2"/>
      <c r="AH400" s="2"/>
      <c r="AI400" s="2"/>
      <c r="AJ400" s="2"/>
      <c r="AK400" s="2"/>
      <c r="AL400" s="2"/>
      <c r="AM400" s="2"/>
      <c r="AN400" s="2"/>
      <c r="AO400" s="9"/>
      <c r="AP400" s="9"/>
      <c r="AQ400" s="9"/>
      <c r="AR400" s="9"/>
    </row>
    <row r="401">
      <c r="A401" s="523"/>
      <c r="B401" s="523"/>
      <c r="C401" s="523"/>
      <c r="D401" s="523"/>
      <c r="E401" s="523"/>
      <c r="F401" s="523"/>
      <c r="G401" s="523"/>
      <c r="H401" s="523"/>
      <c r="I401" s="523"/>
      <c r="J401" s="523"/>
      <c r="K401" s="523"/>
      <c r="L401" s="523"/>
      <c r="M401" s="523"/>
      <c r="N401" s="523"/>
      <c r="O401" s="523"/>
      <c r="P401" s="523"/>
      <c r="Q401" s="523"/>
      <c r="R401" s="523"/>
      <c r="S401" s="523"/>
      <c r="T401" s="523"/>
      <c r="U401" s="523"/>
      <c r="V401" s="224"/>
      <c r="W401" s="224"/>
      <c r="X401" s="224"/>
      <c r="Y401" s="224"/>
      <c r="Z401" s="868"/>
      <c r="AA401" s="865"/>
      <c r="AB401" s="2"/>
      <c r="AC401" s="2"/>
      <c r="AD401" s="2"/>
      <c r="AE401" s="2"/>
      <c r="AF401" s="2"/>
      <c r="AG401" s="2"/>
      <c r="AH401" s="2"/>
      <c r="AI401" s="2"/>
      <c r="AJ401" s="2"/>
      <c r="AK401" s="2"/>
      <c r="AL401" s="2"/>
      <c r="AM401" s="2"/>
      <c r="AN401" s="2"/>
      <c r="AO401" s="9"/>
      <c r="AP401" s="9"/>
      <c r="AQ401" s="9"/>
      <c r="AR401" s="9"/>
    </row>
    <row r="402">
      <c r="A402" s="523"/>
      <c r="B402" s="523"/>
      <c r="C402" s="523"/>
      <c r="D402" s="523"/>
      <c r="E402" s="523"/>
      <c r="F402" s="523"/>
      <c r="G402" s="523"/>
      <c r="H402" s="523"/>
      <c r="I402" s="523"/>
      <c r="J402" s="523"/>
      <c r="K402" s="523"/>
      <c r="L402" s="523"/>
      <c r="M402" s="523"/>
      <c r="N402" s="523"/>
      <c r="O402" s="523"/>
      <c r="P402" s="523"/>
      <c r="Q402" s="523"/>
      <c r="R402" s="523"/>
      <c r="S402" s="523"/>
      <c r="T402" s="523"/>
      <c r="U402" s="523"/>
      <c r="V402" s="224"/>
      <c r="W402" s="224"/>
      <c r="X402" s="224"/>
      <c r="Y402" s="224"/>
      <c r="Z402" s="868"/>
      <c r="AA402" s="865"/>
      <c r="AB402" s="2"/>
      <c r="AC402" s="2"/>
      <c r="AD402" s="2"/>
      <c r="AE402" s="2"/>
      <c r="AF402" s="2"/>
      <c r="AG402" s="2"/>
      <c r="AH402" s="2"/>
      <c r="AI402" s="2"/>
      <c r="AJ402" s="2"/>
      <c r="AK402" s="2"/>
      <c r="AL402" s="2"/>
      <c r="AM402" s="2"/>
      <c r="AN402" s="2"/>
      <c r="AO402" s="9"/>
      <c r="AP402" s="9"/>
      <c r="AQ402" s="9"/>
      <c r="AR402" s="9"/>
    </row>
    <row r="403">
      <c r="A403" s="523"/>
      <c r="B403" s="523"/>
      <c r="C403" s="523"/>
      <c r="D403" s="523"/>
      <c r="E403" s="523"/>
      <c r="F403" s="523"/>
      <c r="G403" s="523"/>
      <c r="H403" s="523"/>
      <c r="I403" s="523"/>
      <c r="J403" s="523"/>
      <c r="K403" s="523"/>
      <c r="L403" s="523"/>
      <c r="M403" s="523"/>
      <c r="N403" s="523"/>
      <c r="O403" s="523"/>
      <c r="P403" s="523"/>
      <c r="Q403" s="523"/>
      <c r="R403" s="523"/>
      <c r="S403" s="523"/>
      <c r="T403" s="523"/>
      <c r="U403" s="523"/>
      <c r="V403" s="224"/>
      <c r="W403" s="224"/>
      <c r="X403" s="224"/>
      <c r="Y403" s="224"/>
      <c r="Z403" s="868"/>
      <c r="AA403" s="865"/>
      <c r="AB403" s="2"/>
      <c r="AC403" s="2"/>
      <c r="AD403" s="2"/>
      <c r="AE403" s="2"/>
      <c r="AF403" s="2"/>
      <c r="AG403" s="2"/>
      <c r="AH403" s="2"/>
      <c r="AI403" s="2"/>
      <c r="AJ403" s="2"/>
      <c r="AK403" s="2"/>
      <c r="AL403" s="2"/>
      <c r="AM403" s="2"/>
      <c r="AN403" s="2"/>
      <c r="AO403" s="9"/>
      <c r="AP403" s="9"/>
      <c r="AQ403" s="9"/>
      <c r="AR403" s="9"/>
    </row>
    <row r="404">
      <c r="A404" s="523"/>
      <c r="B404" s="523"/>
      <c r="C404" s="523"/>
      <c r="D404" s="523"/>
      <c r="E404" s="523"/>
      <c r="F404" s="523"/>
      <c r="G404" s="523"/>
      <c r="H404" s="523"/>
      <c r="I404" s="523"/>
      <c r="J404" s="523"/>
      <c r="K404" s="523"/>
      <c r="L404" s="523"/>
      <c r="M404" s="523"/>
      <c r="N404" s="523"/>
      <c r="O404" s="523"/>
      <c r="P404" s="523"/>
      <c r="Q404" s="523"/>
      <c r="R404" s="523"/>
      <c r="S404" s="523"/>
      <c r="T404" s="523"/>
      <c r="U404" s="523"/>
      <c r="V404" s="224"/>
      <c r="W404" s="224"/>
      <c r="X404" s="224"/>
      <c r="Y404" s="224"/>
      <c r="Z404" s="868"/>
      <c r="AA404" s="865"/>
      <c r="AB404" s="2"/>
      <c r="AC404" s="2"/>
      <c r="AD404" s="2"/>
      <c r="AE404" s="2"/>
      <c r="AF404" s="2"/>
      <c r="AG404" s="2"/>
      <c r="AH404" s="2"/>
      <c r="AI404" s="2"/>
      <c r="AJ404" s="2"/>
      <c r="AK404" s="2"/>
      <c r="AL404" s="2"/>
      <c r="AM404" s="2"/>
      <c r="AN404" s="2"/>
      <c r="AO404" s="9"/>
      <c r="AP404" s="9"/>
      <c r="AQ404" s="9"/>
      <c r="AR404" s="9"/>
    </row>
    <row r="405">
      <c r="A405" s="523"/>
      <c r="B405" s="523"/>
      <c r="C405" s="523"/>
      <c r="D405" s="523"/>
      <c r="E405" s="523"/>
      <c r="F405" s="523"/>
      <c r="G405" s="523"/>
      <c r="H405" s="523"/>
      <c r="I405" s="523"/>
      <c r="J405" s="523"/>
      <c r="K405" s="523"/>
      <c r="L405" s="523"/>
      <c r="M405" s="523"/>
      <c r="N405" s="523"/>
      <c r="O405" s="523"/>
      <c r="P405" s="523"/>
      <c r="Q405" s="523"/>
      <c r="R405" s="523"/>
      <c r="S405" s="523"/>
      <c r="T405" s="523"/>
      <c r="U405" s="523"/>
      <c r="V405" s="224"/>
      <c r="W405" s="224"/>
      <c r="X405" s="224"/>
      <c r="Y405" s="224"/>
      <c r="Z405" s="868"/>
      <c r="AA405" s="865"/>
      <c r="AB405" s="2"/>
      <c r="AC405" s="2"/>
      <c r="AD405" s="2"/>
      <c r="AE405" s="2"/>
      <c r="AF405" s="2"/>
      <c r="AG405" s="2"/>
      <c r="AH405" s="2"/>
      <c r="AI405" s="2"/>
      <c r="AJ405" s="2"/>
      <c r="AK405" s="2"/>
      <c r="AL405" s="2"/>
      <c r="AM405" s="2"/>
      <c r="AN405" s="2"/>
      <c r="AO405" s="9"/>
      <c r="AP405" s="9"/>
      <c r="AQ405" s="9"/>
      <c r="AR405" s="9"/>
    </row>
    <row r="406">
      <c r="A406" s="523"/>
      <c r="B406" s="523"/>
      <c r="C406" s="523"/>
      <c r="D406" s="523"/>
      <c r="E406" s="523"/>
      <c r="F406" s="523"/>
      <c r="G406" s="523"/>
      <c r="H406" s="523"/>
      <c r="I406" s="523"/>
      <c r="J406" s="523"/>
      <c r="K406" s="523"/>
      <c r="L406" s="523"/>
      <c r="M406" s="523"/>
      <c r="N406" s="523"/>
      <c r="O406" s="523"/>
      <c r="P406" s="523"/>
      <c r="Q406" s="523"/>
      <c r="R406" s="523"/>
      <c r="S406" s="523"/>
      <c r="T406" s="523"/>
      <c r="U406" s="523"/>
      <c r="V406" s="224"/>
      <c r="W406" s="224"/>
      <c r="X406" s="224"/>
      <c r="Y406" s="224"/>
      <c r="Z406" s="868"/>
      <c r="AA406" s="865"/>
      <c r="AB406" s="2"/>
      <c r="AC406" s="2"/>
      <c r="AD406" s="2"/>
      <c r="AE406" s="2"/>
      <c r="AF406" s="2"/>
      <c r="AG406" s="2"/>
      <c r="AH406" s="2"/>
      <c r="AI406" s="2"/>
      <c r="AJ406" s="2"/>
      <c r="AK406" s="2"/>
      <c r="AL406" s="2"/>
      <c r="AM406" s="2"/>
      <c r="AN406" s="2"/>
      <c r="AO406" s="9"/>
      <c r="AP406" s="9"/>
      <c r="AQ406" s="9"/>
      <c r="AR406" s="9"/>
    </row>
    <row r="407">
      <c r="A407" s="523"/>
      <c r="B407" s="523"/>
      <c r="C407" s="523"/>
      <c r="D407" s="523"/>
      <c r="E407" s="523"/>
      <c r="F407" s="523"/>
      <c r="G407" s="523"/>
      <c r="H407" s="523"/>
      <c r="I407" s="523"/>
      <c r="J407" s="523"/>
      <c r="K407" s="523"/>
      <c r="L407" s="523"/>
      <c r="M407" s="523"/>
      <c r="N407" s="523"/>
      <c r="O407" s="523"/>
      <c r="P407" s="523"/>
      <c r="Q407" s="523"/>
      <c r="R407" s="523"/>
      <c r="S407" s="523"/>
      <c r="T407" s="523"/>
      <c r="U407" s="523"/>
      <c r="V407" s="224"/>
      <c r="W407" s="224"/>
      <c r="X407" s="224"/>
      <c r="Y407" s="224"/>
      <c r="Z407" s="868"/>
      <c r="AA407" s="865"/>
      <c r="AB407" s="2"/>
      <c r="AC407" s="2"/>
      <c r="AD407" s="2"/>
      <c r="AE407" s="2"/>
      <c r="AF407" s="2"/>
      <c r="AG407" s="2"/>
      <c r="AH407" s="2"/>
      <c r="AI407" s="2"/>
      <c r="AJ407" s="2"/>
      <c r="AK407" s="2"/>
      <c r="AL407" s="2"/>
      <c r="AM407" s="2"/>
      <c r="AN407" s="2"/>
      <c r="AO407" s="9"/>
      <c r="AP407" s="9"/>
      <c r="AQ407" s="9"/>
      <c r="AR407" s="9"/>
    </row>
    <row r="408">
      <c r="A408" s="523"/>
      <c r="B408" s="523"/>
      <c r="C408" s="523"/>
      <c r="D408" s="523"/>
      <c r="E408" s="523"/>
      <c r="F408" s="523"/>
      <c r="G408" s="523"/>
      <c r="H408" s="523"/>
      <c r="I408" s="523"/>
      <c r="J408" s="523"/>
      <c r="K408" s="523"/>
      <c r="L408" s="523"/>
      <c r="M408" s="523"/>
      <c r="N408" s="523"/>
      <c r="O408" s="523"/>
      <c r="P408" s="523"/>
      <c r="Q408" s="523"/>
      <c r="R408" s="523"/>
      <c r="S408" s="523"/>
      <c r="T408" s="523"/>
      <c r="U408" s="523"/>
      <c r="V408" s="224"/>
      <c r="W408" s="224"/>
      <c r="X408" s="224"/>
      <c r="Y408" s="224"/>
      <c r="Z408" s="868"/>
      <c r="AA408" s="865"/>
      <c r="AB408" s="2"/>
      <c r="AC408" s="2"/>
      <c r="AD408" s="2"/>
      <c r="AE408" s="2"/>
      <c r="AF408" s="2"/>
      <c r="AG408" s="2"/>
      <c r="AH408" s="2"/>
      <c r="AI408" s="2"/>
      <c r="AJ408" s="2"/>
      <c r="AK408" s="2"/>
      <c r="AL408" s="2"/>
      <c r="AM408" s="2"/>
      <c r="AN408" s="2"/>
      <c r="AO408" s="9"/>
      <c r="AP408" s="9"/>
      <c r="AQ408" s="9"/>
      <c r="AR408" s="9"/>
    </row>
    <row r="409">
      <c r="A409" s="523"/>
      <c r="B409" s="523"/>
      <c r="C409" s="523"/>
      <c r="D409" s="523"/>
      <c r="E409" s="523"/>
      <c r="F409" s="523"/>
      <c r="G409" s="523"/>
      <c r="H409" s="523"/>
      <c r="I409" s="523"/>
      <c r="J409" s="523"/>
      <c r="K409" s="523"/>
      <c r="L409" s="523"/>
      <c r="M409" s="523"/>
      <c r="N409" s="523"/>
      <c r="O409" s="523"/>
      <c r="P409" s="523"/>
      <c r="Q409" s="523"/>
      <c r="R409" s="523"/>
      <c r="S409" s="523"/>
      <c r="T409" s="523"/>
      <c r="U409" s="523"/>
      <c r="V409" s="224"/>
      <c r="W409" s="224"/>
      <c r="X409" s="224"/>
      <c r="Y409" s="224"/>
      <c r="Z409" s="868"/>
      <c r="AA409" s="865"/>
      <c r="AB409" s="2"/>
      <c r="AC409" s="2"/>
      <c r="AD409" s="2"/>
      <c r="AE409" s="2"/>
      <c r="AF409" s="2"/>
      <c r="AG409" s="2"/>
      <c r="AH409" s="2"/>
      <c r="AI409" s="2"/>
      <c r="AJ409" s="2"/>
      <c r="AK409" s="2"/>
      <c r="AL409" s="2"/>
      <c r="AM409" s="2"/>
      <c r="AN409" s="2"/>
      <c r="AO409" s="9"/>
      <c r="AP409" s="9"/>
      <c r="AQ409" s="9"/>
      <c r="AR409" s="9"/>
    </row>
    <row r="410">
      <c r="A410" s="523"/>
      <c r="B410" s="523"/>
      <c r="C410" s="523"/>
      <c r="D410" s="523"/>
      <c r="E410" s="523"/>
      <c r="F410" s="523"/>
      <c r="G410" s="523"/>
      <c r="H410" s="523"/>
      <c r="I410" s="523"/>
      <c r="J410" s="523"/>
      <c r="K410" s="523"/>
      <c r="L410" s="523"/>
      <c r="M410" s="523"/>
      <c r="N410" s="523"/>
      <c r="O410" s="523"/>
      <c r="P410" s="523"/>
      <c r="Q410" s="523"/>
      <c r="R410" s="523"/>
      <c r="S410" s="523"/>
      <c r="T410" s="523"/>
      <c r="U410" s="523"/>
      <c r="V410" s="224"/>
      <c r="W410" s="224"/>
      <c r="X410" s="224"/>
      <c r="Y410" s="224"/>
      <c r="Z410" s="868"/>
      <c r="AA410" s="865"/>
      <c r="AB410" s="2"/>
      <c r="AC410" s="2"/>
      <c r="AD410" s="2"/>
      <c r="AE410" s="2"/>
      <c r="AF410" s="2"/>
      <c r="AG410" s="2"/>
      <c r="AH410" s="2"/>
      <c r="AI410" s="2"/>
      <c r="AJ410" s="2"/>
      <c r="AK410" s="2"/>
      <c r="AL410" s="2"/>
      <c r="AM410" s="2"/>
      <c r="AN410" s="2"/>
      <c r="AO410" s="9"/>
      <c r="AP410" s="9"/>
      <c r="AQ410" s="9"/>
      <c r="AR410" s="9"/>
    </row>
    <row r="411">
      <c r="A411" s="523"/>
      <c r="B411" s="523"/>
      <c r="C411" s="523"/>
      <c r="D411" s="523"/>
      <c r="E411" s="523"/>
      <c r="F411" s="523"/>
      <c r="G411" s="523"/>
      <c r="H411" s="523"/>
      <c r="I411" s="523"/>
      <c r="J411" s="523"/>
      <c r="K411" s="523"/>
      <c r="L411" s="523"/>
      <c r="M411" s="523"/>
      <c r="N411" s="523"/>
      <c r="O411" s="523"/>
      <c r="P411" s="523"/>
      <c r="Q411" s="523"/>
      <c r="R411" s="523"/>
      <c r="S411" s="523"/>
      <c r="T411" s="523"/>
      <c r="U411" s="523"/>
      <c r="V411" s="224"/>
      <c r="W411" s="224"/>
      <c r="X411" s="224"/>
      <c r="Y411" s="224"/>
      <c r="Z411" s="868"/>
      <c r="AA411" s="865"/>
      <c r="AB411" s="2"/>
      <c r="AC411" s="2"/>
      <c r="AD411" s="2"/>
      <c r="AE411" s="2"/>
      <c r="AF411" s="2"/>
      <c r="AG411" s="2"/>
      <c r="AH411" s="2"/>
      <c r="AI411" s="2"/>
      <c r="AJ411" s="2"/>
      <c r="AK411" s="2"/>
      <c r="AL411" s="2"/>
      <c r="AM411" s="2"/>
      <c r="AN411" s="2"/>
      <c r="AO411" s="9"/>
      <c r="AP411" s="9"/>
      <c r="AQ411" s="9"/>
      <c r="AR411" s="9"/>
    </row>
    <row r="412">
      <c r="A412" s="523"/>
      <c r="B412" s="523"/>
      <c r="C412" s="523"/>
      <c r="D412" s="523"/>
      <c r="E412" s="523"/>
      <c r="F412" s="523"/>
      <c r="G412" s="523"/>
      <c r="H412" s="523"/>
      <c r="I412" s="523"/>
      <c r="J412" s="523"/>
      <c r="K412" s="523"/>
      <c r="L412" s="523"/>
      <c r="M412" s="523"/>
      <c r="N412" s="523"/>
      <c r="O412" s="523"/>
      <c r="P412" s="523"/>
      <c r="Q412" s="523"/>
      <c r="R412" s="523"/>
      <c r="S412" s="523"/>
      <c r="T412" s="523"/>
      <c r="U412" s="523"/>
      <c r="V412" s="224"/>
      <c r="W412" s="224"/>
      <c r="X412" s="224"/>
      <c r="Y412" s="224"/>
      <c r="Z412" s="868"/>
      <c r="AA412" s="865"/>
      <c r="AB412" s="2"/>
      <c r="AC412" s="2"/>
      <c r="AD412" s="2"/>
      <c r="AE412" s="2"/>
      <c r="AF412" s="2"/>
      <c r="AG412" s="2"/>
      <c r="AH412" s="2"/>
      <c r="AI412" s="2"/>
      <c r="AJ412" s="2"/>
      <c r="AK412" s="2"/>
      <c r="AL412" s="2"/>
      <c r="AM412" s="2"/>
      <c r="AN412" s="2"/>
      <c r="AO412" s="9"/>
      <c r="AP412" s="9"/>
      <c r="AQ412" s="9"/>
      <c r="AR412" s="9"/>
    </row>
    <row r="413">
      <c r="A413" s="523"/>
      <c r="B413" s="523"/>
      <c r="C413" s="523"/>
      <c r="D413" s="523"/>
      <c r="E413" s="523"/>
      <c r="F413" s="523"/>
      <c r="G413" s="523"/>
      <c r="H413" s="523"/>
      <c r="I413" s="523"/>
      <c r="J413" s="523"/>
      <c r="K413" s="523"/>
      <c r="L413" s="523"/>
      <c r="M413" s="523"/>
      <c r="N413" s="523"/>
      <c r="O413" s="523"/>
      <c r="P413" s="523"/>
      <c r="Q413" s="523"/>
      <c r="R413" s="523"/>
      <c r="S413" s="523"/>
      <c r="T413" s="523"/>
      <c r="U413" s="523"/>
      <c r="V413" s="224"/>
      <c r="W413" s="224"/>
      <c r="X413" s="224"/>
      <c r="Y413" s="224"/>
      <c r="Z413" s="868"/>
      <c r="AA413" s="865"/>
      <c r="AB413" s="2"/>
      <c r="AC413" s="2"/>
      <c r="AD413" s="2"/>
      <c r="AE413" s="2"/>
      <c r="AF413" s="2"/>
      <c r="AG413" s="2"/>
      <c r="AH413" s="2"/>
      <c r="AI413" s="2"/>
      <c r="AJ413" s="2"/>
      <c r="AK413" s="2"/>
      <c r="AL413" s="2"/>
      <c r="AM413" s="2"/>
      <c r="AN413" s="2"/>
      <c r="AO413" s="9"/>
      <c r="AP413" s="9"/>
      <c r="AQ413" s="9"/>
      <c r="AR413" s="9"/>
    </row>
    <row r="414">
      <c r="A414" s="523"/>
      <c r="B414" s="523"/>
      <c r="C414" s="523"/>
      <c r="D414" s="523"/>
      <c r="E414" s="523"/>
      <c r="F414" s="523"/>
      <c r="G414" s="523"/>
      <c r="H414" s="523"/>
      <c r="I414" s="523"/>
      <c r="J414" s="523"/>
      <c r="K414" s="523"/>
      <c r="L414" s="523"/>
      <c r="M414" s="523"/>
      <c r="N414" s="523"/>
      <c r="O414" s="523"/>
      <c r="P414" s="523"/>
      <c r="Q414" s="523"/>
      <c r="R414" s="523"/>
      <c r="S414" s="523"/>
      <c r="T414" s="523"/>
      <c r="U414" s="523"/>
      <c r="V414" s="224"/>
      <c r="W414" s="224"/>
      <c r="X414" s="224"/>
      <c r="Y414" s="224"/>
      <c r="Z414" s="868"/>
      <c r="AA414" s="865"/>
      <c r="AB414" s="2"/>
      <c r="AC414" s="2"/>
      <c r="AD414" s="2"/>
      <c r="AE414" s="2"/>
      <c r="AF414" s="2"/>
      <c r="AG414" s="2"/>
      <c r="AH414" s="2"/>
      <c r="AI414" s="2"/>
      <c r="AJ414" s="2"/>
      <c r="AK414" s="2"/>
      <c r="AL414" s="2"/>
      <c r="AM414" s="2"/>
      <c r="AN414" s="2"/>
      <c r="AO414" s="9"/>
      <c r="AP414" s="9"/>
      <c r="AQ414" s="9"/>
      <c r="AR414" s="9"/>
    </row>
    <row r="415">
      <c r="A415" s="523"/>
      <c r="B415" s="523"/>
      <c r="C415" s="523"/>
      <c r="D415" s="523"/>
      <c r="E415" s="523"/>
      <c r="F415" s="523"/>
      <c r="G415" s="523"/>
      <c r="H415" s="523"/>
      <c r="I415" s="523"/>
      <c r="J415" s="523"/>
      <c r="K415" s="523"/>
      <c r="L415" s="523"/>
      <c r="M415" s="523"/>
      <c r="N415" s="523"/>
      <c r="O415" s="523"/>
      <c r="P415" s="523"/>
      <c r="Q415" s="523"/>
      <c r="R415" s="523"/>
      <c r="S415" s="523"/>
      <c r="T415" s="523"/>
      <c r="U415" s="523"/>
      <c r="V415" s="224"/>
      <c r="W415" s="224"/>
      <c r="X415" s="224"/>
      <c r="Y415" s="224"/>
      <c r="Z415" s="868"/>
      <c r="AA415" s="865"/>
      <c r="AB415" s="2"/>
      <c r="AC415" s="2"/>
      <c r="AD415" s="2"/>
      <c r="AE415" s="2"/>
      <c r="AF415" s="2"/>
      <c r="AG415" s="2"/>
      <c r="AH415" s="2"/>
      <c r="AI415" s="2"/>
      <c r="AJ415" s="2"/>
      <c r="AK415" s="2"/>
      <c r="AL415" s="2"/>
      <c r="AM415" s="2"/>
      <c r="AN415" s="2"/>
      <c r="AO415" s="9"/>
      <c r="AP415" s="9"/>
      <c r="AQ415" s="9"/>
      <c r="AR415" s="9"/>
    </row>
    <row r="416">
      <c r="A416" s="523"/>
      <c r="B416" s="523"/>
      <c r="C416" s="523"/>
      <c r="D416" s="523"/>
      <c r="E416" s="523"/>
      <c r="F416" s="523"/>
      <c r="G416" s="523"/>
      <c r="H416" s="523"/>
      <c r="I416" s="523"/>
      <c r="J416" s="523"/>
      <c r="K416" s="523"/>
      <c r="L416" s="523"/>
      <c r="M416" s="523"/>
      <c r="N416" s="523"/>
      <c r="O416" s="523"/>
      <c r="P416" s="523"/>
      <c r="Q416" s="523"/>
      <c r="R416" s="523"/>
      <c r="S416" s="523"/>
      <c r="T416" s="523"/>
      <c r="U416" s="523"/>
      <c r="V416" s="224"/>
      <c r="W416" s="224"/>
      <c r="X416" s="224"/>
      <c r="Y416" s="224"/>
      <c r="Z416" s="868"/>
      <c r="AA416" s="865"/>
      <c r="AB416" s="2"/>
      <c r="AC416" s="2"/>
      <c r="AD416" s="2"/>
      <c r="AE416" s="2"/>
      <c r="AF416" s="2"/>
      <c r="AG416" s="2"/>
      <c r="AH416" s="2"/>
      <c r="AI416" s="2"/>
      <c r="AJ416" s="2"/>
      <c r="AK416" s="2"/>
      <c r="AL416" s="2"/>
      <c r="AM416" s="2"/>
      <c r="AN416" s="2"/>
      <c r="AO416" s="9"/>
      <c r="AP416" s="9"/>
      <c r="AQ416" s="9"/>
      <c r="AR416" s="9"/>
    </row>
    <row r="417">
      <c r="A417" s="523"/>
      <c r="B417" s="523"/>
      <c r="C417" s="523"/>
      <c r="D417" s="523"/>
      <c r="E417" s="523"/>
      <c r="F417" s="523"/>
      <c r="G417" s="523"/>
      <c r="H417" s="523"/>
      <c r="I417" s="523"/>
      <c r="J417" s="523"/>
      <c r="K417" s="523"/>
      <c r="L417" s="523"/>
      <c r="M417" s="523"/>
      <c r="N417" s="523"/>
      <c r="O417" s="523"/>
      <c r="P417" s="523"/>
      <c r="Q417" s="523"/>
      <c r="R417" s="523"/>
      <c r="S417" s="523"/>
      <c r="T417" s="523"/>
      <c r="U417" s="523"/>
      <c r="V417" s="224"/>
      <c r="W417" s="224"/>
      <c r="X417" s="224"/>
      <c r="Y417" s="224"/>
      <c r="Z417" s="868"/>
      <c r="AA417" s="865"/>
      <c r="AB417" s="2"/>
      <c r="AC417" s="2"/>
      <c r="AD417" s="2"/>
      <c r="AE417" s="2"/>
      <c r="AF417" s="2"/>
      <c r="AG417" s="2"/>
      <c r="AH417" s="2"/>
      <c r="AI417" s="2"/>
      <c r="AJ417" s="2"/>
      <c r="AK417" s="2"/>
      <c r="AL417" s="2"/>
      <c r="AM417" s="2"/>
      <c r="AN417" s="2"/>
      <c r="AO417" s="9"/>
      <c r="AP417" s="9"/>
      <c r="AQ417" s="9"/>
      <c r="AR417" s="9"/>
    </row>
    <row r="418">
      <c r="A418" s="523"/>
      <c r="B418" s="523"/>
      <c r="C418" s="523"/>
      <c r="D418" s="523"/>
      <c r="E418" s="523"/>
      <c r="F418" s="523"/>
      <c r="G418" s="523"/>
      <c r="H418" s="523"/>
      <c r="I418" s="523"/>
      <c r="J418" s="523"/>
      <c r="K418" s="523"/>
      <c r="L418" s="523"/>
      <c r="M418" s="523"/>
      <c r="N418" s="523"/>
      <c r="O418" s="523"/>
      <c r="P418" s="523"/>
      <c r="Q418" s="523"/>
      <c r="R418" s="523"/>
      <c r="S418" s="523"/>
      <c r="T418" s="523"/>
      <c r="U418" s="523"/>
      <c r="V418" s="224"/>
      <c r="W418" s="224"/>
      <c r="X418" s="224"/>
      <c r="Y418" s="224"/>
      <c r="Z418" s="868"/>
      <c r="AA418" s="865"/>
      <c r="AB418" s="2"/>
      <c r="AC418" s="2"/>
      <c r="AD418" s="2"/>
      <c r="AE418" s="2"/>
      <c r="AF418" s="2"/>
      <c r="AG418" s="2"/>
      <c r="AH418" s="2"/>
      <c r="AI418" s="2"/>
      <c r="AJ418" s="2"/>
      <c r="AK418" s="2"/>
      <c r="AL418" s="2"/>
      <c r="AM418" s="2"/>
      <c r="AN418" s="2"/>
      <c r="AO418" s="9"/>
      <c r="AP418" s="9"/>
      <c r="AQ418" s="9"/>
      <c r="AR418" s="9"/>
    </row>
    <row r="419">
      <c r="A419" s="523"/>
      <c r="B419" s="523"/>
      <c r="C419" s="523"/>
      <c r="D419" s="523"/>
      <c r="E419" s="523"/>
      <c r="F419" s="523"/>
      <c r="G419" s="523"/>
      <c r="H419" s="523"/>
      <c r="I419" s="523"/>
      <c r="J419" s="523"/>
      <c r="K419" s="523"/>
      <c r="L419" s="523"/>
      <c r="M419" s="523"/>
      <c r="N419" s="523"/>
      <c r="O419" s="523"/>
      <c r="P419" s="523"/>
      <c r="Q419" s="523"/>
      <c r="R419" s="523"/>
      <c r="S419" s="523"/>
      <c r="T419" s="523"/>
      <c r="U419" s="523"/>
      <c r="V419" s="224"/>
      <c r="W419" s="224"/>
      <c r="X419" s="224"/>
      <c r="Y419" s="224"/>
      <c r="Z419" s="868"/>
      <c r="AA419" s="865"/>
      <c r="AB419" s="2"/>
      <c r="AC419" s="2"/>
      <c r="AD419" s="2"/>
      <c r="AE419" s="2"/>
      <c r="AF419" s="2"/>
      <c r="AG419" s="2"/>
      <c r="AH419" s="2"/>
      <c r="AI419" s="2"/>
      <c r="AJ419" s="2"/>
      <c r="AK419" s="2"/>
      <c r="AL419" s="2"/>
      <c r="AM419" s="2"/>
      <c r="AN419" s="2"/>
      <c r="AO419" s="9"/>
      <c r="AP419" s="9"/>
      <c r="AQ419" s="9"/>
      <c r="AR419" s="9"/>
    </row>
    <row r="420">
      <c r="A420" s="523"/>
      <c r="B420" s="523"/>
      <c r="C420" s="523"/>
      <c r="D420" s="523"/>
      <c r="E420" s="523"/>
      <c r="F420" s="523"/>
      <c r="G420" s="523"/>
      <c r="H420" s="523"/>
      <c r="I420" s="523"/>
      <c r="J420" s="523"/>
      <c r="K420" s="523"/>
      <c r="L420" s="523"/>
      <c r="M420" s="523"/>
      <c r="N420" s="523"/>
      <c r="O420" s="523"/>
      <c r="P420" s="523"/>
      <c r="Q420" s="523"/>
      <c r="R420" s="523"/>
      <c r="S420" s="523"/>
      <c r="T420" s="523"/>
      <c r="U420" s="523"/>
      <c r="V420" s="224"/>
      <c r="W420" s="224"/>
      <c r="X420" s="224"/>
      <c r="Y420" s="224"/>
      <c r="Z420" s="868"/>
      <c r="AA420" s="865"/>
      <c r="AB420" s="2"/>
      <c r="AC420" s="2"/>
      <c r="AD420" s="2"/>
      <c r="AE420" s="2"/>
      <c r="AF420" s="2"/>
      <c r="AG420" s="2"/>
      <c r="AH420" s="2"/>
      <c r="AI420" s="2"/>
      <c r="AJ420" s="2"/>
      <c r="AK420" s="2"/>
      <c r="AL420" s="2"/>
      <c r="AM420" s="2"/>
      <c r="AN420" s="2"/>
      <c r="AO420" s="9"/>
      <c r="AP420" s="9"/>
      <c r="AQ420" s="9"/>
      <c r="AR420" s="9"/>
    </row>
    <row r="421">
      <c r="A421" s="523"/>
      <c r="B421" s="523"/>
      <c r="C421" s="523"/>
      <c r="D421" s="523"/>
      <c r="E421" s="523"/>
      <c r="F421" s="523"/>
      <c r="G421" s="523"/>
      <c r="H421" s="523"/>
      <c r="I421" s="523"/>
      <c r="J421" s="523"/>
      <c r="K421" s="523"/>
      <c r="L421" s="523"/>
      <c r="M421" s="523"/>
      <c r="N421" s="523"/>
      <c r="O421" s="523"/>
      <c r="P421" s="523"/>
      <c r="Q421" s="523"/>
      <c r="R421" s="523"/>
      <c r="S421" s="523"/>
      <c r="T421" s="523"/>
      <c r="U421" s="523"/>
      <c r="V421" s="224"/>
      <c r="W421" s="224"/>
      <c r="X421" s="224"/>
      <c r="Y421" s="224"/>
      <c r="Z421" s="868"/>
      <c r="AA421" s="865"/>
      <c r="AB421" s="2"/>
      <c r="AC421" s="2"/>
      <c r="AD421" s="2"/>
      <c r="AE421" s="2"/>
      <c r="AF421" s="2"/>
      <c r="AG421" s="2"/>
      <c r="AH421" s="2"/>
      <c r="AI421" s="2"/>
      <c r="AJ421" s="2"/>
      <c r="AK421" s="2"/>
      <c r="AL421" s="2"/>
      <c r="AM421" s="2"/>
      <c r="AN421" s="2"/>
      <c r="AO421" s="9"/>
      <c r="AP421" s="9"/>
      <c r="AQ421" s="9"/>
      <c r="AR421" s="9"/>
    </row>
    <row r="422">
      <c r="A422" s="523"/>
      <c r="B422" s="523"/>
      <c r="C422" s="523"/>
      <c r="D422" s="523"/>
      <c r="E422" s="523"/>
      <c r="F422" s="523"/>
      <c r="G422" s="523"/>
      <c r="H422" s="523"/>
      <c r="I422" s="523"/>
      <c r="J422" s="523"/>
      <c r="K422" s="523"/>
      <c r="L422" s="523"/>
      <c r="M422" s="523"/>
      <c r="N422" s="523"/>
      <c r="O422" s="523"/>
      <c r="P422" s="523"/>
      <c r="Q422" s="523"/>
      <c r="R422" s="523"/>
      <c r="S422" s="523"/>
      <c r="T422" s="523"/>
      <c r="U422" s="523"/>
      <c r="V422" s="224"/>
      <c r="W422" s="224"/>
      <c r="X422" s="224"/>
      <c r="Y422" s="224"/>
      <c r="Z422" s="868"/>
      <c r="AA422" s="865"/>
      <c r="AB422" s="2"/>
      <c r="AC422" s="2"/>
      <c r="AD422" s="2"/>
      <c r="AE422" s="2"/>
      <c r="AF422" s="2"/>
      <c r="AG422" s="2"/>
      <c r="AH422" s="2"/>
      <c r="AI422" s="2"/>
      <c r="AJ422" s="2"/>
      <c r="AK422" s="2"/>
      <c r="AL422" s="2"/>
      <c r="AM422" s="2"/>
      <c r="AN422" s="2"/>
      <c r="AO422" s="9"/>
      <c r="AP422" s="9"/>
      <c r="AQ422" s="9"/>
      <c r="AR422" s="9"/>
    </row>
    <row r="423">
      <c r="A423" s="523"/>
      <c r="B423" s="523"/>
      <c r="C423" s="523"/>
      <c r="D423" s="523"/>
      <c r="E423" s="523"/>
      <c r="F423" s="523"/>
      <c r="G423" s="523"/>
      <c r="H423" s="523"/>
      <c r="I423" s="523"/>
      <c r="J423" s="523"/>
      <c r="K423" s="523"/>
      <c r="L423" s="523"/>
      <c r="M423" s="523"/>
      <c r="N423" s="523"/>
      <c r="O423" s="523"/>
      <c r="P423" s="523"/>
      <c r="Q423" s="523"/>
      <c r="R423" s="523"/>
      <c r="S423" s="523"/>
      <c r="T423" s="523"/>
      <c r="U423" s="523"/>
      <c r="V423" s="224"/>
      <c r="W423" s="224"/>
      <c r="X423" s="224"/>
      <c r="Y423" s="224"/>
      <c r="Z423" s="868"/>
      <c r="AA423" s="865"/>
      <c r="AB423" s="2"/>
      <c r="AC423" s="2"/>
      <c r="AD423" s="2"/>
      <c r="AE423" s="2"/>
      <c r="AF423" s="2"/>
      <c r="AG423" s="2"/>
      <c r="AH423" s="2"/>
      <c r="AI423" s="2"/>
      <c r="AJ423" s="2"/>
      <c r="AK423" s="2"/>
      <c r="AL423" s="2"/>
      <c r="AM423" s="2"/>
      <c r="AN423" s="2"/>
      <c r="AO423" s="9"/>
      <c r="AP423" s="9"/>
      <c r="AQ423" s="9"/>
      <c r="AR423" s="9"/>
    </row>
    <row r="424">
      <c r="A424" s="523"/>
      <c r="B424" s="523"/>
      <c r="C424" s="523"/>
      <c r="D424" s="523"/>
      <c r="E424" s="523"/>
      <c r="F424" s="523"/>
      <c r="G424" s="523"/>
      <c r="H424" s="523"/>
      <c r="I424" s="523"/>
      <c r="J424" s="523"/>
      <c r="K424" s="523"/>
      <c r="L424" s="523"/>
      <c r="M424" s="523"/>
      <c r="N424" s="523"/>
      <c r="O424" s="523"/>
      <c r="P424" s="523"/>
      <c r="Q424" s="523"/>
      <c r="R424" s="523"/>
      <c r="S424" s="523"/>
      <c r="T424" s="523"/>
      <c r="U424" s="523"/>
      <c r="V424" s="224"/>
      <c r="W424" s="224"/>
      <c r="X424" s="224"/>
      <c r="Y424" s="224"/>
      <c r="Z424" s="868"/>
      <c r="AA424" s="865"/>
      <c r="AB424" s="2"/>
      <c r="AC424" s="2"/>
      <c r="AD424" s="2"/>
      <c r="AE424" s="2"/>
      <c r="AF424" s="2"/>
      <c r="AG424" s="2"/>
      <c r="AH424" s="2"/>
      <c r="AI424" s="2"/>
      <c r="AJ424" s="2"/>
      <c r="AK424" s="2"/>
      <c r="AL424" s="2"/>
      <c r="AM424" s="2"/>
      <c r="AN424" s="2"/>
      <c r="AO424" s="9"/>
      <c r="AP424" s="9"/>
      <c r="AQ424" s="9"/>
      <c r="AR424" s="9"/>
    </row>
    <row r="425">
      <c r="A425" s="523"/>
      <c r="B425" s="523"/>
      <c r="C425" s="523"/>
      <c r="D425" s="523"/>
      <c r="E425" s="523"/>
      <c r="F425" s="523"/>
      <c r="G425" s="523"/>
      <c r="H425" s="523"/>
      <c r="I425" s="523"/>
      <c r="J425" s="523"/>
      <c r="K425" s="523"/>
      <c r="L425" s="523"/>
      <c r="M425" s="523"/>
      <c r="N425" s="523"/>
      <c r="O425" s="523"/>
      <c r="P425" s="523"/>
      <c r="Q425" s="523"/>
      <c r="R425" s="523"/>
      <c r="S425" s="523"/>
      <c r="T425" s="523"/>
      <c r="U425" s="523"/>
      <c r="V425" s="224"/>
      <c r="W425" s="224"/>
      <c r="X425" s="224"/>
      <c r="Y425" s="224"/>
      <c r="Z425" s="868"/>
      <c r="AA425" s="865"/>
      <c r="AB425" s="2"/>
      <c r="AC425" s="2"/>
      <c r="AD425" s="2"/>
      <c r="AE425" s="2"/>
      <c r="AF425" s="2"/>
      <c r="AG425" s="2"/>
      <c r="AH425" s="2"/>
      <c r="AI425" s="2"/>
      <c r="AJ425" s="2"/>
      <c r="AK425" s="2"/>
      <c r="AL425" s="2"/>
      <c r="AM425" s="2"/>
      <c r="AN425" s="2"/>
      <c r="AO425" s="9"/>
      <c r="AP425" s="9"/>
      <c r="AQ425" s="9"/>
      <c r="AR425" s="9"/>
    </row>
    <row r="426">
      <c r="A426" s="523"/>
      <c r="B426" s="523"/>
      <c r="C426" s="523"/>
      <c r="D426" s="523"/>
      <c r="E426" s="523"/>
      <c r="F426" s="523"/>
      <c r="G426" s="523"/>
      <c r="H426" s="523"/>
      <c r="I426" s="523"/>
      <c r="J426" s="523"/>
      <c r="K426" s="523"/>
      <c r="L426" s="523"/>
      <c r="M426" s="523"/>
      <c r="N426" s="523"/>
      <c r="O426" s="523"/>
      <c r="P426" s="523"/>
      <c r="Q426" s="523"/>
      <c r="R426" s="523"/>
      <c r="S426" s="523"/>
      <c r="T426" s="523"/>
      <c r="U426" s="523"/>
      <c r="V426" s="224"/>
      <c r="W426" s="224"/>
      <c r="X426" s="224"/>
      <c r="Y426" s="224"/>
      <c r="Z426" s="868"/>
      <c r="AA426" s="865"/>
      <c r="AB426" s="2"/>
      <c r="AC426" s="2"/>
      <c r="AD426" s="2"/>
      <c r="AE426" s="2"/>
      <c r="AF426" s="2"/>
      <c r="AG426" s="2"/>
      <c r="AH426" s="2"/>
      <c r="AI426" s="2"/>
      <c r="AJ426" s="2"/>
      <c r="AK426" s="2"/>
      <c r="AL426" s="2"/>
      <c r="AM426" s="2"/>
      <c r="AN426" s="2"/>
      <c r="AO426" s="9"/>
      <c r="AP426" s="9"/>
      <c r="AQ426" s="9"/>
      <c r="AR426" s="9"/>
    </row>
    <row r="427">
      <c r="A427" s="523"/>
      <c r="B427" s="523"/>
      <c r="C427" s="523"/>
      <c r="D427" s="523"/>
      <c r="E427" s="523"/>
      <c r="F427" s="523"/>
      <c r="G427" s="523"/>
      <c r="H427" s="523"/>
      <c r="I427" s="523"/>
      <c r="J427" s="523"/>
      <c r="K427" s="523"/>
      <c r="L427" s="523"/>
      <c r="M427" s="523"/>
      <c r="N427" s="523"/>
      <c r="O427" s="523"/>
      <c r="P427" s="523"/>
      <c r="Q427" s="523"/>
      <c r="R427" s="523"/>
      <c r="S427" s="523"/>
      <c r="T427" s="523"/>
      <c r="U427" s="523"/>
      <c r="V427" s="224"/>
      <c r="W427" s="224"/>
      <c r="X427" s="224"/>
      <c r="Y427" s="224"/>
      <c r="Z427" s="868"/>
      <c r="AA427" s="865"/>
      <c r="AB427" s="2"/>
      <c r="AC427" s="2"/>
      <c r="AD427" s="2"/>
      <c r="AE427" s="2"/>
      <c r="AF427" s="2"/>
      <c r="AG427" s="2"/>
      <c r="AH427" s="2"/>
      <c r="AI427" s="2"/>
      <c r="AJ427" s="2"/>
      <c r="AK427" s="2"/>
      <c r="AL427" s="2"/>
      <c r="AM427" s="2"/>
      <c r="AN427" s="2"/>
      <c r="AO427" s="9"/>
      <c r="AP427" s="9"/>
      <c r="AQ427" s="9"/>
      <c r="AR427" s="9"/>
    </row>
    <row r="428">
      <c r="A428" s="523"/>
      <c r="B428" s="523"/>
      <c r="C428" s="523"/>
      <c r="D428" s="523"/>
      <c r="E428" s="523"/>
      <c r="F428" s="523"/>
      <c r="G428" s="523"/>
      <c r="H428" s="523"/>
      <c r="I428" s="523"/>
      <c r="J428" s="523"/>
      <c r="K428" s="523"/>
      <c r="L428" s="523"/>
      <c r="M428" s="523"/>
      <c r="N428" s="523"/>
      <c r="O428" s="523"/>
      <c r="P428" s="523"/>
      <c r="Q428" s="523"/>
      <c r="R428" s="523"/>
      <c r="S428" s="523"/>
      <c r="T428" s="523"/>
      <c r="U428" s="523"/>
      <c r="V428" s="224"/>
      <c r="W428" s="224"/>
      <c r="X428" s="224"/>
      <c r="Y428" s="224"/>
      <c r="Z428" s="868"/>
      <c r="AA428" s="865"/>
      <c r="AB428" s="2"/>
      <c r="AC428" s="2"/>
      <c r="AD428" s="2"/>
      <c r="AE428" s="2"/>
      <c r="AF428" s="2"/>
      <c r="AG428" s="2"/>
      <c r="AH428" s="2"/>
      <c r="AI428" s="2"/>
      <c r="AJ428" s="2"/>
      <c r="AK428" s="2"/>
      <c r="AL428" s="2"/>
      <c r="AM428" s="2"/>
      <c r="AN428" s="2"/>
      <c r="AO428" s="9"/>
      <c r="AP428" s="9"/>
      <c r="AQ428" s="9"/>
      <c r="AR428" s="9"/>
    </row>
    <row r="429">
      <c r="A429" s="523"/>
      <c r="B429" s="523"/>
      <c r="C429" s="523"/>
      <c r="D429" s="523"/>
      <c r="E429" s="523"/>
      <c r="F429" s="523"/>
      <c r="G429" s="523"/>
      <c r="H429" s="523"/>
      <c r="I429" s="523"/>
      <c r="J429" s="523"/>
      <c r="K429" s="523"/>
      <c r="L429" s="523"/>
      <c r="M429" s="523"/>
      <c r="N429" s="523"/>
      <c r="O429" s="523"/>
      <c r="P429" s="523"/>
      <c r="Q429" s="523"/>
      <c r="R429" s="523"/>
      <c r="S429" s="523"/>
      <c r="T429" s="523"/>
      <c r="U429" s="523"/>
      <c r="V429" s="224"/>
      <c r="W429" s="224"/>
      <c r="X429" s="224"/>
      <c r="Y429" s="224"/>
      <c r="Z429" s="868"/>
      <c r="AA429" s="865"/>
      <c r="AB429" s="2"/>
      <c r="AC429" s="2"/>
      <c r="AD429" s="2"/>
      <c r="AE429" s="2"/>
      <c r="AF429" s="2"/>
      <c r="AG429" s="2"/>
      <c r="AH429" s="2"/>
      <c r="AI429" s="2"/>
      <c r="AJ429" s="2"/>
      <c r="AK429" s="2"/>
      <c r="AL429" s="2"/>
      <c r="AM429" s="2"/>
      <c r="AN429" s="2"/>
      <c r="AO429" s="9"/>
      <c r="AP429" s="9"/>
      <c r="AQ429" s="9"/>
      <c r="AR429" s="9"/>
    </row>
    <row r="430">
      <c r="A430" s="523"/>
      <c r="B430" s="523"/>
      <c r="C430" s="523"/>
      <c r="D430" s="523"/>
      <c r="E430" s="523"/>
      <c r="F430" s="523"/>
      <c r="G430" s="523"/>
      <c r="H430" s="523"/>
      <c r="I430" s="523"/>
      <c r="J430" s="523"/>
      <c r="K430" s="523"/>
      <c r="L430" s="523"/>
      <c r="M430" s="523"/>
      <c r="N430" s="523"/>
      <c r="O430" s="523"/>
      <c r="P430" s="523"/>
      <c r="Q430" s="523"/>
      <c r="R430" s="523"/>
      <c r="S430" s="523"/>
      <c r="T430" s="523"/>
      <c r="U430" s="523"/>
      <c r="V430" s="224"/>
      <c r="W430" s="224"/>
      <c r="X430" s="224"/>
      <c r="Y430" s="224"/>
      <c r="Z430" s="868"/>
      <c r="AA430" s="865"/>
      <c r="AB430" s="2"/>
      <c r="AC430" s="2"/>
      <c r="AD430" s="2"/>
      <c r="AE430" s="2"/>
      <c r="AF430" s="2"/>
      <c r="AG430" s="2"/>
      <c r="AH430" s="2"/>
      <c r="AI430" s="2"/>
      <c r="AJ430" s="2"/>
      <c r="AK430" s="2"/>
      <c r="AL430" s="2"/>
      <c r="AM430" s="2"/>
      <c r="AN430" s="2"/>
      <c r="AO430" s="9"/>
      <c r="AP430" s="9"/>
      <c r="AQ430" s="9"/>
      <c r="AR430" s="9"/>
    </row>
    <row r="431">
      <c r="A431" s="523"/>
      <c r="B431" s="523"/>
      <c r="C431" s="523"/>
      <c r="D431" s="523"/>
      <c r="E431" s="523"/>
      <c r="F431" s="523"/>
      <c r="G431" s="523"/>
      <c r="H431" s="523"/>
      <c r="I431" s="523"/>
      <c r="J431" s="523"/>
      <c r="K431" s="523"/>
      <c r="L431" s="523"/>
      <c r="M431" s="523"/>
      <c r="N431" s="523"/>
      <c r="O431" s="523"/>
      <c r="P431" s="523"/>
      <c r="Q431" s="523"/>
      <c r="R431" s="523"/>
      <c r="S431" s="523"/>
      <c r="T431" s="523"/>
      <c r="U431" s="523"/>
      <c r="V431" s="224"/>
      <c r="W431" s="224"/>
      <c r="X431" s="224"/>
      <c r="Y431" s="224"/>
      <c r="Z431" s="868"/>
      <c r="AA431" s="865"/>
      <c r="AB431" s="2"/>
      <c r="AC431" s="2"/>
      <c r="AD431" s="2"/>
      <c r="AE431" s="2"/>
      <c r="AF431" s="2"/>
      <c r="AG431" s="2"/>
      <c r="AH431" s="2"/>
      <c r="AI431" s="2"/>
      <c r="AJ431" s="2"/>
      <c r="AK431" s="2"/>
      <c r="AL431" s="2"/>
      <c r="AM431" s="2"/>
      <c r="AN431" s="2"/>
      <c r="AO431" s="9"/>
      <c r="AP431" s="9"/>
      <c r="AQ431" s="9"/>
      <c r="AR431" s="9"/>
    </row>
    <row r="432">
      <c r="A432" s="523"/>
      <c r="B432" s="523"/>
      <c r="C432" s="523"/>
      <c r="D432" s="523"/>
      <c r="E432" s="523"/>
      <c r="F432" s="523"/>
      <c r="G432" s="523"/>
      <c r="H432" s="523"/>
      <c r="I432" s="523"/>
      <c r="J432" s="523"/>
      <c r="K432" s="523"/>
      <c r="L432" s="523"/>
      <c r="M432" s="523"/>
      <c r="N432" s="523"/>
      <c r="O432" s="523"/>
      <c r="P432" s="523"/>
      <c r="Q432" s="523"/>
      <c r="R432" s="523"/>
      <c r="S432" s="523"/>
      <c r="T432" s="523"/>
      <c r="U432" s="523"/>
      <c r="V432" s="224"/>
      <c r="W432" s="224"/>
      <c r="X432" s="224"/>
      <c r="Y432" s="224"/>
      <c r="Z432" s="868"/>
      <c r="AA432" s="865"/>
      <c r="AB432" s="2"/>
      <c r="AC432" s="2"/>
      <c r="AD432" s="2"/>
      <c r="AE432" s="2"/>
      <c r="AF432" s="2"/>
      <c r="AG432" s="2"/>
      <c r="AH432" s="2"/>
      <c r="AI432" s="2"/>
      <c r="AJ432" s="2"/>
      <c r="AK432" s="2"/>
      <c r="AL432" s="2"/>
      <c r="AM432" s="2"/>
      <c r="AN432" s="2"/>
      <c r="AO432" s="9"/>
      <c r="AP432" s="9"/>
      <c r="AQ432" s="9"/>
      <c r="AR432" s="9"/>
    </row>
    <row r="433">
      <c r="A433" s="523"/>
      <c r="B433" s="523"/>
      <c r="C433" s="523"/>
      <c r="D433" s="523"/>
      <c r="E433" s="523"/>
      <c r="F433" s="523"/>
      <c r="G433" s="523"/>
      <c r="H433" s="523"/>
      <c r="I433" s="523"/>
      <c r="J433" s="523"/>
      <c r="K433" s="523"/>
      <c r="L433" s="523"/>
      <c r="M433" s="523"/>
      <c r="N433" s="523"/>
      <c r="O433" s="523"/>
      <c r="P433" s="523"/>
      <c r="Q433" s="523"/>
      <c r="R433" s="523"/>
      <c r="S433" s="523"/>
      <c r="T433" s="523"/>
      <c r="U433" s="523"/>
      <c r="V433" s="224"/>
      <c r="W433" s="224"/>
      <c r="X433" s="224"/>
      <c r="Y433" s="224"/>
      <c r="Z433" s="868"/>
      <c r="AA433" s="865"/>
      <c r="AB433" s="2"/>
      <c r="AC433" s="2"/>
      <c r="AD433" s="2"/>
      <c r="AE433" s="2"/>
      <c r="AF433" s="2"/>
      <c r="AG433" s="2"/>
      <c r="AH433" s="2"/>
      <c r="AI433" s="2"/>
      <c r="AJ433" s="2"/>
      <c r="AK433" s="2"/>
      <c r="AL433" s="2"/>
      <c r="AM433" s="2"/>
      <c r="AN433" s="2"/>
      <c r="AO433" s="9"/>
      <c r="AP433" s="9"/>
      <c r="AQ433" s="9"/>
      <c r="AR433" s="9"/>
    </row>
    <row r="434">
      <c r="A434" s="523"/>
      <c r="B434" s="523"/>
      <c r="C434" s="523"/>
      <c r="D434" s="523"/>
      <c r="E434" s="523"/>
      <c r="F434" s="523"/>
      <c r="G434" s="523"/>
      <c r="H434" s="523"/>
      <c r="I434" s="523"/>
      <c r="J434" s="523"/>
      <c r="K434" s="523"/>
      <c r="L434" s="523"/>
      <c r="M434" s="523"/>
      <c r="N434" s="523"/>
      <c r="O434" s="523"/>
      <c r="P434" s="523"/>
      <c r="Q434" s="523"/>
      <c r="R434" s="523"/>
      <c r="S434" s="523"/>
      <c r="T434" s="523"/>
      <c r="U434" s="523"/>
      <c r="V434" s="224"/>
      <c r="W434" s="224"/>
      <c r="X434" s="224"/>
      <c r="Y434" s="224"/>
      <c r="Z434" s="868"/>
      <c r="AA434" s="865"/>
      <c r="AB434" s="2"/>
      <c r="AC434" s="2"/>
      <c r="AD434" s="2"/>
      <c r="AE434" s="2"/>
      <c r="AF434" s="2"/>
      <c r="AG434" s="2"/>
      <c r="AH434" s="2"/>
      <c r="AI434" s="2"/>
      <c r="AJ434" s="2"/>
      <c r="AK434" s="2"/>
      <c r="AL434" s="2"/>
      <c r="AM434" s="2"/>
      <c r="AN434" s="2"/>
      <c r="AO434" s="9"/>
      <c r="AP434" s="9"/>
      <c r="AQ434" s="9"/>
      <c r="AR434" s="9"/>
    </row>
    <row r="435">
      <c r="A435" s="523"/>
      <c r="B435" s="523"/>
      <c r="C435" s="523"/>
      <c r="D435" s="523"/>
      <c r="E435" s="523"/>
      <c r="F435" s="523"/>
      <c r="G435" s="523"/>
      <c r="H435" s="523"/>
      <c r="I435" s="523"/>
      <c r="J435" s="523"/>
      <c r="K435" s="523"/>
      <c r="L435" s="523"/>
      <c r="M435" s="523"/>
      <c r="N435" s="523"/>
      <c r="O435" s="523"/>
      <c r="P435" s="523"/>
      <c r="Q435" s="523"/>
      <c r="R435" s="523"/>
      <c r="S435" s="523"/>
      <c r="T435" s="523"/>
      <c r="U435" s="523"/>
      <c r="V435" s="224"/>
      <c r="W435" s="224"/>
      <c r="X435" s="224"/>
      <c r="Y435" s="224"/>
      <c r="Z435" s="868"/>
      <c r="AA435" s="865"/>
      <c r="AB435" s="2"/>
      <c r="AC435" s="2"/>
      <c r="AD435" s="2"/>
      <c r="AE435" s="2"/>
      <c r="AF435" s="2"/>
      <c r="AG435" s="2"/>
      <c r="AH435" s="2"/>
      <c r="AI435" s="2"/>
      <c r="AJ435" s="2"/>
      <c r="AK435" s="2"/>
      <c r="AL435" s="2"/>
      <c r="AM435" s="2"/>
      <c r="AN435" s="2"/>
      <c r="AO435" s="9"/>
      <c r="AP435" s="9"/>
      <c r="AQ435" s="9"/>
      <c r="AR435" s="9"/>
    </row>
    <row r="436">
      <c r="A436" s="523"/>
      <c r="B436" s="523"/>
      <c r="C436" s="523"/>
      <c r="D436" s="523"/>
      <c r="E436" s="523"/>
      <c r="F436" s="523"/>
      <c r="G436" s="523"/>
      <c r="H436" s="523"/>
      <c r="I436" s="523"/>
      <c r="J436" s="523"/>
      <c r="K436" s="523"/>
      <c r="L436" s="523"/>
      <c r="M436" s="523"/>
      <c r="N436" s="523"/>
      <c r="O436" s="523"/>
      <c r="P436" s="523"/>
      <c r="Q436" s="523"/>
      <c r="R436" s="523"/>
      <c r="S436" s="523"/>
      <c r="T436" s="523"/>
      <c r="U436" s="523"/>
      <c r="V436" s="224"/>
      <c r="W436" s="224"/>
      <c r="X436" s="224"/>
      <c r="Y436" s="224"/>
      <c r="Z436" s="868"/>
      <c r="AA436" s="865"/>
      <c r="AB436" s="2"/>
      <c r="AC436" s="2"/>
      <c r="AD436" s="2"/>
      <c r="AE436" s="2"/>
      <c r="AF436" s="2"/>
      <c r="AG436" s="2"/>
      <c r="AH436" s="2"/>
      <c r="AI436" s="2"/>
      <c r="AJ436" s="2"/>
      <c r="AK436" s="2"/>
      <c r="AL436" s="2"/>
      <c r="AM436" s="2"/>
      <c r="AN436" s="2"/>
      <c r="AO436" s="9"/>
      <c r="AP436" s="9"/>
      <c r="AQ436" s="9"/>
      <c r="AR436" s="9"/>
    </row>
    <row r="437">
      <c r="A437" s="523"/>
      <c r="B437" s="523"/>
      <c r="C437" s="523"/>
      <c r="D437" s="523"/>
      <c r="E437" s="523"/>
      <c r="F437" s="523"/>
      <c r="G437" s="523"/>
      <c r="H437" s="523"/>
      <c r="I437" s="523"/>
      <c r="J437" s="523"/>
      <c r="K437" s="523"/>
      <c r="L437" s="523"/>
      <c r="M437" s="523"/>
      <c r="N437" s="523"/>
      <c r="O437" s="523"/>
      <c r="P437" s="523"/>
      <c r="Q437" s="523"/>
      <c r="R437" s="523"/>
      <c r="S437" s="523"/>
      <c r="T437" s="523"/>
      <c r="U437" s="523"/>
      <c r="V437" s="224"/>
      <c r="W437" s="224"/>
      <c r="X437" s="224"/>
      <c r="Y437" s="224"/>
      <c r="Z437" s="868"/>
      <c r="AA437" s="865"/>
      <c r="AB437" s="2"/>
      <c r="AC437" s="2"/>
      <c r="AD437" s="2"/>
      <c r="AE437" s="2"/>
      <c r="AF437" s="2"/>
      <c r="AG437" s="2"/>
      <c r="AH437" s="2"/>
      <c r="AI437" s="2"/>
      <c r="AJ437" s="2"/>
      <c r="AK437" s="2"/>
      <c r="AL437" s="2"/>
      <c r="AM437" s="2"/>
      <c r="AN437" s="2"/>
      <c r="AO437" s="9"/>
      <c r="AP437" s="9"/>
      <c r="AQ437" s="9"/>
      <c r="AR437" s="9"/>
    </row>
    <row r="438">
      <c r="A438" s="523"/>
      <c r="B438" s="523"/>
      <c r="C438" s="523"/>
      <c r="D438" s="523"/>
      <c r="E438" s="523"/>
      <c r="F438" s="523"/>
      <c r="G438" s="523"/>
      <c r="H438" s="523"/>
      <c r="I438" s="523"/>
      <c r="J438" s="523"/>
      <c r="K438" s="523"/>
      <c r="L438" s="523"/>
      <c r="M438" s="523"/>
      <c r="N438" s="523"/>
      <c r="O438" s="523"/>
      <c r="P438" s="523"/>
      <c r="Q438" s="523"/>
      <c r="R438" s="523"/>
      <c r="S438" s="523"/>
      <c r="T438" s="523"/>
      <c r="U438" s="523"/>
      <c r="V438" s="224"/>
      <c r="W438" s="224"/>
      <c r="X438" s="224"/>
      <c r="Y438" s="224"/>
      <c r="Z438" s="868"/>
      <c r="AA438" s="865"/>
      <c r="AB438" s="2"/>
      <c r="AC438" s="2"/>
      <c r="AD438" s="2"/>
      <c r="AE438" s="2"/>
      <c r="AF438" s="2"/>
      <c r="AG438" s="2"/>
      <c r="AH438" s="2"/>
      <c r="AI438" s="2"/>
      <c r="AJ438" s="2"/>
      <c r="AK438" s="2"/>
      <c r="AL438" s="2"/>
      <c r="AM438" s="2"/>
      <c r="AN438" s="2"/>
      <c r="AO438" s="9"/>
      <c r="AP438" s="9"/>
      <c r="AQ438" s="9"/>
      <c r="AR438" s="9"/>
    </row>
    <row r="439">
      <c r="A439" s="523"/>
      <c r="B439" s="523"/>
      <c r="C439" s="523"/>
      <c r="D439" s="523"/>
      <c r="E439" s="523"/>
      <c r="F439" s="523"/>
      <c r="G439" s="523"/>
      <c r="H439" s="523"/>
      <c r="I439" s="523"/>
      <c r="J439" s="523"/>
      <c r="K439" s="523"/>
      <c r="L439" s="523"/>
      <c r="M439" s="523"/>
      <c r="N439" s="523"/>
      <c r="O439" s="523"/>
      <c r="P439" s="523"/>
      <c r="Q439" s="523"/>
      <c r="R439" s="523"/>
      <c r="S439" s="523"/>
      <c r="T439" s="523"/>
      <c r="U439" s="523"/>
      <c r="V439" s="224"/>
      <c r="W439" s="224"/>
      <c r="X439" s="224"/>
      <c r="Y439" s="224"/>
      <c r="Z439" s="868"/>
      <c r="AA439" s="865"/>
      <c r="AB439" s="2"/>
      <c r="AC439" s="2"/>
      <c r="AD439" s="2"/>
      <c r="AE439" s="2"/>
      <c r="AF439" s="2"/>
      <c r="AG439" s="2"/>
      <c r="AH439" s="2"/>
      <c r="AI439" s="2"/>
      <c r="AJ439" s="2"/>
      <c r="AK439" s="2"/>
      <c r="AL439" s="2"/>
      <c r="AM439" s="2"/>
      <c r="AN439" s="2"/>
      <c r="AO439" s="9"/>
      <c r="AP439" s="9"/>
      <c r="AQ439" s="9"/>
      <c r="AR439" s="9"/>
    </row>
    <row r="440">
      <c r="A440" s="523"/>
      <c r="B440" s="523"/>
      <c r="C440" s="523"/>
      <c r="D440" s="523"/>
      <c r="E440" s="523"/>
      <c r="F440" s="523"/>
      <c r="G440" s="523"/>
      <c r="H440" s="523"/>
      <c r="I440" s="523"/>
      <c r="J440" s="523"/>
      <c r="K440" s="523"/>
      <c r="L440" s="523"/>
      <c r="M440" s="523"/>
      <c r="N440" s="523"/>
      <c r="O440" s="523"/>
      <c r="P440" s="523"/>
      <c r="Q440" s="523"/>
      <c r="R440" s="523"/>
      <c r="S440" s="523"/>
      <c r="T440" s="523"/>
      <c r="U440" s="523"/>
      <c r="V440" s="224"/>
      <c r="W440" s="224"/>
      <c r="X440" s="224"/>
      <c r="Y440" s="224"/>
      <c r="Z440" s="868"/>
      <c r="AA440" s="865"/>
      <c r="AB440" s="2"/>
      <c r="AC440" s="2"/>
      <c r="AD440" s="2"/>
      <c r="AE440" s="2"/>
      <c r="AF440" s="2"/>
      <c r="AG440" s="2"/>
      <c r="AH440" s="2"/>
      <c r="AI440" s="2"/>
      <c r="AJ440" s="2"/>
      <c r="AK440" s="2"/>
      <c r="AL440" s="2"/>
      <c r="AM440" s="2"/>
      <c r="AN440" s="2"/>
      <c r="AO440" s="9"/>
      <c r="AP440" s="9"/>
      <c r="AQ440" s="9"/>
      <c r="AR440" s="9"/>
    </row>
    <row r="441">
      <c r="A441" s="523"/>
      <c r="B441" s="523"/>
      <c r="C441" s="523"/>
      <c r="D441" s="523"/>
      <c r="E441" s="523"/>
      <c r="F441" s="523"/>
      <c r="G441" s="523"/>
      <c r="H441" s="523"/>
      <c r="I441" s="523"/>
      <c r="J441" s="523"/>
      <c r="K441" s="523"/>
      <c r="L441" s="523"/>
      <c r="M441" s="523"/>
      <c r="N441" s="523"/>
      <c r="O441" s="523"/>
      <c r="P441" s="523"/>
      <c r="Q441" s="523"/>
      <c r="R441" s="523"/>
      <c r="S441" s="523"/>
      <c r="T441" s="523"/>
      <c r="U441" s="523"/>
      <c r="V441" s="224"/>
      <c r="W441" s="224"/>
      <c r="X441" s="224"/>
      <c r="Y441" s="224"/>
      <c r="Z441" s="868"/>
      <c r="AA441" s="865"/>
      <c r="AB441" s="2"/>
      <c r="AC441" s="2"/>
      <c r="AD441" s="2"/>
      <c r="AE441" s="2"/>
      <c r="AF441" s="2"/>
      <c r="AG441" s="2"/>
      <c r="AH441" s="2"/>
      <c r="AI441" s="2"/>
      <c r="AJ441" s="2"/>
      <c r="AK441" s="2"/>
      <c r="AL441" s="2"/>
      <c r="AM441" s="2"/>
      <c r="AN441" s="2"/>
      <c r="AO441" s="9"/>
      <c r="AP441" s="9"/>
      <c r="AQ441" s="9"/>
      <c r="AR441" s="9"/>
    </row>
    <row r="442">
      <c r="A442" s="523"/>
      <c r="B442" s="523"/>
      <c r="C442" s="523"/>
      <c r="D442" s="523"/>
      <c r="E442" s="523"/>
      <c r="F442" s="523"/>
      <c r="G442" s="523"/>
      <c r="H442" s="523"/>
      <c r="I442" s="523"/>
      <c r="J442" s="523"/>
      <c r="K442" s="523"/>
      <c r="L442" s="523"/>
      <c r="M442" s="523"/>
      <c r="N442" s="523"/>
      <c r="O442" s="523"/>
      <c r="P442" s="523"/>
      <c r="Q442" s="523"/>
      <c r="R442" s="523"/>
      <c r="S442" s="523"/>
      <c r="T442" s="523"/>
      <c r="U442" s="523"/>
      <c r="V442" s="224"/>
      <c r="W442" s="224"/>
      <c r="X442" s="224"/>
      <c r="Y442" s="224"/>
      <c r="Z442" s="868"/>
      <c r="AA442" s="865"/>
      <c r="AB442" s="2"/>
      <c r="AC442" s="2"/>
      <c r="AD442" s="2"/>
      <c r="AE442" s="2"/>
      <c r="AF442" s="2"/>
      <c r="AG442" s="2"/>
      <c r="AH442" s="2"/>
      <c r="AI442" s="2"/>
      <c r="AJ442" s="2"/>
      <c r="AK442" s="2"/>
      <c r="AL442" s="2"/>
      <c r="AM442" s="2"/>
      <c r="AN442" s="2"/>
      <c r="AO442" s="9"/>
      <c r="AP442" s="9"/>
      <c r="AQ442" s="9"/>
      <c r="AR442" s="9"/>
    </row>
    <row r="443">
      <c r="A443" s="523"/>
      <c r="B443" s="523"/>
      <c r="C443" s="523"/>
      <c r="D443" s="523"/>
      <c r="E443" s="523"/>
      <c r="F443" s="523"/>
      <c r="G443" s="523"/>
      <c r="H443" s="523"/>
      <c r="I443" s="523"/>
      <c r="J443" s="523"/>
      <c r="K443" s="523"/>
      <c r="L443" s="523"/>
      <c r="M443" s="523"/>
      <c r="N443" s="523"/>
      <c r="O443" s="523"/>
      <c r="P443" s="523"/>
      <c r="Q443" s="523"/>
      <c r="R443" s="523"/>
      <c r="S443" s="523"/>
      <c r="T443" s="523"/>
      <c r="U443" s="523"/>
      <c r="V443" s="224"/>
      <c r="W443" s="224"/>
      <c r="X443" s="224"/>
      <c r="Y443" s="224"/>
      <c r="Z443" s="868"/>
      <c r="AA443" s="865"/>
      <c r="AB443" s="2"/>
      <c r="AC443" s="2"/>
      <c r="AD443" s="2"/>
      <c r="AE443" s="2"/>
      <c r="AF443" s="2"/>
      <c r="AG443" s="2"/>
      <c r="AH443" s="2"/>
      <c r="AI443" s="2"/>
      <c r="AJ443" s="2"/>
      <c r="AK443" s="2"/>
      <c r="AL443" s="2"/>
      <c r="AM443" s="2"/>
      <c r="AN443" s="2"/>
      <c r="AO443" s="9"/>
      <c r="AP443" s="9"/>
      <c r="AQ443" s="9"/>
      <c r="AR443" s="9"/>
    </row>
    <row r="444">
      <c r="A444" s="523"/>
      <c r="B444" s="523"/>
      <c r="C444" s="523"/>
      <c r="D444" s="523"/>
      <c r="E444" s="523"/>
      <c r="F444" s="523"/>
      <c r="G444" s="523"/>
      <c r="H444" s="523"/>
      <c r="I444" s="523"/>
      <c r="J444" s="523"/>
      <c r="K444" s="523"/>
      <c r="L444" s="523"/>
      <c r="M444" s="523"/>
      <c r="N444" s="523"/>
      <c r="O444" s="523"/>
      <c r="P444" s="523"/>
      <c r="Q444" s="523"/>
      <c r="R444" s="523"/>
      <c r="S444" s="523"/>
      <c r="T444" s="523"/>
      <c r="U444" s="523"/>
      <c r="V444" s="224"/>
      <c r="W444" s="224"/>
      <c r="X444" s="224"/>
      <c r="Y444" s="224"/>
      <c r="Z444" s="868"/>
      <c r="AA444" s="865"/>
      <c r="AB444" s="2"/>
      <c r="AC444" s="2"/>
      <c r="AD444" s="2"/>
      <c r="AE444" s="2"/>
      <c r="AF444" s="2"/>
      <c r="AG444" s="2"/>
      <c r="AH444" s="2"/>
      <c r="AI444" s="2"/>
      <c r="AJ444" s="2"/>
      <c r="AK444" s="2"/>
      <c r="AL444" s="2"/>
      <c r="AM444" s="2"/>
      <c r="AN444" s="2"/>
      <c r="AO444" s="9"/>
      <c r="AP444" s="9"/>
      <c r="AQ444" s="9"/>
      <c r="AR444" s="9"/>
    </row>
    <row r="445">
      <c r="A445" s="523"/>
      <c r="B445" s="523"/>
      <c r="C445" s="523"/>
      <c r="D445" s="523"/>
      <c r="E445" s="523"/>
      <c r="F445" s="523"/>
      <c r="G445" s="523"/>
      <c r="H445" s="523"/>
      <c r="I445" s="523"/>
      <c r="J445" s="523"/>
      <c r="K445" s="523"/>
      <c r="L445" s="523"/>
      <c r="M445" s="523"/>
      <c r="N445" s="523"/>
      <c r="O445" s="523"/>
      <c r="P445" s="523"/>
      <c r="Q445" s="523"/>
      <c r="R445" s="523"/>
      <c r="S445" s="523"/>
      <c r="T445" s="523"/>
      <c r="U445" s="523"/>
      <c r="V445" s="224"/>
      <c r="W445" s="224"/>
      <c r="X445" s="224"/>
      <c r="Y445" s="224"/>
      <c r="Z445" s="868"/>
      <c r="AA445" s="865"/>
      <c r="AB445" s="2"/>
      <c r="AC445" s="2"/>
      <c r="AD445" s="2"/>
      <c r="AE445" s="2"/>
      <c r="AF445" s="2"/>
      <c r="AG445" s="2"/>
      <c r="AH445" s="2"/>
      <c r="AI445" s="2"/>
      <c r="AJ445" s="2"/>
      <c r="AK445" s="2"/>
      <c r="AL445" s="2"/>
      <c r="AM445" s="2"/>
      <c r="AN445" s="2"/>
      <c r="AO445" s="9"/>
      <c r="AP445" s="9"/>
      <c r="AQ445" s="9"/>
      <c r="AR445" s="9"/>
    </row>
    <row r="446">
      <c r="A446" s="523"/>
      <c r="B446" s="523"/>
      <c r="C446" s="523"/>
      <c r="D446" s="523"/>
      <c r="E446" s="523"/>
      <c r="F446" s="523"/>
      <c r="G446" s="523"/>
      <c r="H446" s="523"/>
      <c r="I446" s="523"/>
      <c r="J446" s="523"/>
      <c r="K446" s="523"/>
      <c r="L446" s="523"/>
      <c r="M446" s="523"/>
      <c r="N446" s="523"/>
      <c r="O446" s="523"/>
      <c r="P446" s="523"/>
      <c r="Q446" s="523"/>
      <c r="R446" s="523"/>
      <c r="S446" s="523"/>
      <c r="T446" s="523"/>
      <c r="U446" s="523"/>
      <c r="V446" s="224"/>
      <c r="W446" s="224"/>
      <c r="X446" s="224"/>
      <c r="Y446" s="224"/>
      <c r="Z446" s="868"/>
      <c r="AA446" s="865"/>
      <c r="AB446" s="2"/>
      <c r="AC446" s="2"/>
      <c r="AD446" s="2"/>
      <c r="AE446" s="2"/>
      <c r="AF446" s="2"/>
      <c r="AG446" s="2"/>
      <c r="AH446" s="2"/>
      <c r="AI446" s="2"/>
      <c r="AJ446" s="2"/>
      <c r="AK446" s="2"/>
      <c r="AL446" s="2"/>
      <c r="AM446" s="2"/>
      <c r="AN446" s="2"/>
      <c r="AO446" s="9"/>
      <c r="AP446" s="9"/>
      <c r="AQ446" s="9"/>
      <c r="AR446" s="9"/>
    </row>
    <row r="447">
      <c r="A447" s="523"/>
      <c r="B447" s="523"/>
      <c r="C447" s="523"/>
      <c r="D447" s="523"/>
      <c r="E447" s="523"/>
      <c r="F447" s="523"/>
      <c r="G447" s="523"/>
      <c r="H447" s="523"/>
      <c r="I447" s="523"/>
      <c r="J447" s="523"/>
      <c r="K447" s="523"/>
      <c r="L447" s="523"/>
      <c r="M447" s="523"/>
      <c r="N447" s="523"/>
      <c r="O447" s="523"/>
      <c r="P447" s="523"/>
      <c r="Q447" s="523"/>
      <c r="R447" s="523"/>
      <c r="S447" s="523"/>
      <c r="T447" s="523"/>
      <c r="U447" s="523"/>
      <c r="V447" s="224"/>
      <c r="W447" s="224"/>
      <c r="X447" s="224"/>
      <c r="Y447" s="224"/>
      <c r="Z447" s="868"/>
      <c r="AA447" s="865"/>
      <c r="AB447" s="2"/>
      <c r="AC447" s="2"/>
      <c r="AD447" s="2"/>
      <c r="AE447" s="2"/>
      <c r="AF447" s="2"/>
      <c r="AG447" s="2"/>
      <c r="AH447" s="2"/>
      <c r="AI447" s="2"/>
      <c r="AJ447" s="2"/>
      <c r="AK447" s="2"/>
      <c r="AL447" s="2"/>
      <c r="AM447" s="2"/>
      <c r="AN447" s="2"/>
      <c r="AO447" s="9"/>
      <c r="AP447" s="9"/>
      <c r="AQ447" s="9"/>
      <c r="AR447" s="9"/>
    </row>
    <row r="448">
      <c r="A448" s="523"/>
      <c r="B448" s="523"/>
      <c r="C448" s="523"/>
      <c r="D448" s="523"/>
      <c r="E448" s="523"/>
      <c r="F448" s="523"/>
      <c r="G448" s="523"/>
      <c r="H448" s="523"/>
      <c r="I448" s="523"/>
      <c r="J448" s="523"/>
      <c r="K448" s="523"/>
      <c r="L448" s="523"/>
      <c r="M448" s="523"/>
      <c r="N448" s="523"/>
      <c r="O448" s="523"/>
      <c r="P448" s="523"/>
      <c r="Q448" s="523"/>
      <c r="R448" s="523"/>
      <c r="S448" s="523"/>
      <c r="T448" s="523"/>
      <c r="U448" s="523"/>
      <c r="V448" s="224"/>
      <c r="W448" s="224"/>
      <c r="X448" s="224"/>
      <c r="Y448" s="224"/>
      <c r="Z448" s="868"/>
      <c r="AA448" s="865"/>
      <c r="AB448" s="2"/>
      <c r="AC448" s="2"/>
      <c r="AD448" s="2"/>
      <c r="AE448" s="2"/>
      <c r="AF448" s="2"/>
      <c r="AG448" s="2"/>
      <c r="AH448" s="2"/>
      <c r="AI448" s="2"/>
      <c r="AJ448" s="2"/>
      <c r="AK448" s="2"/>
      <c r="AL448" s="2"/>
      <c r="AM448" s="2"/>
      <c r="AN448" s="2"/>
      <c r="AO448" s="9"/>
      <c r="AP448" s="9"/>
      <c r="AQ448" s="9"/>
      <c r="AR448" s="9"/>
    </row>
    <row r="449">
      <c r="A449" s="523"/>
      <c r="B449" s="523"/>
      <c r="C449" s="523"/>
      <c r="D449" s="523"/>
      <c r="E449" s="523"/>
      <c r="F449" s="523"/>
      <c r="G449" s="523"/>
      <c r="H449" s="523"/>
      <c r="I449" s="523"/>
      <c r="J449" s="523"/>
      <c r="K449" s="523"/>
      <c r="L449" s="523"/>
      <c r="M449" s="523"/>
      <c r="N449" s="523"/>
      <c r="O449" s="523"/>
      <c r="P449" s="523"/>
      <c r="Q449" s="523"/>
      <c r="R449" s="523"/>
      <c r="S449" s="523"/>
      <c r="T449" s="523"/>
      <c r="U449" s="523"/>
      <c r="V449" s="224"/>
      <c r="W449" s="224"/>
      <c r="X449" s="224"/>
      <c r="Y449" s="224"/>
      <c r="Z449" s="868"/>
      <c r="AA449" s="865"/>
      <c r="AB449" s="2"/>
      <c r="AC449" s="2"/>
      <c r="AD449" s="2"/>
      <c r="AE449" s="2"/>
      <c r="AF449" s="2"/>
      <c r="AG449" s="2"/>
      <c r="AH449" s="2"/>
      <c r="AI449" s="2"/>
      <c r="AJ449" s="2"/>
      <c r="AK449" s="2"/>
      <c r="AL449" s="2"/>
      <c r="AM449" s="2"/>
      <c r="AN449" s="2"/>
      <c r="AO449" s="9"/>
      <c r="AP449" s="9"/>
      <c r="AQ449" s="9"/>
      <c r="AR449" s="9"/>
    </row>
    <row r="450">
      <c r="A450" s="523"/>
      <c r="B450" s="523"/>
      <c r="C450" s="523"/>
      <c r="D450" s="523"/>
      <c r="E450" s="523"/>
      <c r="F450" s="523"/>
      <c r="G450" s="523"/>
      <c r="H450" s="523"/>
      <c r="I450" s="523"/>
      <c r="J450" s="523"/>
      <c r="K450" s="523"/>
      <c r="L450" s="523"/>
      <c r="M450" s="523"/>
      <c r="N450" s="523"/>
      <c r="O450" s="523"/>
      <c r="P450" s="523"/>
      <c r="Q450" s="523"/>
      <c r="R450" s="523"/>
      <c r="S450" s="523"/>
      <c r="T450" s="523"/>
      <c r="U450" s="523"/>
      <c r="V450" s="224"/>
      <c r="W450" s="224"/>
      <c r="X450" s="224"/>
      <c r="Y450" s="224"/>
      <c r="Z450" s="868"/>
      <c r="AA450" s="865"/>
      <c r="AB450" s="2"/>
      <c r="AC450" s="2"/>
      <c r="AD450" s="2"/>
      <c r="AE450" s="2"/>
      <c r="AF450" s="2"/>
      <c r="AG450" s="2"/>
      <c r="AH450" s="2"/>
      <c r="AI450" s="2"/>
      <c r="AJ450" s="2"/>
      <c r="AK450" s="2"/>
      <c r="AL450" s="2"/>
      <c r="AM450" s="2"/>
      <c r="AN450" s="2"/>
      <c r="AO450" s="9"/>
      <c r="AP450" s="9"/>
      <c r="AQ450" s="9"/>
      <c r="AR450" s="9"/>
    </row>
    <row r="451">
      <c r="A451" s="523"/>
      <c r="B451" s="523"/>
      <c r="C451" s="523"/>
      <c r="D451" s="523"/>
      <c r="E451" s="523"/>
      <c r="F451" s="523"/>
      <c r="G451" s="523"/>
      <c r="H451" s="523"/>
      <c r="I451" s="523"/>
      <c r="J451" s="523"/>
      <c r="K451" s="523"/>
      <c r="L451" s="523"/>
      <c r="M451" s="523"/>
      <c r="N451" s="523"/>
      <c r="O451" s="523"/>
      <c r="P451" s="523"/>
      <c r="Q451" s="523"/>
      <c r="R451" s="523"/>
      <c r="S451" s="523"/>
      <c r="T451" s="523"/>
      <c r="U451" s="523"/>
      <c r="V451" s="224"/>
      <c r="W451" s="224"/>
      <c r="X451" s="224"/>
      <c r="Y451" s="224"/>
      <c r="Z451" s="868"/>
      <c r="AA451" s="865"/>
      <c r="AB451" s="2"/>
      <c r="AC451" s="2"/>
      <c r="AD451" s="2"/>
      <c r="AE451" s="2"/>
      <c r="AF451" s="2"/>
      <c r="AG451" s="2"/>
      <c r="AH451" s="2"/>
      <c r="AI451" s="2"/>
      <c r="AJ451" s="2"/>
      <c r="AK451" s="2"/>
      <c r="AL451" s="2"/>
      <c r="AM451" s="2"/>
      <c r="AN451" s="2"/>
      <c r="AO451" s="9"/>
      <c r="AP451" s="9"/>
      <c r="AQ451" s="9"/>
      <c r="AR451" s="9"/>
    </row>
    <row r="452">
      <c r="A452" s="523"/>
      <c r="B452" s="523"/>
      <c r="C452" s="523"/>
      <c r="D452" s="523"/>
      <c r="E452" s="523"/>
      <c r="F452" s="523"/>
      <c r="G452" s="523"/>
      <c r="H452" s="523"/>
      <c r="I452" s="523"/>
      <c r="J452" s="523"/>
      <c r="K452" s="523"/>
      <c r="L452" s="523"/>
      <c r="M452" s="523"/>
      <c r="N452" s="523"/>
      <c r="O452" s="523"/>
      <c r="P452" s="523"/>
      <c r="Q452" s="523"/>
      <c r="R452" s="523"/>
      <c r="S452" s="523"/>
      <c r="T452" s="523"/>
      <c r="U452" s="523"/>
      <c r="V452" s="224"/>
      <c r="W452" s="224"/>
      <c r="X452" s="224"/>
      <c r="Y452" s="224"/>
      <c r="Z452" s="868"/>
      <c r="AA452" s="865"/>
      <c r="AB452" s="2"/>
      <c r="AC452" s="2"/>
      <c r="AD452" s="2"/>
      <c r="AE452" s="2"/>
      <c r="AF452" s="2"/>
      <c r="AG452" s="2"/>
      <c r="AH452" s="2"/>
      <c r="AI452" s="2"/>
      <c r="AJ452" s="2"/>
      <c r="AK452" s="2"/>
      <c r="AL452" s="2"/>
      <c r="AM452" s="2"/>
      <c r="AN452" s="2"/>
      <c r="AO452" s="9"/>
      <c r="AP452" s="9"/>
      <c r="AQ452" s="9"/>
      <c r="AR452" s="9"/>
    </row>
    <row r="453">
      <c r="A453" s="523"/>
      <c r="B453" s="523"/>
      <c r="C453" s="523"/>
      <c r="D453" s="523"/>
      <c r="E453" s="523"/>
      <c r="F453" s="523"/>
      <c r="G453" s="523"/>
      <c r="H453" s="523"/>
      <c r="I453" s="523"/>
      <c r="J453" s="523"/>
      <c r="K453" s="523"/>
      <c r="L453" s="523"/>
      <c r="M453" s="523"/>
      <c r="N453" s="523"/>
      <c r="O453" s="523"/>
      <c r="P453" s="523"/>
      <c r="Q453" s="523"/>
      <c r="R453" s="523"/>
      <c r="S453" s="523"/>
      <c r="T453" s="523"/>
      <c r="U453" s="523"/>
      <c r="V453" s="224"/>
      <c r="W453" s="224"/>
      <c r="X453" s="224"/>
      <c r="Y453" s="224"/>
      <c r="Z453" s="868"/>
      <c r="AA453" s="865"/>
      <c r="AB453" s="2"/>
      <c r="AC453" s="2"/>
      <c r="AD453" s="2"/>
      <c r="AE453" s="2"/>
      <c r="AF453" s="2"/>
      <c r="AG453" s="2"/>
      <c r="AH453" s="2"/>
      <c r="AI453" s="2"/>
      <c r="AJ453" s="2"/>
      <c r="AK453" s="2"/>
      <c r="AL453" s="2"/>
      <c r="AM453" s="2"/>
      <c r="AN453" s="2"/>
      <c r="AO453" s="9"/>
      <c r="AP453" s="9"/>
      <c r="AQ453" s="9"/>
      <c r="AR453" s="9"/>
    </row>
    <row r="454">
      <c r="A454" s="523"/>
      <c r="B454" s="523"/>
      <c r="C454" s="523"/>
      <c r="D454" s="523"/>
      <c r="E454" s="523"/>
      <c r="F454" s="523"/>
      <c r="G454" s="523"/>
      <c r="H454" s="523"/>
      <c r="I454" s="523"/>
      <c r="J454" s="523"/>
      <c r="K454" s="523"/>
      <c r="L454" s="523"/>
      <c r="M454" s="523"/>
      <c r="N454" s="523"/>
      <c r="O454" s="523"/>
      <c r="P454" s="523"/>
      <c r="Q454" s="523"/>
      <c r="R454" s="523"/>
      <c r="S454" s="523"/>
      <c r="T454" s="523"/>
      <c r="U454" s="523"/>
      <c r="V454" s="224"/>
      <c r="W454" s="224"/>
      <c r="X454" s="224"/>
      <c r="Y454" s="224"/>
      <c r="Z454" s="868"/>
      <c r="AA454" s="865"/>
      <c r="AB454" s="2"/>
      <c r="AC454" s="2"/>
      <c r="AD454" s="2"/>
      <c r="AE454" s="2"/>
      <c r="AF454" s="2"/>
      <c r="AG454" s="2"/>
      <c r="AH454" s="2"/>
      <c r="AI454" s="2"/>
      <c r="AJ454" s="2"/>
      <c r="AK454" s="2"/>
      <c r="AL454" s="2"/>
      <c r="AM454" s="2"/>
      <c r="AN454" s="2"/>
      <c r="AO454" s="9"/>
      <c r="AP454" s="9"/>
      <c r="AQ454" s="9"/>
      <c r="AR454" s="9"/>
    </row>
    <row r="455">
      <c r="A455" s="523"/>
      <c r="B455" s="523"/>
      <c r="C455" s="523"/>
      <c r="D455" s="523"/>
      <c r="E455" s="523"/>
      <c r="F455" s="523"/>
      <c r="G455" s="523"/>
      <c r="H455" s="523"/>
      <c r="I455" s="523"/>
      <c r="J455" s="523"/>
      <c r="K455" s="523"/>
      <c r="L455" s="523"/>
      <c r="M455" s="523"/>
      <c r="N455" s="523"/>
      <c r="O455" s="523"/>
      <c r="P455" s="523"/>
      <c r="Q455" s="523"/>
      <c r="R455" s="523"/>
      <c r="S455" s="523"/>
      <c r="T455" s="523"/>
      <c r="U455" s="523"/>
      <c r="V455" s="224"/>
      <c r="W455" s="224"/>
      <c r="X455" s="224"/>
      <c r="Y455" s="224"/>
      <c r="Z455" s="868"/>
      <c r="AA455" s="865"/>
      <c r="AB455" s="2"/>
      <c r="AC455" s="2"/>
      <c r="AD455" s="2"/>
      <c r="AE455" s="2"/>
      <c r="AF455" s="2"/>
      <c r="AG455" s="2"/>
      <c r="AH455" s="2"/>
      <c r="AI455" s="2"/>
      <c r="AJ455" s="2"/>
      <c r="AK455" s="2"/>
      <c r="AL455" s="2"/>
      <c r="AM455" s="2"/>
      <c r="AN455" s="2"/>
      <c r="AO455" s="9"/>
      <c r="AP455" s="9"/>
      <c r="AQ455" s="9"/>
      <c r="AR455" s="9"/>
    </row>
    <row r="456">
      <c r="A456" s="523"/>
      <c r="B456" s="523"/>
      <c r="C456" s="523"/>
      <c r="D456" s="523"/>
      <c r="E456" s="523"/>
      <c r="F456" s="523"/>
      <c r="G456" s="523"/>
      <c r="H456" s="523"/>
      <c r="I456" s="523"/>
      <c r="J456" s="523"/>
      <c r="K456" s="523"/>
      <c r="L456" s="523"/>
      <c r="M456" s="523"/>
      <c r="N456" s="523"/>
      <c r="O456" s="523"/>
      <c r="P456" s="523"/>
      <c r="Q456" s="523"/>
      <c r="R456" s="523"/>
      <c r="S456" s="523"/>
      <c r="T456" s="523"/>
      <c r="U456" s="523"/>
      <c r="V456" s="224"/>
      <c r="W456" s="224"/>
      <c r="X456" s="224"/>
      <c r="Y456" s="224"/>
      <c r="Z456" s="868"/>
      <c r="AA456" s="865"/>
      <c r="AB456" s="2"/>
      <c r="AC456" s="2"/>
      <c r="AD456" s="2"/>
      <c r="AE456" s="2"/>
      <c r="AF456" s="2"/>
      <c r="AG456" s="2"/>
      <c r="AH456" s="2"/>
      <c r="AI456" s="2"/>
      <c r="AJ456" s="2"/>
      <c r="AK456" s="2"/>
      <c r="AL456" s="2"/>
      <c r="AM456" s="2"/>
      <c r="AN456" s="2"/>
      <c r="AO456" s="9"/>
      <c r="AP456" s="9"/>
      <c r="AQ456" s="9"/>
      <c r="AR456" s="9"/>
    </row>
    <row r="457">
      <c r="A457" s="523"/>
      <c r="B457" s="523"/>
      <c r="C457" s="523"/>
      <c r="D457" s="523"/>
      <c r="E457" s="523"/>
      <c r="F457" s="523"/>
      <c r="G457" s="523"/>
      <c r="H457" s="523"/>
      <c r="I457" s="523"/>
      <c r="J457" s="523"/>
      <c r="K457" s="523"/>
      <c r="L457" s="523"/>
      <c r="M457" s="523"/>
      <c r="N457" s="523"/>
      <c r="O457" s="523"/>
      <c r="P457" s="523"/>
      <c r="Q457" s="523"/>
      <c r="R457" s="523"/>
      <c r="S457" s="523"/>
      <c r="T457" s="523"/>
      <c r="U457" s="523"/>
      <c r="V457" s="224"/>
      <c r="W457" s="224"/>
      <c r="X457" s="224"/>
      <c r="Y457" s="224"/>
      <c r="Z457" s="868"/>
      <c r="AA457" s="865"/>
      <c r="AB457" s="2"/>
      <c r="AC457" s="2"/>
      <c r="AD457" s="2"/>
      <c r="AE457" s="2"/>
      <c r="AF457" s="2"/>
      <c r="AG457" s="2"/>
      <c r="AH457" s="2"/>
      <c r="AI457" s="2"/>
      <c r="AJ457" s="2"/>
      <c r="AK457" s="2"/>
      <c r="AL457" s="2"/>
      <c r="AM457" s="2"/>
      <c r="AN457" s="2"/>
      <c r="AO457" s="9"/>
      <c r="AP457" s="9"/>
      <c r="AQ457" s="9"/>
      <c r="AR457" s="9"/>
    </row>
    <row r="458">
      <c r="A458" s="523"/>
      <c r="B458" s="523"/>
      <c r="C458" s="523"/>
      <c r="D458" s="523"/>
      <c r="E458" s="523"/>
      <c r="F458" s="523"/>
      <c r="G458" s="523"/>
      <c r="H458" s="523"/>
      <c r="I458" s="523"/>
      <c r="J458" s="523"/>
      <c r="K458" s="523"/>
      <c r="L458" s="523"/>
      <c r="M458" s="523"/>
      <c r="N458" s="523"/>
      <c r="O458" s="523"/>
      <c r="P458" s="523"/>
      <c r="Q458" s="523"/>
      <c r="R458" s="523"/>
      <c r="S458" s="523"/>
      <c r="T458" s="523"/>
      <c r="U458" s="523"/>
      <c r="V458" s="224"/>
      <c r="W458" s="224"/>
      <c r="X458" s="224"/>
      <c r="Y458" s="224"/>
      <c r="Z458" s="868"/>
      <c r="AA458" s="865"/>
      <c r="AB458" s="2"/>
      <c r="AC458" s="2"/>
      <c r="AD458" s="2"/>
      <c r="AE458" s="2"/>
      <c r="AF458" s="2"/>
      <c r="AG458" s="2"/>
      <c r="AH458" s="2"/>
      <c r="AI458" s="2"/>
      <c r="AJ458" s="2"/>
      <c r="AK458" s="2"/>
      <c r="AL458" s="2"/>
      <c r="AM458" s="2"/>
      <c r="AN458" s="2"/>
      <c r="AO458" s="9"/>
      <c r="AP458" s="9"/>
      <c r="AQ458" s="9"/>
      <c r="AR458" s="9"/>
    </row>
    <row r="459">
      <c r="A459" s="523"/>
      <c r="B459" s="523"/>
      <c r="C459" s="523"/>
      <c r="D459" s="523"/>
      <c r="E459" s="523"/>
      <c r="F459" s="523"/>
      <c r="G459" s="523"/>
      <c r="H459" s="523"/>
      <c r="I459" s="523"/>
      <c r="J459" s="523"/>
      <c r="K459" s="523"/>
      <c r="L459" s="523"/>
      <c r="M459" s="523"/>
      <c r="N459" s="523"/>
      <c r="O459" s="523"/>
      <c r="P459" s="523"/>
      <c r="Q459" s="523"/>
      <c r="R459" s="523"/>
      <c r="S459" s="523"/>
      <c r="T459" s="523"/>
      <c r="U459" s="523"/>
      <c r="V459" s="224"/>
      <c r="W459" s="224"/>
      <c r="X459" s="224"/>
      <c r="Y459" s="224"/>
      <c r="Z459" s="868"/>
      <c r="AA459" s="865"/>
      <c r="AB459" s="2"/>
      <c r="AC459" s="2"/>
      <c r="AD459" s="2"/>
      <c r="AE459" s="2"/>
      <c r="AF459" s="2"/>
      <c r="AG459" s="2"/>
      <c r="AH459" s="2"/>
      <c r="AI459" s="2"/>
      <c r="AJ459" s="2"/>
      <c r="AK459" s="2"/>
      <c r="AL459" s="2"/>
      <c r="AM459" s="2"/>
      <c r="AN459" s="2"/>
      <c r="AO459" s="9"/>
      <c r="AP459" s="9"/>
      <c r="AQ459" s="9"/>
      <c r="AR459" s="9"/>
    </row>
    <row r="460">
      <c r="A460" s="523"/>
      <c r="B460" s="523"/>
      <c r="C460" s="523"/>
      <c r="D460" s="523"/>
      <c r="E460" s="523"/>
      <c r="F460" s="523"/>
      <c r="G460" s="523"/>
      <c r="H460" s="523"/>
      <c r="I460" s="523"/>
      <c r="J460" s="523"/>
      <c r="K460" s="523"/>
      <c r="L460" s="523"/>
      <c r="M460" s="523"/>
      <c r="N460" s="523"/>
      <c r="O460" s="523"/>
      <c r="P460" s="523"/>
      <c r="Q460" s="523"/>
      <c r="R460" s="523"/>
      <c r="S460" s="523"/>
      <c r="T460" s="523"/>
      <c r="U460" s="523"/>
      <c r="V460" s="224"/>
      <c r="W460" s="224"/>
      <c r="X460" s="224"/>
      <c r="Y460" s="224"/>
      <c r="Z460" s="868"/>
      <c r="AA460" s="865"/>
      <c r="AB460" s="2"/>
      <c r="AC460" s="2"/>
      <c r="AD460" s="2"/>
      <c r="AE460" s="2"/>
      <c r="AF460" s="2"/>
      <c r="AG460" s="2"/>
      <c r="AH460" s="2"/>
      <c r="AI460" s="2"/>
      <c r="AJ460" s="2"/>
      <c r="AK460" s="2"/>
      <c r="AL460" s="2"/>
      <c r="AM460" s="2"/>
      <c r="AN460" s="2"/>
      <c r="AO460" s="9"/>
      <c r="AP460" s="9"/>
      <c r="AQ460" s="9"/>
      <c r="AR460" s="9"/>
    </row>
    <row r="461">
      <c r="A461" s="523"/>
      <c r="B461" s="523"/>
      <c r="C461" s="523"/>
      <c r="D461" s="523"/>
      <c r="E461" s="523"/>
      <c r="F461" s="523"/>
      <c r="G461" s="523"/>
      <c r="H461" s="523"/>
      <c r="I461" s="523"/>
      <c r="J461" s="523"/>
      <c r="K461" s="523"/>
      <c r="L461" s="523"/>
      <c r="M461" s="523"/>
      <c r="N461" s="523"/>
      <c r="O461" s="523"/>
      <c r="P461" s="523"/>
      <c r="Q461" s="523"/>
      <c r="R461" s="523"/>
      <c r="S461" s="523"/>
      <c r="T461" s="523"/>
      <c r="U461" s="523"/>
      <c r="V461" s="224"/>
      <c r="W461" s="224"/>
      <c r="X461" s="224"/>
      <c r="Y461" s="224"/>
      <c r="Z461" s="868"/>
      <c r="AA461" s="865"/>
      <c r="AB461" s="2"/>
      <c r="AC461" s="2"/>
      <c r="AD461" s="2"/>
      <c r="AE461" s="2"/>
      <c r="AF461" s="2"/>
      <c r="AG461" s="2"/>
      <c r="AH461" s="2"/>
      <c r="AI461" s="2"/>
      <c r="AJ461" s="2"/>
      <c r="AK461" s="2"/>
      <c r="AL461" s="2"/>
      <c r="AM461" s="2"/>
      <c r="AN461" s="2"/>
      <c r="AO461" s="9"/>
      <c r="AP461" s="9"/>
      <c r="AQ461" s="9"/>
      <c r="AR461" s="9"/>
    </row>
    <row r="462">
      <c r="A462" s="523"/>
      <c r="B462" s="523"/>
      <c r="C462" s="523"/>
      <c r="D462" s="523"/>
      <c r="E462" s="523"/>
      <c r="F462" s="523"/>
      <c r="G462" s="523"/>
      <c r="H462" s="523"/>
      <c r="I462" s="523"/>
      <c r="J462" s="523"/>
      <c r="K462" s="523"/>
      <c r="L462" s="523"/>
      <c r="M462" s="523"/>
      <c r="N462" s="523"/>
      <c r="O462" s="523"/>
      <c r="P462" s="523"/>
      <c r="Q462" s="523"/>
      <c r="R462" s="523"/>
      <c r="S462" s="523"/>
      <c r="T462" s="523"/>
      <c r="U462" s="523"/>
      <c r="V462" s="224"/>
      <c r="W462" s="224"/>
      <c r="X462" s="224"/>
      <c r="Y462" s="224"/>
      <c r="Z462" s="868"/>
      <c r="AA462" s="865"/>
      <c r="AB462" s="2"/>
      <c r="AC462" s="2"/>
      <c r="AD462" s="2"/>
      <c r="AE462" s="2"/>
      <c r="AF462" s="2"/>
      <c r="AG462" s="2"/>
      <c r="AH462" s="2"/>
      <c r="AI462" s="2"/>
      <c r="AJ462" s="2"/>
      <c r="AK462" s="2"/>
      <c r="AL462" s="2"/>
      <c r="AM462" s="2"/>
      <c r="AN462" s="2"/>
      <c r="AO462" s="9"/>
      <c r="AP462" s="9"/>
      <c r="AQ462" s="9"/>
      <c r="AR462" s="9"/>
    </row>
    <row r="463">
      <c r="A463" s="523"/>
      <c r="B463" s="523"/>
      <c r="C463" s="523"/>
      <c r="D463" s="523"/>
      <c r="E463" s="523"/>
      <c r="F463" s="523"/>
      <c r="G463" s="523"/>
      <c r="H463" s="523"/>
      <c r="I463" s="523"/>
      <c r="J463" s="523"/>
      <c r="K463" s="523"/>
      <c r="L463" s="523"/>
      <c r="M463" s="523"/>
      <c r="N463" s="523"/>
      <c r="O463" s="523"/>
      <c r="P463" s="523"/>
      <c r="Q463" s="523"/>
      <c r="R463" s="523"/>
      <c r="S463" s="523"/>
      <c r="T463" s="523"/>
      <c r="U463" s="523"/>
      <c r="V463" s="224"/>
      <c r="W463" s="224"/>
      <c r="X463" s="224"/>
      <c r="Y463" s="224"/>
      <c r="Z463" s="868"/>
      <c r="AA463" s="865"/>
      <c r="AB463" s="2"/>
      <c r="AC463" s="2"/>
      <c r="AD463" s="2"/>
      <c r="AE463" s="2"/>
      <c r="AF463" s="2"/>
      <c r="AG463" s="2"/>
      <c r="AH463" s="2"/>
      <c r="AI463" s="2"/>
      <c r="AJ463" s="2"/>
      <c r="AK463" s="2"/>
      <c r="AL463" s="2"/>
      <c r="AM463" s="2"/>
      <c r="AN463" s="2"/>
      <c r="AO463" s="9"/>
      <c r="AP463" s="9"/>
      <c r="AQ463" s="9"/>
      <c r="AR463" s="9"/>
    </row>
    <row r="464">
      <c r="A464" s="523"/>
      <c r="B464" s="523"/>
      <c r="C464" s="523"/>
      <c r="D464" s="523"/>
      <c r="E464" s="523"/>
      <c r="F464" s="523"/>
      <c r="G464" s="523"/>
      <c r="H464" s="523"/>
      <c r="I464" s="523"/>
      <c r="J464" s="523"/>
      <c r="K464" s="523"/>
      <c r="L464" s="523"/>
      <c r="M464" s="523"/>
      <c r="N464" s="523"/>
      <c r="O464" s="523"/>
      <c r="P464" s="523"/>
      <c r="Q464" s="523"/>
      <c r="R464" s="523"/>
      <c r="S464" s="523"/>
      <c r="T464" s="523"/>
      <c r="U464" s="523"/>
      <c r="V464" s="224"/>
      <c r="W464" s="224"/>
      <c r="X464" s="224"/>
      <c r="Y464" s="224"/>
      <c r="Z464" s="868"/>
      <c r="AA464" s="865"/>
      <c r="AB464" s="2"/>
      <c r="AC464" s="2"/>
      <c r="AD464" s="2"/>
      <c r="AE464" s="2"/>
      <c r="AF464" s="2"/>
      <c r="AG464" s="2"/>
      <c r="AH464" s="2"/>
      <c r="AI464" s="2"/>
      <c r="AJ464" s="2"/>
      <c r="AK464" s="2"/>
      <c r="AL464" s="2"/>
      <c r="AM464" s="2"/>
      <c r="AN464" s="2"/>
      <c r="AO464" s="9"/>
      <c r="AP464" s="9"/>
      <c r="AQ464" s="9"/>
      <c r="AR464" s="9"/>
    </row>
    <row r="465">
      <c r="A465" s="523"/>
      <c r="B465" s="523"/>
      <c r="C465" s="523"/>
      <c r="D465" s="523"/>
      <c r="E465" s="523"/>
      <c r="F465" s="523"/>
      <c r="G465" s="523"/>
      <c r="H465" s="523"/>
      <c r="I465" s="523"/>
      <c r="J465" s="523"/>
      <c r="K465" s="523"/>
      <c r="L465" s="523"/>
      <c r="M465" s="523"/>
      <c r="N465" s="523"/>
      <c r="O465" s="523"/>
      <c r="P465" s="523"/>
      <c r="Q465" s="523"/>
      <c r="R465" s="523"/>
      <c r="S465" s="523"/>
      <c r="T465" s="523"/>
      <c r="U465" s="523"/>
      <c r="V465" s="224"/>
      <c r="W465" s="224"/>
      <c r="X465" s="224"/>
      <c r="Y465" s="224"/>
      <c r="Z465" s="868"/>
      <c r="AA465" s="865"/>
      <c r="AB465" s="2"/>
      <c r="AC465" s="2"/>
      <c r="AD465" s="2"/>
      <c r="AE465" s="2"/>
      <c r="AF465" s="2"/>
      <c r="AG465" s="2"/>
      <c r="AH465" s="2"/>
      <c r="AI465" s="2"/>
      <c r="AJ465" s="2"/>
      <c r="AK465" s="2"/>
      <c r="AL465" s="2"/>
      <c r="AM465" s="2"/>
      <c r="AN465" s="2"/>
      <c r="AO465" s="9"/>
      <c r="AP465" s="9"/>
      <c r="AQ465" s="9"/>
      <c r="AR465" s="9"/>
    </row>
    <row r="466">
      <c r="A466" s="523"/>
      <c r="B466" s="523"/>
      <c r="C466" s="523"/>
      <c r="D466" s="523"/>
      <c r="E466" s="523"/>
      <c r="F466" s="523"/>
      <c r="G466" s="523"/>
      <c r="H466" s="523"/>
      <c r="I466" s="523"/>
      <c r="J466" s="523"/>
      <c r="K466" s="523"/>
      <c r="L466" s="523"/>
      <c r="M466" s="523"/>
      <c r="N466" s="523"/>
      <c r="O466" s="523"/>
      <c r="P466" s="523"/>
      <c r="Q466" s="523"/>
      <c r="R466" s="523"/>
      <c r="S466" s="523"/>
      <c r="T466" s="523"/>
      <c r="U466" s="523"/>
      <c r="V466" s="224"/>
      <c r="W466" s="224"/>
      <c r="X466" s="224"/>
      <c r="Y466" s="224"/>
      <c r="Z466" s="868"/>
      <c r="AA466" s="865"/>
      <c r="AB466" s="2"/>
      <c r="AC466" s="2"/>
      <c r="AD466" s="2"/>
      <c r="AE466" s="2"/>
      <c r="AF466" s="2"/>
      <c r="AG466" s="2"/>
      <c r="AH466" s="2"/>
      <c r="AI466" s="2"/>
      <c r="AJ466" s="2"/>
      <c r="AK466" s="2"/>
      <c r="AL466" s="2"/>
      <c r="AM466" s="2"/>
      <c r="AN466" s="2"/>
      <c r="AO466" s="9"/>
      <c r="AP466" s="9"/>
      <c r="AQ466" s="9"/>
      <c r="AR466" s="9"/>
    </row>
    <row r="467">
      <c r="A467" s="523"/>
      <c r="B467" s="523"/>
      <c r="C467" s="523"/>
      <c r="D467" s="523"/>
      <c r="E467" s="523"/>
      <c r="F467" s="523"/>
      <c r="G467" s="523"/>
      <c r="H467" s="523"/>
      <c r="I467" s="523"/>
      <c r="J467" s="523"/>
      <c r="K467" s="523"/>
      <c r="L467" s="523"/>
      <c r="M467" s="523"/>
      <c r="N467" s="523"/>
      <c r="O467" s="523"/>
      <c r="P467" s="523"/>
      <c r="Q467" s="523"/>
      <c r="R467" s="523"/>
      <c r="S467" s="523"/>
      <c r="T467" s="523"/>
      <c r="U467" s="523"/>
      <c r="V467" s="224"/>
      <c r="W467" s="224"/>
      <c r="X467" s="224"/>
      <c r="Y467" s="224"/>
      <c r="Z467" s="868"/>
      <c r="AA467" s="865"/>
      <c r="AB467" s="2"/>
      <c r="AC467" s="2"/>
      <c r="AD467" s="2"/>
      <c r="AE467" s="2"/>
      <c r="AF467" s="2"/>
      <c r="AG467" s="2"/>
      <c r="AH467" s="2"/>
      <c r="AI467" s="2"/>
      <c r="AJ467" s="2"/>
      <c r="AK467" s="2"/>
      <c r="AL467" s="2"/>
      <c r="AM467" s="2"/>
      <c r="AN467" s="2"/>
      <c r="AO467" s="9"/>
      <c r="AP467" s="9"/>
      <c r="AQ467" s="9"/>
      <c r="AR467" s="9"/>
    </row>
    <row r="468">
      <c r="A468" s="523"/>
      <c r="B468" s="523"/>
      <c r="C468" s="523"/>
      <c r="D468" s="523"/>
      <c r="E468" s="523"/>
      <c r="F468" s="523"/>
      <c r="G468" s="523"/>
      <c r="H468" s="523"/>
      <c r="I468" s="523"/>
      <c r="J468" s="523"/>
      <c r="K468" s="523"/>
      <c r="L468" s="523"/>
      <c r="M468" s="523"/>
      <c r="N468" s="523"/>
      <c r="O468" s="523"/>
      <c r="P468" s="523"/>
      <c r="Q468" s="523"/>
      <c r="R468" s="523"/>
      <c r="S468" s="523"/>
      <c r="T468" s="523"/>
      <c r="U468" s="523"/>
      <c r="V468" s="224"/>
      <c r="W468" s="224"/>
      <c r="X468" s="224"/>
      <c r="Y468" s="224"/>
      <c r="Z468" s="868"/>
      <c r="AA468" s="865"/>
      <c r="AB468" s="2"/>
      <c r="AC468" s="2"/>
      <c r="AD468" s="2"/>
      <c r="AE468" s="2"/>
      <c r="AF468" s="2"/>
      <c r="AG468" s="2"/>
      <c r="AH468" s="2"/>
      <c r="AI468" s="2"/>
      <c r="AJ468" s="2"/>
      <c r="AK468" s="2"/>
      <c r="AL468" s="2"/>
      <c r="AM468" s="2"/>
      <c r="AN468" s="2"/>
      <c r="AO468" s="9"/>
      <c r="AP468" s="9"/>
      <c r="AQ468" s="9"/>
      <c r="AR468" s="9"/>
    </row>
    <row r="469">
      <c r="A469" s="523"/>
      <c r="B469" s="523"/>
      <c r="C469" s="523"/>
      <c r="D469" s="523"/>
      <c r="E469" s="523"/>
      <c r="F469" s="523"/>
      <c r="G469" s="523"/>
      <c r="H469" s="523"/>
      <c r="I469" s="523"/>
      <c r="J469" s="523"/>
      <c r="K469" s="523"/>
      <c r="L469" s="523"/>
      <c r="M469" s="523"/>
      <c r="N469" s="523"/>
      <c r="O469" s="523"/>
      <c r="P469" s="523"/>
      <c r="Q469" s="523"/>
      <c r="R469" s="523"/>
      <c r="S469" s="523"/>
      <c r="T469" s="523"/>
      <c r="U469" s="523"/>
      <c r="V469" s="224"/>
      <c r="W469" s="224"/>
      <c r="X469" s="224"/>
      <c r="Y469" s="224"/>
      <c r="Z469" s="868"/>
      <c r="AA469" s="865"/>
      <c r="AB469" s="2"/>
      <c r="AC469" s="2"/>
      <c r="AD469" s="2"/>
      <c r="AE469" s="2"/>
      <c r="AF469" s="2"/>
      <c r="AG469" s="2"/>
      <c r="AH469" s="2"/>
      <c r="AI469" s="2"/>
      <c r="AJ469" s="2"/>
      <c r="AK469" s="2"/>
      <c r="AL469" s="2"/>
      <c r="AM469" s="2"/>
      <c r="AN469" s="2"/>
      <c r="AO469" s="9"/>
      <c r="AP469" s="9"/>
      <c r="AQ469" s="9"/>
      <c r="AR469" s="9"/>
    </row>
    <row r="470">
      <c r="A470" s="523"/>
      <c r="B470" s="523"/>
      <c r="C470" s="523"/>
      <c r="D470" s="523"/>
      <c r="E470" s="523"/>
      <c r="F470" s="523"/>
      <c r="G470" s="523"/>
      <c r="H470" s="523"/>
      <c r="I470" s="523"/>
      <c r="J470" s="523"/>
      <c r="K470" s="523"/>
      <c r="L470" s="523"/>
      <c r="M470" s="523"/>
      <c r="N470" s="523"/>
      <c r="O470" s="523"/>
      <c r="P470" s="523"/>
      <c r="Q470" s="523"/>
      <c r="R470" s="523"/>
      <c r="S470" s="523"/>
      <c r="T470" s="523"/>
      <c r="U470" s="523"/>
      <c r="V470" s="224"/>
      <c r="W470" s="224"/>
      <c r="X470" s="224"/>
      <c r="Y470" s="224"/>
      <c r="Z470" s="868"/>
      <c r="AA470" s="865"/>
      <c r="AB470" s="2"/>
      <c r="AC470" s="2"/>
      <c r="AD470" s="2"/>
      <c r="AE470" s="2"/>
      <c r="AF470" s="2"/>
      <c r="AG470" s="2"/>
      <c r="AH470" s="2"/>
      <c r="AI470" s="2"/>
      <c r="AJ470" s="2"/>
      <c r="AK470" s="2"/>
      <c r="AL470" s="2"/>
      <c r="AM470" s="2"/>
      <c r="AN470" s="2"/>
      <c r="AO470" s="9"/>
      <c r="AP470" s="9"/>
      <c r="AQ470" s="9"/>
      <c r="AR470" s="9"/>
    </row>
    <row r="471">
      <c r="A471" s="523"/>
      <c r="B471" s="523"/>
      <c r="C471" s="523"/>
      <c r="D471" s="523"/>
      <c r="E471" s="523"/>
      <c r="F471" s="523"/>
      <c r="G471" s="523"/>
      <c r="H471" s="523"/>
      <c r="I471" s="523"/>
      <c r="J471" s="523"/>
      <c r="K471" s="523"/>
      <c r="L471" s="523"/>
      <c r="M471" s="523"/>
      <c r="N471" s="523"/>
      <c r="O471" s="523"/>
      <c r="P471" s="523"/>
      <c r="Q471" s="523"/>
      <c r="R471" s="523"/>
      <c r="S471" s="523"/>
      <c r="T471" s="523"/>
      <c r="U471" s="523"/>
      <c r="V471" s="224"/>
      <c r="W471" s="224"/>
      <c r="X471" s="224"/>
      <c r="Y471" s="224"/>
      <c r="Z471" s="868"/>
      <c r="AA471" s="865"/>
      <c r="AB471" s="2"/>
      <c r="AC471" s="2"/>
      <c r="AD471" s="2"/>
      <c r="AE471" s="2"/>
      <c r="AF471" s="2"/>
      <c r="AG471" s="2"/>
      <c r="AH471" s="2"/>
      <c r="AI471" s="2"/>
      <c r="AJ471" s="2"/>
      <c r="AK471" s="2"/>
      <c r="AL471" s="2"/>
      <c r="AM471" s="2"/>
      <c r="AN471" s="2"/>
      <c r="AO471" s="9"/>
      <c r="AP471" s="9"/>
      <c r="AQ471" s="9"/>
      <c r="AR471" s="9"/>
    </row>
    <row r="472">
      <c r="A472" s="523"/>
      <c r="B472" s="523"/>
      <c r="C472" s="523"/>
      <c r="D472" s="523"/>
      <c r="E472" s="523"/>
      <c r="F472" s="523"/>
      <c r="G472" s="523"/>
      <c r="H472" s="523"/>
      <c r="I472" s="523"/>
      <c r="J472" s="523"/>
      <c r="K472" s="523"/>
      <c r="L472" s="523"/>
      <c r="M472" s="523"/>
      <c r="N472" s="523"/>
      <c r="O472" s="523"/>
      <c r="P472" s="523"/>
      <c r="Q472" s="523"/>
      <c r="R472" s="523"/>
      <c r="S472" s="523"/>
      <c r="T472" s="523"/>
      <c r="U472" s="523"/>
      <c r="V472" s="224"/>
      <c r="W472" s="224"/>
      <c r="X472" s="224"/>
      <c r="Y472" s="224"/>
      <c r="Z472" s="868"/>
      <c r="AA472" s="865"/>
      <c r="AB472" s="2"/>
      <c r="AC472" s="2"/>
      <c r="AD472" s="2"/>
      <c r="AE472" s="2"/>
      <c r="AF472" s="2"/>
      <c r="AG472" s="2"/>
      <c r="AH472" s="2"/>
      <c r="AI472" s="2"/>
      <c r="AJ472" s="2"/>
      <c r="AK472" s="2"/>
      <c r="AL472" s="2"/>
      <c r="AM472" s="2"/>
      <c r="AN472" s="2"/>
      <c r="AO472" s="9"/>
      <c r="AP472" s="9"/>
      <c r="AQ472" s="9"/>
      <c r="AR472" s="9"/>
    </row>
    <row r="473">
      <c r="A473" s="523"/>
      <c r="B473" s="523"/>
      <c r="C473" s="523"/>
      <c r="D473" s="523"/>
      <c r="E473" s="523"/>
      <c r="F473" s="523"/>
      <c r="G473" s="523"/>
      <c r="H473" s="523"/>
      <c r="I473" s="523"/>
      <c r="J473" s="523"/>
      <c r="K473" s="523"/>
      <c r="L473" s="523"/>
      <c r="M473" s="523"/>
      <c r="N473" s="523"/>
      <c r="O473" s="523"/>
      <c r="P473" s="523"/>
      <c r="Q473" s="523"/>
      <c r="R473" s="523"/>
      <c r="S473" s="523"/>
      <c r="T473" s="523"/>
      <c r="U473" s="523"/>
      <c r="V473" s="224"/>
      <c r="W473" s="224"/>
      <c r="X473" s="224"/>
      <c r="Y473" s="224"/>
      <c r="Z473" s="868"/>
      <c r="AA473" s="865"/>
      <c r="AB473" s="2"/>
      <c r="AC473" s="2"/>
      <c r="AD473" s="2"/>
      <c r="AE473" s="2"/>
      <c r="AF473" s="2"/>
      <c r="AG473" s="2"/>
      <c r="AH473" s="2"/>
      <c r="AI473" s="2"/>
      <c r="AJ473" s="2"/>
      <c r="AK473" s="2"/>
      <c r="AL473" s="2"/>
      <c r="AM473" s="2"/>
      <c r="AN473" s="2"/>
      <c r="AO473" s="9"/>
      <c r="AP473" s="9"/>
      <c r="AQ473" s="9"/>
      <c r="AR473" s="9"/>
    </row>
    <row r="474">
      <c r="A474" s="523"/>
      <c r="B474" s="523"/>
      <c r="C474" s="523"/>
      <c r="D474" s="523"/>
      <c r="E474" s="523"/>
      <c r="F474" s="523"/>
      <c r="G474" s="523"/>
      <c r="H474" s="523"/>
      <c r="I474" s="523"/>
      <c r="J474" s="523"/>
      <c r="K474" s="523"/>
      <c r="L474" s="523"/>
      <c r="M474" s="523"/>
      <c r="N474" s="523"/>
      <c r="O474" s="523"/>
      <c r="P474" s="523"/>
      <c r="Q474" s="523"/>
      <c r="R474" s="523"/>
      <c r="S474" s="523"/>
      <c r="T474" s="523"/>
      <c r="U474" s="523"/>
      <c r="V474" s="224"/>
      <c r="W474" s="224"/>
      <c r="X474" s="224"/>
      <c r="Y474" s="224"/>
      <c r="Z474" s="868"/>
      <c r="AA474" s="865"/>
      <c r="AB474" s="2"/>
      <c r="AC474" s="2"/>
      <c r="AD474" s="2"/>
      <c r="AE474" s="2"/>
      <c r="AF474" s="2"/>
      <c r="AG474" s="2"/>
      <c r="AH474" s="2"/>
      <c r="AI474" s="2"/>
      <c r="AJ474" s="2"/>
      <c r="AK474" s="2"/>
      <c r="AL474" s="2"/>
      <c r="AM474" s="2"/>
      <c r="AN474" s="2"/>
      <c r="AO474" s="9"/>
      <c r="AP474" s="9"/>
      <c r="AQ474" s="9"/>
      <c r="AR474" s="9"/>
    </row>
    <row r="475">
      <c r="A475" s="523"/>
      <c r="B475" s="523"/>
      <c r="C475" s="523"/>
      <c r="D475" s="523"/>
      <c r="E475" s="523"/>
      <c r="F475" s="523"/>
      <c r="G475" s="523"/>
      <c r="H475" s="523"/>
      <c r="I475" s="523"/>
      <c r="J475" s="523"/>
      <c r="K475" s="523"/>
      <c r="L475" s="523"/>
      <c r="M475" s="523"/>
      <c r="N475" s="523"/>
      <c r="O475" s="523"/>
      <c r="P475" s="523"/>
      <c r="Q475" s="523"/>
      <c r="R475" s="523"/>
      <c r="S475" s="523"/>
      <c r="T475" s="523"/>
      <c r="U475" s="523"/>
      <c r="V475" s="224"/>
      <c r="W475" s="224"/>
      <c r="X475" s="224"/>
      <c r="Y475" s="224"/>
      <c r="Z475" s="868"/>
      <c r="AA475" s="865"/>
      <c r="AB475" s="2"/>
      <c r="AC475" s="2"/>
      <c r="AD475" s="2"/>
      <c r="AE475" s="2"/>
      <c r="AF475" s="2"/>
      <c r="AG475" s="2"/>
      <c r="AH475" s="2"/>
      <c r="AI475" s="2"/>
      <c r="AJ475" s="2"/>
      <c r="AK475" s="2"/>
      <c r="AL475" s="2"/>
      <c r="AM475" s="2"/>
      <c r="AN475" s="2"/>
      <c r="AO475" s="9"/>
      <c r="AP475" s="9"/>
      <c r="AQ475" s="9"/>
      <c r="AR475" s="9"/>
    </row>
    <row r="476">
      <c r="A476" s="523"/>
      <c r="B476" s="523"/>
      <c r="C476" s="523"/>
      <c r="D476" s="523"/>
      <c r="E476" s="523"/>
      <c r="F476" s="523"/>
      <c r="G476" s="523"/>
      <c r="H476" s="523"/>
      <c r="I476" s="523"/>
      <c r="J476" s="523"/>
      <c r="K476" s="523"/>
      <c r="L476" s="523"/>
      <c r="M476" s="523"/>
      <c r="N476" s="523"/>
      <c r="O476" s="523"/>
      <c r="P476" s="523"/>
      <c r="Q476" s="523"/>
      <c r="R476" s="523"/>
      <c r="S476" s="523"/>
      <c r="T476" s="523"/>
      <c r="U476" s="523"/>
      <c r="V476" s="224"/>
      <c r="W476" s="224"/>
      <c r="X476" s="224"/>
      <c r="Y476" s="224"/>
      <c r="Z476" s="868"/>
      <c r="AA476" s="865"/>
      <c r="AB476" s="2"/>
      <c r="AC476" s="2"/>
      <c r="AD476" s="2"/>
      <c r="AE476" s="2"/>
      <c r="AF476" s="2"/>
      <c r="AG476" s="2"/>
      <c r="AH476" s="2"/>
      <c r="AI476" s="2"/>
      <c r="AJ476" s="2"/>
      <c r="AK476" s="2"/>
      <c r="AL476" s="2"/>
      <c r="AM476" s="2"/>
      <c r="AN476" s="2"/>
      <c r="AO476" s="9"/>
      <c r="AP476" s="9"/>
      <c r="AQ476" s="9"/>
      <c r="AR476" s="9"/>
    </row>
    <row r="477">
      <c r="A477" s="523"/>
      <c r="B477" s="523"/>
      <c r="C477" s="523"/>
      <c r="D477" s="523"/>
      <c r="E477" s="523"/>
      <c r="F477" s="523"/>
      <c r="G477" s="523"/>
      <c r="H477" s="523"/>
      <c r="I477" s="523"/>
      <c r="J477" s="523"/>
      <c r="K477" s="523"/>
      <c r="L477" s="523"/>
      <c r="M477" s="523"/>
      <c r="N477" s="523"/>
      <c r="O477" s="523"/>
      <c r="P477" s="523"/>
      <c r="Q477" s="523"/>
      <c r="R477" s="523"/>
      <c r="S477" s="523"/>
      <c r="T477" s="523"/>
      <c r="U477" s="523"/>
      <c r="V477" s="224"/>
      <c r="W477" s="224"/>
      <c r="X477" s="224"/>
      <c r="Y477" s="224"/>
      <c r="Z477" s="868"/>
      <c r="AA477" s="865"/>
      <c r="AB477" s="2"/>
      <c r="AC477" s="2"/>
      <c r="AD477" s="2"/>
      <c r="AE477" s="2"/>
      <c r="AF477" s="2"/>
      <c r="AG477" s="2"/>
      <c r="AH477" s="2"/>
      <c r="AI477" s="2"/>
      <c r="AJ477" s="2"/>
      <c r="AK477" s="2"/>
      <c r="AL477" s="2"/>
      <c r="AM477" s="2"/>
      <c r="AN477" s="2"/>
      <c r="AO477" s="9"/>
      <c r="AP477" s="9"/>
      <c r="AQ477" s="9"/>
      <c r="AR477" s="9"/>
    </row>
    <row r="478">
      <c r="A478" s="523"/>
      <c r="B478" s="523"/>
      <c r="C478" s="523"/>
      <c r="D478" s="523"/>
      <c r="E478" s="523"/>
      <c r="F478" s="523"/>
      <c r="G478" s="523"/>
      <c r="H478" s="523"/>
      <c r="I478" s="523"/>
      <c r="J478" s="523"/>
      <c r="K478" s="523"/>
      <c r="L478" s="523"/>
      <c r="M478" s="523"/>
      <c r="N478" s="523"/>
      <c r="O478" s="523"/>
      <c r="P478" s="523"/>
      <c r="Q478" s="523"/>
      <c r="R478" s="523"/>
      <c r="S478" s="523"/>
      <c r="T478" s="523"/>
      <c r="U478" s="523"/>
      <c r="V478" s="224"/>
      <c r="W478" s="224"/>
      <c r="X478" s="224"/>
      <c r="Y478" s="224"/>
      <c r="Z478" s="868"/>
      <c r="AA478" s="865"/>
      <c r="AB478" s="2"/>
      <c r="AC478" s="2"/>
      <c r="AD478" s="2"/>
      <c r="AE478" s="2"/>
      <c r="AF478" s="2"/>
      <c r="AG478" s="2"/>
      <c r="AH478" s="2"/>
      <c r="AI478" s="2"/>
      <c r="AJ478" s="2"/>
      <c r="AK478" s="2"/>
      <c r="AL478" s="2"/>
      <c r="AM478" s="2"/>
      <c r="AN478" s="2"/>
      <c r="AO478" s="9"/>
      <c r="AP478" s="9"/>
      <c r="AQ478" s="9"/>
      <c r="AR478" s="9"/>
    </row>
    <row r="479">
      <c r="A479" s="523"/>
      <c r="B479" s="523"/>
      <c r="C479" s="523"/>
      <c r="D479" s="523"/>
      <c r="E479" s="523"/>
      <c r="F479" s="523"/>
      <c r="G479" s="523"/>
      <c r="H479" s="523"/>
      <c r="I479" s="523"/>
      <c r="J479" s="523"/>
      <c r="K479" s="523"/>
      <c r="L479" s="523"/>
      <c r="M479" s="523"/>
      <c r="N479" s="523"/>
      <c r="O479" s="523"/>
      <c r="P479" s="523"/>
      <c r="Q479" s="523"/>
      <c r="R479" s="523"/>
      <c r="S479" s="523"/>
      <c r="T479" s="523"/>
      <c r="U479" s="523"/>
      <c r="V479" s="224"/>
      <c r="W479" s="224"/>
      <c r="X479" s="224"/>
      <c r="Y479" s="224"/>
      <c r="Z479" s="868"/>
      <c r="AA479" s="865"/>
      <c r="AB479" s="2"/>
      <c r="AC479" s="2"/>
      <c r="AD479" s="2"/>
      <c r="AE479" s="2"/>
      <c r="AF479" s="2"/>
      <c r="AG479" s="2"/>
      <c r="AH479" s="2"/>
      <c r="AI479" s="2"/>
      <c r="AJ479" s="2"/>
      <c r="AK479" s="2"/>
      <c r="AL479" s="2"/>
      <c r="AM479" s="2"/>
      <c r="AN479" s="2"/>
      <c r="AO479" s="9"/>
      <c r="AP479" s="9"/>
      <c r="AQ479" s="9"/>
      <c r="AR479" s="9"/>
    </row>
    <row r="480">
      <c r="A480" s="523"/>
      <c r="B480" s="523"/>
      <c r="C480" s="523"/>
      <c r="D480" s="523"/>
      <c r="E480" s="523"/>
      <c r="F480" s="523"/>
      <c r="G480" s="523"/>
      <c r="H480" s="523"/>
      <c r="I480" s="523"/>
      <c r="J480" s="523"/>
      <c r="K480" s="523"/>
      <c r="L480" s="523"/>
      <c r="M480" s="523"/>
      <c r="N480" s="523"/>
      <c r="O480" s="523"/>
      <c r="P480" s="523"/>
      <c r="Q480" s="523"/>
      <c r="R480" s="523"/>
      <c r="S480" s="523"/>
      <c r="T480" s="523"/>
      <c r="U480" s="523"/>
      <c r="V480" s="224"/>
      <c r="W480" s="224"/>
      <c r="X480" s="224"/>
      <c r="Y480" s="224"/>
      <c r="Z480" s="868"/>
      <c r="AA480" s="865"/>
      <c r="AB480" s="2"/>
      <c r="AC480" s="2"/>
      <c r="AD480" s="2"/>
      <c r="AE480" s="2"/>
      <c r="AF480" s="2"/>
      <c r="AG480" s="2"/>
      <c r="AH480" s="2"/>
      <c r="AI480" s="2"/>
      <c r="AJ480" s="2"/>
      <c r="AK480" s="2"/>
      <c r="AL480" s="2"/>
      <c r="AM480" s="2"/>
      <c r="AN480" s="2"/>
      <c r="AO480" s="9"/>
      <c r="AP480" s="9"/>
      <c r="AQ480" s="9"/>
      <c r="AR480" s="9"/>
    </row>
    <row r="481">
      <c r="A481" s="523"/>
      <c r="B481" s="523"/>
      <c r="C481" s="523"/>
      <c r="D481" s="523"/>
      <c r="E481" s="523"/>
      <c r="F481" s="523"/>
      <c r="G481" s="523"/>
      <c r="H481" s="523"/>
      <c r="I481" s="523"/>
      <c r="J481" s="523"/>
      <c r="K481" s="523"/>
      <c r="L481" s="523"/>
      <c r="M481" s="523"/>
      <c r="N481" s="523"/>
      <c r="O481" s="523"/>
      <c r="P481" s="523"/>
      <c r="Q481" s="523"/>
      <c r="R481" s="523"/>
      <c r="S481" s="523"/>
      <c r="T481" s="523"/>
      <c r="U481" s="523"/>
      <c r="V481" s="224"/>
      <c r="W481" s="224"/>
      <c r="X481" s="224"/>
      <c r="Y481" s="224"/>
      <c r="Z481" s="868"/>
      <c r="AA481" s="865"/>
      <c r="AB481" s="2"/>
      <c r="AC481" s="2"/>
      <c r="AD481" s="2"/>
      <c r="AE481" s="2"/>
      <c r="AF481" s="2"/>
      <c r="AG481" s="2"/>
      <c r="AH481" s="2"/>
      <c r="AI481" s="2"/>
      <c r="AJ481" s="2"/>
      <c r="AK481" s="2"/>
      <c r="AL481" s="2"/>
      <c r="AM481" s="2"/>
      <c r="AN481" s="2"/>
      <c r="AO481" s="9"/>
      <c r="AP481" s="9"/>
      <c r="AQ481" s="9"/>
      <c r="AR481" s="9"/>
    </row>
    <row r="482">
      <c r="A482" s="523"/>
      <c r="B482" s="523"/>
      <c r="C482" s="523"/>
      <c r="D482" s="523"/>
      <c r="E482" s="523"/>
      <c r="F482" s="523"/>
      <c r="G482" s="523"/>
      <c r="H482" s="523"/>
      <c r="I482" s="523"/>
      <c r="J482" s="523"/>
      <c r="K482" s="523"/>
      <c r="L482" s="523"/>
      <c r="M482" s="523"/>
      <c r="N482" s="523"/>
      <c r="O482" s="523"/>
      <c r="P482" s="523"/>
      <c r="Q482" s="523"/>
      <c r="R482" s="523"/>
      <c r="S482" s="523"/>
      <c r="T482" s="523"/>
      <c r="U482" s="523"/>
      <c r="V482" s="224"/>
      <c r="W482" s="224"/>
      <c r="X482" s="224"/>
      <c r="Y482" s="224"/>
      <c r="Z482" s="868"/>
      <c r="AA482" s="865"/>
      <c r="AB482" s="2"/>
      <c r="AC482" s="2"/>
      <c r="AD482" s="2"/>
      <c r="AE482" s="2"/>
      <c r="AF482" s="2"/>
      <c r="AG482" s="2"/>
      <c r="AH482" s="2"/>
      <c r="AI482" s="2"/>
      <c r="AJ482" s="2"/>
      <c r="AK482" s="2"/>
      <c r="AL482" s="2"/>
      <c r="AM482" s="2"/>
      <c r="AN482" s="2"/>
      <c r="AO482" s="9"/>
      <c r="AP482" s="9"/>
      <c r="AQ482" s="9"/>
      <c r="AR482" s="9"/>
    </row>
    <row r="483">
      <c r="A483" s="523"/>
      <c r="B483" s="523"/>
      <c r="C483" s="523"/>
      <c r="D483" s="523"/>
      <c r="E483" s="523"/>
      <c r="F483" s="523"/>
      <c r="G483" s="523"/>
      <c r="H483" s="523"/>
      <c r="I483" s="523"/>
      <c r="J483" s="523"/>
      <c r="K483" s="523"/>
      <c r="L483" s="523"/>
      <c r="M483" s="523"/>
      <c r="N483" s="523"/>
      <c r="O483" s="523"/>
      <c r="P483" s="523"/>
      <c r="Q483" s="523"/>
      <c r="R483" s="523"/>
      <c r="S483" s="523"/>
      <c r="T483" s="523"/>
      <c r="U483" s="523"/>
      <c r="V483" s="224"/>
      <c r="W483" s="224"/>
      <c r="X483" s="224"/>
      <c r="Y483" s="224"/>
      <c r="Z483" s="868"/>
      <c r="AA483" s="865"/>
      <c r="AB483" s="2"/>
      <c r="AC483" s="2"/>
      <c r="AD483" s="2"/>
      <c r="AE483" s="2"/>
      <c r="AF483" s="2"/>
      <c r="AG483" s="2"/>
      <c r="AH483" s="2"/>
      <c r="AI483" s="2"/>
      <c r="AJ483" s="2"/>
      <c r="AK483" s="2"/>
      <c r="AL483" s="2"/>
      <c r="AM483" s="2"/>
      <c r="AN483" s="2"/>
      <c r="AO483" s="9"/>
      <c r="AP483" s="9"/>
      <c r="AQ483" s="9"/>
      <c r="AR483" s="9"/>
    </row>
    <row r="484">
      <c r="A484" s="523"/>
      <c r="B484" s="523"/>
      <c r="C484" s="523"/>
      <c r="D484" s="523"/>
      <c r="E484" s="523"/>
      <c r="F484" s="523"/>
      <c r="G484" s="523"/>
      <c r="H484" s="523"/>
      <c r="I484" s="523"/>
      <c r="J484" s="523"/>
      <c r="K484" s="523"/>
      <c r="L484" s="523"/>
      <c r="M484" s="523"/>
      <c r="N484" s="523"/>
      <c r="O484" s="523"/>
      <c r="P484" s="523"/>
      <c r="Q484" s="523"/>
      <c r="R484" s="523"/>
      <c r="S484" s="523"/>
      <c r="T484" s="523"/>
      <c r="U484" s="523"/>
      <c r="V484" s="224"/>
      <c r="W484" s="224"/>
      <c r="X484" s="224"/>
      <c r="Y484" s="224"/>
      <c r="Z484" s="868"/>
      <c r="AA484" s="865"/>
      <c r="AB484" s="2"/>
      <c r="AC484" s="2"/>
      <c r="AD484" s="2"/>
      <c r="AE484" s="2"/>
      <c r="AF484" s="2"/>
      <c r="AG484" s="2"/>
      <c r="AH484" s="2"/>
      <c r="AI484" s="2"/>
      <c r="AJ484" s="2"/>
      <c r="AK484" s="2"/>
      <c r="AL484" s="2"/>
      <c r="AM484" s="2"/>
      <c r="AN484" s="2"/>
      <c r="AO484" s="9"/>
      <c r="AP484" s="9"/>
      <c r="AQ484" s="9"/>
      <c r="AR484" s="9"/>
    </row>
    <row r="485">
      <c r="A485" s="523"/>
      <c r="B485" s="523"/>
      <c r="C485" s="523"/>
      <c r="D485" s="523"/>
      <c r="E485" s="523"/>
      <c r="F485" s="523"/>
      <c r="G485" s="523"/>
      <c r="H485" s="523"/>
      <c r="I485" s="523"/>
      <c r="J485" s="523"/>
      <c r="K485" s="523"/>
      <c r="L485" s="523"/>
      <c r="M485" s="523"/>
      <c r="N485" s="523"/>
      <c r="O485" s="523"/>
      <c r="P485" s="523"/>
      <c r="Q485" s="523"/>
      <c r="R485" s="523"/>
      <c r="S485" s="523"/>
      <c r="T485" s="523"/>
      <c r="U485" s="523"/>
      <c r="V485" s="224"/>
      <c r="W485" s="224"/>
      <c r="X485" s="224"/>
      <c r="Y485" s="224"/>
      <c r="Z485" s="868"/>
      <c r="AA485" s="865"/>
      <c r="AB485" s="2"/>
      <c r="AC485" s="2"/>
      <c r="AD485" s="2"/>
      <c r="AE485" s="2"/>
      <c r="AF485" s="2"/>
      <c r="AG485" s="2"/>
      <c r="AH485" s="2"/>
      <c r="AI485" s="2"/>
      <c r="AJ485" s="2"/>
      <c r="AK485" s="2"/>
      <c r="AL485" s="2"/>
      <c r="AM485" s="2"/>
      <c r="AN485" s="2"/>
      <c r="AO485" s="9"/>
      <c r="AP485" s="9"/>
      <c r="AQ485" s="9"/>
      <c r="AR485" s="9"/>
    </row>
    <row r="486">
      <c r="A486" s="523"/>
      <c r="B486" s="523"/>
      <c r="C486" s="523"/>
      <c r="D486" s="523"/>
      <c r="E486" s="523"/>
      <c r="F486" s="523"/>
      <c r="G486" s="523"/>
      <c r="H486" s="523"/>
      <c r="I486" s="523"/>
      <c r="J486" s="523"/>
      <c r="K486" s="523"/>
      <c r="L486" s="523"/>
      <c r="M486" s="523"/>
      <c r="N486" s="523"/>
      <c r="O486" s="523"/>
      <c r="P486" s="523"/>
      <c r="Q486" s="523"/>
      <c r="R486" s="523"/>
      <c r="S486" s="523"/>
      <c r="T486" s="523"/>
      <c r="U486" s="523"/>
      <c r="V486" s="224"/>
      <c r="W486" s="224"/>
      <c r="X486" s="224"/>
      <c r="Y486" s="224"/>
      <c r="Z486" s="868"/>
      <c r="AA486" s="865"/>
      <c r="AB486" s="2"/>
      <c r="AC486" s="2"/>
      <c r="AD486" s="2"/>
      <c r="AE486" s="2"/>
      <c r="AF486" s="2"/>
      <c r="AG486" s="2"/>
      <c r="AH486" s="2"/>
      <c r="AI486" s="2"/>
      <c r="AJ486" s="2"/>
      <c r="AK486" s="2"/>
      <c r="AL486" s="2"/>
      <c r="AM486" s="2"/>
      <c r="AN486" s="2"/>
      <c r="AO486" s="9"/>
      <c r="AP486" s="9"/>
      <c r="AQ486" s="9"/>
      <c r="AR486" s="9"/>
    </row>
    <row r="487">
      <c r="A487" s="523"/>
      <c r="B487" s="523"/>
      <c r="C487" s="523"/>
      <c r="D487" s="523"/>
      <c r="E487" s="523"/>
      <c r="F487" s="523"/>
      <c r="G487" s="523"/>
      <c r="H487" s="523"/>
      <c r="I487" s="523"/>
      <c r="J487" s="523"/>
      <c r="K487" s="523"/>
      <c r="L487" s="523"/>
      <c r="M487" s="523"/>
      <c r="N487" s="523"/>
      <c r="O487" s="523"/>
      <c r="P487" s="523"/>
      <c r="Q487" s="523"/>
      <c r="R487" s="523"/>
      <c r="S487" s="523"/>
      <c r="T487" s="523"/>
      <c r="U487" s="523"/>
      <c r="V487" s="224"/>
      <c r="W487" s="224"/>
      <c r="X487" s="224"/>
      <c r="Y487" s="224"/>
      <c r="Z487" s="868"/>
      <c r="AA487" s="865"/>
      <c r="AB487" s="2"/>
      <c r="AC487" s="2"/>
      <c r="AD487" s="2"/>
      <c r="AE487" s="2"/>
      <c r="AF487" s="2"/>
      <c r="AG487" s="2"/>
      <c r="AH487" s="2"/>
      <c r="AI487" s="2"/>
      <c r="AJ487" s="2"/>
      <c r="AK487" s="2"/>
      <c r="AL487" s="2"/>
      <c r="AM487" s="2"/>
      <c r="AN487" s="2"/>
      <c r="AO487" s="9"/>
      <c r="AP487" s="9"/>
      <c r="AQ487" s="9"/>
      <c r="AR487" s="9"/>
    </row>
    <row r="488">
      <c r="A488" s="523"/>
      <c r="B488" s="523"/>
      <c r="C488" s="523"/>
      <c r="D488" s="523"/>
      <c r="E488" s="523"/>
      <c r="F488" s="523"/>
      <c r="G488" s="523"/>
      <c r="H488" s="523"/>
      <c r="I488" s="523"/>
      <c r="J488" s="523"/>
      <c r="K488" s="523"/>
      <c r="L488" s="523"/>
      <c r="M488" s="523"/>
      <c r="N488" s="523"/>
      <c r="O488" s="523"/>
      <c r="P488" s="523"/>
      <c r="Q488" s="523"/>
      <c r="R488" s="523"/>
      <c r="S488" s="523"/>
      <c r="T488" s="523"/>
      <c r="U488" s="523"/>
      <c r="V488" s="224"/>
      <c r="W488" s="224"/>
      <c r="X488" s="224"/>
      <c r="Y488" s="224"/>
      <c r="Z488" s="868"/>
      <c r="AA488" s="865"/>
      <c r="AB488" s="2"/>
      <c r="AC488" s="2"/>
      <c r="AD488" s="2"/>
      <c r="AE488" s="2"/>
      <c r="AF488" s="2"/>
      <c r="AG488" s="2"/>
      <c r="AH488" s="2"/>
      <c r="AI488" s="2"/>
      <c r="AJ488" s="2"/>
      <c r="AK488" s="2"/>
      <c r="AL488" s="2"/>
      <c r="AM488" s="2"/>
      <c r="AN488" s="2"/>
      <c r="AO488" s="9"/>
      <c r="AP488" s="9"/>
      <c r="AQ488" s="9"/>
      <c r="AR488" s="9"/>
    </row>
    <row r="489">
      <c r="A489" s="523"/>
      <c r="B489" s="523"/>
      <c r="C489" s="523"/>
      <c r="D489" s="523"/>
      <c r="E489" s="523"/>
      <c r="F489" s="523"/>
      <c r="G489" s="523"/>
      <c r="H489" s="523"/>
      <c r="I489" s="523"/>
      <c r="J489" s="523"/>
      <c r="K489" s="523"/>
      <c r="L489" s="523"/>
      <c r="M489" s="523"/>
      <c r="N489" s="523"/>
      <c r="O489" s="523"/>
      <c r="P489" s="523"/>
      <c r="Q489" s="523"/>
      <c r="R489" s="523"/>
      <c r="S489" s="523"/>
      <c r="T489" s="523"/>
      <c r="U489" s="523"/>
      <c r="V489" s="224"/>
      <c r="W489" s="224"/>
      <c r="X489" s="224"/>
      <c r="Y489" s="224"/>
      <c r="Z489" s="868"/>
      <c r="AA489" s="865"/>
      <c r="AB489" s="2"/>
      <c r="AC489" s="2"/>
      <c r="AD489" s="2"/>
      <c r="AE489" s="2"/>
      <c r="AF489" s="2"/>
      <c r="AG489" s="2"/>
      <c r="AH489" s="2"/>
      <c r="AI489" s="2"/>
      <c r="AJ489" s="2"/>
      <c r="AK489" s="2"/>
      <c r="AL489" s="2"/>
      <c r="AM489" s="2"/>
      <c r="AN489" s="2"/>
      <c r="AO489" s="9"/>
      <c r="AP489" s="9"/>
      <c r="AQ489" s="9"/>
      <c r="AR489" s="9"/>
    </row>
    <row r="490">
      <c r="A490" s="523"/>
      <c r="B490" s="523"/>
      <c r="C490" s="523"/>
      <c r="D490" s="523"/>
      <c r="E490" s="523"/>
      <c r="F490" s="523"/>
      <c r="G490" s="523"/>
      <c r="H490" s="523"/>
      <c r="I490" s="523"/>
      <c r="J490" s="523"/>
      <c r="K490" s="523"/>
      <c r="L490" s="523"/>
      <c r="M490" s="523"/>
      <c r="N490" s="523"/>
      <c r="O490" s="523"/>
      <c r="P490" s="523"/>
      <c r="Q490" s="523"/>
      <c r="R490" s="523"/>
      <c r="S490" s="523"/>
      <c r="T490" s="523"/>
      <c r="U490" s="523"/>
      <c r="V490" s="224"/>
      <c r="W490" s="224"/>
      <c r="X490" s="224"/>
      <c r="Y490" s="224"/>
      <c r="Z490" s="868"/>
      <c r="AA490" s="865"/>
      <c r="AB490" s="2"/>
      <c r="AC490" s="2"/>
      <c r="AD490" s="2"/>
      <c r="AE490" s="2"/>
      <c r="AF490" s="2"/>
      <c r="AG490" s="2"/>
      <c r="AH490" s="2"/>
      <c r="AI490" s="2"/>
      <c r="AJ490" s="2"/>
      <c r="AK490" s="2"/>
      <c r="AL490" s="2"/>
      <c r="AM490" s="2"/>
      <c r="AN490" s="2"/>
      <c r="AO490" s="9"/>
      <c r="AP490" s="9"/>
      <c r="AQ490" s="9"/>
      <c r="AR490" s="9"/>
    </row>
    <row r="491">
      <c r="A491" s="523"/>
      <c r="B491" s="523"/>
      <c r="C491" s="523"/>
      <c r="D491" s="523"/>
      <c r="E491" s="523"/>
      <c r="F491" s="523"/>
      <c r="G491" s="523"/>
      <c r="H491" s="523"/>
      <c r="I491" s="523"/>
      <c r="J491" s="523"/>
      <c r="K491" s="523"/>
      <c r="L491" s="523"/>
      <c r="M491" s="523"/>
      <c r="N491" s="523"/>
      <c r="O491" s="523"/>
      <c r="P491" s="523"/>
      <c r="Q491" s="523"/>
      <c r="R491" s="523"/>
      <c r="S491" s="523"/>
      <c r="T491" s="523"/>
      <c r="U491" s="523"/>
      <c r="V491" s="224"/>
      <c r="W491" s="224"/>
      <c r="X491" s="224"/>
      <c r="Y491" s="224"/>
      <c r="Z491" s="868"/>
      <c r="AA491" s="865"/>
      <c r="AB491" s="2"/>
      <c r="AC491" s="2"/>
      <c r="AD491" s="2"/>
      <c r="AE491" s="2"/>
      <c r="AF491" s="2"/>
      <c r="AG491" s="2"/>
      <c r="AH491" s="2"/>
      <c r="AI491" s="2"/>
      <c r="AJ491" s="2"/>
      <c r="AK491" s="2"/>
      <c r="AL491" s="2"/>
      <c r="AM491" s="2"/>
      <c r="AN491" s="2"/>
      <c r="AO491" s="9"/>
      <c r="AP491" s="9"/>
      <c r="AQ491" s="9"/>
      <c r="AR491" s="9"/>
    </row>
    <row r="492">
      <c r="A492" s="523"/>
      <c r="B492" s="523"/>
      <c r="C492" s="523"/>
      <c r="D492" s="523"/>
      <c r="E492" s="523"/>
      <c r="F492" s="523"/>
      <c r="G492" s="523"/>
      <c r="H492" s="523"/>
      <c r="I492" s="523"/>
      <c r="J492" s="523"/>
      <c r="K492" s="523"/>
      <c r="L492" s="523"/>
      <c r="M492" s="523"/>
      <c r="N492" s="523"/>
      <c r="O492" s="523"/>
      <c r="P492" s="523"/>
      <c r="Q492" s="523"/>
      <c r="R492" s="523"/>
      <c r="S492" s="523"/>
      <c r="T492" s="523"/>
      <c r="U492" s="523"/>
      <c r="V492" s="224"/>
      <c r="W492" s="224"/>
      <c r="X492" s="224"/>
      <c r="Y492" s="224"/>
      <c r="Z492" s="868"/>
      <c r="AA492" s="865"/>
      <c r="AB492" s="2"/>
      <c r="AC492" s="2"/>
      <c r="AD492" s="2"/>
      <c r="AE492" s="2"/>
      <c r="AF492" s="2"/>
      <c r="AG492" s="2"/>
      <c r="AH492" s="2"/>
      <c r="AI492" s="2"/>
      <c r="AJ492" s="2"/>
      <c r="AK492" s="2"/>
      <c r="AL492" s="2"/>
      <c r="AM492" s="2"/>
      <c r="AN492" s="2"/>
      <c r="AO492" s="9"/>
      <c r="AP492" s="9"/>
      <c r="AQ492" s="9"/>
      <c r="AR492" s="9"/>
    </row>
    <row r="493">
      <c r="A493" s="523"/>
      <c r="B493" s="523"/>
      <c r="C493" s="523"/>
      <c r="D493" s="523"/>
      <c r="E493" s="523"/>
      <c r="F493" s="523"/>
      <c r="G493" s="523"/>
      <c r="H493" s="523"/>
      <c r="I493" s="523"/>
      <c r="J493" s="523"/>
      <c r="K493" s="523"/>
      <c r="L493" s="523"/>
      <c r="M493" s="523"/>
      <c r="N493" s="523"/>
      <c r="O493" s="523"/>
      <c r="P493" s="523"/>
      <c r="Q493" s="523"/>
      <c r="R493" s="523"/>
      <c r="S493" s="523"/>
      <c r="T493" s="523"/>
      <c r="U493" s="523"/>
      <c r="V493" s="224"/>
      <c r="W493" s="224"/>
      <c r="X493" s="224"/>
      <c r="Y493" s="224"/>
      <c r="Z493" s="868"/>
      <c r="AA493" s="865"/>
      <c r="AB493" s="2"/>
      <c r="AC493" s="2"/>
      <c r="AD493" s="2"/>
      <c r="AE493" s="2"/>
      <c r="AF493" s="2"/>
      <c r="AG493" s="2"/>
      <c r="AH493" s="2"/>
      <c r="AI493" s="2"/>
      <c r="AJ493" s="2"/>
      <c r="AK493" s="2"/>
      <c r="AL493" s="2"/>
      <c r="AM493" s="2"/>
      <c r="AN493" s="2"/>
      <c r="AO493" s="9"/>
      <c r="AP493" s="9"/>
      <c r="AQ493" s="9"/>
      <c r="AR493" s="9"/>
    </row>
    <row r="494">
      <c r="A494" s="523"/>
      <c r="B494" s="523"/>
      <c r="C494" s="523"/>
      <c r="D494" s="523"/>
      <c r="E494" s="523"/>
      <c r="F494" s="523"/>
      <c r="G494" s="523"/>
      <c r="H494" s="523"/>
      <c r="I494" s="523"/>
      <c r="J494" s="523"/>
      <c r="K494" s="523"/>
      <c r="L494" s="523"/>
      <c r="M494" s="523"/>
      <c r="N494" s="523"/>
      <c r="O494" s="523"/>
      <c r="P494" s="523"/>
      <c r="Q494" s="523"/>
      <c r="R494" s="523"/>
      <c r="S494" s="523"/>
      <c r="T494" s="523"/>
      <c r="U494" s="523"/>
      <c r="V494" s="224"/>
      <c r="W494" s="224"/>
      <c r="X494" s="224"/>
      <c r="Y494" s="224"/>
      <c r="Z494" s="868"/>
      <c r="AA494" s="865"/>
      <c r="AB494" s="2"/>
      <c r="AC494" s="2"/>
      <c r="AD494" s="2"/>
      <c r="AE494" s="2"/>
      <c r="AF494" s="2"/>
      <c r="AG494" s="2"/>
      <c r="AH494" s="2"/>
      <c r="AI494" s="2"/>
      <c r="AJ494" s="2"/>
      <c r="AK494" s="2"/>
      <c r="AL494" s="2"/>
      <c r="AM494" s="2"/>
      <c r="AN494" s="2"/>
      <c r="AO494" s="9"/>
      <c r="AP494" s="9"/>
      <c r="AQ494" s="9"/>
      <c r="AR494" s="9"/>
    </row>
    <row r="495">
      <c r="A495" s="523"/>
      <c r="B495" s="523"/>
      <c r="C495" s="523"/>
      <c r="D495" s="523"/>
      <c r="E495" s="523"/>
      <c r="F495" s="523"/>
      <c r="G495" s="523"/>
      <c r="H495" s="523"/>
      <c r="I495" s="523"/>
      <c r="J495" s="523"/>
      <c r="K495" s="523"/>
      <c r="L495" s="523"/>
      <c r="M495" s="523"/>
      <c r="N495" s="523"/>
      <c r="O495" s="523"/>
      <c r="P495" s="523"/>
      <c r="Q495" s="523"/>
      <c r="R495" s="523"/>
      <c r="S495" s="523"/>
      <c r="T495" s="523"/>
      <c r="U495" s="523"/>
      <c r="V495" s="224"/>
      <c r="W495" s="224"/>
      <c r="X495" s="224"/>
      <c r="Y495" s="224"/>
      <c r="Z495" s="868"/>
      <c r="AA495" s="865"/>
      <c r="AB495" s="2"/>
      <c r="AC495" s="2"/>
      <c r="AD495" s="2"/>
      <c r="AE495" s="2"/>
      <c r="AF495" s="2"/>
      <c r="AG495" s="2"/>
      <c r="AH495" s="2"/>
      <c r="AI495" s="2"/>
      <c r="AJ495" s="2"/>
      <c r="AK495" s="2"/>
      <c r="AL495" s="2"/>
      <c r="AM495" s="2"/>
      <c r="AN495" s="2"/>
      <c r="AO495" s="9"/>
      <c r="AP495" s="9"/>
      <c r="AQ495" s="9"/>
      <c r="AR495" s="9"/>
    </row>
    <row r="496">
      <c r="A496" s="523"/>
      <c r="B496" s="523"/>
      <c r="C496" s="523"/>
      <c r="D496" s="523"/>
      <c r="E496" s="523"/>
      <c r="F496" s="523"/>
      <c r="G496" s="523"/>
      <c r="H496" s="523"/>
      <c r="I496" s="523"/>
      <c r="J496" s="523"/>
      <c r="K496" s="523"/>
      <c r="L496" s="523"/>
      <c r="M496" s="523"/>
      <c r="N496" s="523"/>
      <c r="O496" s="523"/>
      <c r="P496" s="523"/>
      <c r="Q496" s="523"/>
      <c r="R496" s="523"/>
      <c r="S496" s="523"/>
      <c r="T496" s="523"/>
      <c r="U496" s="523"/>
      <c r="V496" s="224"/>
      <c r="W496" s="224"/>
      <c r="X496" s="224"/>
      <c r="Y496" s="224"/>
      <c r="Z496" s="868"/>
      <c r="AA496" s="865"/>
      <c r="AB496" s="2"/>
      <c r="AC496" s="2"/>
      <c r="AD496" s="2"/>
      <c r="AE496" s="2"/>
      <c r="AF496" s="2"/>
      <c r="AG496" s="2"/>
      <c r="AH496" s="2"/>
      <c r="AI496" s="2"/>
      <c r="AJ496" s="2"/>
      <c r="AK496" s="2"/>
      <c r="AL496" s="2"/>
      <c r="AM496" s="2"/>
      <c r="AN496" s="2"/>
      <c r="AO496" s="9"/>
      <c r="AP496" s="9"/>
      <c r="AQ496" s="9"/>
      <c r="AR496" s="9"/>
    </row>
    <row r="497">
      <c r="A497" s="523"/>
      <c r="B497" s="523"/>
      <c r="C497" s="523"/>
      <c r="D497" s="523"/>
      <c r="E497" s="523"/>
      <c r="F497" s="523"/>
      <c r="G497" s="523"/>
      <c r="H497" s="523"/>
      <c r="I497" s="523"/>
      <c r="J497" s="523"/>
      <c r="K497" s="523"/>
      <c r="L497" s="523"/>
      <c r="M497" s="523"/>
      <c r="N497" s="523"/>
      <c r="O497" s="523"/>
      <c r="P497" s="523"/>
      <c r="Q497" s="523"/>
      <c r="R497" s="523"/>
      <c r="S497" s="523"/>
      <c r="T497" s="523"/>
      <c r="U497" s="523"/>
      <c r="V497" s="224"/>
      <c r="W497" s="224"/>
      <c r="X497" s="224"/>
      <c r="Y497" s="224"/>
      <c r="Z497" s="868"/>
      <c r="AA497" s="865"/>
      <c r="AB497" s="2"/>
      <c r="AC497" s="2"/>
      <c r="AD497" s="2"/>
      <c r="AE497" s="2"/>
      <c r="AF497" s="2"/>
      <c r="AG497" s="2"/>
      <c r="AH497" s="2"/>
      <c r="AI497" s="2"/>
      <c r="AJ497" s="2"/>
      <c r="AK497" s="2"/>
      <c r="AL497" s="2"/>
      <c r="AM497" s="2"/>
      <c r="AN497" s="2"/>
      <c r="AO497" s="9"/>
      <c r="AP497" s="9"/>
      <c r="AQ497" s="9"/>
      <c r="AR497" s="9"/>
    </row>
    <row r="498">
      <c r="A498" s="523"/>
      <c r="B498" s="523"/>
      <c r="C498" s="523"/>
      <c r="D498" s="523"/>
      <c r="E498" s="523"/>
      <c r="F498" s="523"/>
      <c r="G498" s="523"/>
      <c r="H498" s="523"/>
      <c r="I498" s="523"/>
      <c r="J498" s="523"/>
      <c r="K498" s="523"/>
      <c r="L498" s="523"/>
      <c r="M498" s="523"/>
      <c r="N498" s="523"/>
      <c r="O498" s="523"/>
      <c r="P498" s="523"/>
      <c r="Q498" s="523"/>
      <c r="R498" s="523"/>
      <c r="S498" s="523"/>
      <c r="T498" s="523"/>
      <c r="U498" s="523"/>
      <c r="V498" s="224"/>
      <c r="W498" s="224"/>
      <c r="X498" s="224"/>
      <c r="Y498" s="224"/>
      <c r="Z498" s="868"/>
      <c r="AA498" s="865"/>
      <c r="AB498" s="2"/>
      <c r="AC498" s="2"/>
      <c r="AD498" s="2"/>
      <c r="AE498" s="2"/>
      <c r="AF498" s="2"/>
      <c r="AG498" s="2"/>
      <c r="AH498" s="2"/>
      <c r="AI498" s="2"/>
      <c r="AJ498" s="2"/>
      <c r="AK498" s="2"/>
      <c r="AL498" s="2"/>
      <c r="AM498" s="2"/>
      <c r="AN498" s="2"/>
      <c r="AO498" s="9"/>
      <c r="AP498" s="9"/>
      <c r="AQ498" s="9"/>
      <c r="AR498" s="9"/>
    </row>
    <row r="499">
      <c r="A499" s="523"/>
      <c r="B499" s="523"/>
      <c r="C499" s="523"/>
      <c r="D499" s="523"/>
      <c r="E499" s="523"/>
      <c r="F499" s="523"/>
      <c r="G499" s="523"/>
      <c r="H499" s="523"/>
      <c r="I499" s="523"/>
      <c r="J499" s="523"/>
      <c r="K499" s="523"/>
      <c r="L499" s="523"/>
      <c r="M499" s="523"/>
      <c r="N499" s="523"/>
      <c r="O499" s="523"/>
      <c r="P499" s="523"/>
      <c r="Q499" s="523"/>
      <c r="R499" s="523"/>
      <c r="S499" s="523"/>
      <c r="T499" s="523"/>
      <c r="U499" s="523"/>
      <c r="V499" s="224"/>
      <c r="W499" s="224"/>
      <c r="X499" s="224"/>
      <c r="Y499" s="224"/>
      <c r="Z499" s="868"/>
      <c r="AA499" s="865"/>
      <c r="AB499" s="2"/>
      <c r="AC499" s="2"/>
      <c r="AD499" s="2"/>
      <c r="AE499" s="2"/>
      <c r="AF499" s="2"/>
      <c r="AG499" s="2"/>
      <c r="AH499" s="2"/>
      <c r="AI499" s="2"/>
      <c r="AJ499" s="2"/>
      <c r="AK499" s="2"/>
      <c r="AL499" s="2"/>
      <c r="AM499" s="2"/>
      <c r="AN499" s="2"/>
      <c r="AO499" s="9"/>
      <c r="AP499" s="9"/>
      <c r="AQ499" s="9"/>
      <c r="AR499" s="9"/>
    </row>
    <row r="500">
      <c r="A500" s="523"/>
      <c r="B500" s="523"/>
      <c r="C500" s="523"/>
      <c r="D500" s="523"/>
      <c r="E500" s="523"/>
      <c r="F500" s="523"/>
      <c r="G500" s="523"/>
      <c r="H500" s="523"/>
      <c r="I500" s="523"/>
      <c r="J500" s="523"/>
      <c r="K500" s="523"/>
      <c r="L500" s="523"/>
      <c r="M500" s="523"/>
      <c r="N500" s="523"/>
      <c r="O500" s="523"/>
      <c r="P500" s="523"/>
      <c r="Q500" s="523"/>
      <c r="R500" s="523"/>
      <c r="S500" s="523"/>
      <c r="T500" s="523"/>
      <c r="U500" s="523"/>
      <c r="V500" s="224"/>
      <c r="W500" s="224"/>
      <c r="X500" s="224"/>
      <c r="Y500" s="224"/>
      <c r="Z500" s="868"/>
      <c r="AA500" s="865"/>
      <c r="AB500" s="2"/>
      <c r="AC500" s="2"/>
      <c r="AD500" s="2"/>
      <c r="AE500" s="2"/>
      <c r="AF500" s="2"/>
      <c r="AG500" s="2"/>
      <c r="AH500" s="2"/>
      <c r="AI500" s="2"/>
      <c r="AJ500" s="2"/>
      <c r="AK500" s="2"/>
      <c r="AL500" s="2"/>
      <c r="AM500" s="2"/>
      <c r="AN500" s="2"/>
      <c r="AO500" s="9"/>
      <c r="AP500" s="9"/>
      <c r="AQ500" s="9"/>
      <c r="AR500" s="9"/>
    </row>
    <row r="501">
      <c r="A501" s="523"/>
      <c r="B501" s="523"/>
      <c r="C501" s="523"/>
      <c r="D501" s="523"/>
      <c r="E501" s="523"/>
      <c r="F501" s="523"/>
      <c r="G501" s="523"/>
      <c r="H501" s="523"/>
      <c r="I501" s="523"/>
      <c r="J501" s="523"/>
      <c r="K501" s="523"/>
      <c r="L501" s="523"/>
      <c r="M501" s="523"/>
      <c r="N501" s="523"/>
      <c r="O501" s="523"/>
      <c r="P501" s="523"/>
      <c r="Q501" s="523"/>
      <c r="R501" s="523"/>
      <c r="S501" s="523"/>
      <c r="T501" s="523"/>
      <c r="U501" s="523"/>
      <c r="V501" s="224"/>
      <c r="W501" s="224"/>
      <c r="X501" s="224"/>
      <c r="Y501" s="224"/>
      <c r="Z501" s="868"/>
      <c r="AA501" s="865"/>
      <c r="AB501" s="2"/>
      <c r="AC501" s="2"/>
      <c r="AD501" s="2"/>
      <c r="AE501" s="2"/>
      <c r="AF501" s="2"/>
      <c r="AG501" s="2"/>
      <c r="AH501" s="2"/>
      <c r="AI501" s="2"/>
      <c r="AJ501" s="2"/>
      <c r="AK501" s="2"/>
      <c r="AL501" s="2"/>
      <c r="AM501" s="2"/>
      <c r="AN501" s="2"/>
      <c r="AO501" s="9"/>
      <c r="AP501" s="9"/>
      <c r="AQ501" s="9"/>
      <c r="AR501" s="9"/>
    </row>
    <row r="502">
      <c r="A502" s="523"/>
      <c r="B502" s="523"/>
      <c r="C502" s="523"/>
      <c r="D502" s="523"/>
      <c r="E502" s="523"/>
      <c r="F502" s="523"/>
      <c r="G502" s="523"/>
      <c r="H502" s="523"/>
      <c r="I502" s="523"/>
      <c r="J502" s="523"/>
      <c r="K502" s="523"/>
      <c r="L502" s="523"/>
      <c r="M502" s="523"/>
      <c r="N502" s="523"/>
      <c r="O502" s="523"/>
      <c r="P502" s="523"/>
      <c r="Q502" s="523"/>
      <c r="R502" s="523"/>
      <c r="S502" s="523"/>
      <c r="T502" s="523"/>
      <c r="U502" s="523"/>
      <c r="V502" s="224"/>
      <c r="W502" s="224"/>
      <c r="X502" s="224"/>
      <c r="Y502" s="224"/>
      <c r="Z502" s="868"/>
      <c r="AA502" s="865"/>
      <c r="AB502" s="2"/>
      <c r="AC502" s="2"/>
      <c r="AD502" s="2"/>
      <c r="AE502" s="2"/>
      <c r="AF502" s="2"/>
      <c r="AG502" s="2"/>
      <c r="AH502" s="2"/>
      <c r="AI502" s="2"/>
      <c r="AJ502" s="2"/>
      <c r="AK502" s="2"/>
      <c r="AL502" s="2"/>
      <c r="AM502" s="2"/>
      <c r="AN502" s="2"/>
      <c r="AO502" s="9"/>
      <c r="AP502" s="9"/>
      <c r="AQ502" s="9"/>
      <c r="AR502" s="9"/>
    </row>
    <row r="503">
      <c r="A503" s="523"/>
      <c r="B503" s="523"/>
      <c r="C503" s="523"/>
      <c r="D503" s="523"/>
      <c r="E503" s="523"/>
      <c r="F503" s="523"/>
      <c r="G503" s="523"/>
      <c r="H503" s="523"/>
      <c r="I503" s="523"/>
      <c r="J503" s="523"/>
      <c r="K503" s="523"/>
      <c r="L503" s="523"/>
      <c r="M503" s="523"/>
      <c r="N503" s="523"/>
      <c r="O503" s="523"/>
      <c r="P503" s="523"/>
      <c r="Q503" s="523"/>
      <c r="R503" s="523"/>
      <c r="S503" s="523"/>
      <c r="T503" s="523"/>
      <c r="U503" s="523"/>
      <c r="V503" s="224"/>
      <c r="W503" s="224"/>
      <c r="X503" s="224"/>
      <c r="Y503" s="224"/>
      <c r="Z503" s="868"/>
      <c r="AA503" s="865"/>
      <c r="AB503" s="2"/>
      <c r="AC503" s="2"/>
      <c r="AD503" s="2"/>
      <c r="AE503" s="2"/>
      <c r="AF503" s="2"/>
      <c r="AG503" s="2"/>
      <c r="AH503" s="2"/>
      <c r="AI503" s="2"/>
      <c r="AJ503" s="2"/>
      <c r="AK503" s="2"/>
      <c r="AL503" s="2"/>
      <c r="AM503" s="2"/>
      <c r="AN503" s="2"/>
      <c r="AO503" s="9"/>
      <c r="AP503" s="9"/>
      <c r="AQ503" s="9"/>
      <c r="AR503" s="9"/>
    </row>
    <row r="504">
      <c r="A504" s="523"/>
      <c r="B504" s="523"/>
      <c r="C504" s="523"/>
      <c r="D504" s="523"/>
      <c r="E504" s="523"/>
      <c r="F504" s="523"/>
      <c r="G504" s="523"/>
      <c r="H504" s="523"/>
      <c r="I504" s="523"/>
      <c r="J504" s="523"/>
      <c r="K504" s="523"/>
      <c r="L504" s="523"/>
      <c r="M504" s="523"/>
      <c r="N504" s="523"/>
      <c r="O504" s="523"/>
      <c r="P504" s="523"/>
      <c r="Q504" s="523"/>
      <c r="R504" s="523"/>
      <c r="S504" s="523"/>
      <c r="T504" s="523"/>
      <c r="U504" s="523"/>
      <c r="V504" s="224"/>
      <c r="W504" s="224"/>
      <c r="X504" s="224"/>
      <c r="Y504" s="224"/>
      <c r="Z504" s="868"/>
      <c r="AA504" s="865"/>
      <c r="AB504" s="2"/>
      <c r="AC504" s="2"/>
      <c r="AD504" s="2"/>
      <c r="AE504" s="2"/>
      <c r="AF504" s="2"/>
      <c r="AG504" s="2"/>
      <c r="AH504" s="2"/>
      <c r="AI504" s="2"/>
      <c r="AJ504" s="2"/>
      <c r="AK504" s="2"/>
      <c r="AL504" s="2"/>
      <c r="AM504" s="2"/>
      <c r="AN504" s="2"/>
      <c r="AO504" s="9"/>
      <c r="AP504" s="9"/>
      <c r="AQ504" s="9"/>
      <c r="AR504" s="9"/>
    </row>
    <row r="505">
      <c r="A505" s="523"/>
      <c r="B505" s="523"/>
      <c r="C505" s="523"/>
      <c r="D505" s="523"/>
      <c r="E505" s="523"/>
      <c r="F505" s="523"/>
      <c r="G505" s="523"/>
      <c r="H505" s="523"/>
      <c r="I505" s="523"/>
      <c r="J505" s="523"/>
      <c r="K505" s="523"/>
      <c r="L505" s="523"/>
      <c r="M505" s="523"/>
      <c r="N505" s="523"/>
      <c r="O505" s="523"/>
      <c r="P505" s="523"/>
      <c r="Q505" s="523"/>
      <c r="R505" s="523"/>
      <c r="S505" s="523"/>
      <c r="T505" s="523"/>
      <c r="U505" s="523"/>
      <c r="V505" s="224"/>
      <c r="W505" s="224"/>
      <c r="X505" s="224"/>
      <c r="Y505" s="224"/>
      <c r="Z505" s="868"/>
      <c r="AA505" s="865"/>
      <c r="AB505" s="2"/>
      <c r="AC505" s="2"/>
      <c r="AD505" s="2"/>
      <c r="AE505" s="2"/>
      <c r="AF505" s="2"/>
      <c r="AG505" s="2"/>
      <c r="AH505" s="2"/>
      <c r="AI505" s="2"/>
      <c r="AJ505" s="2"/>
      <c r="AK505" s="2"/>
      <c r="AL505" s="2"/>
      <c r="AM505" s="2"/>
      <c r="AN505" s="2"/>
      <c r="AO505" s="9"/>
      <c r="AP505" s="9"/>
      <c r="AQ505" s="9"/>
      <c r="AR505" s="9"/>
    </row>
    <row r="506">
      <c r="A506" s="523"/>
      <c r="B506" s="523"/>
      <c r="C506" s="523"/>
      <c r="D506" s="523"/>
      <c r="E506" s="523"/>
      <c r="F506" s="523"/>
      <c r="G506" s="523"/>
      <c r="H506" s="523"/>
      <c r="I506" s="523"/>
      <c r="J506" s="523"/>
      <c r="K506" s="523"/>
      <c r="L506" s="523"/>
      <c r="M506" s="523"/>
      <c r="N506" s="523"/>
      <c r="O506" s="523"/>
      <c r="P506" s="523"/>
      <c r="Q506" s="523"/>
      <c r="R506" s="523"/>
      <c r="S506" s="523"/>
      <c r="T506" s="523"/>
      <c r="U506" s="523"/>
      <c r="V506" s="224"/>
      <c r="W506" s="224"/>
      <c r="X506" s="224"/>
      <c r="Y506" s="224"/>
      <c r="Z506" s="868"/>
      <c r="AA506" s="865"/>
      <c r="AB506" s="2"/>
      <c r="AC506" s="2"/>
      <c r="AD506" s="2"/>
      <c r="AE506" s="2"/>
      <c r="AF506" s="2"/>
      <c r="AG506" s="2"/>
      <c r="AH506" s="2"/>
      <c r="AI506" s="2"/>
      <c r="AJ506" s="2"/>
      <c r="AK506" s="2"/>
      <c r="AL506" s="2"/>
      <c r="AM506" s="2"/>
      <c r="AN506" s="2"/>
      <c r="AO506" s="9"/>
      <c r="AP506" s="9"/>
      <c r="AQ506" s="9"/>
      <c r="AR506" s="9"/>
    </row>
    <row r="507">
      <c r="A507" s="523"/>
      <c r="B507" s="523"/>
      <c r="C507" s="523"/>
      <c r="D507" s="523"/>
      <c r="E507" s="523"/>
      <c r="F507" s="523"/>
      <c r="G507" s="523"/>
      <c r="H507" s="523"/>
      <c r="I507" s="523"/>
      <c r="J507" s="523"/>
      <c r="K507" s="523"/>
      <c r="L507" s="523"/>
      <c r="M507" s="523"/>
      <c r="N507" s="523"/>
      <c r="O507" s="523"/>
      <c r="P507" s="523"/>
      <c r="Q507" s="523"/>
      <c r="R507" s="523"/>
      <c r="S507" s="523"/>
      <c r="T507" s="523"/>
      <c r="U507" s="523"/>
      <c r="V507" s="224"/>
      <c r="W507" s="224"/>
      <c r="X507" s="224"/>
      <c r="Y507" s="224"/>
      <c r="Z507" s="868"/>
      <c r="AA507" s="865"/>
      <c r="AB507" s="2"/>
      <c r="AC507" s="2"/>
      <c r="AD507" s="2"/>
      <c r="AE507" s="2"/>
      <c r="AF507" s="2"/>
      <c r="AG507" s="2"/>
      <c r="AH507" s="2"/>
      <c r="AI507" s="2"/>
      <c r="AJ507" s="2"/>
      <c r="AK507" s="2"/>
      <c r="AL507" s="2"/>
      <c r="AM507" s="2"/>
      <c r="AN507" s="2"/>
      <c r="AO507" s="9"/>
      <c r="AP507" s="9"/>
      <c r="AQ507" s="9"/>
      <c r="AR507" s="9"/>
    </row>
    <row r="508">
      <c r="A508" s="523"/>
      <c r="B508" s="523"/>
      <c r="C508" s="523"/>
      <c r="D508" s="523"/>
      <c r="E508" s="523"/>
      <c r="F508" s="523"/>
      <c r="G508" s="523"/>
      <c r="H508" s="523"/>
      <c r="I508" s="523"/>
      <c r="J508" s="523"/>
      <c r="K508" s="523"/>
      <c r="L508" s="523"/>
      <c r="M508" s="523"/>
      <c r="N508" s="523"/>
      <c r="O508" s="523"/>
      <c r="P508" s="523"/>
      <c r="Q508" s="523"/>
      <c r="R508" s="523"/>
      <c r="S508" s="523"/>
      <c r="T508" s="523"/>
      <c r="U508" s="523"/>
      <c r="V508" s="224"/>
      <c r="W508" s="224"/>
      <c r="X508" s="224"/>
      <c r="Y508" s="224"/>
      <c r="Z508" s="868"/>
      <c r="AA508" s="865"/>
      <c r="AB508" s="2"/>
      <c r="AC508" s="2"/>
      <c r="AD508" s="2"/>
      <c r="AE508" s="2"/>
      <c r="AF508" s="2"/>
      <c r="AG508" s="2"/>
      <c r="AH508" s="2"/>
      <c r="AI508" s="2"/>
      <c r="AJ508" s="2"/>
      <c r="AK508" s="2"/>
      <c r="AL508" s="2"/>
      <c r="AM508" s="2"/>
      <c r="AN508" s="2"/>
      <c r="AO508" s="9"/>
      <c r="AP508" s="9"/>
      <c r="AQ508" s="9"/>
      <c r="AR508" s="9"/>
    </row>
    <row r="509">
      <c r="A509" s="523"/>
      <c r="B509" s="523"/>
      <c r="C509" s="523"/>
      <c r="D509" s="523"/>
      <c r="E509" s="523"/>
      <c r="F509" s="523"/>
      <c r="G509" s="523"/>
      <c r="H509" s="523"/>
      <c r="I509" s="523"/>
      <c r="J509" s="523"/>
      <c r="K509" s="523"/>
      <c r="L509" s="523"/>
      <c r="M509" s="523"/>
      <c r="N509" s="523"/>
      <c r="O509" s="523"/>
      <c r="P509" s="523"/>
      <c r="Q509" s="523"/>
      <c r="R509" s="523"/>
      <c r="S509" s="523"/>
      <c r="T509" s="523"/>
      <c r="U509" s="523"/>
      <c r="V509" s="224"/>
      <c r="W509" s="224"/>
      <c r="X509" s="224"/>
      <c r="Y509" s="224"/>
      <c r="Z509" s="868"/>
      <c r="AA509" s="865"/>
      <c r="AB509" s="2"/>
      <c r="AC509" s="2"/>
      <c r="AD509" s="2"/>
      <c r="AE509" s="2"/>
      <c r="AF509" s="2"/>
      <c r="AG509" s="2"/>
      <c r="AH509" s="2"/>
      <c r="AI509" s="2"/>
      <c r="AJ509" s="2"/>
      <c r="AK509" s="2"/>
      <c r="AL509" s="2"/>
      <c r="AM509" s="2"/>
      <c r="AN509" s="2"/>
      <c r="AO509" s="9"/>
      <c r="AP509" s="9"/>
      <c r="AQ509" s="9"/>
      <c r="AR509" s="9"/>
    </row>
    <row r="510">
      <c r="A510" s="523"/>
      <c r="B510" s="523"/>
      <c r="C510" s="523"/>
      <c r="D510" s="523"/>
      <c r="E510" s="523"/>
      <c r="F510" s="523"/>
      <c r="G510" s="523"/>
      <c r="H510" s="523"/>
      <c r="I510" s="523"/>
      <c r="J510" s="523"/>
      <c r="K510" s="523"/>
      <c r="L510" s="523"/>
      <c r="M510" s="523"/>
      <c r="N510" s="523"/>
      <c r="O510" s="523"/>
      <c r="P510" s="523"/>
      <c r="Q510" s="523"/>
      <c r="R510" s="523"/>
      <c r="S510" s="523"/>
      <c r="T510" s="523"/>
      <c r="U510" s="523"/>
      <c r="V510" s="224"/>
      <c r="W510" s="224"/>
      <c r="X510" s="224"/>
      <c r="Y510" s="224"/>
      <c r="Z510" s="868"/>
      <c r="AA510" s="865"/>
      <c r="AB510" s="2"/>
      <c r="AC510" s="2"/>
      <c r="AD510" s="2"/>
      <c r="AE510" s="2"/>
      <c r="AF510" s="2"/>
      <c r="AG510" s="2"/>
      <c r="AH510" s="2"/>
      <c r="AI510" s="2"/>
      <c r="AJ510" s="2"/>
      <c r="AK510" s="2"/>
      <c r="AL510" s="2"/>
      <c r="AM510" s="2"/>
      <c r="AN510" s="2"/>
      <c r="AO510" s="9"/>
      <c r="AP510" s="9"/>
      <c r="AQ510" s="9"/>
      <c r="AR510" s="9"/>
    </row>
    <row r="511">
      <c r="A511" s="523"/>
      <c r="B511" s="523"/>
      <c r="C511" s="523"/>
      <c r="D511" s="523"/>
      <c r="E511" s="523"/>
      <c r="F511" s="523"/>
      <c r="G511" s="523"/>
      <c r="H511" s="523"/>
      <c r="I511" s="523"/>
      <c r="J511" s="523"/>
      <c r="K511" s="523"/>
      <c r="L511" s="523"/>
      <c r="M511" s="523"/>
      <c r="N511" s="523"/>
      <c r="O511" s="523"/>
      <c r="P511" s="523"/>
      <c r="Q511" s="523"/>
      <c r="R511" s="523"/>
      <c r="S511" s="523"/>
      <c r="T511" s="523"/>
      <c r="U511" s="523"/>
      <c r="V511" s="224"/>
      <c r="W511" s="224"/>
      <c r="X511" s="224"/>
      <c r="Y511" s="224"/>
      <c r="Z511" s="868"/>
      <c r="AA511" s="865"/>
      <c r="AB511" s="2"/>
      <c r="AC511" s="2"/>
      <c r="AD511" s="2"/>
      <c r="AE511" s="2"/>
      <c r="AF511" s="2"/>
      <c r="AG511" s="2"/>
      <c r="AH511" s="2"/>
      <c r="AI511" s="2"/>
      <c r="AJ511" s="2"/>
      <c r="AK511" s="2"/>
      <c r="AL511" s="2"/>
      <c r="AM511" s="2"/>
      <c r="AN511" s="2"/>
      <c r="AO511" s="9"/>
      <c r="AP511" s="9"/>
      <c r="AQ511" s="9"/>
      <c r="AR511" s="9"/>
    </row>
    <row r="512">
      <c r="A512" s="523"/>
      <c r="B512" s="523"/>
      <c r="C512" s="523"/>
      <c r="D512" s="523"/>
      <c r="E512" s="523"/>
      <c r="F512" s="523"/>
      <c r="G512" s="523"/>
      <c r="H512" s="523"/>
      <c r="I512" s="523"/>
      <c r="J512" s="523"/>
      <c r="K512" s="523"/>
      <c r="L512" s="523"/>
      <c r="M512" s="523"/>
      <c r="N512" s="523"/>
      <c r="O512" s="523"/>
      <c r="P512" s="523"/>
      <c r="Q512" s="523"/>
      <c r="R512" s="523"/>
      <c r="S512" s="523"/>
      <c r="T512" s="523"/>
      <c r="U512" s="523"/>
      <c r="V512" s="224"/>
      <c r="W512" s="224"/>
      <c r="X512" s="224"/>
      <c r="Y512" s="224"/>
      <c r="Z512" s="868"/>
      <c r="AA512" s="865"/>
      <c r="AB512" s="2"/>
      <c r="AC512" s="2"/>
      <c r="AD512" s="2"/>
      <c r="AE512" s="2"/>
      <c r="AF512" s="2"/>
      <c r="AG512" s="2"/>
      <c r="AH512" s="2"/>
      <c r="AI512" s="2"/>
      <c r="AJ512" s="2"/>
      <c r="AK512" s="2"/>
      <c r="AL512" s="2"/>
      <c r="AM512" s="2"/>
      <c r="AN512" s="2"/>
      <c r="AO512" s="9"/>
      <c r="AP512" s="9"/>
      <c r="AQ512" s="9"/>
      <c r="AR512" s="9"/>
    </row>
    <row r="513">
      <c r="A513" s="523"/>
      <c r="B513" s="523"/>
      <c r="C513" s="523"/>
      <c r="D513" s="523"/>
      <c r="E513" s="523"/>
      <c r="F513" s="523"/>
      <c r="G513" s="523"/>
      <c r="H513" s="523"/>
      <c r="I513" s="523"/>
      <c r="J513" s="523"/>
      <c r="K513" s="523"/>
      <c r="L513" s="523"/>
      <c r="M513" s="523"/>
      <c r="N513" s="523"/>
      <c r="O513" s="523"/>
      <c r="P513" s="523"/>
      <c r="Q513" s="523"/>
      <c r="R513" s="523"/>
      <c r="S513" s="523"/>
      <c r="T513" s="523"/>
      <c r="U513" s="523"/>
      <c r="V513" s="224"/>
      <c r="W513" s="224"/>
      <c r="X513" s="224"/>
      <c r="Y513" s="224"/>
      <c r="Z513" s="868"/>
      <c r="AA513" s="865"/>
      <c r="AB513" s="2"/>
      <c r="AC513" s="2"/>
      <c r="AD513" s="2"/>
      <c r="AE513" s="2"/>
      <c r="AF513" s="2"/>
      <c r="AG513" s="2"/>
      <c r="AH513" s="2"/>
      <c r="AI513" s="2"/>
      <c r="AJ513" s="2"/>
      <c r="AK513" s="2"/>
      <c r="AL513" s="2"/>
      <c r="AM513" s="2"/>
      <c r="AN513" s="2"/>
      <c r="AO513" s="9"/>
      <c r="AP513" s="9"/>
      <c r="AQ513" s="9"/>
      <c r="AR513" s="9"/>
    </row>
    <row r="514">
      <c r="A514" s="523"/>
      <c r="B514" s="523"/>
      <c r="C514" s="523"/>
      <c r="D514" s="523"/>
      <c r="E514" s="523"/>
      <c r="F514" s="523"/>
      <c r="G514" s="523"/>
      <c r="H514" s="523"/>
      <c r="I514" s="523"/>
      <c r="J514" s="523"/>
      <c r="K514" s="523"/>
      <c r="L514" s="523"/>
      <c r="M514" s="523"/>
      <c r="N514" s="523"/>
      <c r="O514" s="523"/>
      <c r="P514" s="523"/>
      <c r="Q514" s="523"/>
      <c r="R514" s="523"/>
      <c r="S514" s="523"/>
      <c r="T514" s="523"/>
      <c r="U514" s="523"/>
      <c r="V514" s="224"/>
      <c r="W514" s="224"/>
      <c r="X514" s="224"/>
      <c r="Y514" s="224"/>
      <c r="Z514" s="868"/>
      <c r="AA514" s="865"/>
      <c r="AB514" s="2"/>
      <c r="AC514" s="2"/>
      <c r="AD514" s="2"/>
      <c r="AE514" s="2"/>
      <c r="AF514" s="2"/>
      <c r="AG514" s="2"/>
      <c r="AH514" s="2"/>
      <c r="AI514" s="2"/>
      <c r="AJ514" s="2"/>
      <c r="AK514" s="2"/>
      <c r="AL514" s="2"/>
      <c r="AM514" s="2"/>
      <c r="AN514" s="2"/>
      <c r="AO514" s="9"/>
      <c r="AP514" s="9"/>
      <c r="AQ514" s="9"/>
      <c r="AR514" s="9"/>
    </row>
    <row r="515">
      <c r="A515" s="523"/>
      <c r="B515" s="523"/>
      <c r="C515" s="523"/>
      <c r="D515" s="523"/>
      <c r="E515" s="523"/>
      <c r="F515" s="523"/>
      <c r="G515" s="523"/>
      <c r="H515" s="523"/>
      <c r="I515" s="523"/>
      <c r="J515" s="523"/>
      <c r="K515" s="523"/>
      <c r="L515" s="523"/>
      <c r="M515" s="523"/>
      <c r="N515" s="523"/>
      <c r="O515" s="523"/>
      <c r="P515" s="523"/>
      <c r="Q515" s="523"/>
      <c r="R515" s="523"/>
      <c r="S515" s="523"/>
      <c r="T515" s="523"/>
      <c r="U515" s="523"/>
      <c r="V515" s="224"/>
      <c r="W515" s="224"/>
      <c r="X515" s="224"/>
      <c r="Y515" s="224"/>
      <c r="Z515" s="868"/>
      <c r="AA515" s="865"/>
      <c r="AB515" s="2"/>
      <c r="AC515" s="2"/>
      <c r="AD515" s="2"/>
      <c r="AE515" s="2"/>
      <c r="AF515" s="2"/>
      <c r="AG515" s="2"/>
      <c r="AH515" s="2"/>
      <c r="AI515" s="2"/>
      <c r="AJ515" s="2"/>
      <c r="AK515" s="2"/>
      <c r="AL515" s="2"/>
      <c r="AM515" s="2"/>
      <c r="AN515" s="2"/>
      <c r="AO515" s="9"/>
      <c r="AP515" s="9"/>
      <c r="AQ515" s="9"/>
      <c r="AR515" s="9"/>
    </row>
    <row r="516">
      <c r="A516" s="523"/>
      <c r="B516" s="523"/>
      <c r="C516" s="523"/>
      <c r="D516" s="523"/>
      <c r="E516" s="523"/>
      <c r="F516" s="523"/>
      <c r="G516" s="523"/>
      <c r="H516" s="523"/>
      <c r="I516" s="523"/>
      <c r="J516" s="523"/>
      <c r="K516" s="523"/>
      <c r="L516" s="523"/>
      <c r="M516" s="523"/>
      <c r="N516" s="523"/>
      <c r="O516" s="523"/>
      <c r="P516" s="523"/>
      <c r="Q516" s="523"/>
      <c r="R516" s="523"/>
      <c r="S516" s="523"/>
      <c r="T516" s="523"/>
      <c r="U516" s="523"/>
      <c r="V516" s="224"/>
      <c r="W516" s="224"/>
      <c r="X516" s="224"/>
      <c r="Y516" s="224"/>
      <c r="Z516" s="868"/>
      <c r="AA516" s="865"/>
      <c r="AB516" s="2"/>
      <c r="AC516" s="2"/>
      <c r="AD516" s="2"/>
      <c r="AE516" s="2"/>
      <c r="AF516" s="2"/>
      <c r="AG516" s="2"/>
      <c r="AH516" s="2"/>
      <c r="AI516" s="2"/>
      <c r="AJ516" s="2"/>
      <c r="AK516" s="2"/>
      <c r="AL516" s="2"/>
      <c r="AM516" s="2"/>
      <c r="AN516" s="2"/>
      <c r="AO516" s="9"/>
      <c r="AP516" s="9"/>
      <c r="AQ516" s="9"/>
      <c r="AR516" s="9"/>
    </row>
    <row r="517">
      <c r="A517" s="523"/>
      <c r="B517" s="523"/>
      <c r="C517" s="523"/>
      <c r="D517" s="523"/>
      <c r="E517" s="523"/>
      <c r="F517" s="523"/>
      <c r="G517" s="523"/>
      <c r="H517" s="523"/>
      <c r="I517" s="523"/>
      <c r="J517" s="523"/>
      <c r="K517" s="523"/>
      <c r="L517" s="523"/>
      <c r="M517" s="523"/>
      <c r="N517" s="523"/>
      <c r="O517" s="523"/>
      <c r="P517" s="523"/>
      <c r="Q517" s="523"/>
      <c r="R517" s="523"/>
      <c r="S517" s="523"/>
      <c r="T517" s="523"/>
      <c r="U517" s="523"/>
      <c r="V517" s="224"/>
      <c r="W517" s="224"/>
      <c r="X517" s="224"/>
      <c r="Y517" s="224"/>
      <c r="Z517" s="868"/>
      <c r="AA517" s="865"/>
      <c r="AB517" s="2"/>
      <c r="AC517" s="2"/>
      <c r="AD517" s="2"/>
      <c r="AE517" s="2"/>
      <c r="AF517" s="2"/>
      <c r="AG517" s="2"/>
      <c r="AH517" s="2"/>
      <c r="AI517" s="2"/>
      <c r="AJ517" s="2"/>
      <c r="AK517" s="2"/>
      <c r="AL517" s="2"/>
      <c r="AM517" s="2"/>
      <c r="AN517" s="2"/>
      <c r="AO517" s="9"/>
      <c r="AP517" s="9"/>
      <c r="AQ517" s="9"/>
      <c r="AR517" s="9"/>
    </row>
    <row r="518">
      <c r="A518" s="523"/>
      <c r="B518" s="523"/>
      <c r="C518" s="523"/>
      <c r="D518" s="523"/>
      <c r="E518" s="523"/>
      <c r="F518" s="523"/>
      <c r="G518" s="523"/>
      <c r="H518" s="523"/>
      <c r="I518" s="523"/>
      <c r="J518" s="523"/>
      <c r="K518" s="523"/>
      <c r="L518" s="523"/>
      <c r="M518" s="523"/>
      <c r="N518" s="523"/>
      <c r="O518" s="523"/>
      <c r="P518" s="523"/>
      <c r="Q518" s="523"/>
      <c r="R518" s="523"/>
      <c r="S518" s="523"/>
      <c r="T518" s="523"/>
      <c r="U518" s="523"/>
      <c r="V518" s="224"/>
      <c r="W518" s="224"/>
      <c r="X518" s="224"/>
      <c r="Y518" s="224"/>
      <c r="Z518" s="868"/>
      <c r="AA518" s="865"/>
      <c r="AB518" s="2"/>
      <c r="AC518" s="2"/>
      <c r="AD518" s="2"/>
      <c r="AE518" s="2"/>
      <c r="AF518" s="2"/>
      <c r="AG518" s="2"/>
      <c r="AH518" s="2"/>
      <c r="AI518" s="2"/>
      <c r="AJ518" s="2"/>
      <c r="AK518" s="2"/>
      <c r="AL518" s="2"/>
      <c r="AM518" s="2"/>
      <c r="AN518" s="2"/>
      <c r="AO518" s="9"/>
      <c r="AP518" s="9"/>
      <c r="AQ518" s="9"/>
      <c r="AR518" s="9"/>
    </row>
    <row r="519">
      <c r="A519" s="523"/>
      <c r="B519" s="523"/>
      <c r="C519" s="523"/>
      <c r="D519" s="523"/>
      <c r="E519" s="523"/>
      <c r="F519" s="523"/>
      <c r="G519" s="523"/>
      <c r="H519" s="523"/>
      <c r="I519" s="523"/>
      <c r="J519" s="523"/>
      <c r="K519" s="523"/>
      <c r="L519" s="523"/>
      <c r="M519" s="523"/>
      <c r="N519" s="523"/>
      <c r="O519" s="523"/>
      <c r="P519" s="523"/>
      <c r="Q519" s="523"/>
      <c r="R519" s="523"/>
      <c r="S519" s="523"/>
      <c r="T519" s="523"/>
      <c r="U519" s="523"/>
      <c r="V519" s="224"/>
      <c r="W519" s="224"/>
      <c r="X519" s="224"/>
      <c r="Y519" s="224"/>
      <c r="Z519" s="868"/>
      <c r="AA519" s="865"/>
      <c r="AB519" s="2"/>
      <c r="AC519" s="2"/>
      <c r="AD519" s="2"/>
      <c r="AE519" s="2"/>
      <c r="AF519" s="2"/>
      <c r="AG519" s="2"/>
      <c r="AH519" s="2"/>
      <c r="AI519" s="2"/>
      <c r="AJ519" s="2"/>
      <c r="AK519" s="2"/>
      <c r="AL519" s="2"/>
      <c r="AM519" s="2"/>
      <c r="AN519" s="2"/>
      <c r="AO519" s="9"/>
      <c r="AP519" s="9"/>
      <c r="AQ519" s="9"/>
      <c r="AR519" s="9"/>
    </row>
    <row r="520">
      <c r="A520" s="523"/>
      <c r="B520" s="523"/>
      <c r="C520" s="523"/>
      <c r="D520" s="523"/>
      <c r="E520" s="523"/>
      <c r="F520" s="523"/>
      <c r="G520" s="523"/>
      <c r="H520" s="523"/>
      <c r="I520" s="523"/>
      <c r="J520" s="523"/>
      <c r="K520" s="523"/>
      <c r="L520" s="523"/>
      <c r="M520" s="523"/>
      <c r="N520" s="523"/>
      <c r="O520" s="523"/>
      <c r="P520" s="523"/>
      <c r="Q520" s="523"/>
      <c r="R520" s="523"/>
      <c r="S520" s="523"/>
      <c r="T520" s="523"/>
      <c r="U520" s="523"/>
      <c r="V520" s="224"/>
      <c r="W520" s="224"/>
      <c r="X520" s="224"/>
      <c r="Y520" s="224"/>
      <c r="Z520" s="868"/>
      <c r="AA520" s="865"/>
      <c r="AB520" s="2"/>
      <c r="AC520" s="2"/>
      <c r="AD520" s="2"/>
      <c r="AE520" s="2"/>
      <c r="AF520" s="2"/>
      <c r="AG520" s="2"/>
      <c r="AH520" s="2"/>
      <c r="AI520" s="2"/>
      <c r="AJ520" s="2"/>
      <c r="AK520" s="2"/>
      <c r="AL520" s="2"/>
      <c r="AM520" s="2"/>
      <c r="AN520" s="2"/>
      <c r="AO520" s="9"/>
      <c r="AP520" s="9"/>
      <c r="AQ520" s="9"/>
      <c r="AR520" s="9"/>
    </row>
    <row r="521">
      <c r="A521" s="523"/>
      <c r="B521" s="523"/>
      <c r="C521" s="523"/>
      <c r="D521" s="523"/>
      <c r="E521" s="523"/>
      <c r="F521" s="523"/>
      <c r="G521" s="523"/>
      <c r="H521" s="523"/>
      <c r="I521" s="523"/>
      <c r="J521" s="523"/>
      <c r="K521" s="523"/>
      <c r="L521" s="523"/>
      <c r="M521" s="523"/>
      <c r="N521" s="523"/>
      <c r="O521" s="523"/>
      <c r="P521" s="523"/>
      <c r="Q521" s="523"/>
      <c r="R521" s="523"/>
      <c r="S521" s="523"/>
      <c r="T521" s="523"/>
      <c r="U521" s="523"/>
      <c r="V521" s="224"/>
      <c r="W521" s="224"/>
      <c r="X521" s="224"/>
      <c r="Y521" s="224"/>
      <c r="Z521" s="868"/>
      <c r="AA521" s="865"/>
      <c r="AB521" s="2"/>
      <c r="AC521" s="2"/>
      <c r="AD521" s="2"/>
      <c r="AE521" s="2"/>
      <c r="AF521" s="2"/>
      <c r="AG521" s="2"/>
      <c r="AH521" s="2"/>
      <c r="AI521" s="2"/>
      <c r="AJ521" s="2"/>
      <c r="AK521" s="2"/>
      <c r="AL521" s="2"/>
      <c r="AM521" s="2"/>
      <c r="AN521" s="2"/>
      <c r="AO521" s="9"/>
      <c r="AP521" s="9"/>
      <c r="AQ521" s="9"/>
      <c r="AR521" s="9"/>
    </row>
    <row r="522">
      <c r="A522" s="523"/>
      <c r="B522" s="523"/>
      <c r="C522" s="523"/>
      <c r="D522" s="523"/>
      <c r="E522" s="523"/>
      <c r="F522" s="523"/>
      <c r="G522" s="523"/>
      <c r="H522" s="523"/>
      <c r="I522" s="523"/>
      <c r="J522" s="523"/>
      <c r="K522" s="523"/>
      <c r="L522" s="523"/>
      <c r="M522" s="523"/>
      <c r="N522" s="523"/>
      <c r="O522" s="523"/>
      <c r="P522" s="523"/>
      <c r="Q522" s="523"/>
      <c r="R522" s="523"/>
      <c r="S522" s="523"/>
      <c r="T522" s="523"/>
      <c r="U522" s="523"/>
      <c r="V522" s="224"/>
      <c r="W522" s="224"/>
      <c r="X522" s="224"/>
      <c r="Y522" s="224"/>
      <c r="Z522" s="868"/>
      <c r="AA522" s="865"/>
      <c r="AB522" s="2"/>
      <c r="AC522" s="2"/>
      <c r="AD522" s="2"/>
      <c r="AE522" s="2"/>
      <c r="AF522" s="2"/>
      <c r="AG522" s="2"/>
      <c r="AH522" s="2"/>
      <c r="AI522" s="2"/>
      <c r="AJ522" s="2"/>
      <c r="AK522" s="2"/>
      <c r="AL522" s="2"/>
      <c r="AM522" s="2"/>
      <c r="AN522" s="2"/>
      <c r="AO522" s="9"/>
      <c r="AP522" s="9"/>
      <c r="AQ522" s="9"/>
      <c r="AR522" s="9"/>
    </row>
    <row r="523">
      <c r="A523" s="523"/>
      <c r="B523" s="523"/>
      <c r="C523" s="523"/>
      <c r="D523" s="523"/>
      <c r="E523" s="523"/>
      <c r="F523" s="523"/>
      <c r="G523" s="523"/>
      <c r="H523" s="523"/>
      <c r="I523" s="523"/>
      <c r="J523" s="523"/>
      <c r="K523" s="523"/>
      <c r="L523" s="523"/>
      <c r="M523" s="523"/>
      <c r="N523" s="523"/>
      <c r="O523" s="523"/>
      <c r="P523" s="523"/>
      <c r="Q523" s="523"/>
      <c r="R523" s="523"/>
      <c r="S523" s="523"/>
      <c r="T523" s="523"/>
      <c r="U523" s="523"/>
      <c r="V523" s="224"/>
      <c r="W523" s="224"/>
      <c r="X523" s="224"/>
      <c r="Y523" s="224"/>
      <c r="Z523" s="868"/>
      <c r="AA523" s="865"/>
      <c r="AB523" s="2"/>
      <c r="AC523" s="2"/>
      <c r="AD523" s="2"/>
      <c r="AE523" s="2"/>
      <c r="AF523" s="2"/>
      <c r="AG523" s="2"/>
      <c r="AH523" s="2"/>
      <c r="AI523" s="2"/>
      <c r="AJ523" s="2"/>
      <c r="AK523" s="2"/>
      <c r="AL523" s="2"/>
      <c r="AM523" s="2"/>
      <c r="AN523" s="2"/>
      <c r="AO523" s="9"/>
      <c r="AP523" s="9"/>
      <c r="AQ523" s="9"/>
      <c r="AR523" s="9"/>
    </row>
    <row r="524">
      <c r="A524" s="523"/>
      <c r="B524" s="523"/>
      <c r="C524" s="523"/>
      <c r="D524" s="523"/>
      <c r="E524" s="523"/>
      <c r="F524" s="523"/>
      <c r="G524" s="523"/>
      <c r="H524" s="523"/>
      <c r="I524" s="523"/>
      <c r="J524" s="523"/>
      <c r="K524" s="523"/>
      <c r="L524" s="523"/>
      <c r="M524" s="523"/>
      <c r="N524" s="523"/>
      <c r="O524" s="523"/>
      <c r="P524" s="523"/>
      <c r="Q524" s="523"/>
      <c r="R524" s="523"/>
      <c r="S524" s="523"/>
      <c r="T524" s="523"/>
      <c r="U524" s="523"/>
      <c r="V524" s="224"/>
      <c r="W524" s="224"/>
      <c r="X524" s="224"/>
      <c r="Y524" s="224"/>
      <c r="Z524" s="868"/>
      <c r="AA524" s="865"/>
      <c r="AB524" s="2"/>
      <c r="AC524" s="2"/>
      <c r="AD524" s="2"/>
      <c r="AE524" s="2"/>
      <c r="AF524" s="2"/>
      <c r="AG524" s="2"/>
      <c r="AH524" s="2"/>
      <c r="AI524" s="2"/>
      <c r="AJ524" s="2"/>
      <c r="AK524" s="2"/>
      <c r="AL524" s="2"/>
      <c r="AM524" s="2"/>
      <c r="AN524" s="2"/>
      <c r="AO524" s="9"/>
      <c r="AP524" s="9"/>
      <c r="AQ524" s="9"/>
      <c r="AR524" s="9"/>
    </row>
    <row r="525">
      <c r="A525" s="523"/>
      <c r="B525" s="523"/>
      <c r="C525" s="523"/>
      <c r="D525" s="523"/>
      <c r="E525" s="523"/>
      <c r="F525" s="523"/>
      <c r="G525" s="523"/>
      <c r="H525" s="523"/>
      <c r="I525" s="523"/>
      <c r="J525" s="523"/>
      <c r="K525" s="523"/>
      <c r="L525" s="523"/>
      <c r="M525" s="523"/>
      <c r="N525" s="523"/>
      <c r="O525" s="523"/>
      <c r="P525" s="523"/>
      <c r="Q525" s="523"/>
      <c r="R525" s="523"/>
      <c r="S525" s="523"/>
      <c r="T525" s="523"/>
      <c r="U525" s="523"/>
      <c r="V525" s="224"/>
      <c r="W525" s="224"/>
      <c r="X525" s="224"/>
      <c r="Y525" s="224"/>
      <c r="Z525" s="868"/>
      <c r="AA525" s="865"/>
      <c r="AB525" s="2"/>
      <c r="AC525" s="2"/>
      <c r="AD525" s="2"/>
      <c r="AE525" s="2"/>
      <c r="AF525" s="2"/>
      <c r="AG525" s="2"/>
      <c r="AH525" s="2"/>
      <c r="AI525" s="2"/>
      <c r="AJ525" s="2"/>
      <c r="AK525" s="2"/>
      <c r="AL525" s="2"/>
      <c r="AM525" s="2"/>
      <c r="AN525" s="2"/>
      <c r="AO525" s="9"/>
      <c r="AP525" s="9"/>
      <c r="AQ525" s="9"/>
      <c r="AR525" s="9"/>
    </row>
    <row r="526">
      <c r="A526" s="523"/>
      <c r="B526" s="523"/>
      <c r="C526" s="523"/>
      <c r="D526" s="523"/>
      <c r="E526" s="523"/>
      <c r="F526" s="523"/>
      <c r="G526" s="523"/>
      <c r="H526" s="523"/>
      <c r="I526" s="523"/>
      <c r="J526" s="523"/>
      <c r="K526" s="523"/>
      <c r="L526" s="523"/>
      <c r="M526" s="523"/>
      <c r="N526" s="523"/>
      <c r="O526" s="523"/>
      <c r="P526" s="523"/>
      <c r="Q526" s="523"/>
      <c r="R526" s="523"/>
      <c r="S526" s="523"/>
      <c r="T526" s="523"/>
      <c r="U526" s="523"/>
      <c r="V526" s="224"/>
      <c r="W526" s="224"/>
      <c r="X526" s="224"/>
      <c r="Y526" s="224"/>
      <c r="Z526" s="868"/>
      <c r="AA526" s="865"/>
      <c r="AB526" s="2"/>
      <c r="AC526" s="2"/>
      <c r="AD526" s="2"/>
      <c r="AE526" s="2"/>
      <c r="AF526" s="2"/>
      <c r="AG526" s="2"/>
      <c r="AH526" s="2"/>
      <c r="AI526" s="2"/>
      <c r="AJ526" s="2"/>
      <c r="AK526" s="2"/>
      <c r="AL526" s="2"/>
      <c r="AM526" s="2"/>
      <c r="AN526" s="2"/>
      <c r="AO526" s="9"/>
      <c r="AP526" s="9"/>
      <c r="AQ526" s="9"/>
      <c r="AR526" s="9"/>
    </row>
    <row r="527">
      <c r="A527" s="523"/>
      <c r="B527" s="523"/>
      <c r="C527" s="523"/>
      <c r="D527" s="523"/>
      <c r="E527" s="523"/>
      <c r="F527" s="523"/>
      <c r="G527" s="523"/>
      <c r="H527" s="523"/>
      <c r="I527" s="523"/>
      <c r="J527" s="523"/>
      <c r="K527" s="523"/>
      <c r="L527" s="523"/>
      <c r="M527" s="523"/>
      <c r="N527" s="523"/>
      <c r="O527" s="523"/>
      <c r="P527" s="523"/>
      <c r="Q527" s="523"/>
      <c r="R527" s="523"/>
      <c r="S527" s="523"/>
      <c r="T527" s="523"/>
      <c r="U527" s="523"/>
      <c r="V527" s="224"/>
      <c r="W527" s="224"/>
      <c r="X527" s="224"/>
      <c r="Y527" s="224"/>
      <c r="Z527" s="868"/>
      <c r="AA527" s="865"/>
      <c r="AB527" s="2"/>
      <c r="AC527" s="2"/>
      <c r="AD527" s="2"/>
      <c r="AE527" s="2"/>
      <c r="AF527" s="2"/>
      <c r="AG527" s="2"/>
      <c r="AH527" s="2"/>
      <c r="AI527" s="2"/>
      <c r="AJ527" s="2"/>
      <c r="AK527" s="2"/>
      <c r="AL527" s="2"/>
      <c r="AM527" s="2"/>
      <c r="AN527" s="2"/>
      <c r="AO527" s="9"/>
      <c r="AP527" s="9"/>
      <c r="AQ527" s="9"/>
      <c r="AR527" s="9"/>
    </row>
    <row r="528">
      <c r="A528" s="523"/>
      <c r="B528" s="523"/>
      <c r="C528" s="523"/>
      <c r="D528" s="523"/>
      <c r="E528" s="523"/>
      <c r="F528" s="523"/>
      <c r="G528" s="523"/>
      <c r="H528" s="523"/>
      <c r="I528" s="523"/>
      <c r="J528" s="523"/>
      <c r="K528" s="523"/>
      <c r="L528" s="523"/>
      <c r="M528" s="523"/>
      <c r="N528" s="523"/>
      <c r="O528" s="523"/>
      <c r="P528" s="523"/>
      <c r="Q528" s="523"/>
      <c r="R528" s="523"/>
      <c r="S528" s="523"/>
      <c r="T528" s="523"/>
      <c r="U528" s="523"/>
      <c r="V528" s="224"/>
      <c r="W528" s="224"/>
      <c r="X528" s="224"/>
      <c r="Y528" s="224"/>
      <c r="Z528" s="868"/>
      <c r="AA528" s="865"/>
      <c r="AB528" s="2"/>
      <c r="AC528" s="2"/>
      <c r="AD528" s="2"/>
      <c r="AE528" s="2"/>
      <c r="AF528" s="2"/>
      <c r="AG528" s="2"/>
      <c r="AH528" s="2"/>
      <c r="AI528" s="2"/>
      <c r="AJ528" s="2"/>
      <c r="AK528" s="2"/>
      <c r="AL528" s="2"/>
      <c r="AM528" s="2"/>
      <c r="AN528" s="2"/>
      <c r="AO528" s="9"/>
      <c r="AP528" s="9"/>
      <c r="AQ528" s="9"/>
      <c r="AR528" s="9"/>
    </row>
    <row r="529">
      <c r="A529" s="523"/>
      <c r="B529" s="523"/>
      <c r="C529" s="523"/>
      <c r="D529" s="523"/>
      <c r="E529" s="523"/>
      <c r="F529" s="523"/>
      <c r="G529" s="523"/>
      <c r="H529" s="523"/>
      <c r="I529" s="523"/>
      <c r="J529" s="523"/>
      <c r="K529" s="523"/>
      <c r="L529" s="523"/>
      <c r="M529" s="523"/>
      <c r="N529" s="523"/>
      <c r="O529" s="523"/>
      <c r="P529" s="523"/>
      <c r="Q529" s="523"/>
      <c r="R529" s="523"/>
      <c r="S529" s="523"/>
      <c r="T529" s="523"/>
      <c r="U529" s="523"/>
      <c r="V529" s="224"/>
      <c r="W529" s="224"/>
      <c r="X529" s="224"/>
      <c r="Y529" s="224"/>
      <c r="Z529" s="868"/>
      <c r="AA529" s="865"/>
      <c r="AB529" s="2"/>
      <c r="AC529" s="2"/>
      <c r="AD529" s="2"/>
      <c r="AE529" s="2"/>
      <c r="AF529" s="2"/>
      <c r="AG529" s="2"/>
      <c r="AH529" s="2"/>
      <c r="AI529" s="2"/>
      <c r="AJ529" s="2"/>
      <c r="AK529" s="2"/>
      <c r="AL529" s="2"/>
      <c r="AM529" s="2"/>
      <c r="AN529" s="2"/>
      <c r="AO529" s="9"/>
      <c r="AP529" s="9"/>
      <c r="AQ529" s="9"/>
      <c r="AR529" s="9"/>
    </row>
    <row r="530">
      <c r="A530" s="523"/>
      <c r="B530" s="523"/>
      <c r="C530" s="523"/>
      <c r="D530" s="523"/>
      <c r="E530" s="523"/>
      <c r="F530" s="523"/>
      <c r="G530" s="523"/>
      <c r="H530" s="523"/>
      <c r="I530" s="523"/>
      <c r="J530" s="523"/>
      <c r="K530" s="523"/>
      <c r="L530" s="523"/>
      <c r="M530" s="523"/>
      <c r="N530" s="523"/>
      <c r="O530" s="523"/>
      <c r="P530" s="523"/>
      <c r="Q530" s="523"/>
      <c r="R530" s="523"/>
      <c r="S530" s="523"/>
      <c r="T530" s="523"/>
      <c r="U530" s="523"/>
      <c r="V530" s="224"/>
      <c r="W530" s="224"/>
      <c r="X530" s="224"/>
      <c r="Y530" s="224"/>
      <c r="Z530" s="868"/>
      <c r="AA530" s="865"/>
      <c r="AB530" s="2"/>
      <c r="AC530" s="2"/>
      <c r="AD530" s="2"/>
      <c r="AE530" s="2"/>
      <c r="AF530" s="2"/>
      <c r="AG530" s="2"/>
      <c r="AH530" s="2"/>
      <c r="AI530" s="2"/>
      <c r="AJ530" s="2"/>
      <c r="AK530" s="2"/>
      <c r="AL530" s="2"/>
      <c r="AM530" s="2"/>
      <c r="AN530" s="2"/>
      <c r="AO530" s="9"/>
      <c r="AP530" s="9"/>
      <c r="AQ530" s="9"/>
      <c r="AR530" s="9"/>
    </row>
    <row r="531">
      <c r="A531" s="523"/>
      <c r="B531" s="523"/>
      <c r="C531" s="523"/>
      <c r="D531" s="523"/>
      <c r="E531" s="523"/>
      <c r="F531" s="523"/>
      <c r="G531" s="523"/>
      <c r="H531" s="523"/>
      <c r="I531" s="523"/>
      <c r="J531" s="523"/>
      <c r="K531" s="523"/>
      <c r="L531" s="523"/>
      <c r="M531" s="523"/>
      <c r="N531" s="523"/>
      <c r="O531" s="523"/>
      <c r="P531" s="523"/>
      <c r="Q531" s="523"/>
      <c r="R531" s="523"/>
      <c r="S531" s="523"/>
      <c r="T531" s="523"/>
      <c r="U531" s="523"/>
      <c r="V531" s="224"/>
      <c r="W531" s="224"/>
      <c r="X531" s="224"/>
      <c r="Y531" s="224"/>
      <c r="Z531" s="868"/>
      <c r="AA531" s="865"/>
      <c r="AB531" s="2"/>
      <c r="AC531" s="2"/>
      <c r="AD531" s="2"/>
      <c r="AE531" s="2"/>
      <c r="AF531" s="2"/>
      <c r="AG531" s="2"/>
      <c r="AH531" s="2"/>
      <c r="AI531" s="2"/>
      <c r="AJ531" s="2"/>
      <c r="AK531" s="2"/>
      <c r="AL531" s="2"/>
      <c r="AM531" s="2"/>
      <c r="AN531" s="2"/>
      <c r="AO531" s="9"/>
      <c r="AP531" s="9"/>
      <c r="AQ531" s="9"/>
      <c r="AR531" s="9"/>
    </row>
    <row r="532">
      <c r="A532" s="523"/>
      <c r="B532" s="523"/>
      <c r="C532" s="523"/>
      <c r="D532" s="523"/>
      <c r="E532" s="523"/>
      <c r="F532" s="523"/>
      <c r="G532" s="523"/>
      <c r="H532" s="523"/>
      <c r="I532" s="523"/>
      <c r="J532" s="523"/>
      <c r="K532" s="523"/>
      <c r="L532" s="523"/>
      <c r="M532" s="523"/>
      <c r="N532" s="523"/>
      <c r="O532" s="523"/>
      <c r="P532" s="523"/>
      <c r="Q532" s="523"/>
      <c r="R532" s="523"/>
      <c r="S532" s="523"/>
      <c r="T532" s="523"/>
      <c r="U532" s="523"/>
      <c r="V532" s="224"/>
      <c r="W532" s="224"/>
      <c r="X532" s="224"/>
      <c r="Y532" s="224"/>
      <c r="Z532" s="868"/>
      <c r="AA532" s="865"/>
      <c r="AB532" s="2"/>
      <c r="AC532" s="2"/>
      <c r="AD532" s="2"/>
      <c r="AE532" s="2"/>
      <c r="AF532" s="2"/>
      <c r="AG532" s="2"/>
      <c r="AH532" s="2"/>
      <c r="AI532" s="2"/>
      <c r="AJ532" s="2"/>
      <c r="AK532" s="2"/>
      <c r="AL532" s="2"/>
      <c r="AM532" s="2"/>
      <c r="AN532" s="2"/>
      <c r="AO532" s="9"/>
      <c r="AP532" s="9"/>
      <c r="AQ532" s="9"/>
      <c r="AR532" s="9"/>
    </row>
    <row r="533">
      <c r="A533" s="523"/>
      <c r="B533" s="523"/>
      <c r="C533" s="523"/>
      <c r="D533" s="523"/>
      <c r="E533" s="523"/>
      <c r="F533" s="523"/>
      <c r="G533" s="523"/>
      <c r="H533" s="523"/>
      <c r="I533" s="523"/>
      <c r="J533" s="523"/>
      <c r="K533" s="523"/>
      <c r="L533" s="523"/>
      <c r="M533" s="523"/>
      <c r="N533" s="523"/>
      <c r="O533" s="523"/>
      <c r="P533" s="523"/>
      <c r="Q533" s="523"/>
      <c r="R533" s="523"/>
      <c r="S533" s="523"/>
      <c r="T533" s="523"/>
      <c r="U533" s="523"/>
      <c r="V533" s="224"/>
      <c r="W533" s="224"/>
      <c r="X533" s="224"/>
      <c r="Y533" s="224"/>
      <c r="Z533" s="868"/>
      <c r="AA533" s="865"/>
      <c r="AB533" s="2"/>
      <c r="AC533" s="2"/>
      <c r="AD533" s="2"/>
      <c r="AE533" s="2"/>
      <c r="AF533" s="2"/>
      <c r="AG533" s="2"/>
      <c r="AH533" s="2"/>
      <c r="AI533" s="2"/>
      <c r="AJ533" s="2"/>
      <c r="AK533" s="2"/>
      <c r="AL533" s="2"/>
      <c r="AM533" s="2"/>
      <c r="AN533" s="2"/>
      <c r="AO533" s="9"/>
      <c r="AP533" s="9"/>
      <c r="AQ533" s="9"/>
      <c r="AR533" s="9"/>
    </row>
    <row r="534">
      <c r="A534" s="523"/>
      <c r="B534" s="523"/>
      <c r="C534" s="523"/>
      <c r="D534" s="523"/>
      <c r="E534" s="523"/>
      <c r="F534" s="523"/>
      <c r="G534" s="523"/>
      <c r="H534" s="523"/>
      <c r="I534" s="523"/>
      <c r="J534" s="523"/>
      <c r="K534" s="523"/>
      <c r="L534" s="523"/>
      <c r="M534" s="523"/>
      <c r="N534" s="523"/>
      <c r="O534" s="523"/>
      <c r="P534" s="523"/>
      <c r="Q534" s="523"/>
      <c r="R534" s="523"/>
      <c r="S534" s="523"/>
      <c r="T534" s="523"/>
      <c r="U534" s="523"/>
      <c r="V534" s="224"/>
      <c r="W534" s="224"/>
      <c r="X534" s="224"/>
      <c r="Y534" s="224"/>
      <c r="Z534" s="868"/>
      <c r="AA534" s="865"/>
      <c r="AB534" s="2"/>
      <c r="AC534" s="2"/>
      <c r="AD534" s="2"/>
      <c r="AE534" s="2"/>
      <c r="AF534" s="2"/>
      <c r="AG534" s="2"/>
      <c r="AH534" s="2"/>
      <c r="AI534" s="2"/>
      <c r="AJ534" s="2"/>
      <c r="AK534" s="2"/>
      <c r="AL534" s="2"/>
      <c r="AM534" s="2"/>
      <c r="AN534" s="2"/>
      <c r="AO534" s="9"/>
      <c r="AP534" s="9"/>
      <c r="AQ534" s="9"/>
      <c r="AR534" s="9"/>
    </row>
    <row r="535">
      <c r="A535" s="523"/>
      <c r="B535" s="523"/>
      <c r="C535" s="523"/>
      <c r="D535" s="523"/>
      <c r="E535" s="523"/>
      <c r="F535" s="523"/>
      <c r="G535" s="523"/>
      <c r="H535" s="523"/>
      <c r="I535" s="523"/>
      <c r="J535" s="523"/>
      <c r="K535" s="523"/>
      <c r="L535" s="523"/>
      <c r="M535" s="523"/>
      <c r="N535" s="523"/>
      <c r="O535" s="523"/>
      <c r="P535" s="523"/>
      <c r="Q535" s="523"/>
      <c r="R535" s="523"/>
      <c r="S535" s="523"/>
      <c r="T535" s="523"/>
      <c r="U535" s="523"/>
      <c r="V535" s="224"/>
      <c r="W535" s="224"/>
      <c r="X535" s="224"/>
      <c r="Y535" s="224"/>
      <c r="Z535" s="868"/>
      <c r="AA535" s="865"/>
      <c r="AB535" s="2"/>
      <c r="AC535" s="2"/>
      <c r="AD535" s="2"/>
      <c r="AE535" s="2"/>
      <c r="AF535" s="2"/>
      <c r="AG535" s="2"/>
      <c r="AH535" s="2"/>
      <c r="AI535" s="2"/>
      <c r="AJ535" s="2"/>
      <c r="AK535" s="2"/>
      <c r="AL535" s="2"/>
      <c r="AM535" s="2"/>
      <c r="AN535" s="2"/>
      <c r="AO535" s="9"/>
      <c r="AP535" s="9"/>
      <c r="AQ535" s="9"/>
      <c r="AR535" s="9"/>
    </row>
    <row r="536">
      <c r="A536" s="523"/>
      <c r="B536" s="523"/>
      <c r="C536" s="523"/>
      <c r="D536" s="523"/>
      <c r="E536" s="523"/>
      <c r="F536" s="523"/>
      <c r="G536" s="523"/>
      <c r="H536" s="523"/>
      <c r="I536" s="523"/>
      <c r="J536" s="523"/>
      <c r="K536" s="523"/>
      <c r="L536" s="523"/>
      <c r="M536" s="523"/>
      <c r="N536" s="523"/>
      <c r="O536" s="523"/>
      <c r="P536" s="523"/>
      <c r="Q536" s="523"/>
      <c r="R536" s="523"/>
      <c r="S536" s="523"/>
      <c r="T536" s="523"/>
      <c r="U536" s="523"/>
      <c r="V536" s="224"/>
      <c r="W536" s="224"/>
      <c r="X536" s="224"/>
      <c r="Y536" s="224"/>
      <c r="Z536" s="868"/>
      <c r="AA536" s="865"/>
      <c r="AB536" s="2"/>
      <c r="AC536" s="2"/>
      <c r="AD536" s="2"/>
      <c r="AE536" s="2"/>
      <c r="AF536" s="2"/>
      <c r="AG536" s="2"/>
      <c r="AH536" s="2"/>
      <c r="AI536" s="2"/>
      <c r="AJ536" s="2"/>
      <c r="AK536" s="2"/>
      <c r="AL536" s="2"/>
      <c r="AM536" s="2"/>
      <c r="AN536" s="2"/>
      <c r="AO536" s="9"/>
      <c r="AP536" s="9"/>
      <c r="AQ536" s="9"/>
      <c r="AR536" s="9"/>
    </row>
    <row r="537">
      <c r="A537" s="523"/>
      <c r="B537" s="523"/>
      <c r="C537" s="523"/>
      <c r="D537" s="523"/>
      <c r="E537" s="523"/>
      <c r="F537" s="523"/>
      <c r="G537" s="523"/>
      <c r="H537" s="523"/>
      <c r="I537" s="523"/>
      <c r="J537" s="523"/>
      <c r="K537" s="523"/>
      <c r="L537" s="523"/>
      <c r="M537" s="523"/>
      <c r="N537" s="523"/>
      <c r="O537" s="523"/>
      <c r="P537" s="523"/>
      <c r="Q537" s="523"/>
      <c r="R537" s="523"/>
      <c r="S537" s="523"/>
      <c r="T537" s="523"/>
      <c r="U537" s="523"/>
      <c r="V537" s="224"/>
      <c r="W537" s="224"/>
      <c r="X537" s="224"/>
      <c r="Y537" s="224"/>
      <c r="Z537" s="868"/>
      <c r="AA537" s="865"/>
      <c r="AB537" s="2"/>
      <c r="AC537" s="2"/>
      <c r="AD537" s="2"/>
      <c r="AE537" s="2"/>
      <c r="AF537" s="2"/>
      <c r="AG537" s="2"/>
      <c r="AH537" s="2"/>
      <c r="AI537" s="2"/>
      <c r="AJ537" s="2"/>
      <c r="AK537" s="2"/>
      <c r="AL537" s="2"/>
      <c r="AM537" s="2"/>
      <c r="AN537" s="2"/>
      <c r="AO537" s="9"/>
      <c r="AP537" s="9"/>
      <c r="AQ537" s="9"/>
      <c r="AR537" s="9"/>
    </row>
    <row r="538">
      <c r="A538" s="523"/>
      <c r="B538" s="523"/>
      <c r="C538" s="523"/>
      <c r="D538" s="523"/>
      <c r="E538" s="523"/>
      <c r="F538" s="523"/>
      <c r="G538" s="523"/>
      <c r="H538" s="523"/>
      <c r="I538" s="523"/>
      <c r="J538" s="523"/>
      <c r="K538" s="523"/>
      <c r="L538" s="523"/>
      <c r="M538" s="523"/>
      <c r="N538" s="523"/>
      <c r="O538" s="523"/>
      <c r="P538" s="523"/>
      <c r="Q538" s="523"/>
      <c r="R538" s="523"/>
      <c r="S538" s="523"/>
      <c r="T538" s="523"/>
      <c r="U538" s="523"/>
      <c r="V538" s="224"/>
      <c r="W538" s="224"/>
      <c r="X538" s="224"/>
      <c r="Y538" s="224"/>
      <c r="Z538" s="868"/>
      <c r="AA538" s="865"/>
      <c r="AB538" s="2"/>
      <c r="AC538" s="2"/>
      <c r="AD538" s="2"/>
      <c r="AE538" s="2"/>
      <c r="AF538" s="2"/>
      <c r="AG538" s="2"/>
      <c r="AH538" s="2"/>
      <c r="AI538" s="2"/>
      <c r="AJ538" s="2"/>
      <c r="AK538" s="2"/>
      <c r="AL538" s="2"/>
      <c r="AM538" s="2"/>
      <c r="AN538" s="2"/>
      <c r="AO538" s="9"/>
      <c r="AP538" s="9"/>
      <c r="AQ538" s="9"/>
      <c r="AR538" s="9"/>
    </row>
    <row r="539">
      <c r="A539" s="523"/>
      <c r="B539" s="523"/>
      <c r="C539" s="523"/>
      <c r="D539" s="523"/>
      <c r="E539" s="523"/>
      <c r="F539" s="523"/>
      <c r="G539" s="523"/>
      <c r="H539" s="523"/>
      <c r="I539" s="523"/>
      <c r="J539" s="523"/>
      <c r="K539" s="523"/>
      <c r="L539" s="523"/>
      <c r="M539" s="523"/>
      <c r="N539" s="523"/>
      <c r="O539" s="523"/>
      <c r="P539" s="523"/>
      <c r="Q539" s="523"/>
      <c r="R539" s="523"/>
      <c r="S539" s="523"/>
      <c r="T539" s="523"/>
      <c r="U539" s="523"/>
      <c r="V539" s="224"/>
      <c r="W539" s="224"/>
      <c r="X539" s="224"/>
      <c r="Y539" s="224"/>
      <c r="Z539" s="868"/>
      <c r="AA539" s="865"/>
      <c r="AB539" s="2"/>
      <c r="AC539" s="2"/>
      <c r="AD539" s="2"/>
      <c r="AE539" s="2"/>
      <c r="AF539" s="2"/>
      <c r="AG539" s="2"/>
      <c r="AH539" s="2"/>
      <c r="AI539" s="2"/>
      <c r="AJ539" s="2"/>
      <c r="AK539" s="2"/>
      <c r="AL539" s="2"/>
      <c r="AM539" s="2"/>
      <c r="AN539" s="2"/>
      <c r="AO539" s="9"/>
      <c r="AP539" s="9"/>
      <c r="AQ539" s="9"/>
      <c r="AR539" s="9"/>
    </row>
    <row r="540">
      <c r="A540" s="523"/>
      <c r="B540" s="523"/>
      <c r="C540" s="523"/>
      <c r="D540" s="523"/>
      <c r="E540" s="523"/>
      <c r="F540" s="523"/>
      <c r="G540" s="523"/>
      <c r="H540" s="523"/>
      <c r="I540" s="523"/>
      <c r="J540" s="523"/>
      <c r="K540" s="523"/>
      <c r="L540" s="523"/>
      <c r="M540" s="523"/>
      <c r="N540" s="523"/>
      <c r="O540" s="523"/>
      <c r="P540" s="523"/>
      <c r="Q540" s="523"/>
      <c r="R540" s="523"/>
      <c r="S540" s="523"/>
      <c r="T540" s="523"/>
      <c r="U540" s="523"/>
      <c r="V540" s="224"/>
      <c r="W540" s="224"/>
      <c r="X540" s="224"/>
      <c r="Y540" s="224"/>
      <c r="Z540" s="868"/>
      <c r="AA540" s="865"/>
      <c r="AB540" s="2"/>
      <c r="AC540" s="2"/>
      <c r="AD540" s="2"/>
      <c r="AE540" s="2"/>
      <c r="AF540" s="2"/>
      <c r="AG540" s="2"/>
      <c r="AH540" s="2"/>
      <c r="AI540" s="2"/>
      <c r="AJ540" s="2"/>
      <c r="AK540" s="2"/>
      <c r="AL540" s="2"/>
      <c r="AM540" s="2"/>
      <c r="AN540" s="2"/>
      <c r="AO540" s="9"/>
      <c r="AP540" s="9"/>
      <c r="AQ540" s="9"/>
      <c r="AR540" s="9"/>
    </row>
    <row r="541">
      <c r="A541" s="523"/>
      <c r="B541" s="523"/>
      <c r="C541" s="523"/>
      <c r="D541" s="523"/>
      <c r="E541" s="523"/>
      <c r="F541" s="523"/>
      <c r="G541" s="523"/>
      <c r="H541" s="523"/>
      <c r="I541" s="523"/>
      <c r="J541" s="523"/>
      <c r="K541" s="523"/>
      <c r="L541" s="523"/>
      <c r="M541" s="523"/>
      <c r="N541" s="523"/>
      <c r="O541" s="523"/>
      <c r="P541" s="523"/>
      <c r="Q541" s="523"/>
      <c r="R541" s="523"/>
      <c r="S541" s="523"/>
      <c r="T541" s="523"/>
      <c r="U541" s="523"/>
      <c r="V541" s="224"/>
      <c r="W541" s="224"/>
      <c r="X541" s="224"/>
      <c r="Y541" s="224"/>
      <c r="Z541" s="868"/>
      <c r="AA541" s="865"/>
      <c r="AB541" s="2"/>
      <c r="AC541" s="2"/>
      <c r="AD541" s="2"/>
      <c r="AE541" s="2"/>
      <c r="AF541" s="2"/>
      <c r="AG541" s="2"/>
      <c r="AH541" s="2"/>
      <c r="AI541" s="2"/>
      <c r="AJ541" s="2"/>
      <c r="AK541" s="2"/>
      <c r="AL541" s="2"/>
      <c r="AM541" s="2"/>
      <c r="AN541" s="2"/>
      <c r="AO541" s="9"/>
      <c r="AP541" s="9"/>
      <c r="AQ541" s="9"/>
      <c r="AR541" s="9"/>
    </row>
    <row r="542">
      <c r="A542" s="523"/>
      <c r="B542" s="523"/>
      <c r="C542" s="523"/>
      <c r="D542" s="523"/>
      <c r="E542" s="523"/>
      <c r="F542" s="523"/>
      <c r="G542" s="523"/>
      <c r="H542" s="523"/>
      <c r="I542" s="523"/>
      <c r="J542" s="523"/>
      <c r="K542" s="523"/>
      <c r="L542" s="523"/>
      <c r="M542" s="523"/>
      <c r="N542" s="523"/>
      <c r="O542" s="523"/>
      <c r="P542" s="523"/>
      <c r="Q542" s="523"/>
      <c r="R542" s="523"/>
      <c r="S542" s="523"/>
      <c r="T542" s="523"/>
      <c r="U542" s="523"/>
      <c r="V542" s="224"/>
      <c r="W542" s="224"/>
      <c r="X542" s="224"/>
      <c r="Y542" s="224"/>
      <c r="Z542" s="868"/>
      <c r="AA542" s="865"/>
      <c r="AB542" s="2"/>
      <c r="AC542" s="2"/>
      <c r="AD542" s="2"/>
      <c r="AE542" s="2"/>
      <c r="AF542" s="2"/>
      <c r="AG542" s="2"/>
      <c r="AH542" s="2"/>
      <c r="AI542" s="2"/>
      <c r="AJ542" s="2"/>
      <c r="AK542" s="2"/>
      <c r="AL542" s="2"/>
      <c r="AM542" s="2"/>
      <c r="AN542" s="2"/>
      <c r="AO542" s="9"/>
      <c r="AP542" s="9"/>
      <c r="AQ542" s="9"/>
      <c r="AR542" s="9"/>
    </row>
    <row r="543">
      <c r="A543" s="523"/>
      <c r="B543" s="523"/>
      <c r="C543" s="523"/>
      <c r="D543" s="523"/>
      <c r="E543" s="523"/>
      <c r="F543" s="523"/>
      <c r="G543" s="523"/>
      <c r="H543" s="523"/>
      <c r="I543" s="523"/>
      <c r="J543" s="523"/>
      <c r="K543" s="523"/>
      <c r="L543" s="523"/>
      <c r="M543" s="523"/>
      <c r="N543" s="523"/>
      <c r="O543" s="523"/>
      <c r="P543" s="523"/>
      <c r="Q543" s="523"/>
      <c r="R543" s="523"/>
      <c r="S543" s="523"/>
      <c r="T543" s="523"/>
      <c r="U543" s="523"/>
      <c r="V543" s="224"/>
      <c r="W543" s="224"/>
      <c r="X543" s="224"/>
      <c r="Y543" s="224"/>
      <c r="Z543" s="868"/>
      <c r="AA543" s="865"/>
      <c r="AB543" s="2"/>
      <c r="AC543" s="2"/>
      <c r="AD543" s="2"/>
      <c r="AE543" s="2"/>
      <c r="AF543" s="2"/>
      <c r="AG543" s="2"/>
      <c r="AH543" s="2"/>
      <c r="AI543" s="2"/>
      <c r="AJ543" s="2"/>
      <c r="AK543" s="2"/>
      <c r="AL543" s="2"/>
      <c r="AM543" s="2"/>
      <c r="AN543" s="2"/>
      <c r="AO543" s="9"/>
      <c r="AP543" s="9"/>
      <c r="AQ543" s="9"/>
      <c r="AR543" s="9"/>
    </row>
    <row r="544">
      <c r="A544" s="523"/>
      <c r="B544" s="523"/>
      <c r="C544" s="523"/>
      <c r="D544" s="523"/>
      <c r="E544" s="523"/>
      <c r="F544" s="523"/>
      <c r="G544" s="523"/>
      <c r="H544" s="523"/>
      <c r="I544" s="523"/>
      <c r="J544" s="523"/>
      <c r="K544" s="523"/>
      <c r="L544" s="523"/>
      <c r="M544" s="523"/>
      <c r="N544" s="523"/>
      <c r="O544" s="523"/>
      <c r="P544" s="523"/>
      <c r="Q544" s="523"/>
      <c r="R544" s="523"/>
      <c r="S544" s="523"/>
      <c r="T544" s="523"/>
      <c r="U544" s="523"/>
      <c r="V544" s="224"/>
      <c r="W544" s="224"/>
      <c r="X544" s="224"/>
      <c r="Y544" s="224"/>
      <c r="Z544" s="868"/>
      <c r="AA544" s="865"/>
      <c r="AB544" s="2"/>
      <c r="AC544" s="2"/>
      <c r="AD544" s="2"/>
      <c r="AE544" s="2"/>
      <c r="AF544" s="2"/>
      <c r="AG544" s="2"/>
      <c r="AH544" s="2"/>
      <c r="AI544" s="2"/>
      <c r="AJ544" s="2"/>
      <c r="AK544" s="2"/>
      <c r="AL544" s="2"/>
      <c r="AM544" s="2"/>
      <c r="AN544" s="2"/>
      <c r="AO544" s="9"/>
      <c r="AP544" s="9"/>
      <c r="AQ544" s="9"/>
      <c r="AR544" s="9"/>
    </row>
    <row r="545">
      <c r="A545" s="523"/>
      <c r="B545" s="523"/>
      <c r="C545" s="523"/>
      <c r="D545" s="523"/>
      <c r="E545" s="523"/>
      <c r="F545" s="523"/>
      <c r="G545" s="523"/>
      <c r="H545" s="523"/>
      <c r="I545" s="523"/>
      <c r="J545" s="523"/>
      <c r="K545" s="523"/>
      <c r="L545" s="523"/>
      <c r="M545" s="523"/>
      <c r="N545" s="523"/>
      <c r="O545" s="523"/>
      <c r="P545" s="523"/>
      <c r="Q545" s="523"/>
      <c r="R545" s="523"/>
      <c r="S545" s="523"/>
      <c r="T545" s="523"/>
      <c r="U545" s="523"/>
      <c r="V545" s="224"/>
      <c r="W545" s="224"/>
      <c r="X545" s="224"/>
      <c r="Y545" s="224"/>
      <c r="Z545" s="868"/>
      <c r="AA545" s="865"/>
      <c r="AB545" s="2"/>
      <c r="AC545" s="2"/>
      <c r="AD545" s="2"/>
      <c r="AE545" s="2"/>
      <c r="AF545" s="2"/>
      <c r="AG545" s="2"/>
      <c r="AH545" s="2"/>
      <c r="AI545" s="2"/>
      <c r="AJ545" s="2"/>
      <c r="AK545" s="2"/>
      <c r="AL545" s="2"/>
      <c r="AM545" s="2"/>
      <c r="AN545" s="2"/>
      <c r="AO545" s="9"/>
      <c r="AP545" s="9"/>
      <c r="AQ545" s="9"/>
      <c r="AR545" s="9"/>
    </row>
    <row r="546">
      <c r="A546" s="523"/>
      <c r="B546" s="523"/>
      <c r="C546" s="523"/>
      <c r="D546" s="523"/>
      <c r="E546" s="523"/>
      <c r="F546" s="523"/>
      <c r="G546" s="523"/>
      <c r="H546" s="523"/>
      <c r="I546" s="523"/>
      <c r="J546" s="523"/>
      <c r="K546" s="523"/>
      <c r="L546" s="523"/>
      <c r="M546" s="523"/>
      <c r="N546" s="523"/>
      <c r="O546" s="523"/>
      <c r="P546" s="523"/>
      <c r="Q546" s="523"/>
      <c r="R546" s="523"/>
      <c r="S546" s="523"/>
      <c r="T546" s="523"/>
      <c r="U546" s="523"/>
      <c r="V546" s="224"/>
      <c r="W546" s="224"/>
      <c r="X546" s="224"/>
      <c r="Y546" s="224"/>
      <c r="Z546" s="868"/>
      <c r="AA546" s="865"/>
      <c r="AB546" s="2"/>
      <c r="AC546" s="2"/>
      <c r="AD546" s="2"/>
      <c r="AE546" s="2"/>
      <c r="AF546" s="2"/>
      <c r="AG546" s="2"/>
      <c r="AH546" s="2"/>
      <c r="AI546" s="2"/>
      <c r="AJ546" s="2"/>
      <c r="AK546" s="2"/>
      <c r="AL546" s="2"/>
      <c r="AM546" s="2"/>
      <c r="AN546" s="2"/>
      <c r="AO546" s="9"/>
      <c r="AP546" s="9"/>
      <c r="AQ546" s="9"/>
      <c r="AR546" s="9"/>
    </row>
    <row r="547">
      <c r="A547" s="523"/>
      <c r="B547" s="523"/>
      <c r="C547" s="523"/>
      <c r="D547" s="523"/>
      <c r="E547" s="523"/>
      <c r="F547" s="523"/>
      <c r="G547" s="523"/>
      <c r="H547" s="523"/>
      <c r="I547" s="523"/>
      <c r="J547" s="523"/>
      <c r="K547" s="523"/>
      <c r="L547" s="523"/>
      <c r="M547" s="523"/>
      <c r="N547" s="523"/>
      <c r="O547" s="523"/>
      <c r="P547" s="523"/>
      <c r="Q547" s="523"/>
      <c r="R547" s="523"/>
      <c r="S547" s="523"/>
      <c r="T547" s="523"/>
      <c r="U547" s="523"/>
      <c r="V547" s="224"/>
      <c r="W547" s="224"/>
      <c r="X547" s="224"/>
      <c r="Y547" s="224"/>
      <c r="Z547" s="868"/>
      <c r="AA547" s="865"/>
      <c r="AB547" s="2"/>
      <c r="AC547" s="2"/>
      <c r="AD547" s="2"/>
      <c r="AE547" s="2"/>
      <c r="AF547" s="2"/>
      <c r="AG547" s="2"/>
      <c r="AH547" s="2"/>
      <c r="AI547" s="2"/>
      <c r="AJ547" s="2"/>
      <c r="AK547" s="2"/>
      <c r="AL547" s="2"/>
      <c r="AM547" s="2"/>
      <c r="AN547" s="2"/>
      <c r="AO547" s="9"/>
      <c r="AP547" s="9"/>
      <c r="AQ547" s="9"/>
      <c r="AR547" s="9"/>
    </row>
    <row r="548">
      <c r="A548" s="523"/>
      <c r="B548" s="523"/>
      <c r="C548" s="523"/>
      <c r="D548" s="523"/>
      <c r="E548" s="523"/>
      <c r="F548" s="523"/>
      <c r="G548" s="523"/>
      <c r="H548" s="523"/>
      <c r="I548" s="523"/>
      <c r="J548" s="523"/>
      <c r="K548" s="523"/>
      <c r="L548" s="523"/>
      <c r="M548" s="523"/>
      <c r="N548" s="523"/>
      <c r="O548" s="523"/>
      <c r="P548" s="523"/>
      <c r="Q548" s="523"/>
      <c r="R548" s="523"/>
      <c r="S548" s="523"/>
      <c r="T548" s="523"/>
      <c r="U548" s="523"/>
      <c r="V548" s="224"/>
      <c r="W548" s="224"/>
      <c r="X548" s="224"/>
      <c r="Y548" s="224"/>
      <c r="Z548" s="868"/>
      <c r="AA548" s="865"/>
      <c r="AB548" s="2"/>
      <c r="AC548" s="2"/>
      <c r="AD548" s="2"/>
      <c r="AE548" s="2"/>
      <c r="AF548" s="2"/>
      <c r="AG548" s="2"/>
      <c r="AH548" s="2"/>
      <c r="AI548" s="2"/>
      <c r="AJ548" s="2"/>
      <c r="AK548" s="2"/>
      <c r="AL548" s="2"/>
      <c r="AM548" s="2"/>
      <c r="AN548" s="2"/>
      <c r="AO548" s="9"/>
      <c r="AP548" s="9"/>
      <c r="AQ548" s="9"/>
      <c r="AR548" s="9"/>
    </row>
    <row r="549">
      <c r="A549" s="523"/>
      <c r="B549" s="523"/>
      <c r="C549" s="523"/>
      <c r="D549" s="523"/>
      <c r="E549" s="523"/>
      <c r="F549" s="523"/>
      <c r="G549" s="523"/>
      <c r="H549" s="523"/>
      <c r="I549" s="523"/>
      <c r="J549" s="523"/>
      <c r="K549" s="523"/>
      <c r="L549" s="523"/>
      <c r="M549" s="523"/>
      <c r="N549" s="523"/>
      <c r="O549" s="523"/>
      <c r="P549" s="523"/>
      <c r="Q549" s="523"/>
      <c r="R549" s="523"/>
      <c r="S549" s="523"/>
      <c r="T549" s="523"/>
      <c r="U549" s="523"/>
      <c r="V549" s="224"/>
      <c r="W549" s="224"/>
      <c r="X549" s="224"/>
      <c r="Y549" s="224"/>
      <c r="Z549" s="868"/>
      <c r="AA549" s="865"/>
      <c r="AB549" s="2"/>
      <c r="AC549" s="2"/>
      <c r="AD549" s="2"/>
      <c r="AE549" s="2"/>
      <c r="AF549" s="2"/>
      <c r="AG549" s="2"/>
      <c r="AH549" s="2"/>
      <c r="AI549" s="2"/>
      <c r="AJ549" s="2"/>
      <c r="AK549" s="2"/>
      <c r="AL549" s="2"/>
      <c r="AM549" s="2"/>
      <c r="AN549" s="2"/>
      <c r="AO549" s="9"/>
      <c r="AP549" s="9"/>
      <c r="AQ549" s="9"/>
      <c r="AR549" s="9"/>
    </row>
    <row r="550">
      <c r="A550" s="523"/>
      <c r="B550" s="523"/>
      <c r="C550" s="523"/>
      <c r="D550" s="523"/>
      <c r="E550" s="523"/>
      <c r="F550" s="523"/>
      <c r="G550" s="523"/>
      <c r="H550" s="523"/>
      <c r="I550" s="523"/>
      <c r="J550" s="523"/>
      <c r="K550" s="523"/>
      <c r="L550" s="523"/>
      <c r="M550" s="523"/>
      <c r="N550" s="523"/>
      <c r="O550" s="523"/>
      <c r="P550" s="523"/>
      <c r="Q550" s="523"/>
      <c r="R550" s="523"/>
      <c r="S550" s="523"/>
      <c r="T550" s="523"/>
      <c r="U550" s="523"/>
      <c r="V550" s="224"/>
      <c r="W550" s="224"/>
      <c r="X550" s="224"/>
      <c r="Y550" s="224"/>
      <c r="Z550" s="868"/>
      <c r="AA550" s="865"/>
      <c r="AB550" s="2"/>
      <c r="AC550" s="2"/>
      <c r="AD550" s="2"/>
      <c r="AE550" s="2"/>
      <c r="AF550" s="2"/>
      <c r="AG550" s="2"/>
      <c r="AH550" s="2"/>
      <c r="AI550" s="2"/>
      <c r="AJ550" s="2"/>
      <c r="AK550" s="2"/>
      <c r="AL550" s="2"/>
      <c r="AM550" s="2"/>
      <c r="AN550" s="2"/>
      <c r="AO550" s="9"/>
      <c r="AP550" s="9"/>
      <c r="AQ550" s="9"/>
      <c r="AR550" s="9"/>
    </row>
    <row r="551">
      <c r="A551" s="523"/>
      <c r="B551" s="523"/>
      <c r="C551" s="523"/>
      <c r="D551" s="523"/>
      <c r="E551" s="523"/>
      <c r="F551" s="523"/>
      <c r="G551" s="523"/>
      <c r="H551" s="523"/>
      <c r="I551" s="523"/>
      <c r="J551" s="523"/>
      <c r="K551" s="523"/>
      <c r="L551" s="523"/>
      <c r="M551" s="523"/>
      <c r="N551" s="523"/>
      <c r="O551" s="523"/>
      <c r="P551" s="523"/>
      <c r="Q551" s="523"/>
      <c r="R551" s="523"/>
      <c r="S551" s="523"/>
      <c r="T551" s="523"/>
      <c r="U551" s="523"/>
      <c r="V551" s="224"/>
      <c r="W551" s="224"/>
      <c r="X551" s="224"/>
      <c r="Y551" s="224"/>
      <c r="Z551" s="868"/>
      <c r="AA551" s="865"/>
      <c r="AB551" s="2"/>
      <c r="AC551" s="2"/>
      <c r="AD551" s="2"/>
      <c r="AE551" s="2"/>
      <c r="AF551" s="2"/>
      <c r="AG551" s="2"/>
      <c r="AH551" s="2"/>
      <c r="AI551" s="2"/>
      <c r="AJ551" s="2"/>
      <c r="AK551" s="2"/>
      <c r="AL551" s="2"/>
      <c r="AM551" s="2"/>
      <c r="AN551" s="2"/>
      <c r="AO551" s="9"/>
      <c r="AP551" s="9"/>
      <c r="AQ551" s="9"/>
      <c r="AR551" s="9"/>
    </row>
    <row r="552">
      <c r="A552" s="523"/>
      <c r="B552" s="523"/>
      <c r="C552" s="523"/>
      <c r="D552" s="523"/>
      <c r="E552" s="523"/>
      <c r="F552" s="523"/>
      <c r="G552" s="523"/>
      <c r="H552" s="523"/>
      <c r="I552" s="523"/>
      <c r="J552" s="523"/>
      <c r="K552" s="523"/>
      <c r="L552" s="523"/>
      <c r="M552" s="523"/>
      <c r="N552" s="523"/>
      <c r="O552" s="523"/>
      <c r="P552" s="523"/>
      <c r="Q552" s="523"/>
      <c r="R552" s="523"/>
      <c r="S552" s="523"/>
      <c r="T552" s="523"/>
      <c r="U552" s="523"/>
      <c r="V552" s="224"/>
      <c r="W552" s="224"/>
      <c r="X552" s="224"/>
      <c r="Y552" s="224"/>
      <c r="Z552" s="868"/>
      <c r="AA552" s="865"/>
      <c r="AB552" s="2"/>
      <c r="AC552" s="2"/>
      <c r="AD552" s="2"/>
      <c r="AE552" s="2"/>
      <c r="AF552" s="2"/>
      <c r="AG552" s="2"/>
      <c r="AH552" s="2"/>
      <c r="AI552" s="2"/>
      <c r="AJ552" s="2"/>
      <c r="AK552" s="2"/>
      <c r="AL552" s="2"/>
      <c r="AM552" s="2"/>
      <c r="AN552" s="2"/>
      <c r="AO552" s="9"/>
      <c r="AP552" s="9"/>
      <c r="AQ552" s="9"/>
      <c r="AR552" s="9"/>
    </row>
    <row r="553">
      <c r="A553" s="523"/>
      <c r="B553" s="523"/>
      <c r="C553" s="523"/>
      <c r="D553" s="523"/>
      <c r="E553" s="523"/>
      <c r="F553" s="523"/>
      <c r="G553" s="523"/>
      <c r="H553" s="523"/>
      <c r="I553" s="523"/>
      <c r="J553" s="523"/>
      <c r="K553" s="523"/>
      <c r="L553" s="523"/>
      <c r="M553" s="523"/>
      <c r="N553" s="523"/>
      <c r="O553" s="523"/>
      <c r="P553" s="523"/>
      <c r="Q553" s="523"/>
      <c r="R553" s="523"/>
      <c r="S553" s="523"/>
      <c r="T553" s="523"/>
      <c r="U553" s="523"/>
      <c r="V553" s="224"/>
      <c r="W553" s="224"/>
      <c r="X553" s="224"/>
      <c r="Y553" s="224"/>
      <c r="Z553" s="868"/>
      <c r="AA553" s="865"/>
      <c r="AB553" s="2"/>
      <c r="AC553" s="2"/>
      <c r="AD553" s="2"/>
      <c r="AE553" s="2"/>
      <c r="AF553" s="2"/>
      <c r="AG553" s="2"/>
      <c r="AH553" s="2"/>
      <c r="AI553" s="2"/>
      <c r="AJ553" s="2"/>
      <c r="AK553" s="2"/>
      <c r="AL553" s="2"/>
      <c r="AM553" s="2"/>
      <c r="AN553" s="2"/>
      <c r="AO553" s="9"/>
      <c r="AP553" s="9"/>
      <c r="AQ553" s="9"/>
      <c r="AR553" s="9"/>
    </row>
    <row r="554">
      <c r="A554" s="523"/>
      <c r="B554" s="523"/>
      <c r="C554" s="523"/>
      <c r="D554" s="523"/>
      <c r="E554" s="523"/>
      <c r="F554" s="523"/>
      <c r="G554" s="523"/>
      <c r="H554" s="523"/>
      <c r="I554" s="523"/>
      <c r="J554" s="523"/>
      <c r="K554" s="523"/>
      <c r="L554" s="523"/>
      <c r="M554" s="523"/>
      <c r="N554" s="523"/>
      <c r="O554" s="523"/>
      <c r="P554" s="523"/>
      <c r="Q554" s="523"/>
      <c r="R554" s="523"/>
      <c r="S554" s="523"/>
      <c r="T554" s="523"/>
      <c r="U554" s="523"/>
      <c r="V554" s="224"/>
      <c r="W554" s="224"/>
      <c r="X554" s="224"/>
      <c r="Y554" s="224"/>
      <c r="Z554" s="868"/>
      <c r="AA554" s="865"/>
      <c r="AB554" s="2"/>
      <c r="AC554" s="2"/>
      <c r="AD554" s="2"/>
      <c r="AE554" s="2"/>
      <c r="AF554" s="2"/>
      <c r="AG554" s="2"/>
      <c r="AH554" s="2"/>
      <c r="AI554" s="2"/>
      <c r="AJ554" s="2"/>
      <c r="AK554" s="2"/>
      <c r="AL554" s="2"/>
      <c r="AM554" s="2"/>
      <c r="AN554" s="2"/>
      <c r="AO554" s="9"/>
      <c r="AP554" s="9"/>
      <c r="AQ554" s="9"/>
      <c r="AR554" s="9"/>
    </row>
    <row r="555">
      <c r="A555" s="523"/>
      <c r="B555" s="523"/>
      <c r="C555" s="523"/>
      <c r="D555" s="523"/>
      <c r="E555" s="523"/>
      <c r="F555" s="523"/>
      <c r="G555" s="523"/>
      <c r="H555" s="523"/>
      <c r="I555" s="523"/>
      <c r="J555" s="523"/>
      <c r="K555" s="523"/>
      <c r="L555" s="523"/>
      <c r="M555" s="523"/>
      <c r="N555" s="523"/>
      <c r="O555" s="523"/>
      <c r="P555" s="523"/>
      <c r="Q555" s="523"/>
      <c r="R555" s="523"/>
      <c r="S555" s="523"/>
      <c r="T555" s="523"/>
      <c r="U555" s="523"/>
      <c r="V555" s="224"/>
      <c r="W555" s="224"/>
      <c r="X555" s="224"/>
      <c r="Y555" s="224"/>
      <c r="Z555" s="868"/>
      <c r="AA555" s="865"/>
      <c r="AB555" s="2"/>
      <c r="AC555" s="2"/>
      <c r="AD555" s="2"/>
      <c r="AE555" s="2"/>
      <c r="AF555" s="2"/>
      <c r="AG555" s="2"/>
      <c r="AH555" s="2"/>
      <c r="AI555" s="2"/>
      <c r="AJ555" s="2"/>
      <c r="AK555" s="2"/>
      <c r="AL555" s="2"/>
      <c r="AM555" s="2"/>
      <c r="AN555" s="2"/>
      <c r="AO555" s="9"/>
      <c r="AP555" s="9"/>
      <c r="AQ555" s="9"/>
      <c r="AR555" s="9"/>
    </row>
    <row r="556">
      <c r="A556" s="523"/>
      <c r="B556" s="523"/>
      <c r="C556" s="523"/>
      <c r="D556" s="523"/>
      <c r="E556" s="523"/>
      <c r="F556" s="523"/>
      <c r="G556" s="523"/>
      <c r="H556" s="523"/>
      <c r="I556" s="523"/>
      <c r="J556" s="523"/>
      <c r="K556" s="523"/>
      <c r="L556" s="523"/>
      <c r="M556" s="523"/>
      <c r="N556" s="523"/>
      <c r="O556" s="523"/>
      <c r="P556" s="523"/>
      <c r="Q556" s="523"/>
      <c r="R556" s="523"/>
      <c r="S556" s="523"/>
      <c r="T556" s="523"/>
      <c r="U556" s="523"/>
      <c r="V556" s="224"/>
      <c r="W556" s="224"/>
      <c r="X556" s="224"/>
      <c r="Y556" s="224"/>
      <c r="Z556" s="868"/>
      <c r="AA556" s="865"/>
      <c r="AB556" s="2"/>
      <c r="AC556" s="2"/>
      <c r="AD556" s="2"/>
      <c r="AE556" s="2"/>
      <c r="AF556" s="2"/>
      <c r="AG556" s="2"/>
      <c r="AH556" s="2"/>
      <c r="AI556" s="2"/>
      <c r="AJ556" s="2"/>
      <c r="AK556" s="2"/>
      <c r="AL556" s="2"/>
      <c r="AM556" s="2"/>
      <c r="AN556" s="2"/>
      <c r="AO556" s="9"/>
      <c r="AP556" s="9"/>
      <c r="AQ556" s="9"/>
      <c r="AR556" s="9"/>
    </row>
    <row r="557">
      <c r="A557" s="523"/>
      <c r="B557" s="523"/>
      <c r="C557" s="523"/>
      <c r="D557" s="523"/>
      <c r="E557" s="523"/>
      <c r="F557" s="523"/>
      <c r="G557" s="523"/>
      <c r="H557" s="523"/>
      <c r="I557" s="523"/>
      <c r="J557" s="523"/>
      <c r="K557" s="523"/>
      <c r="L557" s="523"/>
      <c r="M557" s="523"/>
      <c r="N557" s="523"/>
      <c r="O557" s="523"/>
      <c r="P557" s="523"/>
      <c r="Q557" s="523"/>
      <c r="R557" s="523"/>
      <c r="S557" s="523"/>
      <c r="T557" s="523"/>
      <c r="U557" s="523"/>
      <c r="V557" s="224"/>
      <c r="W557" s="224"/>
      <c r="X557" s="224"/>
      <c r="Y557" s="224"/>
      <c r="Z557" s="868"/>
      <c r="AA557" s="865"/>
      <c r="AB557" s="2"/>
      <c r="AC557" s="2"/>
      <c r="AD557" s="2"/>
      <c r="AE557" s="2"/>
      <c r="AF557" s="2"/>
      <c r="AG557" s="2"/>
      <c r="AH557" s="2"/>
      <c r="AI557" s="2"/>
      <c r="AJ557" s="2"/>
      <c r="AK557" s="2"/>
      <c r="AL557" s="2"/>
      <c r="AM557" s="2"/>
      <c r="AN557" s="2"/>
      <c r="AO557" s="9"/>
      <c r="AP557" s="9"/>
      <c r="AQ557" s="9"/>
      <c r="AR557" s="9"/>
    </row>
    <row r="558">
      <c r="A558" s="523"/>
      <c r="B558" s="523"/>
      <c r="C558" s="523"/>
      <c r="D558" s="523"/>
      <c r="E558" s="523"/>
      <c r="F558" s="523"/>
      <c r="G558" s="523"/>
      <c r="H558" s="523"/>
      <c r="I558" s="523"/>
      <c r="J558" s="523"/>
      <c r="K558" s="523"/>
      <c r="L558" s="523"/>
      <c r="M558" s="523"/>
      <c r="N558" s="523"/>
      <c r="O558" s="523"/>
      <c r="P558" s="523"/>
      <c r="Q558" s="523"/>
      <c r="R558" s="523"/>
      <c r="S558" s="523"/>
      <c r="T558" s="523"/>
      <c r="U558" s="523"/>
      <c r="V558" s="224"/>
      <c r="W558" s="224"/>
      <c r="X558" s="224"/>
      <c r="Y558" s="224"/>
      <c r="Z558" s="868"/>
      <c r="AA558" s="865"/>
      <c r="AB558" s="2"/>
      <c r="AC558" s="2"/>
      <c r="AD558" s="2"/>
      <c r="AE558" s="2"/>
      <c r="AF558" s="2"/>
      <c r="AG558" s="2"/>
      <c r="AH558" s="2"/>
      <c r="AI558" s="2"/>
      <c r="AJ558" s="2"/>
      <c r="AK558" s="2"/>
      <c r="AL558" s="2"/>
      <c r="AM558" s="2"/>
      <c r="AN558" s="2"/>
      <c r="AO558" s="9"/>
      <c r="AP558" s="9"/>
      <c r="AQ558" s="9"/>
      <c r="AR558" s="9"/>
    </row>
    <row r="559">
      <c r="A559" s="523"/>
      <c r="B559" s="523"/>
      <c r="C559" s="523"/>
      <c r="D559" s="523"/>
      <c r="E559" s="523"/>
      <c r="F559" s="523"/>
      <c r="G559" s="523"/>
      <c r="H559" s="523"/>
      <c r="I559" s="523"/>
      <c r="J559" s="523"/>
      <c r="K559" s="523"/>
      <c r="L559" s="523"/>
      <c r="M559" s="523"/>
      <c r="N559" s="523"/>
      <c r="O559" s="523"/>
      <c r="P559" s="523"/>
      <c r="Q559" s="523"/>
      <c r="R559" s="523"/>
      <c r="S559" s="523"/>
      <c r="T559" s="523"/>
      <c r="U559" s="523"/>
      <c r="V559" s="224"/>
      <c r="W559" s="224"/>
      <c r="X559" s="224"/>
      <c r="Y559" s="224"/>
      <c r="Z559" s="868"/>
      <c r="AA559" s="865"/>
      <c r="AB559" s="2"/>
      <c r="AC559" s="2"/>
      <c r="AD559" s="2"/>
      <c r="AE559" s="2"/>
      <c r="AF559" s="2"/>
      <c r="AG559" s="2"/>
      <c r="AH559" s="2"/>
      <c r="AI559" s="2"/>
      <c r="AJ559" s="2"/>
      <c r="AK559" s="2"/>
      <c r="AL559" s="2"/>
      <c r="AM559" s="2"/>
      <c r="AN559" s="2"/>
      <c r="AO559" s="9"/>
      <c r="AP559" s="9"/>
      <c r="AQ559" s="9"/>
      <c r="AR559" s="9"/>
    </row>
    <row r="560">
      <c r="A560" s="523"/>
      <c r="B560" s="523"/>
      <c r="C560" s="523"/>
      <c r="D560" s="523"/>
      <c r="E560" s="523"/>
      <c r="F560" s="523"/>
      <c r="G560" s="523"/>
      <c r="H560" s="523"/>
      <c r="I560" s="523"/>
      <c r="J560" s="523"/>
      <c r="K560" s="523"/>
      <c r="L560" s="523"/>
      <c r="M560" s="523"/>
      <c r="N560" s="523"/>
      <c r="O560" s="523"/>
      <c r="P560" s="523"/>
      <c r="Q560" s="523"/>
      <c r="R560" s="523"/>
      <c r="S560" s="523"/>
      <c r="T560" s="523"/>
      <c r="U560" s="523"/>
      <c r="V560" s="224"/>
      <c r="W560" s="224"/>
      <c r="X560" s="224"/>
      <c r="Y560" s="224"/>
      <c r="Z560" s="868"/>
      <c r="AA560" s="865"/>
      <c r="AB560" s="2"/>
      <c r="AC560" s="2"/>
      <c r="AD560" s="2"/>
      <c r="AE560" s="2"/>
      <c r="AF560" s="2"/>
      <c r="AG560" s="2"/>
      <c r="AH560" s="2"/>
      <c r="AI560" s="2"/>
      <c r="AJ560" s="2"/>
      <c r="AK560" s="2"/>
      <c r="AL560" s="2"/>
      <c r="AM560" s="2"/>
      <c r="AN560" s="2"/>
      <c r="AO560" s="9"/>
      <c r="AP560" s="9"/>
      <c r="AQ560" s="9"/>
      <c r="AR560" s="9"/>
    </row>
    <row r="561">
      <c r="A561" s="523"/>
      <c r="B561" s="523"/>
      <c r="C561" s="523"/>
      <c r="D561" s="523"/>
      <c r="E561" s="523"/>
      <c r="F561" s="523"/>
      <c r="G561" s="523"/>
      <c r="H561" s="523"/>
      <c r="I561" s="523"/>
      <c r="J561" s="523"/>
      <c r="K561" s="523"/>
      <c r="L561" s="523"/>
      <c r="M561" s="523"/>
      <c r="N561" s="523"/>
      <c r="O561" s="523"/>
      <c r="P561" s="523"/>
      <c r="Q561" s="523"/>
      <c r="R561" s="523"/>
      <c r="S561" s="523"/>
      <c r="T561" s="523"/>
      <c r="U561" s="523"/>
      <c r="V561" s="224"/>
      <c r="W561" s="224"/>
      <c r="X561" s="224"/>
      <c r="Y561" s="224"/>
      <c r="Z561" s="868"/>
      <c r="AA561" s="865"/>
      <c r="AB561" s="2"/>
      <c r="AC561" s="2"/>
      <c r="AD561" s="2"/>
      <c r="AE561" s="2"/>
      <c r="AF561" s="2"/>
      <c r="AG561" s="2"/>
      <c r="AH561" s="2"/>
      <c r="AI561" s="2"/>
      <c r="AJ561" s="2"/>
      <c r="AK561" s="2"/>
      <c r="AL561" s="2"/>
      <c r="AM561" s="2"/>
      <c r="AN561" s="2"/>
      <c r="AO561" s="9"/>
      <c r="AP561" s="9"/>
      <c r="AQ561" s="9"/>
      <c r="AR561" s="9"/>
    </row>
    <row r="562">
      <c r="A562" s="523"/>
      <c r="B562" s="523"/>
      <c r="C562" s="523"/>
      <c r="D562" s="523"/>
      <c r="E562" s="523"/>
      <c r="F562" s="523"/>
      <c r="G562" s="523"/>
      <c r="H562" s="523"/>
      <c r="I562" s="523"/>
      <c r="J562" s="523"/>
      <c r="K562" s="523"/>
      <c r="L562" s="523"/>
      <c r="M562" s="523"/>
      <c r="N562" s="523"/>
      <c r="O562" s="523"/>
      <c r="P562" s="523"/>
      <c r="Q562" s="523"/>
      <c r="R562" s="523"/>
      <c r="S562" s="523"/>
      <c r="T562" s="523"/>
      <c r="U562" s="523"/>
      <c r="V562" s="224"/>
      <c r="W562" s="224"/>
      <c r="X562" s="224"/>
      <c r="Y562" s="224"/>
      <c r="Z562" s="868"/>
      <c r="AA562" s="865"/>
      <c r="AB562" s="2"/>
      <c r="AC562" s="2"/>
      <c r="AD562" s="2"/>
      <c r="AE562" s="2"/>
      <c r="AF562" s="2"/>
      <c r="AG562" s="2"/>
      <c r="AH562" s="2"/>
      <c r="AI562" s="2"/>
      <c r="AJ562" s="2"/>
      <c r="AK562" s="2"/>
      <c r="AL562" s="2"/>
      <c r="AM562" s="2"/>
      <c r="AN562" s="2"/>
      <c r="AO562" s="9"/>
      <c r="AP562" s="9"/>
      <c r="AQ562" s="9"/>
      <c r="AR562" s="9"/>
    </row>
    <row r="563">
      <c r="A563" s="523"/>
      <c r="B563" s="523"/>
      <c r="C563" s="523"/>
      <c r="D563" s="523"/>
      <c r="E563" s="523"/>
      <c r="F563" s="523"/>
      <c r="G563" s="523"/>
      <c r="H563" s="523"/>
      <c r="I563" s="523"/>
      <c r="J563" s="523"/>
      <c r="K563" s="523"/>
      <c r="L563" s="523"/>
      <c r="M563" s="523"/>
      <c r="N563" s="523"/>
      <c r="O563" s="523"/>
      <c r="P563" s="523"/>
      <c r="Q563" s="523"/>
      <c r="R563" s="523"/>
      <c r="S563" s="523"/>
      <c r="T563" s="523"/>
      <c r="U563" s="523"/>
      <c r="V563" s="224"/>
      <c r="W563" s="224"/>
      <c r="X563" s="224"/>
      <c r="Y563" s="224"/>
      <c r="Z563" s="868"/>
      <c r="AA563" s="865"/>
      <c r="AB563" s="2"/>
      <c r="AC563" s="2"/>
      <c r="AD563" s="2"/>
      <c r="AE563" s="2"/>
      <c r="AF563" s="2"/>
      <c r="AG563" s="2"/>
      <c r="AH563" s="2"/>
      <c r="AI563" s="2"/>
      <c r="AJ563" s="2"/>
      <c r="AK563" s="2"/>
      <c r="AL563" s="2"/>
      <c r="AM563" s="2"/>
      <c r="AN563" s="2"/>
      <c r="AO563" s="9"/>
      <c r="AP563" s="9"/>
      <c r="AQ563" s="9"/>
      <c r="AR563" s="9"/>
    </row>
    <row r="564">
      <c r="A564" s="523"/>
      <c r="B564" s="523"/>
      <c r="C564" s="523"/>
      <c r="D564" s="523"/>
      <c r="E564" s="523"/>
      <c r="F564" s="523"/>
      <c r="G564" s="523"/>
      <c r="H564" s="523"/>
      <c r="I564" s="523"/>
      <c r="J564" s="523"/>
      <c r="K564" s="523"/>
      <c r="L564" s="523"/>
      <c r="M564" s="523"/>
      <c r="N564" s="523"/>
      <c r="O564" s="523"/>
      <c r="P564" s="523"/>
      <c r="Q564" s="523"/>
      <c r="R564" s="523"/>
      <c r="S564" s="523"/>
      <c r="T564" s="523"/>
      <c r="U564" s="523"/>
      <c r="V564" s="224"/>
      <c r="W564" s="224"/>
      <c r="X564" s="224"/>
      <c r="Y564" s="224"/>
      <c r="Z564" s="868"/>
      <c r="AA564" s="865"/>
      <c r="AB564" s="2"/>
      <c r="AC564" s="2"/>
      <c r="AD564" s="2"/>
      <c r="AE564" s="2"/>
      <c r="AF564" s="2"/>
      <c r="AG564" s="2"/>
      <c r="AH564" s="2"/>
      <c r="AI564" s="2"/>
      <c r="AJ564" s="2"/>
      <c r="AK564" s="2"/>
      <c r="AL564" s="2"/>
      <c r="AM564" s="2"/>
      <c r="AN564" s="2"/>
      <c r="AO564" s="9"/>
      <c r="AP564" s="9"/>
      <c r="AQ564" s="9"/>
      <c r="AR564" s="9"/>
    </row>
    <row r="565">
      <c r="A565" s="523"/>
      <c r="B565" s="523"/>
      <c r="C565" s="523"/>
      <c r="D565" s="523"/>
      <c r="E565" s="523"/>
      <c r="F565" s="523"/>
      <c r="G565" s="523"/>
      <c r="H565" s="523"/>
      <c r="I565" s="523"/>
      <c r="J565" s="523"/>
      <c r="K565" s="523"/>
      <c r="L565" s="523"/>
      <c r="M565" s="523"/>
      <c r="N565" s="523"/>
      <c r="O565" s="523"/>
      <c r="P565" s="523"/>
      <c r="Q565" s="523"/>
      <c r="R565" s="523"/>
      <c r="S565" s="523"/>
      <c r="T565" s="523"/>
      <c r="U565" s="523"/>
      <c r="V565" s="224"/>
      <c r="W565" s="224"/>
      <c r="X565" s="224"/>
      <c r="Y565" s="224"/>
      <c r="Z565" s="868"/>
      <c r="AA565" s="865"/>
      <c r="AB565" s="2"/>
      <c r="AC565" s="2"/>
      <c r="AD565" s="2"/>
      <c r="AE565" s="2"/>
      <c r="AF565" s="2"/>
      <c r="AG565" s="2"/>
      <c r="AH565" s="2"/>
      <c r="AI565" s="2"/>
      <c r="AJ565" s="2"/>
      <c r="AK565" s="2"/>
      <c r="AL565" s="2"/>
      <c r="AM565" s="2"/>
      <c r="AN565" s="2"/>
      <c r="AO565" s="9"/>
      <c r="AP565" s="9"/>
      <c r="AQ565" s="9"/>
      <c r="AR565" s="9"/>
    </row>
    <row r="566">
      <c r="A566" s="523"/>
      <c r="B566" s="523"/>
      <c r="C566" s="523"/>
      <c r="D566" s="523"/>
      <c r="E566" s="523"/>
      <c r="F566" s="523"/>
      <c r="G566" s="523"/>
      <c r="H566" s="523"/>
      <c r="I566" s="523"/>
      <c r="J566" s="523"/>
      <c r="K566" s="523"/>
      <c r="L566" s="523"/>
      <c r="M566" s="523"/>
      <c r="N566" s="523"/>
      <c r="O566" s="523"/>
      <c r="P566" s="523"/>
      <c r="Q566" s="523"/>
      <c r="R566" s="523"/>
      <c r="S566" s="523"/>
      <c r="T566" s="523"/>
      <c r="U566" s="523"/>
      <c r="V566" s="224"/>
      <c r="W566" s="224"/>
      <c r="X566" s="224"/>
      <c r="Y566" s="224"/>
      <c r="Z566" s="868"/>
      <c r="AA566" s="865"/>
      <c r="AB566" s="2"/>
      <c r="AC566" s="2"/>
      <c r="AD566" s="2"/>
      <c r="AE566" s="2"/>
      <c r="AF566" s="2"/>
      <c r="AG566" s="2"/>
      <c r="AH566" s="2"/>
      <c r="AI566" s="2"/>
      <c r="AJ566" s="2"/>
      <c r="AK566" s="2"/>
      <c r="AL566" s="2"/>
      <c r="AM566" s="2"/>
      <c r="AN566" s="2"/>
      <c r="AO566" s="9"/>
      <c r="AP566" s="9"/>
      <c r="AQ566" s="9"/>
      <c r="AR566" s="9"/>
    </row>
    <row r="567">
      <c r="A567" s="523"/>
      <c r="B567" s="523"/>
      <c r="C567" s="523"/>
      <c r="D567" s="523"/>
      <c r="E567" s="523"/>
      <c r="F567" s="523"/>
      <c r="G567" s="523"/>
      <c r="H567" s="523"/>
      <c r="I567" s="523"/>
      <c r="J567" s="523"/>
      <c r="K567" s="523"/>
      <c r="L567" s="523"/>
      <c r="M567" s="523"/>
      <c r="N567" s="523"/>
      <c r="O567" s="523"/>
      <c r="P567" s="523"/>
      <c r="Q567" s="523"/>
      <c r="R567" s="523"/>
      <c r="S567" s="523"/>
      <c r="T567" s="523"/>
      <c r="U567" s="523"/>
      <c r="V567" s="224"/>
      <c r="W567" s="224"/>
      <c r="X567" s="224"/>
      <c r="Y567" s="224"/>
      <c r="Z567" s="868"/>
      <c r="AA567" s="865"/>
      <c r="AB567" s="2"/>
      <c r="AC567" s="2"/>
      <c r="AD567" s="2"/>
      <c r="AE567" s="2"/>
      <c r="AF567" s="2"/>
      <c r="AG567" s="2"/>
      <c r="AH567" s="2"/>
      <c r="AI567" s="2"/>
      <c r="AJ567" s="2"/>
      <c r="AK567" s="2"/>
      <c r="AL567" s="2"/>
      <c r="AM567" s="2"/>
      <c r="AN567" s="2"/>
      <c r="AO567" s="9"/>
      <c r="AP567" s="9"/>
      <c r="AQ567" s="9"/>
      <c r="AR567" s="9"/>
    </row>
    <row r="568">
      <c r="A568" s="523"/>
      <c r="B568" s="523"/>
      <c r="C568" s="523"/>
      <c r="D568" s="523"/>
      <c r="E568" s="523"/>
      <c r="F568" s="523"/>
      <c r="G568" s="523"/>
      <c r="H568" s="523"/>
      <c r="I568" s="523"/>
      <c r="J568" s="523"/>
      <c r="K568" s="523"/>
      <c r="L568" s="523"/>
      <c r="M568" s="523"/>
      <c r="N568" s="523"/>
      <c r="O568" s="523"/>
      <c r="P568" s="523"/>
      <c r="Q568" s="523"/>
      <c r="R568" s="523"/>
      <c r="S568" s="523"/>
      <c r="T568" s="523"/>
      <c r="U568" s="523"/>
      <c r="V568" s="224"/>
      <c r="W568" s="224"/>
      <c r="X568" s="224"/>
      <c r="Y568" s="224"/>
      <c r="Z568" s="868"/>
      <c r="AA568" s="865"/>
      <c r="AB568" s="2"/>
      <c r="AC568" s="2"/>
      <c r="AD568" s="2"/>
      <c r="AE568" s="2"/>
      <c r="AF568" s="2"/>
      <c r="AG568" s="2"/>
      <c r="AH568" s="2"/>
      <c r="AI568" s="2"/>
      <c r="AJ568" s="2"/>
      <c r="AK568" s="2"/>
      <c r="AL568" s="2"/>
      <c r="AM568" s="2"/>
      <c r="AN568" s="2"/>
      <c r="AO568" s="9"/>
      <c r="AP568" s="9"/>
      <c r="AQ568" s="9"/>
      <c r="AR568" s="9"/>
    </row>
    <row r="569">
      <c r="A569" s="523"/>
      <c r="B569" s="523"/>
      <c r="C569" s="523"/>
      <c r="D569" s="523"/>
      <c r="E569" s="523"/>
      <c r="F569" s="523"/>
      <c r="G569" s="523"/>
      <c r="H569" s="523"/>
      <c r="I569" s="523"/>
      <c r="J569" s="523"/>
      <c r="K569" s="523"/>
      <c r="L569" s="523"/>
      <c r="M569" s="523"/>
      <c r="N569" s="523"/>
      <c r="O569" s="523"/>
      <c r="P569" s="523"/>
      <c r="Q569" s="523"/>
      <c r="R569" s="523"/>
      <c r="S569" s="523"/>
      <c r="T569" s="523"/>
      <c r="U569" s="523"/>
      <c r="V569" s="224"/>
      <c r="W569" s="224"/>
      <c r="X569" s="224"/>
      <c r="Y569" s="224"/>
      <c r="Z569" s="868"/>
      <c r="AA569" s="865"/>
      <c r="AB569" s="2"/>
      <c r="AC569" s="2"/>
      <c r="AD569" s="2"/>
      <c r="AE569" s="2"/>
      <c r="AF569" s="2"/>
      <c r="AG569" s="2"/>
      <c r="AH569" s="2"/>
      <c r="AI569" s="2"/>
      <c r="AJ569" s="2"/>
      <c r="AK569" s="2"/>
      <c r="AL569" s="2"/>
      <c r="AM569" s="2"/>
      <c r="AN569" s="2"/>
      <c r="AO569" s="9"/>
      <c r="AP569" s="9"/>
      <c r="AQ569" s="9"/>
      <c r="AR569" s="9"/>
    </row>
    <row r="570">
      <c r="A570" s="523"/>
      <c r="B570" s="523"/>
      <c r="C570" s="523"/>
      <c r="D570" s="523"/>
      <c r="E570" s="523"/>
      <c r="F570" s="523"/>
      <c r="G570" s="523"/>
      <c r="H570" s="523"/>
      <c r="I570" s="523"/>
      <c r="J570" s="523"/>
      <c r="K570" s="523"/>
      <c r="L570" s="523"/>
      <c r="M570" s="523"/>
      <c r="N570" s="523"/>
      <c r="O570" s="523"/>
      <c r="P570" s="523"/>
      <c r="Q570" s="523"/>
      <c r="R570" s="523"/>
      <c r="S570" s="523"/>
      <c r="T570" s="523"/>
      <c r="U570" s="523"/>
      <c r="V570" s="224"/>
      <c r="W570" s="224"/>
      <c r="X570" s="224"/>
      <c r="Y570" s="224"/>
      <c r="Z570" s="868"/>
      <c r="AA570" s="865"/>
      <c r="AB570" s="2"/>
      <c r="AC570" s="2"/>
      <c r="AD570" s="2"/>
      <c r="AE570" s="2"/>
      <c r="AF570" s="2"/>
      <c r="AG570" s="2"/>
      <c r="AH570" s="2"/>
      <c r="AI570" s="2"/>
      <c r="AJ570" s="2"/>
      <c r="AK570" s="2"/>
      <c r="AL570" s="2"/>
      <c r="AM570" s="2"/>
      <c r="AN570" s="2"/>
      <c r="AO570" s="9"/>
      <c r="AP570" s="9"/>
      <c r="AQ570" s="9"/>
      <c r="AR570" s="9"/>
    </row>
    <row r="571">
      <c r="A571" s="523"/>
      <c r="B571" s="523"/>
      <c r="C571" s="523"/>
      <c r="D571" s="523"/>
      <c r="E571" s="523"/>
      <c r="F571" s="523"/>
      <c r="G571" s="523"/>
      <c r="H571" s="523"/>
      <c r="I571" s="523"/>
      <c r="J571" s="523"/>
      <c r="K571" s="523"/>
      <c r="L571" s="523"/>
      <c r="M571" s="523"/>
      <c r="N571" s="523"/>
      <c r="O571" s="523"/>
      <c r="P571" s="523"/>
      <c r="Q571" s="523"/>
      <c r="R571" s="523"/>
      <c r="S571" s="523"/>
      <c r="T571" s="523"/>
      <c r="U571" s="523"/>
      <c r="V571" s="224"/>
      <c r="W571" s="224"/>
      <c r="X571" s="224"/>
      <c r="Y571" s="224"/>
      <c r="Z571" s="868"/>
      <c r="AA571" s="865"/>
      <c r="AB571" s="2"/>
      <c r="AC571" s="2"/>
      <c r="AD571" s="2"/>
      <c r="AE571" s="2"/>
      <c r="AF571" s="2"/>
      <c r="AG571" s="2"/>
      <c r="AH571" s="2"/>
      <c r="AI571" s="2"/>
      <c r="AJ571" s="2"/>
      <c r="AK571" s="2"/>
      <c r="AL571" s="2"/>
      <c r="AM571" s="2"/>
      <c r="AN571" s="2"/>
      <c r="AO571" s="9"/>
      <c r="AP571" s="9"/>
      <c r="AQ571" s="9"/>
      <c r="AR571" s="9"/>
    </row>
    <row r="572">
      <c r="A572" s="523"/>
      <c r="B572" s="523"/>
      <c r="C572" s="523"/>
      <c r="D572" s="523"/>
      <c r="E572" s="523"/>
      <c r="F572" s="523"/>
      <c r="G572" s="523"/>
      <c r="H572" s="523"/>
      <c r="I572" s="523"/>
      <c r="J572" s="523"/>
      <c r="K572" s="523"/>
      <c r="L572" s="523"/>
      <c r="M572" s="523"/>
      <c r="N572" s="523"/>
      <c r="O572" s="523"/>
      <c r="P572" s="523"/>
      <c r="Q572" s="523"/>
      <c r="R572" s="523"/>
      <c r="S572" s="523"/>
      <c r="T572" s="523"/>
      <c r="U572" s="523"/>
      <c r="V572" s="224"/>
      <c r="W572" s="224"/>
      <c r="X572" s="224"/>
      <c r="Y572" s="224"/>
      <c r="Z572" s="868"/>
      <c r="AA572" s="865"/>
      <c r="AB572" s="2"/>
      <c r="AC572" s="2"/>
      <c r="AD572" s="2"/>
      <c r="AE572" s="2"/>
      <c r="AF572" s="2"/>
      <c r="AG572" s="2"/>
      <c r="AH572" s="2"/>
      <c r="AI572" s="2"/>
      <c r="AJ572" s="2"/>
      <c r="AK572" s="2"/>
      <c r="AL572" s="2"/>
      <c r="AM572" s="2"/>
      <c r="AN572" s="2"/>
      <c r="AO572" s="9"/>
      <c r="AP572" s="9"/>
      <c r="AQ572" s="9"/>
      <c r="AR572" s="9"/>
    </row>
    <row r="573">
      <c r="A573" s="523"/>
      <c r="B573" s="523"/>
      <c r="C573" s="523"/>
      <c r="D573" s="523"/>
      <c r="E573" s="523"/>
      <c r="F573" s="523"/>
      <c r="G573" s="523"/>
      <c r="H573" s="523"/>
      <c r="I573" s="523"/>
      <c r="J573" s="523"/>
      <c r="K573" s="523"/>
      <c r="L573" s="523"/>
      <c r="M573" s="523"/>
      <c r="N573" s="523"/>
      <c r="O573" s="523"/>
      <c r="P573" s="523"/>
      <c r="Q573" s="523"/>
      <c r="R573" s="523"/>
      <c r="S573" s="523"/>
      <c r="T573" s="523"/>
      <c r="U573" s="523"/>
      <c r="V573" s="224"/>
      <c r="W573" s="224"/>
      <c r="X573" s="224"/>
      <c r="Y573" s="224"/>
      <c r="Z573" s="868"/>
      <c r="AA573" s="865"/>
      <c r="AB573" s="2"/>
      <c r="AC573" s="2"/>
      <c r="AD573" s="2"/>
      <c r="AE573" s="2"/>
      <c r="AF573" s="2"/>
      <c r="AG573" s="2"/>
      <c r="AH573" s="2"/>
      <c r="AI573" s="2"/>
      <c r="AJ573" s="2"/>
      <c r="AK573" s="2"/>
      <c r="AL573" s="2"/>
      <c r="AM573" s="2"/>
      <c r="AN573" s="2"/>
      <c r="AO573" s="9"/>
      <c r="AP573" s="9"/>
      <c r="AQ573" s="9"/>
      <c r="AR573" s="9"/>
    </row>
    <row r="574">
      <c r="A574" s="523"/>
      <c r="B574" s="523"/>
      <c r="C574" s="523"/>
      <c r="D574" s="523"/>
      <c r="E574" s="523"/>
      <c r="F574" s="523"/>
      <c r="G574" s="523"/>
      <c r="H574" s="523"/>
      <c r="I574" s="523"/>
      <c r="J574" s="523"/>
      <c r="K574" s="523"/>
      <c r="L574" s="523"/>
      <c r="M574" s="523"/>
      <c r="N574" s="523"/>
      <c r="O574" s="523"/>
      <c r="P574" s="523"/>
      <c r="Q574" s="523"/>
      <c r="R574" s="523"/>
      <c r="S574" s="523"/>
      <c r="T574" s="523"/>
      <c r="U574" s="523"/>
      <c r="V574" s="224"/>
      <c r="W574" s="224"/>
      <c r="X574" s="224"/>
      <c r="Y574" s="224"/>
      <c r="Z574" s="868"/>
      <c r="AA574" s="865"/>
      <c r="AB574" s="2"/>
      <c r="AC574" s="2"/>
      <c r="AD574" s="2"/>
      <c r="AE574" s="2"/>
      <c r="AF574" s="2"/>
      <c r="AG574" s="2"/>
      <c r="AH574" s="2"/>
      <c r="AI574" s="2"/>
      <c r="AJ574" s="2"/>
      <c r="AK574" s="2"/>
      <c r="AL574" s="2"/>
      <c r="AM574" s="2"/>
      <c r="AN574" s="2"/>
      <c r="AO574" s="9"/>
      <c r="AP574" s="9"/>
      <c r="AQ574" s="9"/>
      <c r="AR574" s="9"/>
    </row>
    <row r="575">
      <c r="A575" s="523"/>
      <c r="B575" s="523"/>
      <c r="C575" s="523"/>
      <c r="D575" s="523"/>
      <c r="E575" s="523"/>
      <c r="F575" s="523"/>
      <c r="G575" s="523"/>
      <c r="H575" s="523"/>
      <c r="I575" s="523"/>
      <c r="J575" s="523"/>
      <c r="K575" s="523"/>
      <c r="L575" s="523"/>
      <c r="M575" s="523"/>
      <c r="N575" s="523"/>
      <c r="O575" s="523"/>
      <c r="P575" s="523"/>
      <c r="Q575" s="523"/>
      <c r="R575" s="523"/>
      <c r="S575" s="523"/>
      <c r="T575" s="523"/>
      <c r="U575" s="523"/>
      <c r="V575" s="224"/>
      <c r="W575" s="224"/>
      <c r="X575" s="224"/>
      <c r="Y575" s="224"/>
      <c r="Z575" s="868"/>
      <c r="AA575" s="865"/>
      <c r="AB575" s="2"/>
      <c r="AC575" s="2"/>
      <c r="AD575" s="2"/>
      <c r="AE575" s="2"/>
      <c r="AF575" s="2"/>
      <c r="AG575" s="2"/>
      <c r="AH575" s="2"/>
      <c r="AI575" s="2"/>
      <c r="AJ575" s="2"/>
      <c r="AK575" s="2"/>
      <c r="AL575" s="2"/>
      <c r="AM575" s="2"/>
      <c r="AN575" s="2"/>
      <c r="AO575" s="9"/>
      <c r="AP575" s="9"/>
      <c r="AQ575" s="9"/>
      <c r="AR575" s="9"/>
    </row>
    <row r="576">
      <c r="A576" s="523"/>
      <c r="B576" s="523"/>
      <c r="C576" s="523"/>
      <c r="D576" s="523"/>
      <c r="E576" s="523"/>
      <c r="F576" s="523"/>
      <c r="G576" s="523"/>
      <c r="H576" s="523"/>
      <c r="I576" s="523"/>
      <c r="J576" s="523"/>
      <c r="K576" s="523"/>
      <c r="L576" s="523"/>
      <c r="M576" s="523"/>
      <c r="N576" s="523"/>
      <c r="O576" s="523"/>
      <c r="P576" s="523"/>
      <c r="Q576" s="523"/>
      <c r="R576" s="523"/>
      <c r="S576" s="523"/>
      <c r="T576" s="523"/>
      <c r="U576" s="523"/>
      <c r="V576" s="224"/>
      <c r="W576" s="224"/>
      <c r="X576" s="224"/>
      <c r="Y576" s="224"/>
      <c r="Z576" s="868"/>
      <c r="AA576" s="865"/>
      <c r="AB576" s="2"/>
      <c r="AC576" s="2"/>
      <c r="AD576" s="2"/>
      <c r="AE576" s="2"/>
      <c r="AF576" s="2"/>
      <c r="AG576" s="2"/>
      <c r="AH576" s="2"/>
      <c r="AI576" s="2"/>
      <c r="AJ576" s="2"/>
      <c r="AK576" s="2"/>
      <c r="AL576" s="2"/>
      <c r="AM576" s="2"/>
      <c r="AN576" s="2"/>
      <c r="AO576" s="9"/>
      <c r="AP576" s="9"/>
      <c r="AQ576" s="9"/>
      <c r="AR576" s="9"/>
    </row>
    <row r="577">
      <c r="A577" s="523"/>
      <c r="B577" s="523"/>
      <c r="C577" s="523"/>
      <c r="D577" s="523"/>
      <c r="E577" s="523"/>
      <c r="F577" s="523"/>
      <c r="G577" s="523"/>
      <c r="H577" s="523"/>
      <c r="I577" s="523"/>
      <c r="J577" s="523"/>
      <c r="K577" s="523"/>
      <c r="L577" s="523"/>
      <c r="M577" s="523"/>
      <c r="N577" s="523"/>
      <c r="O577" s="523"/>
      <c r="P577" s="523"/>
      <c r="Q577" s="523"/>
      <c r="R577" s="523"/>
      <c r="S577" s="523"/>
      <c r="T577" s="523"/>
      <c r="U577" s="523"/>
      <c r="V577" s="224"/>
      <c r="W577" s="224"/>
      <c r="X577" s="224"/>
      <c r="Y577" s="224"/>
      <c r="Z577" s="868"/>
      <c r="AA577" s="865"/>
      <c r="AB577" s="2"/>
      <c r="AC577" s="2"/>
      <c r="AD577" s="2"/>
      <c r="AE577" s="2"/>
      <c r="AF577" s="2"/>
      <c r="AG577" s="2"/>
      <c r="AH577" s="2"/>
      <c r="AI577" s="2"/>
      <c r="AJ577" s="2"/>
      <c r="AK577" s="2"/>
      <c r="AL577" s="2"/>
      <c r="AM577" s="2"/>
      <c r="AN577" s="2"/>
      <c r="AO577" s="9"/>
      <c r="AP577" s="9"/>
      <c r="AQ577" s="9"/>
      <c r="AR577" s="9"/>
    </row>
    <row r="578">
      <c r="A578" s="523"/>
      <c r="B578" s="523"/>
      <c r="C578" s="523"/>
      <c r="D578" s="523"/>
      <c r="E578" s="523"/>
      <c r="F578" s="523"/>
      <c r="G578" s="523"/>
      <c r="H578" s="523"/>
      <c r="I578" s="523"/>
      <c r="J578" s="523"/>
      <c r="K578" s="523"/>
      <c r="L578" s="523"/>
      <c r="M578" s="523"/>
      <c r="N578" s="523"/>
      <c r="O578" s="523"/>
      <c r="P578" s="523"/>
      <c r="Q578" s="523"/>
      <c r="R578" s="523"/>
      <c r="S578" s="523"/>
      <c r="T578" s="523"/>
      <c r="U578" s="523"/>
      <c r="V578" s="224"/>
      <c r="W578" s="224"/>
      <c r="X578" s="224"/>
      <c r="Y578" s="224"/>
      <c r="Z578" s="868"/>
      <c r="AA578" s="865"/>
      <c r="AB578" s="2"/>
      <c r="AC578" s="2"/>
      <c r="AD578" s="2"/>
      <c r="AE578" s="2"/>
      <c r="AF578" s="2"/>
      <c r="AG578" s="2"/>
      <c r="AH578" s="2"/>
      <c r="AI578" s="2"/>
      <c r="AJ578" s="2"/>
      <c r="AK578" s="2"/>
      <c r="AL578" s="2"/>
      <c r="AM578" s="2"/>
      <c r="AN578" s="2"/>
      <c r="AO578" s="9"/>
      <c r="AP578" s="9"/>
      <c r="AQ578" s="9"/>
      <c r="AR578" s="9"/>
    </row>
    <row r="579">
      <c r="A579" s="523"/>
      <c r="B579" s="523"/>
      <c r="C579" s="523"/>
      <c r="D579" s="523"/>
      <c r="E579" s="523"/>
      <c r="F579" s="523"/>
      <c r="G579" s="523"/>
      <c r="H579" s="523"/>
      <c r="I579" s="523"/>
      <c r="J579" s="523"/>
      <c r="K579" s="523"/>
      <c r="L579" s="523"/>
      <c r="M579" s="523"/>
      <c r="N579" s="523"/>
      <c r="O579" s="523"/>
      <c r="P579" s="523"/>
      <c r="Q579" s="523"/>
      <c r="R579" s="523"/>
      <c r="S579" s="523"/>
      <c r="T579" s="523"/>
      <c r="U579" s="523"/>
      <c r="V579" s="224"/>
      <c r="W579" s="224"/>
      <c r="X579" s="224"/>
      <c r="Y579" s="224"/>
      <c r="Z579" s="868"/>
      <c r="AA579" s="865"/>
      <c r="AB579" s="2"/>
      <c r="AC579" s="2"/>
      <c r="AD579" s="2"/>
      <c r="AE579" s="2"/>
      <c r="AF579" s="2"/>
      <c r="AG579" s="2"/>
      <c r="AH579" s="2"/>
      <c r="AI579" s="2"/>
      <c r="AJ579" s="2"/>
      <c r="AK579" s="2"/>
      <c r="AL579" s="2"/>
      <c r="AM579" s="2"/>
      <c r="AN579" s="2"/>
      <c r="AO579" s="9"/>
      <c r="AP579" s="9"/>
      <c r="AQ579" s="9"/>
      <c r="AR579" s="9"/>
    </row>
    <row r="580">
      <c r="A580" s="523"/>
      <c r="B580" s="523"/>
      <c r="C580" s="523"/>
      <c r="D580" s="523"/>
      <c r="E580" s="523"/>
      <c r="F580" s="523"/>
      <c r="G580" s="523"/>
      <c r="H580" s="523"/>
      <c r="I580" s="523"/>
      <c r="J580" s="523"/>
      <c r="K580" s="523"/>
      <c r="L580" s="523"/>
      <c r="M580" s="523"/>
      <c r="N580" s="523"/>
      <c r="O580" s="523"/>
      <c r="P580" s="523"/>
      <c r="Q580" s="523"/>
      <c r="R580" s="523"/>
      <c r="S580" s="523"/>
      <c r="T580" s="523"/>
      <c r="U580" s="523"/>
      <c r="V580" s="224"/>
      <c r="W580" s="224"/>
      <c r="X580" s="224"/>
      <c r="Y580" s="224"/>
      <c r="Z580" s="868"/>
      <c r="AA580" s="865"/>
      <c r="AB580" s="2"/>
      <c r="AC580" s="2"/>
      <c r="AD580" s="2"/>
      <c r="AE580" s="2"/>
      <c r="AF580" s="2"/>
      <c r="AG580" s="2"/>
      <c r="AH580" s="2"/>
      <c r="AI580" s="2"/>
      <c r="AJ580" s="2"/>
      <c r="AK580" s="2"/>
      <c r="AL580" s="2"/>
      <c r="AM580" s="2"/>
      <c r="AN580" s="2"/>
      <c r="AO580" s="9"/>
      <c r="AP580" s="9"/>
      <c r="AQ580" s="9"/>
      <c r="AR580" s="9"/>
    </row>
    <row r="581">
      <c r="A581" s="523"/>
      <c r="B581" s="523"/>
      <c r="C581" s="523"/>
      <c r="D581" s="523"/>
      <c r="E581" s="523"/>
      <c r="F581" s="523"/>
      <c r="G581" s="523"/>
      <c r="H581" s="523"/>
      <c r="I581" s="523"/>
      <c r="J581" s="523"/>
      <c r="K581" s="523"/>
      <c r="L581" s="523"/>
      <c r="M581" s="523"/>
      <c r="N581" s="523"/>
      <c r="O581" s="523"/>
      <c r="P581" s="523"/>
      <c r="Q581" s="523"/>
      <c r="R581" s="523"/>
      <c r="S581" s="523"/>
      <c r="T581" s="523"/>
      <c r="U581" s="523"/>
      <c r="V581" s="224"/>
      <c r="W581" s="224"/>
      <c r="X581" s="224"/>
      <c r="Y581" s="224"/>
      <c r="Z581" s="868"/>
      <c r="AA581" s="865"/>
      <c r="AB581" s="2"/>
      <c r="AC581" s="2"/>
      <c r="AD581" s="2"/>
      <c r="AE581" s="2"/>
      <c r="AF581" s="2"/>
      <c r="AG581" s="2"/>
      <c r="AH581" s="2"/>
      <c r="AI581" s="2"/>
      <c r="AJ581" s="2"/>
      <c r="AK581" s="2"/>
      <c r="AL581" s="2"/>
      <c r="AM581" s="2"/>
      <c r="AN581" s="2"/>
      <c r="AO581" s="9"/>
      <c r="AP581" s="9"/>
      <c r="AQ581" s="9"/>
      <c r="AR581" s="9"/>
    </row>
    <row r="582">
      <c r="A582" s="523"/>
      <c r="B582" s="523"/>
      <c r="C582" s="523"/>
      <c r="D582" s="523"/>
      <c r="E582" s="523"/>
      <c r="F582" s="523"/>
      <c r="G582" s="523"/>
      <c r="H582" s="523"/>
      <c r="I582" s="523"/>
      <c r="J582" s="523"/>
      <c r="K582" s="523"/>
      <c r="L582" s="523"/>
      <c r="M582" s="523"/>
      <c r="N582" s="523"/>
      <c r="O582" s="523"/>
      <c r="P582" s="523"/>
      <c r="Q582" s="523"/>
      <c r="R582" s="523"/>
      <c r="S582" s="523"/>
      <c r="T582" s="523"/>
      <c r="U582" s="523"/>
      <c r="V582" s="224"/>
      <c r="W582" s="224"/>
      <c r="X582" s="224"/>
      <c r="Y582" s="224"/>
      <c r="Z582" s="868"/>
      <c r="AA582" s="865"/>
      <c r="AB582" s="2"/>
      <c r="AC582" s="2"/>
      <c r="AD582" s="2"/>
      <c r="AE582" s="2"/>
      <c r="AF582" s="2"/>
      <c r="AG582" s="2"/>
      <c r="AH582" s="2"/>
      <c r="AI582" s="2"/>
      <c r="AJ582" s="2"/>
      <c r="AK582" s="2"/>
      <c r="AL582" s="2"/>
      <c r="AM582" s="2"/>
      <c r="AN582" s="2"/>
      <c r="AO582" s="9"/>
      <c r="AP582" s="9"/>
      <c r="AQ582" s="9"/>
      <c r="AR582" s="9"/>
    </row>
    <row r="583">
      <c r="A583" s="523"/>
      <c r="B583" s="523"/>
      <c r="C583" s="523"/>
      <c r="D583" s="523"/>
      <c r="E583" s="523"/>
      <c r="F583" s="523"/>
      <c r="G583" s="523"/>
      <c r="H583" s="523"/>
      <c r="I583" s="523"/>
      <c r="J583" s="523"/>
      <c r="K583" s="523"/>
      <c r="L583" s="523"/>
      <c r="M583" s="523"/>
      <c r="N583" s="523"/>
      <c r="O583" s="523"/>
      <c r="P583" s="523"/>
      <c r="Q583" s="523"/>
      <c r="R583" s="523"/>
      <c r="S583" s="523"/>
      <c r="T583" s="523"/>
      <c r="U583" s="523"/>
      <c r="V583" s="224"/>
      <c r="W583" s="224"/>
      <c r="X583" s="224"/>
      <c r="Y583" s="224"/>
      <c r="Z583" s="868"/>
      <c r="AA583" s="865"/>
      <c r="AB583" s="2"/>
      <c r="AC583" s="2"/>
      <c r="AD583" s="2"/>
      <c r="AE583" s="2"/>
      <c r="AF583" s="2"/>
      <c r="AG583" s="2"/>
      <c r="AH583" s="2"/>
      <c r="AI583" s="2"/>
      <c r="AJ583" s="2"/>
      <c r="AK583" s="2"/>
      <c r="AL583" s="2"/>
      <c r="AM583" s="2"/>
      <c r="AN583" s="2"/>
      <c r="AO583" s="9"/>
      <c r="AP583" s="9"/>
      <c r="AQ583" s="9"/>
      <c r="AR583" s="9"/>
    </row>
    <row r="584">
      <c r="A584" s="523"/>
      <c r="B584" s="523"/>
      <c r="C584" s="523"/>
      <c r="D584" s="523"/>
      <c r="E584" s="523"/>
      <c r="F584" s="523"/>
      <c r="G584" s="523"/>
      <c r="H584" s="523"/>
      <c r="I584" s="523"/>
      <c r="J584" s="523"/>
      <c r="K584" s="523"/>
      <c r="L584" s="523"/>
      <c r="M584" s="523"/>
      <c r="N584" s="523"/>
      <c r="O584" s="523"/>
      <c r="P584" s="523"/>
      <c r="Q584" s="523"/>
      <c r="R584" s="523"/>
      <c r="S584" s="523"/>
      <c r="T584" s="523"/>
      <c r="U584" s="523"/>
      <c r="V584" s="224"/>
      <c r="W584" s="224"/>
      <c r="X584" s="224"/>
      <c r="Y584" s="224"/>
      <c r="Z584" s="868"/>
      <c r="AA584" s="865"/>
      <c r="AB584" s="2"/>
      <c r="AC584" s="2"/>
      <c r="AD584" s="2"/>
      <c r="AE584" s="2"/>
      <c r="AF584" s="2"/>
      <c r="AG584" s="2"/>
      <c r="AH584" s="2"/>
      <c r="AI584" s="2"/>
      <c r="AJ584" s="2"/>
      <c r="AK584" s="2"/>
      <c r="AL584" s="2"/>
      <c r="AM584" s="2"/>
      <c r="AN584" s="2"/>
      <c r="AO584" s="9"/>
      <c r="AP584" s="9"/>
      <c r="AQ584" s="9"/>
      <c r="AR584" s="9"/>
    </row>
    <row r="585">
      <c r="A585" s="523"/>
      <c r="B585" s="523"/>
      <c r="C585" s="523"/>
      <c r="D585" s="523"/>
      <c r="E585" s="523"/>
      <c r="F585" s="523"/>
      <c r="G585" s="523"/>
      <c r="H585" s="523"/>
      <c r="I585" s="523"/>
      <c r="J585" s="523"/>
      <c r="K585" s="523"/>
      <c r="L585" s="523"/>
      <c r="M585" s="523"/>
      <c r="N585" s="523"/>
      <c r="O585" s="523"/>
      <c r="P585" s="523"/>
      <c r="Q585" s="523"/>
      <c r="R585" s="523"/>
      <c r="S585" s="523"/>
      <c r="T585" s="523"/>
      <c r="U585" s="523"/>
      <c r="V585" s="224"/>
      <c r="W585" s="224"/>
      <c r="X585" s="224"/>
      <c r="Y585" s="224"/>
      <c r="Z585" s="868"/>
      <c r="AA585" s="865"/>
      <c r="AB585" s="2"/>
      <c r="AC585" s="2"/>
      <c r="AD585" s="2"/>
      <c r="AE585" s="2"/>
      <c r="AF585" s="2"/>
      <c r="AG585" s="2"/>
      <c r="AH585" s="2"/>
      <c r="AI585" s="2"/>
      <c r="AJ585" s="2"/>
      <c r="AK585" s="2"/>
      <c r="AL585" s="2"/>
      <c r="AM585" s="2"/>
      <c r="AN585" s="2"/>
      <c r="AO585" s="9"/>
      <c r="AP585" s="9"/>
      <c r="AQ585" s="9"/>
      <c r="AR585" s="9"/>
    </row>
    <row r="586">
      <c r="A586" s="523"/>
      <c r="B586" s="523"/>
      <c r="C586" s="523"/>
      <c r="D586" s="523"/>
      <c r="E586" s="523"/>
      <c r="F586" s="523"/>
      <c r="G586" s="523"/>
      <c r="H586" s="523"/>
      <c r="I586" s="523"/>
      <c r="J586" s="523"/>
      <c r="K586" s="523"/>
      <c r="L586" s="523"/>
      <c r="M586" s="523"/>
      <c r="N586" s="523"/>
      <c r="O586" s="523"/>
      <c r="P586" s="523"/>
      <c r="Q586" s="523"/>
      <c r="R586" s="523"/>
      <c r="S586" s="523"/>
      <c r="T586" s="523"/>
      <c r="U586" s="523"/>
      <c r="V586" s="224"/>
      <c r="W586" s="224"/>
      <c r="X586" s="224"/>
      <c r="Y586" s="224"/>
      <c r="Z586" s="868"/>
      <c r="AA586" s="865"/>
      <c r="AB586" s="2"/>
      <c r="AC586" s="2"/>
      <c r="AD586" s="2"/>
      <c r="AE586" s="2"/>
      <c r="AF586" s="2"/>
      <c r="AG586" s="2"/>
      <c r="AH586" s="2"/>
      <c r="AI586" s="2"/>
      <c r="AJ586" s="2"/>
      <c r="AK586" s="2"/>
      <c r="AL586" s="2"/>
      <c r="AM586" s="2"/>
      <c r="AN586" s="2"/>
      <c r="AO586" s="9"/>
      <c r="AP586" s="9"/>
      <c r="AQ586" s="9"/>
      <c r="AR586" s="9"/>
    </row>
    <row r="587">
      <c r="A587" s="523"/>
      <c r="B587" s="523"/>
      <c r="C587" s="523"/>
      <c r="D587" s="523"/>
      <c r="E587" s="523"/>
      <c r="F587" s="523"/>
      <c r="G587" s="523"/>
      <c r="H587" s="523"/>
      <c r="I587" s="523"/>
      <c r="J587" s="523"/>
      <c r="K587" s="523"/>
      <c r="L587" s="523"/>
      <c r="M587" s="523"/>
      <c r="N587" s="523"/>
      <c r="O587" s="523"/>
      <c r="P587" s="523"/>
      <c r="Q587" s="523"/>
      <c r="R587" s="523"/>
      <c r="S587" s="523"/>
      <c r="T587" s="523"/>
      <c r="U587" s="523"/>
      <c r="V587" s="224"/>
      <c r="W587" s="224"/>
      <c r="X587" s="224"/>
      <c r="Y587" s="224"/>
      <c r="Z587" s="868"/>
      <c r="AA587" s="865"/>
      <c r="AB587" s="2"/>
      <c r="AC587" s="2"/>
      <c r="AD587" s="2"/>
      <c r="AE587" s="2"/>
      <c r="AF587" s="2"/>
      <c r="AG587" s="2"/>
      <c r="AH587" s="2"/>
      <c r="AI587" s="2"/>
      <c r="AJ587" s="2"/>
      <c r="AK587" s="2"/>
      <c r="AL587" s="2"/>
      <c r="AM587" s="2"/>
      <c r="AN587" s="2"/>
      <c r="AO587" s="9"/>
      <c r="AP587" s="9"/>
      <c r="AQ587" s="9"/>
      <c r="AR587" s="9"/>
    </row>
    <row r="588">
      <c r="A588" s="523"/>
      <c r="B588" s="523"/>
      <c r="C588" s="523"/>
      <c r="D588" s="523"/>
      <c r="E588" s="523"/>
      <c r="F588" s="523"/>
      <c r="G588" s="523"/>
      <c r="H588" s="523"/>
      <c r="I588" s="523"/>
      <c r="J588" s="523"/>
      <c r="K588" s="523"/>
      <c r="L588" s="523"/>
      <c r="M588" s="523"/>
      <c r="N588" s="523"/>
      <c r="O588" s="523"/>
      <c r="P588" s="523"/>
      <c r="Q588" s="523"/>
      <c r="R588" s="523"/>
      <c r="S588" s="523"/>
      <c r="T588" s="523"/>
      <c r="U588" s="523"/>
      <c r="V588" s="224"/>
      <c r="W588" s="224"/>
      <c r="X588" s="224"/>
      <c r="Y588" s="224"/>
      <c r="Z588" s="868"/>
      <c r="AA588" s="865"/>
      <c r="AB588" s="2"/>
      <c r="AC588" s="2"/>
      <c r="AD588" s="2"/>
      <c r="AE588" s="2"/>
      <c r="AF588" s="2"/>
      <c r="AG588" s="2"/>
      <c r="AH588" s="2"/>
      <c r="AI588" s="2"/>
      <c r="AJ588" s="2"/>
      <c r="AK588" s="2"/>
      <c r="AL588" s="2"/>
      <c r="AM588" s="2"/>
      <c r="AN588" s="2"/>
      <c r="AO588" s="9"/>
      <c r="AP588" s="9"/>
      <c r="AQ588" s="9"/>
      <c r="AR588" s="9"/>
    </row>
    <row r="589">
      <c r="A589" s="523"/>
      <c r="B589" s="523"/>
      <c r="C589" s="523"/>
      <c r="D589" s="523"/>
      <c r="E589" s="523"/>
      <c r="F589" s="523"/>
      <c r="G589" s="523"/>
      <c r="H589" s="523"/>
      <c r="I589" s="523"/>
      <c r="J589" s="523"/>
      <c r="K589" s="523"/>
      <c r="L589" s="523"/>
      <c r="M589" s="523"/>
      <c r="N589" s="523"/>
      <c r="O589" s="523"/>
      <c r="P589" s="523"/>
      <c r="Q589" s="523"/>
      <c r="R589" s="523"/>
      <c r="S589" s="523"/>
      <c r="T589" s="523"/>
      <c r="U589" s="523"/>
      <c r="V589" s="224"/>
      <c r="W589" s="224"/>
      <c r="X589" s="224"/>
      <c r="Y589" s="224"/>
      <c r="Z589" s="868"/>
      <c r="AA589" s="865"/>
      <c r="AB589" s="2"/>
      <c r="AC589" s="2"/>
      <c r="AD589" s="2"/>
      <c r="AE589" s="2"/>
      <c r="AF589" s="2"/>
      <c r="AG589" s="2"/>
      <c r="AH589" s="2"/>
      <c r="AI589" s="2"/>
      <c r="AJ589" s="2"/>
      <c r="AK589" s="2"/>
      <c r="AL589" s="2"/>
      <c r="AM589" s="2"/>
      <c r="AN589" s="2"/>
      <c r="AO589" s="9"/>
      <c r="AP589" s="9"/>
      <c r="AQ589" s="9"/>
      <c r="AR589" s="9"/>
    </row>
    <row r="590">
      <c r="A590" s="523"/>
      <c r="B590" s="523"/>
      <c r="C590" s="523"/>
      <c r="D590" s="523"/>
      <c r="E590" s="523"/>
      <c r="F590" s="523"/>
      <c r="G590" s="523"/>
      <c r="H590" s="523"/>
      <c r="I590" s="523"/>
      <c r="J590" s="523"/>
      <c r="K590" s="523"/>
      <c r="L590" s="523"/>
      <c r="M590" s="523"/>
      <c r="N590" s="523"/>
      <c r="O590" s="523"/>
      <c r="P590" s="523"/>
      <c r="Q590" s="523"/>
      <c r="R590" s="523"/>
      <c r="S590" s="523"/>
      <c r="T590" s="523"/>
      <c r="U590" s="523"/>
      <c r="V590" s="224"/>
      <c r="W590" s="224"/>
      <c r="X590" s="224"/>
      <c r="Y590" s="224"/>
      <c r="Z590" s="868"/>
      <c r="AA590" s="865"/>
      <c r="AB590" s="2"/>
      <c r="AC590" s="2"/>
      <c r="AD590" s="2"/>
      <c r="AE590" s="2"/>
      <c r="AF590" s="2"/>
      <c r="AG590" s="2"/>
      <c r="AH590" s="2"/>
      <c r="AI590" s="2"/>
      <c r="AJ590" s="2"/>
      <c r="AK590" s="2"/>
      <c r="AL590" s="2"/>
      <c r="AM590" s="2"/>
      <c r="AN590" s="2"/>
      <c r="AO590" s="9"/>
      <c r="AP590" s="9"/>
      <c r="AQ590" s="9"/>
      <c r="AR590" s="9"/>
    </row>
    <row r="591">
      <c r="A591" s="523"/>
      <c r="B591" s="523"/>
      <c r="C591" s="523"/>
      <c r="D591" s="523"/>
      <c r="E591" s="523"/>
      <c r="F591" s="523"/>
      <c r="G591" s="523"/>
      <c r="H591" s="523"/>
      <c r="I591" s="523"/>
      <c r="J591" s="523"/>
      <c r="K591" s="523"/>
      <c r="L591" s="523"/>
      <c r="M591" s="523"/>
      <c r="N591" s="523"/>
      <c r="O591" s="523"/>
      <c r="P591" s="523"/>
      <c r="Q591" s="523"/>
      <c r="R591" s="523"/>
      <c r="S591" s="523"/>
      <c r="T591" s="523"/>
      <c r="U591" s="523"/>
      <c r="V591" s="224"/>
      <c r="W591" s="224"/>
      <c r="X591" s="224"/>
      <c r="Y591" s="224"/>
      <c r="Z591" s="868"/>
      <c r="AA591" s="865"/>
      <c r="AB591" s="2"/>
      <c r="AC591" s="2"/>
      <c r="AD591" s="2"/>
      <c r="AE591" s="2"/>
      <c r="AF591" s="2"/>
      <c r="AG591" s="2"/>
      <c r="AH591" s="2"/>
      <c r="AI591" s="2"/>
      <c r="AJ591" s="2"/>
      <c r="AK591" s="2"/>
      <c r="AL591" s="2"/>
      <c r="AM591" s="2"/>
      <c r="AN591" s="2"/>
      <c r="AO591" s="9"/>
      <c r="AP591" s="9"/>
      <c r="AQ591" s="9"/>
      <c r="AR591" s="9"/>
    </row>
    <row r="592">
      <c r="A592" s="523"/>
      <c r="B592" s="523"/>
      <c r="C592" s="523"/>
      <c r="D592" s="523"/>
      <c r="E592" s="523"/>
      <c r="F592" s="523"/>
      <c r="G592" s="523"/>
      <c r="H592" s="523"/>
      <c r="I592" s="523"/>
      <c r="J592" s="523"/>
      <c r="K592" s="523"/>
      <c r="L592" s="523"/>
      <c r="M592" s="523"/>
      <c r="N592" s="523"/>
      <c r="O592" s="523"/>
      <c r="P592" s="523"/>
      <c r="Q592" s="523"/>
      <c r="R592" s="523"/>
      <c r="S592" s="523"/>
      <c r="T592" s="523"/>
      <c r="U592" s="523"/>
      <c r="V592" s="224"/>
      <c r="W592" s="224"/>
      <c r="X592" s="224"/>
      <c r="Y592" s="224"/>
      <c r="Z592" s="868"/>
      <c r="AA592" s="865"/>
      <c r="AB592" s="2"/>
      <c r="AC592" s="2"/>
      <c r="AD592" s="2"/>
      <c r="AE592" s="2"/>
      <c r="AF592" s="2"/>
      <c r="AG592" s="2"/>
      <c r="AH592" s="2"/>
      <c r="AI592" s="2"/>
      <c r="AJ592" s="2"/>
      <c r="AK592" s="2"/>
      <c r="AL592" s="2"/>
      <c r="AM592" s="2"/>
      <c r="AN592" s="2"/>
      <c r="AO592" s="9"/>
      <c r="AP592" s="9"/>
      <c r="AQ592" s="9"/>
      <c r="AR592" s="9"/>
    </row>
    <row r="593">
      <c r="A593" s="523"/>
      <c r="B593" s="523"/>
      <c r="C593" s="523"/>
      <c r="D593" s="523"/>
      <c r="E593" s="523"/>
      <c r="F593" s="523"/>
      <c r="G593" s="523"/>
      <c r="H593" s="523"/>
      <c r="I593" s="523"/>
      <c r="J593" s="523"/>
      <c r="K593" s="523"/>
      <c r="L593" s="523"/>
      <c r="M593" s="523"/>
      <c r="N593" s="523"/>
      <c r="O593" s="523"/>
      <c r="P593" s="523"/>
      <c r="Q593" s="523"/>
      <c r="R593" s="523"/>
      <c r="S593" s="523"/>
      <c r="T593" s="523"/>
      <c r="U593" s="523"/>
      <c r="V593" s="224"/>
      <c r="W593" s="224"/>
      <c r="X593" s="224"/>
      <c r="Y593" s="224"/>
      <c r="Z593" s="868"/>
      <c r="AA593" s="865"/>
      <c r="AB593" s="2"/>
      <c r="AC593" s="2"/>
      <c r="AD593" s="2"/>
      <c r="AE593" s="2"/>
      <c r="AF593" s="2"/>
      <c r="AG593" s="2"/>
      <c r="AH593" s="2"/>
      <c r="AI593" s="2"/>
      <c r="AJ593" s="2"/>
      <c r="AK593" s="2"/>
      <c r="AL593" s="2"/>
      <c r="AM593" s="2"/>
      <c r="AN593" s="2"/>
      <c r="AO593" s="9"/>
      <c r="AP593" s="9"/>
      <c r="AQ593" s="9"/>
      <c r="AR593" s="9"/>
    </row>
    <row r="594">
      <c r="A594" s="523"/>
      <c r="B594" s="523"/>
      <c r="C594" s="523"/>
      <c r="D594" s="523"/>
      <c r="E594" s="523"/>
      <c r="F594" s="523"/>
      <c r="G594" s="523"/>
      <c r="H594" s="523"/>
      <c r="I594" s="523"/>
      <c r="J594" s="523"/>
      <c r="K594" s="523"/>
      <c r="L594" s="523"/>
      <c r="M594" s="523"/>
      <c r="N594" s="523"/>
      <c r="O594" s="523"/>
      <c r="P594" s="523"/>
      <c r="Q594" s="523"/>
      <c r="R594" s="523"/>
      <c r="S594" s="523"/>
      <c r="T594" s="523"/>
      <c r="U594" s="523"/>
      <c r="V594" s="224"/>
      <c r="W594" s="224"/>
      <c r="X594" s="224"/>
      <c r="Y594" s="224"/>
      <c r="Z594" s="868"/>
      <c r="AA594" s="865"/>
      <c r="AB594" s="2"/>
      <c r="AC594" s="2"/>
      <c r="AD594" s="2"/>
      <c r="AE594" s="2"/>
      <c r="AF594" s="2"/>
      <c r="AG594" s="2"/>
      <c r="AH594" s="2"/>
      <c r="AI594" s="2"/>
      <c r="AJ594" s="2"/>
      <c r="AK594" s="2"/>
      <c r="AL594" s="2"/>
      <c r="AM594" s="2"/>
      <c r="AN594" s="2"/>
      <c r="AO594" s="9"/>
      <c r="AP594" s="9"/>
      <c r="AQ594" s="9"/>
      <c r="AR594" s="9"/>
    </row>
    <row r="595">
      <c r="A595" s="523"/>
      <c r="B595" s="523"/>
      <c r="C595" s="523"/>
      <c r="D595" s="523"/>
      <c r="E595" s="523"/>
      <c r="F595" s="523"/>
      <c r="G595" s="523"/>
      <c r="H595" s="523"/>
      <c r="I595" s="523"/>
      <c r="J595" s="523"/>
      <c r="K595" s="523"/>
      <c r="L595" s="523"/>
      <c r="M595" s="523"/>
      <c r="N595" s="523"/>
      <c r="O595" s="523"/>
      <c r="P595" s="523"/>
      <c r="Q595" s="523"/>
      <c r="R595" s="523"/>
      <c r="S595" s="523"/>
      <c r="T595" s="523"/>
      <c r="U595" s="523"/>
      <c r="V595" s="224"/>
      <c r="W595" s="224"/>
      <c r="X595" s="224"/>
      <c r="Y595" s="224"/>
      <c r="Z595" s="868"/>
      <c r="AA595" s="865"/>
      <c r="AB595" s="2"/>
      <c r="AC595" s="2"/>
      <c r="AD595" s="2"/>
      <c r="AE595" s="2"/>
      <c r="AF595" s="2"/>
      <c r="AG595" s="2"/>
      <c r="AH595" s="2"/>
      <c r="AI595" s="2"/>
      <c r="AJ595" s="2"/>
      <c r="AK595" s="2"/>
      <c r="AL595" s="2"/>
      <c r="AM595" s="2"/>
      <c r="AN595" s="2"/>
      <c r="AO595" s="9"/>
      <c r="AP595" s="9"/>
      <c r="AQ595" s="9"/>
      <c r="AR595" s="9"/>
    </row>
    <row r="596">
      <c r="A596" s="523"/>
      <c r="B596" s="523"/>
      <c r="C596" s="523"/>
      <c r="D596" s="523"/>
      <c r="E596" s="523"/>
      <c r="F596" s="523"/>
      <c r="G596" s="523"/>
      <c r="H596" s="523"/>
      <c r="I596" s="523"/>
      <c r="J596" s="523"/>
      <c r="K596" s="523"/>
      <c r="L596" s="523"/>
      <c r="M596" s="523"/>
      <c r="N596" s="523"/>
      <c r="O596" s="523"/>
      <c r="P596" s="523"/>
      <c r="Q596" s="523"/>
      <c r="R596" s="523"/>
      <c r="S596" s="523"/>
      <c r="T596" s="523"/>
      <c r="U596" s="523"/>
      <c r="V596" s="224"/>
      <c r="W596" s="224"/>
      <c r="X596" s="224"/>
      <c r="Y596" s="224"/>
      <c r="Z596" s="868"/>
      <c r="AA596" s="865"/>
      <c r="AB596" s="2"/>
      <c r="AC596" s="2"/>
      <c r="AD596" s="2"/>
      <c r="AE596" s="2"/>
      <c r="AF596" s="2"/>
      <c r="AG596" s="2"/>
      <c r="AH596" s="2"/>
      <c r="AI596" s="2"/>
      <c r="AJ596" s="2"/>
      <c r="AK596" s="2"/>
      <c r="AL596" s="2"/>
      <c r="AM596" s="2"/>
      <c r="AN596" s="2"/>
      <c r="AO596" s="9"/>
      <c r="AP596" s="9"/>
      <c r="AQ596" s="9"/>
      <c r="AR596" s="9"/>
    </row>
    <row r="597">
      <c r="A597" s="523"/>
      <c r="B597" s="523"/>
      <c r="C597" s="523"/>
      <c r="D597" s="523"/>
      <c r="E597" s="523"/>
      <c r="F597" s="523"/>
      <c r="G597" s="523"/>
      <c r="H597" s="523"/>
      <c r="I597" s="523"/>
      <c r="J597" s="523"/>
      <c r="K597" s="523"/>
      <c r="L597" s="523"/>
      <c r="M597" s="523"/>
      <c r="N597" s="523"/>
      <c r="O597" s="523"/>
      <c r="P597" s="523"/>
      <c r="Q597" s="523"/>
      <c r="R597" s="523"/>
      <c r="S597" s="523"/>
      <c r="T597" s="523"/>
      <c r="U597" s="523"/>
      <c r="V597" s="224"/>
      <c r="W597" s="224"/>
      <c r="X597" s="224"/>
      <c r="Y597" s="224"/>
      <c r="Z597" s="868"/>
      <c r="AA597" s="865"/>
      <c r="AB597" s="2"/>
      <c r="AC597" s="2"/>
      <c r="AD597" s="2"/>
      <c r="AE597" s="2"/>
      <c r="AF597" s="2"/>
      <c r="AG597" s="2"/>
      <c r="AH597" s="2"/>
      <c r="AI597" s="2"/>
      <c r="AJ597" s="2"/>
      <c r="AK597" s="2"/>
      <c r="AL597" s="2"/>
      <c r="AM597" s="2"/>
      <c r="AN597" s="2"/>
      <c r="AO597" s="9"/>
      <c r="AP597" s="9"/>
      <c r="AQ597" s="9"/>
      <c r="AR597" s="9"/>
    </row>
    <row r="598">
      <c r="A598" s="523"/>
      <c r="B598" s="523"/>
      <c r="C598" s="523"/>
      <c r="D598" s="523"/>
      <c r="E598" s="523"/>
      <c r="F598" s="523"/>
      <c r="G598" s="523"/>
      <c r="H598" s="523"/>
      <c r="I598" s="523"/>
      <c r="J598" s="523"/>
      <c r="K598" s="523"/>
      <c r="L598" s="523"/>
      <c r="M598" s="523"/>
      <c r="N598" s="523"/>
      <c r="O598" s="523"/>
      <c r="P598" s="523"/>
      <c r="Q598" s="523"/>
      <c r="R598" s="523"/>
      <c r="S598" s="523"/>
      <c r="T598" s="523"/>
      <c r="U598" s="523"/>
      <c r="V598" s="224"/>
      <c r="W598" s="224"/>
      <c r="X598" s="224"/>
      <c r="Y598" s="224"/>
      <c r="Z598" s="868"/>
      <c r="AA598" s="865"/>
      <c r="AB598" s="2"/>
      <c r="AC598" s="2"/>
      <c r="AD598" s="2"/>
      <c r="AE598" s="2"/>
      <c r="AF598" s="2"/>
      <c r="AG598" s="2"/>
      <c r="AH598" s="2"/>
      <c r="AI598" s="2"/>
      <c r="AJ598" s="2"/>
      <c r="AK598" s="2"/>
      <c r="AL598" s="2"/>
      <c r="AM598" s="2"/>
      <c r="AN598" s="2"/>
      <c r="AO598" s="9"/>
      <c r="AP598" s="9"/>
      <c r="AQ598" s="9"/>
      <c r="AR598" s="9"/>
    </row>
    <row r="599">
      <c r="A599" s="523"/>
      <c r="B599" s="523"/>
      <c r="C599" s="523"/>
      <c r="D599" s="523"/>
      <c r="E599" s="523"/>
      <c r="F599" s="523"/>
      <c r="G599" s="523"/>
      <c r="H599" s="523"/>
      <c r="I599" s="523"/>
      <c r="J599" s="523"/>
      <c r="K599" s="523"/>
      <c r="L599" s="523"/>
      <c r="M599" s="523"/>
      <c r="N599" s="523"/>
      <c r="O599" s="523"/>
      <c r="P599" s="523"/>
      <c r="Q599" s="523"/>
      <c r="R599" s="523"/>
      <c r="S599" s="523"/>
      <c r="T599" s="523"/>
      <c r="U599" s="523"/>
      <c r="V599" s="224"/>
      <c r="W599" s="224"/>
      <c r="X599" s="224"/>
      <c r="Y599" s="224"/>
      <c r="Z599" s="868"/>
      <c r="AA599" s="865"/>
      <c r="AB599" s="2"/>
      <c r="AC599" s="2"/>
      <c r="AD599" s="2"/>
      <c r="AE599" s="2"/>
      <c r="AF599" s="2"/>
      <c r="AG599" s="2"/>
      <c r="AH599" s="2"/>
      <c r="AI599" s="2"/>
      <c r="AJ599" s="2"/>
      <c r="AK599" s="2"/>
      <c r="AL599" s="2"/>
      <c r="AM599" s="2"/>
      <c r="AN599" s="2"/>
      <c r="AO599" s="9"/>
      <c r="AP599" s="9"/>
      <c r="AQ599" s="9"/>
      <c r="AR599" s="9"/>
    </row>
    <row r="600">
      <c r="A600" s="523"/>
      <c r="B600" s="523"/>
      <c r="C600" s="523"/>
      <c r="D600" s="523"/>
      <c r="E600" s="523"/>
      <c r="F600" s="523"/>
      <c r="G600" s="523"/>
      <c r="H600" s="523"/>
      <c r="I600" s="523"/>
      <c r="J600" s="523"/>
      <c r="K600" s="523"/>
      <c r="L600" s="523"/>
      <c r="M600" s="523"/>
      <c r="N600" s="523"/>
      <c r="O600" s="523"/>
      <c r="P600" s="523"/>
      <c r="Q600" s="523"/>
      <c r="R600" s="523"/>
      <c r="S600" s="523"/>
      <c r="T600" s="523"/>
      <c r="U600" s="523"/>
      <c r="V600" s="224"/>
      <c r="W600" s="224"/>
      <c r="X600" s="224"/>
      <c r="Y600" s="224"/>
      <c r="Z600" s="868"/>
      <c r="AA600" s="865"/>
      <c r="AB600" s="2"/>
      <c r="AC600" s="2"/>
      <c r="AD600" s="2"/>
      <c r="AE600" s="2"/>
      <c r="AF600" s="2"/>
      <c r="AG600" s="2"/>
      <c r="AH600" s="2"/>
      <c r="AI600" s="2"/>
      <c r="AJ600" s="2"/>
      <c r="AK600" s="2"/>
      <c r="AL600" s="2"/>
      <c r="AM600" s="2"/>
      <c r="AN600" s="2"/>
      <c r="AO600" s="9"/>
      <c r="AP600" s="9"/>
      <c r="AQ600" s="9"/>
      <c r="AR600" s="9"/>
    </row>
    <row r="601">
      <c r="A601" s="523"/>
      <c r="B601" s="523"/>
      <c r="C601" s="523"/>
      <c r="D601" s="523"/>
      <c r="E601" s="523"/>
      <c r="F601" s="523"/>
      <c r="G601" s="523"/>
      <c r="H601" s="523"/>
      <c r="I601" s="523"/>
      <c r="J601" s="523"/>
      <c r="K601" s="523"/>
      <c r="L601" s="523"/>
      <c r="M601" s="523"/>
      <c r="N601" s="523"/>
      <c r="O601" s="523"/>
      <c r="P601" s="523"/>
      <c r="Q601" s="523"/>
      <c r="R601" s="523"/>
      <c r="S601" s="523"/>
      <c r="T601" s="523"/>
      <c r="U601" s="523"/>
      <c r="V601" s="224"/>
      <c r="W601" s="224"/>
      <c r="X601" s="224"/>
      <c r="Y601" s="224"/>
      <c r="Z601" s="868"/>
      <c r="AA601" s="865"/>
      <c r="AB601" s="2"/>
      <c r="AC601" s="2"/>
      <c r="AD601" s="2"/>
      <c r="AE601" s="2"/>
      <c r="AF601" s="2"/>
      <c r="AG601" s="2"/>
      <c r="AH601" s="2"/>
      <c r="AI601" s="2"/>
      <c r="AJ601" s="2"/>
      <c r="AK601" s="2"/>
      <c r="AL601" s="2"/>
      <c r="AM601" s="2"/>
      <c r="AN601" s="2"/>
      <c r="AO601" s="9"/>
      <c r="AP601" s="9"/>
      <c r="AQ601" s="9"/>
      <c r="AR601" s="9"/>
    </row>
    <row r="602">
      <c r="A602" s="523"/>
      <c r="B602" s="523"/>
      <c r="C602" s="523"/>
      <c r="D602" s="523"/>
      <c r="E602" s="523"/>
      <c r="F602" s="523"/>
      <c r="G602" s="523"/>
      <c r="H602" s="523"/>
      <c r="I602" s="523"/>
      <c r="J602" s="523"/>
      <c r="K602" s="523"/>
      <c r="L602" s="523"/>
      <c r="M602" s="523"/>
      <c r="N602" s="523"/>
      <c r="O602" s="523"/>
      <c r="P602" s="523"/>
      <c r="Q602" s="523"/>
      <c r="R602" s="523"/>
      <c r="S602" s="523"/>
      <c r="T602" s="523"/>
      <c r="U602" s="523"/>
      <c r="V602" s="224"/>
      <c r="W602" s="224"/>
      <c r="X602" s="224"/>
      <c r="Y602" s="224"/>
      <c r="Z602" s="868"/>
      <c r="AA602" s="865"/>
      <c r="AB602" s="2"/>
      <c r="AC602" s="2"/>
      <c r="AD602" s="2"/>
      <c r="AE602" s="2"/>
      <c r="AF602" s="2"/>
      <c r="AG602" s="2"/>
      <c r="AH602" s="2"/>
      <c r="AI602" s="2"/>
      <c r="AJ602" s="2"/>
      <c r="AK602" s="2"/>
      <c r="AL602" s="2"/>
      <c r="AM602" s="2"/>
      <c r="AN602" s="2"/>
      <c r="AO602" s="9"/>
      <c r="AP602" s="9"/>
      <c r="AQ602" s="9"/>
      <c r="AR602" s="9"/>
    </row>
    <row r="603">
      <c r="A603" s="523"/>
      <c r="B603" s="523"/>
      <c r="C603" s="523"/>
      <c r="D603" s="523"/>
      <c r="E603" s="523"/>
      <c r="F603" s="523"/>
      <c r="G603" s="523"/>
      <c r="H603" s="523"/>
      <c r="I603" s="523"/>
      <c r="J603" s="523"/>
      <c r="K603" s="523"/>
      <c r="L603" s="523"/>
      <c r="M603" s="523"/>
      <c r="N603" s="523"/>
      <c r="O603" s="523"/>
      <c r="P603" s="523"/>
      <c r="Q603" s="523"/>
      <c r="R603" s="523"/>
      <c r="S603" s="523"/>
      <c r="T603" s="523"/>
      <c r="U603" s="523"/>
      <c r="V603" s="224"/>
      <c r="W603" s="224"/>
      <c r="X603" s="224"/>
      <c r="Y603" s="224"/>
      <c r="Z603" s="868"/>
      <c r="AA603" s="865"/>
      <c r="AB603" s="2"/>
      <c r="AC603" s="2"/>
      <c r="AD603" s="2"/>
      <c r="AE603" s="2"/>
      <c r="AF603" s="2"/>
      <c r="AG603" s="2"/>
      <c r="AH603" s="2"/>
      <c r="AI603" s="2"/>
      <c r="AJ603" s="2"/>
      <c r="AK603" s="2"/>
      <c r="AL603" s="2"/>
      <c r="AM603" s="2"/>
      <c r="AN603" s="2"/>
      <c r="AO603" s="9"/>
      <c r="AP603" s="9"/>
      <c r="AQ603" s="9"/>
      <c r="AR603" s="9"/>
    </row>
    <row r="604">
      <c r="A604" s="523"/>
      <c r="B604" s="523"/>
      <c r="C604" s="523"/>
      <c r="D604" s="523"/>
      <c r="E604" s="523"/>
      <c r="F604" s="523"/>
      <c r="G604" s="523"/>
      <c r="H604" s="523"/>
      <c r="I604" s="523"/>
      <c r="J604" s="523"/>
      <c r="K604" s="523"/>
      <c r="L604" s="523"/>
      <c r="M604" s="523"/>
      <c r="N604" s="523"/>
      <c r="O604" s="523"/>
      <c r="P604" s="523"/>
      <c r="Q604" s="523"/>
      <c r="R604" s="523"/>
      <c r="S604" s="523"/>
      <c r="T604" s="523"/>
      <c r="U604" s="523"/>
      <c r="V604" s="224"/>
      <c r="W604" s="224"/>
      <c r="X604" s="224"/>
      <c r="Y604" s="224"/>
      <c r="Z604" s="868"/>
      <c r="AA604" s="865"/>
      <c r="AB604" s="2"/>
      <c r="AC604" s="2"/>
      <c r="AD604" s="2"/>
      <c r="AE604" s="2"/>
      <c r="AF604" s="2"/>
      <c r="AG604" s="2"/>
      <c r="AH604" s="2"/>
      <c r="AI604" s="2"/>
      <c r="AJ604" s="2"/>
      <c r="AK604" s="2"/>
      <c r="AL604" s="2"/>
      <c r="AM604" s="2"/>
      <c r="AN604" s="2"/>
      <c r="AO604" s="9"/>
      <c r="AP604" s="9"/>
      <c r="AQ604" s="9"/>
      <c r="AR604" s="9"/>
    </row>
    <row r="605">
      <c r="A605" s="523"/>
      <c r="B605" s="523"/>
      <c r="C605" s="523"/>
      <c r="D605" s="523"/>
      <c r="E605" s="523"/>
      <c r="F605" s="523"/>
      <c r="G605" s="523"/>
      <c r="H605" s="523"/>
      <c r="I605" s="523"/>
      <c r="J605" s="523"/>
      <c r="K605" s="523"/>
      <c r="L605" s="523"/>
      <c r="M605" s="523"/>
      <c r="N605" s="523"/>
      <c r="O605" s="523"/>
      <c r="P605" s="523"/>
      <c r="Q605" s="523"/>
      <c r="R605" s="523"/>
      <c r="S605" s="523"/>
      <c r="T605" s="523"/>
      <c r="U605" s="523"/>
      <c r="V605" s="224"/>
      <c r="W605" s="224"/>
      <c r="X605" s="224"/>
      <c r="Y605" s="224"/>
      <c r="Z605" s="868"/>
      <c r="AA605" s="865"/>
      <c r="AB605" s="2"/>
      <c r="AC605" s="2"/>
      <c r="AD605" s="2"/>
      <c r="AE605" s="2"/>
      <c r="AF605" s="2"/>
      <c r="AG605" s="2"/>
      <c r="AH605" s="2"/>
      <c r="AI605" s="2"/>
      <c r="AJ605" s="2"/>
      <c r="AK605" s="2"/>
      <c r="AL605" s="2"/>
      <c r="AM605" s="2"/>
      <c r="AN605" s="2"/>
      <c r="AO605" s="9"/>
      <c r="AP605" s="9"/>
      <c r="AQ605" s="9"/>
      <c r="AR605" s="9"/>
    </row>
    <row r="606">
      <c r="A606" s="523"/>
      <c r="B606" s="523"/>
      <c r="C606" s="523"/>
      <c r="D606" s="523"/>
      <c r="E606" s="523"/>
      <c r="F606" s="523"/>
      <c r="G606" s="523"/>
      <c r="H606" s="523"/>
      <c r="I606" s="523"/>
      <c r="J606" s="523"/>
      <c r="K606" s="523"/>
      <c r="L606" s="523"/>
      <c r="M606" s="523"/>
      <c r="N606" s="523"/>
      <c r="O606" s="523"/>
      <c r="P606" s="523"/>
      <c r="Q606" s="523"/>
      <c r="R606" s="523"/>
      <c r="S606" s="523"/>
      <c r="T606" s="523"/>
      <c r="U606" s="523"/>
      <c r="V606" s="224"/>
      <c r="W606" s="224"/>
      <c r="X606" s="224"/>
      <c r="Y606" s="224"/>
      <c r="Z606" s="868"/>
      <c r="AA606" s="865"/>
      <c r="AB606" s="2"/>
      <c r="AC606" s="2"/>
      <c r="AD606" s="2"/>
      <c r="AE606" s="2"/>
      <c r="AF606" s="2"/>
      <c r="AG606" s="2"/>
      <c r="AH606" s="2"/>
      <c r="AI606" s="2"/>
      <c r="AJ606" s="2"/>
      <c r="AK606" s="2"/>
      <c r="AL606" s="2"/>
      <c r="AM606" s="2"/>
      <c r="AN606" s="2"/>
      <c r="AO606" s="9"/>
      <c r="AP606" s="9"/>
      <c r="AQ606" s="9"/>
      <c r="AR606" s="9"/>
    </row>
    <row r="607">
      <c r="A607" s="523"/>
      <c r="B607" s="523"/>
      <c r="C607" s="523"/>
      <c r="D607" s="523"/>
      <c r="E607" s="523"/>
      <c r="F607" s="523"/>
      <c r="G607" s="523"/>
      <c r="H607" s="523"/>
      <c r="I607" s="523"/>
      <c r="J607" s="523"/>
      <c r="K607" s="523"/>
      <c r="L607" s="523"/>
      <c r="M607" s="523"/>
      <c r="N607" s="523"/>
      <c r="O607" s="523"/>
      <c r="P607" s="523"/>
      <c r="Q607" s="523"/>
      <c r="R607" s="523"/>
      <c r="S607" s="523"/>
      <c r="T607" s="523"/>
      <c r="U607" s="523"/>
      <c r="V607" s="224"/>
      <c r="W607" s="224"/>
      <c r="X607" s="224"/>
      <c r="Y607" s="224"/>
      <c r="Z607" s="868"/>
      <c r="AA607" s="865"/>
      <c r="AB607" s="2"/>
      <c r="AC607" s="2"/>
      <c r="AD607" s="2"/>
      <c r="AE607" s="2"/>
      <c r="AF607" s="2"/>
      <c r="AG607" s="2"/>
      <c r="AH607" s="2"/>
      <c r="AI607" s="2"/>
      <c r="AJ607" s="2"/>
      <c r="AK607" s="2"/>
      <c r="AL607" s="2"/>
      <c r="AM607" s="2"/>
      <c r="AN607" s="2"/>
      <c r="AO607" s="9"/>
      <c r="AP607" s="9"/>
      <c r="AQ607" s="9"/>
      <c r="AR607" s="9"/>
    </row>
    <row r="608">
      <c r="A608" s="523"/>
      <c r="B608" s="523"/>
      <c r="C608" s="523"/>
      <c r="D608" s="523"/>
      <c r="E608" s="523"/>
      <c r="F608" s="523"/>
      <c r="G608" s="523"/>
      <c r="H608" s="523"/>
      <c r="I608" s="523"/>
      <c r="J608" s="523"/>
      <c r="K608" s="523"/>
      <c r="L608" s="523"/>
      <c r="M608" s="523"/>
      <c r="N608" s="523"/>
      <c r="O608" s="523"/>
      <c r="P608" s="523"/>
      <c r="Q608" s="523"/>
      <c r="R608" s="523"/>
      <c r="S608" s="523"/>
      <c r="T608" s="523"/>
      <c r="U608" s="523"/>
      <c r="V608" s="224"/>
      <c r="W608" s="224"/>
      <c r="X608" s="224"/>
      <c r="Y608" s="224"/>
      <c r="Z608" s="868"/>
      <c r="AA608" s="865"/>
      <c r="AB608" s="2"/>
      <c r="AC608" s="2"/>
      <c r="AD608" s="2"/>
      <c r="AE608" s="2"/>
      <c r="AF608" s="2"/>
      <c r="AG608" s="2"/>
      <c r="AH608" s="2"/>
      <c r="AI608" s="2"/>
      <c r="AJ608" s="2"/>
      <c r="AK608" s="2"/>
      <c r="AL608" s="2"/>
      <c r="AM608" s="2"/>
      <c r="AN608" s="2"/>
      <c r="AO608" s="9"/>
      <c r="AP608" s="9"/>
      <c r="AQ608" s="9"/>
      <c r="AR608" s="9"/>
    </row>
    <row r="609">
      <c r="A609" s="523"/>
      <c r="B609" s="523"/>
      <c r="C609" s="523"/>
      <c r="D609" s="523"/>
      <c r="E609" s="523"/>
      <c r="F609" s="523"/>
      <c r="G609" s="523"/>
      <c r="H609" s="523"/>
      <c r="I609" s="523"/>
      <c r="J609" s="523"/>
      <c r="K609" s="523"/>
      <c r="L609" s="523"/>
      <c r="M609" s="523"/>
      <c r="N609" s="523"/>
      <c r="O609" s="523"/>
      <c r="P609" s="523"/>
      <c r="Q609" s="523"/>
      <c r="R609" s="523"/>
      <c r="S609" s="523"/>
      <c r="T609" s="523"/>
      <c r="U609" s="523"/>
      <c r="V609" s="224"/>
      <c r="W609" s="224"/>
      <c r="X609" s="224"/>
      <c r="Y609" s="224"/>
      <c r="Z609" s="868"/>
      <c r="AA609" s="865"/>
      <c r="AB609" s="2"/>
      <c r="AC609" s="2"/>
      <c r="AD609" s="2"/>
      <c r="AE609" s="2"/>
      <c r="AF609" s="2"/>
      <c r="AG609" s="2"/>
      <c r="AH609" s="2"/>
      <c r="AI609" s="2"/>
      <c r="AJ609" s="2"/>
      <c r="AK609" s="2"/>
      <c r="AL609" s="2"/>
      <c r="AM609" s="2"/>
      <c r="AN609" s="2"/>
      <c r="AO609" s="9"/>
      <c r="AP609" s="9"/>
      <c r="AQ609" s="9"/>
      <c r="AR609" s="9"/>
    </row>
    <row r="610">
      <c r="A610" s="523"/>
      <c r="B610" s="523"/>
      <c r="C610" s="523"/>
      <c r="D610" s="523"/>
      <c r="E610" s="523"/>
      <c r="F610" s="523"/>
      <c r="G610" s="523"/>
      <c r="H610" s="523"/>
      <c r="I610" s="523"/>
      <c r="J610" s="523"/>
      <c r="K610" s="523"/>
      <c r="L610" s="523"/>
      <c r="M610" s="523"/>
      <c r="N610" s="523"/>
      <c r="O610" s="523"/>
      <c r="P610" s="523"/>
      <c r="Q610" s="523"/>
      <c r="R610" s="523"/>
      <c r="S610" s="523"/>
      <c r="T610" s="523"/>
      <c r="U610" s="523"/>
      <c r="V610" s="224"/>
      <c r="W610" s="224"/>
      <c r="X610" s="224"/>
      <c r="Y610" s="224"/>
      <c r="Z610" s="868"/>
      <c r="AA610" s="865"/>
      <c r="AB610" s="2"/>
      <c r="AC610" s="2"/>
      <c r="AD610" s="2"/>
      <c r="AE610" s="2"/>
      <c r="AF610" s="2"/>
      <c r="AG610" s="2"/>
      <c r="AH610" s="2"/>
      <c r="AI610" s="2"/>
      <c r="AJ610" s="2"/>
      <c r="AK610" s="2"/>
      <c r="AL610" s="2"/>
      <c r="AM610" s="2"/>
      <c r="AN610" s="2"/>
      <c r="AO610" s="9"/>
      <c r="AP610" s="9"/>
      <c r="AQ610" s="9"/>
      <c r="AR610" s="9"/>
    </row>
    <row r="611">
      <c r="A611" s="523"/>
      <c r="B611" s="523"/>
      <c r="C611" s="523"/>
      <c r="D611" s="523"/>
      <c r="E611" s="523"/>
      <c r="F611" s="523"/>
      <c r="G611" s="523"/>
      <c r="H611" s="523"/>
      <c r="I611" s="523"/>
      <c r="J611" s="523"/>
      <c r="K611" s="523"/>
      <c r="L611" s="523"/>
      <c r="M611" s="523"/>
      <c r="N611" s="523"/>
      <c r="O611" s="523"/>
      <c r="P611" s="523"/>
      <c r="Q611" s="523"/>
      <c r="R611" s="523"/>
      <c r="S611" s="523"/>
      <c r="T611" s="523"/>
      <c r="U611" s="523"/>
      <c r="V611" s="224"/>
      <c r="W611" s="224"/>
      <c r="X611" s="224"/>
      <c r="Y611" s="224"/>
      <c r="Z611" s="868"/>
      <c r="AA611" s="865"/>
      <c r="AB611" s="2"/>
      <c r="AC611" s="2"/>
      <c r="AD611" s="2"/>
      <c r="AE611" s="2"/>
      <c r="AF611" s="2"/>
      <c r="AG611" s="2"/>
      <c r="AH611" s="2"/>
      <c r="AI611" s="2"/>
      <c r="AJ611" s="2"/>
      <c r="AK611" s="2"/>
      <c r="AL611" s="2"/>
      <c r="AM611" s="2"/>
      <c r="AN611" s="2"/>
      <c r="AO611" s="9"/>
      <c r="AP611" s="9"/>
      <c r="AQ611" s="9"/>
      <c r="AR611" s="9"/>
    </row>
    <row r="612">
      <c r="A612" s="523"/>
      <c r="B612" s="523"/>
      <c r="C612" s="523"/>
      <c r="D612" s="523"/>
      <c r="E612" s="523"/>
      <c r="F612" s="523"/>
      <c r="G612" s="523"/>
      <c r="H612" s="523"/>
      <c r="I612" s="523"/>
      <c r="J612" s="523"/>
      <c r="K612" s="523"/>
      <c r="L612" s="523"/>
      <c r="M612" s="523"/>
      <c r="N612" s="523"/>
      <c r="O612" s="523"/>
      <c r="P612" s="523"/>
      <c r="Q612" s="523"/>
      <c r="R612" s="523"/>
      <c r="S612" s="523"/>
      <c r="T612" s="523"/>
      <c r="U612" s="523"/>
      <c r="V612" s="224"/>
      <c r="W612" s="224"/>
      <c r="X612" s="224"/>
      <c r="Y612" s="224"/>
      <c r="Z612" s="868"/>
      <c r="AA612" s="865"/>
      <c r="AB612" s="2"/>
      <c r="AC612" s="2"/>
      <c r="AD612" s="2"/>
      <c r="AE612" s="2"/>
      <c r="AF612" s="2"/>
      <c r="AG612" s="2"/>
      <c r="AH612" s="2"/>
      <c r="AI612" s="2"/>
      <c r="AJ612" s="2"/>
      <c r="AK612" s="2"/>
      <c r="AL612" s="2"/>
      <c r="AM612" s="2"/>
      <c r="AN612" s="2"/>
      <c r="AO612" s="9"/>
      <c r="AP612" s="9"/>
      <c r="AQ612" s="9"/>
      <c r="AR612" s="9"/>
    </row>
    <row r="613">
      <c r="A613" s="523"/>
      <c r="B613" s="523"/>
      <c r="C613" s="523"/>
      <c r="D613" s="523"/>
      <c r="E613" s="523"/>
      <c r="F613" s="523"/>
      <c r="G613" s="523"/>
      <c r="H613" s="523"/>
      <c r="I613" s="523"/>
      <c r="J613" s="523"/>
      <c r="K613" s="523"/>
      <c r="L613" s="523"/>
      <c r="M613" s="523"/>
      <c r="N613" s="523"/>
      <c r="O613" s="523"/>
      <c r="P613" s="523"/>
      <c r="Q613" s="523"/>
      <c r="R613" s="523"/>
      <c r="S613" s="523"/>
      <c r="T613" s="523"/>
      <c r="U613" s="523"/>
      <c r="V613" s="224"/>
      <c r="W613" s="224"/>
      <c r="X613" s="224"/>
      <c r="Y613" s="224"/>
      <c r="Z613" s="868"/>
      <c r="AA613" s="865"/>
      <c r="AB613" s="2"/>
      <c r="AC613" s="2"/>
      <c r="AD613" s="2"/>
      <c r="AE613" s="2"/>
      <c r="AF613" s="2"/>
      <c r="AG613" s="2"/>
      <c r="AH613" s="2"/>
      <c r="AI613" s="2"/>
      <c r="AJ613" s="2"/>
      <c r="AK613" s="2"/>
      <c r="AL613" s="2"/>
      <c r="AM613" s="2"/>
      <c r="AN613" s="2"/>
      <c r="AO613" s="9"/>
      <c r="AP613" s="9"/>
      <c r="AQ613" s="9"/>
      <c r="AR613" s="9"/>
    </row>
    <row r="614">
      <c r="A614" s="523"/>
      <c r="B614" s="523"/>
      <c r="C614" s="523"/>
      <c r="D614" s="523"/>
      <c r="E614" s="523"/>
      <c r="F614" s="523"/>
      <c r="G614" s="523"/>
      <c r="H614" s="523"/>
      <c r="I614" s="523"/>
      <c r="J614" s="523"/>
      <c r="K614" s="523"/>
      <c r="L614" s="523"/>
      <c r="M614" s="523"/>
      <c r="N614" s="523"/>
      <c r="O614" s="523"/>
      <c r="P614" s="523"/>
      <c r="Q614" s="523"/>
      <c r="R614" s="523"/>
      <c r="S614" s="523"/>
      <c r="T614" s="523"/>
      <c r="U614" s="523"/>
      <c r="V614" s="224"/>
      <c r="W614" s="224"/>
      <c r="X614" s="224"/>
      <c r="Y614" s="224"/>
      <c r="Z614" s="868"/>
      <c r="AA614" s="865"/>
      <c r="AB614" s="2"/>
      <c r="AC614" s="2"/>
      <c r="AD614" s="2"/>
      <c r="AE614" s="2"/>
      <c r="AF614" s="2"/>
      <c r="AG614" s="2"/>
      <c r="AH614" s="2"/>
      <c r="AI614" s="2"/>
      <c r="AJ614" s="2"/>
      <c r="AK614" s="2"/>
      <c r="AL614" s="2"/>
      <c r="AM614" s="2"/>
      <c r="AN614" s="2"/>
      <c r="AO614" s="9"/>
      <c r="AP614" s="9"/>
      <c r="AQ614" s="9"/>
      <c r="AR614" s="9"/>
    </row>
    <row r="615">
      <c r="A615" s="523"/>
      <c r="B615" s="523"/>
      <c r="C615" s="523"/>
      <c r="D615" s="523"/>
      <c r="E615" s="523"/>
      <c r="F615" s="523"/>
      <c r="G615" s="523"/>
      <c r="H615" s="523"/>
      <c r="I615" s="523"/>
      <c r="J615" s="523"/>
      <c r="K615" s="523"/>
      <c r="L615" s="523"/>
      <c r="M615" s="523"/>
      <c r="N615" s="523"/>
      <c r="O615" s="523"/>
      <c r="P615" s="523"/>
      <c r="Q615" s="523"/>
      <c r="R615" s="523"/>
      <c r="S615" s="523"/>
      <c r="T615" s="523"/>
      <c r="U615" s="523"/>
      <c r="V615" s="224"/>
      <c r="W615" s="224"/>
      <c r="X615" s="224"/>
      <c r="Y615" s="224"/>
      <c r="Z615" s="868"/>
      <c r="AA615" s="865"/>
      <c r="AB615" s="2"/>
      <c r="AC615" s="2"/>
      <c r="AD615" s="2"/>
      <c r="AE615" s="2"/>
      <c r="AF615" s="2"/>
      <c r="AG615" s="2"/>
      <c r="AH615" s="2"/>
      <c r="AI615" s="2"/>
      <c r="AJ615" s="2"/>
      <c r="AK615" s="2"/>
      <c r="AL615" s="2"/>
      <c r="AM615" s="2"/>
      <c r="AN615" s="2"/>
      <c r="AO615" s="9"/>
      <c r="AP615" s="9"/>
      <c r="AQ615" s="9"/>
      <c r="AR615" s="9"/>
    </row>
    <row r="616">
      <c r="A616" s="523"/>
      <c r="B616" s="523"/>
      <c r="C616" s="523"/>
      <c r="D616" s="523"/>
      <c r="E616" s="523"/>
      <c r="F616" s="523"/>
      <c r="G616" s="523"/>
      <c r="H616" s="523"/>
      <c r="I616" s="523"/>
      <c r="J616" s="523"/>
      <c r="K616" s="523"/>
      <c r="L616" s="523"/>
      <c r="M616" s="523"/>
      <c r="N616" s="523"/>
      <c r="O616" s="523"/>
      <c r="P616" s="523"/>
      <c r="Q616" s="523"/>
      <c r="R616" s="523"/>
      <c r="S616" s="523"/>
      <c r="T616" s="523"/>
      <c r="U616" s="523"/>
      <c r="V616" s="224"/>
      <c r="W616" s="224"/>
      <c r="X616" s="224"/>
      <c r="Y616" s="224"/>
      <c r="Z616" s="868"/>
      <c r="AA616" s="865"/>
      <c r="AB616" s="2"/>
      <c r="AC616" s="2"/>
      <c r="AD616" s="2"/>
      <c r="AE616" s="2"/>
      <c r="AF616" s="2"/>
      <c r="AG616" s="2"/>
      <c r="AH616" s="2"/>
      <c r="AI616" s="2"/>
      <c r="AJ616" s="2"/>
      <c r="AK616" s="2"/>
      <c r="AL616" s="2"/>
      <c r="AM616" s="2"/>
      <c r="AN616" s="2"/>
      <c r="AO616" s="9"/>
      <c r="AP616" s="9"/>
      <c r="AQ616" s="9"/>
      <c r="AR616" s="9"/>
    </row>
    <row r="617">
      <c r="A617" s="523"/>
      <c r="B617" s="523"/>
      <c r="C617" s="523"/>
      <c r="D617" s="523"/>
      <c r="E617" s="523"/>
      <c r="F617" s="523"/>
      <c r="G617" s="523"/>
      <c r="H617" s="523"/>
      <c r="I617" s="523"/>
      <c r="J617" s="523"/>
      <c r="K617" s="523"/>
      <c r="L617" s="523"/>
      <c r="M617" s="523"/>
      <c r="N617" s="523"/>
      <c r="O617" s="523"/>
      <c r="P617" s="523"/>
      <c r="Q617" s="523"/>
      <c r="R617" s="523"/>
      <c r="S617" s="523"/>
      <c r="T617" s="523"/>
      <c r="U617" s="523"/>
      <c r="V617" s="224"/>
      <c r="W617" s="224"/>
      <c r="X617" s="224"/>
      <c r="Y617" s="224"/>
      <c r="Z617" s="868"/>
      <c r="AA617" s="865"/>
      <c r="AB617" s="2"/>
      <c r="AC617" s="2"/>
      <c r="AD617" s="2"/>
      <c r="AE617" s="2"/>
      <c r="AF617" s="2"/>
      <c r="AG617" s="2"/>
      <c r="AH617" s="2"/>
      <c r="AI617" s="2"/>
      <c r="AJ617" s="2"/>
      <c r="AK617" s="2"/>
      <c r="AL617" s="2"/>
      <c r="AM617" s="2"/>
      <c r="AN617" s="2"/>
      <c r="AO617" s="9"/>
      <c r="AP617" s="9"/>
      <c r="AQ617" s="9"/>
      <c r="AR617" s="9"/>
    </row>
    <row r="618">
      <c r="A618" s="523"/>
      <c r="B618" s="523"/>
      <c r="C618" s="523"/>
      <c r="D618" s="523"/>
      <c r="E618" s="523"/>
      <c r="F618" s="523"/>
      <c r="G618" s="523"/>
      <c r="H618" s="523"/>
      <c r="I618" s="523"/>
      <c r="J618" s="523"/>
      <c r="K618" s="523"/>
      <c r="L618" s="523"/>
      <c r="M618" s="523"/>
      <c r="N618" s="523"/>
      <c r="O618" s="523"/>
      <c r="P618" s="523"/>
      <c r="Q618" s="523"/>
      <c r="R618" s="523"/>
      <c r="S618" s="523"/>
      <c r="T618" s="523"/>
      <c r="U618" s="523"/>
      <c r="V618" s="224"/>
      <c r="W618" s="224"/>
      <c r="X618" s="224"/>
      <c r="Y618" s="224"/>
      <c r="Z618" s="868"/>
      <c r="AA618" s="865"/>
      <c r="AB618" s="2"/>
      <c r="AC618" s="2"/>
      <c r="AD618" s="2"/>
      <c r="AE618" s="2"/>
      <c r="AF618" s="2"/>
      <c r="AG618" s="2"/>
      <c r="AH618" s="2"/>
      <c r="AI618" s="2"/>
      <c r="AJ618" s="2"/>
      <c r="AK618" s="2"/>
      <c r="AL618" s="2"/>
      <c r="AM618" s="2"/>
      <c r="AN618" s="2"/>
      <c r="AO618" s="9"/>
      <c r="AP618" s="9"/>
      <c r="AQ618" s="9"/>
      <c r="AR618" s="9"/>
    </row>
    <row r="619">
      <c r="A619" s="523"/>
      <c r="B619" s="523"/>
      <c r="C619" s="523"/>
      <c r="D619" s="523"/>
      <c r="E619" s="523"/>
      <c r="F619" s="523"/>
      <c r="G619" s="523"/>
      <c r="H619" s="523"/>
      <c r="I619" s="523"/>
      <c r="J619" s="523"/>
      <c r="K619" s="523"/>
      <c r="L619" s="523"/>
      <c r="M619" s="523"/>
      <c r="N619" s="523"/>
      <c r="O619" s="523"/>
      <c r="P619" s="523"/>
      <c r="Q619" s="523"/>
      <c r="R619" s="523"/>
      <c r="S619" s="523"/>
      <c r="T619" s="523"/>
      <c r="U619" s="523"/>
      <c r="V619" s="224"/>
      <c r="W619" s="224"/>
      <c r="X619" s="224"/>
      <c r="Y619" s="224"/>
      <c r="Z619" s="868"/>
      <c r="AA619" s="865"/>
      <c r="AB619" s="2"/>
      <c r="AC619" s="2"/>
      <c r="AD619" s="2"/>
      <c r="AE619" s="2"/>
      <c r="AF619" s="2"/>
      <c r="AG619" s="2"/>
      <c r="AH619" s="2"/>
      <c r="AI619" s="2"/>
      <c r="AJ619" s="2"/>
      <c r="AK619" s="2"/>
      <c r="AL619" s="2"/>
      <c r="AM619" s="2"/>
      <c r="AN619" s="2"/>
      <c r="AO619" s="9"/>
      <c r="AP619" s="9"/>
      <c r="AQ619" s="9"/>
      <c r="AR619" s="9"/>
    </row>
    <row r="620">
      <c r="A620" s="523"/>
      <c r="B620" s="523"/>
      <c r="C620" s="523"/>
      <c r="D620" s="523"/>
      <c r="E620" s="523"/>
      <c r="F620" s="523"/>
      <c r="G620" s="523"/>
      <c r="H620" s="523"/>
      <c r="I620" s="523"/>
      <c r="J620" s="523"/>
      <c r="K620" s="523"/>
      <c r="L620" s="523"/>
      <c r="M620" s="523"/>
      <c r="N620" s="523"/>
      <c r="O620" s="523"/>
      <c r="P620" s="523"/>
      <c r="Q620" s="523"/>
      <c r="R620" s="523"/>
      <c r="S620" s="523"/>
      <c r="T620" s="523"/>
      <c r="U620" s="523"/>
      <c r="V620" s="224"/>
      <c r="W620" s="224"/>
      <c r="X620" s="224"/>
      <c r="Y620" s="224"/>
      <c r="Z620" s="868"/>
      <c r="AA620" s="865"/>
      <c r="AB620" s="2"/>
      <c r="AC620" s="2"/>
      <c r="AD620" s="2"/>
      <c r="AE620" s="2"/>
      <c r="AF620" s="2"/>
      <c r="AG620" s="2"/>
      <c r="AH620" s="2"/>
      <c r="AI620" s="2"/>
      <c r="AJ620" s="2"/>
      <c r="AK620" s="2"/>
      <c r="AL620" s="2"/>
      <c r="AM620" s="2"/>
      <c r="AN620" s="2"/>
      <c r="AO620" s="9"/>
      <c r="AP620" s="9"/>
      <c r="AQ620" s="9"/>
      <c r="AR620" s="9"/>
    </row>
    <row r="621">
      <c r="A621" s="523"/>
      <c r="B621" s="523"/>
      <c r="C621" s="523"/>
      <c r="D621" s="523"/>
      <c r="E621" s="523"/>
      <c r="F621" s="523"/>
      <c r="G621" s="523"/>
      <c r="H621" s="523"/>
      <c r="I621" s="523"/>
      <c r="J621" s="523"/>
      <c r="K621" s="523"/>
      <c r="L621" s="523"/>
      <c r="M621" s="523"/>
      <c r="N621" s="523"/>
      <c r="O621" s="523"/>
      <c r="P621" s="523"/>
      <c r="Q621" s="523"/>
      <c r="R621" s="523"/>
      <c r="S621" s="523"/>
      <c r="T621" s="523"/>
      <c r="U621" s="523"/>
      <c r="V621" s="224"/>
      <c r="W621" s="224"/>
      <c r="X621" s="224"/>
      <c r="Y621" s="224"/>
      <c r="Z621" s="868"/>
      <c r="AA621" s="865"/>
      <c r="AB621" s="2"/>
      <c r="AC621" s="2"/>
      <c r="AD621" s="2"/>
      <c r="AE621" s="2"/>
      <c r="AF621" s="2"/>
      <c r="AG621" s="2"/>
      <c r="AH621" s="2"/>
      <c r="AI621" s="2"/>
      <c r="AJ621" s="2"/>
      <c r="AK621" s="2"/>
      <c r="AL621" s="2"/>
      <c r="AM621" s="2"/>
      <c r="AN621" s="2"/>
      <c r="AO621" s="9"/>
      <c r="AP621" s="9"/>
      <c r="AQ621" s="9"/>
      <c r="AR621" s="9"/>
    </row>
    <row r="622">
      <c r="A622" s="523"/>
      <c r="B622" s="523"/>
      <c r="C622" s="523"/>
      <c r="D622" s="523"/>
      <c r="E622" s="523"/>
      <c r="F622" s="523"/>
      <c r="G622" s="523"/>
      <c r="H622" s="523"/>
      <c r="I622" s="523"/>
      <c r="J622" s="523"/>
      <c r="K622" s="523"/>
      <c r="L622" s="523"/>
      <c r="M622" s="523"/>
      <c r="N622" s="523"/>
      <c r="O622" s="523"/>
      <c r="P622" s="523"/>
      <c r="Q622" s="523"/>
      <c r="R622" s="523"/>
      <c r="S622" s="523"/>
      <c r="T622" s="523"/>
      <c r="U622" s="523"/>
      <c r="V622" s="224"/>
      <c r="W622" s="224"/>
      <c r="X622" s="224"/>
      <c r="Y622" s="224"/>
      <c r="Z622" s="868"/>
      <c r="AA622" s="865"/>
      <c r="AB622" s="2"/>
      <c r="AC622" s="2"/>
      <c r="AD622" s="2"/>
      <c r="AE622" s="2"/>
      <c r="AF622" s="2"/>
      <c r="AG622" s="2"/>
      <c r="AH622" s="2"/>
      <c r="AI622" s="2"/>
      <c r="AJ622" s="2"/>
      <c r="AK622" s="2"/>
      <c r="AL622" s="2"/>
      <c r="AM622" s="2"/>
      <c r="AN622" s="2"/>
      <c r="AO622" s="9"/>
      <c r="AP622" s="9"/>
      <c r="AQ622" s="9"/>
      <c r="AR622" s="9"/>
    </row>
    <row r="623">
      <c r="A623" s="523"/>
      <c r="B623" s="523"/>
      <c r="C623" s="523"/>
      <c r="D623" s="523"/>
      <c r="E623" s="523"/>
      <c r="F623" s="523"/>
      <c r="G623" s="523"/>
      <c r="H623" s="523"/>
      <c r="I623" s="523"/>
      <c r="J623" s="523"/>
      <c r="K623" s="523"/>
      <c r="L623" s="523"/>
      <c r="M623" s="523"/>
      <c r="N623" s="523"/>
      <c r="O623" s="523"/>
      <c r="P623" s="523"/>
      <c r="Q623" s="523"/>
      <c r="R623" s="523"/>
      <c r="S623" s="523"/>
      <c r="T623" s="523"/>
      <c r="U623" s="523"/>
      <c r="V623" s="224"/>
      <c r="W623" s="224"/>
      <c r="X623" s="224"/>
      <c r="Y623" s="224"/>
      <c r="Z623" s="868"/>
      <c r="AA623" s="865"/>
      <c r="AB623" s="2"/>
      <c r="AC623" s="2"/>
      <c r="AD623" s="2"/>
      <c r="AE623" s="2"/>
      <c r="AF623" s="2"/>
      <c r="AG623" s="2"/>
      <c r="AH623" s="2"/>
      <c r="AI623" s="2"/>
      <c r="AJ623" s="2"/>
      <c r="AK623" s="2"/>
      <c r="AL623" s="2"/>
      <c r="AM623" s="2"/>
      <c r="AN623" s="2"/>
      <c r="AO623" s="9"/>
      <c r="AP623" s="9"/>
      <c r="AQ623" s="9"/>
      <c r="AR623" s="9"/>
    </row>
    <row r="624">
      <c r="A624" s="523"/>
      <c r="B624" s="523"/>
      <c r="C624" s="523"/>
      <c r="D624" s="523"/>
      <c r="E624" s="523"/>
      <c r="F624" s="523"/>
      <c r="G624" s="523"/>
      <c r="H624" s="523"/>
      <c r="I624" s="523"/>
      <c r="J624" s="523"/>
      <c r="K624" s="523"/>
      <c r="L624" s="523"/>
      <c r="M624" s="523"/>
      <c r="N624" s="523"/>
      <c r="O624" s="523"/>
      <c r="P624" s="523"/>
      <c r="Q624" s="523"/>
      <c r="R624" s="523"/>
      <c r="S624" s="523"/>
      <c r="T624" s="523"/>
      <c r="U624" s="523"/>
      <c r="V624" s="224"/>
      <c r="W624" s="224"/>
      <c r="X624" s="224"/>
      <c r="Y624" s="224"/>
      <c r="Z624" s="868"/>
      <c r="AA624" s="865"/>
      <c r="AB624" s="2"/>
      <c r="AC624" s="2"/>
      <c r="AD624" s="2"/>
      <c r="AE624" s="2"/>
      <c r="AF624" s="2"/>
      <c r="AG624" s="2"/>
      <c r="AH624" s="2"/>
      <c r="AI624" s="2"/>
      <c r="AJ624" s="2"/>
      <c r="AK624" s="2"/>
      <c r="AL624" s="2"/>
      <c r="AM624" s="2"/>
      <c r="AN624" s="2"/>
      <c r="AO624" s="9"/>
      <c r="AP624" s="9"/>
      <c r="AQ624" s="9"/>
      <c r="AR624" s="9"/>
    </row>
    <row r="625">
      <c r="A625" s="523"/>
      <c r="B625" s="523"/>
      <c r="C625" s="523"/>
      <c r="D625" s="523"/>
      <c r="E625" s="523"/>
      <c r="F625" s="523"/>
      <c r="G625" s="523"/>
      <c r="H625" s="523"/>
      <c r="I625" s="523"/>
      <c r="J625" s="523"/>
      <c r="K625" s="523"/>
      <c r="L625" s="523"/>
      <c r="M625" s="523"/>
      <c r="N625" s="523"/>
      <c r="O625" s="523"/>
      <c r="P625" s="523"/>
      <c r="Q625" s="523"/>
      <c r="R625" s="523"/>
      <c r="S625" s="523"/>
      <c r="T625" s="523"/>
      <c r="U625" s="523"/>
      <c r="V625" s="224"/>
      <c r="W625" s="224"/>
      <c r="X625" s="224"/>
      <c r="Y625" s="224"/>
      <c r="Z625" s="868"/>
      <c r="AA625" s="865"/>
      <c r="AB625" s="2"/>
      <c r="AC625" s="2"/>
      <c r="AD625" s="2"/>
      <c r="AE625" s="2"/>
      <c r="AF625" s="2"/>
      <c r="AG625" s="2"/>
      <c r="AH625" s="2"/>
      <c r="AI625" s="2"/>
      <c r="AJ625" s="2"/>
      <c r="AK625" s="2"/>
      <c r="AL625" s="2"/>
      <c r="AM625" s="2"/>
      <c r="AN625" s="2"/>
      <c r="AO625" s="9"/>
      <c r="AP625" s="9"/>
      <c r="AQ625" s="9"/>
      <c r="AR625" s="9"/>
    </row>
    <row r="626">
      <c r="A626" s="523"/>
      <c r="B626" s="523"/>
      <c r="C626" s="523"/>
      <c r="D626" s="523"/>
      <c r="E626" s="523"/>
      <c r="F626" s="523"/>
      <c r="G626" s="523"/>
      <c r="H626" s="523"/>
      <c r="I626" s="523"/>
      <c r="J626" s="523"/>
      <c r="K626" s="523"/>
      <c r="L626" s="523"/>
      <c r="M626" s="523"/>
      <c r="N626" s="523"/>
      <c r="O626" s="523"/>
      <c r="P626" s="523"/>
      <c r="Q626" s="523"/>
      <c r="R626" s="523"/>
      <c r="S626" s="523"/>
      <c r="T626" s="523"/>
      <c r="U626" s="523"/>
      <c r="V626" s="224"/>
      <c r="W626" s="224"/>
      <c r="X626" s="224"/>
      <c r="Y626" s="224"/>
      <c r="Z626" s="868"/>
      <c r="AA626" s="865"/>
      <c r="AB626" s="2"/>
      <c r="AC626" s="2"/>
      <c r="AD626" s="2"/>
      <c r="AE626" s="2"/>
      <c r="AF626" s="2"/>
      <c r="AG626" s="2"/>
      <c r="AH626" s="2"/>
      <c r="AI626" s="2"/>
      <c r="AJ626" s="2"/>
      <c r="AK626" s="2"/>
      <c r="AL626" s="2"/>
      <c r="AM626" s="2"/>
      <c r="AN626" s="2"/>
      <c r="AO626" s="9"/>
      <c r="AP626" s="9"/>
      <c r="AQ626" s="9"/>
      <c r="AR626" s="9"/>
    </row>
    <row r="627">
      <c r="A627" s="523"/>
      <c r="B627" s="523"/>
      <c r="C627" s="523"/>
      <c r="D627" s="523"/>
      <c r="E627" s="523"/>
      <c r="F627" s="523"/>
      <c r="G627" s="523"/>
      <c r="H627" s="523"/>
      <c r="I627" s="523"/>
      <c r="J627" s="523"/>
      <c r="K627" s="523"/>
      <c r="L627" s="523"/>
      <c r="M627" s="523"/>
      <c r="N627" s="523"/>
      <c r="O627" s="523"/>
      <c r="P627" s="523"/>
      <c r="Q627" s="523"/>
      <c r="R627" s="523"/>
      <c r="S627" s="523"/>
      <c r="T627" s="523"/>
      <c r="U627" s="523"/>
      <c r="V627" s="224"/>
      <c r="W627" s="224"/>
      <c r="X627" s="224"/>
      <c r="Y627" s="224"/>
      <c r="Z627" s="868"/>
      <c r="AA627" s="865"/>
      <c r="AB627" s="2"/>
      <c r="AC627" s="2"/>
      <c r="AD627" s="2"/>
      <c r="AE627" s="2"/>
      <c r="AF627" s="2"/>
      <c r="AG627" s="2"/>
      <c r="AH627" s="2"/>
      <c r="AI627" s="2"/>
      <c r="AJ627" s="2"/>
      <c r="AK627" s="2"/>
      <c r="AL627" s="2"/>
      <c r="AM627" s="2"/>
      <c r="AN627" s="2"/>
      <c r="AO627" s="9"/>
      <c r="AP627" s="9"/>
      <c r="AQ627" s="9"/>
      <c r="AR627" s="9"/>
    </row>
    <row r="628">
      <c r="A628" s="523"/>
      <c r="B628" s="523"/>
      <c r="C628" s="523"/>
      <c r="D628" s="523"/>
      <c r="E628" s="523"/>
      <c r="F628" s="523"/>
      <c r="G628" s="523"/>
      <c r="H628" s="523"/>
      <c r="I628" s="523"/>
      <c r="J628" s="523"/>
      <c r="K628" s="523"/>
      <c r="L628" s="523"/>
      <c r="M628" s="523"/>
      <c r="N628" s="523"/>
      <c r="O628" s="523"/>
      <c r="P628" s="523"/>
      <c r="Q628" s="523"/>
      <c r="R628" s="523"/>
      <c r="S628" s="523"/>
      <c r="T628" s="523"/>
      <c r="U628" s="523"/>
      <c r="V628" s="224"/>
      <c r="W628" s="224"/>
      <c r="X628" s="224"/>
      <c r="Y628" s="224"/>
      <c r="Z628" s="868"/>
      <c r="AA628" s="865"/>
      <c r="AB628" s="2"/>
      <c r="AC628" s="2"/>
      <c r="AD628" s="2"/>
      <c r="AE628" s="2"/>
      <c r="AF628" s="2"/>
      <c r="AG628" s="2"/>
      <c r="AH628" s="2"/>
      <c r="AI628" s="2"/>
      <c r="AJ628" s="2"/>
      <c r="AK628" s="2"/>
      <c r="AL628" s="2"/>
      <c r="AM628" s="2"/>
      <c r="AN628" s="2"/>
      <c r="AO628" s="9"/>
      <c r="AP628" s="9"/>
      <c r="AQ628" s="9"/>
      <c r="AR628" s="9"/>
    </row>
    <row r="629">
      <c r="A629" s="523"/>
      <c r="B629" s="523"/>
      <c r="C629" s="523"/>
      <c r="D629" s="523"/>
      <c r="E629" s="523"/>
      <c r="F629" s="523"/>
      <c r="G629" s="523"/>
      <c r="H629" s="523"/>
      <c r="I629" s="523"/>
      <c r="J629" s="523"/>
      <c r="K629" s="523"/>
      <c r="L629" s="523"/>
      <c r="M629" s="523"/>
      <c r="N629" s="523"/>
      <c r="O629" s="523"/>
      <c r="P629" s="523"/>
      <c r="Q629" s="523"/>
      <c r="R629" s="523"/>
      <c r="S629" s="523"/>
      <c r="T629" s="523"/>
      <c r="U629" s="523"/>
      <c r="V629" s="224"/>
      <c r="W629" s="224"/>
      <c r="X629" s="224"/>
      <c r="Y629" s="224"/>
      <c r="Z629" s="868"/>
      <c r="AA629" s="865"/>
      <c r="AB629" s="2"/>
      <c r="AC629" s="2"/>
      <c r="AD629" s="2"/>
      <c r="AE629" s="2"/>
      <c r="AF629" s="2"/>
      <c r="AG629" s="2"/>
      <c r="AH629" s="2"/>
      <c r="AI629" s="2"/>
      <c r="AJ629" s="2"/>
      <c r="AK629" s="2"/>
      <c r="AL629" s="2"/>
      <c r="AM629" s="2"/>
      <c r="AN629" s="2"/>
      <c r="AO629" s="9"/>
      <c r="AP629" s="9"/>
      <c r="AQ629" s="9"/>
      <c r="AR629" s="9"/>
    </row>
    <row r="630">
      <c r="A630" s="523"/>
      <c r="B630" s="523"/>
      <c r="C630" s="523"/>
      <c r="D630" s="523"/>
      <c r="E630" s="523"/>
      <c r="F630" s="523"/>
      <c r="G630" s="523"/>
      <c r="H630" s="523"/>
      <c r="I630" s="523"/>
      <c r="J630" s="523"/>
      <c r="K630" s="523"/>
      <c r="L630" s="523"/>
      <c r="M630" s="523"/>
      <c r="N630" s="523"/>
      <c r="O630" s="523"/>
      <c r="P630" s="523"/>
      <c r="Q630" s="523"/>
      <c r="R630" s="523"/>
      <c r="S630" s="523"/>
      <c r="T630" s="523"/>
      <c r="U630" s="523"/>
      <c r="V630" s="224"/>
      <c r="W630" s="224"/>
      <c r="X630" s="224"/>
      <c r="Y630" s="224"/>
      <c r="Z630" s="868"/>
      <c r="AA630" s="865"/>
      <c r="AB630" s="2"/>
      <c r="AC630" s="2"/>
      <c r="AD630" s="2"/>
      <c r="AE630" s="2"/>
      <c r="AF630" s="2"/>
      <c r="AG630" s="2"/>
      <c r="AH630" s="2"/>
      <c r="AI630" s="2"/>
      <c r="AJ630" s="2"/>
      <c r="AK630" s="2"/>
      <c r="AL630" s="2"/>
      <c r="AM630" s="2"/>
      <c r="AN630" s="2"/>
      <c r="AO630" s="9"/>
      <c r="AP630" s="9"/>
      <c r="AQ630" s="9"/>
      <c r="AR630" s="9"/>
    </row>
    <row r="631">
      <c r="A631" s="523"/>
      <c r="B631" s="523"/>
      <c r="C631" s="523"/>
      <c r="D631" s="523"/>
      <c r="E631" s="523"/>
      <c r="F631" s="523"/>
      <c r="G631" s="523"/>
      <c r="H631" s="523"/>
      <c r="I631" s="523"/>
      <c r="J631" s="523"/>
      <c r="K631" s="523"/>
      <c r="L631" s="523"/>
      <c r="M631" s="523"/>
      <c r="N631" s="523"/>
      <c r="O631" s="523"/>
      <c r="P631" s="523"/>
      <c r="Q631" s="523"/>
      <c r="R631" s="523"/>
      <c r="S631" s="523"/>
      <c r="T631" s="523"/>
      <c r="U631" s="523"/>
      <c r="V631" s="224"/>
      <c r="W631" s="224"/>
      <c r="X631" s="224"/>
      <c r="Y631" s="224"/>
      <c r="Z631" s="868"/>
      <c r="AA631" s="865"/>
      <c r="AB631" s="2"/>
      <c r="AC631" s="2"/>
      <c r="AD631" s="2"/>
      <c r="AE631" s="2"/>
      <c r="AF631" s="2"/>
      <c r="AG631" s="2"/>
      <c r="AH631" s="2"/>
      <c r="AI631" s="2"/>
      <c r="AJ631" s="2"/>
      <c r="AK631" s="2"/>
      <c r="AL631" s="2"/>
      <c r="AM631" s="2"/>
      <c r="AN631" s="2"/>
      <c r="AO631" s="9"/>
      <c r="AP631" s="9"/>
      <c r="AQ631" s="9"/>
      <c r="AR631" s="9"/>
    </row>
    <row r="632">
      <c r="A632" s="523"/>
      <c r="B632" s="523"/>
      <c r="C632" s="523"/>
      <c r="D632" s="523"/>
      <c r="E632" s="523"/>
      <c r="F632" s="523"/>
      <c r="G632" s="523"/>
      <c r="H632" s="523"/>
      <c r="I632" s="523"/>
      <c r="J632" s="523"/>
      <c r="K632" s="523"/>
      <c r="L632" s="523"/>
      <c r="M632" s="523"/>
      <c r="N632" s="523"/>
      <c r="O632" s="523"/>
      <c r="P632" s="523"/>
      <c r="Q632" s="523"/>
      <c r="R632" s="523"/>
      <c r="S632" s="523"/>
      <c r="T632" s="523"/>
      <c r="U632" s="523"/>
      <c r="V632" s="224"/>
      <c r="W632" s="224"/>
      <c r="X632" s="224"/>
      <c r="Y632" s="224"/>
      <c r="Z632" s="868"/>
      <c r="AA632" s="865"/>
      <c r="AB632" s="2"/>
      <c r="AC632" s="2"/>
      <c r="AD632" s="2"/>
      <c r="AE632" s="2"/>
      <c r="AF632" s="2"/>
      <c r="AG632" s="2"/>
      <c r="AH632" s="2"/>
      <c r="AI632" s="2"/>
      <c r="AJ632" s="2"/>
      <c r="AK632" s="2"/>
      <c r="AL632" s="2"/>
      <c r="AM632" s="2"/>
      <c r="AN632" s="2"/>
      <c r="AO632" s="9"/>
      <c r="AP632" s="9"/>
      <c r="AQ632" s="9"/>
      <c r="AR632" s="9"/>
    </row>
    <row r="633">
      <c r="A633" s="523"/>
      <c r="B633" s="523"/>
      <c r="C633" s="523"/>
      <c r="D633" s="523"/>
      <c r="E633" s="523"/>
      <c r="F633" s="523"/>
      <c r="G633" s="523"/>
      <c r="H633" s="523"/>
      <c r="I633" s="523"/>
      <c r="J633" s="523"/>
      <c r="K633" s="523"/>
      <c r="L633" s="523"/>
      <c r="M633" s="523"/>
      <c r="N633" s="523"/>
      <c r="O633" s="523"/>
      <c r="P633" s="523"/>
      <c r="Q633" s="523"/>
      <c r="R633" s="523"/>
      <c r="S633" s="523"/>
      <c r="T633" s="523"/>
      <c r="U633" s="523"/>
      <c r="V633" s="224"/>
      <c r="W633" s="224"/>
      <c r="X633" s="224"/>
      <c r="Y633" s="224"/>
      <c r="Z633" s="868"/>
      <c r="AA633" s="865"/>
      <c r="AB633" s="2"/>
      <c r="AC633" s="2"/>
      <c r="AD633" s="2"/>
      <c r="AE633" s="2"/>
      <c r="AF633" s="2"/>
      <c r="AG633" s="2"/>
      <c r="AH633" s="2"/>
      <c r="AI633" s="2"/>
      <c r="AJ633" s="2"/>
      <c r="AK633" s="2"/>
      <c r="AL633" s="2"/>
      <c r="AM633" s="2"/>
      <c r="AN633" s="2"/>
      <c r="AO633" s="9"/>
      <c r="AP633" s="9"/>
      <c r="AQ633" s="9"/>
      <c r="AR633" s="9"/>
    </row>
    <row r="634">
      <c r="A634" s="523"/>
      <c r="B634" s="523"/>
      <c r="C634" s="523"/>
      <c r="D634" s="523"/>
      <c r="E634" s="523"/>
      <c r="F634" s="523"/>
      <c r="G634" s="523"/>
      <c r="H634" s="523"/>
      <c r="I634" s="523"/>
      <c r="J634" s="523"/>
      <c r="K634" s="523"/>
      <c r="L634" s="523"/>
      <c r="M634" s="523"/>
      <c r="N634" s="523"/>
      <c r="O634" s="523"/>
      <c r="P634" s="523"/>
      <c r="Q634" s="523"/>
      <c r="R634" s="523"/>
      <c r="S634" s="523"/>
      <c r="T634" s="523"/>
      <c r="U634" s="523"/>
      <c r="V634" s="224"/>
      <c r="W634" s="224"/>
      <c r="X634" s="224"/>
      <c r="Y634" s="224"/>
      <c r="Z634" s="868"/>
      <c r="AA634" s="865"/>
      <c r="AB634" s="2"/>
      <c r="AC634" s="2"/>
      <c r="AD634" s="2"/>
      <c r="AE634" s="2"/>
      <c r="AF634" s="2"/>
      <c r="AG634" s="2"/>
      <c r="AH634" s="2"/>
      <c r="AI634" s="2"/>
      <c r="AJ634" s="2"/>
      <c r="AK634" s="2"/>
      <c r="AL634" s="2"/>
      <c r="AM634" s="2"/>
      <c r="AN634" s="2"/>
      <c r="AO634" s="9"/>
      <c r="AP634" s="9"/>
      <c r="AQ634" s="9"/>
      <c r="AR634" s="9"/>
    </row>
    <row r="635">
      <c r="A635" s="523"/>
      <c r="B635" s="523"/>
      <c r="C635" s="523"/>
      <c r="D635" s="523"/>
      <c r="E635" s="523"/>
      <c r="F635" s="523"/>
      <c r="G635" s="523"/>
      <c r="H635" s="523"/>
      <c r="I635" s="523"/>
      <c r="J635" s="523"/>
      <c r="K635" s="523"/>
      <c r="L635" s="523"/>
      <c r="M635" s="523"/>
      <c r="N635" s="523"/>
      <c r="O635" s="523"/>
      <c r="P635" s="523"/>
      <c r="Q635" s="523"/>
      <c r="R635" s="523"/>
      <c r="S635" s="523"/>
      <c r="T635" s="523"/>
      <c r="U635" s="523"/>
      <c r="V635" s="224"/>
      <c r="W635" s="224"/>
      <c r="X635" s="224"/>
      <c r="Y635" s="224"/>
      <c r="Z635" s="868"/>
      <c r="AA635" s="865"/>
      <c r="AB635" s="2"/>
      <c r="AC635" s="2"/>
      <c r="AD635" s="2"/>
      <c r="AE635" s="2"/>
      <c r="AF635" s="2"/>
      <c r="AG635" s="2"/>
      <c r="AH635" s="2"/>
      <c r="AI635" s="2"/>
      <c r="AJ635" s="2"/>
      <c r="AK635" s="2"/>
      <c r="AL635" s="2"/>
      <c r="AM635" s="2"/>
      <c r="AN635" s="2"/>
      <c r="AO635" s="9"/>
      <c r="AP635" s="9"/>
      <c r="AQ635" s="9"/>
      <c r="AR635" s="9"/>
    </row>
    <row r="636">
      <c r="A636" s="523"/>
      <c r="B636" s="523"/>
      <c r="C636" s="523"/>
      <c r="D636" s="523"/>
      <c r="E636" s="523"/>
      <c r="F636" s="523"/>
      <c r="G636" s="523"/>
      <c r="H636" s="523"/>
      <c r="I636" s="523"/>
      <c r="J636" s="523"/>
      <c r="K636" s="523"/>
      <c r="L636" s="523"/>
      <c r="M636" s="523"/>
      <c r="N636" s="523"/>
      <c r="O636" s="523"/>
      <c r="P636" s="523"/>
      <c r="Q636" s="523"/>
      <c r="R636" s="523"/>
      <c r="S636" s="523"/>
      <c r="T636" s="523"/>
      <c r="U636" s="523"/>
      <c r="V636" s="224"/>
      <c r="W636" s="224"/>
      <c r="X636" s="224"/>
      <c r="Y636" s="224"/>
      <c r="Z636" s="868"/>
      <c r="AA636" s="865"/>
      <c r="AB636" s="2"/>
      <c r="AC636" s="2"/>
      <c r="AD636" s="2"/>
      <c r="AE636" s="2"/>
      <c r="AF636" s="2"/>
      <c r="AG636" s="2"/>
      <c r="AH636" s="2"/>
      <c r="AI636" s="2"/>
      <c r="AJ636" s="2"/>
      <c r="AK636" s="2"/>
      <c r="AL636" s="2"/>
      <c r="AM636" s="2"/>
      <c r="AN636" s="2"/>
      <c r="AO636" s="9"/>
      <c r="AP636" s="9"/>
      <c r="AQ636" s="9"/>
      <c r="AR636" s="9"/>
    </row>
    <row r="637">
      <c r="A637" s="523"/>
      <c r="B637" s="523"/>
      <c r="C637" s="523"/>
      <c r="D637" s="523"/>
      <c r="E637" s="523"/>
      <c r="F637" s="523"/>
      <c r="G637" s="523"/>
      <c r="H637" s="523"/>
      <c r="I637" s="523"/>
      <c r="J637" s="523"/>
      <c r="K637" s="523"/>
      <c r="L637" s="523"/>
      <c r="M637" s="523"/>
      <c r="N637" s="523"/>
      <c r="O637" s="523"/>
      <c r="P637" s="523"/>
      <c r="Q637" s="523"/>
      <c r="R637" s="523"/>
      <c r="S637" s="523"/>
      <c r="T637" s="523"/>
      <c r="U637" s="523"/>
      <c r="V637" s="224"/>
      <c r="W637" s="224"/>
      <c r="X637" s="224"/>
      <c r="Y637" s="224"/>
      <c r="Z637" s="868"/>
      <c r="AA637" s="865"/>
      <c r="AB637" s="2"/>
      <c r="AC637" s="2"/>
      <c r="AD637" s="2"/>
      <c r="AE637" s="2"/>
      <c r="AF637" s="2"/>
      <c r="AG637" s="2"/>
      <c r="AH637" s="2"/>
      <c r="AI637" s="2"/>
      <c r="AJ637" s="2"/>
      <c r="AK637" s="2"/>
      <c r="AL637" s="2"/>
      <c r="AM637" s="2"/>
      <c r="AN637" s="2"/>
      <c r="AO637" s="9"/>
      <c r="AP637" s="9"/>
      <c r="AQ637" s="9"/>
      <c r="AR637" s="9"/>
    </row>
    <row r="638">
      <c r="A638" s="523"/>
      <c r="B638" s="523"/>
      <c r="C638" s="523"/>
      <c r="D638" s="523"/>
      <c r="E638" s="523"/>
      <c r="F638" s="523"/>
      <c r="G638" s="523"/>
      <c r="H638" s="523"/>
      <c r="I638" s="523"/>
      <c r="J638" s="523"/>
      <c r="K638" s="523"/>
      <c r="L638" s="523"/>
      <c r="M638" s="523"/>
      <c r="N638" s="523"/>
      <c r="O638" s="523"/>
      <c r="P638" s="523"/>
      <c r="Q638" s="523"/>
      <c r="R638" s="523"/>
      <c r="S638" s="523"/>
      <c r="T638" s="523"/>
      <c r="U638" s="523"/>
      <c r="V638" s="224"/>
      <c r="W638" s="224"/>
      <c r="X638" s="224"/>
      <c r="Y638" s="224"/>
      <c r="Z638" s="868"/>
      <c r="AA638" s="865"/>
      <c r="AB638" s="2"/>
      <c r="AC638" s="2"/>
      <c r="AD638" s="2"/>
      <c r="AE638" s="2"/>
      <c r="AF638" s="2"/>
      <c r="AG638" s="2"/>
      <c r="AH638" s="2"/>
      <c r="AI638" s="2"/>
      <c r="AJ638" s="2"/>
      <c r="AK638" s="2"/>
      <c r="AL638" s="2"/>
      <c r="AM638" s="2"/>
      <c r="AN638" s="2"/>
      <c r="AO638" s="9"/>
      <c r="AP638" s="9"/>
      <c r="AQ638" s="9"/>
      <c r="AR638" s="9"/>
    </row>
    <row r="639">
      <c r="A639" s="523"/>
      <c r="B639" s="523"/>
      <c r="C639" s="523"/>
      <c r="D639" s="523"/>
      <c r="E639" s="523"/>
      <c r="F639" s="523"/>
      <c r="G639" s="523"/>
      <c r="H639" s="523"/>
      <c r="I639" s="523"/>
      <c r="J639" s="523"/>
      <c r="K639" s="523"/>
      <c r="L639" s="523"/>
      <c r="M639" s="523"/>
      <c r="N639" s="523"/>
      <c r="O639" s="523"/>
      <c r="P639" s="523"/>
      <c r="Q639" s="523"/>
      <c r="R639" s="523"/>
      <c r="S639" s="523"/>
      <c r="T639" s="523"/>
      <c r="U639" s="523"/>
      <c r="V639" s="224"/>
      <c r="W639" s="224"/>
      <c r="X639" s="224"/>
      <c r="Y639" s="224"/>
      <c r="Z639" s="868"/>
      <c r="AA639" s="865"/>
      <c r="AB639" s="2"/>
      <c r="AC639" s="2"/>
      <c r="AD639" s="2"/>
      <c r="AE639" s="2"/>
      <c r="AF639" s="2"/>
      <c r="AG639" s="2"/>
      <c r="AH639" s="2"/>
      <c r="AI639" s="2"/>
      <c r="AJ639" s="2"/>
      <c r="AK639" s="2"/>
      <c r="AL639" s="2"/>
      <c r="AM639" s="2"/>
      <c r="AN639" s="2"/>
      <c r="AO639" s="9"/>
      <c r="AP639" s="9"/>
      <c r="AQ639" s="9"/>
      <c r="AR639" s="9"/>
    </row>
    <row r="640">
      <c r="A640" s="523"/>
      <c r="B640" s="523"/>
      <c r="C640" s="523"/>
      <c r="D640" s="523"/>
      <c r="E640" s="523"/>
      <c r="F640" s="523"/>
      <c r="G640" s="523"/>
      <c r="H640" s="523"/>
      <c r="I640" s="523"/>
      <c r="J640" s="523"/>
      <c r="K640" s="523"/>
      <c r="L640" s="523"/>
      <c r="M640" s="523"/>
      <c r="N640" s="523"/>
      <c r="O640" s="523"/>
      <c r="P640" s="523"/>
      <c r="Q640" s="523"/>
      <c r="R640" s="523"/>
      <c r="S640" s="523"/>
      <c r="T640" s="523"/>
      <c r="U640" s="523"/>
      <c r="V640" s="224"/>
      <c r="W640" s="224"/>
      <c r="X640" s="224"/>
      <c r="Y640" s="224"/>
      <c r="Z640" s="868"/>
      <c r="AA640" s="865"/>
      <c r="AB640" s="2"/>
      <c r="AC640" s="2"/>
      <c r="AD640" s="2"/>
      <c r="AE640" s="2"/>
      <c r="AF640" s="2"/>
      <c r="AG640" s="2"/>
      <c r="AH640" s="2"/>
      <c r="AI640" s="2"/>
      <c r="AJ640" s="2"/>
      <c r="AK640" s="2"/>
      <c r="AL640" s="2"/>
      <c r="AM640" s="2"/>
      <c r="AN640" s="2"/>
      <c r="AO640" s="9"/>
      <c r="AP640" s="9"/>
      <c r="AQ640" s="9"/>
      <c r="AR640" s="9"/>
    </row>
    <row r="641">
      <c r="A641" s="523"/>
      <c r="B641" s="523"/>
      <c r="C641" s="523"/>
      <c r="D641" s="523"/>
      <c r="E641" s="523"/>
      <c r="F641" s="523"/>
      <c r="G641" s="523"/>
      <c r="H641" s="523"/>
      <c r="I641" s="523"/>
      <c r="J641" s="523"/>
      <c r="K641" s="523"/>
      <c r="L641" s="523"/>
      <c r="M641" s="523"/>
      <c r="N641" s="523"/>
      <c r="O641" s="523"/>
      <c r="P641" s="523"/>
      <c r="Q641" s="523"/>
      <c r="R641" s="523"/>
      <c r="S641" s="523"/>
      <c r="T641" s="523"/>
      <c r="U641" s="523"/>
      <c r="V641" s="224"/>
      <c r="W641" s="224"/>
      <c r="X641" s="224"/>
      <c r="Y641" s="224"/>
      <c r="Z641" s="868"/>
      <c r="AA641" s="865"/>
      <c r="AB641" s="2"/>
      <c r="AC641" s="2"/>
      <c r="AD641" s="2"/>
      <c r="AE641" s="2"/>
      <c r="AF641" s="2"/>
      <c r="AG641" s="2"/>
      <c r="AH641" s="2"/>
      <c r="AI641" s="2"/>
      <c r="AJ641" s="2"/>
      <c r="AK641" s="2"/>
      <c r="AL641" s="2"/>
      <c r="AM641" s="2"/>
      <c r="AN641" s="2"/>
      <c r="AO641" s="9"/>
      <c r="AP641" s="9"/>
      <c r="AQ641" s="9"/>
      <c r="AR641" s="9"/>
    </row>
    <row r="642">
      <c r="A642" s="523"/>
      <c r="B642" s="523"/>
      <c r="C642" s="523"/>
      <c r="D642" s="523"/>
      <c r="E642" s="523"/>
      <c r="F642" s="523"/>
      <c r="G642" s="523"/>
      <c r="H642" s="523"/>
      <c r="I642" s="523"/>
      <c r="J642" s="523"/>
      <c r="K642" s="523"/>
      <c r="L642" s="523"/>
      <c r="M642" s="523"/>
      <c r="N642" s="523"/>
      <c r="O642" s="523"/>
      <c r="P642" s="523"/>
      <c r="Q642" s="523"/>
      <c r="R642" s="523"/>
      <c r="S642" s="523"/>
      <c r="T642" s="523"/>
      <c r="U642" s="523"/>
      <c r="V642" s="224"/>
      <c r="W642" s="224"/>
      <c r="X642" s="224"/>
      <c r="Y642" s="224"/>
      <c r="Z642" s="868"/>
      <c r="AA642" s="865"/>
      <c r="AB642" s="2"/>
      <c r="AC642" s="2"/>
      <c r="AD642" s="2"/>
      <c r="AE642" s="2"/>
      <c r="AF642" s="2"/>
      <c r="AG642" s="2"/>
      <c r="AH642" s="2"/>
      <c r="AI642" s="2"/>
      <c r="AJ642" s="2"/>
      <c r="AK642" s="2"/>
      <c r="AL642" s="2"/>
      <c r="AM642" s="2"/>
      <c r="AN642" s="2"/>
      <c r="AO642" s="9"/>
      <c r="AP642" s="9"/>
      <c r="AQ642" s="9"/>
      <c r="AR642" s="9"/>
    </row>
    <row r="643">
      <c r="A643" s="523"/>
      <c r="B643" s="523"/>
      <c r="C643" s="523"/>
      <c r="D643" s="523"/>
      <c r="E643" s="523"/>
      <c r="F643" s="523"/>
      <c r="G643" s="523"/>
      <c r="H643" s="523"/>
      <c r="I643" s="523"/>
      <c r="J643" s="523"/>
      <c r="K643" s="523"/>
      <c r="L643" s="523"/>
      <c r="M643" s="523"/>
      <c r="N643" s="523"/>
      <c r="O643" s="523"/>
      <c r="P643" s="523"/>
      <c r="Q643" s="523"/>
      <c r="R643" s="523"/>
      <c r="S643" s="523"/>
      <c r="T643" s="523"/>
      <c r="U643" s="523"/>
      <c r="V643" s="224"/>
      <c r="W643" s="224"/>
      <c r="X643" s="224"/>
      <c r="Y643" s="224"/>
      <c r="Z643" s="868"/>
      <c r="AA643" s="865"/>
      <c r="AB643" s="2"/>
      <c r="AC643" s="2"/>
      <c r="AD643" s="2"/>
      <c r="AE643" s="2"/>
      <c r="AF643" s="2"/>
      <c r="AG643" s="2"/>
      <c r="AH643" s="2"/>
      <c r="AI643" s="2"/>
      <c r="AJ643" s="2"/>
      <c r="AK643" s="2"/>
      <c r="AL643" s="2"/>
      <c r="AM643" s="2"/>
      <c r="AN643" s="2"/>
      <c r="AO643" s="9"/>
      <c r="AP643" s="9"/>
      <c r="AQ643" s="9"/>
      <c r="AR643" s="9"/>
    </row>
    <row r="644">
      <c r="A644" s="523"/>
      <c r="B644" s="523"/>
      <c r="C644" s="523"/>
      <c r="D644" s="523"/>
      <c r="E644" s="523"/>
      <c r="F644" s="523"/>
      <c r="G644" s="523"/>
      <c r="H644" s="523"/>
      <c r="I644" s="523"/>
      <c r="J644" s="523"/>
      <c r="K644" s="523"/>
      <c r="L644" s="523"/>
      <c r="M644" s="523"/>
      <c r="N644" s="523"/>
      <c r="O644" s="523"/>
      <c r="P644" s="523"/>
      <c r="Q644" s="523"/>
      <c r="R644" s="523"/>
      <c r="S644" s="523"/>
      <c r="T644" s="523"/>
      <c r="U644" s="523"/>
      <c r="V644" s="224"/>
      <c r="W644" s="224"/>
      <c r="X644" s="224"/>
      <c r="Y644" s="224"/>
      <c r="Z644" s="868"/>
      <c r="AA644" s="865"/>
      <c r="AB644" s="2"/>
      <c r="AC644" s="2"/>
      <c r="AD644" s="2"/>
      <c r="AE644" s="2"/>
      <c r="AF644" s="2"/>
      <c r="AG644" s="2"/>
      <c r="AH644" s="2"/>
      <c r="AI644" s="2"/>
      <c r="AJ644" s="2"/>
      <c r="AK644" s="2"/>
      <c r="AL644" s="2"/>
      <c r="AM644" s="2"/>
      <c r="AN644" s="2"/>
      <c r="AO644" s="9"/>
      <c r="AP644" s="9"/>
      <c r="AQ644" s="9"/>
      <c r="AR644" s="9"/>
    </row>
    <row r="645">
      <c r="A645" s="523"/>
      <c r="B645" s="523"/>
      <c r="C645" s="523"/>
      <c r="D645" s="523"/>
      <c r="E645" s="523"/>
      <c r="F645" s="523"/>
      <c r="G645" s="523"/>
      <c r="H645" s="523"/>
      <c r="I645" s="523"/>
      <c r="J645" s="523"/>
      <c r="K645" s="523"/>
      <c r="L645" s="523"/>
      <c r="M645" s="523"/>
      <c r="N645" s="523"/>
      <c r="O645" s="523"/>
      <c r="P645" s="523"/>
      <c r="Q645" s="523"/>
      <c r="R645" s="523"/>
      <c r="S645" s="523"/>
      <c r="T645" s="523"/>
      <c r="U645" s="523"/>
      <c r="V645" s="224"/>
      <c r="W645" s="224"/>
      <c r="X645" s="224"/>
      <c r="Y645" s="224"/>
      <c r="Z645" s="868"/>
      <c r="AA645" s="865"/>
      <c r="AB645" s="2"/>
      <c r="AC645" s="2"/>
      <c r="AD645" s="2"/>
      <c r="AE645" s="2"/>
      <c r="AF645" s="2"/>
      <c r="AG645" s="2"/>
      <c r="AH645" s="2"/>
      <c r="AI645" s="2"/>
      <c r="AJ645" s="2"/>
      <c r="AK645" s="2"/>
      <c r="AL645" s="2"/>
      <c r="AM645" s="2"/>
      <c r="AN645" s="2"/>
      <c r="AO645" s="9"/>
      <c r="AP645" s="9"/>
      <c r="AQ645" s="9"/>
      <c r="AR645" s="9"/>
    </row>
    <row r="646">
      <c r="A646" s="523"/>
      <c r="B646" s="523"/>
      <c r="C646" s="523"/>
      <c r="D646" s="523"/>
      <c r="E646" s="523"/>
      <c r="F646" s="523"/>
      <c r="G646" s="523"/>
      <c r="H646" s="523"/>
      <c r="I646" s="523"/>
      <c r="J646" s="523"/>
      <c r="K646" s="523"/>
      <c r="L646" s="523"/>
      <c r="M646" s="523"/>
      <c r="N646" s="523"/>
      <c r="O646" s="523"/>
      <c r="P646" s="523"/>
      <c r="Q646" s="523"/>
      <c r="R646" s="523"/>
      <c r="S646" s="523"/>
      <c r="T646" s="523"/>
      <c r="U646" s="523"/>
      <c r="V646" s="224"/>
      <c r="W646" s="224"/>
      <c r="X646" s="224"/>
      <c r="Y646" s="224"/>
      <c r="Z646" s="868"/>
      <c r="AA646" s="865"/>
      <c r="AB646" s="2"/>
      <c r="AC646" s="2"/>
      <c r="AD646" s="2"/>
      <c r="AE646" s="2"/>
      <c r="AF646" s="2"/>
      <c r="AG646" s="2"/>
      <c r="AH646" s="2"/>
      <c r="AI646" s="2"/>
      <c r="AJ646" s="2"/>
      <c r="AK646" s="2"/>
      <c r="AL646" s="2"/>
      <c r="AM646" s="2"/>
      <c r="AN646" s="2"/>
      <c r="AO646" s="9"/>
      <c r="AP646" s="9"/>
      <c r="AQ646" s="9"/>
      <c r="AR646" s="9"/>
    </row>
    <row r="647">
      <c r="A647" s="523"/>
      <c r="B647" s="523"/>
      <c r="C647" s="523"/>
      <c r="D647" s="523"/>
      <c r="E647" s="523"/>
      <c r="F647" s="523"/>
      <c r="G647" s="523"/>
      <c r="H647" s="523"/>
      <c r="I647" s="523"/>
      <c r="J647" s="523"/>
      <c r="K647" s="523"/>
      <c r="L647" s="523"/>
      <c r="M647" s="523"/>
      <c r="N647" s="523"/>
      <c r="O647" s="523"/>
      <c r="P647" s="523"/>
      <c r="Q647" s="523"/>
      <c r="R647" s="523"/>
      <c r="S647" s="523"/>
      <c r="T647" s="523"/>
      <c r="U647" s="523"/>
      <c r="V647" s="224"/>
      <c r="W647" s="224"/>
      <c r="X647" s="224"/>
      <c r="Y647" s="224"/>
      <c r="Z647" s="868"/>
      <c r="AA647" s="865"/>
      <c r="AB647" s="2"/>
      <c r="AC647" s="2"/>
      <c r="AD647" s="2"/>
      <c r="AE647" s="2"/>
      <c r="AF647" s="2"/>
      <c r="AG647" s="2"/>
      <c r="AH647" s="2"/>
      <c r="AI647" s="2"/>
      <c r="AJ647" s="2"/>
      <c r="AK647" s="2"/>
      <c r="AL647" s="2"/>
      <c r="AM647" s="2"/>
      <c r="AN647" s="2"/>
      <c r="AO647" s="9"/>
      <c r="AP647" s="9"/>
      <c r="AQ647" s="9"/>
      <c r="AR647" s="9"/>
    </row>
    <row r="648">
      <c r="A648" s="523"/>
      <c r="B648" s="523"/>
      <c r="C648" s="523"/>
      <c r="D648" s="523"/>
      <c r="E648" s="523"/>
      <c r="F648" s="523"/>
      <c r="G648" s="523"/>
      <c r="H648" s="523"/>
      <c r="I648" s="523"/>
      <c r="J648" s="523"/>
      <c r="K648" s="523"/>
      <c r="L648" s="523"/>
      <c r="M648" s="523"/>
      <c r="N648" s="523"/>
      <c r="O648" s="523"/>
      <c r="P648" s="523"/>
      <c r="Q648" s="523"/>
      <c r="R648" s="523"/>
      <c r="S648" s="523"/>
      <c r="T648" s="523"/>
      <c r="U648" s="523"/>
      <c r="V648" s="224"/>
      <c r="W648" s="224"/>
      <c r="X648" s="224"/>
      <c r="Y648" s="224"/>
      <c r="Z648" s="868"/>
      <c r="AA648" s="865"/>
      <c r="AB648" s="2"/>
      <c r="AC648" s="2"/>
      <c r="AD648" s="2"/>
      <c r="AE648" s="2"/>
      <c r="AF648" s="2"/>
      <c r="AG648" s="2"/>
      <c r="AH648" s="2"/>
      <c r="AI648" s="2"/>
      <c r="AJ648" s="2"/>
      <c r="AK648" s="2"/>
      <c r="AL648" s="2"/>
      <c r="AM648" s="2"/>
      <c r="AN648" s="2"/>
      <c r="AO648" s="9"/>
      <c r="AP648" s="9"/>
      <c r="AQ648" s="9"/>
      <c r="AR648" s="9"/>
    </row>
    <row r="649">
      <c r="A649" s="523"/>
      <c r="B649" s="523"/>
      <c r="C649" s="523"/>
      <c r="D649" s="523"/>
      <c r="E649" s="523"/>
      <c r="F649" s="523"/>
      <c r="G649" s="523"/>
      <c r="H649" s="523"/>
      <c r="I649" s="523"/>
      <c r="J649" s="523"/>
      <c r="K649" s="523"/>
      <c r="L649" s="523"/>
      <c r="M649" s="523"/>
      <c r="N649" s="523"/>
      <c r="O649" s="523"/>
      <c r="P649" s="523"/>
      <c r="Q649" s="523"/>
      <c r="R649" s="523"/>
      <c r="S649" s="523"/>
      <c r="T649" s="523"/>
      <c r="U649" s="523"/>
      <c r="V649" s="224"/>
      <c r="W649" s="224"/>
      <c r="X649" s="224"/>
      <c r="Y649" s="224"/>
      <c r="Z649" s="868"/>
      <c r="AA649" s="865"/>
      <c r="AB649" s="2"/>
      <c r="AC649" s="2"/>
      <c r="AD649" s="2"/>
      <c r="AE649" s="2"/>
      <c r="AF649" s="2"/>
      <c r="AG649" s="2"/>
      <c r="AH649" s="2"/>
      <c r="AI649" s="2"/>
      <c r="AJ649" s="2"/>
      <c r="AK649" s="2"/>
      <c r="AL649" s="2"/>
      <c r="AM649" s="2"/>
      <c r="AN649" s="2"/>
      <c r="AO649" s="9"/>
      <c r="AP649" s="9"/>
      <c r="AQ649" s="9"/>
      <c r="AR649" s="9"/>
    </row>
    <row r="650">
      <c r="A650" s="523"/>
      <c r="B650" s="523"/>
      <c r="C650" s="523"/>
      <c r="D650" s="523"/>
      <c r="E650" s="523"/>
      <c r="F650" s="523"/>
      <c r="G650" s="523"/>
      <c r="H650" s="523"/>
      <c r="I650" s="523"/>
      <c r="J650" s="523"/>
      <c r="K650" s="523"/>
      <c r="L650" s="523"/>
      <c r="M650" s="523"/>
      <c r="N650" s="523"/>
      <c r="O650" s="523"/>
      <c r="P650" s="523"/>
      <c r="Q650" s="523"/>
      <c r="R650" s="523"/>
      <c r="S650" s="523"/>
      <c r="T650" s="523"/>
      <c r="U650" s="523"/>
      <c r="V650" s="224"/>
      <c r="W650" s="224"/>
      <c r="X650" s="224"/>
      <c r="Y650" s="224"/>
      <c r="Z650" s="868"/>
      <c r="AA650" s="865"/>
      <c r="AB650" s="2"/>
      <c r="AC650" s="2"/>
      <c r="AD650" s="2"/>
      <c r="AE650" s="2"/>
      <c r="AF650" s="2"/>
      <c r="AG650" s="2"/>
      <c r="AH650" s="2"/>
      <c r="AI650" s="2"/>
      <c r="AJ650" s="2"/>
      <c r="AK650" s="2"/>
      <c r="AL650" s="2"/>
      <c r="AM650" s="2"/>
      <c r="AN650" s="2"/>
      <c r="AO650" s="9"/>
      <c r="AP650" s="9"/>
      <c r="AQ650" s="9"/>
      <c r="AR650" s="9"/>
    </row>
    <row r="651">
      <c r="A651" s="523"/>
      <c r="B651" s="523"/>
      <c r="C651" s="523"/>
      <c r="D651" s="523"/>
      <c r="E651" s="523"/>
      <c r="F651" s="523"/>
      <c r="G651" s="523"/>
      <c r="H651" s="523"/>
      <c r="I651" s="523"/>
      <c r="J651" s="523"/>
      <c r="K651" s="523"/>
      <c r="L651" s="523"/>
      <c r="M651" s="523"/>
      <c r="N651" s="523"/>
      <c r="O651" s="523"/>
      <c r="P651" s="523"/>
      <c r="Q651" s="523"/>
      <c r="R651" s="523"/>
      <c r="S651" s="523"/>
      <c r="T651" s="523"/>
      <c r="U651" s="523"/>
      <c r="V651" s="224"/>
      <c r="W651" s="224"/>
      <c r="X651" s="224"/>
      <c r="Y651" s="224"/>
      <c r="Z651" s="868"/>
      <c r="AA651" s="865"/>
      <c r="AB651" s="2"/>
      <c r="AC651" s="2"/>
      <c r="AD651" s="2"/>
      <c r="AE651" s="2"/>
      <c r="AF651" s="2"/>
      <c r="AG651" s="2"/>
      <c r="AH651" s="2"/>
      <c r="AI651" s="2"/>
      <c r="AJ651" s="2"/>
      <c r="AK651" s="2"/>
      <c r="AL651" s="2"/>
      <c r="AM651" s="2"/>
      <c r="AN651" s="2"/>
      <c r="AO651" s="9"/>
      <c r="AP651" s="9"/>
      <c r="AQ651" s="9"/>
      <c r="AR651" s="9"/>
    </row>
    <row r="652">
      <c r="A652" s="523"/>
      <c r="B652" s="523"/>
      <c r="C652" s="523"/>
      <c r="D652" s="523"/>
      <c r="E652" s="523"/>
      <c r="F652" s="523"/>
      <c r="G652" s="523"/>
      <c r="H652" s="523"/>
      <c r="I652" s="523"/>
      <c r="J652" s="523"/>
      <c r="K652" s="523"/>
      <c r="L652" s="523"/>
      <c r="M652" s="523"/>
      <c r="N652" s="523"/>
      <c r="O652" s="523"/>
      <c r="P652" s="523"/>
      <c r="Q652" s="523"/>
      <c r="R652" s="523"/>
      <c r="S652" s="523"/>
      <c r="T652" s="523"/>
      <c r="U652" s="523"/>
      <c r="V652" s="224"/>
      <c r="W652" s="224"/>
      <c r="X652" s="224"/>
      <c r="Y652" s="224"/>
      <c r="Z652" s="868"/>
      <c r="AA652" s="865"/>
      <c r="AB652" s="2"/>
      <c r="AC652" s="2"/>
      <c r="AD652" s="2"/>
      <c r="AE652" s="2"/>
      <c r="AF652" s="2"/>
      <c r="AG652" s="2"/>
      <c r="AH652" s="2"/>
      <c r="AI652" s="2"/>
      <c r="AJ652" s="2"/>
      <c r="AK652" s="2"/>
      <c r="AL652" s="2"/>
      <c r="AM652" s="2"/>
      <c r="AN652" s="2"/>
      <c r="AO652" s="9"/>
      <c r="AP652" s="9"/>
      <c r="AQ652" s="9"/>
      <c r="AR652" s="9"/>
    </row>
    <row r="653">
      <c r="A653" s="523"/>
      <c r="B653" s="523"/>
      <c r="C653" s="523"/>
      <c r="D653" s="523"/>
      <c r="E653" s="523"/>
      <c r="F653" s="523"/>
      <c r="G653" s="523"/>
      <c r="H653" s="523"/>
      <c r="I653" s="523"/>
      <c r="J653" s="523"/>
      <c r="K653" s="523"/>
      <c r="L653" s="523"/>
      <c r="M653" s="523"/>
      <c r="N653" s="523"/>
      <c r="O653" s="523"/>
      <c r="P653" s="523"/>
      <c r="Q653" s="523"/>
      <c r="R653" s="523"/>
      <c r="S653" s="523"/>
      <c r="T653" s="523"/>
      <c r="U653" s="523"/>
      <c r="V653" s="224"/>
      <c r="W653" s="224"/>
      <c r="X653" s="224"/>
      <c r="Y653" s="224"/>
      <c r="Z653" s="868"/>
      <c r="AA653" s="865"/>
      <c r="AB653" s="2"/>
      <c r="AC653" s="2"/>
      <c r="AD653" s="2"/>
      <c r="AE653" s="2"/>
      <c r="AF653" s="2"/>
      <c r="AG653" s="2"/>
      <c r="AH653" s="2"/>
      <c r="AI653" s="2"/>
      <c r="AJ653" s="2"/>
      <c r="AK653" s="2"/>
      <c r="AL653" s="2"/>
      <c r="AM653" s="2"/>
      <c r="AN653" s="2"/>
      <c r="AO653" s="9"/>
      <c r="AP653" s="9"/>
      <c r="AQ653" s="9"/>
      <c r="AR653" s="9"/>
    </row>
    <row r="654">
      <c r="A654" s="523"/>
      <c r="B654" s="523"/>
      <c r="C654" s="523"/>
      <c r="D654" s="523"/>
      <c r="E654" s="523"/>
      <c r="F654" s="523"/>
      <c r="G654" s="523"/>
      <c r="H654" s="523"/>
      <c r="I654" s="523"/>
      <c r="J654" s="523"/>
      <c r="K654" s="523"/>
      <c r="L654" s="523"/>
      <c r="M654" s="523"/>
      <c r="N654" s="523"/>
      <c r="O654" s="523"/>
      <c r="P654" s="523"/>
      <c r="Q654" s="523"/>
      <c r="R654" s="523"/>
      <c r="S654" s="523"/>
      <c r="T654" s="523"/>
      <c r="U654" s="523"/>
      <c r="V654" s="224"/>
      <c r="W654" s="224"/>
      <c r="X654" s="224"/>
      <c r="Y654" s="224"/>
      <c r="Z654" s="868"/>
      <c r="AA654" s="865"/>
      <c r="AB654" s="2"/>
      <c r="AC654" s="2"/>
      <c r="AD654" s="2"/>
      <c r="AE654" s="2"/>
      <c r="AF654" s="2"/>
      <c r="AG654" s="2"/>
      <c r="AH654" s="2"/>
      <c r="AI654" s="2"/>
      <c r="AJ654" s="2"/>
      <c r="AK654" s="2"/>
      <c r="AL654" s="2"/>
      <c r="AM654" s="2"/>
      <c r="AN654" s="2"/>
      <c r="AO654" s="9"/>
      <c r="AP654" s="9"/>
      <c r="AQ654" s="9"/>
      <c r="AR654" s="9"/>
    </row>
    <row r="655">
      <c r="A655" s="523"/>
      <c r="B655" s="523"/>
      <c r="C655" s="523"/>
      <c r="D655" s="523"/>
      <c r="E655" s="523"/>
      <c r="F655" s="523"/>
      <c r="G655" s="523"/>
      <c r="H655" s="523"/>
      <c r="I655" s="523"/>
      <c r="J655" s="523"/>
      <c r="K655" s="523"/>
      <c r="L655" s="523"/>
      <c r="M655" s="523"/>
      <c r="N655" s="523"/>
      <c r="O655" s="523"/>
      <c r="P655" s="523"/>
      <c r="Q655" s="523"/>
      <c r="R655" s="523"/>
      <c r="S655" s="523"/>
      <c r="T655" s="523"/>
      <c r="U655" s="523"/>
      <c r="V655" s="224"/>
      <c r="W655" s="224"/>
      <c r="X655" s="224"/>
      <c r="Y655" s="224"/>
      <c r="Z655" s="868"/>
      <c r="AA655" s="865"/>
      <c r="AB655" s="2"/>
      <c r="AC655" s="2"/>
      <c r="AD655" s="2"/>
      <c r="AE655" s="2"/>
      <c r="AF655" s="2"/>
      <c r="AG655" s="2"/>
      <c r="AH655" s="2"/>
      <c r="AI655" s="2"/>
      <c r="AJ655" s="2"/>
      <c r="AK655" s="2"/>
      <c r="AL655" s="2"/>
      <c r="AM655" s="2"/>
      <c r="AN655" s="2"/>
      <c r="AO655" s="9"/>
      <c r="AP655" s="9"/>
      <c r="AQ655" s="9"/>
      <c r="AR655" s="9"/>
    </row>
    <row r="656">
      <c r="A656" s="523"/>
      <c r="B656" s="523"/>
      <c r="C656" s="523"/>
      <c r="D656" s="523"/>
      <c r="E656" s="523"/>
      <c r="F656" s="523"/>
      <c r="G656" s="523"/>
      <c r="H656" s="523"/>
      <c r="I656" s="523"/>
      <c r="J656" s="523"/>
      <c r="K656" s="523"/>
      <c r="L656" s="523"/>
      <c r="M656" s="523"/>
      <c r="N656" s="523"/>
      <c r="O656" s="523"/>
      <c r="P656" s="523"/>
      <c r="Q656" s="523"/>
      <c r="R656" s="523"/>
      <c r="S656" s="523"/>
      <c r="T656" s="523"/>
      <c r="U656" s="523"/>
      <c r="V656" s="224"/>
      <c r="W656" s="224"/>
      <c r="X656" s="224"/>
      <c r="Y656" s="224"/>
      <c r="Z656" s="868"/>
      <c r="AA656" s="865"/>
      <c r="AB656" s="2"/>
      <c r="AC656" s="2"/>
      <c r="AD656" s="2"/>
      <c r="AE656" s="2"/>
      <c r="AF656" s="2"/>
      <c r="AG656" s="2"/>
      <c r="AH656" s="2"/>
      <c r="AI656" s="2"/>
      <c r="AJ656" s="2"/>
      <c r="AK656" s="2"/>
      <c r="AL656" s="2"/>
      <c r="AM656" s="2"/>
      <c r="AN656" s="2"/>
      <c r="AO656" s="9"/>
      <c r="AP656" s="9"/>
      <c r="AQ656" s="9"/>
      <c r="AR656" s="9"/>
    </row>
    <row r="657">
      <c r="A657" s="523"/>
      <c r="B657" s="523"/>
      <c r="C657" s="523"/>
      <c r="D657" s="523"/>
      <c r="E657" s="523"/>
      <c r="F657" s="523"/>
      <c r="G657" s="523"/>
      <c r="H657" s="523"/>
      <c r="I657" s="523"/>
      <c r="J657" s="523"/>
      <c r="K657" s="523"/>
      <c r="L657" s="523"/>
      <c r="M657" s="523"/>
      <c r="N657" s="523"/>
      <c r="O657" s="523"/>
      <c r="P657" s="523"/>
      <c r="Q657" s="523"/>
      <c r="R657" s="523"/>
      <c r="S657" s="523"/>
      <c r="T657" s="523"/>
      <c r="U657" s="523"/>
      <c r="V657" s="224"/>
      <c r="W657" s="224"/>
      <c r="X657" s="224"/>
      <c r="Y657" s="224"/>
      <c r="Z657" s="868"/>
      <c r="AA657" s="865"/>
      <c r="AB657" s="2"/>
      <c r="AC657" s="2"/>
      <c r="AD657" s="2"/>
      <c r="AE657" s="2"/>
      <c r="AF657" s="2"/>
      <c r="AG657" s="2"/>
      <c r="AH657" s="2"/>
      <c r="AI657" s="2"/>
      <c r="AJ657" s="2"/>
      <c r="AK657" s="2"/>
      <c r="AL657" s="2"/>
      <c r="AM657" s="2"/>
      <c r="AN657" s="2"/>
      <c r="AO657" s="9"/>
      <c r="AP657" s="9"/>
      <c r="AQ657" s="9"/>
      <c r="AR657" s="9"/>
    </row>
    <row r="658">
      <c r="A658" s="523"/>
      <c r="B658" s="523"/>
      <c r="C658" s="523"/>
      <c r="D658" s="523"/>
      <c r="E658" s="523"/>
      <c r="F658" s="523"/>
      <c r="G658" s="523"/>
      <c r="H658" s="523"/>
      <c r="I658" s="523"/>
      <c r="J658" s="523"/>
      <c r="K658" s="523"/>
      <c r="L658" s="523"/>
      <c r="M658" s="523"/>
      <c r="N658" s="523"/>
      <c r="O658" s="523"/>
      <c r="P658" s="523"/>
      <c r="Q658" s="523"/>
      <c r="R658" s="523"/>
      <c r="S658" s="523"/>
      <c r="T658" s="523"/>
      <c r="U658" s="523"/>
      <c r="V658" s="224"/>
      <c r="W658" s="224"/>
      <c r="X658" s="224"/>
      <c r="Y658" s="224"/>
      <c r="Z658" s="868"/>
      <c r="AA658" s="865"/>
      <c r="AB658" s="2"/>
      <c r="AC658" s="2"/>
      <c r="AD658" s="2"/>
      <c r="AE658" s="2"/>
      <c r="AF658" s="2"/>
      <c r="AG658" s="2"/>
      <c r="AH658" s="2"/>
      <c r="AI658" s="2"/>
      <c r="AJ658" s="2"/>
      <c r="AK658" s="2"/>
      <c r="AL658" s="2"/>
      <c r="AM658" s="2"/>
      <c r="AN658" s="2"/>
      <c r="AO658" s="9"/>
      <c r="AP658" s="9"/>
      <c r="AQ658" s="9"/>
      <c r="AR658" s="9"/>
    </row>
    <row r="659">
      <c r="A659" s="523"/>
      <c r="B659" s="523"/>
      <c r="C659" s="523"/>
      <c r="D659" s="523"/>
      <c r="E659" s="523"/>
      <c r="F659" s="523"/>
      <c r="G659" s="523"/>
      <c r="H659" s="523"/>
      <c r="I659" s="523"/>
      <c r="J659" s="523"/>
      <c r="K659" s="523"/>
      <c r="L659" s="523"/>
      <c r="M659" s="523"/>
      <c r="N659" s="523"/>
      <c r="O659" s="523"/>
      <c r="P659" s="523"/>
      <c r="Q659" s="523"/>
      <c r="R659" s="523"/>
      <c r="S659" s="523"/>
      <c r="T659" s="523"/>
      <c r="U659" s="523"/>
      <c r="V659" s="224"/>
      <c r="W659" s="224"/>
      <c r="X659" s="224"/>
      <c r="Y659" s="224"/>
      <c r="Z659" s="868"/>
      <c r="AA659" s="865"/>
      <c r="AB659" s="2"/>
      <c r="AC659" s="2"/>
      <c r="AD659" s="2"/>
      <c r="AE659" s="2"/>
      <c r="AF659" s="2"/>
      <c r="AG659" s="2"/>
      <c r="AH659" s="2"/>
      <c r="AI659" s="2"/>
      <c r="AJ659" s="2"/>
      <c r="AK659" s="2"/>
      <c r="AL659" s="2"/>
      <c r="AM659" s="2"/>
      <c r="AN659" s="2"/>
      <c r="AO659" s="9"/>
      <c r="AP659" s="9"/>
      <c r="AQ659" s="9"/>
      <c r="AR659" s="9"/>
    </row>
    <row r="660">
      <c r="A660" s="523"/>
      <c r="B660" s="523"/>
      <c r="C660" s="523"/>
      <c r="D660" s="523"/>
      <c r="E660" s="523"/>
      <c r="F660" s="523"/>
      <c r="G660" s="523"/>
      <c r="H660" s="523"/>
      <c r="I660" s="523"/>
      <c r="J660" s="523"/>
      <c r="K660" s="523"/>
      <c r="L660" s="523"/>
      <c r="M660" s="523"/>
      <c r="N660" s="523"/>
      <c r="O660" s="523"/>
      <c r="P660" s="523"/>
      <c r="Q660" s="523"/>
      <c r="R660" s="523"/>
      <c r="S660" s="523"/>
      <c r="T660" s="523"/>
      <c r="U660" s="523"/>
      <c r="V660" s="224"/>
      <c r="W660" s="224"/>
      <c r="X660" s="224"/>
      <c r="Y660" s="224"/>
      <c r="Z660" s="868"/>
      <c r="AA660" s="865"/>
      <c r="AB660" s="2"/>
      <c r="AC660" s="2"/>
      <c r="AD660" s="2"/>
      <c r="AE660" s="2"/>
      <c r="AF660" s="2"/>
      <c r="AG660" s="2"/>
      <c r="AH660" s="2"/>
      <c r="AI660" s="2"/>
      <c r="AJ660" s="2"/>
      <c r="AK660" s="2"/>
      <c r="AL660" s="2"/>
      <c r="AM660" s="2"/>
      <c r="AN660" s="2"/>
      <c r="AO660" s="9"/>
      <c r="AP660" s="9"/>
      <c r="AQ660" s="9"/>
      <c r="AR660" s="9"/>
    </row>
    <row r="661">
      <c r="A661" s="523"/>
      <c r="B661" s="523"/>
      <c r="C661" s="523"/>
      <c r="D661" s="523"/>
      <c r="E661" s="523"/>
      <c r="F661" s="523"/>
      <c r="G661" s="523"/>
      <c r="H661" s="523"/>
      <c r="I661" s="523"/>
      <c r="J661" s="523"/>
      <c r="K661" s="523"/>
      <c r="L661" s="523"/>
      <c r="M661" s="523"/>
      <c r="N661" s="523"/>
      <c r="O661" s="523"/>
      <c r="P661" s="523"/>
      <c r="Q661" s="523"/>
      <c r="R661" s="523"/>
      <c r="S661" s="523"/>
      <c r="T661" s="523"/>
      <c r="U661" s="523"/>
      <c r="V661" s="224"/>
      <c r="W661" s="224"/>
      <c r="X661" s="224"/>
      <c r="Y661" s="224"/>
      <c r="Z661" s="868"/>
      <c r="AA661" s="865"/>
      <c r="AB661" s="2"/>
      <c r="AC661" s="2"/>
      <c r="AD661" s="2"/>
      <c r="AE661" s="2"/>
      <c r="AF661" s="2"/>
      <c r="AG661" s="2"/>
      <c r="AH661" s="2"/>
      <c r="AI661" s="2"/>
      <c r="AJ661" s="2"/>
      <c r="AK661" s="2"/>
      <c r="AL661" s="2"/>
      <c r="AM661" s="2"/>
      <c r="AN661" s="2"/>
      <c r="AO661" s="9"/>
      <c r="AP661" s="9"/>
      <c r="AQ661" s="9"/>
      <c r="AR661" s="9"/>
    </row>
    <row r="662">
      <c r="A662" s="523"/>
      <c r="B662" s="523"/>
      <c r="C662" s="523"/>
      <c r="D662" s="523"/>
      <c r="E662" s="523"/>
      <c r="F662" s="523"/>
      <c r="G662" s="523"/>
      <c r="H662" s="523"/>
      <c r="I662" s="523"/>
      <c r="J662" s="523"/>
      <c r="K662" s="523"/>
      <c r="L662" s="523"/>
      <c r="M662" s="523"/>
      <c r="N662" s="523"/>
      <c r="O662" s="523"/>
      <c r="P662" s="523"/>
      <c r="Q662" s="523"/>
      <c r="R662" s="523"/>
      <c r="S662" s="523"/>
      <c r="T662" s="523"/>
      <c r="U662" s="523"/>
      <c r="V662" s="224"/>
      <c r="W662" s="224"/>
      <c r="X662" s="224"/>
      <c r="Y662" s="224"/>
      <c r="Z662" s="868"/>
      <c r="AA662" s="865"/>
      <c r="AB662" s="2"/>
      <c r="AC662" s="2"/>
      <c r="AD662" s="2"/>
      <c r="AE662" s="2"/>
      <c r="AF662" s="2"/>
      <c r="AG662" s="2"/>
      <c r="AH662" s="2"/>
      <c r="AI662" s="2"/>
      <c r="AJ662" s="2"/>
      <c r="AK662" s="2"/>
      <c r="AL662" s="2"/>
      <c r="AM662" s="2"/>
      <c r="AN662" s="2"/>
      <c r="AO662" s="9"/>
      <c r="AP662" s="9"/>
      <c r="AQ662" s="9"/>
      <c r="AR662" s="9"/>
    </row>
    <row r="663">
      <c r="A663" s="523"/>
      <c r="B663" s="523"/>
      <c r="C663" s="523"/>
      <c r="D663" s="523"/>
      <c r="E663" s="523"/>
      <c r="F663" s="523"/>
      <c r="G663" s="523"/>
      <c r="H663" s="523"/>
      <c r="I663" s="523"/>
      <c r="J663" s="523"/>
      <c r="K663" s="523"/>
      <c r="L663" s="523"/>
      <c r="M663" s="523"/>
      <c r="N663" s="523"/>
      <c r="O663" s="523"/>
      <c r="P663" s="523"/>
      <c r="Q663" s="523"/>
      <c r="R663" s="523"/>
      <c r="S663" s="523"/>
      <c r="T663" s="523"/>
      <c r="U663" s="523"/>
      <c r="V663" s="224"/>
      <c r="W663" s="224"/>
      <c r="X663" s="224"/>
      <c r="Y663" s="224"/>
      <c r="Z663" s="868"/>
      <c r="AA663" s="865"/>
      <c r="AB663" s="2"/>
      <c r="AC663" s="2"/>
      <c r="AD663" s="2"/>
      <c r="AE663" s="2"/>
      <c r="AF663" s="2"/>
      <c r="AG663" s="2"/>
      <c r="AH663" s="2"/>
      <c r="AI663" s="2"/>
      <c r="AJ663" s="2"/>
      <c r="AK663" s="2"/>
      <c r="AL663" s="2"/>
      <c r="AM663" s="2"/>
      <c r="AN663" s="2"/>
      <c r="AO663" s="9"/>
      <c r="AP663" s="9"/>
      <c r="AQ663" s="9"/>
      <c r="AR663" s="9"/>
    </row>
    <row r="664">
      <c r="A664" s="523"/>
      <c r="B664" s="523"/>
      <c r="C664" s="523"/>
      <c r="D664" s="523"/>
      <c r="E664" s="523"/>
      <c r="F664" s="523"/>
      <c r="G664" s="523"/>
      <c r="H664" s="523"/>
      <c r="I664" s="523"/>
      <c r="J664" s="523"/>
      <c r="K664" s="523"/>
      <c r="L664" s="523"/>
      <c r="M664" s="523"/>
      <c r="N664" s="523"/>
      <c r="O664" s="523"/>
      <c r="P664" s="523"/>
      <c r="Q664" s="523"/>
      <c r="R664" s="523"/>
      <c r="S664" s="523"/>
      <c r="T664" s="523"/>
      <c r="U664" s="523"/>
      <c r="V664" s="224"/>
      <c r="W664" s="224"/>
      <c r="X664" s="224"/>
      <c r="Y664" s="224"/>
      <c r="Z664" s="868"/>
      <c r="AA664" s="865"/>
      <c r="AB664" s="2"/>
      <c r="AC664" s="2"/>
      <c r="AD664" s="2"/>
      <c r="AE664" s="2"/>
      <c r="AF664" s="2"/>
      <c r="AG664" s="2"/>
      <c r="AH664" s="2"/>
      <c r="AI664" s="2"/>
      <c r="AJ664" s="2"/>
      <c r="AK664" s="2"/>
      <c r="AL664" s="2"/>
      <c r="AM664" s="2"/>
      <c r="AN664" s="2"/>
      <c r="AO664" s="9"/>
      <c r="AP664" s="9"/>
      <c r="AQ664" s="9"/>
      <c r="AR664" s="9"/>
    </row>
    <row r="665">
      <c r="A665" s="523"/>
      <c r="B665" s="523"/>
      <c r="C665" s="523"/>
      <c r="D665" s="523"/>
      <c r="E665" s="523"/>
      <c r="F665" s="523"/>
      <c r="G665" s="523"/>
      <c r="H665" s="523"/>
      <c r="I665" s="523"/>
      <c r="J665" s="523"/>
      <c r="K665" s="523"/>
      <c r="L665" s="523"/>
      <c r="M665" s="523"/>
      <c r="N665" s="523"/>
      <c r="O665" s="523"/>
      <c r="P665" s="523"/>
      <c r="Q665" s="523"/>
      <c r="R665" s="523"/>
      <c r="S665" s="523"/>
      <c r="T665" s="523"/>
      <c r="U665" s="523"/>
      <c r="V665" s="224"/>
      <c r="W665" s="224"/>
      <c r="X665" s="224"/>
      <c r="Y665" s="224"/>
      <c r="Z665" s="868"/>
      <c r="AA665" s="865"/>
      <c r="AB665" s="2"/>
      <c r="AC665" s="2"/>
      <c r="AD665" s="2"/>
      <c r="AE665" s="2"/>
      <c r="AF665" s="2"/>
      <c r="AG665" s="2"/>
      <c r="AH665" s="2"/>
      <c r="AI665" s="2"/>
      <c r="AJ665" s="2"/>
      <c r="AK665" s="2"/>
      <c r="AL665" s="2"/>
      <c r="AM665" s="2"/>
      <c r="AN665" s="2"/>
      <c r="AO665" s="9"/>
      <c r="AP665" s="9"/>
      <c r="AQ665" s="9"/>
      <c r="AR665" s="9"/>
    </row>
    <row r="666">
      <c r="A666" s="523"/>
      <c r="B666" s="523"/>
      <c r="C666" s="523"/>
      <c r="D666" s="523"/>
      <c r="E666" s="523"/>
      <c r="F666" s="523"/>
      <c r="G666" s="523"/>
      <c r="H666" s="523"/>
      <c r="I666" s="523"/>
      <c r="J666" s="523"/>
      <c r="K666" s="523"/>
      <c r="L666" s="523"/>
      <c r="M666" s="523"/>
      <c r="N666" s="523"/>
      <c r="O666" s="523"/>
      <c r="P666" s="523"/>
      <c r="Q666" s="523"/>
      <c r="R666" s="523"/>
      <c r="S666" s="523"/>
      <c r="T666" s="523"/>
      <c r="U666" s="523"/>
      <c r="V666" s="224"/>
      <c r="W666" s="224"/>
      <c r="X666" s="224"/>
      <c r="Y666" s="224"/>
      <c r="Z666" s="868"/>
      <c r="AA666" s="865"/>
      <c r="AB666" s="2"/>
      <c r="AC666" s="2"/>
      <c r="AD666" s="2"/>
      <c r="AE666" s="2"/>
      <c r="AF666" s="2"/>
      <c r="AG666" s="2"/>
      <c r="AH666" s="2"/>
      <c r="AI666" s="2"/>
      <c r="AJ666" s="2"/>
      <c r="AK666" s="2"/>
      <c r="AL666" s="2"/>
      <c r="AM666" s="2"/>
      <c r="AN666" s="2"/>
      <c r="AO666" s="9"/>
      <c r="AP666" s="9"/>
      <c r="AQ666" s="9"/>
      <c r="AR666" s="9"/>
    </row>
    <row r="667">
      <c r="A667" s="523"/>
      <c r="B667" s="523"/>
      <c r="C667" s="523"/>
      <c r="D667" s="523"/>
      <c r="E667" s="523"/>
      <c r="F667" s="523"/>
      <c r="G667" s="523"/>
      <c r="H667" s="523"/>
      <c r="I667" s="523"/>
      <c r="J667" s="523"/>
      <c r="K667" s="523"/>
      <c r="L667" s="523"/>
      <c r="M667" s="523"/>
      <c r="N667" s="523"/>
      <c r="O667" s="523"/>
      <c r="P667" s="523"/>
      <c r="Q667" s="523"/>
      <c r="R667" s="523"/>
      <c r="S667" s="523"/>
      <c r="T667" s="523"/>
      <c r="U667" s="523"/>
      <c r="V667" s="224"/>
      <c r="W667" s="224"/>
      <c r="X667" s="224"/>
      <c r="Y667" s="224"/>
      <c r="Z667" s="868"/>
      <c r="AA667" s="865"/>
      <c r="AB667" s="2"/>
      <c r="AC667" s="2"/>
      <c r="AD667" s="2"/>
      <c r="AE667" s="2"/>
      <c r="AF667" s="2"/>
      <c r="AG667" s="2"/>
      <c r="AH667" s="2"/>
      <c r="AI667" s="2"/>
      <c r="AJ667" s="2"/>
      <c r="AK667" s="2"/>
      <c r="AL667" s="2"/>
      <c r="AM667" s="2"/>
      <c r="AN667" s="2"/>
      <c r="AO667" s="9"/>
      <c r="AP667" s="9"/>
      <c r="AQ667" s="9"/>
      <c r="AR667" s="9"/>
    </row>
    <row r="668">
      <c r="A668" s="523"/>
      <c r="B668" s="523"/>
      <c r="C668" s="523"/>
      <c r="D668" s="523"/>
      <c r="E668" s="523"/>
      <c r="F668" s="523"/>
      <c r="G668" s="523"/>
      <c r="H668" s="523"/>
      <c r="I668" s="523"/>
      <c r="J668" s="523"/>
      <c r="K668" s="523"/>
      <c r="L668" s="523"/>
      <c r="M668" s="523"/>
      <c r="N668" s="523"/>
      <c r="O668" s="523"/>
      <c r="P668" s="523"/>
      <c r="Q668" s="523"/>
      <c r="R668" s="523"/>
      <c r="S668" s="523"/>
      <c r="T668" s="523"/>
      <c r="U668" s="523"/>
      <c r="V668" s="224"/>
      <c r="W668" s="224"/>
      <c r="X668" s="224"/>
      <c r="Y668" s="224"/>
      <c r="Z668" s="868"/>
      <c r="AA668" s="865"/>
      <c r="AB668" s="2"/>
      <c r="AC668" s="2"/>
      <c r="AD668" s="2"/>
      <c r="AE668" s="2"/>
      <c r="AF668" s="2"/>
      <c r="AG668" s="2"/>
      <c r="AH668" s="2"/>
      <c r="AI668" s="2"/>
      <c r="AJ668" s="2"/>
      <c r="AK668" s="2"/>
      <c r="AL668" s="2"/>
      <c r="AM668" s="2"/>
      <c r="AN668" s="2"/>
      <c r="AO668" s="9"/>
      <c r="AP668" s="9"/>
      <c r="AQ668" s="9"/>
      <c r="AR668" s="9"/>
    </row>
    <row r="669">
      <c r="A669" s="523"/>
      <c r="B669" s="523"/>
      <c r="C669" s="523"/>
      <c r="D669" s="523"/>
      <c r="E669" s="523"/>
      <c r="F669" s="523"/>
      <c r="G669" s="523"/>
      <c r="H669" s="523"/>
      <c r="I669" s="523"/>
      <c r="J669" s="523"/>
      <c r="K669" s="523"/>
      <c r="L669" s="523"/>
      <c r="M669" s="523"/>
      <c r="N669" s="523"/>
      <c r="O669" s="523"/>
      <c r="P669" s="523"/>
      <c r="Q669" s="523"/>
      <c r="R669" s="523"/>
      <c r="S669" s="523"/>
      <c r="T669" s="523"/>
      <c r="U669" s="523"/>
      <c r="V669" s="224"/>
      <c r="W669" s="224"/>
      <c r="X669" s="224"/>
      <c r="Y669" s="224"/>
      <c r="Z669" s="868"/>
      <c r="AA669" s="865"/>
      <c r="AB669" s="2"/>
      <c r="AC669" s="2"/>
      <c r="AD669" s="2"/>
      <c r="AE669" s="2"/>
      <c r="AF669" s="2"/>
      <c r="AG669" s="2"/>
      <c r="AH669" s="2"/>
      <c r="AI669" s="2"/>
      <c r="AJ669" s="2"/>
      <c r="AK669" s="2"/>
      <c r="AL669" s="2"/>
      <c r="AM669" s="2"/>
      <c r="AN669" s="2"/>
      <c r="AO669" s="9"/>
      <c r="AP669" s="9"/>
      <c r="AQ669" s="9"/>
      <c r="AR669" s="9"/>
    </row>
    <row r="670">
      <c r="A670" s="523"/>
      <c r="B670" s="523"/>
      <c r="C670" s="523"/>
      <c r="D670" s="523"/>
      <c r="E670" s="523"/>
      <c r="F670" s="523"/>
      <c r="G670" s="523"/>
      <c r="H670" s="523"/>
      <c r="I670" s="523"/>
      <c r="J670" s="523"/>
      <c r="K670" s="523"/>
      <c r="L670" s="523"/>
      <c r="M670" s="523"/>
      <c r="N670" s="523"/>
      <c r="O670" s="523"/>
      <c r="P670" s="523"/>
      <c r="Q670" s="523"/>
      <c r="R670" s="523"/>
      <c r="S670" s="523"/>
      <c r="T670" s="523"/>
      <c r="U670" s="523"/>
      <c r="V670" s="224"/>
      <c r="W670" s="224"/>
      <c r="X670" s="224"/>
      <c r="Y670" s="224"/>
      <c r="Z670" s="868"/>
      <c r="AA670" s="865"/>
      <c r="AB670" s="2"/>
      <c r="AC670" s="2"/>
      <c r="AD670" s="2"/>
      <c r="AE670" s="2"/>
      <c r="AF670" s="2"/>
      <c r="AG670" s="2"/>
      <c r="AH670" s="2"/>
      <c r="AI670" s="2"/>
      <c r="AJ670" s="2"/>
      <c r="AK670" s="2"/>
      <c r="AL670" s="2"/>
      <c r="AM670" s="2"/>
      <c r="AN670" s="2"/>
      <c r="AO670" s="9"/>
      <c r="AP670" s="9"/>
      <c r="AQ670" s="9"/>
      <c r="AR670" s="9"/>
    </row>
    <row r="671">
      <c r="A671" s="523"/>
      <c r="B671" s="523"/>
      <c r="C671" s="523"/>
      <c r="D671" s="523"/>
      <c r="E671" s="523"/>
      <c r="F671" s="523"/>
      <c r="G671" s="523"/>
      <c r="H671" s="523"/>
      <c r="I671" s="523"/>
      <c r="J671" s="523"/>
      <c r="K671" s="523"/>
      <c r="L671" s="523"/>
      <c r="M671" s="523"/>
      <c r="N671" s="523"/>
      <c r="O671" s="523"/>
      <c r="P671" s="523"/>
      <c r="Q671" s="523"/>
      <c r="R671" s="523"/>
      <c r="S671" s="523"/>
      <c r="T671" s="523"/>
      <c r="U671" s="523"/>
      <c r="V671" s="224"/>
      <c r="W671" s="224"/>
      <c r="X671" s="224"/>
      <c r="Y671" s="224"/>
      <c r="Z671" s="868"/>
      <c r="AA671" s="865"/>
      <c r="AB671" s="2"/>
      <c r="AC671" s="2"/>
      <c r="AD671" s="2"/>
      <c r="AE671" s="2"/>
      <c r="AF671" s="2"/>
      <c r="AG671" s="2"/>
      <c r="AH671" s="2"/>
      <c r="AI671" s="2"/>
      <c r="AJ671" s="2"/>
      <c r="AK671" s="2"/>
      <c r="AL671" s="2"/>
      <c r="AM671" s="2"/>
      <c r="AN671" s="2"/>
      <c r="AO671" s="9"/>
      <c r="AP671" s="9"/>
      <c r="AQ671" s="9"/>
      <c r="AR671" s="9"/>
    </row>
    <row r="672">
      <c r="A672" s="523"/>
      <c r="B672" s="523"/>
      <c r="C672" s="523"/>
      <c r="D672" s="523"/>
      <c r="E672" s="523"/>
      <c r="F672" s="523"/>
      <c r="G672" s="523"/>
      <c r="H672" s="523"/>
      <c r="I672" s="523"/>
      <c r="J672" s="523"/>
      <c r="K672" s="523"/>
      <c r="L672" s="523"/>
      <c r="M672" s="523"/>
      <c r="N672" s="523"/>
      <c r="O672" s="523"/>
      <c r="P672" s="523"/>
      <c r="Q672" s="523"/>
      <c r="R672" s="523"/>
      <c r="S672" s="523"/>
      <c r="T672" s="523"/>
      <c r="U672" s="523"/>
      <c r="V672" s="224"/>
      <c r="W672" s="224"/>
      <c r="X672" s="224"/>
      <c r="Y672" s="224"/>
      <c r="Z672" s="868"/>
      <c r="AA672" s="865"/>
      <c r="AB672" s="2"/>
      <c r="AC672" s="2"/>
      <c r="AD672" s="2"/>
      <c r="AE672" s="2"/>
      <c r="AF672" s="2"/>
      <c r="AG672" s="2"/>
      <c r="AH672" s="2"/>
      <c r="AI672" s="2"/>
      <c r="AJ672" s="2"/>
      <c r="AK672" s="2"/>
      <c r="AL672" s="2"/>
      <c r="AM672" s="2"/>
      <c r="AN672" s="2"/>
      <c r="AO672" s="9"/>
      <c r="AP672" s="9"/>
      <c r="AQ672" s="9"/>
      <c r="AR672" s="9"/>
    </row>
    <row r="673">
      <c r="A673" s="523"/>
      <c r="B673" s="523"/>
      <c r="C673" s="523"/>
      <c r="D673" s="523"/>
      <c r="E673" s="523"/>
      <c r="F673" s="523"/>
      <c r="G673" s="523"/>
      <c r="H673" s="523"/>
      <c r="I673" s="523"/>
      <c r="J673" s="523"/>
      <c r="K673" s="523"/>
      <c r="L673" s="523"/>
      <c r="M673" s="523"/>
      <c r="N673" s="523"/>
      <c r="O673" s="523"/>
      <c r="P673" s="523"/>
      <c r="Q673" s="523"/>
      <c r="R673" s="523"/>
      <c r="S673" s="523"/>
      <c r="T673" s="523"/>
      <c r="U673" s="523"/>
      <c r="V673" s="224"/>
      <c r="W673" s="224"/>
      <c r="X673" s="224"/>
      <c r="Y673" s="224"/>
      <c r="Z673" s="868"/>
      <c r="AA673" s="865"/>
      <c r="AB673" s="2"/>
      <c r="AC673" s="2"/>
      <c r="AD673" s="2"/>
      <c r="AE673" s="2"/>
      <c r="AF673" s="2"/>
      <c r="AG673" s="2"/>
      <c r="AH673" s="2"/>
      <c r="AI673" s="2"/>
      <c r="AJ673" s="2"/>
      <c r="AK673" s="2"/>
      <c r="AL673" s="2"/>
      <c r="AM673" s="2"/>
      <c r="AN673" s="2"/>
      <c r="AO673" s="9"/>
      <c r="AP673" s="9"/>
      <c r="AQ673" s="9"/>
      <c r="AR673" s="9"/>
    </row>
    <row r="674">
      <c r="A674" s="523"/>
      <c r="B674" s="523"/>
      <c r="C674" s="523"/>
      <c r="D674" s="523"/>
      <c r="E674" s="523"/>
      <c r="F674" s="523"/>
      <c r="G674" s="523"/>
      <c r="H674" s="523"/>
      <c r="I674" s="523"/>
      <c r="J674" s="523"/>
      <c r="K674" s="523"/>
      <c r="L674" s="523"/>
      <c r="M674" s="523"/>
      <c r="N674" s="523"/>
      <c r="O674" s="523"/>
      <c r="P674" s="523"/>
      <c r="Q674" s="523"/>
      <c r="R674" s="523"/>
      <c r="S674" s="523"/>
      <c r="T674" s="523"/>
      <c r="U674" s="523"/>
      <c r="V674" s="224"/>
      <c r="W674" s="224"/>
      <c r="X674" s="224"/>
      <c r="Y674" s="224"/>
      <c r="Z674" s="868"/>
      <c r="AA674" s="865"/>
      <c r="AB674" s="2"/>
      <c r="AC674" s="2"/>
      <c r="AD674" s="2"/>
      <c r="AE674" s="2"/>
      <c r="AF674" s="2"/>
      <c r="AG674" s="2"/>
      <c r="AH674" s="2"/>
      <c r="AI674" s="2"/>
      <c r="AJ674" s="2"/>
      <c r="AK674" s="2"/>
      <c r="AL674" s="2"/>
      <c r="AM674" s="2"/>
      <c r="AN674" s="2"/>
      <c r="AO674" s="9"/>
      <c r="AP674" s="9"/>
      <c r="AQ674" s="9"/>
      <c r="AR674" s="9"/>
    </row>
    <row r="675">
      <c r="A675" s="523"/>
      <c r="B675" s="523"/>
      <c r="C675" s="523"/>
      <c r="D675" s="523"/>
      <c r="E675" s="523"/>
      <c r="F675" s="523"/>
      <c r="G675" s="523"/>
      <c r="H675" s="523"/>
      <c r="I675" s="523"/>
      <c r="J675" s="523"/>
      <c r="K675" s="523"/>
      <c r="L675" s="523"/>
      <c r="M675" s="523"/>
      <c r="N675" s="523"/>
      <c r="O675" s="523"/>
      <c r="P675" s="523"/>
      <c r="Q675" s="523"/>
      <c r="R675" s="523"/>
      <c r="S675" s="523"/>
      <c r="T675" s="523"/>
      <c r="U675" s="523"/>
      <c r="V675" s="224"/>
      <c r="W675" s="224"/>
      <c r="X675" s="224"/>
      <c r="Y675" s="224"/>
      <c r="Z675" s="868"/>
      <c r="AA675" s="865"/>
      <c r="AB675" s="2"/>
      <c r="AC675" s="2"/>
      <c r="AD675" s="2"/>
      <c r="AE675" s="2"/>
      <c r="AF675" s="2"/>
      <c r="AG675" s="2"/>
      <c r="AH675" s="2"/>
      <c r="AI675" s="2"/>
      <c r="AJ675" s="2"/>
      <c r="AK675" s="2"/>
      <c r="AL675" s="2"/>
      <c r="AM675" s="2"/>
      <c r="AN675" s="2"/>
      <c r="AO675" s="9"/>
      <c r="AP675" s="9"/>
      <c r="AQ675" s="9"/>
      <c r="AR675" s="9"/>
    </row>
    <row r="676">
      <c r="A676" s="523"/>
      <c r="B676" s="523"/>
      <c r="C676" s="523"/>
      <c r="D676" s="523"/>
      <c r="E676" s="523"/>
      <c r="F676" s="523"/>
      <c r="G676" s="523"/>
      <c r="H676" s="523"/>
      <c r="I676" s="523"/>
      <c r="J676" s="523"/>
      <c r="K676" s="523"/>
      <c r="L676" s="523"/>
      <c r="M676" s="523"/>
      <c r="N676" s="523"/>
      <c r="O676" s="523"/>
      <c r="P676" s="523"/>
      <c r="Q676" s="523"/>
      <c r="R676" s="523"/>
      <c r="S676" s="523"/>
      <c r="T676" s="523"/>
      <c r="U676" s="523"/>
      <c r="V676" s="224"/>
      <c r="W676" s="224"/>
      <c r="X676" s="224"/>
      <c r="Y676" s="224"/>
      <c r="Z676" s="868"/>
      <c r="AA676" s="865"/>
      <c r="AB676" s="2"/>
      <c r="AC676" s="2"/>
      <c r="AD676" s="2"/>
      <c r="AE676" s="2"/>
      <c r="AF676" s="2"/>
      <c r="AG676" s="2"/>
      <c r="AH676" s="2"/>
      <c r="AI676" s="2"/>
      <c r="AJ676" s="2"/>
      <c r="AK676" s="2"/>
      <c r="AL676" s="2"/>
      <c r="AM676" s="2"/>
      <c r="AN676" s="2"/>
      <c r="AO676" s="9"/>
      <c r="AP676" s="9"/>
      <c r="AQ676" s="9"/>
      <c r="AR676" s="9"/>
    </row>
    <row r="677">
      <c r="A677" s="523"/>
      <c r="B677" s="523"/>
      <c r="C677" s="523"/>
      <c r="D677" s="523"/>
      <c r="E677" s="523"/>
      <c r="F677" s="523"/>
      <c r="G677" s="523"/>
      <c r="H677" s="523"/>
      <c r="I677" s="523"/>
      <c r="J677" s="523"/>
      <c r="K677" s="523"/>
      <c r="L677" s="523"/>
      <c r="M677" s="523"/>
      <c r="N677" s="523"/>
      <c r="O677" s="523"/>
      <c r="P677" s="523"/>
      <c r="Q677" s="523"/>
      <c r="R677" s="523"/>
      <c r="S677" s="523"/>
      <c r="T677" s="523"/>
      <c r="U677" s="523"/>
      <c r="V677" s="224"/>
      <c r="W677" s="224"/>
      <c r="X677" s="224"/>
      <c r="Y677" s="224"/>
      <c r="Z677" s="868"/>
      <c r="AA677" s="865"/>
      <c r="AB677" s="2"/>
      <c r="AC677" s="2"/>
      <c r="AD677" s="2"/>
      <c r="AE677" s="2"/>
      <c r="AF677" s="2"/>
      <c r="AG677" s="2"/>
      <c r="AH677" s="2"/>
      <c r="AI677" s="2"/>
      <c r="AJ677" s="2"/>
      <c r="AK677" s="2"/>
      <c r="AL677" s="2"/>
      <c r="AM677" s="2"/>
      <c r="AN677" s="2"/>
      <c r="AO677" s="9"/>
      <c r="AP677" s="9"/>
      <c r="AQ677" s="9"/>
      <c r="AR677" s="9"/>
    </row>
    <row r="678">
      <c r="A678" s="523"/>
      <c r="B678" s="523"/>
      <c r="C678" s="523"/>
      <c r="D678" s="523"/>
      <c r="E678" s="523"/>
      <c r="F678" s="523"/>
      <c r="G678" s="523"/>
      <c r="H678" s="523"/>
      <c r="I678" s="523"/>
      <c r="J678" s="523"/>
      <c r="K678" s="523"/>
      <c r="L678" s="523"/>
      <c r="M678" s="523"/>
      <c r="N678" s="523"/>
      <c r="O678" s="523"/>
      <c r="P678" s="523"/>
      <c r="Q678" s="523"/>
      <c r="R678" s="523"/>
      <c r="S678" s="523"/>
      <c r="T678" s="523"/>
      <c r="U678" s="523"/>
      <c r="V678" s="224"/>
      <c r="W678" s="224"/>
      <c r="X678" s="224"/>
      <c r="Y678" s="224"/>
      <c r="Z678" s="868"/>
      <c r="AA678" s="865"/>
      <c r="AB678" s="2"/>
      <c r="AC678" s="2"/>
      <c r="AD678" s="2"/>
      <c r="AE678" s="2"/>
      <c r="AF678" s="2"/>
      <c r="AG678" s="2"/>
      <c r="AH678" s="2"/>
      <c r="AI678" s="2"/>
      <c r="AJ678" s="2"/>
      <c r="AK678" s="2"/>
      <c r="AL678" s="2"/>
      <c r="AM678" s="2"/>
      <c r="AN678" s="2"/>
      <c r="AO678" s="9"/>
      <c r="AP678" s="9"/>
      <c r="AQ678" s="9"/>
      <c r="AR678" s="9"/>
    </row>
    <row r="679">
      <c r="A679" s="523"/>
      <c r="B679" s="523"/>
      <c r="C679" s="523"/>
      <c r="D679" s="523"/>
      <c r="E679" s="523"/>
      <c r="F679" s="523"/>
      <c r="G679" s="523"/>
      <c r="H679" s="523"/>
      <c r="I679" s="523"/>
      <c r="J679" s="523"/>
      <c r="K679" s="523"/>
      <c r="L679" s="523"/>
      <c r="M679" s="523"/>
      <c r="N679" s="523"/>
      <c r="O679" s="523"/>
      <c r="P679" s="523"/>
      <c r="Q679" s="523"/>
      <c r="R679" s="523"/>
      <c r="S679" s="523"/>
      <c r="T679" s="523"/>
      <c r="U679" s="523"/>
      <c r="V679" s="224"/>
      <c r="W679" s="224"/>
      <c r="X679" s="224"/>
      <c r="Y679" s="224"/>
      <c r="Z679" s="868"/>
      <c r="AA679" s="865"/>
      <c r="AB679" s="2"/>
      <c r="AC679" s="2"/>
      <c r="AD679" s="2"/>
      <c r="AE679" s="2"/>
      <c r="AF679" s="2"/>
      <c r="AG679" s="2"/>
      <c r="AH679" s="2"/>
      <c r="AI679" s="2"/>
      <c r="AJ679" s="2"/>
      <c r="AK679" s="2"/>
      <c r="AL679" s="2"/>
      <c r="AM679" s="2"/>
      <c r="AN679" s="2"/>
      <c r="AO679" s="9"/>
      <c r="AP679" s="9"/>
      <c r="AQ679" s="9"/>
      <c r="AR679" s="9"/>
    </row>
    <row r="680">
      <c r="A680" s="523"/>
      <c r="B680" s="523"/>
      <c r="C680" s="523"/>
      <c r="D680" s="523"/>
      <c r="E680" s="523"/>
      <c r="F680" s="523"/>
      <c r="G680" s="523"/>
      <c r="H680" s="523"/>
      <c r="I680" s="523"/>
      <c r="J680" s="523"/>
      <c r="K680" s="523"/>
      <c r="L680" s="523"/>
      <c r="M680" s="523"/>
      <c r="N680" s="523"/>
      <c r="O680" s="523"/>
      <c r="P680" s="523"/>
      <c r="Q680" s="523"/>
      <c r="R680" s="523"/>
      <c r="S680" s="523"/>
      <c r="T680" s="523"/>
      <c r="U680" s="523"/>
      <c r="V680" s="224"/>
      <c r="W680" s="224"/>
      <c r="X680" s="224"/>
      <c r="Y680" s="224"/>
      <c r="Z680" s="868"/>
      <c r="AA680" s="865"/>
      <c r="AB680" s="2"/>
      <c r="AC680" s="2"/>
      <c r="AD680" s="2"/>
      <c r="AE680" s="2"/>
      <c r="AF680" s="2"/>
      <c r="AG680" s="2"/>
      <c r="AH680" s="2"/>
      <c r="AI680" s="2"/>
      <c r="AJ680" s="2"/>
      <c r="AK680" s="2"/>
      <c r="AL680" s="2"/>
      <c r="AM680" s="2"/>
      <c r="AN680" s="2"/>
      <c r="AO680" s="9"/>
      <c r="AP680" s="9"/>
      <c r="AQ680" s="9"/>
      <c r="AR680" s="9"/>
    </row>
    <row r="681">
      <c r="A681" s="523"/>
      <c r="B681" s="523"/>
      <c r="C681" s="523"/>
      <c r="D681" s="523"/>
      <c r="E681" s="523"/>
      <c r="F681" s="523"/>
      <c r="G681" s="523"/>
      <c r="H681" s="523"/>
      <c r="I681" s="523"/>
      <c r="J681" s="523"/>
      <c r="K681" s="523"/>
      <c r="L681" s="523"/>
      <c r="M681" s="523"/>
      <c r="N681" s="523"/>
      <c r="O681" s="523"/>
      <c r="P681" s="523"/>
      <c r="Q681" s="523"/>
      <c r="R681" s="523"/>
      <c r="S681" s="523"/>
      <c r="T681" s="523"/>
      <c r="U681" s="523"/>
      <c r="V681" s="224"/>
      <c r="W681" s="224"/>
      <c r="X681" s="224"/>
      <c r="Y681" s="224"/>
      <c r="Z681" s="868"/>
      <c r="AA681" s="865"/>
      <c r="AB681" s="2"/>
      <c r="AC681" s="2"/>
      <c r="AD681" s="2"/>
      <c r="AE681" s="2"/>
      <c r="AF681" s="2"/>
      <c r="AG681" s="2"/>
      <c r="AH681" s="2"/>
      <c r="AI681" s="2"/>
      <c r="AJ681" s="2"/>
      <c r="AK681" s="2"/>
      <c r="AL681" s="2"/>
      <c r="AM681" s="2"/>
      <c r="AN681" s="2"/>
      <c r="AO681" s="9"/>
      <c r="AP681" s="9"/>
      <c r="AQ681" s="9"/>
      <c r="AR681" s="9"/>
    </row>
    <row r="682">
      <c r="A682" s="523"/>
      <c r="B682" s="523"/>
      <c r="C682" s="523"/>
      <c r="D682" s="523"/>
      <c r="E682" s="523"/>
      <c r="F682" s="523"/>
      <c r="G682" s="523"/>
      <c r="H682" s="523"/>
      <c r="I682" s="523"/>
      <c r="J682" s="523"/>
      <c r="K682" s="523"/>
      <c r="L682" s="523"/>
      <c r="M682" s="523"/>
      <c r="N682" s="523"/>
      <c r="O682" s="523"/>
      <c r="P682" s="523"/>
      <c r="Q682" s="523"/>
      <c r="R682" s="523"/>
      <c r="S682" s="523"/>
      <c r="T682" s="523"/>
      <c r="U682" s="523"/>
      <c r="V682" s="224"/>
      <c r="W682" s="224"/>
      <c r="X682" s="224"/>
      <c r="Y682" s="224"/>
      <c r="Z682" s="868"/>
      <c r="AA682" s="865"/>
      <c r="AB682" s="2"/>
      <c r="AC682" s="2"/>
      <c r="AD682" s="2"/>
      <c r="AE682" s="2"/>
      <c r="AF682" s="2"/>
      <c r="AG682" s="2"/>
      <c r="AH682" s="2"/>
      <c r="AI682" s="2"/>
      <c r="AJ682" s="2"/>
      <c r="AK682" s="2"/>
      <c r="AL682" s="2"/>
      <c r="AM682" s="2"/>
      <c r="AN682" s="2"/>
      <c r="AO682" s="9"/>
      <c r="AP682" s="9"/>
      <c r="AQ682" s="9"/>
      <c r="AR682" s="9"/>
    </row>
    <row r="683">
      <c r="A683" s="523"/>
      <c r="B683" s="523"/>
      <c r="C683" s="523"/>
      <c r="D683" s="523"/>
      <c r="E683" s="523"/>
      <c r="F683" s="523"/>
      <c r="G683" s="523"/>
      <c r="H683" s="523"/>
      <c r="I683" s="523"/>
      <c r="J683" s="523"/>
      <c r="K683" s="523"/>
      <c r="L683" s="523"/>
      <c r="M683" s="523"/>
      <c r="N683" s="523"/>
      <c r="O683" s="523"/>
      <c r="P683" s="523"/>
      <c r="Q683" s="523"/>
      <c r="R683" s="523"/>
      <c r="S683" s="523"/>
      <c r="T683" s="523"/>
      <c r="U683" s="523"/>
      <c r="V683" s="224"/>
      <c r="W683" s="224"/>
      <c r="X683" s="224"/>
      <c r="Y683" s="224"/>
      <c r="Z683" s="868"/>
      <c r="AA683" s="865"/>
      <c r="AB683" s="2"/>
      <c r="AC683" s="2"/>
      <c r="AD683" s="2"/>
      <c r="AE683" s="2"/>
      <c r="AF683" s="2"/>
      <c r="AG683" s="2"/>
      <c r="AH683" s="2"/>
      <c r="AI683" s="2"/>
      <c r="AJ683" s="2"/>
      <c r="AK683" s="2"/>
      <c r="AL683" s="2"/>
      <c r="AM683" s="2"/>
      <c r="AN683" s="2"/>
      <c r="AO683" s="9"/>
      <c r="AP683" s="9"/>
      <c r="AQ683" s="9"/>
      <c r="AR683" s="9"/>
    </row>
    <row r="684">
      <c r="A684" s="523"/>
      <c r="B684" s="523"/>
      <c r="C684" s="523"/>
      <c r="D684" s="523"/>
      <c r="E684" s="523"/>
      <c r="F684" s="523"/>
      <c r="G684" s="523"/>
      <c r="H684" s="523"/>
      <c r="I684" s="523"/>
      <c r="J684" s="523"/>
      <c r="K684" s="523"/>
      <c r="L684" s="523"/>
      <c r="M684" s="523"/>
      <c r="N684" s="523"/>
      <c r="O684" s="523"/>
      <c r="P684" s="523"/>
      <c r="Q684" s="523"/>
      <c r="R684" s="523"/>
      <c r="S684" s="523"/>
      <c r="T684" s="523"/>
      <c r="U684" s="523"/>
      <c r="V684" s="224"/>
      <c r="W684" s="224"/>
      <c r="X684" s="224"/>
      <c r="Y684" s="224"/>
      <c r="Z684" s="868"/>
      <c r="AA684" s="865"/>
      <c r="AB684" s="2"/>
      <c r="AC684" s="2"/>
      <c r="AD684" s="2"/>
      <c r="AE684" s="2"/>
      <c r="AF684" s="2"/>
      <c r="AG684" s="2"/>
      <c r="AH684" s="2"/>
      <c r="AI684" s="2"/>
      <c r="AJ684" s="2"/>
      <c r="AK684" s="2"/>
      <c r="AL684" s="2"/>
      <c r="AM684" s="2"/>
      <c r="AN684" s="2"/>
      <c r="AO684" s="9"/>
      <c r="AP684" s="9"/>
      <c r="AQ684" s="9"/>
      <c r="AR684" s="9"/>
    </row>
    <row r="685">
      <c r="A685" s="523"/>
      <c r="B685" s="523"/>
      <c r="C685" s="523"/>
      <c r="D685" s="523"/>
      <c r="E685" s="523"/>
      <c r="F685" s="523"/>
      <c r="G685" s="523"/>
      <c r="H685" s="523"/>
      <c r="I685" s="523"/>
      <c r="J685" s="523"/>
      <c r="K685" s="523"/>
      <c r="L685" s="523"/>
      <c r="M685" s="523"/>
      <c r="N685" s="523"/>
      <c r="O685" s="523"/>
      <c r="P685" s="523"/>
      <c r="Q685" s="523"/>
      <c r="R685" s="523"/>
      <c r="S685" s="523"/>
      <c r="T685" s="523"/>
      <c r="U685" s="523"/>
      <c r="V685" s="224"/>
      <c r="W685" s="224"/>
      <c r="X685" s="224"/>
      <c r="Y685" s="224"/>
      <c r="Z685" s="868"/>
      <c r="AA685" s="865"/>
      <c r="AB685" s="2"/>
      <c r="AC685" s="2"/>
      <c r="AD685" s="2"/>
      <c r="AE685" s="2"/>
      <c r="AF685" s="2"/>
      <c r="AG685" s="2"/>
      <c r="AH685" s="2"/>
      <c r="AI685" s="2"/>
      <c r="AJ685" s="2"/>
      <c r="AK685" s="2"/>
      <c r="AL685" s="2"/>
      <c r="AM685" s="2"/>
      <c r="AN685" s="2"/>
      <c r="AO685" s="9"/>
      <c r="AP685" s="9"/>
      <c r="AQ685" s="9"/>
      <c r="AR685" s="9"/>
    </row>
    <row r="686">
      <c r="A686" s="523"/>
      <c r="B686" s="523"/>
      <c r="C686" s="523"/>
      <c r="D686" s="523"/>
      <c r="E686" s="523"/>
      <c r="F686" s="523"/>
      <c r="G686" s="523"/>
      <c r="H686" s="523"/>
      <c r="I686" s="523"/>
      <c r="J686" s="523"/>
      <c r="K686" s="523"/>
      <c r="L686" s="523"/>
      <c r="M686" s="523"/>
      <c r="N686" s="523"/>
      <c r="O686" s="523"/>
      <c r="P686" s="523"/>
      <c r="Q686" s="523"/>
      <c r="R686" s="523"/>
      <c r="S686" s="523"/>
      <c r="T686" s="523"/>
      <c r="U686" s="523"/>
      <c r="V686" s="224"/>
      <c r="W686" s="224"/>
      <c r="X686" s="224"/>
      <c r="Y686" s="224"/>
      <c r="Z686" s="868"/>
      <c r="AA686" s="865"/>
      <c r="AB686" s="2"/>
      <c r="AC686" s="2"/>
      <c r="AD686" s="2"/>
      <c r="AE686" s="2"/>
      <c r="AF686" s="2"/>
      <c r="AG686" s="2"/>
      <c r="AH686" s="2"/>
      <c r="AI686" s="2"/>
      <c r="AJ686" s="2"/>
      <c r="AK686" s="2"/>
      <c r="AL686" s="2"/>
      <c r="AM686" s="2"/>
      <c r="AN686" s="2"/>
      <c r="AO686" s="9"/>
      <c r="AP686" s="9"/>
      <c r="AQ686" s="9"/>
      <c r="AR686" s="9"/>
    </row>
    <row r="687">
      <c r="A687" s="523"/>
      <c r="B687" s="523"/>
      <c r="C687" s="523"/>
      <c r="D687" s="523"/>
      <c r="E687" s="523"/>
      <c r="F687" s="523"/>
      <c r="G687" s="523"/>
      <c r="H687" s="523"/>
      <c r="I687" s="523"/>
      <c r="J687" s="523"/>
      <c r="K687" s="523"/>
      <c r="L687" s="523"/>
      <c r="M687" s="523"/>
      <c r="N687" s="523"/>
      <c r="O687" s="523"/>
      <c r="P687" s="523"/>
      <c r="Q687" s="523"/>
      <c r="R687" s="523"/>
      <c r="S687" s="523"/>
      <c r="T687" s="523"/>
      <c r="U687" s="523"/>
      <c r="V687" s="224"/>
      <c r="W687" s="224"/>
      <c r="X687" s="224"/>
      <c r="Y687" s="224"/>
      <c r="Z687" s="868"/>
      <c r="AA687" s="865"/>
      <c r="AB687" s="2"/>
      <c r="AC687" s="2"/>
      <c r="AD687" s="2"/>
      <c r="AE687" s="2"/>
      <c r="AF687" s="2"/>
      <c r="AG687" s="2"/>
      <c r="AH687" s="2"/>
      <c r="AI687" s="2"/>
      <c r="AJ687" s="2"/>
      <c r="AK687" s="2"/>
      <c r="AL687" s="2"/>
      <c r="AM687" s="2"/>
      <c r="AN687" s="2"/>
      <c r="AO687" s="9"/>
      <c r="AP687" s="9"/>
      <c r="AQ687" s="9"/>
      <c r="AR687" s="9"/>
    </row>
    <row r="688">
      <c r="A688" s="523"/>
      <c r="B688" s="523"/>
      <c r="C688" s="523"/>
      <c r="D688" s="523"/>
      <c r="E688" s="523"/>
      <c r="F688" s="523"/>
      <c r="G688" s="523"/>
      <c r="H688" s="523"/>
      <c r="I688" s="523"/>
      <c r="J688" s="523"/>
      <c r="K688" s="523"/>
      <c r="L688" s="523"/>
      <c r="M688" s="523"/>
      <c r="N688" s="523"/>
      <c r="O688" s="523"/>
      <c r="P688" s="523"/>
      <c r="Q688" s="523"/>
      <c r="R688" s="523"/>
      <c r="S688" s="523"/>
      <c r="T688" s="523"/>
      <c r="U688" s="523"/>
      <c r="V688" s="224"/>
      <c r="W688" s="224"/>
      <c r="X688" s="224"/>
      <c r="Y688" s="224"/>
      <c r="Z688" s="868"/>
      <c r="AA688" s="865"/>
      <c r="AB688" s="2"/>
      <c r="AC688" s="2"/>
      <c r="AD688" s="2"/>
      <c r="AE688" s="2"/>
      <c r="AF688" s="2"/>
      <c r="AG688" s="2"/>
      <c r="AH688" s="2"/>
      <c r="AI688" s="2"/>
      <c r="AJ688" s="2"/>
      <c r="AK688" s="2"/>
      <c r="AL688" s="2"/>
      <c r="AM688" s="2"/>
      <c r="AN688" s="2"/>
      <c r="AO688" s="9"/>
      <c r="AP688" s="9"/>
      <c r="AQ688" s="9"/>
      <c r="AR688" s="9"/>
    </row>
    <row r="689">
      <c r="A689" s="523"/>
      <c r="B689" s="523"/>
      <c r="C689" s="523"/>
      <c r="D689" s="523"/>
      <c r="E689" s="523"/>
      <c r="F689" s="523"/>
      <c r="G689" s="523"/>
      <c r="H689" s="523"/>
      <c r="I689" s="523"/>
      <c r="J689" s="523"/>
      <c r="K689" s="523"/>
      <c r="L689" s="523"/>
      <c r="M689" s="523"/>
      <c r="N689" s="523"/>
      <c r="O689" s="523"/>
      <c r="P689" s="523"/>
      <c r="Q689" s="523"/>
      <c r="R689" s="523"/>
      <c r="S689" s="523"/>
      <c r="T689" s="523"/>
      <c r="U689" s="523"/>
      <c r="V689" s="224"/>
      <c r="W689" s="224"/>
      <c r="X689" s="224"/>
      <c r="Y689" s="224"/>
      <c r="Z689" s="868"/>
      <c r="AA689" s="865"/>
      <c r="AB689" s="2"/>
      <c r="AC689" s="2"/>
      <c r="AD689" s="2"/>
      <c r="AE689" s="2"/>
      <c r="AF689" s="2"/>
      <c r="AG689" s="2"/>
      <c r="AH689" s="2"/>
      <c r="AI689" s="2"/>
      <c r="AJ689" s="2"/>
      <c r="AK689" s="2"/>
      <c r="AL689" s="2"/>
      <c r="AM689" s="2"/>
      <c r="AN689" s="2"/>
      <c r="AO689" s="9"/>
      <c r="AP689" s="9"/>
      <c r="AQ689" s="9"/>
      <c r="AR689" s="9"/>
    </row>
    <row r="690">
      <c r="A690" s="523"/>
      <c r="B690" s="523"/>
      <c r="C690" s="523"/>
      <c r="D690" s="523"/>
      <c r="E690" s="523"/>
      <c r="F690" s="523"/>
      <c r="G690" s="523"/>
      <c r="H690" s="523"/>
      <c r="I690" s="523"/>
      <c r="J690" s="523"/>
      <c r="K690" s="523"/>
      <c r="L690" s="523"/>
      <c r="M690" s="523"/>
      <c r="N690" s="523"/>
      <c r="O690" s="523"/>
      <c r="P690" s="523"/>
      <c r="Q690" s="523"/>
      <c r="R690" s="523"/>
      <c r="S690" s="523"/>
      <c r="T690" s="523"/>
      <c r="U690" s="523"/>
      <c r="V690" s="224"/>
      <c r="W690" s="224"/>
      <c r="X690" s="224"/>
      <c r="Y690" s="224"/>
      <c r="Z690" s="868"/>
      <c r="AA690" s="865"/>
      <c r="AB690" s="2"/>
      <c r="AC690" s="2"/>
      <c r="AD690" s="2"/>
      <c r="AE690" s="2"/>
      <c r="AF690" s="2"/>
      <c r="AG690" s="2"/>
      <c r="AH690" s="2"/>
      <c r="AI690" s="2"/>
      <c r="AJ690" s="2"/>
      <c r="AK690" s="2"/>
      <c r="AL690" s="2"/>
      <c r="AM690" s="2"/>
      <c r="AN690" s="2"/>
      <c r="AO690" s="9"/>
      <c r="AP690" s="9"/>
      <c r="AQ690" s="9"/>
      <c r="AR690" s="9"/>
    </row>
    <row r="691">
      <c r="A691" s="523"/>
      <c r="B691" s="523"/>
      <c r="C691" s="523"/>
      <c r="D691" s="523"/>
      <c r="E691" s="523"/>
      <c r="F691" s="523"/>
      <c r="G691" s="523"/>
      <c r="H691" s="523"/>
      <c r="I691" s="523"/>
      <c r="J691" s="523"/>
      <c r="K691" s="523"/>
      <c r="L691" s="523"/>
      <c r="M691" s="523"/>
      <c r="N691" s="523"/>
      <c r="O691" s="523"/>
      <c r="P691" s="523"/>
      <c r="Q691" s="523"/>
      <c r="R691" s="523"/>
      <c r="S691" s="523"/>
      <c r="T691" s="523"/>
      <c r="U691" s="523"/>
      <c r="V691" s="224"/>
      <c r="W691" s="224"/>
      <c r="X691" s="224"/>
      <c r="Y691" s="224"/>
      <c r="Z691" s="868"/>
      <c r="AA691" s="865"/>
      <c r="AB691" s="2"/>
      <c r="AC691" s="2"/>
      <c r="AD691" s="2"/>
      <c r="AE691" s="2"/>
      <c r="AF691" s="2"/>
      <c r="AG691" s="2"/>
      <c r="AH691" s="2"/>
      <c r="AI691" s="2"/>
      <c r="AJ691" s="2"/>
      <c r="AK691" s="2"/>
      <c r="AL691" s="2"/>
      <c r="AM691" s="2"/>
      <c r="AN691" s="2"/>
      <c r="AO691" s="9"/>
      <c r="AP691" s="9"/>
      <c r="AQ691" s="9"/>
      <c r="AR691" s="9"/>
    </row>
    <row r="692">
      <c r="A692" s="523"/>
      <c r="B692" s="523"/>
      <c r="C692" s="523"/>
      <c r="D692" s="523"/>
      <c r="E692" s="523"/>
      <c r="F692" s="523"/>
      <c r="G692" s="523"/>
      <c r="H692" s="523"/>
      <c r="I692" s="523"/>
      <c r="J692" s="523"/>
      <c r="K692" s="523"/>
      <c r="L692" s="523"/>
      <c r="M692" s="523"/>
      <c r="N692" s="523"/>
      <c r="O692" s="523"/>
      <c r="P692" s="523"/>
      <c r="Q692" s="523"/>
      <c r="R692" s="523"/>
      <c r="S692" s="523"/>
      <c r="T692" s="523"/>
      <c r="U692" s="523"/>
      <c r="V692" s="224"/>
      <c r="W692" s="224"/>
      <c r="X692" s="224"/>
      <c r="Y692" s="224"/>
      <c r="Z692" s="868"/>
      <c r="AA692" s="865"/>
      <c r="AB692" s="2"/>
      <c r="AC692" s="2"/>
      <c r="AD692" s="2"/>
      <c r="AE692" s="2"/>
      <c r="AF692" s="2"/>
      <c r="AG692" s="2"/>
      <c r="AH692" s="2"/>
      <c r="AI692" s="2"/>
      <c r="AJ692" s="2"/>
      <c r="AK692" s="2"/>
      <c r="AL692" s="2"/>
      <c r="AM692" s="2"/>
      <c r="AN692" s="2"/>
      <c r="AO692" s="9"/>
      <c r="AP692" s="9"/>
      <c r="AQ692" s="9"/>
      <c r="AR692" s="9"/>
    </row>
    <row r="693">
      <c r="A693" s="523"/>
      <c r="B693" s="523"/>
      <c r="C693" s="523"/>
      <c r="D693" s="523"/>
      <c r="E693" s="523"/>
      <c r="F693" s="523"/>
      <c r="G693" s="523"/>
      <c r="H693" s="523"/>
      <c r="I693" s="523"/>
      <c r="J693" s="523"/>
      <c r="K693" s="523"/>
      <c r="L693" s="523"/>
      <c r="M693" s="523"/>
      <c r="N693" s="523"/>
      <c r="O693" s="523"/>
      <c r="P693" s="523"/>
      <c r="Q693" s="523"/>
      <c r="R693" s="523"/>
      <c r="S693" s="523"/>
      <c r="T693" s="523"/>
      <c r="U693" s="523"/>
      <c r="V693" s="224"/>
      <c r="W693" s="224"/>
      <c r="X693" s="224"/>
      <c r="Y693" s="224"/>
      <c r="Z693" s="868"/>
      <c r="AA693" s="865"/>
      <c r="AB693" s="2"/>
      <c r="AC693" s="2"/>
      <c r="AD693" s="2"/>
      <c r="AE693" s="2"/>
      <c r="AF693" s="2"/>
      <c r="AG693" s="2"/>
      <c r="AH693" s="2"/>
      <c r="AI693" s="2"/>
      <c r="AJ693" s="2"/>
      <c r="AK693" s="2"/>
      <c r="AL693" s="2"/>
      <c r="AM693" s="2"/>
      <c r="AN693" s="2"/>
      <c r="AO693" s="9"/>
      <c r="AP693" s="9"/>
      <c r="AQ693" s="9"/>
      <c r="AR693" s="9"/>
    </row>
    <row r="694">
      <c r="A694" s="523"/>
      <c r="B694" s="523"/>
      <c r="C694" s="523"/>
      <c r="D694" s="523"/>
      <c r="E694" s="523"/>
      <c r="F694" s="523"/>
      <c r="G694" s="523"/>
      <c r="H694" s="523"/>
      <c r="I694" s="523"/>
      <c r="J694" s="523"/>
      <c r="K694" s="523"/>
      <c r="L694" s="523"/>
      <c r="M694" s="523"/>
      <c r="N694" s="523"/>
      <c r="O694" s="523"/>
      <c r="P694" s="523"/>
      <c r="Q694" s="523"/>
      <c r="R694" s="523"/>
      <c r="S694" s="523"/>
      <c r="T694" s="523"/>
      <c r="U694" s="523"/>
      <c r="V694" s="224"/>
      <c r="W694" s="224"/>
      <c r="X694" s="224"/>
      <c r="Y694" s="224"/>
      <c r="Z694" s="868"/>
      <c r="AA694" s="865"/>
      <c r="AB694" s="2"/>
      <c r="AC694" s="2"/>
      <c r="AD694" s="2"/>
      <c r="AE694" s="2"/>
      <c r="AF694" s="2"/>
      <c r="AG694" s="2"/>
      <c r="AH694" s="2"/>
      <c r="AI694" s="2"/>
      <c r="AJ694" s="2"/>
      <c r="AK694" s="2"/>
      <c r="AL694" s="2"/>
      <c r="AM694" s="2"/>
      <c r="AN694" s="2"/>
      <c r="AO694" s="9"/>
      <c r="AP694" s="9"/>
      <c r="AQ694" s="9"/>
      <c r="AR694" s="9"/>
    </row>
    <row r="695">
      <c r="A695" s="523"/>
      <c r="B695" s="523"/>
      <c r="C695" s="523"/>
      <c r="D695" s="523"/>
      <c r="E695" s="523"/>
      <c r="F695" s="523"/>
      <c r="G695" s="523"/>
      <c r="H695" s="523"/>
      <c r="I695" s="523"/>
      <c r="J695" s="523"/>
      <c r="K695" s="523"/>
      <c r="L695" s="523"/>
      <c r="M695" s="523"/>
      <c r="N695" s="523"/>
      <c r="O695" s="523"/>
      <c r="P695" s="523"/>
      <c r="Q695" s="523"/>
      <c r="R695" s="523"/>
      <c r="S695" s="523"/>
      <c r="T695" s="523"/>
      <c r="U695" s="523"/>
      <c r="V695" s="224"/>
      <c r="W695" s="224"/>
      <c r="X695" s="224"/>
      <c r="Y695" s="224"/>
      <c r="Z695" s="868"/>
      <c r="AA695" s="865"/>
      <c r="AB695" s="2"/>
      <c r="AC695" s="2"/>
      <c r="AD695" s="2"/>
      <c r="AE695" s="2"/>
      <c r="AF695" s="2"/>
      <c r="AG695" s="2"/>
      <c r="AH695" s="2"/>
      <c r="AI695" s="2"/>
      <c r="AJ695" s="2"/>
      <c r="AK695" s="2"/>
      <c r="AL695" s="2"/>
      <c r="AM695" s="2"/>
      <c r="AN695" s="2"/>
      <c r="AO695" s="9"/>
      <c r="AP695" s="9"/>
      <c r="AQ695" s="9"/>
      <c r="AR695" s="9"/>
    </row>
    <row r="696">
      <c r="A696" s="523"/>
      <c r="B696" s="523"/>
      <c r="C696" s="523"/>
      <c r="D696" s="523"/>
      <c r="E696" s="523"/>
      <c r="F696" s="523"/>
      <c r="G696" s="523"/>
      <c r="H696" s="523"/>
      <c r="I696" s="523"/>
      <c r="J696" s="523"/>
      <c r="K696" s="523"/>
      <c r="L696" s="523"/>
      <c r="M696" s="523"/>
      <c r="N696" s="523"/>
      <c r="O696" s="523"/>
      <c r="P696" s="523"/>
      <c r="Q696" s="523"/>
      <c r="R696" s="523"/>
      <c r="S696" s="523"/>
      <c r="T696" s="523"/>
      <c r="U696" s="523"/>
      <c r="V696" s="224"/>
      <c r="W696" s="224"/>
      <c r="X696" s="224"/>
      <c r="Y696" s="224"/>
      <c r="Z696" s="868"/>
      <c r="AA696" s="865"/>
      <c r="AB696" s="2"/>
      <c r="AC696" s="2"/>
      <c r="AD696" s="2"/>
      <c r="AE696" s="2"/>
      <c r="AF696" s="2"/>
      <c r="AG696" s="2"/>
      <c r="AH696" s="2"/>
      <c r="AI696" s="2"/>
      <c r="AJ696" s="2"/>
      <c r="AK696" s="2"/>
      <c r="AL696" s="2"/>
      <c r="AM696" s="2"/>
      <c r="AN696" s="2"/>
      <c r="AO696" s="9"/>
      <c r="AP696" s="9"/>
      <c r="AQ696" s="9"/>
      <c r="AR696" s="9"/>
    </row>
    <row r="697">
      <c r="A697" s="523"/>
      <c r="B697" s="523"/>
      <c r="C697" s="523"/>
      <c r="D697" s="523"/>
      <c r="E697" s="523"/>
      <c r="F697" s="523"/>
      <c r="G697" s="523"/>
      <c r="H697" s="523"/>
      <c r="I697" s="523"/>
      <c r="J697" s="523"/>
      <c r="K697" s="523"/>
      <c r="L697" s="523"/>
      <c r="M697" s="523"/>
      <c r="N697" s="523"/>
      <c r="O697" s="523"/>
      <c r="P697" s="523"/>
      <c r="Q697" s="523"/>
      <c r="R697" s="523"/>
      <c r="S697" s="523"/>
      <c r="T697" s="523"/>
      <c r="U697" s="523"/>
      <c r="V697" s="224"/>
      <c r="W697" s="224"/>
      <c r="X697" s="224"/>
      <c r="Y697" s="224"/>
      <c r="Z697" s="868"/>
      <c r="AA697" s="865"/>
      <c r="AB697" s="2"/>
      <c r="AC697" s="2"/>
      <c r="AD697" s="2"/>
      <c r="AE697" s="2"/>
      <c r="AF697" s="2"/>
      <c r="AG697" s="2"/>
      <c r="AH697" s="2"/>
      <c r="AI697" s="2"/>
      <c r="AJ697" s="2"/>
      <c r="AK697" s="2"/>
      <c r="AL697" s="2"/>
      <c r="AM697" s="2"/>
      <c r="AN697" s="2"/>
      <c r="AO697" s="9"/>
      <c r="AP697" s="9"/>
      <c r="AQ697" s="9"/>
      <c r="AR697" s="9"/>
    </row>
    <row r="698">
      <c r="A698" s="523"/>
      <c r="B698" s="523"/>
      <c r="C698" s="523"/>
      <c r="D698" s="523"/>
      <c r="E698" s="523"/>
      <c r="F698" s="523"/>
      <c r="G698" s="523"/>
      <c r="H698" s="523"/>
      <c r="I698" s="523"/>
      <c r="J698" s="523"/>
      <c r="K698" s="523"/>
      <c r="L698" s="523"/>
      <c r="M698" s="523"/>
      <c r="N698" s="523"/>
      <c r="O698" s="523"/>
      <c r="P698" s="523"/>
      <c r="Q698" s="523"/>
      <c r="R698" s="523"/>
      <c r="S698" s="523"/>
      <c r="T698" s="523"/>
      <c r="U698" s="523"/>
      <c r="V698" s="224"/>
      <c r="W698" s="224"/>
      <c r="X698" s="224"/>
      <c r="Y698" s="224"/>
      <c r="Z698" s="868"/>
      <c r="AA698" s="865"/>
      <c r="AB698" s="2"/>
      <c r="AC698" s="2"/>
      <c r="AD698" s="2"/>
      <c r="AE698" s="2"/>
      <c r="AF698" s="2"/>
      <c r="AG698" s="2"/>
      <c r="AH698" s="2"/>
      <c r="AI698" s="2"/>
      <c r="AJ698" s="2"/>
      <c r="AK698" s="2"/>
      <c r="AL698" s="2"/>
      <c r="AM698" s="2"/>
      <c r="AN698" s="2"/>
      <c r="AO698" s="9"/>
      <c r="AP698" s="9"/>
      <c r="AQ698" s="9"/>
      <c r="AR698" s="9"/>
    </row>
    <row r="699">
      <c r="A699" s="523"/>
      <c r="B699" s="523"/>
      <c r="C699" s="523"/>
      <c r="D699" s="523"/>
      <c r="E699" s="523"/>
      <c r="F699" s="523"/>
      <c r="G699" s="523"/>
      <c r="H699" s="523"/>
      <c r="I699" s="523"/>
      <c r="J699" s="523"/>
      <c r="K699" s="523"/>
      <c r="L699" s="523"/>
      <c r="M699" s="523"/>
      <c r="N699" s="523"/>
      <c r="O699" s="523"/>
      <c r="P699" s="523"/>
      <c r="Q699" s="523"/>
      <c r="R699" s="523"/>
      <c r="S699" s="523"/>
      <c r="T699" s="523"/>
      <c r="U699" s="523"/>
      <c r="V699" s="224"/>
      <c r="W699" s="224"/>
      <c r="X699" s="224"/>
      <c r="Y699" s="224"/>
      <c r="Z699" s="868"/>
      <c r="AA699" s="865"/>
      <c r="AB699" s="2"/>
      <c r="AC699" s="2"/>
      <c r="AD699" s="2"/>
      <c r="AE699" s="2"/>
      <c r="AF699" s="2"/>
      <c r="AG699" s="2"/>
      <c r="AH699" s="2"/>
      <c r="AI699" s="2"/>
      <c r="AJ699" s="2"/>
      <c r="AK699" s="2"/>
      <c r="AL699" s="2"/>
      <c r="AM699" s="2"/>
      <c r="AN699" s="2"/>
      <c r="AO699" s="9"/>
      <c r="AP699" s="9"/>
      <c r="AQ699" s="9"/>
      <c r="AR699" s="9"/>
    </row>
    <row r="700">
      <c r="A700" s="523"/>
      <c r="B700" s="523"/>
      <c r="C700" s="523"/>
      <c r="D700" s="523"/>
      <c r="E700" s="523"/>
      <c r="F700" s="523"/>
      <c r="G700" s="523"/>
      <c r="H700" s="523"/>
      <c r="I700" s="523"/>
      <c r="J700" s="523"/>
      <c r="K700" s="523"/>
      <c r="L700" s="523"/>
      <c r="M700" s="523"/>
      <c r="N700" s="523"/>
      <c r="O700" s="523"/>
      <c r="P700" s="523"/>
      <c r="Q700" s="523"/>
      <c r="R700" s="523"/>
      <c r="S700" s="523"/>
      <c r="T700" s="523"/>
      <c r="U700" s="523"/>
      <c r="V700" s="224"/>
      <c r="W700" s="224"/>
      <c r="X700" s="224"/>
      <c r="Y700" s="224"/>
      <c r="Z700" s="868"/>
      <c r="AA700" s="865"/>
      <c r="AB700" s="2"/>
      <c r="AC700" s="2"/>
      <c r="AD700" s="2"/>
      <c r="AE700" s="2"/>
      <c r="AF700" s="2"/>
      <c r="AG700" s="2"/>
      <c r="AH700" s="2"/>
      <c r="AI700" s="2"/>
      <c r="AJ700" s="2"/>
      <c r="AK700" s="2"/>
      <c r="AL700" s="2"/>
      <c r="AM700" s="2"/>
      <c r="AN700" s="2"/>
      <c r="AO700" s="9"/>
      <c r="AP700" s="9"/>
      <c r="AQ700" s="9"/>
      <c r="AR700" s="9"/>
    </row>
    <row r="701">
      <c r="A701" s="523"/>
      <c r="B701" s="523"/>
      <c r="C701" s="523"/>
      <c r="D701" s="523"/>
      <c r="E701" s="523"/>
      <c r="F701" s="523"/>
      <c r="G701" s="523"/>
      <c r="H701" s="523"/>
      <c r="I701" s="523"/>
      <c r="J701" s="523"/>
      <c r="K701" s="523"/>
      <c r="L701" s="523"/>
      <c r="M701" s="523"/>
      <c r="N701" s="523"/>
      <c r="O701" s="523"/>
      <c r="P701" s="523"/>
      <c r="Q701" s="523"/>
      <c r="R701" s="523"/>
      <c r="S701" s="523"/>
      <c r="T701" s="523"/>
      <c r="U701" s="523"/>
      <c r="V701" s="224"/>
      <c r="W701" s="224"/>
      <c r="X701" s="224"/>
      <c r="Y701" s="224"/>
      <c r="Z701" s="868"/>
      <c r="AA701" s="865"/>
      <c r="AB701" s="2"/>
      <c r="AC701" s="2"/>
      <c r="AD701" s="2"/>
      <c r="AE701" s="2"/>
      <c r="AF701" s="2"/>
      <c r="AG701" s="2"/>
      <c r="AH701" s="2"/>
      <c r="AI701" s="2"/>
      <c r="AJ701" s="2"/>
      <c r="AK701" s="2"/>
      <c r="AL701" s="2"/>
      <c r="AM701" s="2"/>
      <c r="AN701" s="2"/>
      <c r="AO701" s="9"/>
      <c r="AP701" s="9"/>
      <c r="AQ701" s="9"/>
      <c r="AR701" s="9"/>
    </row>
    <row r="702">
      <c r="A702" s="523"/>
      <c r="B702" s="523"/>
      <c r="C702" s="523"/>
      <c r="D702" s="523"/>
      <c r="E702" s="523"/>
      <c r="F702" s="523"/>
      <c r="G702" s="523"/>
      <c r="H702" s="523"/>
      <c r="I702" s="523"/>
      <c r="J702" s="523"/>
      <c r="K702" s="523"/>
      <c r="L702" s="523"/>
      <c r="M702" s="523"/>
      <c r="N702" s="523"/>
      <c r="O702" s="523"/>
      <c r="P702" s="523"/>
      <c r="Q702" s="523"/>
      <c r="R702" s="523"/>
      <c r="S702" s="523"/>
      <c r="T702" s="523"/>
      <c r="U702" s="523"/>
      <c r="V702" s="224"/>
      <c r="W702" s="224"/>
      <c r="X702" s="224"/>
      <c r="Y702" s="224"/>
      <c r="Z702" s="868"/>
      <c r="AA702" s="865"/>
      <c r="AB702" s="2"/>
      <c r="AC702" s="2"/>
      <c r="AD702" s="2"/>
      <c r="AE702" s="2"/>
      <c r="AF702" s="2"/>
      <c r="AG702" s="2"/>
      <c r="AH702" s="2"/>
      <c r="AI702" s="2"/>
      <c r="AJ702" s="2"/>
      <c r="AK702" s="2"/>
      <c r="AL702" s="2"/>
      <c r="AM702" s="2"/>
      <c r="AN702" s="2"/>
      <c r="AO702" s="9"/>
      <c r="AP702" s="9"/>
      <c r="AQ702" s="9"/>
      <c r="AR702" s="9"/>
    </row>
    <row r="703">
      <c r="A703" s="523"/>
      <c r="B703" s="523"/>
      <c r="C703" s="523"/>
      <c r="D703" s="523"/>
      <c r="E703" s="523"/>
      <c r="F703" s="523"/>
      <c r="G703" s="523"/>
      <c r="H703" s="523"/>
      <c r="I703" s="523"/>
      <c r="J703" s="523"/>
      <c r="K703" s="523"/>
      <c r="L703" s="523"/>
      <c r="M703" s="523"/>
      <c r="N703" s="523"/>
      <c r="O703" s="523"/>
      <c r="P703" s="523"/>
      <c r="Q703" s="523"/>
      <c r="R703" s="523"/>
      <c r="S703" s="523"/>
      <c r="T703" s="523"/>
      <c r="U703" s="523"/>
      <c r="V703" s="224"/>
      <c r="W703" s="224"/>
      <c r="X703" s="224"/>
      <c r="Y703" s="224"/>
      <c r="Z703" s="868"/>
      <c r="AA703" s="865"/>
      <c r="AB703" s="2"/>
      <c r="AC703" s="2"/>
      <c r="AD703" s="2"/>
      <c r="AE703" s="2"/>
      <c r="AF703" s="2"/>
      <c r="AG703" s="2"/>
      <c r="AH703" s="2"/>
      <c r="AI703" s="2"/>
      <c r="AJ703" s="2"/>
      <c r="AK703" s="2"/>
      <c r="AL703" s="2"/>
      <c r="AM703" s="2"/>
      <c r="AN703" s="2"/>
      <c r="AO703" s="9"/>
      <c r="AP703" s="9"/>
      <c r="AQ703" s="9"/>
      <c r="AR703" s="9"/>
    </row>
    <row r="704">
      <c r="A704" s="523"/>
      <c r="B704" s="523"/>
      <c r="C704" s="523"/>
      <c r="D704" s="523"/>
      <c r="E704" s="523"/>
      <c r="F704" s="523"/>
      <c r="G704" s="523"/>
      <c r="H704" s="523"/>
      <c r="I704" s="523"/>
      <c r="J704" s="523"/>
      <c r="K704" s="523"/>
      <c r="L704" s="523"/>
      <c r="M704" s="523"/>
      <c r="N704" s="523"/>
      <c r="O704" s="523"/>
      <c r="P704" s="523"/>
      <c r="Q704" s="523"/>
      <c r="R704" s="523"/>
      <c r="S704" s="523"/>
      <c r="T704" s="523"/>
      <c r="U704" s="523"/>
      <c r="V704" s="224"/>
      <c r="W704" s="224"/>
      <c r="X704" s="224"/>
      <c r="Y704" s="224"/>
      <c r="Z704" s="868"/>
      <c r="AA704" s="865"/>
      <c r="AB704" s="2"/>
      <c r="AC704" s="2"/>
      <c r="AD704" s="2"/>
      <c r="AE704" s="2"/>
      <c r="AF704" s="2"/>
      <c r="AG704" s="2"/>
      <c r="AH704" s="2"/>
      <c r="AI704" s="2"/>
      <c r="AJ704" s="2"/>
      <c r="AK704" s="2"/>
      <c r="AL704" s="2"/>
      <c r="AM704" s="2"/>
      <c r="AN704" s="2"/>
      <c r="AO704" s="9"/>
      <c r="AP704" s="9"/>
      <c r="AQ704" s="9"/>
      <c r="AR704" s="9"/>
    </row>
    <row r="705">
      <c r="A705" s="523"/>
      <c r="B705" s="523"/>
      <c r="C705" s="523"/>
      <c r="D705" s="523"/>
      <c r="E705" s="523"/>
      <c r="F705" s="523"/>
      <c r="G705" s="523"/>
      <c r="H705" s="523"/>
      <c r="I705" s="523"/>
      <c r="J705" s="523"/>
      <c r="K705" s="523"/>
      <c r="L705" s="523"/>
      <c r="M705" s="523"/>
      <c r="N705" s="523"/>
      <c r="O705" s="523"/>
      <c r="P705" s="523"/>
      <c r="Q705" s="523"/>
      <c r="R705" s="523"/>
      <c r="S705" s="523"/>
      <c r="T705" s="523"/>
      <c r="U705" s="523"/>
      <c r="V705" s="224"/>
      <c r="W705" s="224"/>
      <c r="X705" s="224"/>
      <c r="Y705" s="224"/>
      <c r="Z705" s="868"/>
      <c r="AA705" s="865"/>
      <c r="AB705" s="2"/>
      <c r="AC705" s="2"/>
      <c r="AD705" s="2"/>
      <c r="AE705" s="2"/>
      <c r="AF705" s="2"/>
      <c r="AG705" s="2"/>
      <c r="AH705" s="2"/>
      <c r="AI705" s="2"/>
      <c r="AJ705" s="2"/>
      <c r="AK705" s="2"/>
      <c r="AL705" s="2"/>
      <c r="AM705" s="2"/>
      <c r="AN705" s="2"/>
      <c r="AO705" s="9"/>
      <c r="AP705" s="9"/>
      <c r="AQ705" s="9"/>
      <c r="AR705" s="9"/>
    </row>
    <row r="706">
      <c r="A706" s="523"/>
      <c r="B706" s="523"/>
      <c r="C706" s="523"/>
      <c r="D706" s="523"/>
      <c r="E706" s="523"/>
      <c r="F706" s="523"/>
      <c r="G706" s="523"/>
      <c r="H706" s="523"/>
      <c r="I706" s="523"/>
      <c r="J706" s="523"/>
      <c r="K706" s="523"/>
      <c r="L706" s="523"/>
      <c r="M706" s="523"/>
      <c r="N706" s="523"/>
      <c r="O706" s="523"/>
      <c r="P706" s="523"/>
      <c r="Q706" s="523"/>
      <c r="R706" s="523"/>
      <c r="S706" s="523"/>
      <c r="T706" s="523"/>
      <c r="U706" s="523"/>
      <c r="V706" s="224"/>
      <c r="W706" s="224"/>
      <c r="X706" s="224"/>
      <c r="Y706" s="224"/>
      <c r="Z706" s="868"/>
      <c r="AA706" s="865"/>
      <c r="AB706" s="2"/>
      <c r="AC706" s="2"/>
      <c r="AD706" s="2"/>
      <c r="AE706" s="2"/>
      <c r="AF706" s="2"/>
      <c r="AG706" s="2"/>
      <c r="AH706" s="2"/>
      <c r="AI706" s="2"/>
      <c r="AJ706" s="2"/>
      <c r="AK706" s="2"/>
      <c r="AL706" s="2"/>
      <c r="AM706" s="2"/>
      <c r="AN706" s="2"/>
      <c r="AO706" s="9"/>
      <c r="AP706" s="9"/>
      <c r="AQ706" s="9"/>
      <c r="AR706" s="9"/>
    </row>
    <row r="707">
      <c r="A707" s="523"/>
      <c r="B707" s="523"/>
      <c r="C707" s="523"/>
      <c r="D707" s="523"/>
      <c r="E707" s="523"/>
      <c r="F707" s="523"/>
      <c r="G707" s="523"/>
      <c r="H707" s="523"/>
      <c r="I707" s="523"/>
      <c r="J707" s="523"/>
      <c r="K707" s="523"/>
      <c r="L707" s="523"/>
      <c r="M707" s="523"/>
      <c r="N707" s="523"/>
      <c r="O707" s="523"/>
      <c r="P707" s="523"/>
      <c r="Q707" s="523"/>
      <c r="R707" s="523"/>
      <c r="S707" s="523"/>
      <c r="T707" s="523"/>
      <c r="U707" s="523"/>
      <c r="V707" s="224"/>
      <c r="W707" s="224"/>
      <c r="X707" s="224"/>
      <c r="Y707" s="224"/>
      <c r="Z707" s="868"/>
      <c r="AA707" s="865"/>
      <c r="AB707" s="2"/>
      <c r="AC707" s="2"/>
      <c r="AD707" s="2"/>
      <c r="AE707" s="2"/>
      <c r="AF707" s="2"/>
      <c r="AG707" s="2"/>
      <c r="AH707" s="2"/>
      <c r="AI707" s="2"/>
      <c r="AJ707" s="2"/>
      <c r="AK707" s="2"/>
      <c r="AL707" s="2"/>
      <c r="AM707" s="2"/>
      <c r="AN707" s="2"/>
      <c r="AO707" s="9"/>
      <c r="AP707" s="9"/>
      <c r="AQ707" s="9"/>
      <c r="AR707" s="9"/>
    </row>
    <row r="708">
      <c r="A708" s="523"/>
      <c r="B708" s="523"/>
      <c r="C708" s="523"/>
      <c r="D708" s="523"/>
      <c r="E708" s="523"/>
      <c r="F708" s="523"/>
      <c r="G708" s="523"/>
      <c r="H708" s="523"/>
      <c r="I708" s="523"/>
      <c r="J708" s="523"/>
      <c r="K708" s="523"/>
      <c r="L708" s="523"/>
      <c r="M708" s="523"/>
      <c r="N708" s="523"/>
      <c r="O708" s="523"/>
      <c r="P708" s="523"/>
      <c r="Q708" s="523"/>
      <c r="R708" s="523"/>
      <c r="S708" s="523"/>
      <c r="T708" s="523"/>
      <c r="U708" s="523"/>
      <c r="V708" s="224"/>
      <c r="W708" s="224"/>
      <c r="X708" s="224"/>
      <c r="Y708" s="224"/>
      <c r="Z708" s="868"/>
      <c r="AA708" s="865"/>
      <c r="AB708" s="2"/>
      <c r="AC708" s="2"/>
      <c r="AD708" s="2"/>
      <c r="AE708" s="2"/>
      <c r="AF708" s="2"/>
      <c r="AG708" s="2"/>
      <c r="AH708" s="2"/>
      <c r="AI708" s="2"/>
      <c r="AJ708" s="2"/>
      <c r="AK708" s="2"/>
      <c r="AL708" s="2"/>
      <c r="AM708" s="2"/>
      <c r="AN708" s="2"/>
      <c r="AO708" s="9"/>
      <c r="AP708" s="9"/>
      <c r="AQ708" s="9"/>
      <c r="AR708" s="9"/>
    </row>
    <row r="709">
      <c r="A709" s="523"/>
      <c r="B709" s="523"/>
      <c r="C709" s="523"/>
      <c r="D709" s="523"/>
      <c r="E709" s="523"/>
      <c r="F709" s="523"/>
      <c r="G709" s="523"/>
      <c r="H709" s="523"/>
      <c r="I709" s="523"/>
      <c r="J709" s="523"/>
      <c r="K709" s="523"/>
      <c r="L709" s="523"/>
      <c r="M709" s="523"/>
      <c r="N709" s="523"/>
      <c r="O709" s="523"/>
      <c r="P709" s="523"/>
      <c r="Q709" s="523"/>
      <c r="R709" s="523"/>
      <c r="S709" s="523"/>
      <c r="T709" s="523"/>
      <c r="U709" s="523"/>
      <c r="V709" s="224"/>
      <c r="W709" s="224"/>
      <c r="X709" s="224"/>
      <c r="Y709" s="224"/>
      <c r="Z709" s="868"/>
      <c r="AA709" s="865"/>
      <c r="AB709" s="2"/>
      <c r="AC709" s="2"/>
      <c r="AD709" s="2"/>
      <c r="AE709" s="2"/>
      <c r="AF709" s="2"/>
      <c r="AG709" s="2"/>
      <c r="AH709" s="2"/>
      <c r="AI709" s="2"/>
      <c r="AJ709" s="2"/>
      <c r="AK709" s="2"/>
      <c r="AL709" s="2"/>
      <c r="AM709" s="2"/>
      <c r="AN709" s="2"/>
      <c r="AO709" s="9"/>
      <c r="AP709" s="9"/>
      <c r="AQ709" s="9"/>
      <c r="AR709" s="9"/>
    </row>
    <row r="710">
      <c r="A710" s="523"/>
      <c r="B710" s="523"/>
      <c r="C710" s="523"/>
      <c r="D710" s="523"/>
      <c r="E710" s="523"/>
      <c r="F710" s="523"/>
      <c r="G710" s="523"/>
      <c r="H710" s="523"/>
      <c r="I710" s="523"/>
      <c r="J710" s="523"/>
      <c r="K710" s="523"/>
      <c r="L710" s="523"/>
      <c r="M710" s="523"/>
      <c r="N710" s="523"/>
      <c r="O710" s="523"/>
      <c r="P710" s="523"/>
      <c r="Q710" s="523"/>
      <c r="R710" s="523"/>
      <c r="S710" s="523"/>
      <c r="T710" s="523"/>
      <c r="U710" s="523"/>
      <c r="V710" s="224"/>
      <c r="W710" s="224"/>
      <c r="X710" s="224"/>
      <c r="Y710" s="224"/>
      <c r="Z710" s="868"/>
      <c r="AA710" s="865"/>
      <c r="AB710" s="2"/>
      <c r="AC710" s="2"/>
      <c r="AD710" s="2"/>
      <c r="AE710" s="2"/>
      <c r="AF710" s="2"/>
      <c r="AG710" s="2"/>
      <c r="AH710" s="2"/>
      <c r="AI710" s="2"/>
      <c r="AJ710" s="2"/>
      <c r="AK710" s="2"/>
      <c r="AL710" s="2"/>
      <c r="AM710" s="2"/>
      <c r="AN710" s="2"/>
      <c r="AO710" s="9"/>
      <c r="AP710" s="9"/>
      <c r="AQ710" s="9"/>
      <c r="AR710" s="9"/>
    </row>
    <row r="711">
      <c r="A711" s="523"/>
      <c r="B711" s="523"/>
      <c r="C711" s="523"/>
      <c r="D711" s="523"/>
      <c r="E711" s="523"/>
      <c r="F711" s="523"/>
      <c r="G711" s="523"/>
      <c r="H711" s="523"/>
      <c r="I711" s="523"/>
      <c r="J711" s="523"/>
      <c r="K711" s="523"/>
      <c r="L711" s="523"/>
      <c r="M711" s="523"/>
      <c r="N711" s="523"/>
      <c r="O711" s="523"/>
      <c r="P711" s="523"/>
      <c r="Q711" s="523"/>
      <c r="R711" s="523"/>
      <c r="S711" s="523"/>
      <c r="T711" s="523"/>
      <c r="U711" s="523"/>
      <c r="V711" s="224"/>
      <c r="W711" s="224"/>
      <c r="X711" s="224"/>
      <c r="Y711" s="224"/>
      <c r="Z711" s="868"/>
      <c r="AA711" s="865"/>
      <c r="AB711" s="2"/>
      <c r="AC711" s="2"/>
      <c r="AD711" s="2"/>
      <c r="AE711" s="2"/>
      <c r="AF711" s="2"/>
      <c r="AG711" s="2"/>
      <c r="AH711" s="2"/>
      <c r="AI711" s="2"/>
      <c r="AJ711" s="2"/>
      <c r="AK711" s="2"/>
      <c r="AL711" s="2"/>
      <c r="AM711" s="2"/>
      <c r="AN711" s="2"/>
      <c r="AO711" s="9"/>
      <c r="AP711" s="9"/>
      <c r="AQ711" s="9"/>
      <c r="AR711" s="9"/>
    </row>
    <row r="712">
      <c r="A712" s="523"/>
      <c r="B712" s="523"/>
      <c r="C712" s="523"/>
      <c r="D712" s="523"/>
      <c r="E712" s="523"/>
      <c r="F712" s="523"/>
      <c r="G712" s="523"/>
      <c r="H712" s="523"/>
      <c r="I712" s="523"/>
      <c r="J712" s="523"/>
      <c r="K712" s="523"/>
      <c r="L712" s="523"/>
      <c r="M712" s="523"/>
      <c r="N712" s="523"/>
      <c r="O712" s="523"/>
      <c r="P712" s="523"/>
      <c r="Q712" s="523"/>
      <c r="R712" s="523"/>
      <c r="S712" s="523"/>
      <c r="T712" s="523"/>
      <c r="U712" s="523"/>
      <c r="V712" s="224"/>
      <c r="W712" s="224"/>
      <c r="X712" s="224"/>
      <c r="Y712" s="224"/>
      <c r="Z712" s="868"/>
      <c r="AA712" s="865"/>
      <c r="AB712" s="2"/>
      <c r="AC712" s="2"/>
      <c r="AD712" s="2"/>
      <c r="AE712" s="2"/>
      <c r="AF712" s="2"/>
      <c r="AG712" s="2"/>
      <c r="AH712" s="2"/>
      <c r="AI712" s="2"/>
      <c r="AJ712" s="2"/>
      <c r="AK712" s="2"/>
      <c r="AL712" s="2"/>
      <c r="AM712" s="2"/>
      <c r="AN712" s="2"/>
      <c r="AO712" s="9"/>
      <c r="AP712" s="9"/>
      <c r="AQ712" s="9"/>
      <c r="AR712" s="9"/>
    </row>
    <row r="713">
      <c r="A713" s="523"/>
      <c r="B713" s="523"/>
      <c r="C713" s="523"/>
      <c r="D713" s="523"/>
      <c r="E713" s="523"/>
      <c r="F713" s="523"/>
      <c r="G713" s="523"/>
      <c r="H713" s="523"/>
      <c r="I713" s="523"/>
      <c r="J713" s="523"/>
      <c r="K713" s="523"/>
      <c r="L713" s="523"/>
      <c r="M713" s="523"/>
      <c r="N713" s="523"/>
      <c r="O713" s="523"/>
      <c r="P713" s="523"/>
      <c r="Q713" s="523"/>
      <c r="R713" s="523"/>
      <c r="S713" s="523"/>
      <c r="T713" s="523"/>
      <c r="U713" s="523"/>
      <c r="V713" s="224"/>
      <c r="W713" s="224"/>
      <c r="X713" s="224"/>
      <c r="Y713" s="224"/>
      <c r="Z713" s="868"/>
      <c r="AA713" s="865"/>
      <c r="AB713" s="2"/>
      <c r="AC713" s="2"/>
      <c r="AD713" s="2"/>
      <c r="AE713" s="2"/>
      <c r="AF713" s="2"/>
      <c r="AG713" s="2"/>
      <c r="AH713" s="2"/>
      <c r="AI713" s="2"/>
      <c r="AJ713" s="2"/>
      <c r="AK713" s="2"/>
      <c r="AL713" s="2"/>
      <c r="AM713" s="2"/>
      <c r="AN713" s="2"/>
      <c r="AO713" s="9"/>
      <c r="AP713" s="9"/>
      <c r="AQ713" s="9"/>
      <c r="AR713" s="9"/>
    </row>
    <row r="714">
      <c r="A714" s="523"/>
      <c r="B714" s="523"/>
      <c r="C714" s="523"/>
      <c r="D714" s="523"/>
      <c r="E714" s="523"/>
      <c r="F714" s="523"/>
      <c r="G714" s="523"/>
      <c r="H714" s="523"/>
      <c r="I714" s="523"/>
      <c r="J714" s="523"/>
      <c r="K714" s="523"/>
      <c r="L714" s="523"/>
      <c r="M714" s="523"/>
      <c r="N714" s="523"/>
      <c r="O714" s="523"/>
      <c r="P714" s="523"/>
      <c r="Q714" s="523"/>
      <c r="R714" s="523"/>
      <c r="S714" s="523"/>
      <c r="T714" s="523"/>
      <c r="U714" s="523"/>
      <c r="V714" s="224"/>
      <c r="W714" s="224"/>
      <c r="X714" s="224"/>
      <c r="Y714" s="224"/>
      <c r="Z714" s="868"/>
      <c r="AA714" s="865"/>
      <c r="AB714" s="2"/>
      <c r="AC714" s="2"/>
      <c r="AD714" s="2"/>
      <c r="AE714" s="2"/>
      <c r="AF714" s="2"/>
      <c r="AG714" s="2"/>
      <c r="AH714" s="2"/>
      <c r="AI714" s="2"/>
      <c r="AJ714" s="2"/>
      <c r="AK714" s="2"/>
      <c r="AL714" s="2"/>
      <c r="AM714" s="2"/>
      <c r="AN714" s="2"/>
      <c r="AO714" s="9"/>
      <c r="AP714" s="9"/>
      <c r="AQ714" s="9"/>
      <c r="AR714" s="9"/>
    </row>
    <row r="715">
      <c r="A715" s="523"/>
      <c r="B715" s="523"/>
      <c r="C715" s="523"/>
      <c r="D715" s="523"/>
      <c r="E715" s="523"/>
      <c r="F715" s="523"/>
      <c r="G715" s="523"/>
      <c r="H715" s="523"/>
      <c r="I715" s="523"/>
      <c r="J715" s="523"/>
      <c r="K715" s="523"/>
      <c r="L715" s="523"/>
      <c r="M715" s="523"/>
      <c r="N715" s="523"/>
      <c r="O715" s="523"/>
      <c r="P715" s="523"/>
      <c r="Q715" s="523"/>
      <c r="R715" s="523"/>
      <c r="S715" s="523"/>
      <c r="T715" s="523"/>
      <c r="U715" s="523"/>
      <c r="V715" s="224"/>
      <c r="W715" s="224"/>
      <c r="X715" s="224"/>
      <c r="Y715" s="224"/>
      <c r="Z715" s="868"/>
      <c r="AA715" s="865"/>
      <c r="AB715" s="2"/>
      <c r="AC715" s="2"/>
      <c r="AD715" s="2"/>
      <c r="AE715" s="2"/>
      <c r="AF715" s="2"/>
      <c r="AG715" s="2"/>
      <c r="AH715" s="2"/>
      <c r="AI715" s="2"/>
      <c r="AJ715" s="2"/>
      <c r="AK715" s="2"/>
      <c r="AL715" s="2"/>
      <c r="AM715" s="2"/>
      <c r="AN715" s="2"/>
      <c r="AO715" s="9"/>
      <c r="AP715" s="9"/>
      <c r="AQ715" s="9"/>
      <c r="AR715" s="9"/>
    </row>
    <row r="716">
      <c r="A716" s="523"/>
      <c r="B716" s="523"/>
      <c r="C716" s="523"/>
      <c r="D716" s="523"/>
      <c r="E716" s="523"/>
      <c r="F716" s="523"/>
      <c r="G716" s="523"/>
      <c r="H716" s="523"/>
      <c r="I716" s="523"/>
      <c r="J716" s="523"/>
      <c r="K716" s="523"/>
      <c r="L716" s="523"/>
      <c r="M716" s="523"/>
      <c r="N716" s="523"/>
      <c r="O716" s="523"/>
      <c r="P716" s="523"/>
      <c r="Q716" s="523"/>
      <c r="R716" s="523"/>
      <c r="S716" s="523"/>
      <c r="T716" s="523"/>
      <c r="U716" s="523"/>
      <c r="V716" s="224"/>
      <c r="W716" s="224"/>
      <c r="X716" s="224"/>
      <c r="Y716" s="224"/>
      <c r="Z716" s="868"/>
      <c r="AA716" s="865"/>
      <c r="AB716" s="2"/>
      <c r="AC716" s="2"/>
      <c r="AD716" s="2"/>
      <c r="AE716" s="2"/>
      <c r="AF716" s="2"/>
      <c r="AG716" s="2"/>
      <c r="AH716" s="2"/>
      <c r="AI716" s="2"/>
      <c r="AJ716" s="2"/>
      <c r="AK716" s="2"/>
      <c r="AL716" s="2"/>
      <c r="AM716" s="2"/>
      <c r="AN716" s="2"/>
      <c r="AO716" s="9"/>
      <c r="AP716" s="9"/>
      <c r="AQ716" s="9"/>
      <c r="AR716" s="9"/>
    </row>
    <row r="717">
      <c r="A717" s="523"/>
      <c r="B717" s="523"/>
      <c r="C717" s="523"/>
      <c r="D717" s="523"/>
      <c r="E717" s="523"/>
      <c r="F717" s="523"/>
      <c r="G717" s="523"/>
      <c r="H717" s="523"/>
      <c r="I717" s="523"/>
      <c r="J717" s="523"/>
      <c r="K717" s="523"/>
      <c r="L717" s="523"/>
      <c r="M717" s="523"/>
      <c r="N717" s="523"/>
      <c r="O717" s="523"/>
      <c r="P717" s="523"/>
      <c r="Q717" s="523"/>
      <c r="R717" s="523"/>
      <c r="S717" s="523"/>
      <c r="T717" s="523"/>
      <c r="U717" s="523"/>
      <c r="V717" s="224"/>
      <c r="W717" s="224"/>
      <c r="X717" s="224"/>
      <c r="Y717" s="224"/>
      <c r="Z717" s="868"/>
      <c r="AA717" s="865"/>
      <c r="AB717" s="2"/>
      <c r="AC717" s="2"/>
      <c r="AD717" s="2"/>
      <c r="AE717" s="2"/>
      <c r="AF717" s="2"/>
      <c r="AG717" s="2"/>
      <c r="AH717" s="2"/>
      <c r="AI717" s="2"/>
      <c r="AJ717" s="2"/>
      <c r="AK717" s="2"/>
      <c r="AL717" s="2"/>
      <c r="AM717" s="2"/>
      <c r="AN717" s="2"/>
      <c r="AO717" s="9"/>
      <c r="AP717" s="9"/>
      <c r="AQ717" s="9"/>
      <c r="AR717" s="9"/>
    </row>
    <row r="718">
      <c r="A718" s="523"/>
      <c r="B718" s="523"/>
      <c r="C718" s="523"/>
      <c r="D718" s="523"/>
      <c r="E718" s="523"/>
      <c r="F718" s="523"/>
      <c r="G718" s="523"/>
      <c r="H718" s="523"/>
      <c r="I718" s="523"/>
      <c r="J718" s="523"/>
      <c r="K718" s="523"/>
      <c r="L718" s="523"/>
      <c r="M718" s="523"/>
      <c r="N718" s="523"/>
      <c r="O718" s="523"/>
      <c r="P718" s="523"/>
      <c r="Q718" s="523"/>
      <c r="R718" s="523"/>
      <c r="S718" s="523"/>
      <c r="T718" s="523"/>
      <c r="U718" s="523"/>
      <c r="V718" s="224"/>
      <c r="W718" s="224"/>
      <c r="X718" s="224"/>
      <c r="Y718" s="224"/>
      <c r="Z718" s="868"/>
      <c r="AA718" s="865"/>
      <c r="AB718" s="2"/>
      <c r="AC718" s="2"/>
      <c r="AD718" s="2"/>
      <c r="AE718" s="2"/>
      <c r="AF718" s="2"/>
      <c r="AG718" s="2"/>
      <c r="AH718" s="2"/>
      <c r="AI718" s="2"/>
      <c r="AJ718" s="2"/>
      <c r="AK718" s="2"/>
      <c r="AL718" s="2"/>
      <c r="AM718" s="2"/>
      <c r="AN718" s="2"/>
      <c r="AO718" s="9"/>
      <c r="AP718" s="9"/>
      <c r="AQ718" s="9"/>
      <c r="AR718" s="9"/>
    </row>
    <row r="719">
      <c r="A719" s="523"/>
      <c r="B719" s="523"/>
      <c r="C719" s="523"/>
      <c r="D719" s="523"/>
      <c r="E719" s="523"/>
      <c r="F719" s="523"/>
      <c r="G719" s="523"/>
      <c r="H719" s="523"/>
      <c r="I719" s="523"/>
      <c r="J719" s="523"/>
      <c r="K719" s="523"/>
      <c r="L719" s="523"/>
      <c r="M719" s="523"/>
      <c r="N719" s="523"/>
      <c r="O719" s="523"/>
      <c r="P719" s="523"/>
      <c r="Q719" s="523"/>
      <c r="R719" s="523"/>
      <c r="S719" s="523"/>
      <c r="T719" s="523"/>
      <c r="U719" s="523"/>
      <c r="V719" s="224"/>
      <c r="W719" s="224"/>
      <c r="X719" s="224"/>
      <c r="Y719" s="224"/>
      <c r="Z719" s="868"/>
      <c r="AA719" s="865"/>
      <c r="AB719" s="2"/>
      <c r="AC719" s="2"/>
      <c r="AD719" s="2"/>
      <c r="AE719" s="2"/>
      <c r="AF719" s="2"/>
      <c r="AG719" s="2"/>
      <c r="AH719" s="2"/>
      <c r="AI719" s="2"/>
      <c r="AJ719" s="2"/>
      <c r="AK719" s="2"/>
      <c r="AL719" s="2"/>
      <c r="AM719" s="2"/>
      <c r="AN719" s="2"/>
      <c r="AO719" s="9"/>
      <c r="AP719" s="9"/>
      <c r="AQ719" s="9"/>
      <c r="AR719" s="9"/>
    </row>
    <row r="720">
      <c r="A720" s="523"/>
      <c r="B720" s="523"/>
      <c r="C720" s="523"/>
      <c r="D720" s="523"/>
      <c r="E720" s="523"/>
      <c r="F720" s="523"/>
      <c r="G720" s="523"/>
      <c r="H720" s="523"/>
      <c r="I720" s="523"/>
      <c r="J720" s="523"/>
      <c r="K720" s="523"/>
      <c r="L720" s="523"/>
      <c r="M720" s="523"/>
      <c r="N720" s="523"/>
      <c r="O720" s="523"/>
      <c r="P720" s="523"/>
      <c r="Q720" s="523"/>
      <c r="R720" s="523"/>
      <c r="S720" s="523"/>
      <c r="T720" s="523"/>
      <c r="U720" s="523"/>
      <c r="V720" s="224"/>
      <c r="W720" s="224"/>
      <c r="X720" s="224"/>
      <c r="Y720" s="224"/>
      <c r="Z720" s="868"/>
      <c r="AA720" s="865"/>
      <c r="AB720" s="2"/>
      <c r="AC720" s="2"/>
      <c r="AD720" s="2"/>
      <c r="AE720" s="2"/>
      <c r="AF720" s="2"/>
      <c r="AG720" s="2"/>
      <c r="AH720" s="2"/>
      <c r="AI720" s="2"/>
      <c r="AJ720" s="2"/>
      <c r="AK720" s="2"/>
      <c r="AL720" s="2"/>
      <c r="AM720" s="2"/>
      <c r="AN720" s="2"/>
      <c r="AO720" s="9"/>
      <c r="AP720" s="9"/>
      <c r="AQ720" s="9"/>
      <c r="AR720" s="9"/>
    </row>
    <row r="721">
      <c r="A721" s="523"/>
      <c r="B721" s="523"/>
      <c r="C721" s="523"/>
      <c r="D721" s="523"/>
      <c r="E721" s="523"/>
      <c r="F721" s="523"/>
      <c r="G721" s="523"/>
      <c r="H721" s="523"/>
      <c r="I721" s="523"/>
      <c r="J721" s="523"/>
      <c r="K721" s="523"/>
      <c r="L721" s="523"/>
      <c r="M721" s="523"/>
      <c r="N721" s="523"/>
      <c r="O721" s="523"/>
      <c r="P721" s="523"/>
      <c r="Q721" s="523"/>
      <c r="R721" s="523"/>
      <c r="S721" s="523"/>
      <c r="T721" s="523"/>
      <c r="U721" s="523"/>
      <c r="V721" s="224"/>
      <c r="W721" s="224"/>
      <c r="X721" s="224"/>
      <c r="Y721" s="224"/>
      <c r="Z721" s="868"/>
      <c r="AA721" s="865"/>
      <c r="AB721" s="2"/>
      <c r="AC721" s="2"/>
      <c r="AD721" s="2"/>
      <c r="AE721" s="2"/>
      <c r="AF721" s="2"/>
      <c r="AG721" s="2"/>
      <c r="AH721" s="2"/>
      <c r="AI721" s="2"/>
      <c r="AJ721" s="2"/>
      <c r="AK721" s="2"/>
      <c r="AL721" s="2"/>
      <c r="AM721" s="2"/>
      <c r="AN721" s="2"/>
      <c r="AO721" s="9"/>
      <c r="AP721" s="9"/>
      <c r="AQ721" s="9"/>
      <c r="AR721" s="9"/>
    </row>
    <row r="722">
      <c r="A722" s="523"/>
      <c r="B722" s="523"/>
      <c r="C722" s="523"/>
      <c r="D722" s="523"/>
      <c r="E722" s="523"/>
      <c r="F722" s="523"/>
      <c r="G722" s="523"/>
      <c r="H722" s="523"/>
      <c r="I722" s="523"/>
      <c r="J722" s="523"/>
      <c r="K722" s="523"/>
      <c r="L722" s="523"/>
      <c r="M722" s="523"/>
      <c r="N722" s="523"/>
      <c r="O722" s="523"/>
      <c r="P722" s="523"/>
      <c r="Q722" s="523"/>
      <c r="R722" s="523"/>
      <c r="S722" s="523"/>
      <c r="T722" s="523"/>
      <c r="U722" s="523"/>
      <c r="V722" s="224"/>
      <c r="W722" s="224"/>
      <c r="X722" s="224"/>
      <c r="Y722" s="224"/>
      <c r="Z722" s="868"/>
      <c r="AA722" s="865"/>
      <c r="AB722" s="2"/>
      <c r="AC722" s="2"/>
      <c r="AD722" s="2"/>
      <c r="AE722" s="2"/>
      <c r="AF722" s="2"/>
      <c r="AG722" s="2"/>
      <c r="AH722" s="2"/>
      <c r="AI722" s="2"/>
      <c r="AJ722" s="2"/>
      <c r="AK722" s="2"/>
      <c r="AL722" s="2"/>
      <c r="AM722" s="2"/>
      <c r="AN722" s="2"/>
      <c r="AO722" s="9"/>
      <c r="AP722" s="9"/>
      <c r="AQ722" s="9"/>
      <c r="AR722" s="9"/>
    </row>
    <row r="723">
      <c r="A723" s="523"/>
      <c r="B723" s="523"/>
      <c r="C723" s="523"/>
      <c r="D723" s="523"/>
      <c r="E723" s="523"/>
      <c r="F723" s="523"/>
      <c r="G723" s="523"/>
      <c r="H723" s="523"/>
      <c r="I723" s="523"/>
      <c r="J723" s="523"/>
      <c r="K723" s="523"/>
      <c r="L723" s="523"/>
      <c r="M723" s="523"/>
      <c r="N723" s="523"/>
      <c r="O723" s="523"/>
      <c r="P723" s="523"/>
      <c r="Q723" s="523"/>
      <c r="R723" s="523"/>
      <c r="S723" s="523"/>
      <c r="T723" s="523"/>
      <c r="U723" s="523"/>
      <c r="V723" s="224"/>
      <c r="W723" s="224"/>
      <c r="X723" s="224"/>
      <c r="Y723" s="224"/>
      <c r="Z723" s="868"/>
      <c r="AA723" s="865"/>
      <c r="AB723" s="2"/>
      <c r="AC723" s="2"/>
      <c r="AD723" s="2"/>
      <c r="AE723" s="2"/>
      <c r="AF723" s="2"/>
      <c r="AG723" s="2"/>
      <c r="AH723" s="2"/>
      <c r="AI723" s="2"/>
      <c r="AJ723" s="2"/>
      <c r="AK723" s="2"/>
      <c r="AL723" s="2"/>
      <c r="AM723" s="2"/>
      <c r="AN723" s="2"/>
      <c r="AO723" s="9"/>
      <c r="AP723" s="9"/>
      <c r="AQ723" s="9"/>
      <c r="AR723" s="9"/>
    </row>
    <row r="724">
      <c r="A724" s="523"/>
      <c r="B724" s="523"/>
      <c r="C724" s="523"/>
      <c r="D724" s="523"/>
      <c r="E724" s="523"/>
      <c r="F724" s="523"/>
      <c r="G724" s="523"/>
      <c r="H724" s="523"/>
      <c r="I724" s="523"/>
      <c r="J724" s="523"/>
      <c r="K724" s="523"/>
      <c r="L724" s="523"/>
      <c r="M724" s="523"/>
      <c r="N724" s="523"/>
      <c r="O724" s="523"/>
      <c r="P724" s="523"/>
      <c r="Q724" s="523"/>
      <c r="R724" s="523"/>
      <c r="S724" s="523"/>
      <c r="T724" s="523"/>
      <c r="U724" s="523"/>
      <c r="V724" s="224"/>
      <c r="W724" s="224"/>
      <c r="X724" s="224"/>
      <c r="Y724" s="224"/>
      <c r="Z724" s="868"/>
      <c r="AA724" s="865"/>
      <c r="AB724" s="2"/>
      <c r="AC724" s="2"/>
      <c r="AD724" s="2"/>
      <c r="AE724" s="2"/>
      <c r="AF724" s="2"/>
      <c r="AG724" s="2"/>
      <c r="AH724" s="2"/>
      <c r="AI724" s="2"/>
      <c r="AJ724" s="2"/>
      <c r="AK724" s="2"/>
      <c r="AL724" s="2"/>
      <c r="AM724" s="2"/>
      <c r="AN724" s="2"/>
      <c r="AO724" s="9"/>
      <c r="AP724" s="9"/>
      <c r="AQ724" s="9"/>
      <c r="AR724" s="9"/>
    </row>
    <row r="725">
      <c r="A725" s="523"/>
      <c r="B725" s="523"/>
      <c r="C725" s="523"/>
      <c r="D725" s="523"/>
      <c r="E725" s="523"/>
      <c r="F725" s="523"/>
      <c r="G725" s="523"/>
      <c r="H725" s="523"/>
      <c r="I725" s="523"/>
      <c r="J725" s="523"/>
      <c r="K725" s="523"/>
      <c r="L725" s="523"/>
      <c r="M725" s="523"/>
      <c r="N725" s="523"/>
      <c r="O725" s="523"/>
      <c r="P725" s="523"/>
      <c r="Q725" s="523"/>
      <c r="R725" s="523"/>
      <c r="S725" s="523"/>
      <c r="T725" s="523"/>
      <c r="U725" s="523"/>
      <c r="V725" s="224"/>
      <c r="W725" s="224"/>
      <c r="X725" s="224"/>
      <c r="Y725" s="224"/>
      <c r="Z725" s="868"/>
      <c r="AA725" s="865"/>
      <c r="AB725" s="2"/>
      <c r="AC725" s="2"/>
      <c r="AD725" s="2"/>
      <c r="AE725" s="2"/>
      <c r="AF725" s="2"/>
      <c r="AG725" s="2"/>
      <c r="AH725" s="2"/>
      <c r="AI725" s="2"/>
      <c r="AJ725" s="2"/>
      <c r="AK725" s="2"/>
      <c r="AL725" s="2"/>
      <c r="AM725" s="2"/>
      <c r="AN725" s="2"/>
      <c r="AO725" s="9"/>
      <c r="AP725" s="9"/>
      <c r="AQ725" s="9"/>
      <c r="AR725" s="9"/>
    </row>
    <row r="726">
      <c r="A726" s="523"/>
      <c r="B726" s="523"/>
      <c r="C726" s="523"/>
      <c r="D726" s="523"/>
      <c r="E726" s="523"/>
      <c r="F726" s="523"/>
      <c r="G726" s="523"/>
      <c r="H726" s="523"/>
      <c r="I726" s="523"/>
      <c r="J726" s="523"/>
      <c r="K726" s="523"/>
      <c r="L726" s="523"/>
      <c r="M726" s="523"/>
      <c r="N726" s="523"/>
      <c r="O726" s="523"/>
      <c r="P726" s="523"/>
      <c r="Q726" s="523"/>
      <c r="R726" s="523"/>
      <c r="S726" s="523"/>
      <c r="T726" s="523"/>
      <c r="U726" s="523"/>
      <c r="V726" s="224"/>
      <c r="W726" s="224"/>
      <c r="X726" s="224"/>
      <c r="Y726" s="224"/>
      <c r="Z726" s="868"/>
      <c r="AA726" s="865"/>
      <c r="AB726" s="2"/>
      <c r="AC726" s="2"/>
      <c r="AD726" s="2"/>
      <c r="AE726" s="2"/>
      <c r="AF726" s="2"/>
      <c r="AG726" s="2"/>
      <c r="AH726" s="2"/>
      <c r="AI726" s="2"/>
      <c r="AJ726" s="2"/>
      <c r="AK726" s="2"/>
      <c r="AL726" s="2"/>
      <c r="AM726" s="2"/>
      <c r="AN726" s="2"/>
      <c r="AO726" s="9"/>
      <c r="AP726" s="9"/>
      <c r="AQ726" s="9"/>
      <c r="AR726" s="9"/>
    </row>
    <row r="727">
      <c r="A727" s="523"/>
      <c r="B727" s="523"/>
      <c r="C727" s="523"/>
      <c r="D727" s="523"/>
      <c r="E727" s="523"/>
      <c r="F727" s="523"/>
      <c r="G727" s="523"/>
      <c r="H727" s="523"/>
      <c r="I727" s="523"/>
      <c r="J727" s="523"/>
      <c r="K727" s="523"/>
      <c r="L727" s="523"/>
      <c r="M727" s="523"/>
      <c r="N727" s="523"/>
      <c r="O727" s="523"/>
      <c r="P727" s="523"/>
      <c r="Q727" s="523"/>
      <c r="R727" s="523"/>
      <c r="S727" s="523"/>
      <c r="T727" s="523"/>
      <c r="U727" s="523"/>
      <c r="V727" s="224"/>
      <c r="W727" s="224"/>
      <c r="X727" s="224"/>
      <c r="Y727" s="224"/>
      <c r="Z727" s="868"/>
      <c r="AA727" s="865"/>
      <c r="AB727" s="2"/>
      <c r="AC727" s="2"/>
      <c r="AD727" s="2"/>
      <c r="AE727" s="2"/>
      <c r="AF727" s="2"/>
      <c r="AG727" s="2"/>
      <c r="AH727" s="2"/>
      <c r="AI727" s="2"/>
      <c r="AJ727" s="2"/>
      <c r="AK727" s="2"/>
      <c r="AL727" s="2"/>
      <c r="AM727" s="2"/>
      <c r="AN727" s="2"/>
      <c r="AO727" s="9"/>
      <c r="AP727" s="9"/>
      <c r="AQ727" s="9"/>
      <c r="AR727" s="9"/>
    </row>
    <row r="728">
      <c r="A728" s="523"/>
      <c r="B728" s="523"/>
      <c r="C728" s="523"/>
      <c r="D728" s="523"/>
      <c r="E728" s="523"/>
      <c r="F728" s="523"/>
      <c r="G728" s="523"/>
      <c r="H728" s="523"/>
      <c r="I728" s="523"/>
      <c r="J728" s="523"/>
      <c r="K728" s="523"/>
      <c r="L728" s="523"/>
      <c r="M728" s="523"/>
      <c r="N728" s="523"/>
      <c r="O728" s="523"/>
      <c r="P728" s="523"/>
      <c r="Q728" s="523"/>
      <c r="R728" s="523"/>
      <c r="S728" s="523"/>
      <c r="T728" s="523"/>
      <c r="U728" s="523"/>
      <c r="V728" s="224"/>
      <c r="W728" s="224"/>
      <c r="X728" s="224"/>
      <c r="Y728" s="224"/>
      <c r="Z728" s="868"/>
      <c r="AA728" s="865"/>
      <c r="AB728" s="2"/>
      <c r="AC728" s="2"/>
      <c r="AD728" s="2"/>
      <c r="AE728" s="2"/>
      <c r="AF728" s="2"/>
      <c r="AG728" s="2"/>
      <c r="AH728" s="2"/>
      <c r="AI728" s="2"/>
      <c r="AJ728" s="2"/>
      <c r="AK728" s="2"/>
      <c r="AL728" s="2"/>
      <c r="AM728" s="2"/>
      <c r="AN728" s="2"/>
      <c r="AO728" s="9"/>
      <c r="AP728" s="9"/>
      <c r="AQ728" s="9"/>
      <c r="AR728" s="9"/>
    </row>
    <row r="729">
      <c r="A729" s="523"/>
      <c r="B729" s="523"/>
      <c r="C729" s="523"/>
      <c r="D729" s="523"/>
      <c r="E729" s="523"/>
      <c r="F729" s="523"/>
      <c r="G729" s="523"/>
      <c r="H729" s="523"/>
      <c r="I729" s="523"/>
      <c r="J729" s="523"/>
      <c r="K729" s="523"/>
      <c r="L729" s="523"/>
      <c r="M729" s="523"/>
      <c r="N729" s="523"/>
      <c r="O729" s="523"/>
      <c r="P729" s="523"/>
      <c r="Q729" s="523"/>
      <c r="R729" s="523"/>
      <c r="S729" s="523"/>
      <c r="T729" s="523"/>
      <c r="U729" s="523"/>
      <c r="V729" s="224"/>
      <c r="W729" s="224"/>
      <c r="X729" s="224"/>
      <c r="Y729" s="224"/>
      <c r="Z729" s="868"/>
      <c r="AA729" s="865"/>
      <c r="AB729" s="2"/>
      <c r="AC729" s="2"/>
      <c r="AD729" s="2"/>
      <c r="AE729" s="2"/>
      <c r="AF729" s="2"/>
      <c r="AG729" s="2"/>
      <c r="AH729" s="2"/>
      <c r="AI729" s="2"/>
      <c r="AJ729" s="2"/>
      <c r="AK729" s="2"/>
      <c r="AL729" s="2"/>
      <c r="AM729" s="2"/>
      <c r="AN729" s="2"/>
      <c r="AO729" s="9"/>
      <c r="AP729" s="9"/>
      <c r="AQ729" s="9"/>
      <c r="AR729" s="9"/>
    </row>
    <row r="730">
      <c r="A730" s="523"/>
      <c r="B730" s="523"/>
      <c r="C730" s="523"/>
      <c r="D730" s="523"/>
      <c r="E730" s="523"/>
      <c r="F730" s="523"/>
      <c r="G730" s="523"/>
      <c r="H730" s="523"/>
      <c r="I730" s="523"/>
      <c r="J730" s="523"/>
      <c r="K730" s="523"/>
      <c r="L730" s="523"/>
      <c r="M730" s="523"/>
      <c r="N730" s="523"/>
      <c r="O730" s="523"/>
      <c r="P730" s="523"/>
      <c r="Q730" s="523"/>
      <c r="R730" s="523"/>
      <c r="S730" s="523"/>
      <c r="T730" s="523"/>
      <c r="U730" s="523"/>
      <c r="V730" s="224"/>
      <c r="W730" s="224"/>
      <c r="X730" s="224"/>
      <c r="Y730" s="224"/>
      <c r="Z730" s="868"/>
      <c r="AA730" s="865"/>
      <c r="AB730" s="2"/>
      <c r="AC730" s="2"/>
      <c r="AD730" s="2"/>
      <c r="AE730" s="2"/>
      <c r="AF730" s="2"/>
      <c r="AG730" s="2"/>
      <c r="AH730" s="2"/>
      <c r="AI730" s="2"/>
      <c r="AJ730" s="2"/>
      <c r="AK730" s="2"/>
      <c r="AL730" s="2"/>
      <c r="AM730" s="2"/>
      <c r="AN730" s="2"/>
      <c r="AO730" s="9"/>
      <c r="AP730" s="9"/>
      <c r="AQ730" s="9"/>
      <c r="AR730" s="9"/>
    </row>
    <row r="731">
      <c r="A731" s="523"/>
      <c r="B731" s="523"/>
      <c r="C731" s="523"/>
      <c r="D731" s="523"/>
      <c r="E731" s="523"/>
      <c r="F731" s="523"/>
      <c r="G731" s="523"/>
      <c r="H731" s="523"/>
      <c r="I731" s="523"/>
      <c r="J731" s="523"/>
      <c r="K731" s="523"/>
      <c r="L731" s="523"/>
      <c r="M731" s="523"/>
      <c r="N731" s="523"/>
      <c r="O731" s="523"/>
      <c r="P731" s="523"/>
      <c r="Q731" s="523"/>
      <c r="R731" s="523"/>
      <c r="S731" s="523"/>
      <c r="T731" s="523"/>
      <c r="U731" s="523"/>
      <c r="V731" s="224"/>
      <c r="W731" s="224"/>
      <c r="X731" s="224"/>
      <c r="Y731" s="224"/>
      <c r="Z731" s="868"/>
      <c r="AA731" s="865"/>
      <c r="AB731" s="2"/>
      <c r="AC731" s="2"/>
      <c r="AD731" s="2"/>
      <c r="AE731" s="2"/>
      <c r="AF731" s="2"/>
      <c r="AG731" s="2"/>
      <c r="AH731" s="2"/>
      <c r="AI731" s="2"/>
      <c r="AJ731" s="2"/>
      <c r="AK731" s="2"/>
      <c r="AL731" s="2"/>
      <c r="AM731" s="2"/>
      <c r="AN731" s="2"/>
      <c r="AO731" s="9"/>
      <c r="AP731" s="9"/>
      <c r="AQ731" s="9"/>
      <c r="AR731" s="9"/>
    </row>
    <row r="732">
      <c r="A732" s="523"/>
      <c r="B732" s="523"/>
      <c r="C732" s="523"/>
      <c r="D732" s="523"/>
      <c r="E732" s="523"/>
      <c r="F732" s="523"/>
      <c r="G732" s="523"/>
      <c r="H732" s="523"/>
      <c r="I732" s="523"/>
      <c r="J732" s="523"/>
      <c r="K732" s="523"/>
      <c r="L732" s="523"/>
      <c r="M732" s="523"/>
      <c r="N732" s="523"/>
      <c r="O732" s="523"/>
      <c r="P732" s="523"/>
      <c r="Q732" s="523"/>
      <c r="R732" s="523"/>
      <c r="S732" s="523"/>
      <c r="T732" s="523"/>
      <c r="U732" s="523"/>
      <c r="V732" s="224"/>
      <c r="W732" s="224"/>
      <c r="X732" s="224"/>
      <c r="Y732" s="224"/>
      <c r="Z732" s="868"/>
      <c r="AA732" s="865"/>
      <c r="AB732" s="2"/>
      <c r="AC732" s="2"/>
      <c r="AD732" s="2"/>
      <c r="AE732" s="2"/>
      <c r="AF732" s="2"/>
      <c r="AG732" s="2"/>
      <c r="AH732" s="2"/>
      <c r="AI732" s="2"/>
      <c r="AJ732" s="2"/>
      <c r="AK732" s="2"/>
      <c r="AL732" s="2"/>
      <c r="AM732" s="2"/>
      <c r="AN732" s="2"/>
      <c r="AO732" s="9"/>
      <c r="AP732" s="9"/>
      <c r="AQ732" s="9"/>
      <c r="AR732" s="9"/>
    </row>
    <row r="733">
      <c r="A733" s="523"/>
      <c r="B733" s="523"/>
      <c r="C733" s="523"/>
      <c r="D733" s="523"/>
      <c r="E733" s="523"/>
      <c r="F733" s="523"/>
      <c r="G733" s="523"/>
      <c r="H733" s="523"/>
      <c r="I733" s="523"/>
      <c r="J733" s="523"/>
      <c r="K733" s="523"/>
      <c r="L733" s="523"/>
      <c r="M733" s="523"/>
      <c r="N733" s="523"/>
      <c r="O733" s="523"/>
      <c r="P733" s="523"/>
      <c r="Q733" s="523"/>
      <c r="R733" s="523"/>
      <c r="S733" s="523"/>
      <c r="T733" s="523"/>
      <c r="U733" s="523"/>
      <c r="V733" s="224"/>
      <c r="W733" s="224"/>
      <c r="X733" s="224"/>
      <c r="Y733" s="224"/>
      <c r="Z733" s="868"/>
      <c r="AA733" s="865"/>
      <c r="AB733" s="2"/>
      <c r="AC733" s="2"/>
      <c r="AD733" s="2"/>
      <c r="AE733" s="2"/>
      <c r="AF733" s="2"/>
      <c r="AG733" s="2"/>
      <c r="AH733" s="2"/>
      <c r="AI733" s="2"/>
      <c r="AJ733" s="2"/>
      <c r="AK733" s="2"/>
      <c r="AL733" s="2"/>
      <c r="AM733" s="2"/>
      <c r="AN733" s="2"/>
      <c r="AO733" s="9"/>
      <c r="AP733" s="9"/>
      <c r="AQ733" s="9"/>
      <c r="AR733" s="9"/>
    </row>
    <row r="734">
      <c r="A734" s="523"/>
      <c r="B734" s="523"/>
      <c r="C734" s="523"/>
      <c r="D734" s="523"/>
      <c r="E734" s="523"/>
      <c r="F734" s="523"/>
      <c r="G734" s="523"/>
      <c r="H734" s="523"/>
      <c r="I734" s="523"/>
      <c r="J734" s="523"/>
      <c r="K734" s="523"/>
      <c r="L734" s="523"/>
      <c r="M734" s="523"/>
      <c r="N734" s="523"/>
      <c r="O734" s="523"/>
      <c r="P734" s="523"/>
      <c r="Q734" s="523"/>
      <c r="R734" s="523"/>
      <c r="S734" s="523"/>
      <c r="T734" s="523"/>
      <c r="U734" s="523"/>
      <c r="V734" s="224"/>
      <c r="W734" s="224"/>
      <c r="X734" s="224"/>
      <c r="Y734" s="224"/>
      <c r="Z734" s="868"/>
      <c r="AA734" s="865"/>
      <c r="AB734" s="2"/>
      <c r="AC734" s="2"/>
      <c r="AD734" s="2"/>
      <c r="AE734" s="2"/>
      <c r="AF734" s="2"/>
      <c r="AG734" s="2"/>
      <c r="AH734" s="2"/>
      <c r="AI734" s="2"/>
      <c r="AJ734" s="2"/>
      <c r="AK734" s="2"/>
      <c r="AL734" s="2"/>
      <c r="AM734" s="2"/>
      <c r="AN734" s="2"/>
      <c r="AO734" s="9"/>
      <c r="AP734" s="9"/>
      <c r="AQ734" s="9"/>
      <c r="AR734" s="9"/>
    </row>
    <row r="735">
      <c r="A735" s="523"/>
      <c r="B735" s="523"/>
      <c r="C735" s="523"/>
      <c r="D735" s="523"/>
      <c r="E735" s="523"/>
      <c r="F735" s="523"/>
      <c r="G735" s="523"/>
      <c r="H735" s="523"/>
      <c r="I735" s="523"/>
      <c r="J735" s="523"/>
      <c r="K735" s="523"/>
      <c r="L735" s="523"/>
      <c r="M735" s="523"/>
      <c r="N735" s="523"/>
      <c r="O735" s="523"/>
      <c r="P735" s="523"/>
      <c r="Q735" s="523"/>
      <c r="R735" s="523"/>
      <c r="S735" s="523"/>
      <c r="T735" s="523"/>
      <c r="U735" s="523"/>
      <c r="V735" s="224"/>
      <c r="W735" s="224"/>
      <c r="X735" s="224"/>
      <c r="Y735" s="224"/>
      <c r="Z735" s="868"/>
      <c r="AA735" s="865"/>
      <c r="AB735" s="2"/>
      <c r="AC735" s="2"/>
      <c r="AD735" s="2"/>
      <c r="AE735" s="2"/>
      <c r="AF735" s="2"/>
      <c r="AG735" s="2"/>
      <c r="AH735" s="2"/>
      <c r="AI735" s="2"/>
      <c r="AJ735" s="2"/>
      <c r="AK735" s="2"/>
      <c r="AL735" s="2"/>
      <c r="AM735" s="2"/>
      <c r="AN735" s="2"/>
      <c r="AO735" s="9"/>
      <c r="AP735" s="9"/>
      <c r="AQ735" s="9"/>
      <c r="AR735" s="9"/>
    </row>
    <row r="736">
      <c r="A736" s="523"/>
      <c r="B736" s="523"/>
      <c r="C736" s="523"/>
      <c r="D736" s="523"/>
      <c r="E736" s="523"/>
      <c r="F736" s="523"/>
      <c r="G736" s="523"/>
      <c r="H736" s="523"/>
      <c r="I736" s="523"/>
      <c r="J736" s="523"/>
      <c r="K736" s="523"/>
      <c r="L736" s="523"/>
      <c r="M736" s="523"/>
      <c r="N736" s="523"/>
      <c r="O736" s="523"/>
      <c r="P736" s="523"/>
      <c r="Q736" s="523"/>
      <c r="R736" s="523"/>
      <c r="S736" s="523"/>
      <c r="T736" s="523"/>
      <c r="U736" s="523"/>
      <c r="V736" s="224"/>
      <c r="W736" s="224"/>
      <c r="X736" s="224"/>
      <c r="Y736" s="224"/>
      <c r="Z736" s="868"/>
      <c r="AA736" s="865"/>
      <c r="AB736" s="2"/>
      <c r="AC736" s="2"/>
      <c r="AD736" s="2"/>
      <c r="AE736" s="2"/>
      <c r="AF736" s="2"/>
      <c r="AG736" s="2"/>
      <c r="AH736" s="2"/>
      <c r="AI736" s="2"/>
      <c r="AJ736" s="2"/>
      <c r="AK736" s="2"/>
      <c r="AL736" s="2"/>
      <c r="AM736" s="2"/>
      <c r="AN736" s="2"/>
      <c r="AO736" s="9"/>
      <c r="AP736" s="9"/>
      <c r="AQ736" s="9"/>
      <c r="AR736" s="9"/>
    </row>
    <row r="737">
      <c r="A737" s="523"/>
      <c r="B737" s="523"/>
      <c r="C737" s="523"/>
      <c r="D737" s="523"/>
      <c r="E737" s="523"/>
      <c r="F737" s="523"/>
      <c r="G737" s="523"/>
      <c r="H737" s="523"/>
      <c r="I737" s="523"/>
      <c r="J737" s="523"/>
      <c r="K737" s="523"/>
      <c r="L737" s="523"/>
      <c r="M737" s="523"/>
      <c r="N737" s="523"/>
      <c r="O737" s="523"/>
      <c r="P737" s="523"/>
      <c r="Q737" s="523"/>
      <c r="R737" s="523"/>
      <c r="S737" s="523"/>
      <c r="T737" s="523"/>
      <c r="U737" s="523"/>
      <c r="V737" s="224"/>
      <c r="W737" s="224"/>
      <c r="X737" s="224"/>
      <c r="Y737" s="224"/>
      <c r="Z737" s="868"/>
      <c r="AA737" s="865"/>
      <c r="AB737" s="2"/>
      <c r="AC737" s="2"/>
      <c r="AD737" s="2"/>
      <c r="AE737" s="2"/>
      <c r="AF737" s="2"/>
      <c r="AG737" s="2"/>
      <c r="AH737" s="2"/>
      <c r="AI737" s="2"/>
      <c r="AJ737" s="2"/>
      <c r="AK737" s="2"/>
      <c r="AL737" s="2"/>
      <c r="AM737" s="2"/>
      <c r="AN737" s="2"/>
      <c r="AO737" s="9"/>
      <c r="AP737" s="9"/>
      <c r="AQ737" s="9"/>
      <c r="AR737" s="9"/>
    </row>
    <row r="738">
      <c r="A738" s="523"/>
      <c r="B738" s="523"/>
      <c r="C738" s="523"/>
      <c r="D738" s="523"/>
      <c r="E738" s="523"/>
      <c r="F738" s="523"/>
      <c r="G738" s="523"/>
      <c r="H738" s="523"/>
      <c r="I738" s="523"/>
      <c r="J738" s="523"/>
      <c r="K738" s="523"/>
      <c r="L738" s="523"/>
      <c r="M738" s="523"/>
      <c r="N738" s="523"/>
      <c r="O738" s="523"/>
      <c r="P738" s="523"/>
      <c r="Q738" s="523"/>
      <c r="R738" s="523"/>
      <c r="S738" s="523"/>
      <c r="T738" s="523"/>
      <c r="U738" s="523"/>
      <c r="V738" s="224"/>
      <c r="W738" s="224"/>
      <c r="X738" s="224"/>
      <c r="Y738" s="224"/>
      <c r="Z738" s="868"/>
      <c r="AA738" s="865"/>
      <c r="AB738" s="2"/>
      <c r="AC738" s="2"/>
      <c r="AD738" s="2"/>
      <c r="AE738" s="2"/>
      <c r="AF738" s="2"/>
      <c r="AG738" s="2"/>
      <c r="AH738" s="2"/>
      <c r="AI738" s="2"/>
      <c r="AJ738" s="2"/>
      <c r="AK738" s="2"/>
      <c r="AL738" s="2"/>
      <c r="AM738" s="2"/>
      <c r="AN738" s="2"/>
      <c r="AO738" s="9"/>
      <c r="AP738" s="9"/>
      <c r="AQ738" s="9"/>
      <c r="AR738" s="9"/>
    </row>
    <row r="739">
      <c r="A739" s="523"/>
      <c r="B739" s="523"/>
      <c r="C739" s="523"/>
      <c r="D739" s="523"/>
      <c r="E739" s="523"/>
      <c r="F739" s="523"/>
      <c r="G739" s="523"/>
      <c r="H739" s="523"/>
      <c r="I739" s="523"/>
      <c r="J739" s="523"/>
      <c r="K739" s="523"/>
      <c r="L739" s="523"/>
      <c r="M739" s="523"/>
      <c r="N739" s="523"/>
      <c r="O739" s="523"/>
      <c r="P739" s="523"/>
      <c r="Q739" s="523"/>
      <c r="R739" s="523"/>
      <c r="S739" s="523"/>
      <c r="T739" s="523"/>
      <c r="U739" s="523"/>
      <c r="V739" s="224"/>
      <c r="W739" s="224"/>
      <c r="X739" s="224"/>
      <c r="Y739" s="224"/>
      <c r="Z739" s="868"/>
      <c r="AA739" s="865"/>
      <c r="AB739" s="2"/>
      <c r="AC739" s="2"/>
      <c r="AD739" s="2"/>
      <c r="AE739" s="2"/>
      <c r="AF739" s="2"/>
      <c r="AG739" s="2"/>
      <c r="AH739" s="2"/>
      <c r="AI739" s="2"/>
      <c r="AJ739" s="2"/>
      <c r="AK739" s="2"/>
      <c r="AL739" s="2"/>
      <c r="AM739" s="2"/>
      <c r="AN739" s="2"/>
      <c r="AO739" s="9"/>
      <c r="AP739" s="9"/>
      <c r="AQ739" s="9"/>
      <c r="AR739" s="9"/>
    </row>
    <row r="740">
      <c r="A740" s="523"/>
      <c r="B740" s="523"/>
      <c r="C740" s="523"/>
      <c r="D740" s="523"/>
      <c r="E740" s="523"/>
      <c r="F740" s="523"/>
      <c r="G740" s="523"/>
      <c r="H740" s="523"/>
      <c r="I740" s="523"/>
      <c r="J740" s="523"/>
      <c r="K740" s="523"/>
      <c r="L740" s="523"/>
      <c r="M740" s="523"/>
      <c r="N740" s="523"/>
      <c r="O740" s="523"/>
      <c r="P740" s="523"/>
      <c r="Q740" s="523"/>
      <c r="R740" s="523"/>
      <c r="S740" s="523"/>
      <c r="T740" s="523"/>
      <c r="U740" s="523"/>
      <c r="V740" s="224"/>
      <c r="W740" s="224"/>
      <c r="X740" s="224"/>
      <c r="Y740" s="224"/>
      <c r="Z740" s="868"/>
      <c r="AA740" s="865"/>
      <c r="AB740" s="2"/>
      <c r="AC740" s="2"/>
      <c r="AD740" s="2"/>
      <c r="AE740" s="2"/>
      <c r="AF740" s="2"/>
      <c r="AG740" s="2"/>
      <c r="AH740" s="2"/>
      <c r="AI740" s="2"/>
      <c r="AJ740" s="2"/>
      <c r="AK740" s="2"/>
      <c r="AL740" s="2"/>
      <c r="AM740" s="2"/>
      <c r="AN740" s="2"/>
      <c r="AO740" s="9"/>
      <c r="AP740" s="9"/>
      <c r="AQ740" s="9"/>
      <c r="AR740" s="9"/>
    </row>
    <row r="741">
      <c r="A741" s="523"/>
      <c r="B741" s="523"/>
      <c r="C741" s="523"/>
      <c r="D741" s="523"/>
      <c r="E741" s="523"/>
      <c r="F741" s="523"/>
      <c r="G741" s="523"/>
      <c r="H741" s="523"/>
      <c r="I741" s="523"/>
      <c r="J741" s="523"/>
      <c r="K741" s="523"/>
      <c r="L741" s="523"/>
      <c r="M741" s="523"/>
      <c r="N741" s="523"/>
      <c r="O741" s="523"/>
      <c r="P741" s="523"/>
      <c r="Q741" s="523"/>
      <c r="R741" s="523"/>
      <c r="S741" s="523"/>
      <c r="T741" s="523"/>
      <c r="U741" s="523"/>
      <c r="V741" s="224"/>
      <c r="W741" s="224"/>
      <c r="X741" s="224"/>
      <c r="Y741" s="224"/>
      <c r="Z741" s="868"/>
      <c r="AA741" s="865"/>
      <c r="AB741" s="2"/>
      <c r="AC741" s="2"/>
      <c r="AD741" s="2"/>
      <c r="AE741" s="2"/>
      <c r="AF741" s="2"/>
      <c r="AG741" s="2"/>
      <c r="AH741" s="2"/>
      <c r="AI741" s="2"/>
      <c r="AJ741" s="2"/>
      <c r="AK741" s="2"/>
      <c r="AL741" s="2"/>
      <c r="AM741" s="2"/>
      <c r="AN741" s="2"/>
      <c r="AO741" s="9"/>
      <c r="AP741" s="9"/>
      <c r="AQ741" s="9"/>
      <c r="AR741" s="9"/>
    </row>
    <row r="742">
      <c r="A742" s="523"/>
      <c r="B742" s="523"/>
      <c r="C742" s="523"/>
      <c r="D742" s="523"/>
      <c r="E742" s="523"/>
      <c r="F742" s="523"/>
      <c r="G742" s="523"/>
      <c r="H742" s="523"/>
      <c r="I742" s="523"/>
      <c r="J742" s="523"/>
      <c r="K742" s="523"/>
      <c r="L742" s="523"/>
      <c r="M742" s="523"/>
      <c r="N742" s="523"/>
      <c r="O742" s="523"/>
      <c r="P742" s="523"/>
      <c r="Q742" s="523"/>
      <c r="R742" s="523"/>
      <c r="S742" s="523"/>
      <c r="T742" s="523"/>
      <c r="U742" s="523"/>
      <c r="V742" s="224"/>
      <c r="W742" s="224"/>
      <c r="X742" s="224"/>
      <c r="Y742" s="224"/>
      <c r="Z742" s="868"/>
      <c r="AA742" s="865"/>
      <c r="AB742" s="2"/>
      <c r="AC742" s="2"/>
      <c r="AD742" s="2"/>
      <c r="AE742" s="2"/>
      <c r="AF742" s="2"/>
      <c r="AG742" s="2"/>
      <c r="AH742" s="2"/>
      <c r="AI742" s="2"/>
      <c r="AJ742" s="2"/>
      <c r="AK742" s="2"/>
      <c r="AL742" s="2"/>
      <c r="AM742" s="2"/>
      <c r="AN742" s="2"/>
      <c r="AO742" s="9"/>
      <c r="AP742" s="9"/>
      <c r="AQ742" s="9"/>
      <c r="AR742" s="9"/>
    </row>
    <row r="743">
      <c r="A743" s="523"/>
      <c r="B743" s="523"/>
      <c r="C743" s="523"/>
      <c r="D743" s="523"/>
      <c r="E743" s="523"/>
      <c r="F743" s="523"/>
      <c r="G743" s="523"/>
      <c r="H743" s="523"/>
      <c r="I743" s="523"/>
      <c r="J743" s="523"/>
      <c r="K743" s="523"/>
      <c r="L743" s="523"/>
      <c r="M743" s="523"/>
      <c r="N743" s="523"/>
      <c r="O743" s="523"/>
      <c r="P743" s="523"/>
      <c r="Q743" s="523"/>
      <c r="R743" s="523"/>
      <c r="S743" s="523"/>
      <c r="T743" s="523"/>
      <c r="U743" s="523"/>
      <c r="V743" s="224"/>
      <c r="W743" s="224"/>
      <c r="X743" s="224"/>
      <c r="Y743" s="224"/>
      <c r="Z743" s="868"/>
      <c r="AA743" s="865"/>
      <c r="AB743" s="2"/>
      <c r="AC743" s="2"/>
      <c r="AD743" s="2"/>
      <c r="AE743" s="2"/>
      <c r="AF743" s="2"/>
      <c r="AG743" s="2"/>
      <c r="AH743" s="2"/>
      <c r="AI743" s="2"/>
      <c r="AJ743" s="2"/>
      <c r="AK743" s="2"/>
      <c r="AL743" s="2"/>
      <c r="AM743" s="2"/>
      <c r="AN743" s="2"/>
      <c r="AO743" s="9"/>
      <c r="AP743" s="9"/>
      <c r="AQ743" s="9"/>
      <c r="AR743" s="9"/>
    </row>
    <row r="744">
      <c r="A744" s="523"/>
      <c r="B744" s="523"/>
      <c r="C744" s="523"/>
      <c r="D744" s="523"/>
      <c r="E744" s="523"/>
      <c r="F744" s="523"/>
      <c r="G744" s="523"/>
      <c r="H744" s="523"/>
      <c r="I744" s="523"/>
      <c r="J744" s="523"/>
      <c r="K744" s="523"/>
      <c r="L744" s="523"/>
      <c r="M744" s="523"/>
      <c r="N744" s="523"/>
      <c r="O744" s="523"/>
      <c r="P744" s="523"/>
      <c r="Q744" s="523"/>
      <c r="R744" s="523"/>
      <c r="S744" s="523"/>
      <c r="T744" s="523"/>
      <c r="U744" s="523"/>
      <c r="V744" s="224"/>
      <c r="W744" s="224"/>
      <c r="X744" s="224"/>
      <c r="Y744" s="224"/>
      <c r="Z744" s="868"/>
      <c r="AA744" s="865"/>
      <c r="AB744" s="2"/>
      <c r="AC744" s="2"/>
      <c r="AD744" s="2"/>
      <c r="AE744" s="2"/>
      <c r="AF744" s="2"/>
      <c r="AG744" s="2"/>
      <c r="AH744" s="2"/>
      <c r="AI744" s="2"/>
      <c r="AJ744" s="2"/>
      <c r="AK744" s="2"/>
      <c r="AL744" s="2"/>
      <c r="AM744" s="2"/>
      <c r="AN744" s="2"/>
      <c r="AO744" s="9"/>
      <c r="AP744" s="9"/>
      <c r="AQ744" s="9"/>
      <c r="AR744" s="9"/>
    </row>
    <row r="745">
      <c r="A745" s="523"/>
      <c r="B745" s="523"/>
      <c r="C745" s="523"/>
      <c r="D745" s="523"/>
      <c r="E745" s="523"/>
      <c r="F745" s="523"/>
      <c r="G745" s="523"/>
      <c r="H745" s="523"/>
      <c r="I745" s="523"/>
      <c r="J745" s="523"/>
      <c r="K745" s="523"/>
      <c r="L745" s="523"/>
      <c r="M745" s="523"/>
      <c r="N745" s="523"/>
      <c r="O745" s="523"/>
      <c r="P745" s="523"/>
      <c r="Q745" s="523"/>
      <c r="R745" s="523"/>
      <c r="S745" s="523"/>
      <c r="T745" s="523"/>
      <c r="U745" s="523"/>
      <c r="V745" s="224"/>
      <c r="W745" s="224"/>
      <c r="X745" s="224"/>
      <c r="Y745" s="224"/>
      <c r="Z745" s="868"/>
      <c r="AA745" s="865"/>
      <c r="AB745" s="2"/>
      <c r="AC745" s="2"/>
      <c r="AD745" s="2"/>
      <c r="AE745" s="2"/>
      <c r="AF745" s="2"/>
      <c r="AG745" s="2"/>
      <c r="AH745" s="2"/>
      <c r="AI745" s="2"/>
      <c r="AJ745" s="2"/>
      <c r="AK745" s="2"/>
      <c r="AL745" s="2"/>
      <c r="AM745" s="2"/>
      <c r="AN745" s="2"/>
      <c r="AO745" s="9"/>
      <c r="AP745" s="9"/>
      <c r="AQ745" s="9"/>
      <c r="AR745" s="9"/>
    </row>
    <row r="746">
      <c r="A746" s="523"/>
      <c r="B746" s="523"/>
      <c r="C746" s="523"/>
      <c r="D746" s="523"/>
      <c r="E746" s="523"/>
      <c r="F746" s="523"/>
      <c r="G746" s="523"/>
      <c r="H746" s="523"/>
      <c r="I746" s="523"/>
      <c r="J746" s="523"/>
      <c r="K746" s="523"/>
      <c r="L746" s="523"/>
      <c r="M746" s="523"/>
      <c r="N746" s="523"/>
      <c r="O746" s="523"/>
      <c r="P746" s="523"/>
      <c r="Q746" s="523"/>
      <c r="R746" s="523"/>
      <c r="S746" s="523"/>
      <c r="T746" s="523"/>
      <c r="U746" s="523"/>
      <c r="V746" s="224"/>
      <c r="W746" s="224"/>
      <c r="X746" s="224"/>
      <c r="Y746" s="224"/>
      <c r="Z746" s="868"/>
      <c r="AA746" s="865"/>
      <c r="AB746" s="2"/>
      <c r="AC746" s="2"/>
      <c r="AD746" s="2"/>
      <c r="AE746" s="2"/>
      <c r="AF746" s="2"/>
      <c r="AG746" s="2"/>
      <c r="AH746" s="2"/>
      <c r="AI746" s="2"/>
      <c r="AJ746" s="2"/>
      <c r="AK746" s="2"/>
      <c r="AL746" s="2"/>
      <c r="AM746" s="2"/>
      <c r="AN746" s="2"/>
      <c r="AO746" s="9"/>
      <c r="AP746" s="9"/>
      <c r="AQ746" s="9"/>
      <c r="AR746" s="9"/>
    </row>
    <row r="747">
      <c r="A747" s="523"/>
      <c r="B747" s="523"/>
      <c r="C747" s="523"/>
      <c r="D747" s="523"/>
      <c r="E747" s="523"/>
      <c r="F747" s="523"/>
      <c r="G747" s="523"/>
      <c r="H747" s="523"/>
      <c r="I747" s="523"/>
      <c r="J747" s="523"/>
      <c r="K747" s="523"/>
      <c r="L747" s="523"/>
      <c r="M747" s="523"/>
      <c r="N747" s="523"/>
      <c r="O747" s="523"/>
      <c r="P747" s="523"/>
      <c r="Q747" s="523"/>
      <c r="R747" s="523"/>
      <c r="S747" s="523"/>
      <c r="T747" s="523"/>
      <c r="U747" s="523"/>
      <c r="V747" s="224"/>
      <c r="W747" s="224"/>
      <c r="X747" s="224"/>
      <c r="Y747" s="224"/>
      <c r="Z747" s="868"/>
      <c r="AA747" s="865"/>
      <c r="AB747" s="2"/>
      <c r="AC747" s="2"/>
      <c r="AD747" s="2"/>
      <c r="AE747" s="2"/>
      <c r="AF747" s="2"/>
      <c r="AG747" s="2"/>
      <c r="AH747" s="2"/>
      <c r="AI747" s="2"/>
      <c r="AJ747" s="2"/>
      <c r="AK747" s="2"/>
      <c r="AL747" s="2"/>
      <c r="AM747" s="2"/>
      <c r="AN747" s="2"/>
      <c r="AO747" s="9"/>
      <c r="AP747" s="9"/>
      <c r="AQ747" s="9"/>
      <c r="AR747" s="9"/>
    </row>
    <row r="748">
      <c r="A748" s="523"/>
      <c r="B748" s="523"/>
      <c r="C748" s="523"/>
      <c r="D748" s="523"/>
      <c r="E748" s="523"/>
      <c r="F748" s="523"/>
      <c r="G748" s="523"/>
      <c r="H748" s="523"/>
      <c r="I748" s="523"/>
      <c r="J748" s="523"/>
      <c r="K748" s="523"/>
      <c r="L748" s="523"/>
      <c r="M748" s="523"/>
      <c r="N748" s="523"/>
      <c r="O748" s="523"/>
      <c r="P748" s="523"/>
      <c r="Q748" s="523"/>
      <c r="R748" s="523"/>
      <c r="S748" s="523"/>
      <c r="T748" s="523"/>
      <c r="U748" s="523"/>
      <c r="V748" s="224"/>
      <c r="W748" s="224"/>
      <c r="X748" s="224"/>
      <c r="Y748" s="224"/>
      <c r="Z748" s="868"/>
      <c r="AA748" s="865"/>
      <c r="AB748" s="2"/>
      <c r="AC748" s="2"/>
      <c r="AD748" s="2"/>
      <c r="AE748" s="2"/>
      <c r="AF748" s="2"/>
      <c r="AG748" s="2"/>
      <c r="AH748" s="2"/>
      <c r="AI748" s="2"/>
      <c r="AJ748" s="2"/>
      <c r="AK748" s="2"/>
      <c r="AL748" s="2"/>
      <c r="AM748" s="2"/>
      <c r="AN748" s="2"/>
      <c r="AO748" s="9"/>
      <c r="AP748" s="9"/>
      <c r="AQ748" s="9"/>
      <c r="AR748" s="9"/>
    </row>
    <row r="749">
      <c r="A749" s="523"/>
      <c r="B749" s="523"/>
      <c r="C749" s="523"/>
      <c r="D749" s="523"/>
      <c r="E749" s="523"/>
      <c r="F749" s="523"/>
      <c r="G749" s="523"/>
      <c r="H749" s="523"/>
      <c r="I749" s="523"/>
      <c r="J749" s="523"/>
      <c r="K749" s="523"/>
      <c r="L749" s="523"/>
      <c r="M749" s="523"/>
      <c r="N749" s="523"/>
      <c r="O749" s="523"/>
      <c r="P749" s="523"/>
      <c r="Q749" s="523"/>
      <c r="R749" s="523"/>
      <c r="S749" s="523"/>
      <c r="T749" s="523"/>
      <c r="U749" s="523"/>
      <c r="V749" s="224"/>
      <c r="W749" s="224"/>
      <c r="X749" s="224"/>
      <c r="Y749" s="224"/>
      <c r="Z749" s="868"/>
      <c r="AA749" s="865"/>
      <c r="AB749" s="2"/>
      <c r="AC749" s="2"/>
      <c r="AD749" s="2"/>
      <c r="AE749" s="2"/>
      <c r="AF749" s="2"/>
      <c r="AG749" s="2"/>
      <c r="AH749" s="2"/>
      <c r="AI749" s="2"/>
      <c r="AJ749" s="2"/>
      <c r="AK749" s="2"/>
      <c r="AL749" s="2"/>
      <c r="AM749" s="2"/>
      <c r="AN749" s="2"/>
      <c r="AO749" s="9"/>
      <c r="AP749" s="9"/>
      <c r="AQ749" s="9"/>
      <c r="AR749" s="9"/>
    </row>
    <row r="750">
      <c r="A750" s="523"/>
      <c r="B750" s="523"/>
      <c r="C750" s="523"/>
      <c r="D750" s="523"/>
      <c r="E750" s="523"/>
      <c r="F750" s="523"/>
      <c r="G750" s="523"/>
      <c r="H750" s="523"/>
      <c r="I750" s="523"/>
      <c r="J750" s="523"/>
      <c r="K750" s="523"/>
      <c r="L750" s="523"/>
      <c r="M750" s="523"/>
      <c r="N750" s="523"/>
      <c r="O750" s="523"/>
      <c r="P750" s="523"/>
      <c r="Q750" s="523"/>
      <c r="R750" s="523"/>
      <c r="S750" s="523"/>
      <c r="T750" s="523"/>
      <c r="U750" s="523"/>
      <c r="V750" s="224"/>
      <c r="W750" s="224"/>
      <c r="X750" s="224"/>
      <c r="Y750" s="224"/>
      <c r="Z750" s="868"/>
      <c r="AA750" s="865"/>
      <c r="AB750" s="2"/>
      <c r="AC750" s="2"/>
      <c r="AD750" s="2"/>
      <c r="AE750" s="2"/>
      <c r="AF750" s="2"/>
      <c r="AG750" s="2"/>
      <c r="AH750" s="2"/>
      <c r="AI750" s="2"/>
      <c r="AJ750" s="2"/>
      <c r="AK750" s="2"/>
      <c r="AL750" s="2"/>
      <c r="AM750" s="2"/>
      <c r="AN750" s="2"/>
      <c r="AO750" s="9"/>
      <c r="AP750" s="9"/>
      <c r="AQ750" s="9"/>
      <c r="AR750" s="9"/>
    </row>
    <row r="751">
      <c r="A751" s="523"/>
      <c r="B751" s="523"/>
      <c r="C751" s="523"/>
      <c r="D751" s="523"/>
      <c r="E751" s="523"/>
      <c r="F751" s="523"/>
      <c r="G751" s="523"/>
      <c r="H751" s="523"/>
      <c r="I751" s="523"/>
      <c r="J751" s="523"/>
      <c r="K751" s="523"/>
      <c r="L751" s="523"/>
      <c r="M751" s="523"/>
      <c r="N751" s="523"/>
      <c r="O751" s="523"/>
      <c r="P751" s="523"/>
      <c r="Q751" s="523"/>
      <c r="R751" s="523"/>
      <c r="S751" s="523"/>
      <c r="T751" s="523"/>
      <c r="U751" s="523"/>
      <c r="V751" s="224"/>
      <c r="W751" s="224"/>
      <c r="X751" s="224"/>
      <c r="Y751" s="224"/>
      <c r="Z751" s="868"/>
      <c r="AA751" s="865"/>
      <c r="AB751" s="2"/>
      <c r="AC751" s="2"/>
      <c r="AD751" s="2"/>
      <c r="AE751" s="2"/>
      <c r="AF751" s="2"/>
      <c r="AG751" s="2"/>
      <c r="AH751" s="2"/>
      <c r="AI751" s="2"/>
      <c r="AJ751" s="2"/>
      <c r="AK751" s="2"/>
      <c r="AL751" s="2"/>
      <c r="AM751" s="2"/>
      <c r="AN751" s="2"/>
      <c r="AO751" s="9"/>
      <c r="AP751" s="9"/>
      <c r="AQ751" s="9"/>
      <c r="AR751" s="9"/>
    </row>
    <row r="752">
      <c r="A752" s="523"/>
      <c r="B752" s="523"/>
      <c r="C752" s="523"/>
      <c r="D752" s="523"/>
      <c r="E752" s="523"/>
      <c r="F752" s="523"/>
      <c r="G752" s="523"/>
      <c r="H752" s="523"/>
      <c r="I752" s="523"/>
      <c r="J752" s="523"/>
      <c r="K752" s="523"/>
      <c r="L752" s="523"/>
      <c r="M752" s="523"/>
      <c r="N752" s="523"/>
      <c r="O752" s="523"/>
      <c r="P752" s="523"/>
      <c r="Q752" s="523"/>
      <c r="R752" s="523"/>
      <c r="S752" s="523"/>
      <c r="T752" s="523"/>
      <c r="U752" s="523"/>
      <c r="V752" s="224"/>
      <c r="W752" s="224"/>
      <c r="X752" s="224"/>
      <c r="Y752" s="224"/>
      <c r="Z752" s="868"/>
      <c r="AA752" s="865"/>
      <c r="AB752" s="2"/>
      <c r="AC752" s="2"/>
      <c r="AD752" s="2"/>
      <c r="AE752" s="2"/>
      <c r="AF752" s="2"/>
      <c r="AG752" s="2"/>
      <c r="AH752" s="2"/>
      <c r="AI752" s="2"/>
      <c r="AJ752" s="2"/>
      <c r="AK752" s="2"/>
      <c r="AL752" s="2"/>
      <c r="AM752" s="2"/>
      <c r="AN752" s="2"/>
      <c r="AO752" s="9"/>
      <c r="AP752" s="9"/>
      <c r="AQ752" s="9"/>
      <c r="AR752" s="9"/>
    </row>
    <row r="753">
      <c r="A753" s="523"/>
      <c r="B753" s="523"/>
      <c r="C753" s="523"/>
      <c r="D753" s="523"/>
      <c r="E753" s="523"/>
      <c r="F753" s="523"/>
      <c r="G753" s="523"/>
      <c r="H753" s="523"/>
      <c r="I753" s="523"/>
      <c r="J753" s="523"/>
      <c r="K753" s="523"/>
      <c r="L753" s="523"/>
      <c r="M753" s="523"/>
      <c r="N753" s="523"/>
      <c r="O753" s="523"/>
      <c r="P753" s="523"/>
      <c r="Q753" s="523"/>
      <c r="R753" s="523"/>
      <c r="S753" s="523"/>
      <c r="T753" s="523"/>
      <c r="U753" s="523"/>
      <c r="V753" s="224"/>
      <c r="W753" s="224"/>
      <c r="X753" s="224"/>
      <c r="Y753" s="224"/>
      <c r="Z753" s="868"/>
      <c r="AA753" s="865"/>
      <c r="AB753" s="2"/>
      <c r="AC753" s="2"/>
      <c r="AD753" s="2"/>
      <c r="AE753" s="2"/>
      <c r="AF753" s="2"/>
      <c r="AG753" s="2"/>
      <c r="AH753" s="2"/>
      <c r="AI753" s="2"/>
      <c r="AJ753" s="2"/>
      <c r="AK753" s="2"/>
      <c r="AL753" s="2"/>
      <c r="AM753" s="2"/>
      <c r="AN753" s="2"/>
      <c r="AO753" s="9"/>
      <c r="AP753" s="9"/>
      <c r="AQ753" s="9"/>
      <c r="AR753" s="9"/>
    </row>
    <row r="754">
      <c r="A754" s="523"/>
      <c r="B754" s="523"/>
      <c r="C754" s="523"/>
      <c r="D754" s="523"/>
      <c r="E754" s="523"/>
      <c r="F754" s="523"/>
      <c r="G754" s="523"/>
      <c r="H754" s="523"/>
      <c r="I754" s="523"/>
      <c r="J754" s="523"/>
      <c r="K754" s="523"/>
      <c r="L754" s="523"/>
      <c r="M754" s="523"/>
      <c r="N754" s="523"/>
      <c r="O754" s="523"/>
      <c r="P754" s="523"/>
      <c r="Q754" s="523"/>
      <c r="R754" s="523"/>
      <c r="S754" s="523"/>
      <c r="T754" s="523"/>
      <c r="U754" s="523"/>
      <c r="V754" s="224"/>
      <c r="W754" s="224"/>
      <c r="X754" s="224"/>
      <c r="Y754" s="224"/>
      <c r="Z754" s="868"/>
      <c r="AA754" s="865"/>
      <c r="AB754" s="2"/>
      <c r="AC754" s="2"/>
      <c r="AD754" s="2"/>
      <c r="AE754" s="2"/>
      <c r="AF754" s="2"/>
      <c r="AG754" s="2"/>
      <c r="AH754" s="2"/>
      <c r="AI754" s="2"/>
      <c r="AJ754" s="2"/>
      <c r="AK754" s="2"/>
      <c r="AL754" s="2"/>
      <c r="AM754" s="2"/>
      <c r="AN754" s="2"/>
      <c r="AO754" s="9"/>
      <c r="AP754" s="9"/>
      <c r="AQ754" s="9"/>
      <c r="AR754" s="9"/>
    </row>
    <row r="755">
      <c r="A755" s="523"/>
      <c r="B755" s="523"/>
      <c r="C755" s="523"/>
      <c r="D755" s="523"/>
      <c r="E755" s="523"/>
      <c r="F755" s="523"/>
      <c r="G755" s="523"/>
      <c r="H755" s="523"/>
      <c r="I755" s="523"/>
      <c r="J755" s="523"/>
      <c r="K755" s="523"/>
      <c r="L755" s="523"/>
      <c r="M755" s="523"/>
      <c r="N755" s="523"/>
      <c r="O755" s="523"/>
      <c r="P755" s="523"/>
      <c r="Q755" s="523"/>
      <c r="R755" s="523"/>
      <c r="S755" s="523"/>
      <c r="T755" s="523"/>
      <c r="U755" s="523"/>
      <c r="V755" s="224"/>
      <c r="W755" s="224"/>
      <c r="X755" s="224"/>
      <c r="Y755" s="224"/>
      <c r="Z755" s="868"/>
      <c r="AA755" s="865"/>
      <c r="AB755" s="2"/>
      <c r="AC755" s="2"/>
      <c r="AD755" s="2"/>
      <c r="AE755" s="2"/>
      <c r="AF755" s="2"/>
      <c r="AG755" s="2"/>
      <c r="AH755" s="2"/>
      <c r="AI755" s="2"/>
      <c r="AJ755" s="2"/>
      <c r="AK755" s="2"/>
      <c r="AL755" s="2"/>
      <c r="AM755" s="2"/>
      <c r="AN755" s="2"/>
      <c r="AO755" s="9"/>
      <c r="AP755" s="9"/>
      <c r="AQ755" s="9"/>
      <c r="AR755" s="9"/>
    </row>
    <row r="756">
      <c r="A756" s="523"/>
      <c r="B756" s="523"/>
      <c r="C756" s="523"/>
      <c r="D756" s="523"/>
      <c r="E756" s="523"/>
      <c r="F756" s="523"/>
      <c r="G756" s="523"/>
      <c r="H756" s="523"/>
      <c r="I756" s="523"/>
      <c r="J756" s="523"/>
      <c r="K756" s="523"/>
      <c r="L756" s="523"/>
      <c r="M756" s="523"/>
      <c r="N756" s="523"/>
      <c r="O756" s="523"/>
      <c r="P756" s="523"/>
      <c r="Q756" s="523"/>
      <c r="R756" s="523"/>
      <c r="S756" s="523"/>
      <c r="T756" s="523"/>
      <c r="U756" s="523"/>
      <c r="V756" s="224"/>
      <c r="W756" s="224"/>
      <c r="X756" s="224"/>
      <c r="Y756" s="224"/>
      <c r="Z756" s="868"/>
      <c r="AA756" s="865"/>
      <c r="AB756" s="2"/>
      <c r="AC756" s="2"/>
      <c r="AD756" s="2"/>
      <c r="AE756" s="2"/>
      <c r="AF756" s="2"/>
      <c r="AG756" s="2"/>
      <c r="AH756" s="2"/>
      <c r="AI756" s="2"/>
      <c r="AJ756" s="2"/>
      <c r="AK756" s="2"/>
      <c r="AL756" s="2"/>
      <c r="AM756" s="2"/>
      <c r="AN756" s="2"/>
      <c r="AO756" s="9"/>
      <c r="AP756" s="9"/>
      <c r="AQ756" s="9"/>
      <c r="AR756" s="9"/>
    </row>
    <row r="757">
      <c r="A757" s="523"/>
      <c r="B757" s="523"/>
      <c r="C757" s="523"/>
      <c r="D757" s="523"/>
      <c r="E757" s="523"/>
      <c r="F757" s="523"/>
      <c r="G757" s="523"/>
      <c r="H757" s="523"/>
      <c r="I757" s="523"/>
      <c r="J757" s="523"/>
      <c r="K757" s="523"/>
      <c r="L757" s="523"/>
      <c r="M757" s="523"/>
      <c r="N757" s="523"/>
      <c r="O757" s="523"/>
      <c r="P757" s="523"/>
      <c r="Q757" s="523"/>
      <c r="R757" s="523"/>
      <c r="S757" s="523"/>
      <c r="T757" s="523"/>
      <c r="U757" s="523"/>
      <c r="V757" s="224"/>
      <c r="W757" s="224"/>
      <c r="X757" s="224"/>
      <c r="Y757" s="224"/>
      <c r="Z757" s="868"/>
      <c r="AA757" s="865"/>
      <c r="AB757" s="2"/>
      <c r="AC757" s="2"/>
      <c r="AD757" s="2"/>
      <c r="AE757" s="2"/>
      <c r="AF757" s="2"/>
      <c r="AG757" s="2"/>
      <c r="AH757" s="2"/>
      <c r="AI757" s="2"/>
      <c r="AJ757" s="2"/>
      <c r="AK757" s="2"/>
      <c r="AL757" s="2"/>
      <c r="AM757" s="2"/>
      <c r="AN757" s="2"/>
      <c r="AO757" s="9"/>
      <c r="AP757" s="9"/>
      <c r="AQ757" s="9"/>
      <c r="AR757" s="9"/>
    </row>
    <row r="758">
      <c r="A758" s="523"/>
      <c r="B758" s="523"/>
      <c r="C758" s="523"/>
      <c r="D758" s="523"/>
      <c r="E758" s="523"/>
      <c r="F758" s="523"/>
      <c r="G758" s="523"/>
      <c r="H758" s="523"/>
      <c r="I758" s="523"/>
      <c r="J758" s="523"/>
      <c r="K758" s="523"/>
      <c r="L758" s="523"/>
      <c r="M758" s="523"/>
      <c r="N758" s="523"/>
      <c r="O758" s="523"/>
      <c r="P758" s="523"/>
      <c r="Q758" s="523"/>
      <c r="R758" s="523"/>
      <c r="S758" s="523"/>
      <c r="T758" s="523"/>
      <c r="U758" s="523"/>
      <c r="V758" s="224"/>
      <c r="W758" s="224"/>
      <c r="X758" s="224"/>
      <c r="Y758" s="224"/>
      <c r="Z758" s="868"/>
      <c r="AA758" s="865"/>
      <c r="AB758" s="2"/>
      <c r="AC758" s="2"/>
      <c r="AD758" s="2"/>
      <c r="AE758" s="2"/>
      <c r="AF758" s="2"/>
      <c r="AG758" s="2"/>
      <c r="AH758" s="2"/>
      <c r="AI758" s="2"/>
      <c r="AJ758" s="2"/>
      <c r="AK758" s="2"/>
      <c r="AL758" s="2"/>
      <c r="AM758" s="2"/>
      <c r="AN758" s="2"/>
      <c r="AO758" s="9"/>
      <c r="AP758" s="9"/>
      <c r="AQ758" s="9"/>
      <c r="AR758" s="9"/>
    </row>
    <row r="759">
      <c r="A759" s="523"/>
      <c r="B759" s="523"/>
      <c r="C759" s="523"/>
      <c r="D759" s="523"/>
      <c r="E759" s="523"/>
      <c r="F759" s="523"/>
      <c r="G759" s="523"/>
      <c r="H759" s="523"/>
      <c r="I759" s="523"/>
      <c r="J759" s="523"/>
      <c r="K759" s="523"/>
      <c r="L759" s="523"/>
      <c r="M759" s="523"/>
      <c r="N759" s="523"/>
      <c r="O759" s="523"/>
      <c r="P759" s="523"/>
      <c r="Q759" s="523"/>
      <c r="R759" s="523"/>
      <c r="S759" s="523"/>
      <c r="T759" s="523"/>
      <c r="U759" s="523"/>
      <c r="V759" s="224"/>
      <c r="W759" s="224"/>
      <c r="X759" s="224"/>
      <c r="Y759" s="224"/>
      <c r="Z759" s="868"/>
      <c r="AA759" s="865"/>
      <c r="AB759" s="2"/>
      <c r="AC759" s="2"/>
      <c r="AD759" s="2"/>
      <c r="AE759" s="2"/>
      <c r="AF759" s="2"/>
      <c r="AG759" s="2"/>
      <c r="AH759" s="2"/>
      <c r="AI759" s="2"/>
      <c r="AJ759" s="2"/>
      <c r="AK759" s="2"/>
      <c r="AL759" s="2"/>
      <c r="AM759" s="2"/>
      <c r="AN759" s="2"/>
      <c r="AO759" s="9"/>
      <c r="AP759" s="9"/>
      <c r="AQ759" s="9"/>
      <c r="AR759" s="9"/>
    </row>
    <row r="760">
      <c r="A760" s="523"/>
      <c r="B760" s="523"/>
      <c r="C760" s="523"/>
      <c r="D760" s="523"/>
      <c r="E760" s="523"/>
      <c r="F760" s="523"/>
      <c r="G760" s="523"/>
      <c r="H760" s="523"/>
      <c r="I760" s="523"/>
      <c r="J760" s="523"/>
      <c r="K760" s="523"/>
      <c r="L760" s="523"/>
      <c r="M760" s="523"/>
      <c r="N760" s="523"/>
      <c r="O760" s="523"/>
      <c r="P760" s="523"/>
      <c r="Q760" s="523"/>
      <c r="R760" s="523"/>
      <c r="S760" s="523"/>
      <c r="T760" s="523"/>
      <c r="U760" s="523"/>
      <c r="V760" s="224"/>
      <c r="W760" s="224"/>
      <c r="X760" s="224"/>
      <c r="Y760" s="224"/>
      <c r="Z760" s="868"/>
      <c r="AA760" s="865"/>
      <c r="AB760" s="2"/>
      <c r="AC760" s="2"/>
      <c r="AD760" s="2"/>
      <c r="AE760" s="2"/>
      <c r="AF760" s="2"/>
      <c r="AG760" s="2"/>
      <c r="AH760" s="2"/>
      <c r="AI760" s="2"/>
      <c r="AJ760" s="2"/>
      <c r="AK760" s="2"/>
      <c r="AL760" s="2"/>
      <c r="AM760" s="2"/>
      <c r="AN760" s="2"/>
      <c r="AO760" s="9"/>
      <c r="AP760" s="9"/>
      <c r="AQ760" s="9"/>
      <c r="AR760" s="9"/>
    </row>
    <row r="761">
      <c r="A761" s="523"/>
      <c r="B761" s="523"/>
      <c r="C761" s="523"/>
      <c r="D761" s="523"/>
      <c r="E761" s="523"/>
      <c r="F761" s="523"/>
      <c r="G761" s="523"/>
      <c r="H761" s="523"/>
      <c r="I761" s="523"/>
      <c r="J761" s="523"/>
      <c r="K761" s="523"/>
      <c r="L761" s="523"/>
      <c r="M761" s="523"/>
      <c r="N761" s="523"/>
      <c r="O761" s="523"/>
      <c r="P761" s="523"/>
      <c r="Q761" s="523"/>
      <c r="R761" s="523"/>
      <c r="S761" s="523"/>
      <c r="T761" s="523"/>
      <c r="U761" s="523"/>
      <c r="V761" s="224"/>
      <c r="W761" s="224"/>
      <c r="X761" s="224"/>
      <c r="Y761" s="224"/>
      <c r="Z761" s="868"/>
      <c r="AA761" s="865"/>
      <c r="AB761" s="2"/>
      <c r="AC761" s="2"/>
      <c r="AD761" s="2"/>
      <c r="AE761" s="2"/>
      <c r="AF761" s="2"/>
      <c r="AG761" s="2"/>
      <c r="AH761" s="2"/>
      <c r="AI761" s="2"/>
      <c r="AJ761" s="2"/>
      <c r="AK761" s="2"/>
      <c r="AL761" s="2"/>
      <c r="AM761" s="2"/>
      <c r="AN761" s="2"/>
      <c r="AO761" s="9"/>
      <c r="AP761" s="9"/>
      <c r="AQ761" s="9"/>
      <c r="AR761" s="9"/>
    </row>
    <row r="762">
      <c r="A762" s="523"/>
      <c r="B762" s="523"/>
      <c r="C762" s="523"/>
      <c r="D762" s="523"/>
      <c r="E762" s="523"/>
      <c r="F762" s="523"/>
      <c r="G762" s="523"/>
      <c r="H762" s="523"/>
      <c r="I762" s="523"/>
      <c r="J762" s="523"/>
      <c r="K762" s="523"/>
      <c r="L762" s="523"/>
      <c r="M762" s="523"/>
      <c r="N762" s="523"/>
      <c r="O762" s="523"/>
      <c r="P762" s="523"/>
      <c r="Q762" s="523"/>
      <c r="R762" s="523"/>
      <c r="S762" s="523"/>
      <c r="T762" s="523"/>
      <c r="U762" s="523"/>
      <c r="V762" s="224"/>
      <c r="W762" s="224"/>
      <c r="X762" s="224"/>
      <c r="Y762" s="224"/>
      <c r="Z762" s="868"/>
      <c r="AA762" s="865"/>
      <c r="AB762" s="2"/>
      <c r="AC762" s="2"/>
      <c r="AD762" s="2"/>
      <c r="AE762" s="2"/>
      <c r="AF762" s="2"/>
      <c r="AG762" s="2"/>
      <c r="AH762" s="2"/>
      <c r="AI762" s="2"/>
      <c r="AJ762" s="2"/>
      <c r="AK762" s="2"/>
      <c r="AL762" s="2"/>
      <c r="AM762" s="2"/>
      <c r="AN762" s="2"/>
      <c r="AO762" s="9"/>
      <c r="AP762" s="9"/>
      <c r="AQ762" s="9"/>
      <c r="AR762" s="9"/>
    </row>
    <row r="763">
      <c r="A763" s="523"/>
      <c r="B763" s="523"/>
      <c r="C763" s="523"/>
      <c r="D763" s="523"/>
      <c r="E763" s="523"/>
      <c r="F763" s="523"/>
      <c r="G763" s="523"/>
      <c r="H763" s="523"/>
      <c r="I763" s="523"/>
      <c r="J763" s="523"/>
      <c r="K763" s="523"/>
      <c r="L763" s="523"/>
      <c r="M763" s="523"/>
      <c r="N763" s="523"/>
      <c r="O763" s="523"/>
      <c r="P763" s="523"/>
      <c r="Q763" s="523"/>
      <c r="R763" s="523"/>
      <c r="S763" s="523"/>
      <c r="T763" s="523"/>
      <c r="U763" s="523"/>
      <c r="V763" s="224"/>
      <c r="W763" s="224"/>
      <c r="X763" s="224"/>
      <c r="Y763" s="224"/>
      <c r="Z763" s="868"/>
      <c r="AA763" s="865"/>
      <c r="AB763" s="2"/>
      <c r="AC763" s="2"/>
      <c r="AD763" s="2"/>
      <c r="AE763" s="2"/>
      <c r="AF763" s="2"/>
      <c r="AG763" s="2"/>
      <c r="AH763" s="2"/>
      <c r="AI763" s="2"/>
      <c r="AJ763" s="2"/>
      <c r="AK763" s="2"/>
      <c r="AL763" s="2"/>
      <c r="AM763" s="2"/>
      <c r="AN763" s="2"/>
      <c r="AO763" s="9"/>
      <c r="AP763" s="9"/>
      <c r="AQ763" s="9"/>
      <c r="AR763" s="9"/>
    </row>
    <row r="764">
      <c r="A764" s="523"/>
      <c r="B764" s="523"/>
      <c r="C764" s="523"/>
      <c r="D764" s="523"/>
      <c r="E764" s="523"/>
      <c r="F764" s="523"/>
      <c r="G764" s="523"/>
      <c r="H764" s="523"/>
      <c r="I764" s="523"/>
      <c r="J764" s="523"/>
      <c r="K764" s="523"/>
      <c r="L764" s="523"/>
      <c r="M764" s="523"/>
      <c r="N764" s="523"/>
      <c r="O764" s="523"/>
      <c r="P764" s="523"/>
      <c r="Q764" s="523"/>
      <c r="R764" s="523"/>
      <c r="S764" s="523"/>
      <c r="T764" s="523"/>
      <c r="U764" s="523"/>
      <c r="V764" s="224"/>
      <c r="W764" s="224"/>
      <c r="X764" s="224"/>
      <c r="Y764" s="224"/>
      <c r="Z764" s="868"/>
      <c r="AA764" s="865"/>
      <c r="AB764" s="2"/>
      <c r="AC764" s="2"/>
      <c r="AD764" s="2"/>
      <c r="AE764" s="2"/>
      <c r="AF764" s="2"/>
      <c r="AG764" s="2"/>
      <c r="AH764" s="2"/>
      <c r="AI764" s="2"/>
      <c r="AJ764" s="2"/>
      <c r="AK764" s="2"/>
      <c r="AL764" s="2"/>
      <c r="AM764" s="2"/>
      <c r="AN764" s="2"/>
      <c r="AO764" s="9"/>
      <c r="AP764" s="9"/>
      <c r="AQ764" s="9"/>
      <c r="AR764" s="9"/>
    </row>
    <row r="765">
      <c r="A765" s="523"/>
      <c r="B765" s="523"/>
      <c r="C765" s="523"/>
      <c r="D765" s="523"/>
      <c r="E765" s="523"/>
      <c r="F765" s="523"/>
      <c r="G765" s="523"/>
      <c r="H765" s="523"/>
      <c r="I765" s="523"/>
      <c r="J765" s="523"/>
      <c r="K765" s="523"/>
      <c r="L765" s="523"/>
      <c r="M765" s="523"/>
      <c r="N765" s="523"/>
      <c r="O765" s="523"/>
      <c r="P765" s="523"/>
      <c r="Q765" s="523"/>
      <c r="R765" s="523"/>
      <c r="S765" s="523"/>
      <c r="T765" s="523"/>
      <c r="U765" s="523"/>
      <c r="V765" s="224"/>
      <c r="W765" s="224"/>
      <c r="X765" s="224"/>
      <c r="Y765" s="224"/>
      <c r="Z765" s="868"/>
      <c r="AA765" s="865"/>
      <c r="AB765" s="2"/>
      <c r="AC765" s="2"/>
      <c r="AD765" s="2"/>
      <c r="AE765" s="2"/>
      <c r="AF765" s="2"/>
      <c r="AG765" s="2"/>
      <c r="AH765" s="2"/>
      <c r="AI765" s="2"/>
      <c r="AJ765" s="2"/>
      <c r="AK765" s="2"/>
      <c r="AL765" s="2"/>
      <c r="AM765" s="2"/>
      <c r="AN765" s="2"/>
      <c r="AO765" s="9"/>
      <c r="AP765" s="9"/>
      <c r="AQ765" s="9"/>
      <c r="AR765" s="9"/>
    </row>
    <row r="766">
      <c r="A766" s="523"/>
      <c r="B766" s="523"/>
      <c r="C766" s="523"/>
      <c r="D766" s="523"/>
      <c r="E766" s="523"/>
      <c r="F766" s="523"/>
      <c r="G766" s="523"/>
      <c r="H766" s="523"/>
      <c r="I766" s="523"/>
      <c r="J766" s="523"/>
      <c r="K766" s="523"/>
      <c r="L766" s="523"/>
      <c r="M766" s="523"/>
      <c r="N766" s="523"/>
      <c r="O766" s="523"/>
      <c r="P766" s="523"/>
      <c r="Q766" s="523"/>
      <c r="R766" s="523"/>
      <c r="S766" s="523"/>
      <c r="T766" s="523"/>
      <c r="U766" s="523"/>
      <c r="V766" s="224"/>
      <c r="W766" s="224"/>
      <c r="X766" s="224"/>
      <c r="Y766" s="224"/>
      <c r="Z766" s="868"/>
      <c r="AA766" s="865"/>
      <c r="AB766" s="2"/>
      <c r="AC766" s="2"/>
      <c r="AD766" s="2"/>
      <c r="AE766" s="2"/>
      <c r="AF766" s="2"/>
      <c r="AG766" s="2"/>
      <c r="AH766" s="2"/>
      <c r="AI766" s="2"/>
      <c r="AJ766" s="2"/>
      <c r="AK766" s="2"/>
      <c r="AL766" s="2"/>
      <c r="AM766" s="2"/>
      <c r="AN766" s="2"/>
      <c r="AO766" s="9"/>
      <c r="AP766" s="9"/>
      <c r="AQ766" s="9"/>
      <c r="AR766" s="9"/>
    </row>
    <row r="767">
      <c r="A767" s="523"/>
      <c r="B767" s="523"/>
      <c r="C767" s="523"/>
      <c r="D767" s="523"/>
      <c r="E767" s="523"/>
      <c r="F767" s="523"/>
      <c r="G767" s="523"/>
      <c r="H767" s="523"/>
      <c r="I767" s="523"/>
      <c r="J767" s="523"/>
      <c r="K767" s="523"/>
      <c r="L767" s="523"/>
      <c r="M767" s="523"/>
      <c r="N767" s="523"/>
      <c r="O767" s="523"/>
      <c r="P767" s="523"/>
      <c r="Q767" s="523"/>
      <c r="R767" s="523"/>
      <c r="S767" s="523"/>
      <c r="T767" s="523"/>
      <c r="U767" s="523"/>
      <c r="V767" s="224"/>
      <c r="W767" s="224"/>
      <c r="X767" s="224"/>
      <c r="Y767" s="224"/>
      <c r="Z767" s="868"/>
      <c r="AA767" s="865"/>
      <c r="AB767" s="2"/>
      <c r="AC767" s="2"/>
      <c r="AD767" s="2"/>
      <c r="AE767" s="2"/>
      <c r="AF767" s="2"/>
      <c r="AG767" s="2"/>
      <c r="AH767" s="2"/>
      <c r="AI767" s="2"/>
      <c r="AJ767" s="2"/>
      <c r="AK767" s="2"/>
      <c r="AL767" s="2"/>
      <c r="AM767" s="2"/>
      <c r="AN767" s="2"/>
      <c r="AO767" s="9"/>
      <c r="AP767" s="9"/>
      <c r="AQ767" s="9"/>
      <c r="AR767" s="9"/>
    </row>
    <row r="768">
      <c r="A768" s="523"/>
      <c r="B768" s="523"/>
      <c r="C768" s="523"/>
      <c r="D768" s="523"/>
      <c r="E768" s="523"/>
      <c r="F768" s="523"/>
      <c r="G768" s="523"/>
      <c r="H768" s="523"/>
      <c r="I768" s="523"/>
      <c r="J768" s="523"/>
      <c r="K768" s="523"/>
      <c r="L768" s="523"/>
      <c r="M768" s="523"/>
      <c r="N768" s="523"/>
      <c r="O768" s="523"/>
      <c r="P768" s="523"/>
      <c r="Q768" s="523"/>
      <c r="R768" s="523"/>
      <c r="S768" s="523"/>
      <c r="T768" s="523"/>
      <c r="U768" s="523"/>
      <c r="V768" s="224"/>
      <c r="W768" s="224"/>
      <c r="X768" s="224"/>
      <c r="Y768" s="224"/>
      <c r="Z768" s="868"/>
      <c r="AA768" s="865"/>
      <c r="AB768" s="2"/>
      <c r="AC768" s="2"/>
      <c r="AD768" s="2"/>
      <c r="AE768" s="2"/>
      <c r="AF768" s="2"/>
      <c r="AG768" s="2"/>
      <c r="AH768" s="2"/>
      <c r="AI768" s="2"/>
      <c r="AJ768" s="2"/>
      <c r="AK768" s="2"/>
      <c r="AL768" s="2"/>
      <c r="AM768" s="2"/>
      <c r="AN768" s="2"/>
      <c r="AO768" s="9"/>
      <c r="AP768" s="9"/>
      <c r="AQ768" s="9"/>
      <c r="AR768" s="9"/>
    </row>
    <row r="769">
      <c r="A769" s="523"/>
      <c r="B769" s="523"/>
      <c r="C769" s="523"/>
      <c r="D769" s="523"/>
      <c r="E769" s="523"/>
      <c r="F769" s="523"/>
      <c r="G769" s="523"/>
      <c r="H769" s="523"/>
      <c r="I769" s="523"/>
      <c r="J769" s="523"/>
      <c r="K769" s="523"/>
      <c r="L769" s="523"/>
      <c r="M769" s="523"/>
      <c r="N769" s="523"/>
      <c r="O769" s="523"/>
      <c r="P769" s="523"/>
      <c r="Q769" s="523"/>
      <c r="R769" s="523"/>
      <c r="S769" s="523"/>
      <c r="T769" s="523"/>
      <c r="U769" s="523"/>
      <c r="V769" s="224"/>
      <c r="W769" s="224"/>
      <c r="X769" s="224"/>
      <c r="Y769" s="224"/>
      <c r="Z769" s="868"/>
      <c r="AA769" s="865"/>
      <c r="AB769" s="2"/>
      <c r="AC769" s="2"/>
      <c r="AD769" s="2"/>
      <c r="AE769" s="2"/>
      <c r="AF769" s="2"/>
      <c r="AG769" s="2"/>
      <c r="AH769" s="2"/>
      <c r="AI769" s="2"/>
      <c r="AJ769" s="2"/>
      <c r="AK769" s="2"/>
      <c r="AL769" s="2"/>
      <c r="AM769" s="2"/>
      <c r="AN769" s="2"/>
      <c r="AO769" s="9"/>
      <c r="AP769" s="9"/>
      <c r="AQ769" s="9"/>
      <c r="AR769" s="9"/>
    </row>
    <row r="770">
      <c r="A770" s="523"/>
      <c r="B770" s="523"/>
      <c r="C770" s="523"/>
      <c r="D770" s="523"/>
      <c r="E770" s="523"/>
      <c r="F770" s="523"/>
      <c r="G770" s="523"/>
      <c r="H770" s="523"/>
      <c r="I770" s="523"/>
      <c r="J770" s="523"/>
      <c r="K770" s="523"/>
      <c r="L770" s="523"/>
      <c r="M770" s="523"/>
      <c r="N770" s="523"/>
      <c r="O770" s="523"/>
      <c r="P770" s="523"/>
      <c r="Q770" s="523"/>
      <c r="R770" s="523"/>
      <c r="S770" s="523"/>
      <c r="T770" s="523"/>
      <c r="U770" s="523"/>
      <c r="V770" s="224"/>
      <c r="W770" s="224"/>
      <c r="X770" s="224"/>
      <c r="Y770" s="224"/>
      <c r="Z770" s="868"/>
      <c r="AA770" s="865"/>
      <c r="AB770" s="2"/>
      <c r="AC770" s="2"/>
      <c r="AD770" s="2"/>
      <c r="AE770" s="2"/>
      <c r="AF770" s="2"/>
      <c r="AG770" s="2"/>
      <c r="AH770" s="2"/>
      <c r="AI770" s="2"/>
      <c r="AJ770" s="2"/>
      <c r="AK770" s="2"/>
      <c r="AL770" s="2"/>
      <c r="AM770" s="2"/>
      <c r="AN770" s="2"/>
      <c r="AO770" s="9"/>
      <c r="AP770" s="9"/>
      <c r="AQ770" s="9"/>
      <c r="AR770" s="9"/>
    </row>
    <row r="771">
      <c r="A771" s="523"/>
      <c r="B771" s="523"/>
      <c r="C771" s="523"/>
      <c r="D771" s="523"/>
      <c r="E771" s="523"/>
      <c r="F771" s="523"/>
      <c r="G771" s="523"/>
      <c r="H771" s="523"/>
      <c r="I771" s="523"/>
      <c r="J771" s="523"/>
      <c r="K771" s="523"/>
      <c r="L771" s="523"/>
      <c r="M771" s="523"/>
      <c r="N771" s="523"/>
      <c r="O771" s="523"/>
      <c r="P771" s="523"/>
      <c r="Q771" s="523"/>
      <c r="R771" s="523"/>
      <c r="S771" s="523"/>
      <c r="T771" s="523"/>
      <c r="U771" s="523"/>
      <c r="V771" s="224"/>
      <c r="W771" s="224"/>
      <c r="X771" s="224"/>
      <c r="Y771" s="224"/>
      <c r="Z771" s="868"/>
      <c r="AA771" s="865"/>
      <c r="AB771" s="2"/>
      <c r="AC771" s="2"/>
      <c r="AD771" s="2"/>
      <c r="AE771" s="2"/>
      <c r="AF771" s="2"/>
      <c r="AG771" s="2"/>
      <c r="AH771" s="2"/>
      <c r="AI771" s="2"/>
      <c r="AJ771" s="2"/>
      <c r="AK771" s="2"/>
      <c r="AL771" s="2"/>
      <c r="AM771" s="2"/>
      <c r="AN771" s="2"/>
      <c r="AO771" s="9"/>
      <c r="AP771" s="9"/>
      <c r="AQ771" s="9"/>
      <c r="AR771" s="9"/>
    </row>
    <row r="772">
      <c r="A772" s="523"/>
      <c r="B772" s="523"/>
      <c r="C772" s="523"/>
      <c r="D772" s="523"/>
      <c r="E772" s="523"/>
      <c r="F772" s="523"/>
      <c r="G772" s="523"/>
      <c r="H772" s="523"/>
      <c r="I772" s="523"/>
      <c r="J772" s="523"/>
      <c r="K772" s="523"/>
      <c r="L772" s="523"/>
      <c r="M772" s="523"/>
      <c r="N772" s="523"/>
      <c r="O772" s="523"/>
      <c r="P772" s="523"/>
      <c r="Q772" s="523"/>
      <c r="R772" s="523"/>
      <c r="S772" s="523"/>
      <c r="T772" s="523"/>
      <c r="U772" s="523"/>
      <c r="V772" s="224"/>
      <c r="W772" s="224"/>
      <c r="X772" s="224"/>
      <c r="Y772" s="224"/>
      <c r="Z772" s="868"/>
      <c r="AA772" s="865"/>
      <c r="AB772" s="2"/>
      <c r="AC772" s="2"/>
      <c r="AD772" s="2"/>
      <c r="AE772" s="2"/>
      <c r="AF772" s="2"/>
      <c r="AG772" s="2"/>
      <c r="AH772" s="2"/>
      <c r="AI772" s="2"/>
      <c r="AJ772" s="2"/>
      <c r="AK772" s="2"/>
      <c r="AL772" s="2"/>
      <c r="AM772" s="2"/>
      <c r="AN772" s="2"/>
      <c r="AO772" s="9"/>
      <c r="AP772" s="9"/>
      <c r="AQ772" s="9"/>
      <c r="AR772" s="9"/>
    </row>
    <row r="773">
      <c r="A773" s="523"/>
      <c r="B773" s="523"/>
      <c r="C773" s="523"/>
      <c r="D773" s="523"/>
      <c r="E773" s="523"/>
      <c r="F773" s="523"/>
      <c r="G773" s="523"/>
      <c r="H773" s="523"/>
      <c r="I773" s="523"/>
      <c r="J773" s="523"/>
      <c r="K773" s="523"/>
      <c r="L773" s="523"/>
      <c r="M773" s="523"/>
      <c r="N773" s="523"/>
      <c r="O773" s="523"/>
      <c r="P773" s="523"/>
      <c r="Q773" s="523"/>
      <c r="R773" s="523"/>
      <c r="S773" s="523"/>
      <c r="T773" s="523"/>
      <c r="U773" s="523"/>
      <c r="V773" s="224"/>
      <c r="W773" s="224"/>
      <c r="X773" s="224"/>
      <c r="Y773" s="224"/>
      <c r="Z773" s="868"/>
      <c r="AA773" s="865"/>
      <c r="AB773" s="2"/>
      <c r="AC773" s="2"/>
      <c r="AD773" s="2"/>
      <c r="AE773" s="2"/>
      <c r="AF773" s="2"/>
      <c r="AG773" s="2"/>
      <c r="AH773" s="2"/>
      <c r="AI773" s="2"/>
      <c r="AJ773" s="2"/>
      <c r="AK773" s="2"/>
      <c r="AL773" s="2"/>
      <c r="AM773" s="2"/>
      <c r="AN773" s="2"/>
      <c r="AO773" s="9"/>
      <c r="AP773" s="9"/>
      <c r="AQ773" s="9"/>
      <c r="AR773" s="9"/>
    </row>
    <row r="774">
      <c r="A774" s="523"/>
      <c r="B774" s="523"/>
      <c r="C774" s="523"/>
      <c r="D774" s="523"/>
      <c r="E774" s="523"/>
      <c r="F774" s="523"/>
      <c r="G774" s="523"/>
      <c r="H774" s="523"/>
      <c r="I774" s="523"/>
      <c r="J774" s="523"/>
      <c r="K774" s="523"/>
      <c r="L774" s="523"/>
      <c r="M774" s="523"/>
      <c r="N774" s="523"/>
      <c r="O774" s="523"/>
      <c r="P774" s="523"/>
      <c r="Q774" s="523"/>
      <c r="R774" s="523"/>
      <c r="S774" s="523"/>
      <c r="T774" s="523"/>
      <c r="U774" s="523"/>
      <c r="V774" s="224"/>
      <c r="W774" s="224"/>
      <c r="X774" s="224"/>
      <c r="Y774" s="224"/>
      <c r="Z774" s="868"/>
      <c r="AA774" s="865"/>
      <c r="AB774" s="2"/>
      <c r="AC774" s="2"/>
      <c r="AD774" s="2"/>
      <c r="AE774" s="2"/>
      <c r="AF774" s="2"/>
      <c r="AG774" s="2"/>
      <c r="AH774" s="2"/>
      <c r="AI774" s="2"/>
      <c r="AJ774" s="2"/>
      <c r="AK774" s="2"/>
      <c r="AL774" s="2"/>
      <c r="AM774" s="2"/>
      <c r="AN774" s="2"/>
      <c r="AO774" s="9"/>
      <c r="AP774" s="9"/>
      <c r="AQ774" s="9"/>
      <c r="AR774" s="9"/>
    </row>
    <row r="775">
      <c r="A775" s="523"/>
      <c r="B775" s="523"/>
      <c r="C775" s="523"/>
      <c r="D775" s="523"/>
      <c r="E775" s="523"/>
      <c r="F775" s="523"/>
      <c r="G775" s="523"/>
      <c r="H775" s="523"/>
      <c r="I775" s="523"/>
      <c r="J775" s="523"/>
      <c r="K775" s="523"/>
      <c r="L775" s="523"/>
      <c r="M775" s="523"/>
      <c r="N775" s="523"/>
      <c r="O775" s="523"/>
      <c r="P775" s="523"/>
      <c r="Q775" s="523"/>
      <c r="R775" s="523"/>
      <c r="S775" s="523"/>
      <c r="T775" s="523"/>
      <c r="U775" s="523"/>
      <c r="V775" s="224"/>
      <c r="W775" s="224"/>
      <c r="X775" s="224"/>
      <c r="Y775" s="224"/>
      <c r="Z775" s="868"/>
      <c r="AA775" s="865"/>
      <c r="AB775" s="2"/>
      <c r="AC775" s="2"/>
      <c r="AD775" s="2"/>
      <c r="AE775" s="2"/>
      <c r="AF775" s="2"/>
      <c r="AG775" s="2"/>
      <c r="AH775" s="2"/>
      <c r="AI775" s="2"/>
      <c r="AJ775" s="2"/>
      <c r="AK775" s="2"/>
      <c r="AL775" s="2"/>
      <c r="AM775" s="2"/>
      <c r="AN775" s="2"/>
      <c r="AO775" s="9"/>
      <c r="AP775" s="9"/>
      <c r="AQ775" s="9"/>
      <c r="AR775" s="9"/>
    </row>
    <row r="776">
      <c r="A776" s="523"/>
      <c r="B776" s="523"/>
      <c r="C776" s="523"/>
      <c r="D776" s="523"/>
      <c r="E776" s="523"/>
      <c r="F776" s="523"/>
      <c r="G776" s="523"/>
      <c r="H776" s="523"/>
      <c r="I776" s="523"/>
      <c r="J776" s="523"/>
      <c r="K776" s="523"/>
      <c r="L776" s="523"/>
      <c r="M776" s="523"/>
      <c r="N776" s="523"/>
      <c r="O776" s="523"/>
      <c r="P776" s="523"/>
      <c r="Q776" s="523"/>
      <c r="R776" s="523"/>
      <c r="S776" s="523"/>
      <c r="T776" s="523"/>
      <c r="U776" s="523"/>
      <c r="V776" s="224"/>
      <c r="W776" s="224"/>
      <c r="X776" s="224"/>
      <c r="Y776" s="224"/>
      <c r="Z776" s="868"/>
      <c r="AA776" s="865"/>
      <c r="AB776" s="2"/>
      <c r="AC776" s="2"/>
      <c r="AD776" s="2"/>
      <c r="AE776" s="2"/>
      <c r="AF776" s="2"/>
      <c r="AG776" s="2"/>
      <c r="AH776" s="2"/>
      <c r="AI776" s="2"/>
      <c r="AJ776" s="2"/>
      <c r="AK776" s="2"/>
      <c r="AL776" s="2"/>
      <c r="AM776" s="2"/>
      <c r="AN776" s="2"/>
      <c r="AO776" s="9"/>
      <c r="AP776" s="9"/>
      <c r="AQ776" s="9"/>
      <c r="AR776" s="9"/>
    </row>
    <row r="777">
      <c r="A777" s="523"/>
      <c r="B777" s="523"/>
      <c r="C777" s="523"/>
      <c r="D777" s="523"/>
      <c r="E777" s="523"/>
      <c r="F777" s="523"/>
      <c r="G777" s="523"/>
      <c r="H777" s="523"/>
      <c r="I777" s="523"/>
      <c r="J777" s="523"/>
      <c r="K777" s="523"/>
      <c r="L777" s="523"/>
      <c r="M777" s="523"/>
      <c r="N777" s="523"/>
      <c r="O777" s="523"/>
      <c r="P777" s="523"/>
      <c r="Q777" s="523"/>
      <c r="R777" s="523"/>
      <c r="S777" s="523"/>
      <c r="T777" s="523"/>
      <c r="U777" s="523"/>
      <c r="V777" s="224"/>
      <c r="W777" s="224"/>
      <c r="X777" s="224"/>
      <c r="Y777" s="224"/>
      <c r="Z777" s="868"/>
      <c r="AA777" s="865"/>
      <c r="AB777" s="2"/>
      <c r="AC777" s="2"/>
      <c r="AD777" s="2"/>
      <c r="AE777" s="2"/>
      <c r="AF777" s="2"/>
      <c r="AG777" s="2"/>
      <c r="AH777" s="2"/>
      <c r="AI777" s="2"/>
      <c r="AJ777" s="2"/>
      <c r="AK777" s="2"/>
      <c r="AL777" s="2"/>
      <c r="AM777" s="2"/>
      <c r="AN777" s="2"/>
      <c r="AO777" s="9"/>
      <c r="AP777" s="9"/>
      <c r="AQ777" s="9"/>
      <c r="AR777" s="9"/>
    </row>
    <row r="778">
      <c r="A778" s="523"/>
      <c r="B778" s="523"/>
      <c r="C778" s="523"/>
      <c r="D778" s="523"/>
      <c r="E778" s="523"/>
      <c r="F778" s="523"/>
      <c r="G778" s="523"/>
      <c r="H778" s="523"/>
      <c r="I778" s="523"/>
      <c r="J778" s="523"/>
      <c r="K778" s="523"/>
      <c r="L778" s="523"/>
      <c r="M778" s="523"/>
      <c r="N778" s="523"/>
      <c r="O778" s="523"/>
      <c r="P778" s="523"/>
      <c r="Q778" s="523"/>
      <c r="R778" s="523"/>
      <c r="S778" s="523"/>
      <c r="T778" s="523"/>
      <c r="U778" s="523"/>
      <c r="V778" s="224"/>
      <c r="W778" s="224"/>
      <c r="X778" s="224"/>
      <c r="Y778" s="224"/>
      <c r="Z778" s="868"/>
      <c r="AA778" s="865"/>
      <c r="AB778" s="2"/>
      <c r="AC778" s="2"/>
      <c r="AD778" s="2"/>
      <c r="AE778" s="2"/>
      <c r="AF778" s="2"/>
      <c r="AG778" s="2"/>
      <c r="AH778" s="2"/>
      <c r="AI778" s="2"/>
      <c r="AJ778" s="2"/>
      <c r="AK778" s="2"/>
      <c r="AL778" s="2"/>
      <c r="AM778" s="2"/>
      <c r="AN778" s="2"/>
      <c r="AO778" s="9"/>
      <c r="AP778" s="9"/>
      <c r="AQ778" s="9"/>
      <c r="AR778" s="9"/>
    </row>
    <row r="779">
      <c r="A779" s="523"/>
      <c r="B779" s="523"/>
      <c r="C779" s="523"/>
      <c r="D779" s="523"/>
      <c r="E779" s="523"/>
      <c r="F779" s="523"/>
      <c r="G779" s="523"/>
      <c r="H779" s="523"/>
      <c r="I779" s="523"/>
      <c r="J779" s="523"/>
      <c r="K779" s="523"/>
      <c r="L779" s="523"/>
      <c r="M779" s="523"/>
      <c r="N779" s="523"/>
      <c r="O779" s="523"/>
      <c r="P779" s="523"/>
      <c r="Q779" s="523"/>
      <c r="R779" s="523"/>
      <c r="S779" s="523"/>
      <c r="T779" s="523"/>
      <c r="U779" s="523"/>
      <c r="V779" s="224"/>
      <c r="W779" s="224"/>
      <c r="X779" s="224"/>
      <c r="Y779" s="224"/>
      <c r="Z779" s="868"/>
      <c r="AA779" s="865"/>
      <c r="AB779" s="2"/>
      <c r="AC779" s="2"/>
      <c r="AD779" s="2"/>
      <c r="AE779" s="2"/>
      <c r="AF779" s="2"/>
      <c r="AG779" s="2"/>
      <c r="AH779" s="2"/>
      <c r="AI779" s="2"/>
      <c r="AJ779" s="2"/>
      <c r="AK779" s="2"/>
      <c r="AL779" s="2"/>
      <c r="AM779" s="2"/>
      <c r="AN779" s="2"/>
      <c r="AO779" s="9"/>
      <c r="AP779" s="9"/>
      <c r="AQ779" s="9"/>
      <c r="AR779" s="9"/>
    </row>
    <row r="780">
      <c r="A780" s="523"/>
      <c r="B780" s="523"/>
      <c r="C780" s="523"/>
      <c r="D780" s="523"/>
      <c r="E780" s="523"/>
      <c r="F780" s="523"/>
      <c r="G780" s="523"/>
      <c r="H780" s="523"/>
      <c r="I780" s="523"/>
      <c r="J780" s="523"/>
      <c r="K780" s="523"/>
      <c r="L780" s="523"/>
      <c r="M780" s="523"/>
      <c r="N780" s="523"/>
      <c r="O780" s="523"/>
      <c r="P780" s="523"/>
      <c r="Q780" s="523"/>
      <c r="R780" s="523"/>
      <c r="S780" s="523"/>
      <c r="T780" s="523"/>
      <c r="U780" s="523"/>
      <c r="V780" s="224"/>
      <c r="W780" s="224"/>
      <c r="X780" s="224"/>
      <c r="Y780" s="224"/>
      <c r="Z780" s="868"/>
      <c r="AA780" s="865"/>
      <c r="AB780" s="2"/>
      <c r="AC780" s="2"/>
      <c r="AD780" s="2"/>
      <c r="AE780" s="2"/>
      <c r="AF780" s="2"/>
      <c r="AG780" s="2"/>
      <c r="AH780" s="2"/>
      <c r="AI780" s="2"/>
      <c r="AJ780" s="2"/>
      <c r="AK780" s="2"/>
      <c r="AL780" s="2"/>
      <c r="AM780" s="2"/>
      <c r="AN780" s="2"/>
      <c r="AO780" s="9"/>
      <c r="AP780" s="9"/>
      <c r="AQ780" s="9"/>
      <c r="AR780" s="9"/>
    </row>
    <row r="781">
      <c r="A781" s="523"/>
      <c r="B781" s="523"/>
      <c r="C781" s="523"/>
      <c r="D781" s="523"/>
      <c r="E781" s="523"/>
      <c r="F781" s="523"/>
      <c r="G781" s="523"/>
      <c r="H781" s="523"/>
      <c r="I781" s="523"/>
      <c r="J781" s="523"/>
      <c r="K781" s="523"/>
      <c r="L781" s="523"/>
      <c r="M781" s="523"/>
      <c r="N781" s="523"/>
      <c r="O781" s="523"/>
      <c r="P781" s="523"/>
      <c r="Q781" s="523"/>
      <c r="R781" s="523"/>
      <c r="S781" s="523"/>
      <c r="T781" s="523"/>
      <c r="U781" s="523"/>
      <c r="V781" s="224"/>
      <c r="W781" s="224"/>
      <c r="X781" s="224"/>
      <c r="Y781" s="224"/>
      <c r="Z781" s="868"/>
      <c r="AA781" s="865"/>
      <c r="AB781" s="2"/>
      <c r="AC781" s="2"/>
      <c r="AD781" s="2"/>
      <c r="AE781" s="2"/>
      <c r="AF781" s="2"/>
      <c r="AG781" s="2"/>
      <c r="AH781" s="2"/>
      <c r="AI781" s="2"/>
      <c r="AJ781" s="2"/>
      <c r="AK781" s="2"/>
      <c r="AL781" s="2"/>
      <c r="AM781" s="2"/>
      <c r="AN781" s="2"/>
      <c r="AO781" s="9"/>
      <c r="AP781" s="9"/>
      <c r="AQ781" s="9"/>
      <c r="AR781" s="9"/>
    </row>
    <row r="782">
      <c r="A782" s="523"/>
      <c r="B782" s="523"/>
      <c r="C782" s="523"/>
      <c r="D782" s="523"/>
      <c r="E782" s="523"/>
      <c r="F782" s="523"/>
      <c r="G782" s="523"/>
      <c r="H782" s="523"/>
      <c r="I782" s="523"/>
      <c r="J782" s="523"/>
      <c r="K782" s="523"/>
      <c r="L782" s="523"/>
      <c r="M782" s="523"/>
      <c r="N782" s="523"/>
      <c r="O782" s="523"/>
      <c r="P782" s="523"/>
      <c r="Q782" s="523"/>
      <c r="R782" s="523"/>
      <c r="S782" s="523"/>
      <c r="T782" s="523"/>
      <c r="U782" s="523"/>
      <c r="V782" s="224"/>
      <c r="W782" s="224"/>
      <c r="X782" s="224"/>
      <c r="Y782" s="224"/>
      <c r="Z782" s="868"/>
      <c r="AA782" s="865"/>
      <c r="AB782" s="2"/>
      <c r="AC782" s="2"/>
      <c r="AD782" s="2"/>
      <c r="AE782" s="2"/>
      <c r="AF782" s="2"/>
      <c r="AG782" s="2"/>
      <c r="AH782" s="2"/>
      <c r="AI782" s="2"/>
      <c r="AJ782" s="2"/>
      <c r="AK782" s="2"/>
      <c r="AL782" s="2"/>
      <c r="AM782" s="2"/>
      <c r="AN782" s="2"/>
      <c r="AO782" s="9"/>
      <c r="AP782" s="9"/>
      <c r="AQ782" s="9"/>
      <c r="AR782" s="9"/>
    </row>
    <row r="783">
      <c r="A783" s="523"/>
      <c r="B783" s="523"/>
      <c r="C783" s="523"/>
      <c r="D783" s="523"/>
      <c r="E783" s="523"/>
      <c r="F783" s="523"/>
      <c r="G783" s="523"/>
      <c r="H783" s="523"/>
      <c r="I783" s="523"/>
      <c r="J783" s="523"/>
      <c r="K783" s="523"/>
      <c r="L783" s="523"/>
      <c r="M783" s="523"/>
      <c r="N783" s="523"/>
      <c r="O783" s="523"/>
      <c r="P783" s="523"/>
      <c r="Q783" s="523"/>
      <c r="R783" s="523"/>
      <c r="S783" s="523"/>
      <c r="T783" s="523"/>
      <c r="U783" s="523"/>
      <c r="V783" s="224"/>
      <c r="W783" s="224"/>
      <c r="X783" s="224"/>
      <c r="Y783" s="224"/>
      <c r="Z783" s="868"/>
      <c r="AA783" s="865"/>
      <c r="AB783" s="2"/>
      <c r="AC783" s="2"/>
      <c r="AD783" s="2"/>
      <c r="AE783" s="2"/>
      <c r="AF783" s="2"/>
      <c r="AG783" s="2"/>
      <c r="AH783" s="2"/>
      <c r="AI783" s="2"/>
      <c r="AJ783" s="2"/>
      <c r="AK783" s="2"/>
      <c r="AL783" s="2"/>
      <c r="AM783" s="2"/>
      <c r="AN783" s="2"/>
      <c r="AO783" s="9"/>
      <c r="AP783" s="9"/>
      <c r="AQ783" s="9"/>
      <c r="AR783" s="9"/>
    </row>
    <row r="784">
      <c r="A784" s="523"/>
      <c r="B784" s="523"/>
      <c r="C784" s="523"/>
      <c r="D784" s="523"/>
      <c r="E784" s="523"/>
      <c r="F784" s="523"/>
      <c r="G784" s="523"/>
      <c r="H784" s="523"/>
      <c r="I784" s="523"/>
      <c r="J784" s="523"/>
      <c r="K784" s="523"/>
      <c r="L784" s="523"/>
      <c r="M784" s="523"/>
      <c r="N784" s="523"/>
      <c r="O784" s="523"/>
      <c r="P784" s="523"/>
      <c r="Q784" s="523"/>
      <c r="R784" s="523"/>
      <c r="S784" s="523"/>
      <c r="T784" s="523"/>
      <c r="U784" s="523"/>
      <c r="V784" s="224"/>
      <c r="W784" s="224"/>
      <c r="X784" s="224"/>
      <c r="Y784" s="224"/>
      <c r="Z784" s="868"/>
      <c r="AA784" s="865"/>
      <c r="AB784" s="2"/>
      <c r="AC784" s="2"/>
      <c r="AD784" s="2"/>
      <c r="AE784" s="2"/>
      <c r="AF784" s="2"/>
      <c r="AG784" s="2"/>
      <c r="AH784" s="2"/>
      <c r="AI784" s="2"/>
      <c r="AJ784" s="2"/>
      <c r="AK784" s="2"/>
      <c r="AL784" s="2"/>
      <c r="AM784" s="2"/>
      <c r="AN784" s="2"/>
      <c r="AO784" s="9"/>
      <c r="AP784" s="9"/>
      <c r="AQ784" s="9"/>
      <c r="AR784" s="9"/>
    </row>
    <row r="785">
      <c r="A785" s="523"/>
      <c r="B785" s="523"/>
      <c r="C785" s="523"/>
      <c r="D785" s="523"/>
      <c r="E785" s="523"/>
      <c r="F785" s="523"/>
      <c r="G785" s="523"/>
      <c r="H785" s="523"/>
      <c r="I785" s="523"/>
      <c r="J785" s="523"/>
      <c r="K785" s="523"/>
      <c r="L785" s="523"/>
      <c r="M785" s="523"/>
      <c r="N785" s="523"/>
      <c r="O785" s="523"/>
      <c r="P785" s="523"/>
      <c r="Q785" s="523"/>
      <c r="R785" s="523"/>
      <c r="S785" s="523"/>
      <c r="T785" s="523"/>
      <c r="U785" s="523"/>
      <c r="V785" s="224"/>
      <c r="W785" s="224"/>
      <c r="X785" s="224"/>
      <c r="Y785" s="224"/>
      <c r="Z785" s="868"/>
      <c r="AA785" s="865"/>
      <c r="AB785" s="2"/>
      <c r="AC785" s="2"/>
      <c r="AD785" s="2"/>
      <c r="AE785" s="2"/>
      <c r="AF785" s="2"/>
      <c r="AG785" s="2"/>
      <c r="AH785" s="2"/>
      <c r="AI785" s="2"/>
      <c r="AJ785" s="2"/>
      <c r="AK785" s="2"/>
      <c r="AL785" s="2"/>
      <c r="AM785" s="2"/>
      <c r="AN785" s="2"/>
      <c r="AO785" s="9"/>
      <c r="AP785" s="9"/>
      <c r="AQ785" s="9"/>
      <c r="AR785" s="9"/>
    </row>
    <row r="786">
      <c r="A786" s="523"/>
      <c r="B786" s="523"/>
      <c r="C786" s="523"/>
      <c r="D786" s="523"/>
      <c r="E786" s="523"/>
      <c r="F786" s="523"/>
      <c r="G786" s="523"/>
      <c r="H786" s="523"/>
      <c r="I786" s="523"/>
      <c r="J786" s="523"/>
      <c r="K786" s="523"/>
      <c r="L786" s="523"/>
      <c r="M786" s="523"/>
      <c r="N786" s="523"/>
      <c r="O786" s="523"/>
      <c r="P786" s="523"/>
      <c r="Q786" s="523"/>
      <c r="R786" s="523"/>
      <c r="S786" s="523"/>
      <c r="T786" s="523"/>
      <c r="U786" s="523"/>
      <c r="V786" s="224"/>
      <c r="W786" s="224"/>
      <c r="X786" s="224"/>
      <c r="Y786" s="224"/>
      <c r="Z786" s="868"/>
      <c r="AA786" s="865"/>
      <c r="AB786" s="2"/>
      <c r="AC786" s="2"/>
      <c r="AD786" s="2"/>
      <c r="AE786" s="2"/>
      <c r="AF786" s="2"/>
      <c r="AG786" s="2"/>
      <c r="AH786" s="2"/>
      <c r="AI786" s="2"/>
      <c r="AJ786" s="2"/>
      <c r="AK786" s="2"/>
      <c r="AL786" s="2"/>
      <c r="AM786" s="2"/>
      <c r="AN786" s="2"/>
      <c r="AO786" s="9"/>
      <c r="AP786" s="9"/>
      <c r="AQ786" s="9"/>
      <c r="AR786" s="9"/>
    </row>
    <row r="787">
      <c r="A787" s="523"/>
      <c r="B787" s="523"/>
      <c r="C787" s="523"/>
      <c r="D787" s="523"/>
      <c r="E787" s="523"/>
      <c r="F787" s="523"/>
      <c r="G787" s="523"/>
      <c r="H787" s="523"/>
      <c r="I787" s="523"/>
      <c r="J787" s="523"/>
      <c r="K787" s="523"/>
      <c r="L787" s="523"/>
      <c r="M787" s="523"/>
      <c r="N787" s="523"/>
      <c r="O787" s="523"/>
      <c r="P787" s="523"/>
      <c r="Q787" s="523"/>
      <c r="R787" s="523"/>
      <c r="S787" s="523"/>
      <c r="T787" s="523"/>
      <c r="U787" s="523"/>
      <c r="V787" s="224"/>
      <c r="W787" s="224"/>
      <c r="X787" s="224"/>
      <c r="Y787" s="224"/>
      <c r="Z787" s="868"/>
      <c r="AA787" s="865"/>
      <c r="AB787" s="2"/>
      <c r="AC787" s="2"/>
      <c r="AD787" s="2"/>
      <c r="AE787" s="2"/>
      <c r="AF787" s="2"/>
      <c r="AG787" s="2"/>
      <c r="AH787" s="2"/>
      <c r="AI787" s="2"/>
      <c r="AJ787" s="2"/>
      <c r="AK787" s="2"/>
      <c r="AL787" s="2"/>
      <c r="AM787" s="2"/>
      <c r="AN787" s="2"/>
      <c r="AO787" s="9"/>
      <c r="AP787" s="9"/>
      <c r="AQ787" s="9"/>
      <c r="AR787" s="9"/>
    </row>
    <row r="788">
      <c r="A788" s="523"/>
      <c r="B788" s="523"/>
      <c r="C788" s="523"/>
      <c r="D788" s="523"/>
      <c r="E788" s="523"/>
      <c r="F788" s="523"/>
      <c r="G788" s="523"/>
      <c r="H788" s="523"/>
      <c r="I788" s="523"/>
      <c r="J788" s="523"/>
      <c r="K788" s="523"/>
      <c r="L788" s="523"/>
      <c r="M788" s="523"/>
      <c r="N788" s="523"/>
      <c r="O788" s="523"/>
      <c r="P788" s="523"/>
      <c r="Q788" s="523"/>
      <c r="R788" s="523"/>
      <c r="S788" s="523"/>
      <c r="T788" s="523"/>
      <c r="U788" s="523"/>
      <c r="V788" s="224"/>
      <c r="W788" s="224"/>
      <c r="X788" s="224"/>
      <c r="Y788" s="224"/>
      <c r="Z788" s="868"/>
      <c r="AA788" s="865"/>
      <c r="AB788" s="2"/>
      <c r="AC788" s="2"/>
      <c r="AD788" s="2"/>
      <c r="AE788" s="2"/>
      <c r="AF788" s="2"/>
      <c r="AG788" s="2"/>
      <c r="AH788" s="2"/>
      <c r="AI788" s="2"/>
      <c r="AJ788" s="2"/>
      <c r="AK788" s="2"/>
      <c r="AL788" s="2"/>
      <c r="AM788" s="2"/>
      <c r="AN788" s="2"/>
      <c r="AO788" s="9"/>
      <c r="AP788" s="9"/>
      <c r="AQ788" s="9"/>
      <c r="AR788" s="9"/>
    </row>
    <row r="789">
      <c r="A789" s="523"/>
      <c r="B789" s="523"/>
      <c r="C789" s="523"/>
      <c r="D789" s="523"/>
      <c r="E789" s="523"/>
      <c r="F789" s="523"/>
      <c r="G789" s="523"/>
      <c r="H789" s="523"/>
      <c r="I789" s="523"/>
      <c r="J789" s="523"/>
      <c r="K789" s="523"/>
      <c r="L789" s="523"/>
      <c r="M789" s="523"/>
      <c r="N789" s="523"/>
      <c r="O789" s="523"/>
      <c r="P789" s="523"/>
      <c r="Q789" s="523"/>
      <c r="R789" s="523"/>
      <c r="S789" s="523"/>
      <c r="T789" s="523"/>
      <c r="U789" s="523"/>
      <c r="V789" s="224"/>
      <c r="W789" s="224"/>
      <c r="X789" s="224"/>
      <c r="Y789" s="224"/>
      <c r="Z789" s="868"/>
      <c r="AA789" s="865"/>
      <c r="AB789" s="2"/>
      <c r="AC789" s="2"/>
      <c r="AD789" s="2"/>
      <c r="AE789" s="2"/>
      <c r="AF789" s="2"/>
      <c r="AG789" s="2"/>
      <c r="AH789" s="2"/>
      <c r="AI789" s="2"/>
      <c r="AJ789" s="2"/>
      <c r="AK789" s="2"/>
      <c r="AL789" s="2"/>
      <c r="AM789" s="2"/>
      <c r="AN789" s="2"/>
      <c r="AO789" s="9"/>
      <c r="AP789" s="9"/>
      <c r="AQ789" s="9"/>
      <c r="AR789" s="9"/>
    </row>
    <row r="790">
      <c r="A790" s="523"/>
      <c r="B790" s="523"/>
      <c r="C790" s="523"/>
      <c r="D790" s="523"/>
      <c r="E790" s="523"/>
      <c r="F790" s="523"/>
      <c r="G790" s="523"/>
      <c r="H790" s="523"/>
      <c r="I790" s="523"/>
      <c r="J790" s="523"/>
      <c r="K790" s="523"/>
      <c r="L790" s="523"/>
      <c r="M790" s="523"/>
      <c r="N790" s="523"/>
      <c r="O790" s="523"/>
      <c r="P790" s="523"/>
      <c r="Q790" s="523"/>
      <c r="R790" s="523"/>
      <c r="S790" s="523"/>
      <c r="T790" s="523"/>
      <c r="U790" s="523"/>
      <c r="V790" s="224"/>
      <c r="W790" s="224"/>
      <c r="X790" s="224"/>
      <c r="Y790" s="224"/>
      <c r="Z790" s="868"/>
      <c r="AA790" s="865"/>
      <c r="AB790" s="2"/>
      <c r="AC790" s="2"/>
      <c r="AD790" s="2"/>
      <c r="AE790" s="2"/>
      <c r="AF790" s="2"/>
      <c r="AG790" s="2"/>
      <c r="AH790" s="2"/>
      <c r="AI790" s="2"/>
      <c r="AJ790" s="2"/>
      <c r="AK790" s="2"/>
      <c r="AL790" s="2"/>
      <c r="AM790" s="2"/>
      <c r="AN790" s="2"/>
      <c r="AO790" s="9"/>
      <c r="AP790" s="9"/>
      <c r="AQ790" s="9"/>
      <c r="AR790" s="9"/>
    </row>
    <row r="791">
      <c r="A791" s="523"/>
      <c r="B791" s="523"/>
      <c r="C791" s="523"/>
      <c r="D791" s="523"/>
      <c r="E791" s="523"/>
      <c r="F791" s="523"/>
      <c r="G791" s="523"/>
      <c r="H791" s="523"/>
      <c r="I791" s="523"/>
      <c r="J791" s="523"/>
      <c r="K791" s="523"/>
      <c r="L791" s="523"/>
      <c r="M791" s="523"/>
      <c r="N791" s="523"/>
      <c r="O791" s="523"/>
      <c r="P791" s="523"/>
      <c r="Q791" s="523"/>
      <c r="R791" s="523"/>
      <c r="S791" s="523"/>
      <c r="T791" s="523"/>
      <c r="U791" s="523"/>
      <c r="V791" s="224"/>
      <c r="W791" s="224"/>
      <c r="X791" s="224"/>
      <c r="Y791" s="224"/>
      <c r="Z791" s="868"/>
      <c r="AA791" s="865"/>
      <c r="AB791" s="2"/>
      <c r="AC791" s="2"/>
      <c r="AD791" s="2"/>
      <c r="AE791" s="2"/>
      <c r="AF791" s="2"/>
      <c r="AG791" s="2"/>
      <c r="AH791" s="2"/>
      <c r="AI791" s="2"/>
      <c r="AJ791" s="2"/>
      <c r="AK791" s="2"/>
      <c r="AL791" s="2"/>
      <c r="AM791" s="2"/>
      <c r="AN791" s="2"/>
      <c r="AO791" s="9"/>
      <c r="AP791" s="9"/>
      <c r="AQ791" s="9"/>
      <c r="AR791" s="9"/>
    </row>
    <row r="792">
      <c r="A792" s="523"/>
      <c r="B792" s="523"/>
      <c r="C792" s="523"/>
      <c r="D792" s="523"/>
      <c r="E792" s="523"/>
      <c r="F792" s="523"/>
      <c r="G792" s="523"/>
      <c r="H792" s="523"/>
      <c r="I792" s="523"/>
      <c r="J792" s="523"/>
      <c r="K792" s="523"/>
      <c r="L792" s="523"/>
      <c r="M792" s="523"/>
      <c r="N792" s="523"/>
      <c r="O792" s="523"/>
      <c r="P792" s="523"/>
      <c r="Q792" s="523"/>
      <c r="R792" s="523"/>
      <c r="S792" s="523"/>
      <c r="T792" s="523"/>
      <c r="U792" s="523"/>
      <c r="V792" s="224"/>
      <c r="W792" s="224"/>
      <c r="X792" s="224"/>
      <c r="Y792" s="224"/>
      <c r="Z792" s="868"/>
      <c r="AA792" s="865"/>
      <c r="AB792" s="2"/>
      <c r="AC792" s="2"/>
      <c r="AD792" s="2"/>
      <c r="AE792" s="2"/>
      <c r="AF792" s="2"/>
      <c r="AG792" s="2"/>
      <c r="AH792" s="2"/>
      <c r="AI792" s="2"/>
      <c r="AJ792" s="2"/>
      <c r="AK792" s="2"/>
      <c r="AL792" s="2"/>
      <c r="AM792" s="2"/>
      <c r="AN792" s="2"/>
      <c r="AO792" s="9"/>
      <c r="AP792" s="9"/>
      <c r="AQ792" s="9"/>
      <c r="AR792" s="9"/>
    </row>
    <row r="793">
      <c r="A793" s="523"/>
      <c r="B793" s="523"/>
      <c r="C793" s="523"/>
      <c r="D793" s="523"/>
      <c r="E793" s="523"/>
      <c r="F793" s="523"/>
      <c r="G793" s="523"/>
      <c r="H793" s="523"/>
      <c r="I793" s="523"/>
      <c r="J793" s="523"/>
      <c r="K793" s="523"/>
      <c r="L793" s="523"/>
      <c r="M793" s="523"/>
      <c r="N793" s="523"/>
      <c r="O793" s="523"/>
      <c r="P793" s="523"/>
      <c r="Q793" s="523"/>
      <c r="R793" s="523"/>
      <c r="S793" s="523"/>
      <c r="T793" s="523"/>
      <c r="U793" s="523"/>
      <c r="V793" s="224"/>
      <c r="W793" s="224"/>
      <c r="X793" s="224"/>
      <c r="Y793" s="224"/>
      <c r="Z793" s="868"/>
      <c r="AA793" s="865"/>
      <c r="AB793" s="2"/>
      <c r="AC793" s="2"/>
      <c r="AD793" s="2"/>
      <c r="AE793" s="2"/>
      <c r="AF793" s="2"/>
      <c r="AG793" s="2"/>
      <c r="AH793" s="2"/>
      <c r="AI793" s="2"/>
      <c r="AJ793" s="2"/>
      <c r="AK793" s="2"/>
      <c r="AL793" s="2"/>
      <c r="AM793" s="2"/>
      <c r="AN793" s="2"/>
      <c r="AO793" s="9"/>
      <c r="AP793" s="9"/>
      <c r="AQ793" s="9"/>
      <c r="AR793" s="9"/>
    </row>
    <row r="794">
      <c r="A794" s="523"/>
      <c r="B794" s="523"/>
      <c r="C794" s="523"/>
      <c r="D794" s="523"/>
      <c r="E794" s="523"/>
      <c r="F794" s="523"/>
      <c r="G794" s="523"/>
      <c r="H794" s="523"/>
      <c r="I794" s="523"/>
      <c r="J794" s="523"/>
      <c r="K794" s="523"/>
      <c r="L794" s="523"/>
      <c r="M794" s="523"/>
      <c r="N794" s="523"/>
      <c r="O794" s="523"/>
      <c r="P794" s="523"/>
      <c r="Q794" s="523"/>
      <c r="R794" s="523"/>
      <c r="S794" s="523"/>
      <c r="T794" s="523"/>
      <c r="U794" s="523"/>
      <c r="V794" s="224"/>
      <c r="W794" s="224"/>
      <c r="X794" s="224"/>
      <c r="Y794" s="224"/>
      <c r="Z794" s="868"/>
      <c r="AA794" s="865"/>
      <c r="AB794" s="2"/>
      <c r="AC794" s="2"/>
      <c r="AD794" s="2"/>
      <c r="AE794" s="2"/>
      <c r="AF794" s="2"/>
      <c r="AG794" s="2"/>
      <c r="AH794" s="2"/>
      <c r="AI794" s="2"/>
      <c r="AJ794" s="2"/>
      <c r="AK794" s="2"/>
      <c r="AL794" s="2"/>
      <c r="AM794" s="2"/>
      <c r="AN794" s="2"/>
      <c r="AO794" s="9"/>
      <c r="AP794" s="9"/>
      <c r="AQ794" s="9"/>
      <c r="AR794" s="9"/>
    </row>
    <row r="795">
      <c r="A795" s="523"/>
      <c r="B795" s="523"/>
      <c r="C795" s="523"/>
      <c r="D795" s="523"/>
      <c r="E795" s="523"/>
      <c r="F795" s="523"/>
      <c r="G795" s="523"/>
      <c r="H795" s="523"/>
      <c r="I795" s="523"/>
      <c r="J795" s="523"/>
      <c r="K795" s="523"/>
      <c r="L795" s="523"/>
      <c r="M795" s="523"/>
      <c r="N795" s="523"/>
      <c r="O795" s="523"/>
      <c r="P795" s="523"/>
      <c r="Q795" s="523"/>
      <c r="R795" s="523"/>
      <c r="S795" s="523"/>
      <c r="T795" s="523"/>
      <c r="U795" s="523"/>
      <c r="V795" s="224"/>
      <c r="W795" s="224"/>
      <c r="X795" s="224"/>
      <c r="Y795" s="224"/>
      <c r="Z795" s="868"/>
      <c r="AA795" s="865"/>
      <c r="AB795" s="2"/>
      <c r="AC795" s="2"/>
      <c r="AD795" s="2"/>
      <c r="AE795" s="2"/>
      <c r="AF795" s="2"/>
      <c r="AG795" s="2"/>
      <c r="AH795" s="2"/>
      <c r="AI795" s="2"/>
      <c r="AJ795" s="2"/>
      <c r="AK795" s="2"/>
      <c r="AL795" s="2"/>
      <c r="AM795" s="2"/>
      <c r="AN795" s="2"/>
      <c r="AO795" s="9"/>
      <c r="AP795" s="9"/>
      <c r="AQ795" s="9"/>
      <c r="AR795" s="9"/>
    </row>
    <row r="796">
      <c r="A796" s="523"/>
      <c r="B796" s="523"/>
      <c r="C796" s="523"/>
      <c r="D796" s="523"/>
      <c r="E796" s="523"/>
      <c r="F796" s="523"/>
      <c r="G796" s="523"/>
      <c r="H796" s="523"/>
      <c r="I796" s="523"/>
      <c r="J796" s="523"/>
      <c r="K796" s="523"/>
      <c r="L796" s="523"/>
      <c r="M796" s="523"/>
      <c r="N796" s="523"/>
      <c r="O796" s="523"/>
      <c r="P796" s="523"/>
      <c r="Q796" s="523"/>
      <c r="R796" s="523"/>
      <c r="S796" s="523"/>
      <c r="T796" s="523"/>
      <c r="U796" s="523"/>
      <c r="V796" s="224"/>
      <c r="W796" s="224"/>
      <c r="X796" s="224"/>
      <c r="Y796" s="224"/>
      <c r="Z796" s="868"/>
      <c r="AA796" s="865"/>
      <c r="AB796" s="2"/>
      <c r="AC796" s="2"/>
      <c r="AD796" s="2"/>
      <c r="AE796" s="2"/>
      <c r="AF796" s="2"/>
      <c r="AG796" s="2"/>
      <c r="AH796" s="2"/>
      <c r="AI796" s="2"/>
      <c r="AJ796" s="2"/>
      <c r="AK796" s="2"/>
      <c r="AL796" s="2"/>
      <c r="AM796" s="2"/>
      <c r="AN796" s="2"/>
      <c r="AO796" s="9"/>
      <c r="AP796" s="9"/>
      <c r="AQ796" s="9"/>
      <c r="AR796" s="9"/>
    </row>
    <row r="797">
      <c r="A797" s="523"/>
      <c r="B797" s="523"/>
      <c r="C797" s="523"/>
      <c r="D797" s="523"/>
      <c r="E797" s="523"/>
      <c r="F797" s="523"/>
      <c r="G797" s="523"/>
      <c r="H797" s="523"/>
      <c r="I797" s="523"/>
      <c r="J797" s="523"/>
      <c r="K797" s="523"/>
      <c r="L797" s="523"/>
      <c r="M797" s="523"/>
      <c r="N797" s="523"/>
      <c r="O797" s="523"/>
      <c r="P797" s="523"/>
      <c r="Q797" s="523"/>
      <c r="R797" s="523"/>
      <c r="S797" s="523"/>
      <c r="T797" s="523"/>
      <c r="U797" s="523"/>
      <c r="V797" s="224"/>
      <c r="W797" s="224"/>
      <c r="X797" s="224"/>
      <c r="Y797" s="224"/>
      <c r="Z797" s="868"/>
      <c r="AA797" s="865"/>
      <c r="AB797" s="2"/>
      <c r="AC797" s="2"/>
      <c r="AD797" s="2"/>
      <c r="AE797" s="2"/>
      <c r="AF797" s="2"/>
      <c r="AG797" s="2"/>
      <c r="AH797" s="2"/>
      <c r="AI797" s="2"/>
      <c r="AJ797" s="2"/>
      <c r="AK797" s="2"/>
      <c r="AL797" s="2"/>
      <c r="AM797" s="2"/>
      <c r="AN797" s="2"/>
      <c r="AO797" s="9"/>
      <c r="AP797" s="9"/>
      <c r="AQ797" s="9"/>
      <c r="AR797" s="9"/>
    </row>
    <row r="798">
      <c r="A798" s="523"/>
      <c r="B798" s="523"/>
      <c r="C798" s="523"/>
      <c r="D798" s="523"/>
      <c r="E798" s="523"/>
      <c r="F798" s="523"/>
      <c r="G798" s="523"/>
      <c r="H798" s="523"/>
      <c r="I798" s="523"/>
      <c r="J798" s="523"/>
      <c r="K798" s="523"/>
      <c r="L798" s="523"/>
      <c r="M798" s="523"/>
      <c r="N798" s="523"/>
      <c r="O798" s="523"/>
      <c r="P798" s="523"/>
      <c r="Q798" s="523"/>
      <c r="R798" s="523"/>
      <c r="S798" s="523"/>
      <c r="T798" s="523"/>
      <c r="U798" s="523"/>
      <c r="V798" s="224"/>
      <c r="W798" s="224"/>
      <c r="X798" s="224"/>
      <c r="Y798" s="224"/>
      <c r="Z798" s="868"/>
      <c r="AA798" s="865"/>
      <c r="AB798" s="2"/>
      <c r="AC798" s="2"/>
      <c r="AD798" s="2"/>
      <c r="AE798" s="2"/>
      <c r="AF798" s="2"/>
      <c r="AG798" s="2"/>
      <c r="AH798" s="2"/>
      <c r="AI798" s="2"/>
      <c r="AJ798" s="2"/>
      <c r="AK798" s="2"/>
      <c r="AL798" s="2"/>
      <c r="AM798" s="2"/>
      <c r="AN798" s="2"/>
      <c r="AO798" s="9"/>
      <c r="AP798" s="9"/>
      <c r="AQ798" s="9"/>
      <c r="AR798" s="9"/>
    </row>
    <row r="799">
      <c r="A799" s="523"/>
      <c r="B799" s="523"/>
      <c r="C799" s="523"/>
      <c r="D799" s="523"/>
      <c r="E799" s="523"/>
      <c r="F799" s="523"/>
      <c r="G799" s="523"/>
      <c r="H799" s="523"/>
      <c r="I799" s="523"/>
      <c r="J799" s="523"/>
      <c r="K799" s="523"/>
      <c r="L799" s="523"/>
      <c r="M799" s="523"/>
      <c r="N799" s="523"/>
      <c r="O799" s="523"/>
      <c r="P799" s="523"/>
      <c r="Q799" s="523"/>
      <c r="R799" s="523"/>
      <c r="S799" s="523"/>
      <c r="T799" s="523"/>
      <c r="U799" s="523"/>
      <c r="V799" s="224"/>
      <c r="W799" s="224"/>
      <c r="X799" s="224"/>
      <c r="Y799" s="224"/>
      <c r="Z799" s="868"/>
      <c r="AA799" s="865"/>
      <c r="AB799" s="2"/>
      <c r="AC799" s="2"/>
      <c r="AD799" s="2"/>
      <c r="AE799" s="2"/>
      <c r="AF799" s="2"/>
      <c r="AG799" s="2"/>
      <c r="AH799" s="2"/>
      <c r="AI799" s="2"/>
      <c r="AJ799" s="2"/>
      <c r="AK799" s="2"/>
      <c r="AL799" s="2"/>
      <c r="AM799" s="2"/>
      <c r="AN799" s="2"/>
      <c r="AO799" s="9"/>
      <c r="AP799" s="9"/>
      <c r="AQ799" s="9"/>
      <c r="AR799" s="9"/>
    </row>
    <row r="800">
      <c r="A800" s="523"/>
      <c r="B800" s="523"/>
      <c r="C800" s="523"/>
      <c r="D800" s="523"/>
      <c r="E800" s="523"/>
      <c r="F800" s="523"/>
      <c r="G800" s="523"/>
      <c r="H800" s="523"/>
      <c r="I800" s="523"/>
      <c r="J800" s="523"/>
      <c r="K800" s="523"/>
      <c r="L800" s="523"/>
      <c r="M800" s="523"/>
      <c r="N800" s="523"/>
      <c r="O800" s="523"/>
      <c r="P800" s="523"/>
      <c r="Q800" s="523"/>
      <c r="R800" s="523"/>
      <c r="S800" s="523"/>
      <c r="T800" s="523"/>
      <c r="U800" s="523"/>
      <c r="V800" s="224"/>
      <c r="W800" s="224"/>
      <c r="X800" s="224"/>
      <c r="Y800" s="224"/>
      <c r="Z800" s="868"/>
      <c r="AA800" s="865"/>
      <c r="AB800" s="2"/>
      <c r="AC800" s="2"/>
      <c r="AD800" s="2"/>
      <c r="AE800" s="2"/>
      <c r="AF800" s="2"/>
      <c r="AG800" s="2"/>
      <c r="AH800" s="2"/>
      <c r="AI800" s="2"/>
      <c r="AJ800" s="2"/>
      <c r="AK800" s="2"/>
      <c r="AL800" s="2"/>
      <c r="AM800" s="2"/>
      <c r="AN800" s="2"/>
      <c r="AO800" s="9"/>
      <c r="AP800" s="9"/>
      <c r="AQ800" s="9"/>
      <c r="AR800" s="9"/>
    </row>
    <row r="801">
      <c r="A801" s="523"/>
      <c r="B801" s="523"/>
      <c r="C801" s="523"/>
      <c r="D801" s="523"/>
      <c r="E801" s="523"/>
      <c r="F801" s="523"/>
      <c r="G801" s="523"/>
      <c r="H801" s="523"/>
      <c r="I801" s="523"/>
      <c r="J801" s="523"/>
      <c r="K801" s="523"/>
      <c r="L801" s="523"/>
      <c r="M801" s="523"/>
      <c r="N801" s="523"/>
      <c r="O801" s="523"/>
      <c r="P801" s="523"/>
      <c r="Q801" s="523"/>
      <c r="R801" s="523"/>
      <c r="S801" s="523"/>
      <c r="T801" s="523"/>
      <c r="U801" s="523"/>
      <c r="V801" s="224"/>
      <c r="W801" s="224"/>
      <c r="X801" s="224"/>
      <c r="Y801" s="224"/>
      <c r="Z801" s="868"/>
      <c r="AA801" s="865"/>
      <c r="AB801" s="2"/>
      <c r="AC801" s="2"/>
      <c r="AD801" s="2"/>
      <c r="AE801" s="2"/>
      <c r="AF801" s="2"/>
      <c r="AG801" s="2"/>
      <c r="AH801" s="2"/>
      <c r="AI801" s="2"/>
      <c r="AJ801" s="2"/>
      <c r="AK801" s="2"/>
      <c r="AL801" s="2"/>
      <c r="AM801" s="2"/>
      <c r="AN801" s="2"/>
      <c r="AO801" s="9"/>
      <c r="AP801" s="9"/>
      <c r="AQ801" s="9"/>
      <c r="AR801" s="9"/>
    </row>
    <row r="802">
      <c r="A802" s="523"/>
      <c r="B802" s="523"/>
      <c r="C802" s="523"/>
      <c r="D802" s="523"/>
      <c r="E802" s="523"/>
      <c r="F802" s="523"/>
      <c r="G802" s="523"/>
      <c r="H802" s="523"/>
      <c r="I802" s="523"/>
      <c r="J802" s="523"/>
      <c r="K802" s="523"/>
      <c r="L802" s="523"/>
      <c r="M802" s="523"/>
      <c r="N802" s="523"/>
      <c r="O802" s="523"/>
      <c r="P802" s="523"/>
      <c r="Q802" s="523"/>
      <c r="R802" s="523"/>
      <c r="S802" s="523"/>
      <c r="T802" s="523"/>
      <c r="U802" s="523"/>
      <c r="V802" s="224"/>
      <c r="W802" s="224"/>
      <c r="X802" s="224"/>
      <c r="Y802" s="224"/>
      <c r="Z802" s="868"/>
      <c r="AA802" s="865"/>
      <c r="AB802" s="2"/>
      <c r="AC802" s="2"/>
      <c r="AD802" s="2"/>
      <c r="AE802" s="2"/>
      <c r="AF802" s="2"/>
      <c r="AG802" s="2"/>
      <c r="AH802" s="2"/>
      <c r="AI802" s="2"/>
      <c r="AJ802" s="2"/>
      <c r="AK802" s="2"/>
      <c r="AL802" s="2"/>
      <c r="AM802" s="2"/>
      <c r="AN802" s="2"/>
      <c r="AO802" s="9"/>
      <c r="AP802" s="9"/>
      <c r="AQ802" s="9"/>
      <c r="AR802" s="9"/>
    </row>
    <row r="803">
      <c r="A803" s="523"/>
      <c r="B803" s="523"/>
      <c r="C803" s="523"/>
      <c r="D803" s="523"/>
      <c r="E803" s="523"/>
      <c r="F803" s="523"/>
      <c r="G803" s="523"/>
      <c r="H803" s="523"/>
      <c r="I803" s="523"/>
      <c r="J803" s="523"/>
      <c r="K803" s="523"/>
      <c r="L803" s="523"/>
      <c r="M803" s="523"/>
      <c r="N803" s="523"/>
      <c r="O803" s="523"/>
      <c r="P803" s="523"/>
      <c r="Q803" s="523"/>
      <c r="R803" s="523"/>
      <c r="S803" s="523"/>
      <c r="T803" s="523"/>
      <c r="U803" s="523"/>
      <c r="V803" s="224"/>
      <c r="W803" s="224"/>
      <c r="X803" s="224"/>
      <c r="Y803" s="224"/>
      <c r="Z803" s="868"/>
      <c r="AA803" s="865"/>
      <c r="AB803" s="2"/>
      <c r="AC803" s="2"/>
      <c r="AD803" s="2"/>
      <c r="AE803" s="2"/>
      <c r="AF803" s="2"/>
      <c r="AG803" s="2"/>
      <c r="AH803" s="2"/>
      <c r="AI803" s="2"/>
      <c r="AJ803" s="2"/>
      <c r="AK803" s="2"/>
      <c r="AL803" s="2"/>
      <c r="AM803" s="2"/>
      <c r="AN803" s="2"/>
      <c r="AO803" s="9"/>
      <c r="AP803" s="9"/>
      <c r="AQ803" s="9"/>
      <c r="AR803" s="9"/>
    </row>
    <row r="804">
      <c r="A804" s="523"/>
      <c r="B804" s="523"/>
      <c r="C804" s="523"/>
      <c r="D804" s="523"/>
      <c r="E804" s="523"/>
      <c r="F804" s="523"/>
      <c r="G804" s="523"/>
      <c r="H804" s="523"/>
      <c r="I804" s="523"/>
      <c r="J804" s="523"/>
      <c r="K804" s="523"/>
      <c r="L804" s="523"/>
      <c r="M804" s="523"/>
      <c r="N804" s="523"/>
      <c r="O804" s="523"/>
      <c r="P804" s="523"/>
      <c r="Q804" s="523"/>
      <c r="R804" s="523"/>
      <c r="S804" s="523"/>
      <c r="T804" s="523"/>
      <c r="U804" s="523"/>
      <c r="V804" s="224"/>
      <c r="W804" s="224"/>
      <c r="X804" s="224"/>
      <c r="Y804" s="224"/>
      <c r="Z804" s="868"/>
      <c r="AA804" s="865"/>
      <c r="AB804" s="2"/>
      <c r="AC804" s="2"/>
      <c r="AD804" s="2"/>
      <c r="AE804" s="2"/>
      <c r="AF804" s="2"/>
      <c r="AG804" s="2"/>
      <c r="AH804" s="2"/>
      <c r="AI804" s="2"/>
      <c r="AJ804" s="2"/>
      <c r="AK804" s="2"/>
      <c r="AL804" s="2"/>
      <c r="AM804" s="2"/>
      <c r="AN804" s="2"/>
      <c r="AO804" s="9"/>
      <c r="AP804" s="9"/>
      <c r="AQ804" s="9"/>
      <c r="AR804" s="9"/>
    </row>
    <row r="805">
      <c r="A805" s="523"/>
      <c r="B805" s="523"/>
      <c r="C805" s="523"/>
      <c r="D805" s="523"/>
      <c r="E805" s="523"/>
      <c r="F805" s="523"/>
      <c r="G805" s="523"/>
      <c r="H805" s="523"/>
      <c r="I805" s="523"/>
      <c r="J805" s="523"/>
      <c r="K805" s="523"/>
      <c r="L805" s="523"/>
      <c r="M805" s="523"/>
      <c r="N805" s="523"/>
      <c r="O805" s="523"/>
      <c r="P805" s="523"/>
      <c r="Q805" s="523"/>
      <c r="R805" s="523"/>
      <c r="S805" s="523"/>
      <c r="T805" s="523"/>
      <c r="U805" s="523"/>
      <c r="V805" s="224"/>
      <c r="W805" s="224"/>
      <c r="X805" s="224"/>
      <c r="Y805" s="224"/>
      <c r="Z805" s="868"/>
      <c r="AA805" s="865"/>
      <c r="AB805" s="2"/>
      <c r="AC805" s="2"/>
      <c r="AD805" s="2"/>
      <c r="AE805" s="2"/>
      <c r="AF805" s="2"/>
      <c r="AG805" s="2"/>
      <c r="AH805" s="2"/>
      <c r="AI805" s="2"/>
      <c r="AJ805" s="2"/>
      <c r="AK805" s="2"/>
      <c r="AL805" s="2"/>
      <c r="AM805" s="2"/>
      <c r="AN805" s="2"/>
      <c r="AO805" s="9"/>
      <c r="AP805" s="9"/>
      <c r="AQ805" s="9"/>
      <c r="AR805" s="9"/>
    </row>
    <row r="806">
      <c r="A806" s="523"/>
      <c r="B806" s="523"/>
      <c r="C806" s="523"/>
      <c r="D806" s="523"/>
      <c r="E806" s="523"/>
      <c r="F806" s="523"/>
      <c r="G806" s="523"/>
      <c r="H806" s="523"/>
      <c r="I806" s="523"/>
      <c r="J806" s="523"/>
      <c r="K806" s="523"/>
      <c r="L806" s="523"/>
      <c r="M806" s="523"/>
      <c r="N806" s="523"/>
      <c r="O806" s="523"/>
      <c r="P806" s="523"/>
      <c r="Q806" s="523"/>
      <c r="R806" s="523"/>
      <c r="S806" s="523"/>
      <c r="T806" s="523"/>
      <c r="U806" s="523"/>
      <c r="V806" s="224"/>
      <c r="W806" s="224"/>
      <c r="X806" s="224"/>
      <c r="Y806" s="224"/>
      <c r="Z806" s="868"/>
      <c r="AA806" s="865"/>
      <c r="AB806" s="2"/>
      <c r="AC806" s="2"/>
      <c r="AD806" s="2"/>
      <c r="AE806" s="2"/>
      <c r="AF806" s="2"/>
      <c r="AG806" s="2"/>
      <c r="AH806" s="2"/>
      <c r="AI806" s="2"/>
      <c r="AJ806" s="2"/>
      <c r="AK806" s="2"/>
      <c r="AL806" s="2"/>
      <c r="AM806" s="2"/>
      <c r="AN806" s="2"/>
      <c r="AO806" s="9"/>
      <c r="AP806" s="9"/>
      <c r="AQ806" s="9"/>
      <c r="AR806" s="9"/>
    </row>
    <row r="807">
      <c r="A807" s="523"/>
      <c r="B807" s="523"/>
      <c r="C807" s="523"/>
      <c r="D807" s="523"/>
      <c r="E807" s="523"/>
      <c r="F807" s="523"/>
      <c r="G807" s="523"/>
      <c r="H807" s="523"/>
      <c r="I807" s="523"/>
      <c r="J807" s="523"/>
      <c r="K807" s="523"/>
      <c r="L807" s="523"/>
      <c r="M807" s="523"/>
      <c r="N807" s="523"/>
      <c r="O807" s="523"/>
      <c r="P807" s="523"/>
      <c r="Q807" s="523"/>
      <c r="R807" s="523"/>
      <c r="S807" s="523"/>
      <c r="T807" s="523"/>
      <c r="U807" s="523"/>
      <c r="V807" s="224"/>
      <c r="W807" s="224"/>
      <c r="X807" s="224"/>
      <c r="Y807" s="224"/>
      <c r="Z807" s="868"/>
      <c r="AA807" s="865"/>
      <c r="AB807" s="2"/>
      <c r="AC807" s="2"/>
      <c r="AD807" s="2"/>
      <c r="AE807" s="2"/>
      <c r="AF807" s="2"/>
      <c r="AG807" s="2"/>
      <c r="AH807" s="2"/>
      <c r="AI807" s="2"/>
      <c r="AJ807" s="2"/>
      <c r="AK807" s="2"/>
      <c r="AL807" s="2"/>
      <c r="AM807" s="2"/>
      <c r="AN807" s="2"/>
      <c r="AO807" s="9"/>
      <c r="AP807" s="9"/>
      <c r="AQ807" s="9"/>
      <c r="AR807" s="9"/>
    </row>
    <row r="808">
      <c r="A808" s="523"/>
      <c r="B808" s="523"/>
      <c r="C808" s="523"/>
      <c r="D808" s="523"/>
      <c r="E808" s="523"/>
      <c r="F808" s="523"/>
      <c r="G808" s="523"/>
      <c r="H808" s="523"/>
      <c r="I808" s="523"/>
      <c r="J808" s="523"/>
      <c r="K808" s="523"/>
      <c r="L808" s="523"/>
      <c r="M808" s="523"/>
      <c r="N808" s="523"/>
      <c r="O808" s="523"/>
      <c r="P808" s="523"/>
      <c r="Q808" s="523"/>
      <c r="R808" s="523"/>
      <c r="S808" s="523"/>
      <c r="T808" s="523"/>
      <c r="U808" s="523"/>
      <c r="V808" s="224"/>
      <c r="W808" s="224"/>
      <c r="X808" s="224"/>
      <c r="Y808" s="224"/>
      <c r="Z808" s="868"/>
      <c r="AA808" s="865"/>
      <c r="AB808" s="2"/>
      <c r="AC808" s="2"/>
      <c r="AD808" s="2"/>
      <c r="AE808" s="2"/>
      <c r="AF808" s="2"/>
      <c r="AG808" s="2"/>
      <c r="AH808" s="2"/>
      <c r="AI808" s="2"/>
      <c r="AJ808" s="2"/>
      <c r="AK808" s="2"/>
      <c r="AL808" s="2"/>
      <c r="AM808" s="2"/>
      <c r="AN808" s="2"/>
      <c r="AO808" s="9"/>
      <c r="AP808" s="9"/>
      <c r="AQ808" s="9"/>
      <c r="AR808" s="9"/>
    </row>
    <row r="809">
      <c r="A809" s="523"/>
      <c r="B809" s="523"/>
      <c r="C809" s="523"/>
      <c r="D809" s="523"/>
      <c r="E809" s="523"/>
      <c r="F809" s="523"/>
      <c r="G809" s="523"/>
      <c r="H809" s="523"/>
      <c r="I809" s="523"/>
      <c r="J809" s="523"/>
      <c r="K809" s="523"/>
      <c r="L809" s="523"/>
      <c r="M809" s="523"/>
      <c r="N809" s="523"/>
      <c r="O809" s="523"/>
      <c r="P809" s="523"/>
      <c r="Q809" s="523"/>
      <c r="R809" s="523"/>
      <c r="S809" s="523"/>
      <c r="T809" s="523"/>
      <c r="U809" s="523"/>
      <c r="V809" s="224"/>
      <c r="W809" s="224"/>
      <c r="X809" s="224"/>
      <c r="Y809" s="224"/>
      <c r="Z809" s="868"/>
      <c r="AA809" s="865"/>
      <c r="AB809" s="2"/>
      <c r="AC809" s="2"/>
      <c r="AD809" s="2"/>
      <c r="AE809" s="2"/>
      <c r="AF809" s="2"/>
      <c r="AG809" s="2"/>
      <c r="AH809" s="2"/>
      <c r="AI809" s="2"/>
      <c r="AJ809" s="2"/>
      <c r="AK809" s="2"/>
      <c r="AL809" s="2"/>
      <c r="AM809" s="2"/>
      <c r="AN809" s="2"/>
      <c r="AO809" s="9"/>
      <c r="AP809" s="9"/>
      <c r="AQ809" s="9"/>
      <c r="AR809" s="9"/>
    </row>
    <row r="810">
      <c r="A810" s="523"/>
      <c r="B810" s="523"/>
      <c r="C810" s="523"/>
      <c r="D810" s="523"/>
      <c r="E810" s="523"/>
      <c r="F810" s="523"/>
      <c r="G810" s="523"/>
      <c r="H810" s="523"/>
      <c r="I810" s="523"/>
      <c r="J810" s="523"/>
      <c r="K810" s="523"/>
      <c r="L810" s="523"/>
      <c r="M810" s="523"/>
      <c r="N810" s="523"/>
      <c r="O810" s="523"/>
      <c r="P810" s="523"/>
      <c r="Q810" s="523"/>
      <c r="R810" s="523"/>
      <c r="S810" s="523"/>
      <c r="T810" s="523"/>
      <c r="U810" s="523"/>
      <c r="V810" s="224"/>
      <c r="W810" s="224"/>
      <c r="X810" s="224"/>
      <c r="Y810" s="224"/>
      <c r="Z810" s="868"/>
      <c r="AA810" s="865"/>
      <c r="AB810" s="2"/>
      <c r="AC810" s="2"/>
      <c r="AD810" s="2"/>
      <c r="AE810" s="2"/>
      <c r="AF810" s="2"/>
      <c r="AG810" s="2"/>
      <c r="AH810" s="2"/>
      <c r="AI810" s="2"/>
      <c r="AJ810" s="2"/>
      <c r="AK810" s="2"/>
      <c r="AL810" s="2"/>
      <c r="AM810" s="2"/>
      <c r="AN810" s="2"/>
      <c r="AO810" s="9"/>
      <c r="AP810" s="9"/>
      <c r="AQ810" s="9"/>
      <c r="AR810" s="9"/>
    </row>
    <row r="811">
      <c r="A811" s="523"/>
      <c r="B811" s="523"/>
      <c r="C811" s="523"/>
      <c r="D811" s="523"/>
      <c r="E811" s="523"/>
      <c r="F811" s="523"/>
      <c r="G811" s="523"/>
      <c r="H811" s="523"/>
      <c r="I811" s="523"/>
      <c r="J811" s="523"/>
      <c r="K811" s="523"/>
      <c r="L811" s="523"/>
      <c r="M811" s="523"/>
      <c r="N811" s="523"/>
      <c r="O811" s="523"/>
      <c r="P811" s="523"/>
      <c r="Q811" s="523"/>
      <c r="R811" s="523"/>
      <c r="S811" s="523"/>
      <c r="T811" s="523"/>
      <c r="U811" s="523"/>
      <c r="V811" s="224"/>
      <c r="W811" s="224"/>
      <c r="X811" s="224"/>
      <c r="Y811" s="224"/>
      <c r="Z811" s="868"/>
      <c r="AA811" s="865"/>
      <c r="AB811" s="2"/>
      <c r="AC811" s="2"/>
      <c r="AD811" s="2"/>
      <c r="AE811" s="2"/>
      <c r="AF811" s="2"/>
      <c r="AG811" s="2"/>
      <c r="AH811" s="2"/>
      <c r="AI811" s="2"/>
      <c r="AJ811" s="2"/>
      <c r="AK811" s="2"/>
      <c r="AL811" s="2"/>
      <c r="AM811" s="2"/>
      <c r="AN811" s="2"/>
      <c r="AO811" s="9"/>
      <c r="AP811" s="9"/>
      <c r="AQ811" s="9"/>
      <c r="AR811" s="9"/>
    </row>
    <row r="812">
      <c r="A812" s="523"/>
      <c r="B812" s="523"/>
      <c r="C812" s="523"/>
      <c r="D812" s="523"/>
      <c r="E812" s="523"/>
      <c r="F812" s="523"/>
      <c r="G812" s="523"/>
      <c r="H812" s="523"/>
      <c r="I812" s="523"/>
      <c r="J812" s="523"/>
      <c r="K812" s="523"/>
      <c r="L812" s="523"/>
      <c r="M812" s="523"/>
      <c r="N812" s="523"/>
      <c r="O812" s="523"/>
      <c r="P812" s="523"/>
      <c r="Q812" s="523"/>
      <c r="R812" s="523"/>
      <c r="S812" s="523"/>
      <c r="T812" s="523"/>
      <c r="U812" s="523"/>
      <c r="V812" s="224"/>
      <c r="W812" s="224"/>
      <c r="X812" s="224"/>
      <c r="Y812" s="224"/>
      <c r="Z812" s="868"/>
      <c r="AA812" s="865"/>
      <c r="AB812" s="2"/>
      <c r="AC812" s="2"/>
      <c r="AD812" s="2"/>
      <c r="AE812" s="2"/>
      <c r="AF812" s="2"/>
      <c r="AG812" s="2"/>
      <c r="AH812" s="2"/>
      <c r="AI812" s="2"/>
      <c r="AJ812" s="2"/>
      <c r="AK812" s="2"/>
      <c r="AL812" s="2"/>
      <c r="AM812" s="2"/>
      <c r="AN812" s="2"/>
      <c r="AO812" s="9"/>
      <c r="AP812" s="9"/>
      <c r="AQ812" s="9"/>
      <c r="AR812" s="9"/>
    </row>
    <row r="813">
      <c r="A813" s="523"/>
      <c r="B813" s="523"/>
      <c r="C813" s="523"/>
      <c r="D813" s="523"/>
      <c r="E813" s="523"/>
      <c r="F813" s="523"/>
      <c r="G813" s="523"/>
      <c r="H813" s="523"/>
      <c r="I813" s="523"/>
      <c r="J813" s="523"/>
      <c r="K813" s="523"/>
      <c r="L813" s="523"/>
      <c r="M813" s="523"/>
      <c r="N813" s="523"/>
      <c r="O813" s="523"/>
      <c r="P813" s="523"/>
      <c r="Q813" s="523"/>
      <c r="R813" s="523"/>
      <c r="S813" s="523"/>
      <c r="T813" s="523"/>
      <c r="U813" s="523"/>
      <c r="V813" s="224"/>
      <c r="W813" s="224"/>
      <c r="X813" s="224"/>
      <c r="Y813" s="224"/>
      <c r="Z813" s="868"/>
      <c r="AA813" s="865"/>
      <c r="AB813" s="2"/>
      <c r="AC813" s="2"/>
      <c r="AD813" s="2"/>
      <c r="AE813" s="2"/>
      <c r="AF813" s="2"/>
      <c r="AG813" s="2"/>
      <c r="AH813" s="2"/>
      <c r="AI813" s="2"/>
      <c r="AJ813" s="2"/>
      <c r="AK813" s="2"/>
      <c r="AL813" s="2"/>
      <c r="AM813" s="2"/>
      <c r="AN813" s="2"/>
      <c r="AO813" s="9"/>
      <c r="AP813" s="9"/>
      <c r="AQ813" s="9"/>
      <c r="AR813" s="9"/>
    </row>
    <row r="814">
      <c r="A814" s="523"/>
      <c r="B814" s="523"/>
      <c r="C814" s="523"/>
      <c r="D814" s="523"/>
      <c r="E814" s="523"/>
      <c r="F814" s="523"/>
      <c r="G814" s="523"/>
      <c r="H814" s="523"/>
      <c r="I814" s="523"/>
      <c r="J814" s="523"/>
      <c r="K814" s="523"/>
      <c r="L814" s="523"/>
      <c r="M814" s="523"/>
      <c r="N814" s="523"/>
      <c r="O814" s="523"/>
      <c r="P814" s="523"/>
      <c r="Q814" s="523"/>
      <c r="R814" s="523"/>
      <c r="S814" s="523"/>
      <c r="T814" s="523"/>
      <c r="U814" s="523"/>
      <c r="V814" s="224"/>
      <c r="W814" s="224"/>
      <c r="X814" s="224"/>
      <c r="Y814" s="224"/>
      <c r="Z814" s="868"/>
      <c r="AA814" s="865"/>
      <c r="AB814" s="2"/>
      <c r="AC814" s="2"/>
      <c r="AD814" s="2"/>
      <c r="AE814" s="2"/>
      <c r="AF814" s="2"/>
      <c r="AG814" s="2"/>
      <c r="AH814" s="2"/>
      <c r="AI814" s="2"/>
      <c r="AJ814" s="2"/>
      <c r="AK814" s="2"/>
      <c r="AL814" s="2"/>
      <c r="AM814" s="2"/>
      <c r="AN814" s="2"/>
      <c r="AO814" s="9"/>
      <c r="AP814" s="9"/>
      <c r="AQ814" s="9"/>
      <c r="AR814" s="9"/>
    </row>
    <row r="815">
      <c r="A815" s="523"/>
      <c r="B815" s="523"/>
      <c r="C815" s="523"/>
      <c r="D815" s="523"/>
      <c r="E815" s="523"/>
      <c r="F815" s="523"/>
      <c r="G815" s="523"/>
      <c r="H815" s="523"/>
      <c r="I815" s="523"/>
      <c r="J815" s="523"/>
      <c r="K815" s="523"/>
      <c r="L815" s="523"/>
      <c r="M815" s="523"/>
      <c r="N815" s="523"/>
      <c r="O815" s="523"/>
      <c r="P815" s="523"/>
      <c r="Q815" s="523"/>
      <c r="R815" s="523"/>
      <c r="S815" s="523"/>
      <c r="T815" s="523"/>
      <c r="U815" s="523"/>
      <c r="V815" s="224"/>
      <c r="W815" s="224"/>
      <c r="X815" s="224"/>
      <c r="Y815" s="224"/>
      <c r="Z815" s="868"/>
      <c r="AA815" s="865"/>
      <c r="AB815" s="2"/>
      <c r="AC815" s="2"/>
      <c r="AD815" s="2"/>
      <c r="AE815" s="2"/>
      <c r="AF815" s="2"/>
      <c r="AG815" s="2"/>
      <c r="AH815" s="2"/>
      <c r="AI815" s="2"/>
      <c r="AJ815" s="2"/>
      <c r="AK815" s="2"/>
      <c r="AL815" s="2"/>
      <c r="AM815" s="2"/>
      <c r="AN815" s="2"/>
      <c r="AO815" s="9"/>
      <c r="AP815" s="9"/>
      <c r="AQ815" s="9"/>
      <c r="AR815" s="9"/>
    </row>
    <row r="816">
      <c r="A816" s="523"/>
      <c r="B816" s="523"/>
      <c r="C816" s="523"/>
      <c r="D816" s="523"/>
      <c r="E816" s="523"/>
      <c r="F816" s="523"/>
      <c r="G816" s="523"/>
      <c r="H816" s="523"/>
      <c r="I816" s="523"/>
      <c r="J816" s="523"/>
      <c r="K816" s="523"/>
      <c r="L816" s="523"/>
      <c r="M816" s="523"/>
      <c r="N816" s="523"/>
      <c r="O816" s="523"/>
      <c r="P816" s="523"/>
      <c r="Q816" s="523"/>
      <c r="R816" s="523"/>
      <c r="S816" s="523"/>
      <c r="T816" s="523"/>
      <c r="U816" s="523"/>
      <c r="V816" s="224"/>
      <c r="W816" s="224"/>
      <c r="X816" s="224"/>
      <c r="Y816" s="224"/>
      <c r="Z816" s="868"/>
      <c r="AA816" s="865"/>
      <c r="AB816" s="2"/>
      <c r="AC816" s="2"/>
      <c r="AD816" s="2"/>
      <c r="AE816" s="2"/>
      <c r="AF816" s="2"/>
      <c r="AG816" s="2"/>
      <c r="AH816" s="2"/>
      <c r="AI816" s="2"/>
      <c r="AJ816" s="2"/>
      <c r="AK816" s="2"/>
      <c r="AL816" s="2"/>
      <c r="AM816" s="2"/>
      <c r="AN816" s="2"/>
      <c r="AO816" s="9"/>
      <c r="AP816" s="9"/>
      <c r="AQ816" s="9"/>
      <c r="AR816" s="9"/>
    </row>
    <row r="817">
      <c r="A817" s="523"/>
      <c r="B817" s="523"/>
      <c r="C817" s="523"/>
      <c r="D817" s="523"/>
      <c r="E817" s="523"/>
      <c r="F817" s="523"/>
      <c r="G817" s="523"/>
      <c r="H817" s="523"/>
      <c r="I817" s="523"/>
      <c r="J817" s="523"/>
      <c r="K817" s="523"/>
      <c r="L817" s="523"/>
      <c r="M817" s="523"/>
      <c r="N817" s="523"/>
      <c r="O817" s="523"/>
      <c r="P817" s="523"/>
      <c r="Q817" s="523"/>
      <c r="R817" s="523"/>
      <c r="S817" s="523"/>
      <c r="T817" s="523"/>
      <c r="U817" s="523"/>
      <c r="V817" s="224"/>
      <c r="W817" s="224"/>
      <c r="X817" s="224"/>
      <c r="Y817" s="224"/>
      <c r="Z817" s="868"/>
      <c r="AA817" s="865"/>
      <c r="AB817" s="2"/>
      <c r="AC817" s="2"/>
      <c r="AD817" s="2"/>
      <c r="AE817" s="2"/>
      <c r="AF817" s="2"/>
      <c r="AG817" s="2"/>
      <c r="AH817" s="2"/>
      <c r="AI817" s="2"/>
      <c r="AJ817" s="2"/>
      <c r="AK817" s="2"/>
      <c r="AL817" s="2"/>
      <c r="AM817" s="2"/>
      <c r="AN817" s="2"/>
      <c r="AO817" s="9"/>
      <c r="AP817" s="9"/>
      <c r="AQ817" s="9"/>
      <c r="AR817" s="9"/>
    </row>
    <row r="818">
      <c r="A818" s="523"/>
      <c r="B818" s="523"/>
      <c r="C818" s="523"/>
      <c r="D818" s="523"/>
      <c r="E818" s="523"/>
      <c r="F818" s="523"/>
      <c r="G818" s="523"/>
      <c r="H818" s="523"/>
      <c r="I818" s="523"/>
      <c r="J818" s="523"/>
      <c r="K818" s="523"/>
      <c r="L818" s="523"/>
      <c r="M818" s="523"/>
      <c r="N818" s="523"/>
      <c r="O818" s="523"/>
      <c r="P818" s="523"/>
      <c r="Q818" s="523"/>
      <c r="R818" s="523"/>
      <c r="S818" s="523"/>
      <c r="T818" s="523"/>
      <c r="U818" s="523"/>
      <c r="V818" s="224"/>
      <c r="W818" s="224"/>
      <c r="X818" s="224"/>
      <c r="Y818" s="224"/>
      <c r="Z818" s="868"/>
      <c r="AA818" s="865"/>
      <c r="AB818" s="2"/>
      <c r="AC818" s="2"/>
      <c r="AD818" s="2"/>
      <c r="AE818" s="2"/>
      <c r="AF818" s="2"/>
      <c r="AG818" s="2"/>
      <c r="AH818" s="2"/>
      <c r="AI818" s="2"/>
      <c r="AJ818" s="2"/>
      <c r="AK818" s="2"/>
      <c r="AL818" s="2"/>
      <c r="AM818" s="2"/>
      <c r="AN818" s="2"/>
      <c r="AO818" s="9"/>
      <c r="AP818" s="9"/>
      <c r="AQ818" s="9"/>
      <c r="AR818" s="9"/>
    </row>
    <row r="819">
      <c r="A819" s="523"/>
      <c r="B819" s="523"/>
      <c r="C819" s="523"/>
      <c r="D819" s="523"/>
      <c r="E819" s="523"/>
      <c r="F819" s="523"/>
      <c r="G819" s="523"/>
      <c r="H819" s="523"/>
      <c r="I819" s="523"/>
      <c r="J819" s="523"/>
      <c r="K819" s="523"/>
      <c r="L819" s="523"/>
      <c r="M819" s="523"/>
      <c r="N819" s="523"/>
      <c r="O819" s="523"/>
      <c r="P819" s="523"/>
      <c r="Q819" s="523"/>
      <c r="R819" s="523"/>
      <c r="S819" s="523"/>
      <c r="T819" s="523"/>
      <c r="U819" s="523"/>
      <c r="V819" s="224"/>
      <c r="W819" s="224"/>
      <c r="X819" s="224"/>
      <c r="Y819" s="224"/>
      <c r="Z819" s="868"/>
      <c r="AA819" s="865"/>
      <c r="AB819" s="2"/>
      <c r="AC819" s="2"/>
      <c r="AD819" s="2"/>
      <c r="AE819" s="2"/>
      <c r="AF819" s="2"/>
      <c r="AG819" s="2"/>
      <c r="AH819" s="2"/>
      <c r="AI819" s="2"/>
      <c r="AJ819" s="2"/>
      <c r="AK819" s="2"/>
      <c r="AL819" s="2"/>
      <c r="AM819" s="2"/>
      <c r="AN819" s="2"/>
      <c r="AO819" s="9"/>
      <c r="AP819" s="9"/>
      <c r="AQ819" s="9"/>
      <c r="AR819" s="9"/>
    </row>
    <row r="820">
      <c r="A820" s="523"/>
      <c r="B820" s="523"/>
      <c r="C820" s="523"/>
      <c r="D820" s="523"/>
      <c r="E820" s="523"/>
      <c r="F820" s="523"/>
      <c r="G820" s="523"/>
      <c r="H820" s="523"/>
      <c r="I820" s="523"/>
      <c r="J820" s="523"/>
      <c r="K820" s="523"/>
      <c r="L820" s="523"/>
      <c r="M820" s="523"/>
      <c r="N820" s="523"/>
      <c r="O820" s="523"/>
      <c r="P820" s="523"/>
      <c r="Q820" s="523"/>
      <c r="R820" s="523"/>
      <c r="S820" s="523"/>
      <c r="T820" s="523"/>
      <c r="U820" s="523"/>
      <c r="V820" s="224"/>
      <c r="W820" s="224"/>
      <c r="X820" s="224"/>
      <c r="Y820" s="224"/>
      <c r="Z820" s="868"/>
      <c r="AA820" s="865"/>
      <c r="AB820" s="2"/>
      <c r="AC820" s="2"/>
      <c r="AD820" s="2"/>
      <c r="AE820" s="2"/>
      <c r="AF820" s="2"/>
      <c r="AG820" s="2"/>
      <c r="AH820" s="2"/>
      <c r="AI820" s="2"/>
      <c r="AJ820" s="2"/>
      <c r="AK820" s="2"/>
      <c r="AL820" s="2"/>
      <c r="AM820" s="2"/>
      <c r="AN820" s="2"/>
      <c r="AO820" s="9"/>
      <c r="AP820" s="9"/>
      <c r="AQ820" s="9"/>
      <c r="AR820" s="9"/>
    </row>
    <row r="821">
      <c r="A821" s="523"/>
      <c r="B821" s="523"/>
      <c r="C821" s="523"/>
      <c r="D821" s="523"/>
      <c r="E821" s="523"/>
      <c r="F821" s="523"/>
      <c r="G821" s="523"/>
      <c r="H821" s="523"/>
      <c r="I821" s="523"/>
      <c r="J821" s="523"/>
      <c r="K821" s="523"/>
      <c r="L821" s="523"/>
      <c r="M821" s="523"/>
      <c r="N821" s="523"/>
      <c r="O821" s="523"/>
      <c r="P821" s="523"/>
      <c r="Q821" s="523"/>
      <c r="R821" s="523"/>
      <c r="S821" s="523"/>
      <c r="T821" s="523"/>
      <c r="U821" s="523"/>
      <c r="V821" s="224"/>
      <c r="W821" s="224"/>
      <c r="X821" s="224"/>
      <c r="Y821" s="224"/>
      <c r="Z821" s="868"/>
      <c r="AA821" s="865"/>
      <c r="AB821" s="2"/>
      <c r="AC821" s="2"/>
      <c r="AD821" s="2"/>
      <c r="AE821" s="2"/>
      <c r="AF821" s="2"/>
      <c r="AG821" s="2"/>
      <c r="AH821" s="2"/>
      <c r="AI821" s="2"/>
      <c r="AJ821" s="2"/>
      <c r="AK821" s="2"/>
      <c r="AL821" s="2"/>
      <c r="AM821" s="2"/>
      <c r="AN821" s="2"/>
      <c r="AO821" s="9"/>
      <c r="AP821" s="9"/>
      <c r="AQ821" s="9"/>
      <c r="AR821" s="9"/>
    </row>
    <row r="822">
      <c r="A822" s="523"/>
      <c r="B822" s="523"/>
      <c r="C822" s="523"/>
      <c r="D822" s="523"/>
      <c r="E822" s="523"/>
      <c r="F822" s="523"/>
      <c r="G822" s="523"/>
      <c r="H822" s="523"/>
      <c r="I822" s="523"/>
      <c r="J822" s="523"/>
      <c r="K822" s="523"/>
      <c r="L822" s="523"/>
      <c r="M822" s="523"/>
      <c r="N822" s="523"/>
      <c r="O822" s="523"/>
      <c r="P822" s="523"/>
      <c r="Q822" s="523"/>
      <c r="R822" s="523"/>
      <c r="S822" s="523"/>
      <c r="T822" s="523"/>
      <c r="U822" s="523"/>
      <c r="V822" s="224"/>
      <c r="W822" s="224"/>
      <c r="X822" s="224"/>
      <c r="Y822" s="224"/>
      <c r="Z822" s="868"/>
      <c r="AA822" s="865"/>
      <c r="AB822" s="2"/>
      <c r="AC822" s="2"/>
      <c r="AD822" s="2"/>
      <c r="AE822" s="2"/>
      <c r="AF822" s="2"/>
      <c r="AG822" s="2"/>
      <c r="AH822" s="2"/>
      <c r="AI822" s="2"/>
      <c r="AJ822" s="2"/>
      <c r="AK822" s="2"/>
      <c r="AL822" s="2"/>
      <c r="AM822" s="2"/>
      <c r="AN822" s="2"/>
      <c r="AO822" s="9"/>
      <c r="AP822" s="9"/>
      <c r="AQ822" s="9"/>
      <c r="AR822" s="9"/>
    </row>
    <row r="823">
      <c r="A823" s="523"/>
      <c r="B823" s="523"/>
      <c r="C823" s="523"/>
      <c r="D823" s="523"/>
      <c r="E823" s="523"/>
      <c r="F823" s="523"/>
      <c r="G823" s="523"/>
      <c r="H823" s="523"/>
      <c r="I823" s="523"/>
      <c r="J823" s="523"/>
      <c r="K823" s="523"/>
      <c r="L823" s="523"/>
      <c r="M823" s="523"/>
      <c r="N823" s="523"/>
      <c r="O823" s="523"/>
      <c r="P823" s="523"/>
      <c r="Q823" s="523"/>
      <c r="R823" s="523"/>
      <c r="S823" s="523"/>
      <c r="T823" s="523"/>
      <c r="U823" s="523"/>
      <c r="V823" s="224"/>
      <c r="W823" s="224"/>
      <c r="X823" s="224"/>
      <c r="Y823" s="224"/>
      <c r="Z823" s="868"/>
      <c r="AA823" s="865"/>
      <c r="AB823" s="2"/>
      <c r="AC823" s="2"/>
      <c r="AD823" s="2"/>
      <c r="AE823" s="2"/>
      <c r="AF823" s="2"/>
      <c r="AG823" s="2"/>
      <c r="AH823" s="2"/>
      <c r="AI823" s="2"/>
      <c r="AJ823" s="2"/>
      <c r="AK823" s="2"/>
      <c r="AL823" s="2"/>
      <c r="AM823" s="2"/>
      <c r="AN823" s="2"/>
      <c r="AO823" s="9"/>
      <c r="AP823" s="9"/>
      <c r="AQ823" s="9"/>
      <c r="AR823" s="9"/>
    </row>
    <row r="824">
      <c r="A824" s="523"/>
      <c r="B824" s="523"/>
      <c r="C824" s="523"/>
      <c r="D824" s="523"/>
      <c r="E824" s="523"/>
      <c r="F824" s="523"/>
      <c r="G824" s="523"/>
      <c r="H824" s="523"/>
      <c r="I824" s="523"/>
      <c r="J824" s="523"/>
      <c r="K824" s="523"/>
      <c r="L824" s="523"/>
      <c r="M824" s="523"/>
      <c r="N824" s="523"/>
      <c r="O824" s="523"/>
      <c r="P824" s="523"/>
      <c r="Q824" s="523"/>
      <c r="R824" s="523"/>
      <c r="S824" s="523"/>
      <c r="T824" s="523"/>
      <c r="U824" s="523"/>
      <c r="V824" s="224"/>
      <c r="W824" s="224"/>
      <c r="X824" s="224"/>
      <c r="Y824" s="224"/>
      <c r="Z824" s="868"/>
      <c r="AA824" s="865"/>
      <c r="AB824" s="2"/>
      <c r="AC824" s="2"/>
      <c r="AD824" s="2"/>
      <c r="AE824" s="2"/>
      <c r="AF824" s="2"/>
      <c r="AG824" s="2"/>
      <c r="AH824" s="2"/>
      <c r="AI824" s="2"/>
      <c r="AJ824" s="2"/>
      <c r="AK824" s="2"/>
      <c r="AL824" s="2"/>
      <c r="AM824" s="2"/>
      <c r="AN824" s="2"/>
      <c r="AO824" s="9"/>
      <c r="AP824" s="9"/>
      <c r="AQ824" s="9"/>
      <c r="AR824" s="9"/>
    </row>
    <row r="825">
      <c r="A825" s="523"/>
      <c r="B825" s="523"/>
      <c r="C825" s="523"/>
      <c r="D825" s="523"/>
      <c r="E825" s="523"/>
      <c r="F825" s="523"/>
      <c r="G825" s="523"/>
      <c r="H825" s="523"/>
      <c r="I825" s="523"/>
      <c r="J825" s="523"/>
      <c r="K825" s="523"/>
      <c r="L825" s="523"/>
      <c r="M825" s="523"/>
      <c r="N825" s="523"/>
      <c r="O825" s="523"/>
      <c r="P825" s="523"/>
      <c r="Q825" s="523"/>
      <c r="R825" s="523"/>
      <c r="S825" s="523"/>
      <c r="T825" s="523"/>
      <c r="U825" s="523"/>
      <c r="V825" s="224"/>
      <c r="W825" s="224"/>
      <c r="X825" s="224"/>
      <c r="Y825" s="224"/>
      <c r="Z825" s="868"/>
      <c r="AA825" s="865"/>
      <c r="AB825" s="2"/>
      <c r="AC825" s="2"/>
      <c r="AD825" s="2"/>
      <c r="AE825" s="2"/>
      <c r="AF825" s="2"/>
      <c r="AG825" s="2"/>
      <c r="AH825" s="2"/>
      <c r="AI825" s="2"/>
      <c r="AJ825" s="2"/>
      <c r="AK825" s="2"/>
      <c r="AL825" s="2"/>
      <c r="AM825" s="2"/>
      <c r="AN825" s="2"/>
      <c r="AO825" s="9"/>
      <c r="AP825" s="9"/>
      <c r="AQ825" s="9"/>
      <c r="AR825" s="9"/>
    </row>
    <row r="826">
      <c r="A826" s="523"/>
      <c r="B826" s="523"/>
      <c r="C826" s="523"/>
      <c r="D826" s="523"/>
      <c r="E826" s="523"/>
      <c r="F826" s="523"/>
      <c r="G826" s="523"/>
      <c r="H826" s="523"/>
      <c r="I826" s="523"/>
      <c r="J826" s="523"/>
      <c r="K826" s="523"/>
      <c r="L826" s="523"/>
      <c r="M826" s="523"/>
      <c r="N826" s="523"/>
      <c r="O826" s="523"/>
      <c r="P826" s="523"/>
      <c r="Q826" s="523"/>
      <c r="R826" s="523"/>
      <c r="S826" s="523"/>
      <c r="T826" s="523"/>
      <c r="U826" s="523"/>
      <c r="V826" s="224"/>
      <c r="W826" s="224"/>
      <c r="X826" s="224"/>
      <c r="Y826" s="224"/>
      <c r="Z826" s="868"/>
      <c r="AA826" s="865"/>
      <c r="AB826" s="2"/>
      <c r="AC826" s="2"/>
      <c r="AD826" s="2"/>
      <c r="AE826" s="2"/>
      <c r="AF826" s="2"/>
      <c r="AG826" s="2"/>
      <c r="AH826" s="2"/>
      <c r="AI826" s="2"/>
      <c r="AJ826" s="2"/>
      <c r="AK826" s="2"/>
      <c r="AL826" s="2"/>
      <c r="AM826" s="2"/>
      <c r="AN826" s="2"/>
      <c r="AO826" s="9"/>
      <c r="AP826" s="9"/>
      <c r="AQ826" s="9"/>
      <c r="AR826" s="9"/>
    </row>
    <row r="827">
      <c r="A827" s="523"/>
      <c r="B827" s="523"/>
      <c r="C827" s="523"/>
      <c r="D827" s="523"/>
      <c r="E827" s="523"/>
      <c r="F827" s="523"/>
      <c r="G827" s="523"/>
      <c r="H827" s="523"/>
      <c r="I827" s="523"/>
      <c r="J827" s="523"/>
      <c r="K827" s="523"/>
      <c r="L827" s="523"/>
      <c r="M827" s="523"/>
      <c r="N827" s="523"/>
      <c r="O827" s="523"/>
      <c r="P827" s="523"/>
      <c r="Q827" s="523"/>
      <c r="R827" s="523"/>
      <c r="S827" s="523"/>
      <c r="T827" s="523"/>
      <c r="U827" s="523"/>
      <c r="V827" s="224"/>
      <c r="W827" s="224"/>
      <c r="X827" s="224"/>
      <c r="Y827" s="224"/>
      <c r="Z827" s="868"/>
      <c r="AA827" s="865"/>
      <c r="AB827" s="2"/>
      <c r="AC827" s="2"/>
      <c r="AD827" s="2"/>
      <c r="AE827" s="2"/>
      <c r="AF827" s="2"/>
      <c r="AG827" s="2"/>
      <c r="AH827" s="2"/>
      <c r="AI827" s="2"/>
      <c r="AJ827" s="2"/>
      <c r="AK827" s="2"/>
      <c r="AL827" s="2"/>
      <c r="AM827" s="2"/>
      <c r="AN827" s="2"/>
      <c r="AO827" s="9"/>
      <c r="AP827" s="9"/>
      <c r="AQ827" s="9"/>
      <c r="AR827" s="9"/>
    </row>
    <row r="828">
      <c r="A828" s="523"/>
      <c r="B828" s="523"/>
      <c r="C828" s="523"/>
      <c r="D828" s="523"/>
      <c r="E828" s="523"/>
      <c r="F828" s="523"/>
      <c r="G828" s="523"/>
      <c r="H828" s="523"/>
      <c r="I828" s="523"/>
      <c r="J828" s="523"/>
      <c r="K828" s="523"/>
      <c r="L828" s="523"/>
      <c r="M828" s="523"/>
      <c r="N828" s="523"/>
      <c r="O828" s="523"/>
      <c r="P828" s="523"/>
      <c r="Q828" s="523"/>
      <c r="R828" s="523"/>
      <c r="S828" s="523"/>
      <c r="T828" s="523"/>
      <c r="U828" s="523"/>
      <c r="V828" s="224"/>
      <c r="W828" s="224"/>
      <c r="X828" s="224"/>
      <c r="Y828" s="224"/>
      <c r="Z828" s="868"/>
      <c r="AA828" s="865"/>
      <c r="AB828" s="2"/>
      <c r="AC828" s="2"/>
      <c r="AD828" s="2"/>
      <c r="AE828" s="2"/>
      <c r="AF828" s="2"/>
      <c r="AG828" s="2"/>
      <c r="AH828" s="2"/>
      <c r="AI828" s="2"/>
      <c r="AJ828" s="2"/>
      <c r="AK828" s="2"/>
      <c r="AL828" s="2"/>
      <c r="AM828" s="2"/>
      <c r="AN828" s="2"/>
      <c r="AO828" s="9"/>
      <c r="AP828" s="9"/>
      <c r="AQ828" s="9"/>
      <c r="AR828" s="9"/>
    </row>
    <row r="829">
      <c r="A829" s="523"/>
      <c r="B829" s="523"/>
      <c r="C829" s="523"/>
      <c r="D829" s="523"/>
      <c r="E829" s="523"/>
      <c r="F829" s="523"/>
      <c r="G829" s="523"/>
      <c r="H829" s="523"/>
      <c r="I829" s="523"/>
      <c r="J829" s="523"/>
      <c r="K829" s="523"/>
      <c r="L829" s="523"/>
      <c r="M829" s="523"/>
      <c r="N829" s="523"/>
      <c r="O829" s="523"/>
      <c r="P829" s="523"/>
      <c r="Q829" s="523"/>
      <c r="R829" s="523"/>
      <c r="S829" s="523"/>
      <c r="T829" s="523"/>
      <c r="U829" s="523"/>
      <c r="V829" s="224"/>
      <c r="W829" s="224"/>
      <c r="X829" s="224"/>
      <c r="Y829" s="224"/>
      <c r="Z829" s="868"/>
      <c r="AA829" s="865"/>
      <c r="AB829" s="2"/>
      <c r="AC829" s="2"/>
      <c r="AD829" s="2"/>
      <c r="AE829" s="2"/>
      <c r="AF829" s="2"/>
      <c r="AG829" s="2"/>
      <c r="AH829" s="2"/>
      <c r="AI829" s="2"/>
      <c r="AJ829" s="2"/>
      <c r="AK829" s="2"/>
      <c r="AL829" s="2"/>
      <c r="AM829" s="2"/>
      <c r="AN829" s="2"/>
      <c r="AO829" s="9"/>
      <c r="AP829" s="9"/>
      <c r="AQ829" s="9"/>
      <c r="AR829" s="9"/>
    </row>
    <row r="830">
      <c r="A830" s="523"/>
      <c r="B830" s="523"/>
      <c r="C830" s="523"/>
      <c r="D830" s="523"/>
      <c r="E830" s="523"/>
      <c r="F830" s="523"/>
      <c r="G830" s="523"/>
      <c r="H830" s="523"/>
      <c r="I830" s="523"/>
      <c r="J830" s="523"/>
      <c r="K830" s="523"/>
      <c r="L830" s="523"/>
      <c r="M830" s="523"/>
      <c r="N830" s="523"/>
      <c r="O830" s="523"/>
      <c r="P830" s="523"/>
      <c r="Q830" s="523"/>
      <c r="R830" s="523"/>
      <c r="S830" s="523"/>
      <c r="T830" s="523"/>
      <c r="U830" s="523"/>
      <c r="V830" s="224"/>
      <c r="W830" s="224"/>
      <c r="X830" s="224"/>
      <c r="Y830" s="224"/>
      <c r="Z830" s="868"/>
      <c r="AA830" s="865"/>
      <c r="AB830" s="2"/>
      <c r="AC830" s="2"/>
      <c r="AD830" s="2"/>
      <c r="AE830" s="2"/>
      <c r="AF830" s="2"/>
      <c r="AG830" s="2"/>
      <c r="AH830" s="2"/>
      <c r="AI830" s="2"/>
      <c r="AJ830" s="2"/>
      <c r="AK830" s="2"/>
      <c r="AL830" s="2"/>
      <c r="AM830" s="2"/>
      <c r="AN830" s="2"/>
      <c r="AO830" s="9"/>
      <c r="AP830" s="9"/>
      <c r="AQ830" s="9"/>
      <c r="AR830" s="9"/>
    </row>
    <row r="831">
      <c r="A831" s="523"/>
      <c r="B831" s="523"/>
      <c r="C831" s="523"/>
      <c r="D831" s="523"/>
      <c r="E831" s="523"/>
      <c r="F831" s="523"/>
      <c r="G831" s="523"/>
      <c r="H831" s="523"/>
      <c r="I831" s="523"/>
      <c r="J831" s="523"/>
      <c r="K831" s="523"/>
      <c r="L831" s="523"/>
      <c r="M831" s="523"/>
      <c r="N831" s="523"/>
      <c r="O831" s="523"/>
      <c r="P831" s="523"/>
      <c r="Q831" s="523"/>
      <c r="R831" s="523"/>
      <c r="S831" s="523"/>
      <c r="T831" s="523"/>
      <c r="U831" s="523"/>
      <c r="V831" s="224"/>
      <c r="W831" s="224"/>
      <c r="X831" s="224"/>
      <c r="Y831" s="224"/>
      <c r="Z831" s="868"/>
      <c r="AA831" s="865"/>
      <c r="AB831" s="2"/>
      <c r="AC831" s="2"/>
      <c r="AD831" s="2"/>
      <c r="AE831" s="2"/>
      <c r="AF831" s="2"/>
      <c r="AG831" s="2"/>
      <c r="AH831" s="2"/>
      <c r="AI831" s="2"/>
      <c r="AJ831" s="2"/>
      <c r="AK831" s="2"/>
      <c r="AL831" s="2"/>
      <c r="AM831" s="2"/>
      <c r="AN831" s="2"/>
      <c r="AO831" s="9"/>
      <c r="AP831" s="9"/>
      <c r="AQ831" s="9"/>
      <c r="AR831" s="9"/>
    </row>
    <row r="832">
      <c r="A832" s="523"/>
      <c r="B832" s="523"/>
      <c r="C832" s="523"/>
      <c r="D832" s="523"/>
      <c r="E832" s="523"/>
      <c r="F832" s="523"/>
      <c r="G832" s="523"/>
      <c r="H832" s="523"/>
      <c r="I832" s="523"/>
      <c r="J832" s="523"/>
      <c r="K832" s="523"/>
      <c r="L832" s="523"/>
      <c r="M832" s="523"/>
      <c r="N832" s="523"/>
      <c r="O832" s="523"/>
      <c r="P832" s="523"/>
      <c r="Q832" s="523"/>
      <c r="R832" s="523"/>
      <c r="S832" s="523"/>
      <c r="T832" s="523"/>
      <c r="U832" s="523"/>
      <c r="V832" s="224"/>
      <c r="W832" s="224"/>
      <c r="X832" s="224"/>
      <c r="Y832" s="224"/>
      <c r="Z832" s="868"/>
      <c r="AA832" s="865"/>
      <c r="AB832" s="2"/>
      <c r="AC832" s="2"/>
      <c r="AD832" s="2"/>
      <c r="AE832" s="2"/>
      <c r="AF832" s="2"/>
      <c r="AG832" s="2"/>
      <c r="AH832" s="2"/>
      <c r="AI832" s="2"/>
      <c r="AJ832" s="2"/>
      <c r="AK832" s="2"/>
      <c r="AL832" s="2"/>
      <c r="AM832" s="2"/>
      <c r="AN832" s="2"/>
      <c r="AO832" s="9"/>
      <c r="AP832" s="9"/>
      <c r="AQ832" s="9"/>
      <c r="AR832" s="9"/>
    </row>
    <row r="833">
      <c r="A833" s="523"/>
      <c r="B833" s="523"/>
      <c r="C833" s="523"/>
      <c r="D833" s="523"/>
      <c r="E833" s="523"/>
      <c r="F833" s="523"/>
      <c r="G833" s="523"/>
      <c r="H833" s="523"/>
      <c r="I833" s="523"/>
      <c r="J833" s="523"/>
      <c r="K833" s="523"/>
      <c r="L833" s="523"/>
      <c r="M833" s="523"/>
      <c r="N833" s="523"/>
      <c r="O833" s="523"/>
      <c r="P833" s="523"/>
      <c r="Q833" s="523"/>
      <c r="R833" s="523"/>
      <c r="S833" s="523"/>
      <c r="T833" s="523"/>
      <c r="U833" s="523"/>
      <c r="V833" s="224"/>
      <c r="W833" s="224"/>
      <c r="X833" s="224"/>
      <c r="Y833" s="224"/>
      <c r="Z833" s="868"/>
      <c r="AA833" s="865"/>
      <c r="AB833" s="2"/>
      <c r="AC833" s="2"/>
      <c r="AD833" s="2"/>
      <c r="AE833" s="2"/>
      <c r="AF833" s="2"/>
      <c r="AG833" s="2"/>
      <c r="AH833" s="2"/>
      <c r="AI833" s="2"/>
      <c r="AJ833" s="2"/>
      <c r="AK833" s="2"/>
      <c r="AL833" s="2"/>
      <c r="AM833" s="2"/>
      <c r="AN833" s="2"/>
      <c r="AO833" s="9"/>
      <c r="AP833" s="9"/>
      <c r="AQ833" s="9"/>
      <c r="AR833" s="9"/>
    </row>
    <row r="834">
      <c r="A834" s="523"/>
      <c r="B834" s="523"/>
      <c r="C834" s="523"/>
      <c r="D834" s="523"/>
      <c r="E834" s="523"/>
      <c r="F834" s="523"/>
      <c r="G834" s="523"/>
      <c r="H834" s="523"/>
      <c r="I834" s="523"/>
      <c r="J834" s="523"/>
      <c r="K834" s="523"/>
      <c r="L834" s="523"/>
      <c r="M834" s="523"/>
      <c r="N834" s="523"/>
      <c r="O834" s="523"/>
      <c r="P834" s="523"/>
      <c r="Q834" s="523"/>
      <c r="R834" s="523"/>
      <c r="S834" s="523"/>
      <c r="T834" s="523"/>
      <c r="U834" s="523"/>
      <c r="V834" s="224"/>
      <c r="W834" s="224"/>
      <c r="X834" s="224"/>
      <c r="Y834" s="224"/>
      <c r="Z834" s="868"/>
      <c r="AA834" s="865"/>
      <c r="AB834" s="2"/>
      <c r="AC834" s="2"/>
      <c r="AD834" s="2"/>
      <c r="AE834" s="2"/>
      <c r="AF834" s="2"/>
      <c r="AG834" s="2"/>
      <c r="AH834" s="2"/>
      <c r="AI834" s="2"/>
      <c r="AJ834" s="2"/>
      <c r="AK834" s="2"/>
      <c r="AL834" s="2"/>
      <c r="AM834" s="2"/>
      <c r="AN834" s="2"/>
      <c r="AO834" s="9"/>
      <c r="AP834" s="9"/>
      <c r="AQ834" s="9"/>
      <c r="AR834" s="9"/>
    </row>
    <row r="835">
      <c r="A835" s="523"/>
      <c r="B835" s="523"/>
      <c r="C835" s="523"/>
      <c r="D835" s="523"/>
      <c r="E835" s="523"/>
      <c r="F835" s="523"/>
      <c r="G835" s="523"/>
      <c r="H835" s="523"/>
      <c r="I835" s="523"/>
      <c r="J835" s="523"/>
      <c r="K835" s="523"/>
      <c r="L835" s="523"/>
      <c r="M835" s="523"/>
      <c r="N835" s="523"/>
      <c r="O835" s="523"/>
      <c r="P835" s="523"/>
      <c r="Q835" s="523"/>
      <c r="R835" s="523"/>
      <c r="S835" s="523"/>
      <c r="T835" s="523"/>
      <c r="U835" s="523"/>
      <c r="V835" s="224"/>
      <c r="W835" s="224"/>
      <c r="X835" s="224"/>
      <c r="Y835" s="224"/>
      <c r="Z835" s="868"/>
      <c r="AA835" s="865"/>
      <c r="AB835" s="2"/>
      <c r="AC835" s="2"/>
      <c r="AD835" s="2"/>
      <c r="AE835" s="2"/>
      <c r="AF835" s="2"/>
      <c r="AG835" s="2"/>
      <c r="AH835" s="2"/>
      <c r="AI835" s="2"/>
      <c r="AJ835" s="2"/>
      <c r="AK835" s="2"/>
      <c r="AL835" s="2"/>
      <c r="AM835" s="2"/>
      <c r="AN835" s="2"/>
      <c r="AO835" s="9"/>
      <c r="AP835" s="9"/>
      <c r="AQ835" s="9"/>
      <c r="AR835" s="9"/>
    </row>
    <row r="836">
      <c r="A836" s="523"/>
      <c r="B836" s="523"/>
      <c r="C836" s="523"/>
      <c r="D836" s="523"/>
      <c r="E836" s="523"/>
      <c r="F836" s="523"/>
      <c r="G836" s="523"/>
      <c r="H836" s="523"/>
      <c r="I836" s="523"/>
      <c r="J836" s="523"/>
      <c r="K836" s="523"/>
      <c r="L836" s="523"/>
      <c r="M836" s="523"/>
      <c r="N836" s="523"/>
      <c r="O836" s="523"/>
      <c r="P836" s="523"/>
      <c r="Q836" s="523"/>
      <c r="R836" s="523"/>
      <c r="S836" s="523"/>
      <c r="T836" s="523"/>
      <c r="U836" s="523"/>
      <c r="V836" s="224"/>
      <c r="W836" s="224"/>
      <c r="X836" s="224"/>
      <c r="Y836" s="224"/>
      <c r="Z836" s="868"/>
      <c r="AA836" s="865"/>
      <c r="AB836" s="2"/>
      <c r="AC836" s="2"/>
      <c r="AD836" s="2"/>
      <c r="AE836" s="2"/>
      <c r="AF836" s="2"/>
      <c r="AG836" s="2"/>
      <c r="AH836" s="2"/>
      <c r="AI836" s="2"/>
      <c r="AJ836" s="2"/>
      <c r="AK836" s="2"/>
      <c r="AL836" s="2"/>
      <c r="AM836" s="2"/>
      <c r="AN836" s="2"/>
      <c r="AO836" s="9"/>
      <c r="AP836" s="9"/>
      <c r="AQ836" s="9"/>
      <c r="AR836" s="9"/>
    </row>
    <row r="837">
      <c r="A837" s="523"/>
      <c r="B837" s="523"/>
      <c r="C837" s="523"/>
      <c r="D837" s="523"/>
      <c r="E837" s="523"/>
      <c r="F837" s="523"/>
      <c r="G837" s="523"/>
      <c r="H837" s="523"/>
      <c r="I837" s="523"/>
      <c r="J837" s="523"/>
      <c r="K837" s="523"/>
      <c r="L837" s="523"/>
      <c r="M837" s="523"/>
      <c r="N837" s="523"/>
      <c r="O837" s="523"/>
      <c r="P837" s="523"/>
      <c r="Q837" s="523"/>
      <c r="R837" s="523"/>
      <c r="S837" s="523"/>
      <c r="T837" s="523"/>
      <c r="U837" s="523"/>
      <c r="V837" s="224"/>
      <c r="W837" s="224"/>
      <c r="X837" s="224"/>
      <c r="Y837" s="224"/>
      <c r="Z837" s="868"/>
      <c r="AA837" s="865"/>
      <c r="AB837" s="2"/>
      <c r="AC837" s="2"/>
      <c r="AD837" s="2"/>
      <c r="AE837" s="2"/>
      <c r="AF837" s="2"/>
      <c r="AG837" s="2"/>
      <c r="AH837" s="2"/>
      <c r="AI837" s="2"/>
      <c r="AJ837" s="2"/>
      <c r="AK837" s="2"/>
      <c r="AL837" s="2"/>
      <c r="AM837" s="2"/>
      <c r="AN837" s="2"/>
      <c r="AO837" s="9"/>
      <c r="AP837" s="9"/>
      <c r="AQ837" s="9"/>
      <c r="AR837" s="9"/>
    </row>
    <row r="838">
      <c r="A838" s="523"/>
      <c r="B838" s="523"/>
      <c r="C838" s="523"/>
      <c r="D838" s="523"/>
      <c r="E838" s="523"/>
      <c r="F838" s="523"/>
      <c r="G838" s="523"/>
      <c r="H838" s="523"/>
      <c r="I838" s="523"/>
      <c r="J838" s="523"/>
      <c r="K838" s="523"/>
      <c r="L838" s="523"/>
      <c r="M838" s="523"/>
      <c r="N838" s="523"/>
      <c r="O838" s="523"/>
      <c r="P838" s="523"/>
      <c r="Q838" s="523"/>
      <c r="R838" s="523"/>
      <c r="S838" s="523"/>
      <c r="T838" s="523"/>
      <c r="U838" s="523"/>
      <c r="V838" s="224"/>
      <c r="W838" s="224"/>
      <c r="X838" s="224"/>
      <c r="Y838" s="224"/>
      <c r="Z838" s="868"/>
      <c r="AA838" s="865"/>
      <c r="AB838" s="2"/>
      <c r="AC838" s="2"/>
      <c r="AD838" s="2"/>
      <c r="AE838" s="2"/>
      <c r="AF838" s="2"/>
      <c r="AG838" s="2"/>
      <c r="AH838" s="2"/>
      <c r="AI838" s="2"/>
      <c r="AJ838" s="2"/>
      <c r="AK838" s="2"/>
      <c r="AL838" s="2"/>
      <c r="AM838" s="2"/>
      <c r="AN838" s="2"/>
      <c r="AO838" s="9"/>
      <c r="AP838" s="9"/>
      <c r="AQ838" s="9"/>
      <c r="AR838" s="9"/>
    </row>
    <row r="839">
      <c r="A839" s="523"/>
      <c r="B839" s="523"/>
      <c r="C839" s="523"/>
      <c r="D839" s="523"/>
      <c r="E839" s="523"/>
      <c r="F839" s="523"/>
      <c r="G839" s="523"/>
      <c r="H839" s="523"/>
      <c r="I839" s="523"/>
      <c r="J839" s="523"/>
      <c r="K839" s="523"/>
      <c r="L839" s="523"/>
      <c r="M839" s="523"/>
      <c r="N839" s="523"/>
      <c r="O839" s="523"/>
      <c r="P839" s="523"/>
      <c r="Q839" s="523"/>
      <c r="R839" s="523"/>
      <c r="S839" s="523"/>
      <c r="T839" s="523"/>
      <c r="U839" s="523"/>
      <c r="V839" s="224"/>
      <c r="W839" s="224"/>
      <c r="X839" s="224"/>
      <c r="Y839" s="224"/>
      <c r="Z839" s="868"/>
      <c r="AA839" s="865"/>
      <c r="AB839" s="2"/>
      <c r="AC839" s="2"/>
      <c r="AD839" s="2"/>
      <c r="AE839" s="2"/>
      <c r="AF839" s="2"/>
      <c r="AG839" s="2"/>
      <c r="AH839" s="2"/>
      <c r="AI839" s="2"/>
      <c r="AJ839" s="2"/>
      <c r="AK839" s="2"/>
      <c r="AL839" s="2"/>
      <c r="AM839" s="2"/>
      <c r="AN839" s="2"/>
      <c r="AO839" s="9"/>
      <c r="AP839" s="9"/>
      <c r="AQ839" s="9"/>
      <c r="AR839" s="9"/>
    </row>
    <row r="840">
      <c r="A840" s="523"/>
      <c r="B840" s="523"/>
      <c r="C840" s="523"/>
      <c r="D840" s="523"/>
      <c r="E840" s="523"/>
      <c r="F840" s="523"/>
      <c r="G840" s="523"/>
      <c r="H840" s="523"/>
      <c r="I840" s="523"/>
      <c r="J840" s="523"/>
      <c r="K840" s="523"/>
      <c r="L840" s="523"/>
      <c r="M840" s="523"/>
      <c r="N840" s="523"/>
      <c r="O840" s="523"/>
      <c r="P840" s="523"/>
      <c r="Q840" s="523"/>
      <c r="R840" s="523"/>
      <c r="S840" s="523"/>
      <c r="T840" s="523"/>
      <c r="U840" s="523"/>
      <c r="V840" s="224"/>
      <c r="W840" s="224"/>
      <c r="X840" s="224"/>
      <c r="Y840" s="224"/>
      <c r="Z840" s="868"/>
      <c r="AA840" s="865"/>
      <c r="AB840" s="2"/>
      <c r="AC840" s="2"/>
      <c r="AD840" s="2"/>
      <c r="AE840" s="2"/>
      <c r="AF840" s="2"/>
      <c r="AG840" s="2"/>
      <c r="AH840" s="2"/>
      <c r="AI840" s="2"/>
      <c r="AJ840" s="2"/>
      <c r="AK840" s="2"/>
      <c r="AL840" s="2"/>
      <c r="AM840" s="2"/>
      <c r="AN840" s="2"/>
      <c r="AO840" s="9"/>
      <c r="AP840" s="9"/>
      <c r="AQ840" s="9"/>
      <c r="AR840" s="9"/>
    </row>
    <row r="841">
      <c r="A841" s="523"/>
      <c r="B841" s="523"/>
      <c r="C841" s="523"/>
      <c r="D841" s="523"/>
      <c r="E841" s="523"/>
      <c r="F841" s="523"/>
      <c r="G841" s="523"/>
      <c r="H841" s="523"/>
      <c r="I841" s="523"/>
      <c r="J841" s="523"/>
      <c r="K841" s="523"/>
      <c r="L841" s="523"/>
      <c r="M841" s="523"/>
      <c r="N841" s="523"/>
      <c r="O841" s="523"/>
      <c r="P841" s="523"/>
      <c r="Q841" s="523"/>
      <c r="R841" s="523"/>
      <c r="S841" s="523"/>
      <c r="T841" s="523"/>
      <c r="U841" s="523"/>
      <c r="V841" s="224"/>
      <c r="W841" s="224"/>
      <c r="X841" s="224"/>
      <c r="Y841" s="224"/>
      <c r="Z841" s="868"/>
      <c r="AA841" s="865"/>
      <c r="AB841" s="2"/>
      <c r="AC841" s="2"/>
      <c r="AD841" s="2"/>
      <c r="AE841" s="2"/>
      <c r="AF841" s="2"/>
      <c r="AG841" s="2"/>
      <c r="AH841" s="2"/>
      <c r="AI841" s="2"/>
      <c r="AJ841" s="2"/>
      <c r="AK841" s="2"/>
      <c r="AL841" s="2"/>
      <c r="AM841" s="2"/>
      <c r="AN841" s="2"/>
      <c r="AO841" s="9"/>
      <c r="AP841" s="9"/>
      <c r="AQ841" s="9"/>
      <c r="AR841" s="9"/>
    </row>
    <row r="842">
      <c r="A842" s="523"/>
      <c r="B842" s="523"/>
      <c r="C842" s="523"/>
      <c r="D842" s="523"/>
      <c r="E842" s="523"/>
      <c r="F842" s="523"/>
      <c r="G842" s="523"/>
      <c r="H842" s="523"/>
      <c r="I842" s="523"/>
      <c r="J842" s="523"/>
      <c r="K842" s="523"/>
      <c r="L842" s="523"/>
      <c r="M842" s="523"/>
      <c r="N842" s="523"/>
      <c r="O842" s="523"/>
      <c r="P842" s="523"/>
      <c r="Q842" s="523"/>
      <c r="R842" s="523"/>
      <c r="S842" s="523"/>
      <c r="T842" s="523"/>
      <c r="U842" s="523"/>
      <c r="V842" s="224"/>
      <c r="W842" s="224"/>
      <c r="X842" s="224"/>
      <c r="Y842" s="224"/>
      <c r="Z842" s="868"/>
      <c r="AA842" s="865"/>
      <c r="AB842" s="2"/>
      <c r="AC842" s="2"/>
      <c r="AD842" s="2"/>
      <c r="AE842" s="2"/>
      <c r="AF842" s="2"/>
      <c r="AG842" s="2"/>
      <c r="AH842" s="2"/>
      <c r="AI842" s="2"/>
      <c r="AJ842" s="2"/>
      <c r="AK842" s="2"/>
      <c r="AL842" s="2"/>
      <c r="AM842" s="2"/>
      <c r="AN842" s="2"/>
      <c r="AO842" s="9"/>
      <c r="AP842" s="9"/>
      <c r="AQ842" s="9"/>
      <c r="AR842" s="9"/>
    </row>
    <row r="843">
      <c r="A843" s="523"/>
      <c r="B843" s="523"/>
      <c r="C843" s="523"/>
      <c r="D843" s="523"/>
      <c r="E843" s="523"/>
      <c r="F843" s="523"/>
      <c r="G843" s="523"/>
      <c r="H843" s="523"/>
      <c r="I843" s="523"/>
      <c r="J843" s="523"/>
      <c r="K843" s="523"/>
      <c r="L843" s="523"/>
      <c r="M843" s="523"/>
      <c r="N843" s="523"/>
      <c r="O843" s="523"/>
      <c r="P843" s="523"/>
      <c r="Q843" s="523"/>
      <c r="R843" s="523"/>
      <c r="S843" s="523"/>
      <c r="T843" s="523"/>
      <c r="U843" s="523"/>
      <c r="V843" s="224"/>
      <c r="W843" s="224"/>
      <c r="X843" s="224"/>
      <c r="Y843" s="224"/>
      <c r="Z843" s="868"/>
      <c r="AA843" s="865"/>
      <c r="AB843" s="2"/>
      <c r="AC843" s="2"/>
      <c r="AD843" s="2"/>
      <c r="AE843" s="2"/>
      <c r="AF843" s="2"/>
      <c r="AG843" s="2"/>
      <c r="AH843" s="2"/>
      <c r="AI843" s="2"/>
      <c r="AJ843" s="2"/>
      <c r="AK843" s="2"/>
      <c r="AL843" s="2"/>
      <c r="AM843" s="2"/>
      <c r="AN843" s="2"/>
      <c r="AO843" s="9"/>
      <c r="AP843" s="9"/>
      <c r="AQ843" s="9"/>
      <c r="AR843" s="9"/>
    </row>
    <row r="844">
      <c r="A844" s="523"/>
      <c r="B844" s="523"/>
      <c r="C844" s="523"/>
      <c r="D844" s="523"/>
      <c r="E844" s="523"/>
      <c r="F844" s="523"/>
      <c r="G844" s="523"/>
      <c r="H844" s="523"/>
      <c r="I844" s="523"/>
      <c r="J844" s="523"/>
      <c r="K844" s="523"/>
      <c r="L844" s="523"/>
      <c r="M844" s="523"/>
      <c r="N844" s="523"/>
      <c r="O844" s="523"/>
      <c r="P844" s="523"/>
      <c r="Q844" s="523"/>
      <c r="R844" s="523"/>
      <c r="S844" s="523"/>
      <c r="T844" s="523"/>
      <c r="U844" s="523"/>
      <c r="V844" s="224"/>
      <c r="W844" s="224"/>
      <c r="X844" s="224"/>
      <c r="Y844" s="224"/>
      <c r="Z844" s="868"/>
      <c r="AA844" s="865"/>
      <c r="AB844" s="2"/>
      <c r="AC844" s="2"/>
      <c r="AD844" s="2"/>
      <c r="AE844" s="2"/>
      <c r="AF844" s="2"/>
      <c r="AG844" s="2"/>
      <c r="AH844" s="2"/>
      <c r="AI844" s="2"/>
      <c r="AJ844" s="2"/>
      <c r="AK844" s="2"/>
      <c r="AL844" s="2"/>
      <c r="AM844" s="2"/>
      <c r="AN844" s="2"/>
      <c r="AO844" s="9"/>
      <c r="AP844" s="9"/>
      <c r="AQ844" s="9"/>
      <c r="AR844" s="9"/>
    </row>
    <row r="845">
      <c r="A845" s="523"/>
      <c r="B845" s="523"/>
      <c r="C845" s="523"/>
      <c r="D845" s="523"/>
      <c r="E845" s="523"/>
      <c r="F845" s="523"/>
      <c r="G845" s="523"/>
      <c r="H845" s="523"/>
      <c r="I845" s="523"/>
      <c r="J845" s="523"/>
      <c r="K845" s="523"/>
      <c r="L845" s="523"/>
      <c r="M845" s="523"/>
      <c r="N845" s="523"/>
      <c r="O845" s="523"/>
      <c r="P845" s="523"/>
      <c r="Q845" s="523"/>
      <c r="R845" s="523"/>
      <c r="S845" s="523"/>
      <c r="T845" s="523"/>
      <c r="U845" s="523"/>
      <c r="V845" s="224"/>
      <c r="W845" s="224"/>
      <c r="X845" s="224"/>
      <c r="Y845" s="224"/>
      <c r="Z845" s="868"/>
      <c r="AA845" s="865"/>
      <c r="AB845" s="2"/>
      <c r="AC845" s="2"/>
      <c r="AD845" s="2"/>
      <c r="AE845" s="2"/>
      <c r="AF845" s="2"/>
      <c r="AG845" s="2"/>
      <c r="AH845" s="2"/>
      <c r="AI845" s="2"/>
      <c r="AJ845" s="2"/>
      <c r="AK845" s="2"/>
      <c r="AL845" s="2"/>
      <c r="AM845" s="2"/>
      <c r="AN845" s="2"/>
      <c r="AO845" s="9"/>
      <c r="AP845" s="9"/>
      <c r="AQ845" s="9"/>
      <c r="AR845" s="9"/>
    </row>
    <row r="846">
      <c r="A846" s="523"/>
      <c r="B846" s="523"/>
      <c r="C846" s="523"/>
      <c r="D846" s="523"/>
      <c r="E846" s="523"/>
      <c r="F846" s="523"/>
      <c r="G846" s="523"/>
      <c r="H846" s="523"/>
      <c r="I846" s="523"/>
      <c r="J846" s="523"/>
      <c r="K846" s="523"/>
      <c r="L846" s="523"/>
      <c r="M846" s="523"/>
      <c r="N846" s="523"/>
      <c r="O846" s="523"/>
      <c r="P846" s="523"/>
      <c r="Q846" s="523"/>
      <c r="R846" s="523"/>
      <c r="S846" s="523"/>
      <c r="T846" s="523"/>
      <c r="U846" s="523"/>
      <c r="V846" s="224"/>
      <c r="W846" s="224"/>
      <c r="X846" s="224"/>
      <c r="Y846" s="224"/>
      <c r="Z846" s="868"/>
      <c r="AA846" s="865"/>
      <c r="AB846" s="2"/>
      <c r="AC846" s="2"/>
      <c r="AD846" s="2"/>
      <c r="AE846" s="2"/>
      <c r="AF846" s="2"/>
      <c r="AG846" s="2"/>
      <c r="AH846" s="2"/>
      <c r="AI846" s="2"/>
      <c r="AJ846" s="2"/>
      <c r="AK846" s="2"/>
      <c r="AL846" s="2"/>
      <c r="AM846" s="2"/>
      <c r="AN846" s="2"/>
      <c r="AO846" s="9"/>
      <c r="AP846" s="9"/>
      <c r="AQ846" s="9"/>
      <c r="AR846" s="9"/>
    </row>
    <row r="847">
      <c r="A847" s="523"/>
      <c r="B847" s="523"/>
      <c r="C847" s="523"/>
      <c r="D847" s="523"/>
      <c r="E847" s="523"/>
      <c r="F847" s="523"/>
      <c r="G847" s="523"/>
      <c r="H847" s="523"/>
      <c r="I847" s="523"/>
      <c r="J847" s="523"/>
      <c r="K847" s="523"/>
      <c r="L847" s="523"/>
      <c r="M847" s="523"/>
      <c r="N847" s="523"/>
      <c r="O847" s="523"/>
      <c r="P847" s="523"/>
      <c r="Q847" s="523"/>
      <c r="R847" s="523"/>
      <c r="S847" s="523"/>
      <c r="T847" s="523"/>
      <c r="U847" s="523"/>
      <c r="V847" s="224"/>
      <c r="W847" s="224"/>
      <c r="X847" s="224"/>
      <c r="Y847" s="224"/>
      <c r="Z847" s="868"/>
      <c r="AA847" s="865"/>
      <c r="AB847" s="2"/>
      <c r="AC847" s="2"/>
      <c r="AD847" s="2"/>
      <c r="AE847" s="2"/>
      <c r="AF847" s="2"/>
      <c r="AG847" s="2"/>
      <c r="AH847" s="2"/>
      <c r="AI847" s="2"/>
      <c r="AJ847" s="2"/>
      <c r="AK847" s="2"/>
      <c r="AL847" s="2"/>
      <c r="AM847" s="2"/>
      <c r="AN847" s="2"/>
      <c r="AO847" s="9"/>
      <c r="AP847" s="9"/>
      <c r="AQ847" s="9"/>
      <c r="AR847" s="9"/>
    </row>
    <row r="848">
      <c r="A848" s="523"/>
      <c r="B848" s="523"/>
      <c r="C848" s="523"/>
      <c r="D848" s="523"/>
      <c r="E848" s="523"/>
      <c r="F848" s="523"/>
      <c r="G848" s="523"/>
      <c r="H848" s="523"/>
      <c r="I848" s="523"/>
      <c r="J848" s="523"/>
      <c r="K848" s="523"/>
      <c r="L848" s="523"/>
      <c r="M848" s="523"/>
      <c r="N848" s="523"/>
      <c r="O848" s="523"/>
      <c r="P848" s="523"/>
      <c r="Q848" s="523"/>
      <c r="R848" s="523"/>
      <c r="S848" s="523"/>
      <c r="T848" s="523"/>
      <c r="U848" s="523"/>
      <c r="V848" s="224"/>
      <c r="W848" s="224"/>
      <c r="X848" s="224"/>
      <c r="Y848" s="224"/>
      <c r="Z848" s="868"/>
      <c r="AA848" s="865"/>
      <c r="AB848" s="2"/>
      <c r="AC848" s="2"/>
      <c r="AD848" s="2"/>
      <c r="AE848" s="2"/>
      <c r="AF848" s="2"/>
      <c r="AG848" s="2"/>
      <c r="AH848" s="2"/>
      <c r="AI848" s="2"/>
      <c r="AJ848" s="2"/>
      <c r="AK848" s="2"/>
      <c r="AL848" s="2"/>
      <c r="AM848" s="2"/>
      <c r="AN848" s="2"/>
      <c r="AO848" s="9"/>
      <c r="AP848" s="9"/>
      <c r="AQ848" s="9"/>
      <c r="AR848" s="9"/>
    </row>
    <row r="849">
      <c r="A849" s="523"/>
      <c r="B849" s="523"/>
      <c r="C849" s="523"/>
      <c r="D849" s="523"/>
      <c r="E849" s="523"/>
      <c r="F849" s="523"/>
      <c r="G849" s="523"/>
      <c r="H849" s="523"/>
      <c r="I849" s="523"/>
      <c r="J849" s="523"/>
      <c r="K849" s="523"/>
      <c r="L849" s="523"/>
      <c r="M849" s="523"/>
      <c r="N849" s="523"/>
      <c r="O849" s="523"/>
      <c r="P849" s="523"/>
      <c r="Q849" s="523"/>
      <c r="R849" s="523"/>
      <c r="S849" s="523"/>
      <c r="T849" s="523"/>
      <c r="U849" s="523"/>
      <c r="V849" s="224"/>
      <c r="W849" s="224"/>
      <c r="X849" s="224"/>
      <c r="Y849" s="224"/>
      <c r="Z849" s="868"/>
      <c r="AA849" s="865"/>
      <c r="AB849" s="2"/>
      <c r="AC849" s="2"/>
      <c r="AD849" s="2"/>
      <c r="AE849" s="2"/>
      <c r="AF849" s="2"/>
      <c r="AG849" s="2"/>
      <c r="AH849" s="2"/>
      <c r="AI849" s="2"/>
      <c r="AJ849" s="2"/>
      <c r="AK849" s="2"/>
      <c r="AL849" s="2"/>
      <c r="AM849" s="2"/>
      <c r="AN849" s="2"/>
      <c r="AO849" s="9"/>
      <c r="AP849" s="9"/>
      <c r="AQ849" s="9"/>
      <c r="AR849" s="9"/>
    </row>
    <row r="850">
      <c r="A850" s="523"/>
      <c r="B850" s="523"/>
      <c r="C850" s="523"/>
      <c r="D850" s="523"/>
      <c r="E850" s="523"/>
      <c r="F850" s="523"/>
      <c r="G850" s="523"/>
      <c r="H850" s="523"/>
      <c r="I850" s="523"/>
      <c r="J850" s="523"/>
      <c r="K850" s="523"/>
      <c r="L850" s="523"/>
      <c r="M850" s="523"/>
      <c r="N850" s="523"/>
      <c r="O850" s="523"/>
      <c r="P850" s="523"/>
      <c r="Q850" s="523"/>
      <c r="R850" s="523"/>
      <c r="S850" s="523"/>
      <c r="T850" s="523"/>
      <c r="U850" s="523"/>
      <c r="V850" s="224"/>
      <c r="W850" s="224"/>
      <c r="X850" s="224"/>
      <c r="Y850" s="224"/>
      <c r="Z850" s="868"/>
      <c r="AA850" s="865"/>
      <c r="AB850" s="2"/>
      <c r="AC850" s="2"/>
      <c r="AD850" s="2"/>
      <c r="AE850" s="2"/>
      <c r="AF850" s="2"/>
      <c r="AG850" s="2"/>
      <c r="AH850" s="2"/>
      <c r="AI850" s="2"/>
      <c r="AJ850" s="2"/>
      <c r="AK850" s="2"/>
      <c r="AL850" s="2"/>
      <c r="AM850" s="2"/>
      <c r="AN850" s="2"/>
      <c r="AO850" s="9"/>
      <c r="AP850" s="9"/>
      <c r="AQ850" s="9"/>
      <c r="AR850" s="9"/>
    </row>
    <row r="851">
      <c r="A851" s="523"/>
      <c r="B851" s="523"/>
      <c r="C851" s="523"/>
      <c r="D851" s="523"/>
      <c r="E851" s="523"/>
      <c r="F851" s="523"/>
      <c r="G851" s="523"/>
      <c r="H851" s="523"/>
      <c r="I851" s="523"/>
      <c r="J851" s="523"/>
      <c r="K851" s="523"/>
      <c r="L851" s="523"/>
      <c r="M851" s="523"/>
      <c r="N851" s="523"/>
      <c r="O851" s="523"/>
      <c r="P851" s="523"/>
      <c r="Q851" s="523"/>
      <c r="R851" s="523"/>
      <c r="S851" s="523"/>
      <c r="T851" s="523"/>
      <c r="U851" s="523"/>
      <c r="V851" s="224"/>
      <c r="W851" s="224"/>
      <c r="X851" s="224"/>
      <c r="Y851" s="224"/>
      <c r="Z851" s="868"/>
      <c r="AA851" s="865"/>
      <c r="AB851" s="2"/>
      <c r="AC851" s="2"/>
      <c r="AD851" s="2"/>
      <c r="AE851" s="2"/>
      <c r="AF851" s="2"/>
      <c r="AG851" s="2"/>
      <c r="AH851" s="2"/>
      <c r="AI851" s="2"/>
      <c r="AJ851" s="2"/>
      <c r="AK851" s="2"/>
      <c r="AL851" s="2"/>
      <c r="AM851" s="2"/>
      <c r="AN851" s="2"/>
      <c r="AO851" s="9"/>
      <c r="AP851" s="9"/>
      <c r="AQ851" s="9"/>
      <c r="AR851" s="9"/>
    </row>
    <row r="852">
      <c r="A852" s="523"/>
      <c r="B852" s="523"/>
      <c r="C852" s="523"/>
      <c r="D852" s="523"/>
      <c r="E852" s="523"/>
      <c r="F852" s="523"/>
      <c r="G852" s="523"/>
      <c r="H852" s="523"/>
      <c r="I852" s="523"/>
      <c r="J852" s="523"/>
      <c r="K852" s="523"/>
      <c r="L852" s="523"/>
      <c r="M852" s="523"/>
      <c r="N852" s="523"/>
      <c r="O852" s="523"/>
      <c r="P852" s="523"/>
      <c r="Q852" s="523"/>
      <c r="R852" s="523"/>
      <c r="S852" s="523"/>
      <c r="T852" s="523"/>
      <c r="U852" s="523"/>
      <c r="V852" s="224"/>
      <c r="W852" s="224"/>
      <c r="X852" s="224"/>
      <c r="Y852" s="224"/>
      <c r="Z852" s="868"/>
      <c r="AA852" s="865"/>
      <c r="AB852" s="2"/>
      <c r="AC852" s="2"/>
      <c r="AD852" s="2"/>
      <c r="AE852" s="2"/>
      <c r="AF852" s="2"/>
      <c r="AG852" s="2"/>
      <c r="AH852" s="2"/>
      <c r="AI852" s="2"/>
      <c r="AJ852" s="2"/>
      <c r="AK852" s="2"/>
      <c r="AL852" s="2"/>
      <c r="AM852" s="2"/>
      <c r="AN852" s="2"/>
      <c r="AO852" s="9"/>
      <c r="AP852" s="9"/>
      <c r="AQ852" s="9"/>
      <c r="AR852" s="9"/>
    </row>
    <row r="853">
      <c r="A853" s="523"/>
      <c r="B853" s="523"/>
      <c r="C853" s="523"/>
      <c r="D853" s="523"/>
      <c r="E853" s="523"/>
      <c r="F853" s="523"/>
      <c r="G853" s="523"/>
      <c r="H853" s="523"/>
      <c r="I853" s="523"/>
      <c r="J853" s="523"/>
      <c r="K853" s="523"/>
      <c r="L853" s="523"/>
      <c r="M853" s="523"/>
      <c r="N853" s="523"/>
      <c r="O853" s="523"/>
      <c r="P853" s="523"/>
      <c r="Q853" s="523"/>
      <c r="R853" s="523"/>
      <c r="S853" s="523"/>
      <c r="T853" s="523"/>
      <c r="U853" s="523"/>
      <c r="V853" s="224"/>
      <c r="W853" s="224"/>
      <c r="X853" s="224"/>
      <c r="Y853" s="224"/>
      <c r="Z853" s="868"/>
      <c r="AA853" s="865"/>
      <c r="AB853" s="2"/>
      <c r="AC853" s="2"/>
      <c r="AD853" s="2"/>
      <c r="AE853" s="2"/>
      <c r="AF853" s="2"/>
      <c r="AG853" s="2"/>
      <c r="AH853" s="2"/>
      <c r="AI853" s="2"/>
      <c r="AJ853" s="2"/>
      <c r="AK853" s="2"/>
      <c r="AL853" s="2"/>
      <c r="AM853" s="2"/>
      <c r="AN853" s="2"/>
      <c r="AO853" s="9"/>
      <c r="AP853" s="9"/>
      <c r="AQ853" s="9"/>
      <c r="AR853" s="9"/>
    </row>
    <row r="854">
      <c r="A854" s="523"/>
      <c r="B854" s="523"/>
      <c r="C854" s="523"/>
      <c r="D854" s="523"/>
      <c r="E854" s="523"/>
      <c r="F854" s="523"/>
      <c r="G854" s="523"/>
      <c r="H854" s="523"/>
      <c r="I854" s="523"/>
      <c r="J854" s="523"/>
      <c r="K854" s="523"/>
      <c r="L854" s="523"/>
      <c r="M854" s="523"/>
      <c r="N854" s="523"/>
      <c r="O854" s="523"/>
      <c r="P854" s="523"/>
      <c r="Q854" s="523"/>
      <c r="R854" s="523"/>
      <c r="S854" s="523"/>
      <c r="T854" s="523"/>
      <c r="U854" s="523"/>
      <c r="V854" s="224"/>
      <c r="W854" s="224"/>
      <c r="X854" s="224"/>
      <c r="Y854" s="224"/>
      <c r="Z854" s="868"/>
      <c r="AA854" s="865"/>
      <c r="AB854" s="2"/>
      <c r="AC854" s="2"/>
      <c r="AD854" s="2"/>
      <c r="AE854" s="2"/>
      <c r="AF854" s="2"/>
      <c r="AG854" s="2"/>
      <c r="AH854" s="2"/>
      <c r="AI854" s="2"/>
      <c r="AJ854" s="2"/>
      <c r="AK854" s="2"/>
      <c r="AL854" s="2"/>
      <c r="AM854" s="2"/>
      <c r="AN854" s="2"/>
      <c r="AO854" s="9"/>
      <c r="AP854" s="9"/>
      <c r="AQ854" s="9"/>
      <c r="AR854" s="9"/>
    </row>
    <row r="855">
      <c r="A855" s="523"/>
      <c r="B855" s="523"/>
      <c r="C855" s="523"/>
      <c r="D855" s="523"/>
      <c r="E855" s="523"/>
      <c r="F855" s="523"/>
      <c r="G855" s="523"/>
      <c r="H855" s="523"/>
      <c r="I855" s="523"/>
      <c r="J855" s="523"/>
      <c r="K855" s="523"/>
      <c r="L855" s="523"/>
      <c r="M855" s="523"/>
      <c r="N855" s="523"/>
      <c r="O855" s="523"/>
      <c r="P855" s="523"/>
      <c r="Q855" s="523"/>
      <c r="R855" s="523"/>
      <c r="S855" s="523"/>
      <c r="T855" s="523"/>
      <c r="U855" s="523"/>
      <c r="V855" s="224"/>
      <c r="W855" s="224"/>
      <c r="X855" s="224"/>
      <c r="Y855" s="224"/>
      <c r="Z855" s="868"/>
      <c r="AA855" s="865"/>
      <c r="AB855" s="2"/>
      <c r="AC855" s="2"/>
      <c r="AD855" s="2"/>
      <c r="AE855" s="2"/>
      <c r="AF855" s="2"/>
      <c r="AG855" s="2"/>
      <c r="AH855" s="2"/>
      <c r="AI855" s="2"/>
      <c r="AJ855" s="2"/>
      <c r="AK855" s="2"/>
      <c r="AL855" s="2"/>
      <c r="AM855" s="2"/>
      <c r="AN855" s="2"/>
      <c r="AO855" s="9"/>
      <c r="AP855" s="9"/>
      <c r="AQ855" s="9"/>
      <c r="AR855" s="9"/>
    </row>
    <row r="856">
      <c r="A856" s="523"/>
      <c r="B856" s="523"/>
      <c r="C856" s="523"/>
      <c r="D856" s="523"/>
      <c r="E856" s="523"/>
      <c r="F856" s="523"/>
      <c r="G856" s="523"/>
      <c r="H856" s="523"/>
      <c r="I856" s="523"/>
      <c r="J856" s="523"/>
      <c r="K856" s="523"/>
      <c r="L856" s="523"/>
      <c r="M856" s="523"/>
      <c r="N856" s="523"/>
      <c r="O856" s="523"/>
      <c r="P856" s="523"/>
      <c r="Q856" s="523"/>
      <c r="R856" s="523"/>
      <c r="S856" s="523"/>
      <c r="T856" s="523"/>
      <c r="U856" s="523"/>
      <c r="V856" s="224"/>
      <c r="W856" s="224"/>
      <c r="X856" s="224"/>
      <c r="Y856" s="224"/>
      <c r="Z856" s="868"/>
      <c r="AA856" s="865"/>
      <c r="AB856" s="2"/>
      <c r="AC856" s="2"/>
      <c r="AD856" s="2"/>
      <c r="AE856" s="2"/>
      <c r="AF856" s="2"/>
      <c r="AG856" s="2"/>
      <c r="AH856" s="2"/>
      <c r="AI856" s="2"/>
      <c r="AJ856" s="2"/>
      <c r="AK856" s="2"/>
      <c r="AL856" s="2"/>
      <c r="AM856" s="2"/>
      <c r="AN856" s="2"/>
      <c r="AO856" s="9"/>
      <c r="AP856" s="9"/>
      <c r="AQ856" s="9"/>
      <c r="AR856" s="9"/>
    </row>
    <row r="857">
      <c r="A857" s="523"/>
      <c r="B857" s="523"/>
      <c r="C857" s="523"/>
      <c r="D857" s="523"/>
      <c r="E857" s="523"/>
      <c r="F857" s="523"/>
      <c r="G857" s="523"/>
      <c r="H857" s="523"/>
      <c r="I857" s="523"/>
      <c r="J857" s="523"/>
      <c r="K857" s="523"/>
      <c r="L857" s="523"/>
      <c r="M857" s="523"/>
      <c r="N857" s="523"/>
      <c r="O857" s="523"/>
      <c r="P857" s="523"/>
      <c r="Q857" s="523"/>
      <c r="R857" s="523"/>
      <c r="S857" s="523"/>
      <c r="T857" s="523"/>
      <c r="U857" s="523"/>
      <c r="V857" s="224"/>
      <c r="W857" s="224"/>
      <c r="X857" s="224"/>
      <c r="Y857" s="224"/>
      <c r="Z857" s="868"/>
      <c r="AA857" s="865"/>
      <c r="AB857" s="2"/>
      <c r="AC857" s="2"/>
      <c r="AD857" s="2"/>
      <c r="AE857" s="2"/>
      <c r="AF857" s="2"/>
      <c r="AG857" s="2"/>
      <c r="AH857" s="2"/>
      <c r="AI857" s="2"/>
      <c r="AJ857" s="2"/>
      <c r="AK857" s="2"/>
      <c r="AL857" s="2"/>
      <c r="AM857" s="2"/>
      <c r="AN857" s="2"/>
      <c r="AO857" s="9"/>
      <c r="AP857" s="9"/>
      <c r="AQ857" s="9"/>
      <c r="AR857" s="9"/>
    </row>
    <row r="858">
      <c r="A858" s="523"/>
      <c r="B858" s="523"/>
      <c r="C858" s="523"/>
      <c r="D858" s="523"/>
      <c r="E858" s="523"/>
      <c r="F858" s="523"/>
      <c r="G858" s="523"/>
      <c r="H858" s="523"/>
      <c r="I858" s="523"/>
      <c r="J858" s="523"/>
      <c r="K858" s="523"/>
      <c r="L858" s="523"/>
      <c r="M858" s="523"/>
      <c r="N858" s="523"/>
      <c r="O858" s="523"/>
      <c r="P858" s="523"/>
      <c r="Q858" s="523"/>
      <c r="R858" s="523"/>
      <c r="S858" s="523"/>
      <c r="T858" s="523"/>
      <c r="U858" s="523"/>
      <c r="V858" s="224"/>
      <c r="W858" s="224"/>
      <c r="X858" s="224"/>
      <c r="Y858" s="224"/>
      <c r="Z858" s="868"/>
      <c r="AA858" s="865"/>
      <c r="AB858" s="2"/>
      <c r="AC858" s="2"/>
      <c r="AD858" s="2"/>
      <c r="AE858" s="2"/>
      <c r="AF858" s="2"/>
      <c r="AG858" s="2"/>
      <c r="AH858" s="2"/>
      <c r="AI858" s="2"/>
      <c r="AJ858" s="2"/>
      <c r="AK858" s="2"/>
      <c r="AL858" s="2"/>
      <c r="AM858" s="2"/>
      <c r="AN858" s="2"/>
      <c r="AO858" s="9"/>
      <c r="AP858" s="9"/>
      <c r="AQ858" s="9"/>
      <c r="AR858" s="9"/>
    </row>
    <row r="859">
      <c r="A859" s="523"/>
      <c r="B859" s="523"/>
      <c r="C859" s="523"/>
      <c r="D859" s="523"/>
      <c r="E859" s="523"/>
      <c r="F859" s="523"/>
      <c r="G859" s="523"/>
      <c r="H859" s="523"/>
      <c r="I859" s="523"/>
      <c r="J859" s="523"/>
      <c r="K859" s="523"/>
      <c r="L859" s="523"/>
      <c r="M859" s="523"/>
      <c r="N859" s="523"/>
      <c r="O859" s="523"/>
      <c r="P859" s="523"/>
      <c r="Q859" s="523"/>
      <c r="R859" s="523"/>
      <c r="S859" s="523"/>
      <c r="T859" s="523"/>
      <c r="U859" s="523"/>
      <c r="V859" s="224"/>
      <c r="W859" s="224"/>
      <c r="X859" s="224"/>
      <c r="Y859" s="224"/>
      <c r="Z859" s="868"/>
      <c r="AA859" s="865"/>
      <c r="AB859" s="2"/>
      <c r="AC859" s="2"/>
      <c r="AD859" s="2"/>
      <c r="AE859" s="2"/>
      <c r="AF859" s="2"/>
      <c r="AG859" s="2"/>
      <c r="AH859" s="2"/>
      <c r="AI859" s="2"/>
      <c r="AJ859" s="2"/>
      <c r="AK859" s="2"/>
      <c r="AL859" s="2"/>
      <c r="AM859" s="2"/>
      <c r="AN859" s="2"/>
      <c r="AO859" s="9"/>
      <c r="AP859" s="9"/>
      <c r="AQ859" s="9"/>
      <c r="AR859" s="9"/>
    </row>
    <row r="860">
      <c r="A860" s="523"/>
      <c r="B860" s="523"/>
      <c r="C860" s="523"/>
      <c r="D860" s="523"/>
      <c r="E860" s="523"/>
      <c r="F860" s="523"/>
      <c r="G860" s="523"/>
      <c r="H860" s="523"/>
      <c r="I860" s="523"/>
      <c r="J860" s="523"/>
      <c r="K860" s="523"/>
      <c r="L860" s="523"/>
      <c r="M860" s="523"/>
      <c r="N860" s="523"/>
      <c r="O860" s="523"/>
      <c r="P860" s="523"/>
      <c r="Q860" s="523"/>
      <c r="R860" s="523"/>
      <c r="S860" s="523"/>
      <c r="T860" s="523"/>
      <c r="U860" s="523"/>
      <c r="V860" s="224"/>
      <c r="W860" s="224"/>
      <c r="X860" s="224"/>
      <c r="Y860" s="224"/>
      <c r="Z860" s="868"/>
      <c r="AA860" s="865"/>
      <c r="AB860" s="2"/>
      <c r="AC860" s="2"/>
      <c r="AD860" s="2"/>
      <c r="AE860" s="2"/>
      <c r="AF860" s="2"/>
      <c r="AG860" s="2"/>
      <c r="AH860" s="2"/>
      <c r="AI860" s="2"/>
      <c r="AJ860" s="2"/>
      <c r="AK860" s="2"/>
      <c r="AL860" s="2"/>
      <c r="AM860" s="2"/>
      <c r="AN860" s="2"/>
      <c r="AO860" s="9"/>
      <c r="AP860" s="9"/>
      <c r="AQ860" s="9"/>
      <c r="AR860" s="9"/>
    </row>
    <row r="861">
      <c r="A861" s="523"/>
      <c r="B861" s="523"/>
      <c r="C861" s="523"/>
      <c r="D861" s="523"/>
      <c r="E861" s="523"/>
      <c r="F861" s="523"/>
      <c r="G861" s="523"/>
      <c r="H861" s="523"/>
      <c r="I861" s="523"/>
      <c r="J861" s="523"/>
      <c r="K861" s="523"/>
      <c r="L861" s="523"/>
      <c r="M861" s="523"/>
      <c r="N861" s="523"/>
      <c r="O861" s="523"/>
      <c r="P861" s="523"/>
      <c r="Q861" s="523"/>
      <c r="R861" s="523"/>
      <c r="S861" s="523"/>
      <c r="T861" s="523"/>
      <c r="U861" s="523"/>
      <c r="V861" s="224"/>
      <c r="W861" s="224"/>
      <c r="X861" s="224"/>
      <c r="Y861" s="224"/>
      <c r="Z861" s="868"/>
      <c r="AA861" s="865"/>
      <c r="AB861" s="2"/>
      <c r="AC861" s="2"/>
      <c r="AD861" s="2"/>
      <c r="AE861" s="2"/>
      <c r="AF861" s="2"/>
      <c r="AG861" s="2"/>
      <c r="AH861" s="2"/>
      <c r="AI861" s="2"/>
      <c r="AJ861" s="2"/>
      <c r="AK861" s="2"/>
      <c r="AL861" s="2"/>
      <c r="AM861" s="2"/>
      <c r="AN861" s="2"/>
      <c r="AO861" s="9"/>
      <c r="AP861" s="9"/>
      <c r="AQ861" s="9"/>
      <c r="AR861" s="9"/>
    </row>
    <row r="862">
      <c r="A862" s="523"/>
      <c r="B862" s="523"/>
      <c r="C862" s="523"/>
      <c r="D862" s="523"/>
      <c r="E862" s="523"/>
      <c r="F862" s="523"/>
      <c r="G862" s="523"/>
      <c r="H862" s="523"/>
      <c r="I862" s="523"/>
      <c r="J862" s="523"/>
      <c r="K862" s="523"/>
      <c r="L862" s="523"/>
      <c r="M862" s="523"/>
      <c r="N862" s="523"/>
      <c r="O862" s="523"/>
      <c r="P862" s="523"/>
      <c r="Q862" s="523"/>
      <c r="R862" s="523"/>
      <c r="S862" s="523"/>
      <c r="T862" s="523"/>
      <c r="U862" s="523"/>
      <c r="V862" s="224"/>
      <c r="W862" s="224"/>
      <c r="X862" s="224"/>
      <c r="Y862" s="224"/>
      <c r="Z862" s="868"/>
      <c r="AA862" s="865"/>
      <c r="AB862" s="2"/>
      <c r="AC862" s="2"/>
      <c r="AD862" s="2"/>
      <c r="AE862" s="2"/>
      <c r="AF862" s="2"/>
      <c r="AG862" s="2"/>
      <c r="AH862" s="2"/>
      <c r="AI862" s="2"/>
      <c r="AJ862" s="2"/>
      <c r="AK862" s="2"/>
      <c r="AL862" s="2"/>
      <c r="AM862" s="2"/>
      <c r="AN862" s="2"/>
      <c r="AO862" s="9"/>
      <c r="AP862" s="9"/>
      <c r="AQ862" s="9"/>
      <c r="AR862" s="9"/>
    </row>
    <row r="863">
      <c r="A863" s="523"/>
      <c r="B863" s="523"/>
      <c r="C863" s="523"/>
      <c r="D863" s="523"/>
      <c r="E863" s="523"/>
      <c r="F863" s="523"/>
      <c r="G863" s="523"/>
      <c r="H863" s="523"/>
      <c r="I863" s="523"/>
      <c r="J863" s="523"/>
      <c r="K863" s="523"/>
      <c r="L863" s="523"/>
      <c r="M863" s="523"/>
      <c r="N863" s="523"/>
      <c r="O863" s="523"/>
      <c r="P863" s="523"/>
      <c r="Q863" s="523"/>
      <c r="R863" s="523"/>
      <c r="S863" s="523"/>
      <c r="T863" s="523"/>
      <c r="U863" s="523"/>
      <c r="V863" s="224"/>
      <c r="W863" s="224"/>
      <c r="X863" s="224"/>
      <c r="Y863" s="224"/>
      <c r="Z863" s="868"/>
      <c r="AA863" s="865"/>
      <c r="AB863" s="2"/>
      <c r="AC863" s="2"/>
      <c r="AD863" s="2"/>
      <c r="AE863" s="2"/>
      <c r="AF863" s="2"/>
      <c r="AG863" s="2"/>
      <c r="AH863" s="2"/>
      <c r="AI863" s="2"/>
      <c r="AJ863" s="2"/>
      <c r="AK863" s="2"/>
      <c r="AL863" s="2"/>
      <c r="AM863" s="2"/>
      <c r="AN863" s="2"/>
      <c r="AO863" s="9"/>
      <c r="AP863" s="9"/>
      <c r="AQ863" s="9"/>
      <c r="AR863" s="9"/>
    </row>
    <row r="864">
      <c r="A864" s="523"/>
      <c r="B864" s="523"/>
      <c r="C864" s="523"/>
      <c r="D864" s="523"/>
      <c r="E864" s="523"/>
      <c r="F864" s="523"/>
      <c r="G864" s="523"/>
      <c r="H864" s="523"/>
      <c r="I864" s="523"/>
      <c r="J864" s="523"/>
      <c r="K864" s="523"/>
      <c r="L864" s="523"/>
      <c r="M864" s="523"/>
      <c r="N864" s="523"/>
      <c r="O864" s="523"/>
      <c r="P864" s="523"/>
      <c r="Q864" s="523"/>
      <c r="R864" s="523"/>
      <c r="S864" s="523"/>
      <c r="T864" s="523"/>
      <c r="U864" s="523"/>
      <c r="V864" s="224"/>
      <c r="W864" s="224"/>
      <c r="X864" s="224"/>
      <c r="Y864" s="224"/>
      <c r="Z864" s="868"/>
      <c r="AA864" s="865"/>
      <c r="AB864" s="2"/>
      <c r="AC864" s="2"/>
      <c r="AD864" s="2"/>
      <c r="AE864" s="2"/>
      <c r="AF864" s="2"/>
      <c r="AG864" s="2"/>
      <c r="AH864" s="2"/>
      <c r="AI864" s="2"/>
      <c r="AJ864" s="2"/>
      <c r="AK864" s="2"/>
      <c r="AL864" s="2"/>
      <c r="AM864" s="2"/>
      <c r="AN864" s="2"/>
      <c r="AO864" s="9"/>
      <c r="AP864" s="9"/>
      <c r="AQ864" s="9"/>
      <c r="AR864" s="9"/>
    </row>
    <row r="865">
      <c r="A865" s="523"/>
      <c r="B865" s="523"/>
      <c r="C865" s="523"/>
      <c r="D865" s="523"/>
      <c r="E865" s="523"/>
      <c r="F865" s="523"/>
      <c r="G865" s="523"/>
      <c r="H865" s="523"/>
      <c r="I865" s="523"/>
      <c r="J865" s="523"/>
      <c r="K865" s="523"/>
      <c r="L865" s="523"/>
      <c r="M865" s="523"/>
      <c r="N865" s="523"/>
      <c r="O865" s="523"/>
      <c r="P865" s="523"/>
      <c r="Q865" s="523"/>
      <c r="R865" s="523"/>
      <c r="S865" s="523"/>
      <c r="T865" s="523"/>
      <c r="U865" s="523"/>
      <c r="V865" s="224"/>
      <c r="W865" s="224"/>
      <c r="X865" s="224"/>
      <c r="Y865" s="224"/>
      <c r="Z865" s="868"/>
      <c r="AA865" s="865"/>
      <c r="AB865" s="2"/>
      <c r="AC865" s="2"/>
      <c r="AD865" s="2"/>
      <c r="AE865" s="2"/>
      <c r="AF865" s="2"/>
      <c r="AG865" s="2"/>
      <c r="AH865" s="2"/>
      <c r="AI865" s="2"/>
      <c r="AJ865" s="2"/>
      <c r="AK865" s="2"/>
      <c r="AL865" s="2"/>
      <c r="AM865" s="2"/>
      <c r="AN865" s="2"/>
      <c r="AO865" s="9"/>
      <c r="AP865" s="9"/>
      <c r="AQ865" s="9"/>
      <c r="AR865" s="9"/>
    </row>
    <row r="866">
      <c r="A866" s="523"/>
      <c r="B866" s="523"/>
      <c r="C866" s="523"/>
      <c r="D866" s="523"/>
      <c r="E866" s="523"/>
      <c r="F866" s="523"/>
      <c r="G866" s="523"/>
      <c r="H866" s="523"/>
      <c r="I866" s="523"/>
      <c r="J866" s="523"/>
      <c r="K866" s="523"/>
      <c r="L866" s="523"/>
      <c r="M866" s="523"/>
      <c r="N866" s="523"/>
      <c r="O866" s="523"/>
      <c r="P866" s="523"/>
      <c r="Q866" s="523"/>
      <c r="R866" s="523"/>
      <c r="S866" s="523"/>
      <c r="T866" s="523"/>
      <c r="U866" s="523"/>
      <c r="V866" s="224"/>
      <c r="W866" s="224"/>
      <c r="X866" s="224"/>
      <c r="Y866" s="224"/>
      <c r="Z866" s="868"/>
      <c r="AA866" s="865"/>
      <c r="AB866" s="2"/>
      <c r="AC866" s="2"/>
      <c r="AD866" s="2"/>
      <c r="AE866" s="2"/>
      <c r="AF866" s="2"/>
      <c r="AG866" s="2"/>
      <c r="AH866" s="2"/>
      <c r="AI866" s="2"/>
      <c r="AJ866" s="2"/>
      <c r="AK866" s="2"/>
      <c r="AL866" s="2"/>
      <c r="AM866" s="2"/>
      <c r="AN866" s="2"/>
      <c r="AO866" s="9"/>
      <c r="AP866" s="9"/>
      <c r="AQ866" s="9"/>
      <c r="AR866" s="9"/>
    </row>
    <row r="867">
      <c r="A867" s="523"/>
      <c r="B867" s="523"/>
      <c r="C867" s="523"/>
      <c r="D867" s="523"/>
      <c r="E867" s="523"/>
      <c r="F867" s="523"/>
      <c r="G867" s="523"/>
      <c r="H867" s="523"/>
      <c r="I867" s="523"/>
      <c r="J867" s="523"/>
      <c r="K867" s="523"/>
      <c r="L867" s="523"/>
      <c r="M867" s="523"/>
      <c r="N867" s="523"/>
      <c r="O867" s="523"/>
      <c r="P867" s="523"/>
      <c r="Q867" s="523"/>
      <c r="R867" s="523"/>
      <c r="S867" s="523"/>
      <c r="T867" s="523"/>
      <c r="U867" s="523"/>
      <c r="V867" s="224"/>
      <c r="W867" s="224"/>
      <c r="X867" s="224"/>
      <c r="Y867" s="224"/>
      <c r="Z867" s="868"/>
      <c r="AA867" s="865"/>
      <c r="AB867" s="2"/>
      <c r="AC867" s="2"/>
      <c r="AD867" s="2"/>
      <c r="AE867" s="2"/>
      <c r="AF867" s="2"/>
      <c r="AG867" s="2"/>
      <c r="AH867" s="2"/>
      <c r="AI867" s="2"/>
      <c r="AJ867" s="2"/>
      <c r="AK867" s="2"/>
      <c r="AL867" s="2"/>
      <c r="AM867" s="2"/>
      <c r="AN867" s="2"/>
      <c r="AO867" s="9"/>
      <c r="AP867" s="9"/>
      <c r="AQ867" s="9"/>
      <c r="AR867" s="9"/>
    </row>
    <row r="868">
      <c r="A868" s="523"/>
      <c r="B868" s="523"/>
      <c r="C868" s="523"/>
      <c r="D868" s="523"/>
      <c r="E868" s="523"/>
      <c r="F868" s="523"/>
      <c r="G868" s="523"/>
      <c r="H868" s="523"/>
      <c r="I868" s="523"/>
      <c r="J868" s="523"/>
      <c r="K868" s="523"/>
      <c r="L868" s="523"/>
      <c r="M868" s="523"/>
      <c r="N868" s="523"/>
      <c r="O868" s="523"/>
      <c r="P868" s="523"/>
      <c r="Q868" s="523"/>
      <c r="R868" s="523"/>
      <c r="S868" s="523"/>
      <c r="T868" s="523"/>
      <c r="U868" s="523"/>
      <c r="V868" s="224"/>
      <c r="W868" s="224"/>
      <c r="X868" s="224"/>
      <c r="Y868" s="224"/>
      <c r="Z868" s="868"/>
      <c r="AA868" s="865"/>
      <c r="AB868" s="2"/>
      <c r="AC868" s="2"/>
      <c r="AD868" s="2"/>
      <c r="AE868" s="2"/>
      <c r="AF868" s="2"/>
      <c r="AG868" s="2"/>
      <c r="AH868" s="2"/>
      <c r="AI868" s="2"/>
      <c r="AJ868" s="2"/>
      <c r="AK868" s="2"/>
      <c r="AL868" s="2"/>
      <c r="AM868" s="2"/>
      <c r="AN868" s="2"/>
      <c r="AO868" s="9"/>
      <c r="AP868" s="9"/>
      <c r="AQ868" s="9"/>
      <c r="AR868" s="9"/>
    </row>
    <row r="869">
      <c r="A869" s="523"/>
      <c r="B869" s="523"/>
      <c r="C869" s="523"/>
      <c r="D869" s="523"/>
      <c r="E869" s="523"/>
      <c r="F869" s="523"/>
      <c r="G869" s="523"/>
      <c r="H869" s="523"/>
      <c r="I869" s="523"/>
      <c r="J869" s="523"/>
      <c r="K869" s="523"/>
      <c r="L869" s="523"/>
      <c r="M869" s="523"/>
      <c r="N869" s="523"/>
      <c r="O869" s="523"/>
      <c r="P869" s="523"/>
      <c r="Q869" s="523"/>
      <c r="R869" s="523"/>
      <c r="S869" s="523"/>
      <c r="T869" s="523"/>
      <c r="U869" s="523"/>
      <c r="V869" s="224"/>
      <c r="W869" s="224"/>
      <c r="X869" s="224"/>
      <c r="Y869" s="224"/>
      <c r="Z869" s="868"/>
      <c r="AA869" s="865"/>
      <c r="AB869" s="2"/>
      <c r="AC869" s="2"/>
      <c r="AD869" s="2"/>
      <c r="AE869" s="2"/>
      <c r="AF869" s="2"/>
      <c r="AG869" s="2"/>
      <c r="AH869" s="2"/>
      <c r="AI869" s="2"/>
      <c r="AJ869" s="2"/>
      <c r="AK869" s="2"/>
      <c r="AL869" s="2"/>
      <c r="AM869" s="2"/>
      <c r="AN869" s="2"/>
      <c r="AO869" s="9"/>
      <c r="AP869" s="9"/>
      <c r="AQ869" s="9"/>
      <c r="AR869" s="9"/>
    </row>
    <row r="870">
      <c r="A870" s="523"/>
      <c r="B870" s="523"/>
      <c r="C870" s="523"/>
      <c r="D870" s="523"/>
      <c r="E870" s="523"/>
      <c r="F870" s="523"/>
      <c r="G870" s="523"/>
      <c r="H870" s="523"/>
      <c r="I870" s="523"/>
      <c r="J870" s="523"/>
      <c r="K870" s="523"/>
      <c r="L870" s="523"/>
      <c r="M870" s="523"/>
      <c r="N870" s="523"/>
      <c r="O870" s="523"/>
      <c r="P870" s="523"/>
      <c r="Q870" s="523"/>
      <c r="R870" s="523"/>
      <c r="S870" s="523"/>
      <c r="T870" s="523"/>
      <c r="U870" s="523"/>
      <c r="V870" s="224"/>
      <c r="W870" s="224"/>
      <c r="X870" s="224"/>
      <c r="Y870" s="224"/>
      <c r="Z870" s="868"/>
      <c r="AA870" s="865"/>
      <c r="AB870" s="2"/>
      <c r="AC870" s="2"/>
      <c r="AD870" s="2"/>
      <c r="AE870" s="2"/>
      <c r="AF870" s="2"/>
      <c r="AG870" s="2"/>
      <c r="AH870" s="2"/>
      <c r="AI870" s="2"/>
      <c r="AJ870" s="2"/>
      <c r="AK870" s="2"/>
      <c r="AL870" s="2"/>
      <c r="AM870" s="2"/>
      <c r="AN870" s="2"/>
      <c r="AO870" s="9"/>
      <c r="AP870" s="9"/>
      <c r="AQ870" s="9"/>
      <c r="AR870" s="9"/>
    </row>
    <row r="871">
      <c r="A871" s="523"/>
      <c r="B871" s="523"/>
      <c r="C871" s="523"/>
      <c r="D871" s="523"/>
      <c r="E871" s="523"/>
      <c r="F871" s="523"/>
      <c r="G871" s="523"/>
      <c r="H871" s="523"/>
      <c r="I871" s="523"/>
      <c r="J871" s="523"/>
      <c r="K871" s="523"/>
      <c r="L871" s="523"/>
      <c r="M871" s="523"/>
      <c r="N871" s="523"/>
      <c r="O871" s="523"/>
      <c r="P871" s="523"/>
      <c r="Q871" s="523"/>
      <c r="R871" s="523"/>
      <c r="S871" s="523"/>
      <c r="T871" s="523"/>
      <c r="U871" s="523"/>
      <c r="V871" s="224"/>
      <c r="W871" s="224"/>
      <c r="X871" s="224"/>
      <c r="Y871" s="224"/>
      <c r="Z871" s="868"/>
      <c r="AA871" s="865"/>
      <c r="AB871" s="2"/>
      <c r="AC871" s="2"/>
      <c r="AD871" s="2"/>
      <c r="AE871" s="2"/>
      <c r="AF871" s="2"/>
      <c r="AG871" s="2"/>
      <c r="AH871" s="2"/>
      <c r="AI871" s="2"/>
      <c r="AJ871" s="2"/>
      <c r="AK871" s="2"/>
      <c r="AL871" s="2"/>
      <c r="AM871" s="2"/>
      <c r="AN871" s="2"/>
      <c r="AO871" s="9"/>
      <c r="AP871" s="9"/>
      <c r="AQ871" s="9"/>
      <c r="AR871" s="9"/>
    </row>
    <row r="872">
      <c r="A872" s="523"/>
      <c r="B872" s="523"/>
      <c r="C872" s="523"/>
      <c r="D872" s="523"/>
      <c r="E872" s="523"/>
      <c r="F872" s="523"/>
      <c r="G872" s="523"/>
      <c r="H872" s="523"/>
      <c r="I872" s="523"/>
      <c r="J872" s="523"/>
      <c r="K872" s="523"/>
      <c r="L872" s="523"/>
      <c r="M872" s="523"/>
      <c r="N872" s="523"/>
      <c r="O872" s="523"/>
      <c r="P872" s="523"/>
      <c r="Q872" s="523"/>
      <c r="R872" s="523"/>
      <c r="S872" s="523"/>
      <c r="T872" s="523"/>
      <c r="U872" s="523"/>
      <c r="V872" s="224"/>
      <c r="W872" s="224"/>
      <c r="X872" s="224"/>
      <c r="Y872" s="224"/>
      <c r="Z872" s="868"/>
      <c r="AA872" s="865"/>
      <c r="AB872" s="2"/>
      <c r="AC872" s="2"/>
      <c r="AD872" s="2"/>
      <c r="AE872" s="2"/>
      <c r="AF872" s="2"/>
      <c r="AG872" s="2"/>
      <c r="AH872" s="2"/>
      <c r="AI872" s="2"/>
      <c r="AJ872" s="2"/>
      <c r="AK872" s="2"/>
      <c r="AL872" s="2"/>
      <c r="AM872" s="2"/>
      <c r="AN872" s="2"/>
      <c r="AO872" s="9"/>
      <c r="AP872" s="9"/>
      <c r="AQ872" s="9"/>
      <c r="AR872" s="9"/>
    </row>
    <row r="873">
      <c r="A873" s="523"/>
      <c r="B873" s="523"/>
      <c r="C873" s="523"/>
      <c r="D873" s="523"/>
      <c r="E873" s="523"/>
      <c r="F873" s="523"/>
      <c r="G873" s="523"/>
      <c r="H873" s="523"/>
      <c r="I873" s="523"/>
      <c r="J873" s="523"/>
      <c r="K873" s="523"/>
      <c r="L873" s="523"/>
      <c r="M873" s="523"/>
      <c r="N873" s="523"/>
      <c r="O873" s="523"/>
      <c r="P873" s="523"/>
      <c r="Q873" s="523"/>
      <c r="R873" s="523"/>
      <c r="S873" s="523"/>
      <c r="T873" s="523"/>
      <c r="U873" s="523"/>
      <c r="V873" s="224"/>
      <c r="W873" s="224"/>
      <c r="X873" s="224"/>
      <c r="Y873" s="224"/>
      <c r="Z873" s="868"/>
      <c r="AA873" s="865"/>
      <c r="AB873" s="2"/>
      <c r="AC873" s="2"/>
      <c r="AD873" s="2"/>
      <c r="AE873" s="2"/>
      <c r="AF873" s="2"/>
      <c r="AG873" s="2"/>
      <c r="AH873" s="2"/>
      <c r="AI873" s="2"/>
      <c r="AJ873" s="2"/>
      <c r="AK873" s="2"/>
      <c r="AL873" s="2"/>
      <c r="AM873" s="2"/>
      <c r="AN873" s="2"/>
      <c r="AO873" s="9"/>
      <c r="AP873" s="9"/>
      <c r="AQ873" s="9"/>
      <c r="AR873" s="9"/>
    </row>
    <row r="874">
      <c r="A874" s="523"/>
      <c r="B874" s="523"/>
      <c r="C874" s="523"/>
      <c r="D874" s="523"/>
      <c r="E874" s="523"/>
      <c r="F874" s="523"/>
      <c r="G874" s="523"/>
      <c r="H874" s="523"/>
      <c r="I874" s="523"/>
      <c r="J874" s="523"/>
      <c r="K874" s="523"/>
      <c r="L874" s="523"/>
      <c r="M874" s="523"/>
      <c r="N874" s="523"/>
      <c r="O874" s="523"/>
      <c r="P874" s="523"/>
      <c r="Q874" s="523"/>
      <c r="R874" s="523"/>
      <c r="S874" s="523"/>
      <c r="T874" s="523"/>
      <c r="U874" s="523"/>
      <c r="V874" s="224"/>
      <c r="W874" s="224"/>
      <c r="X874" s="224"/>
      <c r="Y874" s="224"/>
      <c r="Z874" s="868"/>
      <c r="AA874" s="865"/>
      <c r="AB874" s="2"/>
      <c r="AC874" s="2"/>
      <c r="AD874" s="2"/>
      <c r="AE874" s="2"/>
      <c r="AF874" s="2"/>
      <c r="AG874" s="2"/>
      <c r="AH874" s="2"/>
      <c r="AI874" s="2"/>
      <c r="AJ874" s="2"/>
      <c r="AK874" s="2"/>
      <c r="AL874" s="2"/>
      <c r="AM874" s="2"/>
      <c r="AN874" s="2"/>
      <c r="AO874" s="9"/>
      <c r="AP874" s="9"/>
      <c r="AQ874" s="9"/>
      <c r="AR874" s="9"/>
    </row>
    <row r="875">
      <c r="A875" s="523"/>
      <c r="B875" s="523"/>
      <c r="C875" s="523"/>
      <c r="D875" s="523"/>
      <c r="E875" s="523"/>
      <c r="F875" s="523"/>
      <c r="G875" s="523"/>
      <c r="H875" s="523"/>
      <c r="I875" s="523"/>
      <c r="J875" s="523"/>
      <c r="K875" s="523"/>
      <c r="L875" s="523"/>
      <c r="M875" s="523"/>
      <c r="N875" s="523"/>
      <c r="O875" s="523"/>
      <c r="P875" s="523"/>
      <c r="Q875" s="523"/>
      <c r="R875" s="523"/>
      <c r="S875" s="523"/>
      <c r="T875" s="523"/>
      <c r="U875" s="523"/>
      <c r="V875" s="224"/>
      <c r="W875" s="224"/>
      <c r="X875" s="224"/>
      <c r="Y875" s="224"/>
      <c r="Z875" s="868"/>
      <c r="AA875" s="865"/>
      <c r="AB875" s="2"/>
      <c r="AC875" s="2"/>
      <c r="AD875" s="2"/>
      <c r="AE875" s="2"/>
      <c r="AF875" s="2"/>
      <c r="AG875" s="2"/>
      <c r="AH875" s="2"/>
      <c r="AI875" s="2"/>
      <c r="AJ875" s="2"/>
      <c r="AK875" s="2"/>
      <c r="AL875" s="2"/>
      <c r="AM875" s="2"/>
      <c r="AN875" s="2"/>
      <c r="AO875" s="9"/>
      <c r="AP875" s="9"/>
      <c r="AQ875" s="9"/>
      <c r="AR875" s="9"/>
    </row>
    <row r="876">
      <c r="A876" s="523"/>
      <c r="B876" s="523"/>
      <c r="C876" s="523"/>
      <c r="D876" s="523"/>
      <c r="E876" s="523"/>
      <c r="F876" s="523"/>
      <c r="G876" s="523"/>
      <c r="H876" s="523"/>
      <c r="I876" s="523"/>
      <c r="J876" s="523"/>
      <c r="K876" s="523"/>
      <c r="L876" s="523"/>
      <c r="M876" s="523"/>
      <c r="N876" s="523"/>
      <c r="O876" s="523"/>
      <c r="P876" s="523"/>
      <c r="Q876" s="523"/>
      <c r="R876" s="523"/>
      <c r="S876" s="523"/>
      <c r="T876" s="523"/>
      <c r="U876" s="523"/>
      <c r="V876" s="224"/>
      <c r="W876" s="224"/>
      <c r="X876" s="224"/>
      <c r="Y876" s="224"/>
      <c r="Z876" s="868"/>
      <c r="AA876" s="865"/>
      <c r="AB876" s="2"/>
      <c r="AC876" s="2"/>
      <c r="AD876" s="2"/>
      <c r="AE876" s="2"/>
      <c r="AF876" s="2"/>
      <c r="AG876" s="2"/>
      <c r="AH876" s="2"/>
      <c r="AI876" s="2"/>
      <c r="AJ876" s="2"/>
      <c r="AK876" s="2"/>
      <c r="AL876" s="2"/>
      <c r="AM876" s="2"/>
      <c r="AN876" s="2"/>
      <c r="AO876" s="9"/>
      <c r="AP876" s="9"/>
      <c r="AQ876" s="9"/>
      <c r="AR876" s="9"/>
    </row>
    <row r="877">
      <c r="A877" s="523"/>
      <c r="B877" s="523"/>
      <c r="C877" s="523"/>
      <c r="D877" s="523"/>
      <c r="E877" s="523"/>
      <c r="F877" s="523"/>
      <c r="G877" s="523"/>
      <c r="H877" s="523"/>
      <c r="I877" s="523"/>
      <c r="J877" s="523"/>
      <c r="K877" s="523"/>
      <c r="L877" s="523"/>
      <c r="M877" s="523"/>
      <c r="N877" s="523"/>
      <c r="O877" s="523"/>
      <c r="P877" s="523"/>
      <c r="Q877" s="523"/>
      <c r="R877" s="523"/>
      <c r="S877" s="523"/>
      <c r="T877" s="523"/>
      <c r="U877" s="523"/>
      <c r="V877" s="224"/>
      <c r="W877" s="224"/>
      <c r="X877" s="224"/>
      <c r="Y877" s="224"/>
      <c r="Z877" s="868"/>
      <c r="AA877" s="865"/>
      <c r="AB877" s="2"/>
      <c r="AC877" s="2"/>
      <c r="AD877" s="2"/>
      <c r="AE877" s="2"/>
      <c r="AF877" s="2"/>
      <c r="AG877" s="2"/>
      <c r="AH877" s="2"/>
      <c r="AI877" s="2"/>
      <c r="AJ877" s="2"/>
      <c r="AK877" s="2"/>
      <c r="AL877" s="2"/>
      <c r="AM877" s="2"/>
      <c r="AN877" s="2"/>
      <c r="AO877" s="9"/>
      <c r="AP877" s="9"/>
      <c r="AQ877" s="9"/>
      <c r="AR877" s="9"/>
    </row>
    <row r="878">
      <c r="A878" s="523"/>
      <c r="B878" s="523"/>
      <c r="C878" s="523"/>
      <c r="D878" s="523"/>
      <c r="E878" s="523"/>
      <c r="F878" s="523"/>
      <c r="G878" s="523"/>
      <c r="H878" s="523"/>
      <c r="I878" s="523"/>
      <c r="J878" s="523"/>
      <c r="K878" s="523"/>
      <c r="L878" s="523"/>
      <c r="M878" s="523"/>
      <c r="N878" s="523"/>
      <c r="O878" s="523"/>
      <c r="P878" s="523"/>
      <c r="Q878" s="523"/>
      <c r="R878" s="523"/>
      <c r="S878" s="523"/>
      <c r="T878" s="523"/>
      <c r="U878" s="523"/>
      <c r="V878" s="224"/>
      <c r="W878" s="224"/>
      <c r="X878" s="224"/>
      <c r="Y878" s="224"/>
      <c r="Z878" s="868"/>
      <c r="AA878" s="865"/>
      <c r="AB878" s="2"/>
      <c r="AC878" s="2"/>
      <c r="AD878" s="2"/>
      <c r="AE878" s="2"/>
      <c r="AF878" s="2"/>
      <c r="AG878" s="2"/>
      <c r="AH878" s="2"/>
      <c r="AI878" s="2"/>
      <c r="AJ878" s="2"/>
      <c r="AK878" s="2"/>
      <c r="AL878" s="2"/>
      <c r="AM878" s="2"/>
      <c r="AN878" s="2"/>
      <c r="AO878" s="9"/>
      <c r="AP878" s="9"/>
      <c r="AQ878" s="9"/>
      <c r="AR878" s="9"/>
    </row>
    <row r="879">
      <c r="A879" s="523"/>
      <c r="B879" s="523"/>
      <c r="C879" s="523"/>
      <c r="D879" s="523"/>
      <c r="E879" s="523"/>
      <c r="F879" s="523"/>
      <c r="G879" s="523"/>
      <c r="H879" s="523"/>
      <c r="I879" s="523"/>
      <c r="J879" s="523"/>
      <c r="K879" s="523"/>
      <c r="L879" s="523"/>
      <c r="M879" s="523"/>
      <c r="N879" s="523"/>
      <c r="O879" s="523"/>
      <c r="P879" s="523"/>
      <c r="Q879" s="523"/>
      <c r="R879" s="523"/>
      <c r="S879" s="523"/>
      <c r="T879" s="523"/>
      <c r="U879" s="523"/>
      <c r="V879" s="224"/>
      <c r="W879" s="224"/>
      <c r="X879" s="224"/>
      <c r="Y879" s="224"/>
      <c r="Z879" s="868"/>
      <c r="AA879" s="865"/>
      <c r="AB879" s="2"/>
      <c r="AC879" s="2"/>
      <c r="AD879" s="2"/>
      <c r="AE879" s="2"/>
      <c r="AF879" s="2"/>
      <c r="AG879" s="2"/>
      <c r="AH879" s="2"/>
      <c r="AI879" s="2"/>
      <c r="AJ879" s="2"/>
      <c r="AK879" s="2"/>
      <c r="AL879" s="2"/>
      <c r="AM879" s="2"/>
      <c r="AN879" s="2"/>
      <c r="AO879" s="9"/>
      <c r="AP879" s="9"/>
      <c r="AQ879" s="9"/>
      <c r="AR879" s="9"/>
    </row>
    <row r="880">
      <c r="A880" s="523"/>
      <c r="B880" s="523"/>
      <c r="C880" s="523"/>
      <c r="D880" s="523"/>
      <c r="E880" s="523"/>
      <c r="F880" s="523"/>
      <c r="G880" s="523"/>
      <c r="H880" s="523"/>
      <c r="I880" s="523"/>
      <c r="J880" s="523"/>
      <c r="K880" s="523"/>
      <c r="L880" s="523"/>
      <c r="M880" s="523"/>
      <c r="N880" s="523"/>
      <c r="O880" s="523"/>
      <c r="P880" s="523"/>
      <c r="Q880" s="523"/>
      <c r="R880" s="523"/>
      <c r="S880" s="523"/>
      <c r="T880" s="523"/>
      <c r="U880" s="523"/>
      <c r="V880" s="224"/>
      <c r="W880" s="224"/>
      <c r="X880" s="224"/>
      <c r="Y880" s="224"/>
      <c r="Z880" s="868"/>
      <c r="AA880" s="865"/>
      <c r="AB880" s="2"/>
      <c r="AC880" s="2"/>
      <c r="AD880" s="2"/>
      <c r="AE880" s="2"/>
      <c r="AF880" s="2"/>
      <c r="AG880" s="2"/>
      <c r="AH880" s="2"/>
      <c r="AI880" s="2"/>
      <c r="AJ880" s="2"/>
      <c r="AK880" s="2"/>
      <c r="AL880" s="2"/>
      <c r="AM880" s="2"/>
      <c r="AN880" s="2"/>
      <c r="AO880" s="9"/>
      <c r="AP880" s="9"/>
      <c r="AQ880" s="9"/>
      <c r="AR880" s="9"/>
    </row>
    <row r="881">
      <c r="A881" s="523"/>
      <c r="B881" s="523"/>
      <c r="C881" s="523"/>
      <c r="D881" s="523"/>
      <c r="E881" s="523"/>
      <c r="F881" s="523"/>
      <c r="G881" s="523"/>
      <c r="H881" s="523"/>
      <c r="I881" s="523"/>
      <c r="J881" s="523"/>
      <c r="K881" s="523"/>
      <c r="L881" s="523"/>
      <c r="M881" s="523"/>
      <c r="N881" s="523"/>
      <c r="O881" s="523"/>
      <c r="P881" s="523"/>
      <c r="Q881" s="523"/>
      <c r="R881" s="523"/>
      <c r="S881" s="523"/>
      <c r="T881" s="523"/>
      <c r="U881" s="523"/>
      <c r="V881" s="224"/>
      <c r="W881" s="224"/>
      <c r="X881" s="224"/>
      <c r="Y881" s="224"/>
      <c r="Z881" s="868"/>
      <c r="AA881" s="865"/>
      <c r="AB881" s="2"/>
      <c r="AC881" s="2"/>
      <c r="AD881" s="2"/>
      <c r="AE881" s="2"/>
      <c r="AF881" s="2"/>
      <c r="AG881" s="2"/>
      <c r="AH881" s="2"/>
      <c r="AI881" s="2"/>
      <c r="AJ881" s="2"/>
      <c r="AK881" s="2"/>
      <c r="AL881" s="2"/>
      <c r="AM881" s="2"/>
      <c r="AN881" s="2"/>
      <c r="AO881" s="9"/>
      <c r="AP881" s="9"/>
      <c r="AQ881" s="9"/>
      <c r="AR881" s="9"/>
    </row>
    <row r="882">
      <c r="A882" s="523"/>
      <c r="B882" s="523"/>
      <c r="C882" s="523"/>
      <c r="D882" s="523"/>
      <c r="E882" s="523"/>
      <c r="F882" s="523"/>
      <c r="G882" s="523"/>
      <c r="H882" s="523"/>
      <c r="I882" s="523"/>
      <c r="J882" s="523"/>
      <c r="K882" s="523"/>
      <c r="L882" s="523"/>
      <c r="M882" s="523"/>
      <c r="N882" s="523"/>
      <c r="O882" s="523"/>
      <c r="P882" s="523"/>
      <c r="Q882" s="523"/>
      <c r="R882" s="523"/>
      <c r="S882" s="523"/>
      <c r="T882" s="523"/>
      <c r="U882" s="523"/>
      <c r="V882" s="224"/>
      <c r="W882" s="224"/>
      <c r="X882" s="224"/>
      <c r="Y882" s="224"/>
      <c r="Z882" s="868"/>
      <c r="AA882" s="865"/>
      <c r="AB882" s="2"/>
      <c r="AC882" s="2"/>
      <c r="AD882" s="2"/>
      <c r="AE882" s="2"/>
      <c r="AF882" s="2"/>
      <c r="AG882" s="2"/>
      <c r="AH882" s="2"/>
      <c r="AI882" s="2"/>
      <c r="AJ882" s="2"/>
      <c r="AK882" s="2"/>
      <c r="AL882" s="2"/>
      <c r="AM882" s="2"/>
      <c r="AN882" s="2"/>
      <c r="AO882" s="9"/>
      <c r="AP882" s="9"/>
      <c r="AQ882" s="9"/>
      <c r="AR882" s="9"/>
    </row>
    <row r="883">
      <c r="A883" s="523"/>
      <c r="B883" s="523"/>
      <c r="C883" s="523"/>
      <c r="D883" s="523"/>
      <c r="E883" s="523"/>
      <c r="F883" s="523"/>
      <c r="G883" s="523"/>
      <c r="H883" s="523"/>
      <c r="I883" s="523"/>
      <c r="J883" s="523"/>
      <c r="K883" s="523"/>
      <c r="L883" s="523"/>
      <c r="M883" s="523"/>
      <c r="N883" s="523"/>
      <c r="O883" s="523"/>
      <c r="P883" s="523"/>
      <c r="Q883" s="523"/>
      <c r="R883" s="523"/>
      <c r="S883" s="523"/>
      <c r="T883" s="523"/>
      <c r="U883" s="523"/>
      <c r="V883" s="224"/>
      <c r="W883" s="224"/>
      <c r="X883" s="224"/>
      <c r="Y883" s="224"/>
      <c r="Z883" s="868"/>
      <c r="AA883" s="865"/>
      <c r="AB883" s="2"/>
      <c r="AC883" s="2"/>
      <c r="AD883" s="2"/>
      <c r="AE883" s="2"/>
      <c r="AF883" s="2"/>
      <c r="AG883" s="2"/>
      <c r="AH883" s="2"/>
      <c r="AI883" s="2"/>
      <c r="AJ883" s="2"/>
      <c r="AK883" s="2"/>
      <c r="AL883" s="2"/>
      <c r="AM883" s="2"/>
      <c r="AN883" s="2"/>
      <c r="AO883" s="9"/>
      <c r="AP883" s="9"/>
      <c r="AQ883" s="9"/>
      <c r="AR883" s="9"/>
    </row>
    <row r="884">
      <c r="A884" s="523"/>
      <c r="B884" s="523"/>
      <c r="C884" s="523"/>
      <c r="D884" s="523"/>
      <c r="E884" s="523"/>
      <c r="F884" s="523"/>
      <c r="G884" s="523"/>
      <c r="H884" s="523"/>
      <c r="I884" s="523"/>
      <c r="J884" s="523"/>
      <c r="K884" s="523"/>
      <c r="L884" s="523"/>
      <c r="M884" s="523"/>
      <c r="N884" s="523"/>
      <c r="O884" s="523"/>
      <c r="P884" s="523"/>
      <c r="Q884" s="523"/>
      <c r="R884" s="523"/>
      <c r="S884" s="523"/>
      <c r="T884" s="523"/>
      <c r="U884" s="523"/>
      <c r="V884" s="224"/>
      <c r="W884" s="224"/>
      <c r="X884" s="224"/>
      <c r="Y884" s="224"/>
      <c r="Z884" s="868"/>
      <c r="AA884" s="865"/>
      <c r="AB884" s="2"/>
      <c r="AC884" s="2"/>
      <c r="AD884" s="2"/>
      <c r="AE884" s="2"/>
      <c r="AF884" s="2"/>
      <c r="AG884" s="2"/>
      <c r="AH884" s="2"/>
      <c r="AI884" s="2"/>
      <c r="AJ884" s="2"/>
      <c r="AK884" s="2"/>
      <c r="AL884" s="2"/>
      <c r="AM884" s="2"/>
      <c r="AN884" s="2"/>
      <c r="AO884" s="9"/>
      <c r="AP884" s="9"/>
      <c r="AQ884" s="9"/>
      <c r="AR884" s="9"/>
    </row>
    <row r="885">
      <c r="A885" s="523"/>
      <c r="B885" s="523"/>
      <c r="C885" s="523"/>
      <c r="D885" s="523"/>
      <c r="E885" s="523"/>
      <c r="F885" s="523"/>
      <c r="G885" s="523"/>
      <c r="H885" s="523"/>
      <c r="I885" s="523"/>
      <c r="J885" s="523"/>
      <c r="K885" s="523"/>
      <c r="L885" s="523"/>
      <c r="M885" s="523"/>
      <c r="N885" s="523"/>
      <c r="O885" s="523"/>
      <c r="P885" s="523"/>
      <c r="Q885" s="523"/>
      <c r="R885" s="523"/>
      <c r="S885" s="523"/>
      <c r="T885" s="523"/>
      <c r="U885" s="523"/>
      <c r="V885" s="224"/>
      <c r="W885" s="224"/>
      <c r="X885" s="224"/>
      <c r="Y885" s="224"/>
      <c r="Z885" s="868"/>
      <c r="AA885" s="865"/>
      <c r="AB885" s="2"/>
      <c r="AC885" s="2"/>
      <c r="AD885" s="2"/>
      <c r="AE885" s="2"/>
      <c r="AF885" s="2"/>
      <c r="AG885" s="2"/>
      <c r="AH885" s="2"/>
      <c r="AI885" s="2"/>
      <c r="AJ885" s="2"/>
      <c r="AK885" s="2"/>
      <c r="AL885" s="2"/>
      <c r="AM885" s="2"/>
      <c r="AN885" s="2"/>
      <c r="AO885" s="9"/>
      <c r="AP885" s="9"/>
      <c r="AQ885" s="9"/>
      <c r="AR885" s="9"/>
    </row>
    <row r="886">
      <c r="A886" s="523"/>
      <c r="B886" s="523"/>
      <c r="C886" s="523"/>
      <c r="D886" s="523"/>
      <c r="E886" s="523"/>
      <c r="F886" s="523"/>
      <c r="G886" s="523"/>
      <c r="H886" s="523"/>
      <c r="I886" s="523"/>
      <c r="J886" s="523"/>
      <c r="K886" s="523"/>
      <c r="L886" s="523"/>
      <c r="M886" s="523"/>
      <c r="N886" s="523"/>
      <c r="O886" s="523"/>
      <c r="P886" s="523"/>
      <c r="Q886" s="523"/>
      <c r="R886" s="523"/>
      <c r="S886" s="523"/>
      <c r="T886" s="523"/>
      <c r="U886" s="523"/>
      <c r="V886" s="224"/>
      <c r="W886" s="224"/>
      <c r="X886" s="224"/>
      <c r="Y886" s="224"/>
      <c r="Z886" s="868"/>
      <c r="AA886" s="865"/>
      <c r="AB886" s="2"/>
      <c r="AC886" s="2"/>
      <c r="AD886" s="2"/>
      <c r="AE886" s="2"/>
      <c r="AF886" s="2"/>
      <c r="AG886" s="2"/>
      <c r="AH886" s="2"/>
      <c r="AI886" s="2"/>
      <c r="AJ886" s="2"/>
      <c r="AK886" s="2"/>
      <c r="AL886" s="2"/>
      <c r="AM886" s="2"/>
      <c r="AN886" s="2"/>
      <c r="AO886" s="9"/>
      <c r="AP886" s="9"/>
      <c r="AQ886" s="9"/>
      <c r="AR886" s="9"/>
    </row>
    <row r="887">
      <c r="A887" s="523"/>
      <c r="B887" s="523"/>
      <c r="C887" s="523"/>
      <c r="D887" s="523"/>
      <c r="E887" s="523"/>
      <c r="F887" s="523"/>
      <c r="G887" s="523"/>
      <c r="H887" s="523"/>
      <c r="I887" s="523"/>
      <c r="J887" s="523"/>
      <c r="K887" s="523"/>
      <c r="L887" s="523"/>
      <c r="M887" s="523"/>
      <c r="N887" s="523"/>
      <c r="O887" s="523"/>
      <c r="P887" s="523"/>
      <c r="Q887" s="523"/>
      <c r="R887" s="523"/>
      <c r="S887" s="523"/>
      <c r="T887" s="523"/>
      <c r="U887" s="523"/>
      <c r="V887" s="224"/>
      <c r="W887" s="224"/>
      <c r="X887" s="224"/>
      <c r="Y887" s="224"/>
      <c r="Z887" s="868"/>
      <c r="AA887" s="865"/>
      <c r="AB887" s="2"/>
      <c r="AC887" s="2"/>
      <c r="AD887" s="2"/>
      <c r="AE887" s="2"/>
      <c r="AF887" s="2"/>
      <c r="AG887" s="2"/>
      <c r="AH887" s="2"/>
      <c r="AI887" s="2"/>
      <c r="AJ887" s="2"/>
      <c r="AK887" s="2"/>
      <c r="AL887" s="2"/>
      <c r="AM887" s="2"/>
      <c r="AN887" s="2"/>
      <c r="AO887" s="9"/>
      <c r="AP887" s="9"/>
      <c r="AQ887" s="9"/>
      <c r="AR887" s="9"/>
    </row>
    <row r="888">
      <c r="A888" s="523"/>
      <c r="B888" s="523"/>
      <c r="C888" s="523"/>
      <c r="D888" s="523"/>
      <c r="E888" s="523"/>
      <c r="F888" s="523"/>
      <c r="G888" s="523"/>
      <c r="H888" s="523"/>
      <c r="I888" s="523"/>
      <c r="J888" s="523"/>
      <c r="K888" s="523"/>
      <c r="L888" s="523"/>
      <c r="M888" s="523"/>
      <c r="N888" s="523"/>
      <c r="O888" s="523"/>
      <c r="P888" s="523"/>
      <c r="Q888" s="523"/>
      <c r="R888" s="523"/>
      <c r="S888" s="523"/>
      <c r="T888" s="523"/>
      <c r="U888" s="523"/>
      <c r="V888" s="224"/>
      <c r="W888" s="224"/>
      <c r="X888" s="224"/>
      <c r="Y888" s="224"/>
      <c r="Z888" s="868"/>
      <c r="AA888" s="865"/>
      <c r="AB888" s="2"/>
      <c r="AC888" s="2"/>
      <c r="AD888" s="2"/>
      <c r="AE888" s="2"/>
      <c r="AF888" s="2"/>
      <c r="AG888" s="2"/>
      <c r="AH888" s="2"/>
      <c r="AI888" s="2"/>
      <c r="AJ888" s="2"/>
      <c r="AK888" s="2"/>
      <c r="AL888" s="2"/>
      <c r="AM888" s="2"/>
      <c r="AN888" s="2"/>
      <c r="AO888" s="9"/>
      <c r="AP888" s="9"/>
      <c r="AQ888" s="9"/>
      <c r="AR888" s="9"/>
    </row>
    <row r="889">
      <c r="A889" s="523"/>
      <c r="B889" s="523"/>
      <c r="C889" s="523"/>
      <c r="D889" s="523"/>
      <c r="E889" s="523"/>
      <c r="F889" s="523"/>
      <c r="G889" s="523"/>
      <c r="H889" s="523"/>
      <c r="I889" s="523"/>
      <c r="J889" s="523"/>
      <c r="K889" s="523"/>
      <c r="L889" s="523"/>
      <c r="M889" s="523"/>
      <c r="N889" s="523"/>
      <c r="O889" s="523"/>
      <c r="P889" s="523"/>
      <c r="Q889" s="523"/>
      <c r="R889" s="523"/>
      <c r="S889" s="523"/>
      <c r="T889" s="523"/>
      <c r="U889" s="523"/>
      <c r="V889" s="224"/>
      <c r="W889" s="224"/>
      <c r="X889" s="224"/>
      <c r="Y889" s="224"/>
      <c r="Z889" s="868"/>
      <c r="AA889" s="865"/>
      <c r="AB889" s="2"/>
      <c r="AC889" s="2"/>
      <c r="AD889" s="2"/>
      <c r="AE889" s="2"/>
      <c r="AF889" s="2"/>
      <c r="AG889" s="2"/>
      <c r="AH889" s="2"/>
      <c r="AI889" s="2"/>
      <c r="AJ889" s="2"/>
      <c r="AK889" s="2"/>
      <c r="AL889" s="2"/>
      <c r="AM889" s="2"/>
      <c r="AN889" s="2"/>
      <c r="AO889" s="9"/>
      <c r="AP889" s="9"/>
      <c r="AQ889" s="9"/>
      <c r="AR889" s="9"/>
    </row>
    <row r="890">
      <c r="A890" s="523"/>
      <c r="B890" s="523"/>
      <c r="C890" s="523"/>
      <c r="D890" s="523"/>
      <c r="E890" s="523"/>
      <c r="F890" s="523"/>
      <c r="G890" s="523"/>
      <c r="H890" s="523"/>
      <c r="I890" s="523"/>
      <c r="J890" s="523"/>
      <c r="K890" s="523"/>
      <c r="L890" s="523"/>
      <c r="M890" s="523"/>
      <c r="N890" s="523"/>
      <c r="O890" s="523"/>
      <c r="P890" s="523"/>
      <c r="Q890" s="523"/>
      <c r="R890" s="523"/>
      <c r="S890" s="523"/>
      <c r="T890" s="523"/>
      <c r="U890" s="523"/>
      <c r="V890" s="224"/>
      <c r="W890" s="224"/>
      <c r="X890" s="224"/>
      <c r="Y890" s="224"/>
      <c r="Z890" s="868"/>
      <c r="AA890" s="865"/>
      <c r="AB890" s="2"/>
      <c r="AC890" s="2"/>
      <c r="AD890" s="2"/>
      <c r="AE890" s="2"/>
      <c r="AF890" s="2"/>
      <c r="AG890" s="2"/>
      <c r="AH890" s="2"/>
      <c r="AI890" s="2"/>
      <c r="AJ890" s="2"/>
      <c r="AK890" s="2"/>
      <c r="AL890" s="2"/>
      <c r="AM890" s="2"/>
      <c r="AN890" s="2"/>
      <c r="AO890" s="9"/>
      <c r="AP890" s="9"/>
      <c r="AQ890" s="9"/>
      <c r="AR890" s="9"/>
    </row>
    <row r="891">
      <c r="A891" s="523"/>
      <c r="B891" s="523"/>
      <c r="C891" s="523"/>
      <c r="D891" s="523"/>
      <c r="E891" s="523"/>
      <c r="F891" s="523"/>
      <c r="G891" s="523"/>
      <c r="H891" s="523"/>
      <c r="I891" s="523"/>
      <c r="J891" s="523"/>
      <c r="K891" s="523"/>
      <c r="L891" s="523"/>
      <c r="M891" s="523"/>
      <c r="N891" s="523"/>
      <c r="O891" s="523"/>
      <c r="P891" s="523"/>
      <c r="Q891" s="523"/>
      <c r="R891" s="523"/>
      <c r="S891" s="523"/>
      <c r="T891" s="523"/>
      <c r="U891" s="523"/>
      <c r="V891" s="224"/>
      <c r="W891" s="224"/>
      <c r="X891" s="224"/>
      <c r="Y891" s="224"/>
      <c r="Z891" s="868"/>
      <c r="AA891" s="865"/>
      <c r="AB891" s="2"/>
      <c r="AC891" s="2"/>
      <c r="AD891" s="2"/>
      <c r="AE891" s="2"/>
      <c r="AF891" s="2"/>
      <c r="AG891" s="2"/>
      <c r="AH891" s="2"/>
      <c r="AI891" s="2"/>
      <c r="AJ891" s="2"/>
      <c r="AK891" s="2"/>
      <c r="AL891" s="2"/>
      <c r="AM891" s="2"/>
      <c r="AN891" s="2"/>
      <c r="AO891" s="9"/>
      <c r="AP891" s="9"/>
      <c r="AQ891" s="9"/>
      <c r="AR891" s="9"/>
    </row>
    <row r="892">
      <c r="A892" s="523"/>
      <c r="B892" s="523"/>
      <c r="C892" s="523"/>
      <c r="D892" s="523"/>
      <c r="E892" s="523"/>
      <c r="F892" s="523"/>
      <c r="G892" s="523"/>
      <c r="H892" s="523"/>
      <c r="I892" s="523"/>
      <c r="J892" s="523"/>
      <c r="K892" s="523"/>
      <c r="L892" s="523"/>
      <c r="M892" s="523"/>
      <c r="N892" s="523"/>
      <c r="O892" s="523"/>
      <c r="P892" s="523"/>
      <c r="Q892" s="523"/>
      <c r="R892" s="523"/>
      <c r="S892" s="523"/>
      <c r="T892" s="523"/>
      <c r="U892" s="523"/>
      <c r="V892" s="224"/>
      <c r="W892" s="224"/>
      <c r="X892" s="224"/>
      <c r="Y892" s="224"/>
      <c r="Z892" s="868"/>
      <c r="AA892" s="865"/>
      <c r="AB892" s="2"/>
      <c r="AC892" s="2"/>
      <c r="AD892" s="2"/>
      <c r="AE892" s="2"/>
      <c r="AF892" s="2"/>
      <c r="AG892" s="2"/>
      <c r="AH892" s="2"/>
      <c r="AI892" s="2"/>
      <c r="AJ892" s="2"/>
      <c r="AK892" s="2"/>
      <c r="AL892" s="2"/>
      <c r="AM892" s="2"/>
      <c r="AN892" s="2"/>
      <c r="AO892" s="9"/>
      <c r="AP892" s="9"/>
      <c r="AQ892" s="9"/>
      <c r="AR892" s="9"/>
    </row>
    <row r="893">
      <c r="A893" s="523"/>
      <c r="B893" s="523"/>
      <c r="C893" s="523"/>
      <c r="D893" s="523"/>
      <c r="E893" s="523"/>
      <c r="F893" s="523"/>
      <c r="G893" s="523"/>
      <c r="H893" s="523"/>
      <c r="I893" s="523"/>
      <c r="J893" s="523"/>
      <c r="K893" s="523"/>
      <c r="L893" s="523"/>
      <c r="M893" s="523"/>
      <c r="N893" s="523"/>
      <c r="O893" s="523"/>
      <c r="P893" s="523"/>
      <c r="Q893" s="523"/>
      <c r="R893" s="523"/>
      <c r="S893" s="523"/>
      <c r="T893" s="523"/>
      <c r="U893" s="523"/>
      <c r="V893" s="224"/>
      <c r="W893" s="224"/>
      <c r="X893" s="224"/>
      <c r="Y893" s="224"/>
      <c r="Z893" s="868"/>
      <c r="AA893" s="865"/>
      <c r="AB893" s="2"/>
      <c r="AC893" s="2"/>
      <c r="AD893" s="2"/>
      <c r="AE893" s="2"/>
      <c r="AF893" s="2"/>
      <c r="AG893" s="2"/>
      <c r="AH893" s="2"/>
      <c r="AI893" s="2"/>
      <c r="AJ893" s="2"/>
      <c r="AK893" s="2"/>
      <c r="AL893" s="2"/>
      <c r="AM893" s="2"/>
      <c r="AN893" s="2"/>
      <c r="AO893" s="9"/>
      <c r="AP893" s="9"/>
      <c r="AQ893" s="9"/>
      <c r="AR893" s="9"/>
    </row>
    <row r="894">
      <c r="A894" s="523"/>
      <c r="B894" s="523"/>
      <c r="C894" s="523"/>
      <c r="D894" s="523"/>
      <c r="E894" s="523"/>
      <c r="F894" s="523"/>
      <c r="G894" s="523"/>
      <c r="H894" s="523"/>
      <c r="I894" s="523"/>
      <c r="J894" s="523"/>
      <c r="K894" s="523"/>
      <c r="L894" s="523"/>
      <c r="M894" s="523"/>
      <c r="N894" s="523"/>
      <c r="O894" s="523"/>
      <c r="P894" s="523"/>
      <c r="Q894" s="523"/>
      <c r="R894" s="523"/>
      <c r="S894" s="523"/>
      <c r="T894" s="523"/>
      <c r="U894" s="523"/>
      <c r="V894" s="224"/>
      <c r="W894" s="224"/>
      <c r="X894" s="224"/>
      <c r="Y894" s="224"/>
      <c r="Z894" s="868"/>
      <c r="AA894" s="865"/>
      <c r="AB894" s="2"/>
      <c r="AC894" s="2"/>
      <c r="AD894" s="2"/>
      <c r="AE894" s="2"/>
      <c r="AF894" s="2"/>
      <c r="AG894" s="2"/>
      <c r="AH894" s="2"/>
      <c r="AI894" s="2"/>
      <c r="AJ894" s="2"/>
      <c r="AK894" s="2"/>
      <c r="AL894" s="2"/>
      <c r="AM894" s="2"/>
      <c r="AN894" s="2"/>
      <c r="AO894" s="9"/>
      <c r="AP894" s="9"/>
      <c r="AQ894" s="9"/>
      <c r="AR894" s="9"/>
    </row>
    <row r="895">
      <c r="A895" s="523"/>
      <c r="B895" s="523"/>
      <c r="C895" s="523"/>
      <c r="D895" s="523"/>
      <c r="E895" s="523"/>
      <c r="F895" s="523"/>
      <c r="G895" s="523"/>
      <c r="H895" s="523"/>
      <c r="I895" s="523"/>
      <c r="J895" s="523"/>
      <c r="K895" s="523"/>
      <c r="L895" s="523"/>
      <c r="M895" s="523"/>
      <c r="N895" s="523"/>
      <c r="O895" s="523"/>
      <c r="P895" s="523"/>
      <c r="Q895" s="523"/>
      <c r="R895" s="523"/>
      <c r="S895" s="523"/>
      <c r="T895" s="523"/>
      <c r="U895" s="523"/>
      <c r="V895" s="224"/>
      <c r="W895" s="224"/>
      <c r="X895" s="224"/>
      <c r="Y895" s="224"/>
      <c r="Z895" s="868"/>
      <c r="AA895" s="865"/>
      <c r="AB895" s="2"/>
      <c r="AC895" s="2"/>
      <c r="AD895" s="2"/>
      <c r="AE895" s="2"/>
      <c r="AF895" s="2"/>
      <c r="AG895" s="2"/>
      <c r="AH895" s="2"/>
      <c r="AI895" s="2"/>
      <c r="AJ895" s="2"/>
      <c r="AK895" s="2"/>
      <c r="AL895" s="2"/>
      <c r="AM895" s="2"/>
      <c r="AN895" s="2"/>
      <c r="AO895" s="9"/>
      <c r="AP895" s="9"/>
      <c r="AQ895" s="9"/>
      <c r="AR895" s="9"/>
    </row>
    <row r="896">
      <c r="A896" s="523"/>
      <c r="B896" s="523"/>
      <c r="C896" s="523"/>
      <c r="D896" s="523"/>
      <c r="E896" s="523"/>
      <c r="F896" s="523"/>
      <c r="G896" s="523"/>
      <c r="H896" s="523"/>
      <c r="I896" s="523"/>
      <c r="J896" s="523"/>
      <c r="K896" s="523"/>
      <c r="L896" s="523"/>
      <c r="M896" s="523"/>
      <c r="N896" s="523"/>
      <c r="O896" s="523"/>
      <c r="P896" s="523"/>
      <c r="Q896" s="523"/>
      <c r="R896" s="523"/>
      <c r="S896" s="523"/>
      <c r="T896" s="523"/>
      <c r="U896" s="523"/>
      <c r="V896" s="224"/>
      <c r="W896" s="224"/>
      <c r="X896" s="224"/>
      <c r="Y896" s="224"/>
      <c r="Z896" s="868"/>
      <c r="AA896" s="865"/>
      <c r="AB896" s="2"/>
      <c r="AC896" s="2"/>
      <c r="AD896" s="2"/>
      <c r="AE896" s="2"/>
      <c r="AF896" s="2"/>
      <c r="AG896" s="2"/>
      <c r="AH896" s="2"/>
      <c r="AI896" s="2"/>
      <c r="AJ896" s="2"/>
      <c r="AK896" s="2"/>
      <c r="AL896" s="2"/>
      <c r="AM896" s="2"/>
      <c r="AN896" s="2"/>
      <c r="AO896" s="9"/>
      <c r="AP896" s="9"/>
      <c r="AQ896" s="9"/>
      <c r="AR896" s="9"/>
    </row>
    <row r="897">
      <c r="A897" s="523"/>
      <c r="B897" s="523"/>
      <c r="C897" s="523"/>
      <c r="D897" s="523"/>
      <c r="E897" s="523"/>
      <c r="F897" s="523"/>
      <c r="G897" s="523"/>
      <c r="H897" s="523"/>
      <c r="I897" s="523"/>
      <c r="J897" s="523"/>
      <c r="K897" s="523"/>
      <c r="L897" s="523"/>
      <c r="M897" s="523"/>
      <c r="N897" s="523"/>
      <c r="O897" s="523"/>
      <c r="P897" s="523"/>
      <c r="Q897" s="523"/>
      <c r="R897" s="523"/>
      <c r="S897" s="523"/>
      <c r="T897" s="523"/>
      <c r="U897" s="523"/>
      <c r="V897" s="224"/>
      <c r="W897" s="224"/>
      <c r="X897" s="224"/>
      <c r="Y897" s="224"/>
      <c r="Z897" s="868"/>
      <c r="AA897" s="865"/>
      <c r="AB897" s="2"/>
      <c r="AC897" s="2"/>
      <c r="AD897" s="2"/>
      <c r="AE897" s="2"/>
      <c r="AF897" s="2"/>
      <c r="AG897" s="2"/>
      <c r="AH897" s="2"/>
      <c r="AI897" s="2"/>
      <c r="AJ897" s="2"/>
      <c r="AK897" s="2"/>
      <c r="AL897" s="2"/>
      <c r="AM897" s="2"/>
      <c r="AN897" s="2"/>
      <c r="AO897" s="9"/>
      <c r="AP897" s="9"/>
      <c r="AQ897" s="9"/>
      <c r="AR897" s="9"/>
    </row>
    <row r="898">
      <c r="A898" s="523"/>
      <c r="B898" s="523"/>
      <c r="C898" s="523"/>
      <c r="D898" s="523"/>
      <c r="E898" s="523"/>
      <c r="F898" s="523"/>
      <c r="G898" s="523"/>
      <c r="H898" s="523"/>
      <c r="I898" s="523"/>
      <c r="J898" s="523"/>
      <c r="K898" s="523"/>
      <c r="L898" s="523"/>
      <c r="M898" s="523"/>
      <c r="N898" s="523"/>
      <c r="O898" s="523"/>
      <c r="P898" s="523"/>
      <c r="Q898" s="523"/>
      <c r="R898" s="523"/>
      <c r="S898" s="523"/>
      <c r="T898" s="523"/>
      <c r="U898" s="523"/>
      <c r="V898" s="224"/>
      <c r="W898" s="224"/>
      <c r="X898" s="224"/>
      <c r="Y898" s="224"/>
      <c r="Z898" s="868"/>
      <c r="AA898" s="865"/>
      <c r="AB898" s="2"/>
      <c r="AC898" s="2"/>
      <c r="AD898" s="2"/>
      <c r="AE898" s="2"/>
      <c r="AF898" s="2"/>
      <c r="AG898" s="2"/>
      <c r="AH898" s="2"/>
      <c r="AI898" s="2"/>
      <c r="AJ898" s="2"/>
      <c r="AK898" s="2"/>
      <c r="AL898" s="2"/>
      <c r="AM898" s="2"/>
      <c r="AN898" s="2"/>
      <c r="AO898" s="9"/>
      <c r="AP898" s="9"/>
      <c r="AQ898" s="9"/>
      <c r="AR898" s="9"/>
    </row>
    <row r="899">
      <c r="A899" s="523"/>
      <c r="B899" s="523"/>
      <c r="C899" s="523"/>
      <c r="D899" s="523"/>
      <c r="E899" s="523"/>
      <c r="F899" s="523"/>
      <c r="G899" s="523"/>
      <c r="H899" s="523"/>
      <c r="I899" s="523"/>
      <c r="J899" s="523"/>
      <c r="K899" s="523"/>
      <c r="L899" s="523"/>
      <c r="M899" s="523"/>
      <c r="N899" s="523"/>
      <c r="O899" s="523"/>
      <c r="P899" s="523"/>
      <c r="Q899" s="523"/>
      <c r="R899" s="523"/>
      <c r="S899" s="523"/>
      <c r="T899" s="523"/>
      <c r="U899" s="523"/>
      <c r="V899" s="224"/>
      <c r="W899" s="224"/>
      <c r="X899" s="224"/>
      <c r="Y899" s="224"/>
      <c r="Z899" s="868"/>
      <c r="AA899" s="865"/>
      <c r="AB899" s="2"/>
      <c r="AC899" s="2"/>
      <c r="AD899" s="2"/>
      <c r="AE899" s="2"/>
      <c r="AF899" s="2"/>
      <c r="AG899" s="2"/>
      <c r="AH899" s="2"/>
      <c r="AI899" s="2"/>
      <c r="AJ899" s="2"/>
      <c r="AK899" s="2"/>
      <c r="AL899" s="2"/>
      <c r="AM899" s="2"/>
      <c r="AN899" s="2"/>
      <c r="AO899" s="9"/>
      <c r="AP899" s="9"/>
      <c r="AQ899" s="9"/>
      <c r="AR899" s="9"/>
    </row>
    <row r="900">
      <c r="A900" s="523"/>
      <c r="B900" s="523"/>
      <c r="C900" s="523"/>
      <c r="D900" s="523"/>
      <c r="E900" s="523"/>
      <c r="F900" s="523"/>
      <c r="G900" s="523"/>
      <c r="H900" s="523"/>
      <c r="I900" s="523"/>
      <c r="J900" s="523"/>
      <c r="K900" s="523"/>
      <c r="L900" s="523"/>
      <c r="M900" s="523"/>
      <c r="N900" s="523"/>
      <c r="O900" s="523"/>
      <c r="P900" s="523"/>
      <c r="Q900" s="523"/>
      <c r="R900" s="523"/>
      <c r="S900" s="523"/>
      <c r="T900" s="523"/>
      <c r="U900" s="523"/>
      <c r="V900" s="224"/>
      <c r="W900" s="224"/>
      <c r="X900" s="224"/>
      <c r="Y900" s="224"/>
      <c r="Z900" s="868"/>
      <c r="AA900" s="865"/>
      <c r="AB900" s="2"/>
      <c r="AC900" s="2"/>
      <c r="AD900" s="2"/>
      <c r="AE900" s="2"/>
      <c r="AF900" s="2"/>
      <c r="AG900" s="2"/>
      <c r="AH900" s="2"/>
      <c r="AI900" s="2"/>
      <c r="AJ900" s="2"/>
      <c r="AK900" s="2"/>
      <c r="AL900" s="2"/>
      <c r="AM900" s="2"/>
      <c r="AN900" s="2"/>
      <c r="AO900" s="9"/>
      <c r="AP900" s="9"/>
      <c r="AQ900" s="9"/>
      <c r="AR900" s="9"/>
    </row>
    <row r="901">
      <c r="A901" s="523"/>
      <c r="B901" s="523"/>
      <c r="C901" s="523"/>
      <c r="D901" s="523"/>
      <c r="E901" s="523"/>
      <c r="F901" s="523"/>
      <c r="G901" s="523"/>
      <c r="H901" s="523"/>
      <c r="I901" s="523"/>
      <c r="J901" s="523"/>
      <c r="K901" s="523"/>
      <c r="L901" s="523"/>
      <c r="M901" s="523"/>
      <c r="N901" s="523"/>
      <c r="O901" s="523"/>
      <c r="P901" s="523"/>
      <c r="Q901" s="523"/>
      <c r="R901" s="523"/>
      <c r="S901" s="523"/>
      <c r="T901" s="523"/>
      <c r="U901" s="523"/>
      <c r="V901" s="224"/>
      <c r="W901" s="224"/>
      <c r="X901" s="224"/>
      <c r="Y901" s="224"/>
      <c r="Z901" s="868"/>
      <c r="AA901" s="865"/>
      <c r="AB901" s="2"/>
      <c r="AC901" s="2"/>
      <c r="AD901" s="2"/>
      <c r="AE901" s="2"/>
      <c r="AF901" s="2"/>
      <c r="AG901" s="2"/>
      <c r="AH901" s="2"/>
      <c r="AI901" s="2"/>
      <c r="AJ901" s="2"/>
      <c r="AK901" s="2"/>
      <c r="AL901" s="2"/>
      <c r="AM901" s="2"/>
      <c r="AN901" s="2"/>
      <c r="AO901" s="9"/>
      <c r="AP901" s="9"/>
      <c r="AQ901" s="9"/>
      <c r="AR901" s="9"/>
    </row>
    <row r="902">
      <c r="A902" s="523"/>
      <c r="B902" s="523"/>
      <c r="C902" s="523"/>
      <c r="D902" s="523"/>
      <c r="E902" s="523"/>
      <c r="F902" s="523"/>
      <c r="G902" s="523"/>
      <c r="H902" s="523"/>
      <c r="I902" s="523"/>
      <c r="J902" s="523"/>
      <c r="K902" s="523"/>
      <c r="L902" s="523"/>
      <c r="M902" s="523"/>
      <c r="N902" s="523"/>
      <c r="O902" s="523"/>
      <c r="P902" s="523"/>
      <c r="Q902" s="523"/>
      <c r="R902" s="523"/>
      <c r="S902" s="523"/>
      <c r="T902" s="523"/>
      <c r="U902" s="523"/>
      <c r="V902" s="224"/>
      <c r="W902" s="224"/>
      <c r="X902" s="224"/>
      <c r="Y902" s="224"/>
      <c r="Z902" s="868"/>
      <c r="AA902" s="865"/>
      <c r="AB902" s="2"/>
      <c r="AC902" s="2"/>
      <c r="AD902" s="2"/>
      <c r="AE902" s="2"/>
      <c r="AF902" s="2"/>
      <c r="AG902" s="2"/>
      <c r="AH902" s="2"/>
      <c r="AI902" s="2"/>
      <c r="AJ902" s="2"/>
      <c r="AK902" s="2"/>
      <c r="AL902" s="2"/>
      <c r="AM902" s="2"/>
      <c r="AN902" s="2"/>
      <c r="AO902" s="9"/>
      <c r="AP902" s="9"/>
      <c r="AQ902" s="9"/>
      <c r="AR902" s="9"/>
    </row>
    <row r="903">
      <c r="A903" s="523"/>
      <c r="B903" s="523"/>
      <c r="C903" s="523"/>
      <c r="D903" s="523"/>
      <c r="E903" s="523"/>
      <c r="F903" s="523"/>
      <c r="G903" s="523"/>
      <c r="H903" s="523"/>
      <c r="I903" s="523"/>
      <c r="J903" s="523"/>
      <c r="K903" s="523"/>
      <c r="L903" s="523"/>
      <c r="M903" s="523"/>
      <c r="N903" s="523"/>
      <c r="O903" s="523"/>
      <c r="P903" s="523"/>
      <c r="Q903" s="523"/>
      <c r="R903" s="523"/>
      <c r="S903" s="523"/>
      <c r="T903" s="523"/>
      <c r="U903" s="523"/>
      <c r="V903" s="224"/>
      <c r="W903" s="224"/>
      <c r="X903" s="224"/>
      <c r="Y903" s="224"/>
      <c r="Z903" s="868"/>
      <c r="AA903" s="865"/>
      <c r="AB903" s="2"/>
      <c r="AC903" s="2"/>
      <c r="AD903" s="2"/>
      <c r="AE903" s="2"/>
      <c r="AF903" s="2"/>
      <c r="AG903" s="2"/>
      <c r="AH903" s="2"/>
      <c r="AI903" s="2"/>
      <c r="AJ903" s="2"/>
      <c r="AK903" s="2"/>
      <c r="AL903" s="2"/>
      <c r="AM903" s="2"/>
      <c r="AN903" s="2"/>
      <c r="AO903" s="9"/>
      <c r="AP903" s="9"/>
      <c r="AQ903" s="9"/>
      <c r="AR903" s="9"/>
    </row>
    <row r="904">
      <c r="A904" s="523"/>
      <c r="B904" s="523"/>
      <c r="C904" s="523"/>
      <c r="D904" s="523"/>
      <c r="E904" s="523"/>
      <c r="F904" s="523"/>
      <c r="G904" s="523"/>
      <c r="H904" s="523"/>
      <c r="I904" s="523"/>
      <c r="J904" s="523"/>
      <c r="K904" s="523"/>
      <c r="L904" s="523"/>
      <c r="M904" s="523"/>
      <c r="N904" s="523"/>
      <c r="O904" s="523"/>
      <c r="P904" s="523"/>
      <c r="Q904" s="523"/>
      <c r="R904" s="523"/>
      <c r="S904" s="523"/>
      <c r="T904" s="523"/>
      <c r="U904" s="523"/>
      <c r="V904" s="224"/>
      <c r="W904" s="224"/>
      <c r="X904" s="224"/>
      <c r="Y904" s="224"/>
      <c r="Z904" s="868"/>
      <c r="AA904" s="865"/>
      <c r="AB904" s="2"/>
      <c r="AC904" s="2"/>
      <c r="AD904" s="2"/>
      <c r="AE904" s="2"/>
      <c r="AF904" s="2"/>
      <c r="AG904" s="2"/>
      <c r="AH904" s="2"/>
      <c r="AI904" s="2"/>
      <c r="AJ904" s="2"/>
      <c r="AK904" s="2"/>
      <c r="AL904" s="2"/>
      <c r="AM904" s="2"/>
      <c r="AN904" s="2"/>
      <c r="AO904" s="9"/>
      <c r="AP904" s="9"/>
      <c r="AQ904" s="9"/>
      <c r="AR904" s="9"/>
    </row>
    <row r="905">
      <c r="A905" s="523"/>
      <c r="B905" s="523"/>
      <c r="C905" s="523"/>
      <c r="D905" s="523"/>
      <c r="E905" s="523"/>
      <c r="F905" s="523"/>
      <c r="G905" s="523"/>
      <c r="H905" s="523"/>
      <c r="I905" s="523"/>
      <c r="J905" s="523"/>
      <c r="K905" s="523"/>
      <c r="L905" s="523"/>
      <c r="M905" s="523"/>
      <c r="N905" s="523"/>
      <c r="O905" s="523"/>
      <c r="P905" s="523"/>
      <c r="Q905" s="523"/>
      <c r="R905" s="523"/>
      <c r="S905" s="523"/>
      <c r="T905" s="523"/>
      <c r="U905" s="523"/>
      <c r="V905" s="224"/>
      <c r="W905" s="224"/>
      <c r="X905" s="224"/>
      <c r="Y905" s="224"/>
      <c r="Z905" s="868"/>
      <c r="AA905" s="865"/>
      <c r="AB905" s="2"/>
      <c r="AC905" s="2"/>
      <c r="AD905" s="2"/>
      <c r="AE905" s="2"/>
      <c r="AF905" s="2"/>
      <c r="AG905" s="2"/>
      <c r="AH905" s="2"/>
      <c r="AI905" s="2"/>
      <c r="AJ905" s="2"/>
      <c r="AK905" s="2"/>
      <c r="AL905" s="2"/>
      <c r="AM905" s="2"/>
      <c r="AN905" s="2"/>
      <c r="AO905" s="9"/>
      <c r="AP905" s="9"/>
      <c r="AQ905" s="9"/>
      <c r="AR905" s="9"/>
    </row>
    <row r="906">
      <c r="A906" s="523"/>
      <c r="B906" s="523"/>
      <c r="C906" s="523"/>
      <c r="D906" s="523"/>
      <c r="E906" s="523"/>
      <c r="F906" s="523"/>
      <c r="G906" s="523"/>
      <c r="H906" s="523"/>
      <c r="I906" s="523"/>
      <c r="J906" s="523"/>
      <c r="K906" s="523"/>
      <c r="L906" s="523"/>
      <c r="M906" s="523"/>
      <c r="N906" s="523"/>
      <c r="O906" s="523"/>
      <c r="P906" s="523"/>
      <c r="Q906" s="523"/>
      <c r="R906" s="523"/>
      <c r="S906" s="523"/>
      <c r="T906" s="523"/>
      <c r="U906" s="523"/>
      <c r="V906" s="224"/>
      <c r="W906" s="224"/>
      <c r="X906" s="224"/>
      <c r="Y906" s="224"/>
      <c r="Z906" s="868"/>
      <c r="AA906" s="865"/>
      <c r="AB906" s="2"/>
      <c r="AC906" s="2"/>
      <c r="AD906" s="2"/>
      <c r="AE906" s="2"/>
      <c r="AF906" s="2"/>
      <c r="AG906" s="2"/>
      <c r="AH906" s="2"/>
      <c r="AI906" s="2"/>
      <c r="AJ906" s="2"/>
      <c r="AK906" s="2"/>
      <c r="AL906" s="2"/>
      <c r="AM906" s="2"/>
      <c r="AN906" s="2"/>
      <c r="AO906" s="9"/>
      <c r="AP906" s="9"/>
      <c r="AQ906" s="9"/>
      <c r="AR906" s="9"/>
    </row>
    <row r="907">
      <c r="A907" s="523"/>
      <c r="B907" s="523"/>
      <c r="C907" s="523"/>
      <c r="D907" s="523"/>
      <c r="E907" s="523"/>
      <c r="F907" s="523"/>
      <c r="G907" s="523"/>
      <c r="H907" s="523"/>
      <c r="I907" s="523"/>
      <c r="J907" s="523"/>
      <c r="K907" s="523"/>
      <c r="L907" s="523"/>
      <c r="M907" s="523"/>
      <c r="N907" s="523"/>
      <c r="O907" s="523"/>
      <c r="P907" s="523"/>
      <c r="Q907" s="523"/>
      <c r="R907" s="523"/>
      <c r="S907" s="523"/>
      <c r="T907" s="523"/>
      <c r="U907" s="523"/>
      <c r="V907" s="224"/>
      <c r="W907" s="224"/>
      <c r="X907" s="224"/>
      <c r="Y907" s="224"/>
      <c r="Z907" s="868"/>
      <c r="AA907" s="865"/>
      <c r="AB907" s="2"/>
      <c r="AC907" s="2"/>
      <c r="AD907" s="2"/>
      <c r="AE907" s="2"/>
      <c r="AF907" s="2"/>
      <c r="AG907" s="2"/>
      <c r="AH907" s="2"/>
      <c r="AI907" s="2"/>
      <c r="AJ907" s="2"/>
      <c r="AK907" s="2"/>
      <c r="AL907" s="2"/>
      <c r="AM907" s="2"/>
      <c r="AN907" s="2"/>
      <c r="AO907" s="9"/>
      <c r="AP907" s="9"/>
      <c r="AQ907" s="9"/>
      <c r="AR907" s="9"/>
    </row>
    <row r="908">
      <c r="A908" s="523"/>
      <c r="B908" s="523"/>
      <c r="C908" s="523"/>
      <c r="D908" s="523"/>
      <c r="E908" s="523"/>
      <c r="F908" s="523"/>
      <c r="G908" s="523"/>
      <c r="H908" s="523"/>
      <c r="I908" s="523"/>
      <c r="J908" s="523"/>
      <c r="K908" s="523"/>
      <c r="L908" s="523"/>
      <c r="M908" s="523"/>
      <c r="N908" s="523"/>
      <c r="O908" s="523"/>
      <c r="P908" s="523"/>
      <c r="Q908" s="523"/>
      <c r="R908" s="523"/>
      <c r="S908" s="523"/>
      <c r="T908" s="523"/>
      <c r="U908" s="523"/>
      <c r="V908" s="224"/>
      <c r="W908" s="224"/>
      <c r="X908" s="224"/>
      <c r="Y908" s="224"/>
      <c r="Z908" s="868"/>
      <c r="AA908" s="865"/>
      <c r="AB908" s="2"/>
      <c r="AC908" s="2"/>
      <c r="AD908" s="2"/>
      <c r="AE908" s="2"/>
      <c r="AF908" s="2"/>
      <c r="AG908" s="2"/>
      <c r="AH908" s="2"/>
      <c r="AI908" s="2"/>
      <c r="AJ908" s="2"/>
      <c r="AK908" s="2"/>
      <c r="AL908" s="2"/>
      <c r="AM908" s="2"/>
      <c r="AN908" s="2"/>
      <c r="AO908" s="9"/>
      <c r="AP908" s="9"/>
      <c r="AQ908" s="9"/>
      <c r="AR908" s="9"/>
    </row>
    <row r="909">
      <c r="A909" s="523"/>
      <c r="B909" s="523"/>
      <c r="C909" s="523"/>
      <c r="D909" s="523"/>
      <c r="E909" s="523"/>
      <c r="F909" s="523"/>
      <c r="G909" s="523"/>
      <c r="H909" s="523"/>
      <c r="I909" s="523"/>
      <c r="J909" s="523"/>
      <c r="K909" s="523"/>
      <c r="L909" s="523"/>
      <c r="M909" s="523"/>
      <c r="N909" s="523"/>
      <c r="O909" s="523"/>
      <c r="P909" s="523"/>
      <c r="Q909" s="523"/>
      <c r="R909" s="523"/>
      <c r="S909" s="523"/>
      <c r="T909" s="523"/>
      <c r="U909" s="523"/>
      <c r="V909" s="224"/>
      <c r="W909" s="224"/>
      <c r="X909" s="224"/>
      <c r="Y909" s="224"/>
      <c r="Z909" s="868"/>
      <c r="AA909" s="865"/>
      <c r="AB909" s="2"/>
      <c r="AC909" s="2"/>
      <c r="AD909" s="2"/>
      <c r="AE909" s="2"/>
      <c r="AF909" s="2"/>
      <c r="AG909" s="2"/>
      <c r="AH909" s="2"/>
      <c r="AI909" s="2"/>
      <c r="AJ909" s="2"/>
      <c r="AK909" s="2"/>
      <c r="AL909" s="2"/>
      <c r="AM909" s="2"/>
      <c r="AN909" s="2"/>
      <c r="AO909" s="9"/>
      <c r="AP909" s="9"/>
      <c r="AQ909" s="9"/>
      <c r="AR909" s="9"/>
    </row>
    <row r="910">
      <c r="A910" s="523"/>
      <c r="B910" s="523"/>
      <c r="C910" s="523"/>
      <c r="D910" s="523"/>
      <c r="E910" s="523"/>
      <c r="F910" s="523"/>
      <c r="G910" s="523"/>
      <c r="H910" s="523"/>
      <c r="I910" s="523"/>
      <c r="J910" s="523"/>
      <c r="K910" s="523"/>
      <c r="L910" s="523"/>
      <c r="M910" s="523"/>
      <c r="N910" s="523"/>
      <c r="O910" s="523"/>
      <c r="P910" s="523"/>
      <c r="Q910" s="523"/>
      <c r="R910" s="523"/>
      <c r="S910" s="523"/>
      <c r="T910" s="523"/>
      <c r="U910" s="523"/>
      <c r="V910" s="224"/>
      <c r="W910" s="224"/>
      <c r="X910" s="224"/>
      <c r="Y910" s="224"/>
      <c r="Z910" s="868"/>
      <c r="AA910" s="865"/>
      <c r="AB910" s="2"/>
      <c r="AC910" s="2"/>
      <c r="AD910" s="2"/>
      <c r="AE910" s="2"/>
      <c r="AF910" s="2"/>
      <c r="AG910" s="2"/>
      <c r="AH910" s="2"/>
      <c r="AI910" s="2"/>
      <c r="AJ910" s="2"/>
      <c r="AK910" s="2"/>
      <c r="AL910" s="2"/>
      <c r="AM910" s="2"/>
      <c r="AN910" s="2"/>
      <c r="AO910" s="9"/>
      <c r="AP910" s="9"/>
      <c r="AQ910" s="9"/>
      <c r="AR910" s="9"/>
    </row>
    <row r="911">
      <c r="A911" s="523"/>
      <c r="B911" s="523"/>
      <c r="C911" s="523"/>
      <c r="D911" s="523"/>
      <c r="E911" s="523"/>
      <c r="F911" s="523"/>
      <c r="G911" s="523"/>
      <c r="H911" s="523"/>
      <c r="I911" s="523"/>
      <c r="J911" s="523"/>
      <c r="K911" s="523"/>
      <c r="L911" s="523"/>
      <c r="M911" s="523"/>
      <c r="N911" s="523"/>
      <c r="O911" s="523"/>
      <c r="P911" s="523"/>
      <c r="Q911" s="523"/>
      <c r="R911" s="523"/>
      <c r="S911" s="523"/>
      <c r="T911" s="523"/>
      <c r="U911" s="523"/>
      <c r="V911" s="224"/>
      <c r="W911" s="224"/>
      <c r="X911" s="224"/>
      <c r="Y911" s="224"/>
      <c r="Z911" s="868"/>
      <c r="AA911" s="865"/>
      <c r="AB911" s="2"/>
      <c r="AC911" s="2"/>
      <c r="AD911" s="2"/>
      <c r="AE911" s="2"/>
      <c r="AF911" s="2"/>
      <c r="AG911" s="2"/>
      <c r="AH911" s="2"/>
      <c r="AI911" s="2"/>
      <c r="AJ911" s="2"/>
      <c r="AK911" s="2"/>
      <c r="AL911" s="2"/>
      <c r="AM911" s="2"/>
      <c r="AN911" s="2"/>
      <c r="AO911" s="9"/>
      <c r="AP911" s="9"/>
      <c r="AQ911" s="9"/>
      <c r="AR911" s="9"/>
    </row>
    <row r="912">
      <c r="A912" s="523"/>
      <c r="B912" s="523"/>
      <c r="C912" s="523"/>
      <c r="D912" s="523"/>
      <c r="E912" s="523"/>
      <c r="F912" s="523"/>
      <c r="G912" s="523"/>
      <c r="H912" s="523"/>
      <c r="I912" s="523"/>
      <c r="J912" s="523"/>
      <c r="K912" s="523"/>
      <c r="L912" s="523"/>
      <c r="M912" s="523"/>
      <c r="N912" s="523"/>
      <c r="O912" s="523"/>
      <c r="P912" s="523"/>
      <c r="Q912" s="523"/>
      <c r="R912" s="523"/>
      <c r="S912" s="523"/>
      <c r="T912" s="523"/>
      <c r="U912" s="523"/>
      <c r="V912" s="224"/>
      <c r="W912" s="224"/>
      <c r="X912" s="224"/>
      <c r="Y912" s="224"/>
      <c r="Z912" s="868"/>
      <c r="AA912" s="865"/>
      <c r="AB912" s="2"/>
      <c r="AC912" s="2"/>
      <c r="AD912" s="2"/>
      <c r="AE912" s="2"/>
      <c r="AF912" s="2"/>
      <c r="AG912" s="2"/>
      <c r="AH912" s="2"/>
      <c r="AI912" s="2"/>
      <c r="AJ912" s="2"/>
      <c r="AK912" s="2"/>
      <c r="AL912" s="2"/>
      <c r="AM912" s="2"/>
      <c r="AN912" s="2"/>
      <c r="AO912" s="9"/>
      <c r="AP912" s="9"/>
      <c r="AQ912" s="9"/>
      <c r="AR912" s="9"/>
    </row>
    <row r="913">
      <c r="A913" s="523"/>
      <c r="B913" s="523"/>
      <c r="C913" s="523"/>
      <c r="D913" s="523"/>
      <c r="E913" s="523"/>
      <c r="F913" s="523"/>
      <c r="G913" s="523"/>
      <c r="H913" s="523"/>
      <c r="I913" s="523"/>
      <c r="J913" s="523"/>
      <c r="K913" s="523"/>
      <c r="L913" s="523"/>
      <c r="M913" s="523"/>
      <c r="N913" s="523"/>
      <c r="O913" s="523"/>
      <c r="P913" s="523"/>
      <c r="Q913" s="523"/>
      <c r="R913" s="523"/>
      <c r="S913" s="523"/>
      <c r="T913" s="523"/>
      <c r="U913" s="523"/>
      <c r="V913" s="224"/>
      <c r="W913" s="224"/>
      <c r="X913" s="224"/>
      <c r="Y913" s="224"/>
      <c r="Z913" s="868"/>
      <c r="AA913" s="865"/>
      <c r="AB913" s="2"/>
      <c r="AC913" s="2"/>
      <c r="AD913" s="2"/>
      <c r="AE913" s="2"/>
      <c r="AF913" s="2"/>
      <c r="AG913" s="2"/>
      <c r="AH913" s="2"/>
      <c r="AI913" s="2"/>
      <c r="AJ913" s="2"/>
      <c r="AK913" s="2"/>
      <c r="AL913" s="2"/>
      <c r="AM913" s="2"/>
      <c r="AN913" s="2"/>
      <c r="AO913" s="9"/>
      <c r="AP913" s="9"/>
      <c r="AQ913" s="9"/>
      <c r="AR913" s="9"/>
    </row>
    <row r="914">
      <c r="A914" s="523"/>
      <c r="B914" s="523"/>
      <c r="C914" s="523"/>
      <c r="D914" s="523"/>
      <c r="E914" s="523"/>
      <c r="F914" s="523"/>
      <c r="G914" s="523"/>
      <c r="H914" s="523"/>
      <c r="I914" s="523"/>
      <c r="J914" s="523"/>
      <c r="K914" s="523"/>
      <c r="L914" s="523"/>
      <c r="M914" s="523"/>
      <c r="N914" s="523"/>
      <c r="O914" s="523"/>
      <c r="P914" s="523"/>
      <c r="Q914" s="523"/>
      <c r="R914" s="523"/>
      <c r="S914" s="523"/>
      <c r="T914" s="523"/>
      <c r="U914" s="523"/>
      <c r="V914" s="224"/>
      <c r="W914" s="224"/>
      <c r="X914" s="224"/>
      <c r="Y914" s="224"/>
      <c r="Z914" s="868"/>
      <c r="AA914" s="865"/>
      <c r="AB914" s="2"/>
      <c r="AC914" s="2"/>
      <c r="AD914" s="2"/>
      <c r="AE914" s="2"/>
      <c r="AF914" s="2"/>
      <c r="AG914" s="2"/>
      <c r="AH914" s="2"/>
      <c r="AI914" s="2"/>
      <c r="AJ914" s="2"/>
      <c r="AK914" s="2"/>
      <c r="AL914" s="2"/>
      <c r="AM914" s="2"/>
      <c r="AN914" s="2"/>
      <c r="AO914" s="9"/>
      <c r="AP914" s="9"/>
      <c r="AQ914" s="9"/>
      <c r="AR914" s="9"/>
    </row>
    <row r="915">
      <c r="A915" s="523"/>
      <c r="B915" s="523"/>
      <c r="C915" s="523"/>
      <c r="D915" s="523"/>
      <c r="E915" s="523"/>
      <c r="F915" s="523"/>
      <c r="G915" s="523"/>
      <c r="H915" s="523"/>
      <c r="I915" s="523"/>
      <c r="J915" s="523"/>
      <c r="K915" s="523"/>
      <c r="L915" s="523"/>
      <c r="M915" s="523"/>
      <c r="N915" s="523"/>
      <c r="O915" s="523"/>
      <c r="P915" s="523"/>
      <c r="Q915" s="523"/>
      <c r="R915" s="523"/>
      <c r="S915" s="523"/>
      <c r="T915" s="523"/>
      <c r="U915" s="523"/>
      <c r="V915" s="224"/>
      <c r="W915" s="224"/>
      <c r="X915" s="224"/>
      <c r="Y915" s="224"/>
      <c r="Z915" s="868"/>
      <c r="AA915" s="865"/>
      <c r="AB915" s="2"/>
      <c r="AC915" s="2"/>
      <c r="AD915" s="2"/>
      <c r="AE915" s="2"/>
      <c r="AF915" s="2"/>
      <c r="AG915" s="2"/>
      <c r="AH915" s="2"/>
      <c r="AI915" s="2"/>
      <c r="AJ915" s="2"/>
      <c r="AK915" s="2"/>
      <c r="AL915" s="2"/>
      <c r="AM915" s="2"/>
      <c r="AN915" s="2"/>
      <c r="AO915" s="9"/>
      <c r="AP915" s="9"/>
      <c r="AQ915" s="9"/>
      <c r="AR915" s="9"/>
    </row>
    <row r="916">
      <c r="A916" s="523"/>
      <c r="B916" s="523"/>
      <c r="C916" s="523"/>
      <c r="D916" s="523"/>
      <c r="E916" s="523"/>
      <c r="F916" s="523"/>
      <c r="G916" s="523"/>
      <c r="H916" s="523"/>
      <c r="I916" s="523"/>
      <c r="J916" s="523"/>
      <c r="K916" s="523"/>
      <c r="L916" s="523"/>
      <c r="M916" s="523"/>
      <c r="N916" s="523"/>
      <c r="O916" s="523"/>
      <c r="P916" s="523"/>
      <c r="Q916" s="523"/>
      <c r="R916" s="523"/>
      <c r="S916" s="523"/>
      <c r="T916" s="523"/>
      <c r="U916" s="523"/>
      <c r="V916" s="224"/>
      <c r="W916" s="224"/>
      <c r="X916" s="224"/>
      <c r="Y916" s="224"/>
      <c r="Z916" s="868"/>
      <c r="AA916" s="865"/>
      <c r="AB916" s="2"/>
      <c r="AC916" s="2"/>
      <c r="AD916" s="2"/>
      <c r="AE916" s="2"/>
      <c r="AF916" s="2"/>
      <c r="AG916" s="2"/>
      <c r="AH916" s="2"/>
      <c r="AI916" s="2"/>
      <c r="AJ916" s="2"/>
      <c r="AK916" s="2"/>
      <c r="AL916" s="2"/>
      <c r="AM916" s="2"/>
      <c r="AN916" s="2"/>
      <c r="AO916" s="9"/>
      <c r="AP916" s="9"/>
      <c r="AQ916" s="9"/>
      <c r="AR916" s="9"/>
    </row>
    <row r="917">
      <c r="A917" s="523"/>
      <c r="B917" s="523"/>
      <c r="C917" s="523"/>
      <c r="D917" s="523"/>
      <c r="E917" s="523"/>
      <c r="F917" s="523"/>
      <c r="G917" s="523"/>
      <c r="H917" s="523"/>
      <c r="I917" s="523"/>
      <c r="J917" s="523"/>
      <c r="K917" s="523"/>
      <c r="L917" s="523"/>
      <c r="M917" s="523"/>
      <c r="N917" s="523"/>
      <c r="O917" s="523"/>
      <c r="P917" s="523"/>
      <c r="Q917" s="523"/>
      <c r="R917" s="523"/>
      <c r="S917" s="523"/>
      <c r="T917" s="523"/>
      <c r="U917" s="523"/>
      <c r="V917" s="224"/>
      <c r="W917" s="224"/>
      <c r="X917" s="224"/>
      <c r="Y917" s="224"/>
      <c r="Z917" s="868"/>
      <c r="AA917" s="865"/>
      <c r="AB917" s="2"/>
      <c r="AC917" s="2"/>
      <c r="AD917" s="2"/>
      <c r="AE917" s="2"/>
      <c r="AF917" s="2"/>
      <c r="AG917" s="2"/>
      <c r="AH917" s="2"/>
      <c r="AI917" s="2"/>
      <c r="AJ917" s="2"/>
      <c r="AK917" s="2"/>
      <c r="AL917" s="2"/>
      <c r="AM917" s="2"/>
      <c r="AN917" s="2"/>
      <c r="AO917" s="9"/>
      <c r="AP917" s="9"/>
      <c r="AQ917" s="9"/>
      <c r="AR917" s="9"/>
    </row>
    <row r="918">
      <c r="A918" s="523"/>
      <c r="B918" s="523"/>
      <c r="C918" s="523"/>
      <c r="D918" s="523"/>
      <c r="E918" s="523"/>
      <c r="F918" s="523"/>
      <c r="G918" s="523"/>
      <c r="H918" s="523"/>
      <c r="I918" s="523"/>
      <c r="J918" s="523"/>
      <c r="K918" s="523"/>
      <c r="L918" s="523"/>
      <c r="M918" s="523"/>
      <c r="N918" s="523"/>
      <c r="O918" s="523"/>
      <c r="P918" s="523"/>
      <c r="Q918" s="523"/>
      <c r="R918" s="523"/>
      <c r="S918" s="523"/>
      <c r="T918" s="523"/>
      <c r="U918" s="523"/>
      <c r="V918" s="224"/>
      <c r="W918" s="224"/>
      <c r="X918" s="224"/>
      <c r="Y918" s="224"/>
      <c r="Z918" s="868"/>
      <c r="AA918" s="865"/>
      <c r="AB918" s="2"/>
      <c r="AC918" s="2"/>
      <c r="AD918" s="2"/>
      <c r="AE918" s="2"/>
      <c r="AF918" s="2"/>
      <c r="AG918" s="2"/>
      <c r="AH918" s="2"/>
      <c r="AI918" s="2"/>
      <c r="AJ918" s="2"/>
      <c r="AK918" s="2"/>
      <c r="AL918" s="2"/>
      <c r="AM918" s="2"/>
      <c r="AN918" s="2"/>
      <c r="AO918" s="9"/>
      <c r="AP918" s="9"/>
      <c r="AQ918" s="9"/>
      <c r="AR918" s="9"/>
    </row>
    <row r="919">
      <c r="A919" s="523"/>
      <c r="B919" s="523"/>
      <c r="C919" s="523"/>
      <c r="D919" s="523"/>
      <c r="E919" s="523"/>
      <c r="F919" s="523"/>
      <c r="G919" s="523"/>
      <c r="H919" s="523"/>
      <c r="I919" s="523"/>
      <c r="J919" s="523"/>
      <c r="K919" s="523"/>
      <c r="L919" s="523"/>
      <c r="M919" s="523"/>
      <c r="N919" s="523"/>
      <c r="O919" s="523"/>
      <c r="P919" s="523"/>
      <c r="Q919" s="523"/>
      <c r="R919" s="523"/>
      <c r="S919" s="523"/>
      <c r="T919" s="523"/>
      <c r="U919" s="523"/>
      <c r="V919" s="224"/>
      <c r="W919" s="224"/>
      <c r="X919" s="224"/>
      <c r="Y919" s="224"/>
      <c r="Z919" s="868"/>
      <c r="AA919" s="865"/>
      <c r="AB919" s="2"/>
      <c r="AC919" s="2"/>
      <c r="AD919" s="2"/>
      <c r="AE919" s="2"/>
      <c r="AF919" s="2"/>
      <c r="AG919" s="2"/>
      <c r="AH919" s="2"/>
      <c r="AI919" s="2"/>
      <c r="AJ919" s="2"/>
      <c r="AK919" s="2"/>
      <c r="AL919" s="2"/>
      <c r="AM919" s="2"/>
      <c r="AN919" s="2"/>
      <c r="AO919" s="9"/>
      <c r="AP919" s="9"/>
      <c r="AQ919" s="9"/>
      <c r="AR919" s="9"/>
    </row>
    <row r="920">
      <c r="A920" s="523"/>
      <c r="B920" s="523"/>
      <c r="C920" s="523"/>
      <c r="D920" s="523"/>
      <c r="E920" s="523"/>
      <c r="F920" s="523"/>
      <c r="G920" s="523"/>
      <c r="H920" s="523"/>
      <c r="I920" s="523"/>
      <c r="J920" s="523"/>
      <c r="K920" s="523"/>
      <c r="L920" s="523"/>
      <c r="M920" s="523"/>
      <c r="N920" s="523"/>
      <c r="O920" s="523"/>
      <c r="P920" s="523"/>
      <c r="Q920" s="523"/>
      <c r="R920" s="523"/>
      <c r="S920" s="523"/>
      <c r="T920" s="523"/>
      <c r="U920" s="523"/>
      <c r="V920" s="224"/>
      <c r="W920" s="224"/>
      <c r="X920" s="224"/>
      <c r="Y920" s="224"/>
      <c r="Z920" s="868"/>
      <c r="AA920" s="865"/>
      <c r="AB920" s="2"/>
      <c r="AC920" s="2"/>
      <c r="AD920" s="2"/>
      <c r="AE920" s="2"/>
      <c r="AF920" s="2"/>
      <c r="AG920" s="2"/>
      <c r="AH920" s="2"/>
      <c r="AI920" s="2"/>
      <c r="AJ920" s="2"/>
      <c r="AK920" s="2"/>
      <c r="AL920" s="2"/>
      <c r="AM920" s="2"/>
      <c r="AN920" s="2"/>
      <c r="AO920" s="9"/>
      <c r="AP920" s="9"/>
      <c r="AQ920" s="9"/>
      <c r="AR920" s="9"/>
    </row>
    <row r="921">
      <c r="A921" s="523"/>
      <c r="B921" s="523"/>
      <c r="C921" s="523"/>
      <c r="D921" s="523"/>
      <c r="E921" s="523"/>
      <c r="F921" s="523"/>
      <c r="G921" s="523"/>
      <c r="H921" s="523"/>
      <c r="I921" s="523"/>
      <c r="J921" s="523"/>
      <c r="K921" s="523"/>
      <c r="L921" s="523"/>
      <c r="M921" s="523"/>
      <c r="N921" s="523"/>
      <c r="O921" s="523"/>
      <c r="P921" s="523"/>
      <c r="Q921" s="523"/>
      <c r="R921" s="523"/>
      <c r="S921" s="523"/>
      <c r="T921" s="523"/>
      <c r="U921" s="523"/>
      <c r="V921" s="224"/>
      <c r="W921" s="224"/>
      <c r="X921" s="224"/>
      <c r="Y921" s="224"/>
      <c r="Z921" s="868"/>
      <c r="AA921" s="865"/>
      <c r="AB921" s="2"/>
      <c r="AC921" s="2"/>
      <c r="AD921" s="2"/>
      <c r="AE921" s="2"/>
      <c r="AF921" s="2"/>
      <c r="AG921" s="2"/>
      <c r="AH921" s="2"/>
      <c r="AI921" s="2"/>
      <c r="AJ921" s="2"/>
      <c r="AK921" s="2"/>
      <c r="AL921" s="2"/>
      <c r="AM921" s="2"/>
      <c r="AN921" s="2"/>
      <c r="AO921" s="9"/>
      <c r="AP921" s="9"/>
      <c r="AQ921" s="9"/>
      <c r="AR921" s="9"/>
    </row>
    <row r="922">
      <c r="A922" s="523"/>
      <c r="B922" s="523"/>
      <c r="C922" s="523"/>
      <c r="D922" s="523"/>
      <c r="E922" s="523"/>
      <c r="F922" s="523"/>
      <c r="G922" s="523"/>
      <c r="H922" s="523"/>
      <c r="I922" s="523"/>
      <c r="J922" s="523"/>
      <c r="K922" s="523"/>
      <c r="L922" s="523"/>
      <c r="M922" s="523"/>
      <c r="N922" s="523"/>
      <c r="O922" s="523"/>
      <c r="P922" s="523"/>
      <c r="Q922" s="523"/>
      <c r="R922" s="523"/>
      <c r="S922" s="523"/>
      <c r="T922" s="523"/>
      <c r="U922" s="523"/>
      <c r="V922" s="224"/>
      <c r="W922" s="224"/>
      <c r="X922" s="224"/>
      <c r="Y922" s="224"/>
      <c r="Z922" s="868"/>
      <c r="AA922" s="865"/>
      <c r="AB922" s="2"/>
      <c r="AC922" s="2"/>
      <c r="AD922" s="2"/>
      <c r="AE922" s="2"/>
      <c r="AF922" s="2"/>
      <c r="AG922" s="2"/>
      <c r="AH922" s="2"/>
      <c r="AI922" s="2"/>
      <c r="AJ922" s="2"/>
      <c r="AK922" s="2"/>
      <c r="AL922" s="2"/>
      <c r="AM922" s="2"/>
      <c r="AN922" s="2"/>
      <c r="AO922" s="9"/>
      <c r="AP922" s="9"/>
      <c r="AQ922" s="9"/>
      <c r="AR922" s="9"/>
    </row>
    <row r="923">
      <c r="A923" s="523"/>
      <c r="B923" s="523"/>
      <c r="C923" s="523"/>
      <c r="D923" s="523"/>
      <c r="E923" s="523"/>
      <c r="F923" s="523"/>
      <c r="G923" s="523"/>
      <c r="H923" s="523"/>
      <c r="I923" s="523"/>
      <c r="J923" s="523"/>
      <c r="K923" s="523"/>
      <c r="L923" s="523"/>
      <c r="M923" s="523"/>
      <c r="N923" s="523"/>
      <c r="O923" s="523"/>
      <c r="P923" s="523"/>
      <c r="Q923" s="523"/>
      <c r="R923" s="523"/>
      <c r="S923" s="523"/>
      <c r="T923" s="523"/>
      <c r="U923" s="523"/>
      <c r="V923" s="224"/>
      <c r="W923" s="224"/>
      <c r="X923" s="224"/>
      <c r="Y923" s="224"/>
      <c r="Z923" s="868"/>
      <c r="AA923" s="865"/>
      <c r="AB923" s="2"/>
      <c r="AC923" s="2"/>
      <c r="AD923" s="2"/>
      <c r="AE923" s="2"/>
      <c r="AF923" s="2"/>
      <c r="AG923" s="2"/>
      <c r="AH923" s="2"/>
      <c r="AI923" s="2"/>
      <c r="AJ923" s="2"/>
      <c r="AK923" s="2"/>
      <c r="AL923" s="2"/>
      <c r="AM923" s="2"/>
      <c r="AN923" s="2"/>
      <c r="AO923" s="9"/>
      <c r="AP923" s="9"/>
      <c r="AQ923" s="9"/>
      <c r="AR923" s="9"/>
    </row>
    <row r="924">
      <c r="A924" s="523"/>
      <c r="B924" s="523"/>
      <c r="C924" s="523"/>
      <c r="D924" s="523"/>
      <c r="E924" s="523"/>
      <c r="F924" s="523"/>
      <c r="G924" s="523"/>
      <c r="H924" s="523"/>
      <c r="I924" s="523"/>
      <c r="J924" s="523"/>
      <c r="K924" s="523"/>
      <c r="L924" s="523"/>
      <c r="M924" s="523"/>
      <c r="N924" s="523"/>
      <c r="O924" s="523"/>
      <c r="P924" s="523"/>
      <c r="Q924" s="523"/>
      <c r="R924" s="523"/>
      <c r="S924" s="523"/>
      <c r="T924" s="523"/>
      <c r="U924" s="523"/>
      <c r="V924" s="224"/>
      <c r="W924" s="224"/>
      <c r="X924" s="224"/>
      <c r="Y924" s="224"/>
      <c r="Z924" s="868"/>
      <c r="AA924" s="865"/>
      <c r="AB924" s="2"/>
      <c r="AC924" s="2"/>
      <c r="AD924" s="2"/>
      <c r="AE924" s="2"/>
      <c r="AF924" s="2"/>
      <c r="AG924" s="2"/>
      <c r="AH924" s="2"/>
      <c r="AI924" s="2"/>
      <c r="AJ924" s="2"/>
      <c r="AK924" s="2"/>
      <c r="AL924" s="2"/>
      <c r="AM924" s="2"/>
      <c r="AN924" s="2"/>
      <c r="AO924" s="9"/>
      <c r="AP924" s="9"/>
      <c r="AQ924" s="9"/>
      <c r="AR924" s="9"/>
    </row>
    <row r="925">
      <c r="A925" s="523"/>
      <c r="B925" s="523"/>
      <c r="C925" s="523"/>
      <c r="D925" s="523"/>
      <c r="E925" s="523"/>
      <c r="F925" s="523"/>
      <c r="G925" s="523"/>
      <c r="H925" s="523"/>
      <c r="I925" s="523"/>
      <c r="J925" s="523"/>
      <c r="K925" s="523"/>
      <c r="L925" s="523"/>
      <c r="M925" s="523"/>
      <c r="N925" s="523"/>
      <c r="O925" s="523"/>
      <c r="P925" s="523"/>
      <c r="Q925" s="523"/>
      <c r="R925" s="523"/>
      <c r="S925" s="523"/>
      <c r="T925" s="523"/>
      <c r="U925" s="523"/>
      <c r="V925" s="224"/>
      <c r="W925" s="224"/>
      <c r="X925" s="224"/>
      <c r="Y925" s="224"/>
      <c r="Z925" s="868"/>
      <c r="AA925" s="865"/>
      <c r="AB925" s="2"/>
      <c r="AC925" s="2"/>
      <c r="AD925" s="2"/>
      <c r="AE925" s="2"/>
      <c r="AF925" s="2"/>
      <c r="AG925" s="2"/>
      <c r="AH925" s="2"/>
      <c r="AI925" s="2"/>
      <c r="AJ925" s="2"/>
      <c r="AK925" s="2"/>
      <c r="AL925" s="2"/>
      <c r="AM925" s="2"/>
      <c r="AN925" s="2"/>
      <c r="AO925" s="9"/>
      <c r="AP925" s="9"/>
      <c r="AQ925" s="9"/>
      <c r="AR925" s="9"/>
    </row>
    <row r="926">
      <c r="A926" s="523"/>
      <c r="B926" s="523"/>
      <c r="C926" s="523"/>
      <c r="D926" s="523"/>
      <c r="E926" s="523"/>
      <c r="F926" s="523"/>
      <c r="G926" s="523"/>
      <c r="H926" s="523"/>
      <c r="I926" s="523"/>
      <c r="J926" s="523"/>
      <c r="K926" s="523"/>
      <c r="L926" s="523"/>
      <c r="M926" s="523"/>
      <c r="N926" s="523"/>
      <c r="O926" s="523"/>
      <c r="P926" s="523"/>
      <c r="Q926" s="523"/>
      <c r="R926" s="523"/>
      <c r="S926" s="523"/>
      <c r="T926" s="523"/>
      <c r="U926" s="523"/>
      <c r="V926" s="224"/>
      <c r="W926" s="224"/>
      <c r="X926" s="224"/>
      <c r="Y926" s="224"/>
      <c r="Z926" s="868"/>
      <c r="AA926" s="865"/>
      <c r="AB926" s="2"/>
      <c r="AC926" s="2"/>
      <c r="AD926" s="2"/>
      <c r="AE926" s="2"/>
      <c r="AF926" s="2"/>
      <c r="AG926" s="2"/>
      <c r="AH926" s="2"/>
      <c r="AI926" s="2"/>
      <c r="AJ926" s="2"/>
      <c r="AK926" s="2"/>
      <c r="AL926" s="2"/>
      <c r="AM926" s="2"/>
      <c r="AN926" s="2"/>
      <c r="AO926" s="9"/>
      <c r="AP926" s="9"/>
      <c r="AQ926" s="9"/>
      <c r="AR926" s="9"/>
    </row>
    <row r="927">
      <c r="A927" s="523"/>
      <c r="B927" s="523"/>
      <c r="C927" s="523"/>
      <c r="D927" s="523"/>
      <c r="E927" s="523"/>
      <c r="F927" s="523"/>
      <c r="G927" s="523"/>
      <c r="H927" s="523"/>
      <c r="I927" s="523"/>
      <c r="J927" s="523"/>
      <c r="K927" s="523"/>
      <c r="L927" s="523"/>
      <c r="M927" s="523"/>
      <c r="N927" s="523"/>
      <c r="O927" s="523"/>
      <c r="P927" s="523"/>
      <c r="Q927" s="523"/>
      <c r="R927" s="523"/>
      <c r="S927" s="523"/>
      <c r="T927" s="523"/>
      <c r="U927" s="523"/>
      <c r="V927" s="224"/>
      <c r="W927" s="224"/>
      <c r="X927" s="224"/>
      <c r="Y927" s="224"/>
      <c r="Z927" s="868"/>
      <c r="AA927" s="865"/>
      <c r="AB927" s="2"/>
      <c r="AC927" s="2"/>
      <c r="AD927" s="2"/>
      <c r="AE927" s="2"/>
      <c r="AF927" s="2"/>
      <c r="AG927" s="2"/>
      <c r="AH927" s="2"/>
      <c r="AI927" s="2"/>
      <c r="AJ927" s="2"/>
      <c r="AK927" s="2"/>
      <c r="AL927" s="2"/>
      <c r="AM927" s="2"/>
      <c r="AN927" s="2"/>
      <c r="AO927" s="9"/>
      <c r="AP927" s="9"/>
      <c r="AQ927" s="9"/>
      <c r="AR927" s="9"/>
    </row>
    <row r="928">
      <c r="A928" s="523"/>
      <c r="B928" s="523"/>
      <c r="C928" s="523"/>
      <c r="D928" s="523"/>
      <c r="E928" s="523"/>
      <c r="F928" s="523"/>
      <c r="G928" s="523"/>
      <c r="H928" s="523"/>
      <c r="I928" s="523"/>
      <c r="J928" s="523"/>
      <c r="K928" s="523"/>
      <c r="L928" s="523"/>
      <c r="M928" s="523"/>
      <c r="N928" s="523"/>
      <c r="O928" s="523"/>
      <c r="P928" s="523"/>
      <c r="Q928" s="523"/>
      <c r="R928" s="523"/>
      <c r="S928" s="523"/>
      <c r="T928" s="523"/>
      <c r="U928" s="523"/>
      <c r="V928" s="224"/>
      <c r="W928" s="224"/>
      <c r="X928" s="224"/>
      <c r="Y928" s="224"/>
      <c r="Z928" s="868"/>
      <c r="AA928" s="865"/>
      <c r="AB928" s="2"/>
      <c r="AC928" s="2"/>
      <c r="AD928" s="2"/>
      <c r="AE928" s="2"/>
      <c r="AF928" s="2"/>
      <c r="AG928" s="2"/>
      <c r="AH928" s="2"/>
      <c r="AI928" s="2"/>
      <c r="AJ928" s="2"/>
      <c r="AK928" s="2"/>
      <c r="AL928" s="2"/>
      <c r="AM928" s="2"/>
      <c r="AN928" s="2"/>
      <c r="AO928" s="9"/>
      <c r="AP928" s="9"/>
      <c r="AQ928" s="9"/>
      <c r="AR928" s="9"/>
    </row>
    <row r="929">
      <c r="A929" s="523"/>
      <c r="B929" s="523"/>
      <c r="C929" s="523"/>
      <c r="D929" s="523"/>
      <c r="E929" s="523"/>
      <c r="F929" s="523"/>
      <c r="G929" s="523"/>
      <c r="H929" s="523"/>
      <c r="I929" s="523"/>
      <c r="J929" s="523"/>
      <c r="K929" s="523"/>
      <c r="L929" s="523"/>
      <c r="M929" s="523"/>
      <c r="N929" s="523"/>
      <c r="O929" s="523"/>
      <c r="P929" s="523"/>
      <c r="Q929" s="523"/>
      <c r="R929" s="523"/>
      <c r="S929" s="523"/>
      <c r="T929" s="523"/>
      <c r="U929" s="523"/>
      <c r="V929" s="224"/>
      <c r="W929" s="224"/>
      <c r="X929" s="224"/>
      <c r="Y929" s="224"/>
      <c r="Z929" s="868"/>
      <c r="AA929" s="865"/>
      <c r="AB929" s="2"/>
      <c r="AC929" s="2"/>
      <c r="AD929" s="2"/>
      <c r="AE929" s="2"/>
      <c r="AF929" s="2"/>
      <c r="AG929" s="2"/>
      <c r="AH929" s="2"/>
      <c r="AI929" s="2"/>
      <c r="AJ929" s="2"/>
      <c r="AK929" s="2"/>
      <c r="AL929" s="2"/>
      <c r="AM929" s="2"/>
      <c r="AN929" s="2"/>
      <c r="AO929" s="9"/>
      <c r="AP929" s="9"/>
      <c r="AQ929" s="9"/>
      <c r="AR929" s="9"/>
    </row>
    <row r="930">
      <c r="A930" s="523"/>
      <c r="B930" s="523"/>
      <c r="C930" s="523"/>
      <c r="D930" s="523"/>
      <c r="E930" s="523"/>
      <c r="F930" s="523"/>
      <c r="G930" s="523"/>
      <c r="H930" s="523"/>
      <c r="I930" s="523"/>
      <c r="J930" s="523"/>
      <c r="K930" s="523"/>
      <c r="L930" s="523"/>
      <c r="M930" s="523"/>
      <c r="N930" s="523"/>
      <c r="O930" s="523"/>
      <c r="P930" s="523"/>
      <c r="Q930" s="523"/>
      <c r="R930" s="523"/>
      <c r="S930" s="523"/>
      <c r="T930" s="523"/>
      <c r="U930" s="523"/>
      <c r="V930" s="224"/>
      <c r="W930" s="224"/>
      <c r="X930" s="224"/>
      <c r="Y930" s="224"/>
      <c r="Z930" s="868"/>
      <c r="AA930" s="865"/>
      <c r="AB930" s="2"/>
      <c r="AC930" s="2"/>
      <c r="AD930" s="2"/>
      <c r="AE930" s="2"/>
      <c r="AF930" s="2"/>
      <c r="AG930" s="2"/>
      <c r="AH930" s="2"/>
      <c r="AI930" s="2"/>
      <c r="AJ930" s="2"/>
      <c r="AK930" s="2"/>
      <c r="AL930" s="2"/>
      <c r="AM930" s="2"/>
      <c r="AN930" s="2"/>
      <c r="AO930" s="9"/>
      <c r="AP930" s="9"/>
      <c r="AQ930" s="9"/>
      <c r="AR930" s="9"/>
    </row>
    <row r="931">
      <c r="A931" s="523"/>
      <c r="B931" s="523"/>
      <c r="C931" s="523"/>
      <c r="D931" s="523"/>
      <c r="E931" s="523"/>
      <c r="F931" s="523"/>
      <c r="G931" s="523"/>
      <c r="H931" s="523"/>
      <c r="I931" s="523"/>
      <c r="J931" s="523"/>
      <c r="K931" s="523"/>
      <c r="L931" s="523"/>
      <c r="M931" s="523"/>
      <c r="N931" s="523"/>
      <c r="O931" s="523"/>
      <c r="P931" s="523"/>
      <c r="Q931" s="523"/>
      <c r="R931" s="523"/>
      <c r="S931" s="523"/>
      <c r="T931" s="523"/>
      <c r="U931" s="523"/>
      <c r="V931" s="224"/>
      <c r="W931" s="224"/>
      <c r="X931" s="224"/>
      <c r="Y931" s="224"/>
      <c r="Z931" s="868"/>
      <c r="AA931" s="865"/>
      <c r="AB931" s="2"/>
      <c r="AC931" s="2"/>
      <c r="AD931" s="2"/>
      <c r="AE931" s="2"/>
      <c r="AF931" s="2"/>
      <c r="AG931" s="2"/>
      <c r="AH931" s="2"/>
      <c r="AI931" s="2"/>
      <c r="AJ931" s="2"/>
      <c r="AK931" s="2"/>
      <c r="AL931" s="2"/>
      <c r="AM931" s="2"/>
      <c r="AN931" s="2"/>
      <c r="AO931" s="9"/>
      <c r="AP931" s="9"/>
      <c r="AQ931" s="9"/>
      <c r="AR931" s="9"/>
    </row>
    <row r="932">
      <c r="A932" s="523"/>
      <c r="B932" s="523"/>
      <c r="C932" s="523"/>
      <c r="D932" s="523"/>
      <c r="E932" s="523"/>
      <c r="F932" s="523"/>
      <c r="G932" s="523"/>
      <c r="H932" s="523"/>
      <c r="I932" s="523"/>
      <c r="J932" s="523"/>
      <c r="K932" s="523"/>
      <c r="L932" s="523"/>
      <c r="M932" s="523"/>
      <c r="N932" s="523"/>
      <c r="O932" s="523"/>
      <c r="P932" s="523"/>
      <c r="Q932" s="523"/>
      <c r="R932" s="523"/>
      <c r="S932" s="523"/>
      <c r="T932" s="523"/>
      <c r="U932" s="523"/>
      <c r="V932" s="224"/>
      <c r="W932" s="224"/>
      <c r="X932" s="224"/>
      <c r="Y932" s="224"/>
      <c r="Z932" s="868"/>
      <c r="AA932" s="865"/>
      <c r="AB932" s="2"/>
      <c r="AC932" s="2"/>
      <c r="AD932" s="2"/>
      <c r="AE932" s="2"/>
      <c r="AF932" s="2"/>
      <c r="AG932" s="2"/>
      <c r="AH932" s="2"/>
      <c r="AI932" s="2"/>
      <c r="AJ932" s="2"/>
      <c r="AK932" s="2"/>
      <c r="AL932" s="2"/>
      <c r="AM932" s="2"/>
      <c r="AN932" s="2"/>
      <c r="AO932" s="9"/>
      <c r="AP932" s="9"/>
      <c r="AQ932" s="9"/>
      <c r="AR932" s="9"/>
    </row>
    <row r="933">
      <c r="A933" s="523"/>
      <c r="B933" s="523"/>
      <c r="C933" s="523"/>
      <c r="D933" s="523"/>
      <c r="E933" s="523"/>
      <c r="F933" s="523"/>
      <c r="G933" s="523"/>
      <c r="H933" s="523"/>
      <c r="I933" s="523"/>
      <c r="J933" s="523"/>
      <c r="K933" s="523"/>
      <c r="L933" s="523"/>
      <c r="M933" s="523"/>
      <c r="N933" s="523"/>
      <c r="O933" s="523"/>
      <c r="P933" s="523"/>
      <c r="Q933" s="523"/>
      <c r="R933" s="523"/>
      <c r="S933" s="523"/>
      <c r="T933" s="523"/>
      <c r="U933" s="523"/>
      <c r="V933" s="224"/>
      <c r="W933" s="224"/>
      <c r="X933" s="224"/>
      <c r="Y933" s="224"/>
      <c r="Z933" s="868"/>
      <c r="AA933" s="865"/>
      <c r="AB933" s="2"/>
      <c r="AC933" s="2"/>
      <c r="AD933" s="2"/>
      <c r="AE933" s="2"/>
      <c r="AF933" s="2"/>
      <c r="AG933" s="2"/>
      <c r="AH933" s="2"/>
      <c r="AI933" s="2"/>
      <c r="AJ933" s="2"/>
      <c r="AK933" s="2"/>
      <c r="AL933" s="2"/>
      <c r="AM933" s="2"/>
      <c r="AN933" s="2"/>
      <c r="AO933" s="9"/>
      <c r="AP933" s="9"/>
      <c r="AQ933" s="9"/>
      <c r="AR933" s="9"/>
    </row>
    <row r="934">
      <c r="A934" s="523"/>
      <c r="B934" s="523"/>
      <c r="C934" s="523"/>
      <c r="D934" s="523"/>
      <c r="E934" s="523"/>
      <c r="F934" s="523"/>
      <c r="G934" s="523"/>
      <c r="H934" s="523"/>
      <c r="I934" s="523"/>
      <c r="J934" s="523"/>
      <c r="K934" s="523"/>
      <c r="L934" s="523"/>
      <c r="M934" s="523"/>
      <c r="N934" s="523"/>
      <c r="O934" s="523"/>
      <c r="P934" s="523"/>
      <c r="Q934" s="523"/>
      <c r="R934" s="523"/>
      <c r="S934" s="523"/>
      <c r="T934" s="523"/>
      <c r="U934" s="523"/>
      <c r="V934" s="224"/>
      <c r="W934" s="224"/>
      <c r="X934" s="224"/>
      <c r="Y934" s="224"/>
      <c r="Z934" s="868"/>
      <c r="AA934" s="865"/>
      <c r="AB934" s="2"/>
      <c r="AC934" s="2"/>
      <c r="AD934" s="2"/>
      <c r="AE934" s="2"/>
      <c r="AF934" s="2"/>
      <c r="AG934" s="2"/>
      <c r="AH934" s="2"/>
      <c r="AI934" s="2"/>
      <c r="AJ934" s="2"/>
      <c r="AK934" s="2"/>
      <c r="AL934" s="2"/>
      <c r="AM934" s="2"/>
      <c r="AN934" s="2"/>
      <c r="AO934" s="9"/>
      <c r="AP934" s="9"/>
      <c r="AQ934" s="9"/>
      <c r="AR934" s="9"/>
    </row>
    <row r="935">
      <c r="A935" s="523"/>
      <c r="B935" s="523"/>
      <c r="C935" s="523"/>
      <c r="D935" s="523"/>
      <c r="E935" s="523"/>
      <c r="F935" s="523"/>
      <c r="G935" s="523"/>
      <c r="H935" s="523"/>
      <c r="I935" s="523"/>
      <c r="J935" s="523"/>
      <c r="K935" s="523"/>
      <c r="L935" s="523"/>
      <c r="M935" s="523"/>
      <c r="N935" s="523"/>
      <c r="O935" s="523"/>
      <c r="P935" s="523"/>
      <c r="Q935" s="523"/>
      <c r="R935" s="523"/>
      <c r="S935" s="523"/>
      <c r="T935" s="523"/>
      <c r="U935" s="523"/>
      <c r="V935" s="224"/>
      <c r="W935" s="224"/>
      <c r="X935" s="224"/>
      <c r="Y935" s="224"/>
      <c r="Z935" s="868"/>
      <c r="AA935" s="865"/>
      <c r="AB935" s="2"/>
      <c r="AC935" s="2"/>
      <c r="AD935" s="2"/>
      <c r="AE935" s="2"/>
      <c r="AF935" s="2"/>
      <c r="AG935" s="2"/>
      <c r="AH935" s="2"/>
      <c r="AI935" s="2"/>
      <c r="AJ935" s="2"/>
      <c r="AK935" s="2"/>
      <c r="AL935" s="2"/>
      <c r="AM935" s="2"/>
      <c r="AN935" s="2"/>
      <c r="AO935" s="9"/>
      <c r="AP935" s="9"/>
      <c r="AQ935" s="9"/>
      <c r="AR935" s="9"/>
    </row>
    <row r="936">
      <c r="A936" s="523"/>
      <c r="B936" s="523"/>
      <c r="C936" s="523"/>
      <c r="D936" s="523"/>
      <c r="E936" s="523"/>
      <c r="F936" s="523"/>
      <c r="G936" s="523"/>
      <c r="H936" s="523"/>
      <c r="I936" s="523"/>
      <c r="J936" s="523"/>
      <c r="K936" s="523"/>
      <c r="L936" s="523"/>
      <c r="M936" s="523"/>
      <c r="N936" s="523"/>
      <c r="O936" s="523"/>
      <c r="P936" s="523"/>
      <c r="Q936" s="523"/>
      <c r="R936" s="523"/>
      <c r="S936" s="523"/>
      <c r="T936" s="523"/>
      <c r="U936" s="523"/>
      <c r="V936" s="224"/>
      <c r="W936" s="224"/>
      <c r="X936" s="224"/>
      <c r="Y936" s="224"/>
      <c r="Z936" s="868"/>
      <c r="AA936" s="865"/>
      <c r="AB936" s="2"/>
      <c r="AC936" s="2"/>
      <c r="AD936" s="2"/>
      <c r="AE936" s="2"/>
      <c r="AF936" s="2"/>
      <c r="AG936" s="2"/>
      <c r="AH936" s="2"/>
      <c r="AI936" s="2"/>
      <c r="AJ936" s="2"/>
      <c r="AK936" s="2"/>
      <c r="AL936" s="2"/>
      <c r="AM936" s="2"/>
      <c r="AN936" s="2"/>
      <c r="AO936" s="9"/>
      <c r="AP936" s="9"/>
      <c r="AQ936" s="9"/>
      <c r="AR936" s="9"/>
    </row>
    <row r="937">
      <c r="A937" s="523"/>
      <c r="B937" s="523"/>
      <c r="C937" s="523"/>
      <c r="D937" s="523"/>
      <c r="E937" s="523"/>
      <c r="F937" s="523"/>
      <c r="G937" s="523"/>
      <c r="H937" s="523"/>
      <c r="I937" s="523"/>
      <c r="J937" s="523"/>
      <c r="K937" s="523"/>
      <c r="L937" s="523"/>
      <c r="M937" s="523"/>
      <c r="N937" s="523"/>
      <c r="O937" s="523"/>
      <c r="P937" s="523"/>
      <c r="Q937" s="523"/>
      <c r="R937" s="523"/>
      <c r="S937" s="523"/>
      <c r="T937" s="523"/>
      <c r="U937" s="523"/>
      <c r="V937" s="224"/>
      <c r="W937" s="224"/>
      <c r="X937" s="224"/>
      <c r="Y937" s="224"/>
      <c r="Z937" s="868"/>
      <c r="AA937" s="865"/>
      <c r="AB937" s="2"/>
      <c r="AC937" s="2"/>
      <c r="AD937" s="2"/>
      <c r="AE937" s="2"/>
      <c r="AF937" s="2"/>
      <c r="AG937" s="2"/>
      <c r="AH937" s="2"/>
      <c r="AI937" s="2"/>
      <c r="AJ937" s="2"/>
      <c r="AK937" s="2"/>
      <c r="AL937" s="2"/>
      <c r="AM937" s="2"/>
      <c r="AN937" s="2"/>
      <c r="AO937" s="9"/>
      <c r="AP937" s="9"/>
      <c r="AQ937" s="9"/>
      <c r="AR937" s="9"/>
    </row>
    <row r="938">
      <c r="A938" s="523"/>
      <c r="B938" s="523"/>
      <c r="C938" s="523"/>
      <c r="D938" s="523"/>
      <c r="E938" s="523"/>
      <c r="F938" s="523"/>
      <c r="G938" s="523"/>
      <c r="H938" s="523"/>
      <c r="I938" s="523"/>
      <c r="J938" s="523"/>
      <c r="K938" s="523"/>
      <c r="L938" s="523"/>
      <c r="M938" s="523"/>
      <c r="N938" s="523"/>
      <c r="O938" s="523"/>
      <c r="P938" s="523"/>
      <c r="Q938" s="523"/>
      <c r="R938" s="523"/>
      <c r="S938" s="523"/>
      <c r="T938" s="523"/>
      <c r="U938" s="523"/>
      <c r="V938" s="224"/>
      <c r="W938" s="224"/>
      <c r="X938" s="224"/>
      <c r="Y938" s="224"/>
      <c r="Z938" s="868"/>
      <c r="AA938" s="865"/>
      <c r="AB938" s="2"/>
      <c r="AC938" s="2"/>
      <c r="AD938" s="2"/>
      <c r="AE938" s="2"/>
      <c r="AF938" s="2"/>
      <c r="AG938" s="2"/>
      <c r="AH938" s="2"/>
      <c r="AI938" s="2"/>
      <c r="AJ938" s="2"/>
      <c r="AK938" s="2"/>
      <c r="AL938" s="2"/>
      <c r="AM938" s="2"/>
      <c r="AN938" s="2"/>
      <c r="AO938" s="9"/>
      <c r="AP938" s="9"/>
      <c r="AQ938" s="9"/>
      <c r="AR938" s="9"/>
    </row>
    <row r="939">
      <c r="A939" s="523"/>
      <c r="B939" s="523"/>
      <c r="C939" s="523"/>
      <c r="D939" s="523"/>
      <c r="E939" s="523"/>
      <c r="F939" s="523"/>
      <c r="G939" s="523"/>
      <c r="H939" s="523"/>
      <c r="I939" s="523"/>
      <c r="J939" s="523"/>
      <c r="K939" s="523"/>
      <c r="L939" s="523"/>
      <c r="M939" s="523"/>
      <c r="N939" s="523"/>
      <c r="O939" s="523"/>
      <c r="P939" s="523"/>
      <c r="Q939" s="523"/>
      <c r="R939" s="523"/>
      <c r="S939" s="523"/>
      <c r="T939" s="523"/>
      <c r="U939" s="523"/>
      <c r="V939" s="224"/>
      <c r="W939" s="224"/>
      <c r="X939" s="224"/>
      <c r="Y939" s="224"/>
      <c r="Z939" s="868"/>
      <c r="AA939" s="865"/>
      <c r="AB939" s="2"/>
      <c r="AC939" s="2"/>
      <c r="AD939" s="2"/>
      <c r="AE939" s="2"/>
      <c r="AF939" s="2"/>
      <c r="AG939" s="2"/>
      <c r="AH939" s="2"/>
      <c r="AI939" s="2"/>
      <c r="AJ939" s="2"/>
      <c r="AK939" s="2"/>
      <c r="AL939" s="2"/>
      <c r="AM939" s="2"/>
      <c r="AN939" s="2"/>
      <c r="AO939" s="9"/>
      <c r="AP939" s="9"/>
      <c r="AQ939" s="9"/>
      <c r="AR939" s="9"/>
    </row>
    <row r="940">
      <c r="A940" s="523"/>
      <c r="B940" s="523"/>
      <c r="C940" s="523"/>
      <c r="D940" s="523"/>
      <c r="E940" s="523"/>
      <c r="F940" s="523"/>
      <c r="G940" s="523"/>
      <c r="H940" s="523"/>
      <c r="I940" s="523"/>
      <c r="J940" s="523"/>
      <c r="K940" s="523"/>
      <c r="L940" s="523"/>
      <c r="M940" s="523"/>
      <c r="N940" s="523"/>
      <c r="O940" s="523"/>
      <c r="P940" s="523"/>
      <c r="Q940" s="523"/>
      <c r="R940" s="523"/>
      <c r="S940" s="523"/>
      <c r="T940" s="523"/>
      <c r="U940" s="523"/>
      <c r="V940" s="224"/>
      <c r="W940" s="224"/>
      <c r="X940" s="224"/>
      <c r="Y940" s="224"/>
      <c r="Z940" s="868"/>
      <c r="AA940" s="865"/>
      <c r="AB940" s="2"/>
      <c r="AC940" s="2"/>
      <c r="AD940" s="2"/>
      <c r="AE940" s="2"/>
      <c r="AF940" s="2"/>
      <c r="AG940" s="2"/>
      <c r="AH940" s="2"/>
      <c r="AI940" s="2"/>
      <c r="AJ940" s="2"/>
      <c r="AK940" s="2"/>
      <c r="AL940" s="2"/>
      <c r="AM940" s="2"/>
      <c r="AN940" s="2"/>
      <c r="AO940" s="9"/>
      <c r="AP940" s="9"/>
      <c r="AQ940" s="9"/>
      <c r="AR940" s="9"/>
    </row>
    <row r="941">
      <c r="A941" s="523"/>
      <c r="B941" s="523"/>
      <c r="C941" s="523"/>
      <c r="D941" s="523"/>
      <c r="E941" s="523"/>
      <c r="F941" s="523"/>
      <c r="G941" s="523"/>
      <c r="H941" s="523"/>
      <c r="I941" s="523"/>
      <c r="J941" s="523"/>
      <c r="K941" s="523"/>
      <c r="L941" s="523"/>
      <c r="M941" s="523"/>
      <c r="N941" s="523"/>
      <c r="O941" s="523"/>
      <c r="P941" s="523"/>
      <c r="Q941" s="523"/>
      <c r="R941" s="523"/>
      <c r="S941" s="523"/>
      <c r="T941" s="523"/>
      <c r="U941" s="523"/>
      <c r="V941" s="224"/>
      <c r="W941" s="224"/>
      <c r="X941" s="224"/>
      <c r="Y941" s="224"/>
      <c r="Z941" s="868"/>
      <c r="AA941" s="865"/>
      <c r="AB941" s="2"/>
      <c r="AC941" s="2"/>
      <c r="AD941" s="2"/>
      <c r="AE941" s="2"/>
      <c r="AF941" s="2"/>
      <c r="AG941" s="2"/>
      <c r="AH941" s="2"/>
      <c r="AI941" s="2"/>
      <c r="AJ941" s="2"/>
      <c r="AK941" s="2"/>
      <c r="AL941" s="2"/>
      <c r="AM941" s="2"/>
      <c r="AN941" s="2"/>
      <c r="AO941" s="9"/>
      <c r="AP941" s="9"/>
      <c r="AQ941" s="9"/>
      <c r="AR941" s="9"/>
    </row>
    <row r="942">
      <c r="A942" s="523"/>
      <c r="B942" s="523"/>
      <c r="C942" s="523"/>
      <c r="D942" s="523"/>
      <c r="E942" s="523"/>
      <c r="F942" s="523"/>
      <c r="G942" s="523"/>
      <c r="H942" s="523"/>
      <c r="I942" s="523"/>
      <c r="J942" s="523"/>
      <c r="K942" s="523"/>
      <c r="L942" s="523"/>
      <c r="M942" s="523"/>
      <c r="N942" s="523"/>
      <c r="O942" s="523"/>
      <c r="P942" s="523"/>
      <c r="Q942" s="523"/>
      <c r="R942" s="523"/>
      <c r="S942" s="523"/>
      <c r="T942" s="523"/>
      <c r="U942" s="523"/>
      <c r="V942" s="224"/>
      <c r="W942" s="224"/>
      <c r="X942" s="224"/>
      <c r="Y942" s="224"/>
      <c r="Z942" s="868"/>
      <c r="AA942" s="865"/>
      <c r="AB942" s="2"/>
      <c r="AC942" s="2"/>
      <c r="AD942" s="2"/>
      <c r="AE942" s="2"/>
      <c r="AF942" s="2"/>
      <c r="AG942" s="2"/>
      <c r="AH942" s="2"/>
      <c r="AI942" s="2"/>
      <c r="AJ942" s="2"/>
      <c r="AK942" s="2"/>
      <c r="AL942" s="2"/>
      <c r="AM942" s="2"/>
      <c r="AN942" s="2"/>
      <c r="AO942" s="9"/>
      <c r="AP942" s="9"/>
      <c r="AQ942" s="9"/>
      <c r="AR942" s="9"/>
    </row>
    <row r="943">
      <c r="A943" s="523"/>
      <c r="B943" s="523"/>
      <c r="C943" s="523"/>
      <c r="D943" s="523"/>
      <c r="E943" s="523"/>
      <c r="F943" s="523"/>
      <c r="G943" s="523"/>
      <c r="H943" s="523"/>
      <c r="I943" s="523"/>
      <c r="J943" s="523"/>
      <c r="K943" s="523"/>
      <c r="L943" s="523"/>
      <c r="M943" s="523"/>
      <c r="N943" s="523"/>
      <c r="O943" s="523"/>
      <c r="P943" s="523"/>
      <c r="Q943" s="523"/>
      <c r="R943" s="523"/>
      <c r="S943" s="523"/>
      <c r="T943" s="523"/>
      <c r="U943" s="523"/>
      <c r="V943" s="224"/>
      <c r="W943" s="224"/>
      <c r="X943" s="224"/>
      <c r="Y943" s="224"/>
      <c r="Z943" s="868"/>
      <c r="AA943" s="865"/>
      <c r="AB943" s="2"/>
      <c r="AC943" s="2"/>
      <c r="AD943" s="2"/>
      <c r="AE943" s="2"/>
      <c r="AF943" s="2"/>
      <c r="AG943" s="2"/>
      <c r="AH943" s="2"/>
      <c r="AI943" s="2"/>
      <c r="AJ943" s="2"/>
      <c r="AK943" s="2"/>
      <c r="AL943" s="2"/>
      <c r="AM943" s="2"/>
      <c r="AN943" s="2"/>
      <c r="AO943" s="9"/>
      <c r="AP943" s="9"/>
      <c r="AQ943" s="9"/>
      <c r="AR943" s="9"/>
    </row>
    <row r="944">
      <c r="A944" s="523"/>
      <c r="B944" s="523"/>
      <c r="C944" s="523"/>
      <c r="D944" s="523"/>
      <c r="E944" s="523"/>
      <c r="F944" s="523"/>
      <c r="G944" s="523"/>
      <c r="H944" s="523"/>
      <c r="I944" s="523"/>
      <c r="J944" s="523"/>
      <c r="K944" s="523"/>
      <c r="L944" s="523"/>
      <c r="M944" s="523"/>
      <c r="N944" s="523"/>
      <c r="O944" s="523"/>
      <c r="P944" s="523"/>
      <c r="Q944" s="523"/>
      <c r="R944" s="523"/>
      <c r="S944" s="523"/>
      <c r="T944" s="523"/>
      <c r="U944" s="523"/>
      <c r="V944" s="224"/>
      <c r="W944" s="224"/>
      <c r="X944" s="224"/>
      <c r="Y944" s="224"/>
      <c r="Z944" s="868"/>
      <c r="AA944" s="865"/>
      <c r="AB944" s="2"/>
      <c r="AC944" s="2"/>
      <c r="AD944" s="2"/>
      <c r="AE944" s="2"/>
      <c r="AF944" s="2"/>
      <c r="AG944" s="2"/>
      <c r="AH944" s="2"/>
      <c r="AI944" s="2"/>
      <c r="AJ944" s="2"/>
      <c r="AK944" s="2"/>
      <c r="AL944" s="2"/>
      <c r="AM944" s="2"/>
      <c r="AN944" s="2"/>
      <c r="AO944" s="9"/>
      <c r="AP944" s="9"/>
      <c r="AQ944" s="9"/>
      <c r="AR944" s="9"/>
    </row>
    <row r="945">
      <c r="A945" s="523"/>
      <c r="B945" s="523"/>
      <c r="C945" s="523"/>
      <c r="D945" s="523"/>
      <c r="E945" s="523"/>
      <c r="F945" s="523"/>
      <c r="G945" s="523"/>
      <c r="H945" s="523"/>
      <c r="I945" s="523"/>
      <c r="J945" s="523"/>
      <c r="K945" s="523"/>
      <c r="L945" s="523"/>
      <c r="M945" s="523"/>
      <c r="N945" s="523"/>
      <c r="O945" s="523"/>
      <c r="P945" s="523"/>
      <c r="Q945" s="523"/>
      <c r="R945" s="523"/>
      <c r="S945" s="523"/>
      <c r="T945" s="523"/>
      <c r="U945" s="523"/>
      <c r="V945" s="224"/>
      <c r="W945" s="224"/>
      <c r="X945" s="224"/>
      <c r="Y945" s="224"/>
      <c r="Z945" s="868"/>
      <c r="AA945" s="865"/>
      <c r="AB945" s="2"/>
      <c r="AC945" s="2"/>
      <c r="AD945" s="2"/>
      <c r="AE945" s="2"/>
      <c r="AF945" s="2"/>
      <c r="AG945" s="2"/>
      <c r="AH945" s="2"/>
      <c r="AI945" s="2"/>
      <c r="AJ945" s="2"/>
      <c r="AK945" s="2"/>
      <c r="AL945" s="2"/>
      <c r="AM945" s="2"/>
      <c r="AN945" s="2"/>
      <c r="AO945" s="9"/>
      <c r="AP945" s="9"/>
      <c r="AQ945" s="9"/>
      <c r="AR945" s="9"/>
    </row>
    <row r="946">
      <c r="A946" s="523"/>
      <c r="B946" s="523"/>
      <c r="C946" s="523"/>
      <c r="D946" s="523"/>
      <c r="E946" s="523"/>
      <c r="F946" s="523"/>
      <c r="G946" s="523"/>
      <c r="H946" s="523"/>
      <c r="I946" s="523"/>
      <c r="J946" s="523"/>
      <c r="K946" s="523"/>
      <c r="L946" s="523"/>
      <c r="M946" s="523"/>
      <c r="N946" s="523"/>
      <c r="O946" s="523"/>
      <c r="P946" s="523"/>
      <c r="Q946" s="523"/>
      <c r="R946" s="523"/>
      <c r="S946" s="523"/>
      <c r="T946" s="523"/>
      <c r="U946" s="523"/>
      <c r="V946" s="224"/>
      <c r="W946" s="224"/>
      <c r="X946" s="224"/>
      <c r="Y946" s="224"/>
      <c r="Z946" s="868"/>
      <c r="AA946" s="865"/>
      <c r="AB946" s="2"/>
      <c r="AC946" s="2"/>
      <c r="AD946" s="2"/>
      <c r="AE946" s="2"/>
      <c r="AF946" s="2"/>
      <c r="AG946" s="2"/>
      <c r="AH946" s="2"/>
      <c r="AI946" s="2"/>
      <c r="AJ946" s="2"/>
      <c r="AK946" s="2"/>
      <c r="AL946" s="2"/>
      <c r="AM946" s="2"/>
      <c r="AN946" s="2"/>
      <c r="AO946" s="9"/>
      <c r="AP946" s="9"/>
      <c r="AQ946" s="9"/>
      <c r="AR946" s="9"/>
    </row>
    <row r="947">
      <c r="A947" s="523"/>
      <c r="B947" s="523"/>
      <c r="C947" s="523"/>
      <c r="D947" s="523"/>
      <c r="E947" s="523"/>
      <c r="F947" s="523"/>
      <c r="G947" s="523"/>
      <c r="H947" s="523"/>
      <c r="I947" s="523"/>
      <c r="J947" s="523"/>
      <c r="K947" s="523"/>
      <c r="L947" s="523"/>
      <c r="M947" s="523"/>
      <c r="N947" s="523"/>
      <c r="O947" s="523"/>
      <c r="P947" s="523"/>
      <c r="Q947" s="523"/>
      <c r="R947" s="523"/>
      <c r="S947" s="523"/>
      <c r="T947" s="523"/>
      <c r="U947" s="523"/>
      <c r="V947" s="224"/>
      <c r="W947" s="224"/>
      <c r="X947" s="224"/>
      <c r="Y947" s="224"/>
      <c r="Z947" s="868"/>
      <c r="AA947" s="865"/>
      <c r="AB947" s="2"/>
      <c r="AC947" s="2"/>
      <c r="AD947" s="2"/>
      <c r="AE947" s="2"/>
      <c r="AF947" s="2"/>
      <c r="AG947" s="2"/>
      <c r="AH947" s="2"/>
      <c r="AI947" s="2"/>
      <c r="AJ947" s="2"/>
      <c r="AK947" s="2"/>
      <c r="AL947" s="2"/>
      <c r="AM947" s="2"/>
      <c r="AN947" s="2"/>
      <c r="AO947" s="9"/>
      <c r="AP947" s="9"/>
      <c r="AQ947" s="9"/>
      <c r="AR947" s="9"/>
    </row>
    <row r="948">
      <c r="A948" s="523"/>
      <c r="B948" s="523"/>
      <c r="C948" s="523"/>
      <c r="D948" s="523"/>
      <c r="E948" s="523"/>
      <c r="F948" s="523"/>
      <c r="G948" s="523"/>
      <c r="H948" s="523"/>
      <c r="I948" s="523"/>
      <c r="J948" s="523"/>
      <c r="K948" s="523"/>
      <c r="L948" s="523"/>
      <c r="M948" s="523"/>
      <c r="N948" s="523"/>
      <c r="O948" s="523"/>
      <c r="P948" s="523"/>
      <c r="Q948" s="523"/>
      <c r="R948" s="523"/>
      <c r="S948" s="523"/>
      <c r="T948" s="523"/>
      <c r="U948" s="523"/>
      <c r="V948" s="224"/>
      <c r="W948" s="224"/>
      <c r="X948" s="224"/>
      <c r="Y948" s="224"/>
      <c r="Z948" s="868"/>
      <c r="AA948" s="865"/>
      <c r="AB948" s="2"/>
      <c r="AC948" s="2"/>
      <c r="AD948" s="2"/>
      <c r="AE948" s="2"/>
      <c r="AF948" s="2"/>
      <c r="AG948" s="2"/>
      <c r="AH948" s="2"/>
      <c r="AI948" s="2"/>
      <c r="AJ948" s="2"/>
      <c r="AK948" s="2"/>
      <c r="AL948" s="2"/>
      <c r="AM948" s="2"/>
      <c r="AN948" s="2"/>
      <c r="AO948" s="9"/>
      <c r="AP948" s="9"/>
      <c r="AQ948" s="9"/>
      <c r="AR948" s="9"/>
    </row>
    <row r="949">
      <c r="A949" s="523"/>
      <c r="B949" s="523"/>
      <c r="C949" s="523"/>
      <c r="D949" s="523"/>
      <c r="E949" s="523"/>
      <c r="F949" s="523"/>
      <c r="G949" s="523"/>
      <c r="H949" s="523"/>
      <c r="I949" s="523"/>
      <c r="J949" s="523"/>
      <c r="K949" s="523"/>
      <c r="L949" s="523"/>
      <c r="M949" s="523"/>
      <c r="N949" s="523"/>
      <c r="O949" s="523"/>
      <c r="P949" s="523"/>
      <c r="Q949" s="523"/>
      <c r="R949" s="523"/>
      <c r="S949" s="523"/>
      <c r="T949" s="523"/>
      <c r="U949" s="523"/>
      <c r="V949" s="224"/>
      <c r="W949" s="224"/>
      <c r="X949" s="224"/>
      <c r="Y949" s="224"/>
      <c r="Z949" s="868"/>
      <c r="AA949" s="865"/>
      <c r="AB949" s="2"/>
      <c r="AC949" s="2"/>
      <c r="AD949" s="2"/>
      <c r="AE949" s="2"/>
      <c r="AF949" s="2"/>
      <c r="AG949" s="2"/>
      <c r="AH949" s="2"/>
      <c r="AI949" s="2"/>
      <c r="AJ949" s="2"/>
      <c r="AK949" s="2"/>
      <c r="AL949" s="2"/>
      <c r="AM949" s="2"/>
      <c r="AN949" s="2"/>
      <c r="AO949" s="9"/>
      <c r="AP949" s="9"/>
      <c r="AQ949" s="9"/>
      <c r="AR949" s="9"/>
    </row>
    <row r="950">
      <c r="A950" s="523"/>
      <c r="B950" s="523"/>
      <c r="C950" s="523"/>
      <c r="D950" s="523"/>
      <c r="E950" s="523"/>
      <c r="F950" s="523"/>
      <c r="G950" s="523"/>
      <c r="H950" s="523"/>
      <c r="I950" s="523"/>
      <c r="J950" s="523"/>
      <c r="K950" s="523"/>
      <c r="L950" s="523"/>
      <c r="M950" s="523"/>
      <c r="N950" s="523"/>
      <c r="O950" s="523"/>
      <c r="P950" s="523"/>
      <c r="Q950" s="523"/>
      <c r="R950" s="523"/>
      <c r="S950" s="523"/>
      <c r="T950" s="523"/>
      <c r="U950" s="523"/>
      <c r="V950" s="224"/>
      <c r="W950" s="224"/>
      <c r="X950" s="224"/>
      <c r="Y950" s="224"/>
      <c r="Z950" s="868"/>
      <c r="AA950" s="865"/>
      <c r="AB950" s="2"/>
      <c r="AC950" s="2"/>
      <c r="AD950" s="2"/>
      <c r="AE950" s="2"/>
      <c r="AF950" s="2"/>
      <c r="AG950" s="2"/>
      <c r="AH950" s="2"/>
      <c r="AI950" s="2"/>
      <c r="AJ950" s="2"/>
      <c r="AK950" s="2"/>
      <c r="AL950" s="2"/>
      <c r="AM950" s="2"/>
      <c r="AN950" s="2"/>
      <c r="AO950" s="9"/>
      <c r="AP950" s="9"/>
      <c r="AQ950" s="9"/>
      <c r="AR950" s="9"/>
    </row>
    <row r="951">
      <c r="A951" s="523"/>
      <c r="B951" s="523"/>
      <c r="C951" s="523"/>
      <c r="D951" s="523"/>
      <c r="E951" s="523"/>
      <c r="F951" s="523"/>
      <c r="G951" s="523"/>
      <c r="H951" s="523"/>
      <c r="I951" s="523"/>
      <c r="J951" s="523"/>
      <c r="K951" s="523"/>
      <c r="L951" s="523"/>
      <c r="M951" s="523"/>
      <c r="N951" s="523"/>
      <c r="O951" s="523"/>
      <c r="P951" s="523"/>
      <c r="Q951" s="523"/>
      <c r="R951" s="523"/>
      <c r="S951" s="523"/>
      <c r="T951" s="523"/>
      <c r="U951" s="523"/>
      <c r="V951" s="224"/>
      <c r="W951" s="224"/>
      <c r="X951" s="224"/>
      <c r="Y951" s="224"/>
      <c r="Z951" s="868"/>
      <c r="AA951" s="865"/>
      <c r="AB951" s="2"/>
      <c r="AC951" s="2"/>
      <c r="AD951" s="2"/>
      <c r="AE951" s="2"/>
      <c r="AF951" s="2"/>
      <c r="AG951" s="2"/>
      <c r="AH951" s="2"/>
      <c r="AI951" s="2"/>
      <c r="AJ951" s="2"/>
      <c r="AK951" s="2"/>
      <c r="AL951" s="2"/>
      <c r="AM951" s="2"/>
      <c r="AN951" s="2"/>
      <c r="AO951" s="9"/>
      <c r="AP951" s="9"/>
      <c r="AQ951" s="9"/>
      <c r="AR951" s="9"/>
    </row>
    <row r="952">
      <c r="A952" s="523"/>
      <c r="B952" s="523"/>
      <c r="C952" s="523"/>
      <c r="D952" s="523"/>
      <c r="E952" s="523"/>
      <c r="F952" s="523"/>
      <c r="G952" s="523"/>
      <c r="H952" s="523"/>
      <c r="I952" s="523"/>
      <c r="J952" s="523"/>
      <c r="K952" s="523"/>
      <c r="L952" s="523"/>
      <c r="M952" s="523"/>
      <c r="N952" s="523"/>
      <c r="O952" s="523"/>
      <c r="P952" s="523"/>
      <c r="Q952" s="523"/>
      <c r="R952" s="523"/>
      <c r="S952" s="523"/>
      <c r="T952" s="523"/>
      <c r="U952" s="523"/>
      <c r="V952" s="224"/>
      <c r="W952" s="224"/>
      <c r="X952" s="224"/>
      <c r="Y952" s="224"/>
      <c r="Z952" s="868"/>
      <c r="AA952" s="865"/>
      <c r="AB952" s="2"/>
      <c r="AC952" s="2"/>
      <c r="AD952" s="2"/>
      <c r="AE952" s="2"/>
      <c r="AF952" s="2"/>
      <c r="AG952" s="2"/>
      <c r="AH952" s="2"/>
      <c r="AI952" s="2"/>
      <c r="AJ952" s="2"/>
      <c r="AK952" s="2"/>
      <c r="AL952" s="2"/>
      <c r="AM952" s="2"/>
      <c r="AN952" s="2"/>
      <c r="AO952" s="9"/>
      <c r="AP952" s="9"/>
      <c r="AQ952" s="9"/>
      <c r="AR952" s="9"/>
    </row>
    <row r="953">
      <c r="A953" s="523"/>
      <c r="B953" s="523"/>
      <c r="C953" s="523"/>
      <c r="D953" s="523"/>
      <c r="E953" s="523"/>
      <c r="F953" s="523"/>
      <c r="G953" s="523"/>
      <c r="H953" s="523"/>
      <c r="I953" s="523"/>
      <c r="J953" s="523"/>
      <c r="K953" s="523"/>
      <c r="L953" s="523"/>
      <c r="M953" s="523"/>
      <c r="N953" s="523"/>
      <c r="O953" s="523"/>
      <c r="P953" s="523"/>
      <c r="Q953" s="523"/>
      <c r="R953" s="523"/>
      <c r="S953" s="523"/>
      <c r="T953" s="523"/>
      <c r="U953" s="523"/>
      <c r="V953" s="224"/>
      <c r="W953" s="224"/>
      <c r="X953" s="224"/>
      <c r="Y953" s="224"/>
      <c r="Z953" s="868"/>
      <c r="AA953" s="865"/>
      <c r="AB953" s="2"/>
      <c r="AC953" s="2"/>
      <c r="AD953" s="2"/>
      <c r="AE953" s="2"/>
      <c r="AF953" s="2"/>
      <c r="AG953" s="2"/>
      <c r="AH953" s="2"/>
      <c r="AI953" s="2"/>
      <c r="AJ953" s="2"/>
      <c r="AK953" s="2"/>
      <c r="AL953" s="2"/>
      <c r="AM953" s="2"/>
      <c r="AN953" s="2"/>
      <c r="AO953" s="9"/>
      <c r="AP953" s="9"/>
      <c r="AQ953" s="9"/>
      <c r="AR953" s="9"/>
    </row>
    <row r="954">
      <c r="A954" s="523"/>
      <c r="B954" s="523"/>
      <c r="C954" s="523"/>
      <c r="D954" s="523"/>
      <c r="E954" s="523"/>
      <c r="F954" s="523"/>
      <c r="G954" s="523"/>
      <c r="H954" s="523"/>
      <c r="I954" s="523"/>
      <c r="J954" s="523"/>
      <c r="K954" s="523"/>
      <c r="L954" s="523"/>
      <c r="M954" s="523"/>
      <c r="N954" s="523"/>
      <c r="O954" s="523"/>
      <c r="P954" s="523"/>
      <c r="Q954" s="523"/>
      <c r="R954" s="523"/>
      <c r="S954" s="523"/>
      <c r="T954" s="523"/>
      <c r="U954" s="523"/>
      <c r="V954" s="224"/>
      <c r="W954" s="224"/>
      <c r="X954" s="224"/>
      <c r="Y954" s="224"/>
      <c r="Z954" s="868"/>
      <c r="AA954" s="865"/>
      <c r="AB954" s="2"/>
      <c r="AC954" s="2"/>
      <c r="AD954" s="2"/>
      <c r="AE954" s="2"/>
      <c r="AF954" s="2"/>
      <c r="AG954" s="2"/>
      <c r="AH954" s="2"/>
      <c r="AI954" s="2"/>
      <c r="AJ954" s="2"/>
      <c r="AK954" s="2"/>
      <c r="AL954" s="2"/>
      <c r="AM954" s="2"/>
      <c r="AN954" s="2"/>
      <c r="AO954" s="9"/>
      <c r="AP954" s="9"/>
      <c r="AQ954" s="9"/>
      <c r="AR954" s="9"/>
    </row>
    <row r="955">
      <c r="A955" s="523"/>
      <c r="B955" s="523"/>
      <c r="C955" s="523"/>
      <c r="D955" s="523"/>
      <c r="E955" s="523"/>
      <c r="F955" s="523"/>
      <c r="G955" s="523"/>
      <c r="H955" s="523"/>
      <c r="I955" s="523"/>
      <c r="J955" s="523"/>
      <c r="K955" s="523"/>
      <c r="L955" s="523"/>
      <c r="M955" s="523"/>
      <c r="N955" s="523"/>
      <c r="O955" s="523"/>
      <c r="P955" s="523"/>
      <c r="Q955" s="523"/>
      <c r="R955" s="523"/>
      <c r="S955" s="523"/>
      <c r="T955" s="523"/>
      <c r="U955" s="523"/>
      <c r="V955" s="224"/>
      <c r="W955" s="224"/>
      <c r="X955" s="224"/>
      <c r="Y955" s="224"/>
      <c r="Z955" s="868"/>
      <c r="AA955" s="865"/>
      <c r="AB955" s="2"/>
      <c r="AC955" s="2"/>
      <c r="AD955" s="2"/>
      <c r="AE955" s="2"/>
      <c r="AF955" s="2"/>
      <c r="AG955" s="2"/>
      <c r="AH955" s="2"/>
      <c r="AI955" s="2"/>
      <c r="AJ955" s="2"/>
      <c r="AK955" s="2"/>
      <c r="AL955" s="2"/>
      <c r="AM955" s="2"/>
      <c r="AN955" s="2"/>
      <c r="AO955" s="9"/>
      <c r="AP955" s="9"/>
      <c r="AQ955" s="9"/>
      <c r="AR955" s="9"/>
    </row>
    <row r="956">
      <c r="A956" s="523"/>
      <c r="B956" s="523"/>
      <c r="C956" s="523"/>
      <c r="D956" s="523"/>
      <c r="E956" s="523"/>
      <c r="F956" s="523"/>
      <c r="G956" s="523"/>
      <c r="H956" s="523"/>
      <c r="I956" s="523"/>
      <c r="J956" s="523"/>
      <c r="K956" s="523"/>
      <c r="L956" s="523"/>
      <c r="M956" s="523"/>
      <c r="N956" s="523"/>
      <c r="O956" s="523"/>
      <c r="P956" s="523"/>
      <c r="Q956" s="523"/>
      <c r="R956" s="523"/>
      <c r="S956" s="523"/>
      <c r="T956" s="523"/>
      <c r="U956" s="523"/>
      <c r="V956" s="224"/>
      <c r="W956" s="224"/>
      <c r="X956" s="224"/>
      <c r="Y956" s="224"/>
      <c r="Z956" s="868"/>
      <c r="AA956" s="865"/>
      <c r="AB956" s="2"/>
      <c r="AC956" s="2"/>
      <c r="AD956" s="2"/>
      <c r="AE956" s="2"/>
      <c r="AF956" s="2"/>
      <c r="AG956" s="2"/>
      <c r="AH956" s="2"/>
      <c r="AI956" s="2"/>
      <c r="AJ956" s="2"/>
      <c r="AK956" s="2"/>
      <c r="AL956" s="2"/>
      <c r="AM956" s="2"/>
      <c r="AN956" s="2"/>
      <c r="AO956" s="9"/>
      <c r="AP956" s="9"/>
      <c r="AQ956" s="9"/>
      <c r="AR956" s="9"/>
    </row>
    <row r="957">
      <c r="A957" s="523"/>
      <c r="B957" s="523"/>
      <c r="C957" s="523"/>
      <c r="D957" s="523"/>
      <c r="E957" s="523"/>
      <c r="F957" s="523"/>
      <c r="G957" s="523"/>
      <c r="H957" s="523"/>
      <c r="I957" s="523"/>
      <c r="J957" s="523"/>
      <c r="K957" s="523"/>
      <c r="L957" s="523"/>
      <c r="M957" s="523"/>
      <c r="N957" s="523"/>
      <c r="O957" s="523"/>
      <c r="P957" s="523"/>
      <c r="Q957" s="523"/>
      <c r="R957" s="523"/>
      <c r="S957" s="523"/>
      <c r="T957" s="523"/>
      <c r="U957" s="523"/>
      <c r="V957" s="224"/>
      <c r="W957" s="224"/>
      <c r="X957" s="224"/>
      <c r="Y957" s="224"/>
      <c r="Z957" s="868"/>
      <c r="AA957" s="865"/>
      <c r="AB957" s="2"/>
      <c r="AC957" s="2"/>
      <c r="AD957" s="2"/>
      <c r="AE957" s="2"/>
      <c r="AF957" s="2"/>
      <c r="AG957" s="2"/>
      <c r="AH957" s="2"/>
      <c r="AI957" s="2"/>
      <c r="AJ957" s="2"/>
      <c r="AK957" s="2"/>
      <c r="AL957" s="2"/>
      <c r="AM957" s="2"/>
      <c r="AN957" s="2"/>
      <c r="AO957" s="9"/>
      <c r="AP957" s="9"/>
      <c r="AQ957" s="9"/>
      <c r="AR957" s="9"/>
    </row>
    <row r="958">
      <c r="A958" s="523"/>
      <c r="B958" s="523"/>
      <c r="C958" s="523"/>
      <c r="D958" s="523"/>
      <c r="E958" s="523"/>
      <c r="F958" s="523"/>
      <c r="G958" s="523"/>
      <c r="H958" s="523"/>
      <c r="I958" s="523"/>
      <c r="J958" s="523"/>
      <c r="K958" s="523"/>
      <c r="L958" s="523"/>
      <c r="M958" s="523"/>
      <c r="N958" s="523"/>
      <c r="O958" s="523"/>
      <c r="P958" s="523"/>
      <c r="Q958" s="523"/>
      <c r="R958" s="523"/>
      <c r="S958" s="523"/>
      <c r="T958" s="523"/>
      <c r="U958" s="523"/>
      <c r="V958" s="224"/>
      <c r="W958" s="224"/>
      <c r="X958" s="224"/>
      <c r="Y958" s="224"/>
      <c r="Z958" s="868"/>
      <c r="AA958" s="865"/>
      <c r="AB958" s="2"/>
      <c r="AC958" s="2"/>
      <c r="AD958" s="2"/>
      <c r="AE958" s="2"/>
      <c r="AF958" s="2"/>
      <c r="AG958" s="2"/>
      <c r="AH958" s="2"/>
      <c r="AI958" s="2"/>
      <c r="AJ958" s="2"/>
      <c r="AK958" s="2"/>
      <c r="AL958" s="2"/>
      <c r="AM958" s="2"/>
      <c r="AN958" s="2"/>
      <c r="AO958" s="9"/>
      <c r="AP958" s="9"/>
      <c r="AQ958" s="9"/>
      <c r="AR958" s="9"/>
    </row>
    <row r="959">
      <c r="A959" s="523"/>
      <c r="B959" s="523"/>
      <c r="C959" s="523"/>
      <c r="D959" s="523"/>
      <c r="E959" s="523"/>
      <c r="F959" s="523"/>
      <c r="G959" s="523"/>
      <c r="H959" s="523"/>
      <c r="I959" s="523"/>
      <c r="J959" s="523"/>
      <c r="K959" s="523"/>
      <c r="L959" s="523"/>
      <c r="M959" s="523"/>
      <c r="N959" s="523"/>
      <c r="O959" s="523"/>
      <c r="P959" s="523"/>
      <c r="Q959" s="523"/>
      <c r="R959" s="523"/>
      <c r="S959" s="523"/>
      <c r="T959" s="523"/>
      <c r="U959" s="523"/>
      <c r="V959" s="224"/>
      <c r="W959" s="224"/>
      <c r="X959" s="224"/>
      <c r="Y959" s="224"/>
      <c r="Z959" s="868"/>
      <c r="AA959" s="865"/>
      <c r="AB959" s="2"/>
      <c r="AC959" s="2"/>
      <c r="AD959" s="2"/>
      <c r="AE959" s="2"/>
      <c r="AF959" s="2"/>
      <c r="AG959" s="2"/>
      <c r="AH959" s="2"/>
      <c r="AI959" s="2"/>
      <c r="AJ959" s="2"/>
      <c r="AK959" s="2"/>
      <c r="AL959" s="2"/>
      <c r="AM959" s="2"/>
      <c r="AN959" s="2"/>
      <c r="AO959" s="9"/>
      <c r="AP959" s="9"/>
      <c r="AQ959" s="9"/>
      <c r="AR959" s="9"/>
    </row>
    <row r="960">
      <c r="A960" s="523"/>
      <c r="B960" s="523"/>
      <c r="C960" s="523"/>
      <c r="D960" s="523"/>
      <c r="E960" s="523"/>
      <c r="F960" s="523"/>
      <c r="G960" s="523"/>
      <c r="H960" s="523"/>
      <c r="I960" s="523"/>
      <c r="J960" s="523"/>
      <c r="K960" s="523"/>
      <c r="L960" s="523"/>
      <c r="M960" s="523"/>
      <c r="N960" s="523"/>
      <c r="O960" s="523"/>
      <c r="P960" s="523"/>
      <c r="Q960" s="523"/>
      <c r="R960" s="523"/>
      <c r="S960" s="523"/>
      <c r="T960" s="523"/>
      <c r="U960" s="523"/>
      <c r="V960" s="224"/>
      <c r="W960" s="224"/>
      <c r="X960" s="224"/>
      <c r="Y960" s="224"/>
      <c r="Z960" s="868"/>
      <c r="AA960" s="865"/>
      <c r="AB960" s="2"/>
      <c r="AC960" s="2"/>
      <c r="AD960" s="2"/>
      <c r="AE960" s="2"/>
      <c r="AF960" s="2"/>
      <c r="AG960" s="2"/>
      <c r="AH960" s="2"/>
      <c r="AI960" s="2"/>
      <c r="AJ960" s="2"/>
      <c r="AK960" s="2"/>
      <c r="AL960" s="2"/>
      <c r="AM960" s="2"/>
      <c r="AN960" s="2"/>
      <c r="AO960" s="9"/>
      <c r="AP960" s="9"/>
      <c r="AQ960" s="9"/>
      <c r="AR960" s="9"/>
    </row>
    <row r="961">
      <c r="A961" s="523"/>
      <c r="B961" s="523"/>
      <c r="C961" s="523"/>
      <c r="D961" s="523"/>
      <c r="E961" s="523"/>
      <c r="F961" s="523"/>
      <c r="G961" s="523"/>
      <c r="H961" s="523"/>
      <c r="I961" s="523"/>
      <c r="J961" s="523"/>
      <c r="K961" s="523"/>
      <c r="L961" s="523"/>
      <c r="M961" s="523"/>
      <c r="N961" s="523"/>
      <c r="O961" s="523"/>
      <c r="P961" s="523"/>
      <c r="Q961" s="523"/>
      <c r="R961" s="523"/>
      <c r="S961" s="523"/>
      <c r="T961" s="523"/>
      <c r="U961" s="523"/>
      <c r="V961" s="224"/>
      <c r="W961" s="224"/>
      <c r="X961" s="224"/>
      <c r="Y961" s="224"/>
      <c r="Z961" s="868"/>
      <c r="AA961" s="865"/>
      <c r="AB961" s="2"/>
      <c r="AC961" s="2"/>
      <c r="AD961" s="2"/>
      <c r="AE961" s="2"/>
      <c r="AF961" s="2"/>
      <c r="AG961" s="2"/>
      <c r="AH961" s="2"/>
      <c r="AI961" s="2"/>
      <c r="AJ961" s="2"/>
      <c r="AK961" s="2"/>
      <c r="AL961" s="2"/>
      <c r="AM961" s="2"/>
      <c r="AN961" s="2"/>
      <c r="AO961" s="9"/>
      <c r="AP961" s="9"/>
      <c r="AQ961" s="9"/>
      <c r="AR961" s="9"/>
    </row>
    <row r="962">
      <c r="A962" s="523"/>
      <c r="B962" s="523"/>
      <c r="C962" s="523"/>
      <c r="D962" s="523"/>
      <c r="E962" s="523"/>
      <c r="F962" s="523"/>
      <c r="G962" s="523"/>
      <c r="H962" s="523"/>
      <c r="I962" s="523"/>
      <c r="J962" s="523"/>
      <c r="K962" s="523"/>
      <c r="L962" s="523"/>
      <c r="M962" s="523"/>
      <c r="N962" s="523"/>
      <c r="O962" s="523"/>
      <c r="P962" s="523"/>
      <c r="Q962" s="523"/>
      <c r="R962" s="523"/>
      <c r="S962" s="523"/>
      <c r="T962" s="523"/>
      <c r="U962" s="523"/>
      <c r="V962" s="224"/>
      <c r="W962" s="224"/>
      <c r="X962" s="224"/>
      <c r="Y962" s="224"/>
      <c r="Z962" s="868"/>
      <c r="AA962" s="865"/>
      <c r="AB962" s="2"/>
      <c r="AC962" s="2"/>
      <c r="AD962" s="2"/>
      <c r="AE962" s="2"/>
      <c r="AF962" s="2"/>
      <c r="AG962" s="2"/>
      <c r="AH962" s="2"/>
      <c r="AI962" s="2"/>
      <c r="AJ962" s="2"/>
      <c r="AK962" s="2"/>
      <c r="AL962" s="2"/>
      <c r="AM962" s="2"/>
      <c r="AN962" s="2"/>
      <c r="AO962" s="9"/>
      <c r="AP962" s="9"/>
      <c r="AQ962" s="9"/>
      <c r="AR962" s="9"/>
    </row>
    <row r="963">
      <c r="A963" s="523"/>
      <c r="B963" s="523"/>
      <c r="C963" s="523"/>
      <c r="D963" s="523"/>
      <c r="E963" s="523"/>
      <c r="F963" s="523"/>
      <c r="G963" s="523"/>
      <c r="H963" s="523"/>
      <c r="I963" s="523"/>
      <c r="J963" s="523"/>
      <c r="K963" s="523"/>
      <c r="L963" s="523"/>
      <c r="M963" s="523"/>
      <c r="N963" s="523"/>
      <c r="O963" s="523"/>
      <c r="P963" s="523"/>
      <c r="Q963" s="523"/>
      <c r="R963" s="523"/>
      <c r="S963" s="523"/>
      <c r="T963" s="523"/>
      <c r="U963" s="523"/>
      <c r="V963" s="224"/>
      <c r="W963" s="224"/>
      <c r="X963" s="224"/>
      <c r="Y963" s="224"/>
      <c r="Z963" s="868"/>
      <c r="AA963" s="865"/>
      <c r="AB963" s="2"/>
      <c r="AC963" s="2"/>
      <c r="AD963" s="2"/>
      <c r="AE963" s="2"/>
      <c r="AF963" s="2"/>
      <c r="AG963" s="2"/>
      <c r="AH963" s="2"/>
      <c r="AI963" s="2"/>
      <c r="AJ963" s="2"/>
      <c r="AK963" s="2"/>
      <c r="AL963" s="2"/>
      <c r="AM963" s="2"/>
      <c r="AN963" s="2"/>
      <c r="AO963" s="9"/>
      <c r="AP963" s="9"/>
      <c r="AQ963" s="9"/>
      <c r="AR963" s="9"/>
    </row>
    <row r="964">
      <c r="A964" s="523"/>
      <c r="B964" s="523"/>
      <c r="C964" s="523"/>
      <c r="D964" s="523"/>
      <c r="E964" s="523"/>
      <c r="F964" s="523"/>
      <c r="G964" s="523"/>
      <c r="H964" s="523"/>
      <c r="I964" s="523"/>
      <c r="J964" s="523"/>
      <c r="K964" s="523"/>
      <c r="L964" s="523"/>
      <c r="M964" s="523"/>
      <c r="N964" s="523"/>
      <c r="O964" s="523"/>
      <c r="P964" s="523"/>
      <c r="Q964" s="523"/>
      <c r="R964" s="523"/>
      <c r="S964" s="523"/>
      <c r="T964" s="523"/>
      <c r="U964" s="523"/>
      <c r="V964" s="224"/>
      <c r="W964" s="224"/>
      <c r="X964" s="224"/>
      <c r="Y964" s="224"/>
      <c r="Z964" s="868"/>
      <c r="AA964" s="865"/>
      <c r="AB964" s="2"/>
      <c r="AC964" s="2"/>
      <c r="AD964" s="2"/>
      <c r="AE964" s="2"/>
      <c r="AF964" s="2"/>
      <c r="AG964" s="2"/>
      <c r="AH964" s="2"/>
      <c r="AI964" s="2"/>
      <c r="AJ964" s="2"/>
      <c r="AK964" s="2"/>
      <c r="AL964" s="2"/>
      <c r="AM964" s="2"/>
      <c r="AN964" s="2"/>
      <c r="AO964" s="9"/>
      <c r="AP964" s="9"/>
      <c r="AQ964" s="9"/>
      <c r="AR964" s="9"/>
    </row>
    <row r="965">
      <c r="A965" s="523"/>
      <c r="B965" s="523"/>
      <c r="C965" s="523"/>
      <c r="D965" s="523"/>
      <c r="E965" s="523"/>
      <c r="F965" s="523"/>
      <c r="G965" s="523"/>
      <c r="H965" s="523"/>
      <c r="I965" s="523"/>
      <c r="J965" s="523"/>
      <c r="K965" s="523"/>
      <c r="L965" s="523"/>
      <c r="M965" s="523"/>
      <c r="N965" s="523"/>
      <c r="O965" s="523"/>
      <c r="P965" s="523"/>
      <c r="Q965" s="523"/>
      <c r="R965" s="523"/>
      <c r="S965" s="523"/>
      <c r="T965" s="523"/>
      <c r="U965" s="523"/>
      <c r="V965" s="224"/>
      <c r="W965" s="224"/>
      <c r="X965" s="224"/>
      <c r="Y965" s="224"/>
      <c r="Z965" s="868"/>
      <c r="AA965" s="865"/>
      <c r="AB965" s="2"/>
      <c r="AC965" s="2"/>
      <c r="AD965" s="2"/>
      <c r="AE965" s="2"/>
      <c r="AF965" s="2"/>
      <c r="AG965" s="2"/>
      <c r="AH965" s="2"/>
      <c r="AI965" s="2"/>
      <c r="AJ965" s="2"/>
      <c r="AK965" s="2"/>
      <c r="AL965" s="2"/>
      <c r="AM965" s="2"/>
      <c r="AN965" s="2"/>
      <c r="AO965" s="9"/>
      <c r="AP965" s="9"/>
      <c r="AQ965" s="9"/>
      <c r="AR965" s="9"/>
    </row>
    <row r="966">
      <c r="A966" s="523"/>
      <c r="B966" s="523"/>
      <c r="C966" s="523"/>
      <c r="D966" s="523"/>
      <c r="E966" s="523"/>
      <c r="F966" s="523"/>
      <c r="G966" s="523"/>
      <c r="H966" s="523"/>
      <c r="I966" s="523"/>
      <c r="J966" s="523"/>
      <c r="K966" s="523"/>
      <c r="L966" s="523"/>
      <c r="M966" s="523"/>
      <c r="N966" s="523"/>
      <c r="O966" s="523"/>
      <c r="P966" s="523"/>
      <c r="Q966" s="523"/>
      <c r="R966" s="523"/>
      <c r="S966" s="523"/>
      <c r="T966" s="523"/>
      <c r="U966" s="523"/>
      <c r="V966" s="224"/>
      <c r="W966" s="224"/>
      <c r="X966" s="224"/>
      <c r="Y966" s="224"/>
      <c r="Z966" s="868"/>
      <c r="AA966" s="865"/>
      <c r="AB966" s="2"/>
      <c r="AC966" s="2"/>
      <c r="AD966" s="2"/>
      <c r="AE966" s="2"/>
      <c r="AF966" s="2"/>
      <c r="AG966" s="2"/>
      <c r="AH966" s="2"/>
      <c r="AI966" s="2"/>
      <c r="AJ966" s="2"/>
      <c r="AK966" s="2"/>
      <c r="AL966" s="2"/>
      <c r="AM966" s="2"/>
      <c r="AN966" s="2"/>
      <c r="AO966" s="9"/>
      <c r="AP966" s="9"/>
      <c r="AQ966" s="9"/>
      <c r="AR966" s="9"/>
    </row>
    <row r="967">
      <c r="A967" s="523"/>
      <c r="B967" s="523"/>
      <c r="C967" s="523"/>
      <c r="D967" s="523"/>
      <c r="E967" s="523"/>
      <c r="F967" s="523"/>
      <c r="G967" s="523"/>
      <c r="H967" s="523"/>
      <c r="I967" s="523"/>
      <c r="J967" s="523"/>
      <c r="K967" s="523"/>
      <c r="L967" s="523"/>
      <c r="M967" s="523"/>
      <c r="N967" s="523"/>
      <c r="O967" s="523"/>
      <c r="P967" s="523"/>
      <c r="Q967" s="523"/>
      <c r="R967" s="523"/>
      <c r="S967" s="523"/>
      <c r="T967" s="523"/>
      <c r="U967" s="523"/>
      <c r="V967" s="224"/>
      <c r="W967" s="224"/>
      <c r="X967" s="224"/>
      <c r="Y967" s="224"/>
      <c r="Z967" s="868"/>
      <c r="AA967" s="865"/>
      <c r="AB967" s="2"/>
      <c r="AC967" s="2"/>
      <c r="AD967" s="2"/>
      <c r="AE967" s="2"/>
      <c r="AF967" s="2"/>
      <c r="AG967" s="2"/>
      <c r="AH967" s="2"/>
      <c r="AI967" s="2"/>
      <c r="AJ967" s="2"/>
      <c r="AK967" s="2"/>
      <c r="AL967" s="2"/>
      <c r="AM967" s="2"/>
      <c r="AN967" s="2"/>
      <c r="AO967" s="9"/>
      <c r="AP967" s="9"/>
      <c r="AQ967" s="9"/>
      <c r="AR967" s="9"/>
    </row>
    <row r="968">
      <c r="A968" s="523"/>
      <c r="B968" s="523"/>
      <c r="C968" s="523"/>
      <c r="D968" s="523"/>
      <c r="E968" s="523"/>
      <c r="F968" s="523"/>
      <c r="G968" s="523"/>
      <c r="H968" s="523"/>
      <c r="I968" s="523"/>
      <c r="J968" s="523"/>
      <c r="K968" s="523"/>
      <c r="L968" s="523"/>
      <c r="M968" s="523"/>
      <c r="N968" s="523"/>
      <c r="O968" s="523"/>
      <c r="P968" s="523"/>
      <c r="Q968" s="523"/>
      <c r="R968" s="523"/>
      <c r="S968" s="523"/>
      <c r="T968" s="523"/>
      <c r="U968" s="523"/>
      <c r="V968" s="224"/>
      <c r="W968" s="224"/>
      <c r="X968" s="224"/>
      <c r="Y968" s="224"/>
      <c r="Z968" s="868"/>
      <c r="AA968" s="865"/>
      <c r="AB968" s="2"/>
      <c r="AC968" s="2"/>
      <c r="AD968" s="2"/>
      <c r="AE968" s="2"/>
      <c r="AF968" s="2"/>
      <c r="AG968" s="2"/>
      <c r="AH968" s="2"/>
      <c r="AI968" s="2"/>
      <c r="AJ968" s="2"/>
      <c r="AK968" s="2"/>
      <c r="AL968" s="2"/>
      <c r="AM968" s="2"/>
      <c r="AN968" s="2"/>
      <c r="AO968" s="9"/>
      <c r="AP968" s="9"/>
      <c r="AQ968" s="9"/>
      <c r="AR968" s="9"/>
    </row>
    <row r="969">
      <c r="A969" s="523"/>
      <c r="B969" s="523"/>
      <c r="C969" s="523"/>
      <c r="D969" s="523"/>
      <c r="E969" s="523"/>
      <c r="F969" s="523"/>
      <c r="G969" s="523"/>
      <c r="H969" s="523"/>
      <c r="I969" s="523"/>
      <c r="J969" s="523"/>
      <c r="K969" s="523"/>
      <c r="L969" s="523"/>
      <c r="M969" s="523"/>
      <c r="N969" s="523"/>
      <c r="O969" s="523"/>
      <c r="P969" s="523"/>
      <c r="Q969" s="523"/>
      <c r="R969" s="523"/>
      <c r="S969" s="523"/>
      <c r="T969" s="523"/>
      <c r="U969" s="523"/>
      <c r="V969" s="224"/>
      <c r="W969" s="224"/>
      <c r="X969" s="224"/>
      <c r="Y969" s="224"/>
      <c r="Z969" s="868"/>
      <c r="AA969" s="865"/>
      <c r="AB969" s="2"/>
      <c r="AC969" s="2"/>
      <c r="AD969" s="2"/>
      <c r="AE969" s="2"/>
      <c r="AF969" s="2"/>
      <c r="AG969" s="2"/>
      <c r="AH969" s="2"/>
      <c r="AI969" s="2"/>
      <c r="AJ969" s="2"/>
      <c r="AK969" s="2"/>
      <c r="AL969" s="2"/>
      <c r="AM969" s="2"/>
      <c r="AN969" s="2"/>
      <c r="AO969" s="9"/>
      <c r="AP969" s="9"/>
      <c r="AQ969" s="9"/>
      <c r="AR969" s="9"/>
    </row>
    <row r="970">
      <c r="A970" s="523"/>
      <c r="B970" s="523"/>
      <c r="C970" s="523"/>
      <c r="D970" s="523"/>
      <c r="E970" s="523"/>
      <c r="F970" s="523"/>
      <c r="G970" s="523"/>
      <c r="H970" s="523"/>
      <c r="I970" s="523"/>
      <c r="J970" s="523"/>
      <c r="K970" s="523"/>
      <c r="L970" s="523"/>
      <c r="M970" s="523"/>
      <c r="N970" s="523"/>
      <c r="O970" s="523"/>
      <c r="P970" s="523"/>
      <c r="Q970" s="523"/>
      <c r="R970" s="523"/>
      <c r="S970" s="523"/>
      <c r="T970" s="523"/>
      <c r="U970" s="523"/>
      <c r="V970" s="224"/>
      <c r="W970" s="224"/>
      <c r="X970" s="224"/>
      <c r="Y970" s="224"/>
      <c r="Z970" s="868"/>
      <c r="AA970" s="865"/>
      <c r="AB970" s="2"/>
      <c r="AC970" s="2"/>
      <c r="AD970" s="2"/>
      <c r="AE970" s="2"/>
      <c r="AF970" s="2"/>
      <c r="AG970" s="2"/>
      <c r="AH970" s="2"/>
      <c r="AI970" s="2"/>
      <c r="AJ970" s="2"/>
      <c r="AK970" s="2"/>
      <c r="AL970" s="2"/>
      <c r="AM970" s="2"/>
      <c r="AN970" s="2"/>
      <c r="AO970" s="9"/>
      <c r="AP970" s="9"/>
      <c r="AQ970" s="9"/>
      <c r="AR970" s="9"/>
    </row>
    <row r="971">
      <c r="A971" s="523"/>
      <c r="B971" s="523"/>
      <c r="C971" s="523"/>
      <c r="D971" s="523"/>
      <c r="E971" s="523"/>
      <c r="F971" s="523"/>
      <c r="G971" s="523"/>
      <c r="H971" s="523"/>
      <c r="I971" s="523"/>
      <c r="J971" s="523"/>
      <c r="K971" s="523"/>
      <c r="L971" s="523"/>
      <c r="M971" s="523"/>
      <c r="N971" s="523"/>
      <c r="O971" s="523"/>
      <c r="P971" s="523"/>
      <c r="Q971" s="523"/>
      <c r="R971" s="523"/>
      <c r="S971" s="523"/>
      <c r="T971" s="523"/>
      <c r="U971" s="523"/>
      <c r="V971" s="224"/>
      <c r="W971" s="224"/>
      <c r="X971" s="224"/>
      <c r="Y971" s="224"/>
      <c r="Z971" s="868"/>
      <c r="AA971" s="865"/>
      <c r="AB971" s="2"/>
      <c r="AC971" s="2"/>
      <c r="AD971" s="2"/>
      <c r="AE971" s="2"/>
      <c r="AF971" s="2"/>
      <c r="AG971" s="2"/>
      <c r="AH971" s="2"/>
      <c r="AI971" s="2"/>
      <c r="AJ971" s="2"/>
      <c r="AK971" s="2"/>
      <c r="AL971" s="2"/>
      <c r="AM971" s="2"/>
      <c r="AN971" s="2"/>
      <c r="AO971" s="9"/>
      <c r="AP971" s="9"/>
      <c r="AQ971" s="9"/>
      <c r="AR971" s="9"/>
    </row>
    <row r="972">
      <c r="A972" s="523"/>
      <c r="B972" s="523"/>
      <c r="C972" s="523"/>
      <c r="D972" s="523"/>
      <c r="E972" s="523"/>
      <c r="F972" s="523"/>
      <c r="G972" s="523"/>
      <c r="H972" s="523"/>
      <c r="I972" s="523"/>
      <c r="J972" s="523"/>
      <c r="K972" s="523"/>
      <c r="L972" s="523"/>
      <c r="M972" s="523"/>
      <c r="N972" s="523"/>
      <c r="O972" s="523"/>
      <c r="P972" s="523"/>
      <c r="Q972" s="523"/>
      <c r="R972" s="523"/>
      <c r="S972" s="523"/>
      <c r="T972" s="523"/>
      <c r="U972" s="523"/>
      <c r="V972" s="224"/>
      <c r="W972" s="224"/>
      <c r="X972" s="224"/>
      <c r="Y972" s="224"/>
      <c r="Z972" s="868"/>
      <c r="AA972" s="865"/>
      <c r="AB972" s="2"/>
      <c r="AC972" s="2"/>
      <c r="AD972" s="2"/>
      <c r="AE972" s="2"/>
      <c r="AF972" s="2"/>
      <c r="AG972" s="2"/>
      <c r="AH972" s="2"/>
      <c r="AI972" s="2"/>
      <c r="AJ972" s="2"/>
      <c r="AK972" s="2"/>
      <c r="AL972" s="2"/>
      <c r="AM972" s="2"/>
      <c r="AN972" s="2"/>
      <c r="AO972" s="9"/>
      <c r="AP972" s="9"/>
      <c r="AQ972" s="9"/>
      <c r="AR972" s="9"/>
    </row>
    <row r="973">
      <c r="A973" s="523"/>
      <c r="B973" s="523"/>
      <c r="C973" s="523"/>
      <c r="D973" s="523"/>
      <c r="E973" s="523"/>
      <c r="F973" s="523"/>
      <c r="G973" s="523"/>
      <c r="H973" s="523"/>
      <c r="I973" s="523"/>
      <c r="J973" s="523"/>
      <c r="K973" s="523"/>
      <c r="L973" s="523"/>
      <c r="M973" s="523"/>
      <c r="N973" s="523"/>
      <c r="O973" s="523"/>
      <c r="P973" s="523"/>
      <c r="Q973" s="523"/>
      <c r="R973" s="523"/>
      <c r="S973" s="523"/>
      <c r="T973" s="523"/>
      <c r="U973" s="523"/>
      <c r="V973" s="224"/>
      <c r="W973" s="224"/>
      <c r="X973" s="224"/>
      <c r="Y973" s="224"/>
      <c r="Z973" s="868"/>
      <c r="AA973" s="865"/>
      <c r="AB973" s="2"/>
      <c r="AC973" s="2"/>
      <c r="AD973" s="2"/>
      <c r="AE973" s="2"/>
      <c r="AF973" s="2"/>
      <c r="AG973" s="2"/>
      <c r="AH973" s="2"/>
      <c r="AI973" s="2"/>
      <c r="AJ973" s="2"/>
      <c r="AK973" s="2"/>
      <c r="AL973" s="2"/>
      <c r="AM973" s="2"/>
      <c r="AN973" s="2"/>
      <c r="AO973" s="9"/>
      <c r="AP973" s="9"/>
      <c r="AQ973" s="9"/>
      <c r="AR973" s="9"/>
    </row>
    <row r="974">
      <c r="A974" s="523"/>
      <c r="B974" s="523"/>
      <c r="C974" s="523"/>
      <c r="D974" s="523"/>
      <c r="E974" s="523"/>
      <c r="F974" s="523"/>
      <c r="G974" s="523"/>
      <c r="H974" s="523"/>
      <c r="I974" s="523"/>
      <c r="J974" s="523"/>
      <c r="K974" s="523"/>
      <c r="L974" s="523"/>
      <c r="M974" s="523"/>
      <c r="N974" s="523"/>
      <c r="O974" s="523"/>
      <c r="P974" s="523"/>
      <c r="Q974" s="523"/>
      <c r="R974" s="523"/>
      <c r="S974" s="523"/>
      <c r="T974" s="523"/>
      <c r="U974" s="523"/>
      <c r="V974" s="224"/>
      <c r="W974" s="224"/>
      <c r="X974" s="224"/>
      <c r="Y974" s="224"/>
      <c r="Z974" s="868"/>
      <c r="AA974" s="865"/>
      <c r="AB974" s="2"/>
      <c r="AC974" s="2"/>
      <c r="AD974" s="2"/>
      <c r="AE974" s="2"/>
      <c r="AF974" s="2"/>
      <c r="AG974" s="2"/>
      <c r="AH974" s="2"/>
      <c r="AI974" s="2"/>
      <c r="AJ974" s="2"/>
      <c r="AK974" s="2"/>
      <c r="AL974" s="2"/>
      <c r="AM974" s="2"/>
      <c r="AN974" s="2"/>
      <c r="AO974" s="9"/>
      <c r="AP974" s="9"/>
      <c r="AQ974" s="9"/>
      <c r="AR974" s="9"/>
    </row>
    <row r="975">
      <c r="A975" s="523"/>
      <c r="B975" s="523"/>
      <c r="C975" s="523"/>
      <c r="D975" s="523"/>
      <c r="E975" s="523"/>
      <c r="F975" s="523"/>
      <c r="G975" s="523"/>
      <c r="H975" s="523"/>
      <c r="I975" s="523"/>
      <c r="J975" s="523"/>
      <c r="K975" s="523"/>
      <c r="L975" s="523"/>
      <c r="M975" s="523"/>
      <c r="N975" s="523"/>
      <c r="O975" s="523"/>
      <c r="P975" s="523"/>
      <c r="Q975" s="523"/>
      <c r="R975" s="523"/>
      <c r="S975" s="523"/>
      <c r="T975" s="523"/>
      <c r="U975" s="523"/>
      <c r="V975" s="224"/>
      <c r="W975" s="224"/>
      <c r="X975" s="224"/>
      <c r="Y975" s="224"/>
      <c r="Z975" s="868"/>
      <c r="AA975" s="865"/>
      <c r="AB975" s="2"/>
      <c r="AC975" s="2"/>
      <c r="AD975" s="2"/>
      <c r="AE975" s="2"/>
      <c r="AF975" s="2"/>
      <c r="AG975" s="2"/>
      <c r="AH975" s="2"/>
      <c r="AI975" s="2"/>
      <c r="AJ975" s="2"/>
      <c r="AK975" s="2"/>
      <c r="AL975" s="2"/>
      <c r="AM975" s="2"/>
      <c r="AN975" s="2"/>
      <c r="AO975" s="9"/>
      <c r="AP975" s="9"/>
      <c r="AQ975" s="9"/>
      <c r="AR975" s="9"/>
    </row>
    <row r="976">
      <c r="A976" s="523"/>
      <c r="B976" s="523"/>
      <c r="C976" s="523"/>
      <c r="D976" s="523"/>
      <c r="E976" s="523"/>
      <c r="F976" s="523"/>
      <c r="G976" s="523"/>
      <c r="H976" s="523"/>
      <c r="I976" s="523"/>
      <c r="J976" s="523"/>
      <c r="K976" s="523"/>
      <c r="L976" s="523"/>
      <c r="M976" s="523"/>
      <c r="N976" s="523"/>
      <c r="O976" s="523"/>
      <c r="P976" s="523"/>
      <c r="Q976" s="523"/>
      <c r="R976" s="523"/>
      <c r="S976" s="523"/>
      <c r="T976" s="523"/>
      <c r="U976" s="523"/>
      <c r="V976" s="224"/>
      <c r="W976" s="224"/>
      <c r="X976" s="224"/>
      <c r="Y976" s="224"/>
      <c r="Z976" s="868"/>
      <c r="AA976" s="865"/>
      <c r="AB976" s="2"/>
      <c r="AC976" s="2"/>
      <c r="AD976" s="2"/>
      <c r="AE976" s="2"/>
      <c r="AF976" s="2"/>
      <c r="AG976" s="2"/>
      <c r="AH976" s="2"/>
      <c r="AI976" s="2"/>
      <c r="AJ976" s="2"/>
      <c r="AK976" s="2"/>
      <c r="AL976" s="2"/>
      <c r="AM976" s="2"/>
      <c r="AN976" s="2"/>
      <c r="AO976" s="9"/>
      <c r="AP976" s="9"/>
      <c r="AQ976" s="9"/>
      <c r="AR976" s="9"/>
    </row>
    <row r="977">
      <c r="A977" s="523"/>
      <c r="B977" s="523"/>
      <c r="C977" s="523"/>
      <c r="D977" s="523"/>
      <c r="E977" s="523"/>
      <c r="F977" s="523"/>
      <c r="G977" s="523"/>
      <c r="H977" s="523"/>
      <c r="I977" s="523"/>
      <c r="J977" s="523"/>
      <c r="K977" s="523"/>
      <c r="L977" s="523"/>
      <c r="M977" s="523"/>
      <c r="N977" s="523"/>
      <c r="O977" s="523"/>
      <c r="P977" s="523"/>
      <c r="Q977" s="523"/>
      <c r="R977" s="523"/>
      <c r="S977" s="523"/>
      <c r="T977" s="523"/>
      <c r="U977" s="523"/>
      <c r="V977" s="224"/>
      <c r="W977" s="224"/>
      <c r="X977" s="224"/>
      <c r="Y977" s="224"/>
      <c r="Z977" s="868"/>
      <c r="AA977" s="865"/>
      <c r="AB977" s="2"/>
      <c r="AC977" s="2"/>
      <c r="AD977" s="2"/>
      <c r="AE977" s="2"/>
      <c r="AF977" s="2"/>
      <c r="AG977" s="2"/>
      <c r="AH977" s="2"/>
      <c r="AI977" s="2"/>
      <c r="AJ977" s="2"/>
      <c r="AK977" s="2"/>
      <c r="AL977" s="2"/>
      <c r="AM977" s="2"/>
      <c r="AN977" s="2"/>
      <c r="AO977" s="9"/>
      <c r="AP977" s="9"/>
      <c r="AQ977" s="9"/>
      <c r="AR977" s="9"/>
    </row>
    <row r="978">
      <c r="A978" s="523"/>
      <c r="B978" s="523"/>
      <c r="C978" s="523"/>
      <c r="D978" s="523"/>
      <c r="E978" s="523"/>
      <c r="F978" s="523"/>
      <c r="G978" s="523"/>
      <c r="H978" s="523"/>
      <c r="I978" s="523"/>
      <c r="J978" s="523"/>
      <c r="K978" s="523"/>
      <c r="L978" s="523"/>
      <c r="M978" s="523"/>
      <c r="N978" s="523"/>
      <c r="O978" s="523"/>
      <c r="P978" s="523"/>
      <c r="Q978" s="523"/>
      <c r="R978" s="523"/>
      <c r="S978" s="523"/>
      <c r="T978" s="523"/>
      <c r="U978" s="523"/>
      <c r="V978" s="224"/>
      <c r="W978" s="224"/>
      <c r="X978" s="224"/>
      <c r="Y978" s="224"/>
      <c r="Z978" s="868"/>
      <c r="AA978" s="865"/>
      <c r="AB978" s="2"/>
      <c r="AC978" s="2"/>
      <c r="AD978" s="2"/>
      <c r="AE978" s="2"/>
      <c r="AF978" s="2"/>
      <c r="AG978" s="2"/>
      <c r="AH978" s="2"/>
      <c r="AI978" s="2"/>
      <c r="AJ978" s="2"/>
      <c r="AK978" s="2"/>
      <c r="AL978" s="2"/>
      <c r="AM978" s="2"/>
      <c r="AN978" s="2"/>
      <c r="AO978" s="9"/>
      <c r="AP978" s="9"/>
      <c r="AQ978" s="9"/>
      <c r="AR978" s="9"/>
    </row>
    <row r="979">
      <c r="A979" s="523"/>
      <c r="B979" s="523"/>
      <c r="C979" s="523"/>
      <c r="D979" s="523"/>
      <c r="E979" s="523"/>
      <c r="F979" s="523"/>
      <c r="G979" s="523"/>
      <c r="H979" s="523"/>
      <c r="I979" s="523"/>
      <c r="J979" s="523"/>
      <c r="K979" s="523"/>
      <c r="L979" s="523"/>
      <c r="M979" s="523"/>
      <c r="N979" s="523"/>
      <c r="O979" s="523"/>
      <c r="P979" s="523"/>
      <c r="Q979" s="523"/>
      <c r="R979" s="523"/>
      <c r="S979" s="523"/>
      <c r="T979" s="523"/>
      <c r="U979" s="523"/>
      <c r="V979" s="224"/>
      <c r="W979" s="224"/>
      <c r="X979" s="224"/>
      <c r="Y979" s="224"/>
      <c r="Z979" s="868"/>
      <c r="AA979" s="865"/>
      <c r="AB979" s="2"/>
      <c r="AC979" s="2"/>
      <c r="AD979" s="2"/>
      <c r="AE979" s="2"/>
      <c r="AF979" s="2"/>
      <c r="AG979" s="2"/>
      <c r="AH979" s="2"/>
      <c r="AI979" s="2"/>
      <c r="AJ979" s="2"/>
      <c r="AK979" s="2"/>
      <c r="AL979" s="2"/>
      <c r="AM979" s="2"/>
      <c r="AN979" s="2"/>
      <c r="AO979" s="9"/>
      <c r="AP979" s="9"/>
      <c r="AQ979" s="9"/>
      <c r="AR979" s="9"/>
    </row>
    <row r="980">
      <c r="A980" s="523"/>
      <c r="B980" s="523"/>
      <c r="C980" s="523"/>
      <c r="D980" s="523"/>
      <c r="E980" s="523"/>
      <c r="F980" s="523"/>
      <c r="G980" s="523"/>
      <c r="H980" s="523"/>
      <c r="I980" s="523"/>
      <c r="J980" s="523"/>
      <c r="K980" s="523"/>
      <c r="L980" s="523"/>
      <c r="M980" s="523"/>
      <c r="N980" s="523"/>
      <c r="O980" s="523"/>
      <c r="P980" s="523"/>
      <c r="Q980" s="523"/>
      <c r="R980" s="523"/>
      <c r="S980" s="523"/>
      <c r="T980" s="523"/>
      <c r="U980" s="523"/>
      <c r="V980" s="224"/>
      <c r="W980" s="224"/>
      <c r="X980" s="224"/>
      <c r="Y980" s="224"/>
      <c r="Z980" s="868"/>
      <c r="AA980" s="865"/>
      <c r="AB980" s="2"/>
      <c r="AC980" s="2"/>
      <c r="AD980" s="2"/>
      <c r="AE980" s="2"/>
      <c r="AF980" s="2"/>
      <c r="AG980" s="2"/>
      <c r="AH980" s="2"/>
      <c r="AI980" s="2"/>
      <c r="AJ980" s="2"/>
      <c r="AK980" s="2"/>
      <c r="AL980" s="2"/>
      <c r="AM980" s="2"/>
      <c r="AN980" s="2"/>
      <c r="AO980" s="9"/>
      <c r="AP980" s="9"/>
      <c r="AQ980" s="9"/>
      <c r="AR980" s="9"/>
    </row>
    <row r="981">
      <c r="A981" s="523"/>
      <c r="B981" s="523"/>
      <c r="C981" s="523"/>
      <c r="D981" s="523"/>
      <c r="E981" s="523"/>
      <c r="F981" s="523"/>
      <c r="G981" s="523"/>
      <c r="H981" s="523"/>
      <c r="I981" s="523"/>
      <c r="J981" s="523"/>
      <c r="K981" s="523"/>
      <c r="L981" s="523"/>
      <c r="M981" s="523"/>
      <c r="N981" s="523"/>
      <c r="O981" s="523"/>
      <c r="P981" s="523"/>
      <c r="Q981" s="523"/>
      <c r="R981" s="523"/>
      <c r="S981" s="523"/>
      <c r="T981" s="523"/>
      <c r="U981" s="523"/>
      <c r="V981" s="224"/>
      <c r="W981" s="224"/>
      <c r="X981" s="224"/>
      <c r="Y981" s="224"/>
      <c r="Z981" s="868"/>
      <c r="AA981" s="865"/>
      <c r="AB981" s="2"/>
      <c r="AC981" s="2"/>
      <c r="AD981" s="2"/>
      <c r="AE981" s="2"/>
      <c r="AF981" s="2"/>
      <c r="AG981" s="2"/>
      <c r="AH981" s="2"/>
      <c r="AI981" s="2"/>
      <c r="AJ981" s="2"/>
      <c r="AK981" s="2"/>
      <c r="AL981" s="2"/>
      <c r="AM981" s="2"/>
      <c r="AN981" s="2"/>
      <c r="AO981" s="9"/>
      <c r="AP981" s="9"/>
      <c r="AQ981" s="9"/>
      <c r="AR981" s="9"/>
    </row>
    <row r="982">
      <c r="A982" s="523"/>
      <c r="B982" s="523"/>
      <c r="C982" s="523"/>
      <c r="D982" s="523"/>
      <c r="E982" s="523"/>
      <c r="F982" s="523"/>
      <c r="G982" s="523"/>
      <c r="H982" s="523"/>
      <c r="I982" s="523"/>
      <c r="J982" s="523"/>
      <c r="K982" s="523"/>
      <c r="L982" s="523"/>
      <c r="M982" s="523"/>
      <c r="N982" s="523"/>
      <c r="O982" s="523"/>
      <c r="P982" s="523"/>
      <c r="Q982" s="523"/>
      <c r="R982" s="523"/>
      <c r="S982" s="523"/>
      <c r="T982" s="523"/>
      <c r="U982" s="523"/>
      <c r="V982" s="224"/>
      <c r="W982" s="224"/>
      <c r="X982" s="224"/>
      <c r="Y982" s="224"/>
      <c r="Z982" s="868"/>
      <c r="AA982" s="865"/>
      <c r="AB982" s="2"/>
      <c r="AC982" s="2"/>
      <c r="AD982" s="2"/>
      <c r="AE982" s="2"/>
      <c r="AF982" s="2"/>
      <c r="AG982" s="2"/>
      <c r="AH982" s="2"/>
      <c r="AI982" s="2"/>
      <c r="AJ982" s="2"/>
      <c r="AK982" s="2"/>
      <c r="AL982" s="2"/>
      <c r="AM982" s="2"/>
      <c r="AN982" s="2"/>
      <c r="AO982" s="9"/>
      <c r="AP982" s="9"/>
      <c r="AQ982" s="9"/>
      <c r="AR982" s="9"/>
    </row>
    <row r="983">
      <c r="A983" s="523"/>
      <c r="B983" s="523"/>
      <c r="C983" s="523"/>
      <c r="D983" s="523"/>
      <c r="E983" s="523"/>
      <c r="F983" s="523"/>
      <c r="G983" s="523"/>
      <c r="H983" s="523"/>
      <c r="I983" s="523"/>
      <c r="J983" s="523"/>
      <c r="K983" s="523"/>
      <c r="L983" s="523"/>
      <c r="M983" s="523"/>
      <c r="N983" s="523"/>
      <c r="O983" s="523"/>
      <c r="P983" s="523"/>
      <c r="Q983" s="523"/>
      <c r="R983" s="523"/>
      <c r="S983" s="523"/>
      <c r="T983" s="523"/>
      <c r="U983" s="523"/>
      <c r="V983" s="224"/>
      <c r="W983" s="224"/>
      <c r="X983" s="224"/>
      <c r="Y983" s="224"/>
      <c r="Z983" s="868"/>
      <c r="AA983" s="865"/>
      <c r="AB983" s="2"/>
      <c r="AC983" s="2"/>
      <c r="AD983" s="2"/>
      <c r="AE983" s="2"/>
      <c r="AF983" s="2"/>
      <c r="AG983" s="2"/>
      <c r="AH983" s="2"/>
      <c r="AI983" s="2"/>
      <c r="AJ983" s="2"/>
      <c r="AK983" s="2"/>
      <c r="AL983" s="2"/>
      <c r="AM983" s="2"/>
      <c r="AN983" s="2"/>
      <c r="AO983" s="9"/>
      <c r="AP983" s="9"/>
      <c r="AQ983" s="9"/>
      <c r="AR983" s="9"/>
    </row>
    <row r="984">
      <c r="A984" s="523"/>
      <c r="B984" s="523"/>
      <c r="C984" s="523"/>
      <c r="D984" s="523"/>
      <c r="E984" s="523"/>
      <c r="F984" s="523"/>
      <c r="G984" s="523"/>
      <c r="H984" s="523"/>
      <c r="I984" s="523"/>
      <c r="J984" s="523"/>
      <c r="K984" s="523"/>
      <c r="L984" s="523"/>
      <c r="M984" s="523"/>
      <c r="N984" s="523"/>
      <c r="O984" s="523"/>
      <c r="P984" s="523"/>
      <c r="Q984" s="523"/>
      <c r="R984" s="523"/>
      <c r="S984" s="523"/>
      <c r="T984" s="523"/>
      <c r="U984" s="523"/>
      <c r="V984" s="224"/>
      <c r="W984" s="224"/>
      <c r="X984" s="224"/>
      <c r="Y984" s="224"/>
      <c r="Z984" s="868"/>
      <c r="AA984" s="865"/>
      <c r="AB984" s="2"/>
      <c r="AC984" s="2"/>
      <c r="AD984" s="2"/>
      <c r="AE984" s="2"/>
      <c r="AF984" s="2"/>
      <c r="AG984" s="2"/>
      <c r="AH984" s="2"/>
      <c r="AI984" s="2"/>
      <c r="AJ984" s="2"/>
      <c r="AK984" s="2"/>
      <c r="AL984" s="2"/>
      <c r="AM984" s="2"/>
      <c r="AN984" s="2"/>
      <c r="AO984" s="9"/>
      <c r="AP984" s="9"/>
      <c r="AQ984" s="9"/>
      <c r="AR984" s="9"/>
    </row>
    <row r="985">
      <c r="A985" s="523"/>
      <c r="B985" s="523"/>
      <c r="C985" s="523"/>
      <c r="D985" s="523"/>
      <c r="E985" s="523"/>
      <c r="F985" s="523"/>
      <c r="G985" s="523"/>
      <c r="H985" s="523"/>
      <c r="I985" s="523"/>
      <c r="J985" s="523"/>
      <c r="K985" s="523"/>
      <c r="L985" s="523"/>
      <c r="M985" s="523"/>
      <c r="N985" s="523"/>
      <c r="O985" s="523"/>
      <c r="P985" s="523"/>
      <c r="Q985" s="523"/>
      <c r="R985" s="523"/>
      <c r="S985" s="523"/>
      <c r="T985" s="523"/>
      <c r="U985" s="523"/>
      <c r="V985" s="224"/>
      <c r="W985" s="224"/>
      <c r="X985" s="224"/>
      <c r="Y985" s="224"/>
      <c r="Z985" s="868"/>
      <c r="AA985" s="865"/>
      <c r="AB985" s="2"/>
      <c r="AC985" s="2"/>
      <c r="AD985" s="2"/>
      <c r="AE985" s="2"/>
      <c r="AF985" s="2"/>
      <c r="AG985" s="2"/>
      <c r="AH985" s="2"/>
      <c r="AI985" s="2"/>
      <c r="AJ985" s="2"/>
      <c r="AK985" s="2"/>
      <c r="AL985" s="2"/>
      <c r="AM985" s="2"/>
      <c r="AN985" s="2"/>
      <c r="AO985" s="9"/>
      <c r="AP985" s="9"/>
      <c r="AQ985" s="9"/>
      <c r="AR985" s="9"/>
    </row>
    <row r="986">
      <c r="A986" s="523"/>
      <c r="B986" s="523"/>
      <c r="C986" s="523"/>
      <c r="D986" s="523"/>
      <c r="E986" s="523"/>
      <c r="F986" s="523"/>
      <c r="G986" s="523"/>
      <c r="H986" s="523"/>
      <c r="I986" s="523"/>
      <c r="J986" s="523"/>
      <c r="K986" s="523"/>
      <c r="L986" s="523"/>
      <c r="M986" s="523"/>
      <c r="N986" s="523"/>
      <c r="O986" s="523"/>
      <c r="P986" s="523"/>
      <c r="Q986" s="523"/>
      <c r="R986" s="523"/>
      <c r="S986" s="523"/>
      <c r="T986" s="523"/>
      <c r="U986" s="523"/>
      <c r="V986" s="224"/>
      <c r="W986" s="224"/>
      <c r="X986" s="224"/>
      <c r="Y986" s="224"/>
      <c r="Z986" s="868"/>
      <c r="AA986" s="865"/>
      <c r="AB986" s="2"/>
      <c r="AC986" s="2"/>
      <c r="AD986" s="2"/>
      <c r="AE986" s="2"/>
      <c r="AF986" s="2"/>
      <c r="AG986" s="2"/>
      <c r="AH986" s="2"/>
      <c r="AI986" s="2"/>
      <c r="AJ986" s="2"/>
      <c r="AK986" s="2"/>
      <c r="AL986" s="2"/>
      <c r="AM986" s="2"/>
      <c r="AN986" s="2"/>
      <c r="AO986" s="9"/>
      <c r="AP986" s="9"/>
      <c r="AQ986" s="9"/>
      <c r="AR986" s="9"/>
    </row>
    <row r="987">
      <c r="A987" s="523"/>
      <c r="B987" s="523"/>
      <c r="C987" s="523"/>
      <c r="D987" s="523"/>
      <c r="E987" s="523"/>
      <c r="F987" s="523"/>
      <c r="G987" s="523"/>
      <c r="H987" s="523"/>
      <c r="I987" s="523"/>
      <c r="J987" s="523"/>
      <c r="K987" s="523"/>
      <c r="L987" s="523"/>
      <c r="M987" s="523"/>
      <c r="N987" s="523"/>
      <c r="O987" s="523"/>
      <c r="P987" s="523"/>
      <c r="Q987" s="523"/>
      <c r="R987" s="523"/>
      <c r="S987" s="523"/>
      <c r="T987" s="523"/>
      <c r="U987" s="523"/>
      <c r="V987" s="224"/>
      <c r="W987" s="224"/>
      <c r="X987" s="224"/>
      <c r="Y987" s="224"/>
      <c r="Z987" s="868"/>
      <c r="AA987" s="865"/>
      <c r="AB987" s="2"/>
      <c r="AC987" s="2"/>
      <c r="AD987" s="2"/>
      <c r="AE987" s="2"/>
      <c r="AF987" s="2"/>
      <c r="AG987" s="2"/>
      <c r="AH987" s="2"/>
      <c r="AI987" s="2"/>
      <c r="AJ987" s="2"/>
      <c r="AK987" s="2"/>
      <c r="AL987" s="2"/>
      <c r="AM987" s="2"/>
      <c r="AN987" s="2"/>
      <c r="AO987" s="9"/>
      <c r="AP987" s="9"/>
      <c r="AQ987" s="9"/>
      <c r="AR987" s="9"/>
    </row>
    <row r="988">
      <c r="A988" s="523"/>
      <c r="B988" s="523"/>
      <c r="C988" s="523"/>
      <c r="D988" s="523"/>
      <c r="E988" s="523"/>
      <c r="F988" s="523"/>
      <c r="G988" s="523"/>
      <c r="H988" s="523"/>
      <c r="I988" s="523"/>
      <c r="J988" s="523"/>
      <c r="K988" s="523"/>
      <c r="L988" s="523"/>
      <c r="M988" s="523"/>
      <c r="N988" s="523"/>
      <c r="O988" s="523"/>
      <c r="P988" s="523"/>
      <c r="Q988" s="523"/>
      <c r="R988" s="523"/>
      <c r="S988" s="523"/>
      <c r="T988" s="523"/>
      <c r="U988" s="523"/>
      <c r="V988" s="224"/>
      <c r="W988" s="224"/>
      <c r="X988" s="224"/>
      <c r="Y988" s="224"/>
      <c r="Z988" s="868"/>
      <c r="AA988" s="865"/>
      <c r="AB988" s="2"/>
      <c r="AC988" s="2"/>
      <c r="AD988" s="2"/>
      <c r="AE988" s="2"/>
      <c r="AF988" s="2"/>
      <c r="AG988" s="2"/>
      <c r="AH988" s="2"/>
      <c r="AI988" s="2"/>
      <c r="AJ988" s="2"/>
      <c r="AK988" s="2"/>
      <c r="AL988" s="2"/>
      <c r="AM988" s="2"/>
      <c r="AN988" s="2"/>
      <c r="AO988" s="9"/>
      <c r="AP988" s="9"/>
      <c r="AQ988" s="9"/>
      <c r="AR988" s="9"/>
    </row>
    <row r="989">
      <c r="A989" s="523"/>
      <c r="B989" s="523"/>
      <c r="C989" s="523"/>
      <c r="D989" s="523"/>
      <c r="E989" s="523"/>
      <c r="F989" s="523"/>
      <c r="G989" s="523"/>
      <c r="H989" s="523"/>
      <c r="I989" s="523"/>
      <c r="J989" s="523"/>
      <c r="K989" s="523"/>
      <c r="L989" s="523"/>
      <c r="M989" s="523"/>
      <c r="N989" s="523"/>
      <c r="O989" s="523"/>
      <c r="P989" s="523"/>
      <c r="Q989" s="523"/>
      <c r="R989" s="523"/>
      <c r="S989" s="523"/>
      <c r="T989" s="523"/>
      <c r="U989" s="523"/>
      <c r="V989" s="224"/>
      <c r="W989" s="224"/>
      <c r="X989" s="224"/>
      <c r="Y989" s="224"/>
      <c r="Z989" s="868"/>
      <c r="AA989" s="865"/>
      <c r="AB989" s="2"/>
      <c r="AC989" s="2"/>
      <c r="AD989" s="2"/>
      <c r="AE989" s="2"/>
      <c r="AF989" s="2"/>
      <c r="AG989" s="2"/>
      <c r="AH989" s="2"/>
      <c r="AI989" s="2"/>
      <c r="AJ989" s="2"/>
      <c r="AK989" s="2"/>
      <c r="AL989" s="2"/>
      <c r="AM989" s="2"/>
      <c r="AN989" s="2"/>
      <c r="AO989" s="9"/>
      <c r="AP989" s="9"/>
      <c r="AQ989" s="9"/>
      <c r="AR989" s="9"/>
    </row>
    <row r="990">
      <c r="A990" s="523"/>
      <c r="B990" s="523"/>
      <c r="C990" s="523"/>
      <c r="D990" s="523"/>
      <c r="E990" s="523"/>
      <c r="F990" s="523"/>
      <c r="G990" s="523"/>
      <c r="H990" s="523"/>
      <c r="I990" s="523"/>
      <c r="J990" s="523"/>
      <c r="K990" s="523"/>
      <c r="L990" s="523"/>
      <c r="M990" s="523"/>
      <c r="N990" s="523"/>
      <c r="O990" s="523"/>
      <c r="P990" s="523"/>
      <c r="Q990" s="523"/>
      <c r="R990" s="523"/>
      <c r="S990" s="523"/>
      <c r="T990" s="523"/>
      <c r="U990" s="523"/>
      <c r="V990" s="224"/>
      <c r="W990" s="224"/>
      <c r="X990" s="224"/>
      <c r="Y990" s="224"/>
      <c r="Z990" s="868"/>
      <c r="AA990" s="865"/>
      <c r="AB990" s="2"/>
      <c r="AC990" s="2"/>
      <c r="AD990" s="2"/>
      <c r="AE990" s="2"/>
      <c r="AF990" s="2"/>
      <c r="AG990" s="2"/>
      <c r="AH990" s="2"/>
      <c r="AI990" s="2"/>
      <c r="AJ990" s="2"/>
      <c r="AK990" s="2"/>
      <c r="AL990" s="2"/>
      <c r="AM990" s="2"/>
      <c r="AN990" s="2"/>
      <c r="AO990" s="9"/>
      <c r="AP990" s="9"/>
      <c r="AQ990" s="9"/>
      <c r="AR990" s="9"/>
    </row>
    <row r="991">
      <c r="A991" s="523"/>
      <c r="B991" s="523"/>
      <c r="C991" s="523"/>
      <c r="D991" s="523"/>
      <c r="E991" s="523"/>
      <c r="F991" s="523"/>
      <c r="G991" s="523"/>
      <c r="H991" s="523"/>
      <c r="I991" s="523"/>
      <c r="J991" s="523"/>
      <c r="K991" s="523"/>
      <c r="L991" s="523"/>
      <c r="M991" s="523"/>
      <c r="N991" s="523"/>
      <c r="O991" s="523"/>
      <c r="P991" s="523"/>
      <c r="Q991" s="523"/>
      <c r="R991" s="523"/>
      <c r="S991" s="523"/>
      <c r="T991" s="523"/>
      <c r="U991" s="523"/>
      <c r="V991" s="224"/>
      <c r="W991" s="224"/>
      <c r="X991" s="224"/>
      <c r="Y991" s="224"/>
      <c r="Z991" s="868"/>
      <c r="AA991" s="865"/>
      <c r="AB991" s="2"/>
      <c r="AC991" s="2"/>
      <c r="AD991" s="2"/>
      <c r="AE991" s="2"/>
      <c r="AF991" s="2"/>
      <c r="AG991" s="2"/>
      <c r="AH991" s="2"/>
      <c r="AI991" s="2"/>
      <c r="AJ991" s="2"/>
      <c r="AK991" s="2"/>
      <c r="AL991" s="2"/>
      <c r="AM991" s="2"/>
      <c r="AN991" s="2"/>
      <c r="AO991" s="9"/>
      <c r="AP991" s="9"/>
      <c r="AQ991" s="9"/>
      <c r="AR991" s="9"/>
    </row>
    <row r="992">
      <c r="A992" s="523"/>
      <c r="B992" s="523"/>
      <c r="C992" s="523"/>
      <c r="D992" s="523"/>
      <c r="E992" s="523"/>
      <c r="F992" s="523"/>
      <c r="G992" s="523"/>
      <c r="H992" s="523"/>
      <c r="I992" s="523"/>
      <c r="J992" s="523"/>
      <c r="K992" s="523"/>
      <c r="L992" s="523"/>
      <c r="M992" s="523"/>
      <c r="N992" s="523"/>
      <c r="O992" s="523"/>
      <c r="P992" s="523"/>
      <c r="Q992" s="523"/>
      <c r="R992" s="523"/>
      <c r="S992" s="523"/>
      <c r="T992" s="523"/>
      <c r="U992" s="523"/>
      <c r="V992" s="224"/>
      <c r="W992" s="224"/>
      <c r="X992" s="224"/>
      <c r="Y992" s="224"/>
      <c r="Z992" s="868"/>
      <c r="AA992" s="865"/>
      <c r="AB992" s="2"/>
      <c r="AC992" s="2"/>
      <c r="AD992" s="2"/>
      <c r="AE992" s="2"/>
      <c r="AF992" s="2"/>
      <c r="AG992" s="2"/>
      <c r="AH992" s="2"/>
      <c r="AI992" s="2"/>
      <c r="AJ992" s="2"/>
      <c r="AK992" s="2"/>
      <c r="AL992" s="2"/>
      <c r="AM992" s="2"/>
      <c r="AN992" s="2"/>
      <c r="AO992" s="9"/>
      <c r="AP992" s="9"/>
      <c r="AQ992" s="9"/>
      <c r="AR992" s="9"/>
    </row>
    <row r="993">
      <c r="A993" s="523"/>
      <c r="B993" s="523"/>
      <c r="C993" s="523"/>
      <c r="D993" s="523"/>
      <c r="E993" s="523"/>
      <c r="F993" s="523"/>
      <c r="G993" s="523"/>
      <c r="H993" s="523"/>
      <c r="I993" s="523"/>
      <c r="J993" s="523"/>
      <c r="K993" s="523"/>
      <c r="L993" s="523"/>
      <c r="M993" s="523"/>
      <c r="N993" s="523"/>
      <c r="O993" s="523"/>
      <c r="P993" s="523"/>
      <c r="Q993" s="523"/>
      <c r="R993" s="523"/>
      <c r="S993" s="523"/>
      <c r="T993" s="523"/>
      <c r="U993" s="523"/>
      <c r="V993" s="224"/>
      <c r="W993" s="224"/>
      <c r="X993" s="224"/>
      <c r="Y993" s="224"/>
      <c r="Z993" s="868"/>
      <c r="AA993" s="865"/>
      <c r="AB993" s="2"/>
      <c r="AC993" s="2"/>
      <c r="AD993" s="2"/>
      <c r="AE993" s="2"/>
      <c r="AF993" s="2"/>
      <c r="AG993" s="2"/>
      <c r="AH993" s="2"/>
      <c r="AI993" s="2"/>
      <c r="AJ993" s="2"/>
      <c r="AK993" s="2"/>
      <c r="AL993" s="2"/>
      <c r="AM993" s="2"/>
      <c r="AN993" s="2"/>
      <c r="AO993" s="9"/>
      <c r="AP993" s="9"/>
      <c r="AQ993" s="9"/>
      <c r="AR993" s="9"/>
    </row>
    <row r="994">
      <c r="A994" s="523"/>
      <c r="B994" s="523"/>
      <c r="C994" s="523"/>
      <c r="D994" s="523"/>
      <c r="E994" s="523"/>
      <c r="F994" s="523"/>
      <c r="G994" s="523"/>
      <c r="H994" s="523"/>
      <c r="I994" s="523"/>
      <c r="J994" s="523"/>
      <c r="K994" s="523"/>
      <c r="L994" s="523"/>
      <c r="M994" s="523"/>
      <c r="N994" s="523"/>
      <c r="O994" s="523"/>
      <c r="P994" s="523"/>
      <c r="Q994" s="523"/>
      <c r="R994" s="523"/>
      <c r="S994" s="523"/>
      <c r="T994" s="523"/>
      <c r="U994" s="523"/>
      <c r="V994" s="224"/>
      <c r="W994" s="224"/>
      <c r="X994" s="224"/>
      <c r="Y994" s="224"/>
      <c r="Z994" s="868"/>
      <c r="AA994" s="865"/>
      <c r="AB994" s="2"/>
      <c r="AC994" s="2"/>
      <c r="AD994" s="2"/>
      <c r="AE994" s="2"/>
      <c r="AF994" s="2"/>
      <c r="AG994" s="2"/>
      <c r="AH994" s="2"/>
      <c r="AI994" s="2"/>
      <c r="AJ994" s="2"/>
      <c r="AK994" s="2"/>
      <c r="AL994" s="2"/>
      <c r="AM994" s="2"/>
      <c r="AN994" s="2"/>
      <c r="AO994" s="9"/>
      <c r="AP994" s="9"/>
      <c r="AQ994" s="9"/>
      <c r="AR994" s="9"/>
    </row>
    <row r="995">
      <c r="A995" s="523"/>
      <c r="B995" s="523"/>
      <c r="C995" s="523"/>
      <c r="D995" s="523"/>
      <c r="E995" s="523"/>
      <c r="F995" s="523"/>
      <c r="G995" s="523"/>
      <c r="H995" s="523"/>
      <c r="I995" s="523"/>
      <c r="J995" s="523"/>
      <c r="K995" s="523"/>
      <c r="L995" s="523"/>
      <c r="M995" s="523"/>
      <c r="N995" s="523"/>
      <c r="O995" s="523"/>
      <c r="P995" s="523"/>
      <c r="Q995" s="523"/>
      <c r="R995" s="523"/>
      <c r="S995" s="523"/>
      <c r="T995" s="523"/>
      <c r="U995" s="523"/>
      <c r="V995" s="224"/>
      <c r="W995" s="224"/>
      <c r="X995" s="224"/>
      <c r="Y995" s="224"/>
      <c r="Z995" s="868"/>
      <c r="AA995" s="865"/>
      <c r="AB995" s="2"/>
      <c r="AC995" s="2"/>
      <c r="AD995" s="2"/>
      <c r="AE995" s="2"/>
      <c r="AF995" s="2"/>
      <c r="AG995" s="2"/>
      <c r="AH995" s="2"/>
      <c r="AI995" s="2"/>
      <c r="AJ995" s="2"/>
      <c r="AK995" s="2"/>
      <c r="AL995" s="2"/>
      <c r="AM995" s="2"/>
      <c r="AN995" s="2"/>
      <c r="AO995" s="9"/>
      <c r="AP995" s="9"/>
      <c r="AQ995" s="9"/>
      <c r="AR995" s="9"/>
    </row>
    <row r="996">
      <c r="A996" s="523"/>
      <c r="B996" s="523"/>
      <c r="C996" s="523"/>
      <c r="D996" s="523"/>
      <c r="E996" s="523"/>
      <c r="F996" s="523"/>
      <c r="G996" s="523"/>
      <c r="H996" s="523"/>
      <c r="I996" s="523"/>
      <c r="J996" s="523"/>
      <c r="K996" s="523"/>
      <c r="L996" s="523"/>
      <c r="M996" s="523"/>
      <c r="N996" s="523"/>
      <c r="O996" s="523"/>
      <c r="P996" s="523"/>
      <c r="Q996" s="523"/>
      <c r="R996" s="523"/>
      <c r="S996" s="523"/>
      <c r="T996" s="523"/>
      <c r="U996" s="523"/>
      <c r="V996" s="224"/>
      <c r="W996" s="224"/>
      <c r="X996" s="224"/>
      <c r="Y996" s="224"/>
      <c r="Z996" s="868"/>
      <c r="AA996" s="865"/>
      <c r="AB996" s="2"/>
      <c r="AC996" s="2"/>
      <c r="AD996" s="2"/>
      <c r="AE996" s="2"/>
      <c r="AF996" s="2"/>
      <c r="AG996" s="2"/>
      <c r="AH996" s="2"/>
      <c r="AI996" s="2"/>
      <c r="AJ996" s="2"/>
      <c r="AK996" s="2"/>
      <c r="AL996" s="2"/>
      <c r="AM996" s="2"/>
      <c r="AN996" s="2"/>
      <c r="AO996" s="9"/>
      <c r="AP996" s="9"/>
      <c r="AQ996" s="9"/>
      <c r="AR996" s="9"/>
    </row>
    <row r="997">
      <c r="A997" s="523"/>
      <c r="B997" s="523"/>
      <c r="C997" s="523"/>
      <c r="D997" s="523"/>
      <c r="E997" s="523"/>
      <c r="F997" s="523"/>
      <c r="G997" s="523"/>
      <c r="H997" s="523"/>
      <c r="I997" s="523"/>
      <c r="J997" s="523"/>
      <c r="K997" s="523"/>
      <c r="L997" s="523"/>
      <c r="M997" s="523"/>
      <c r="N997" s="523"/>
      <c r="O997" s="523"/>
      <c r="P997" s="523"/>
      <c r="Q997" s="523"/>
      <c r="R997" s="523"/>
      <c r="S997" s="523"/>
      <c r="T997" s="523"/>
      <c r="U997" s="523"/>
      <c r="V997" s="224"/>
      <c r="W997" s="224"/>
      <c r="X997" s="224"/>
      <c r="Y997" s="224"/>
      <c r="Z997" s="868"/>
      <c r="AA997" s="865"/>
      <c r="AB997" s="2"/>
      <c r="AC997" s="2"/>
      <c r="AD997" s="2"/>
      <c r="AE997" s="2"/>
      <c r="AF997" s="2"/>
      <c r="AG997" s="2"/>
      <c r="AH997" s="2"/>
      <c r="AI997" s="2"/>
      <c r="AJ997" s="2"/>
      <c r="AK997" s="2"/>
      <c r="AL997" s="2"/>
      <c r="AM997" s="2"/>
      <c r="AN997" s="2"/>
      <c r="AO997" s="9"/>
      <c r="AP997" s="9"/>
      <c r="AQ997" s="9"/>
      <c r="AR997" s="9"/>
    </row>
    <row r="998">
      <c r="A998" s="523"/>
      <c r="B998" s="523"/>
      <c r="C998" s="523"/>
      <c r="D998" s="523"/>
      <c r="E998" s="523"/>
      <c r="F998" s="523"/>
      <c r="G998" s="523"/>
      <c r="H998" s="523"/>
      <c r="I998" s="523"/>
      <c r="J998" s="523"/>
      <c r="K998" s="523"/>
      <c r="L998" s="523"/>
      <c r="M998" s="523"/>
      <c r="N998" s="523"/>
      <c r="O998" s="523"/>
      <c r="P998" s="523"/>
      <c r="Q998" s="523"/>
      <c r="R998" s="523"/>
      <c r="S998" s="523"/>
      <c r="T998" s="523"/>
      <c r="U998" s="523"/>
      <c r="V998" s="224"/>
      <c r="W998" s="224"/>
      <c r="X998" s="224"/>
      <c r="Y998" s="224"/>
      <c r="Z998" s="868"/>
      <c r="AA998" s="865"/>
      <c r="AB998" s="2"/>
      <c r="AC998" s="2"/>
      <c r="AD998" s="2"/>
      <c r="AE998" s="2"/>
      <c r="AF998" s="2"/>
      <c r="AG998" s="2"/>
      <c r="AH998" s="2"/>
      <c r="AI998" s="2"/>
      <c r="AJ998" s="2"/>
      <c r="AK998" s="2"/>
      <c r="AL998" s="2"/>
      <c r="AM998" s="2"/>
      <c r="AN998" s="2"/>
      <c r="AO998" s="9"/>
      <c r="AP998" s="9"/>
      <c r="AQ998" s="9"/>
      <c r="AR998" s="9"/>
    </row>
    <row r="999">
      <c r="A999" s="523"/>
      <c r="B999" s="523"/>
      <c r="C999" s="523"/>
      <c r="D999" s="523"/>
      <c r="E999" s="523"/>
      <c r="F999" s="523"/>
      <c r="G999" s="523"/>
      <c r="H999" s="523"/>
      <c r="I999" s="523"/>
      <c r="J999" s="523"/>
      <c r="K999" s="523"/>
      <c r="L999" s="523"/>
      <c r="M999" s="523"/>
      <c r="N999" s="523"/>
      <c r="O999" s="523"/>
      <c r="P999" s="523"/>
      <c r="Q999" s="523"/>
      <c r="R999" s="523"/>
      <c r="S999" s="523"/>
      <c r="T999" s="523"/>
      <c r="U999" s="523"/>
      <c r="V999" s="224"/>
      <c r="W999" s="224"/>
      <c r="X999" s="224"/>
      <c r="Y999" s="224"/>
      <c r="Z999" s="868"/>
      <c r="AA999" s="865"/>
      <c r="AB999" s="2"/>
      <c r="AC999" s="2"/>
      <c r="AD999" s="2"/>
      <c r="AE999" s="2"/>
      <c r="AF999" s="2"/>
      <c r="AG999" s="2"/>
      <c r="AH999" s="2"/>
      <c r="AI999" s="2"/>
      <c r="AJ999" s="2"/>
      <c r="AK999" s="2"/>
      <c r="AL999" s="2"/>
      <c r="AM999" s="2"/>
      <c r="AN999" s="2"/>
      <c r="AO999" s="9"/>
      <c r="AP999" s="9"/>
      <c r="AQ999" s="9"/>
      <c r="AR999" s="9"/>
    </row>
    <row r="1000">
      <c r="A1000" s="523"/>
      <c r="B1000" s="523"/>
      <c r="C1000" s="523"/>
      <c r="D1000" s="523"/>
      <c r="E1000" s="523"/>
      <c r="F1000" s="523"/>
      <c r="G1000" s="523"/>
      <c r="H1000" s="523"/>
      <c r="I1000" s="523"/>
      <c r="J1000" s="523"/>
      <c r="K1000" s="523"/>
      <c r="L1000" s="523"/>
      <c r="M1000" s="523"/>
      <c r="N1000" s="523"/>
      <c r="O1000" s="523"/>
      <c r="P1000" s="523"/>
      <c r="Q1000" s="523"/>
      <c r="R1000" s="523"/>
      <c r="S1000" s="523"/>
      <c r="T1000" s="523"/>
      <c r="U1000" s="523"/>
      <c r="V1000" s="224"/>
      <c r="W1000" s="224"/>
      <c r="X1000" s="224"/>
      <c r="Y1000" s="224"/>
      <c r="Z1000" s="868"/>
      <c r="AA1000" s="865"/>
      <c r="AB1000" s="2"/>
      <c r="AC1000" s="2"/>
      <c r="AD1000" s="2"/>
      <c r="AE1000" s="2"/>
      <c r="AF1000" s="2"/>
      <c r="AG1000" s="2"/>
      <c r="AH1000" s="2"/>
      <c r="AI1000" s="2"/>
      <c r="AJ1000" s="2"/>
      <c r="AK1000" s="2"/>
      <c r="AL1000" s="2"/>
      <c r="AM1000" s="2"/>
      <c r="AN1000" s="2"/>
      <c r="AO1000" s="9"/>
      <c r="AP1000" s="9"/>
      <c r="AQ1000" s="9"/>
      <c r="AR1000" s="9"/>
    </row>
    <row r="1001">
      <c r="A1001" s="523"/>
      <c r="B1001" s="523"/>
      <c r="C1001" s="523"/>
      <c r="D1001" s="523"/>
      <c r="E1001" s="523"/>
      <c r="F1001" s="523"/>
      <c r="G1001" s="523"/>
      <c r="H1001" s="523"/>
      <c r="I1001" s="523"/>
      <c r="J1001" s="523"/>
      <c r="K1001" s="523"/>
      <c r="L1001" s="523"/>
      <c r="M1001" s="523"/>
      <c r="N1001" s="523"/>
      <c r="O1001" s="523"/>
      <c r="P1001" s="523"/>
      <c r="Q1001" s="523"/>
      <c r="R1001" s="523"/>
      <c r="S1001" s="523"/>
      <c r="T1001" s="523"/>
      <c r="U1001" s="523"/>
      <c r="V1001" s="224"/>
      <c r="W1001" s="224"/>
      <c r="X1001" s="224"/>
      <c r="Y1001" s="224"/>
      <c r="Z1001" s="868"/>
      <c r="AA1001" s="865"/>
      <c r="AB1001" s="2"/>
      <c r="AC1001" s="2"/>
      <c r="AD1001" s="2"/>
      <c r="AE1001" s="2"/>
      <c r="AF1001" s="2"/>
      <c r="AG1001" s="2"/>
      <c r="AH1001" s="2"/>
      <c r="AI1001" s="2"/>
      <c r="AJ1001" s="2"/>
      <c r="AK1001" s="2"/>
      <c r="AL1001" s="2"/>
      <c r="AM1001" s="2"/>
      <c r="AN1001" s="2"/>
      <c r="AO1001" s="9"/>
      <c r="AP1001" s="9"/>
      <c r="AQ1001" s="9"/>
      <c r="AR1001" s="9"/>
    </row>
    <row r="1002">
      <c r="A1002" s="523"/>
      <c r="B1002" s="523"/>
      <c r="C1002" s="523"/>
      <c r="D1002" s="523"/>
      <c r="E1002" s="523"/>
      <c r="F1002" s="523"/>
      <c r="G1002" s="523"/>
      <c r="H1002" s="523"/>
      <c r="I1002" s="523"/>
      <c r="J1002" s="523"/>
      <c r="K1002" s="523"/>
      <c r="L1002" s="523"/>
      <c r="M1002" s="523"/>
      <c r="N1002" s="523"/>
      <c r="O1002" s="523"/>
      <c r="P1002" s="523"/>
      <c r="Q1002" s="523"/>
      <c r="R1002" s="523"/>
      <c r="S1002" s="523"/>
      <c r="T1002" s="523"/>
      <c r="U1002" s="523"/>
      <c r="V1002" s="224"/>
      <c r="W1002" s="224"/>
      <c r="X1002" s="224"/>
      <c r="Y1002" s="224"/>
      <c r="Z1002" s="868"/>
      <c r="AA1002" s="865"/>
      <c r="AB1002" s="2"/>
      <c r="AC1002" s="2"/>
      <c r="AD1002" s="2"/>
      <c r="AE1002" s="2"/>
      <c r="AF1002" s="2"/>
      <c r="AG1002" s="2"/>
      <c r="AH1002" s="2"/>
      <c r="AI1002" s="2"/>
      <c r="AJ1002" s="2"/>
      <c r="AK1002" s="2"/>
      <c r="AL1002" s="2"/>
      <c r="AM1002" s="2"/>
      <c r="AN1002" s="2"/>
      <c r="AO1002" s="9"/>
      <c r="AP1002" s="9"/>
      <c r="AQ1002" s="9"/>
      <c r="AR1002" s="9"/>
    </row>
    <row r="1003">
      <c r="A1003" s="523"/>
      <c r="B1003" s="523"/>
      <c r="C1003" s="523"/>
      <c r="D1003" s="523"/>
      <c r="E1003" s="523"/>
      <c r="F1003" s="523"/>
      <c r="G1003" s="523"/>
      <c r="H1003" s="523"/>
      <c r="I1003" s="523"/>
      <c r="J1003" s="523"/>
      <c r="K1003" s="523"/>
      <c r="L1003" s="523"/>
      <c r="M1003" s="523"/>
      <c r="N1003" s="523"/>
      <c r="O1003" s="523"/>
      <c r="P1003" s="523"/>
      <c r="Q1003" s="523"/>
      <c r="R1003" s="523"/>
      <c r="S1003" s="523"/>
      <c r="T1003" s="523"/>
      <c r="U1003" s="523"/>
      <c r="V1003" s="224"/>
      <c r="W1003" s="224"/>
      <c r="X1003" s="224"/>
      <c r="Y1003" s="224"/>
      <c r="Z1003" s="868"/>
      <c r="AA1003" s="865"/>
      <c r="AB1003" s="2"/>
      <c r="AC1003" s="2"/>
      <c r="AD1003" s="2"/>
      <c r="AE1003" s="2"/>
      <c r="AF1003" s="2"/>
      <c r="AG1003" s="2"/>
      <c r="AH1003" s="2"/>
      <c r="AI1003" s="2"/>
      <c r="AJ1003" s="2"/>
      <c r="AK1003" s="2"/>
      <c r="AL1003" s="2"/>
      <c r="AM1003" s="2"/>
      <c r="AN1003" s="2"/>
      <c r="AO1003" s="9"/>
      <c r="AP1003" s="9"/>
      <c r="AQ1003" s="9"/>
      <c r="AR1003" s="9"/>
    </row>
    <row r="1004">
      <c r="A1004" s="523"/>
      <c r="B1004" s="523"/>
      <c r="C1004" s="523"/>
      <c r="D1004" s="523"/>
      <c r="E1004" s="523"/>
      <c r="F1004" s="523"/>
      <c r="G1004" s="523"/>
      <c r="H1004" s="523"/>
      <c r="I1004" s="523"/>
      <c r="J1004" s="523"/>
      <c r="K1004" s="523"/>
      <c r="L1004" s="523"/>
      <c r="M1004" s="523"/>
      <c r="N1004" s="523"/>
      <c r="O1004" s="523"/>
      <c r="P1004" s="523"/>
      <c r="Q1004" s="523"/>
      <c r="R1004" s="523"/>
      <c r="S1004" s="523"/>
      <c r="T1004" s="523"/>
      <c r="U1004" s="523"/>
      <c r="V1004" s="224"/>
      <c r="W1004" s="224"/>
      <c r="X1004" s="224"/>
      <c r="Y1004" s="224"/>
      <c r="Z1004" s="868"/>
      <c r="AA1004" s="865"/>
      <c r="AB1004" s="2"/>
      <c r="AC1004" s="2"/>
      <c r="AD1004" s="2"/>
      <c r="AE1004" s="2"/>
      <c r="AF1004" s="2"/>
      <c r="AG1004" s="2"/>
      <c r="AH1004" s="2"/>
      <c r="AI1004" s="2"/>
      <c r="AJ1004" s="2"/>
      <c r="AK1004" s="2"/>
      <c r="AL1004" s="2"/>
      <c r="AM1004" s="2"/>
      <c r="AN1004" s="2"/>
      <c r="AO1004" s="9"/>
      <c r="AP1004" s="9"/>
      <c r="AQ1004" s="9"/>
      <c r="AR1004" s="9"/>
    </row>
    <row r="1005">
      <c r="A1005" s="523"/>
      <c r="B1005" s="523"/>
      <c r="C1005" s="523"/>
      <c r="D1005" s="523"/>
      <c r="E1005" s="523"/>
      <c r="F1005" s="523"/>
      <c r="G1005" s="523"/>
      <c r="H1005" s="523"/>
      <c r="I1005" s="523"/>
      <c r="J1005" s="523"/>
      <c r="K1005" s="523"/>
      <c r="L1005" s="523"/>
      <c r="M1005" s="523"/>
      <c r="N1005" s="523"/>
      <c r="O1005" s="523"/>
      <c r="P1005" s="523"/>
      <c r="Q1005" s="523"/>
      <c r="R1005" s="523"/>
      <c r="S1005" s="523"/>
      <c r="T1005" s="523"/>
      <c r="U1005" s="523"/>
      <c r="V1005" s="224"/>
      <c r="W1005" s="224"/>
      <c r="X1005" s="224"/>
      <c r="Y1005" s="224"/>
      <c r="Z1005" s="868"/>
      <c r="AA1005" s="865"/>
      <c r="AB1005" s="2"/>
      <c r="AC1005" s="2"/>
      <c r="AD1005" s="2"/>
      <c r="AE1005" s="2"/>
      <c r="AF1005" s="2"/>
      <c r="AG1005" s="2"/>
      <c r="AH1005" s="2"/>
      <c r="AI1005" s="2"/>
      <c r="AJ1005" s="2"/>
      <c r="AK1005" s="2"/>
      <c r="AL1005" s="2"/>
      <c r="AM1005" s="2"/>
      <c r="AN1005" s="2"/>
      <c r="AO1005" s="9"/>
      <c r="AP1005" s="9"/>
      <c r="AQ1005" s="9"/>
      <c r="AR1005" s="9"/>
    </row>
    <row r="1006">
      <c r="A1006" s="523"/>
      <c r="B1006" s="523"/>
      <c r="C1006" s="523"/>
      <c r="D1006" s="523"/>
      <c r="E1006" s="523"/>
      <c r="F1006" s="523"/>
      <c r="G1006" s="523"/>
      <c r="H1006" s="523"/>
      <c r="I1006" s="523"/>
      <c r="J1006" s="523"/>
      <c r="K1006" s="523"/>
      <c r="L1006" s="523"/>
      <c r="M1006" s="523"/>
      <c r="N1006" s="523"/>
      <c r="O1006" s="523"/>
      <c r="P1006" s="523"/>
      <c r="Q1006" s="523"/>
      <c r="R1006" s="523"/>
      <c r="S1006" s="523"/>
      <c r="T1006" s="523"/>
      <c r="U1006" s="523"/>
      <c r="V1006" s="224"/>
      <c r="W1006" s="224"/>
      <c r="X1006" s="224"/>
      <c r="Y1006" s="224"/>
      <c r="Z1006" s="868"/>
      <c r="AA1006" s="865"/>
      <c r="AB1006" s="2"/>
      <c r="AC1006" s="2"/>
      <c r="AD1006" s="2"/>
      <c r="AE1006" s="2"/>
      <c r="AF1006" s="2"/>
      <c r="AG1006" s="2"/>
      <c r="AH1006" s="2"/>
      <c r="AI1006" s="2"/>
      <c r="AJ1006" s="2"/>
      <c r="AK1006" s="2"/>
      <c r="AL1006" s="2"/>
      <c r="AM1006" s="2"/>
      <c r="AN1006" s="2"/>
      <c r="AO1006" s="9"/>
      <c r="AP1006" s="9"/>
      <c r="AQ1006" s="9"/>
      <c r="AR1006" s="9"/>
    </row>
    <row r="1007">
      <c r="A1007" s="523"/>
      <c r="B1007" s="523"/>
      <c r="C1007" s="523"/>
      <c r="D1007" s="523"/>
      <c r="E1007" s="523"/>
      <c r="F1007" s="523"/>
      <c r="G1007" s="523"/>
      <c r="H1007" s="523"/>
      <c r="I1007" s="523"/>
      <c r="J1007" s="523"/>
      <c r="K1007" s="523"/>
      <c r="L1007" s="523"/>
      <c r="M1007" s="523"/>
      <c r="N1007" s="523"/>
      <c r="O1007" s="523"/>
      <c r="P1007" s="523"/>
      <c r="Q1007" s="523"/>
      <c r="R1007" s="523"/>
      <c r="S1007" s="523"/>
      <c r="T1007" s="523"/>
      <c r="U1007" s="523"/>
      <c r="V1007" s="224"/>
      <c r="W1007" s="224"/>
      <c r="X1007" s="224"/>
      <c r="Y1007" s="224"/>
      <c r="Z1007" s="868"/>
      <c r="AA1007" s="865"/>
      <c r="AB1007" s="2"/>
      <c r="AC1007" s="2"/>
      <c r="AD1007" s="2"/>
      <c r="AE1007" s="2"/>
      <c r="AF1007" s="2"/>
      <c r="AG1007" s="2"/>
      <c r="AH1007" s="2"/>
      <c r="AI1007" s="2"/>
      <c r="AJ1007" s="2"/>
      <c r="AK1007" s="2"/>
      <c r="AL1007" s="2"/>
      <c r="AM1007" s="2"/>
      <c r="AN1007" s="2"/>
      <c r="AO1007" s="9"/>
      <c r="AP1007" s="9"/>
      <c r="AQ1007" s="9"/>
      <c r="AR1007" s="9"/>
    </row>
    <row r="1008">
      <c r="A1008" s="523"/>
      <c r="B1008" s="523"/>
      <c r="C1008" s="523"/>
      <c r="D1008" s="523"/>
      <c r="E1008" s="523"/>
      <c r="F1008" s="523"/>
      <c r="G1008" s="523"/>
      <c r="H1008" s="523"/>
      <c r="I1008" s="523"/>
      <c r="J1008" s="523"/>
      <c r="K1008" s="523"/>
      <c r="L1008" s="523"/>
      <c r="M1008" s="523"/>
      <c r="N1008" s="523"/>
      <c r="O1008" s="523"/>
      <c r="P1008" s="523"/>
      <c r="Q1008" s="523"/>
      <c r="R1008" s="523"/>
      <c r="S1008" s="523"/>
      <c r="T1008" s="523"/>
      <c r="U1008" s="523"/>
      <c r="V1008" s="224"/>
      <c r="W1008" s="224"/>
      <c r="X1008" s="224"/>
      <c r="Y1008" s="224"/>
      <c r="Z1008" s="868"/>
      <c r="AA1008" s="865"/>
      <c r="AB1008" s="2"/>
      <c r="AC1008" s="2"/>
      <c r="AD1008" s="2"/>
      <c r="AE1008" s="2"/>
      <c r="AF1008" s="2"/>
      <c r="AG1008" s="2"/>
      <c r="AH1008" s="2"/>
      <c r="AI1008" s="2"/>
      <c r="AJ1008" s="2"/>
      <c r="AK1008" s="2"/>
      <c r="AL1008" s="2"/>
      <c r="AM1008" s="2"/>
      <c r="AN1008" s="2"/>
      <c r="AO1008" s="9"/>
      <c r="AP1008" s="9"/>
      <c r="AQ1008" s="9"/>
      <c r="AR1008" s="9"/>
    </row>
    <row r="1009">
      <c r="A1009" s="523"/>
      <c r="B1009" s="523"/>
      <c r="C1009" s="523"/>
      <c r="D1009" s="523"/>
      <c r="E1009" s="523"/>
      <c r="F1009" s="523"/>
      <c r="G1009" s="523"/>
      <c r="H1009" s="523"/>
      <c r="I1009" s="523"/>
      <c r="J1009" s="523"/>
      <c r="K1009" s="523"/>
      <c r="L1009" s="523"/>
      <c r="M1009" s="523"/>
      <c r="N1009" s="523"/>
      <c r="O1009" s="523"/>
      <c r="P1009" s="523"/>
      <c r="Q1009" s="523"/>
      <c r="R1009" s="523"/>
      <c r="S1009" s="523"/>
      <c r="T1009" s="523"/>
      <c r="U1009" s="523"/>
      <c r="V1009" s="224"/>
      <c r="W1009" s="224"/>
      <c r="X1009" s="224"/>
      <c r="Y1009" s="224"/>
      <c r="Z1009" s="868"/>
      <c r="AA1009" s="865"/>
      <c r="AB1009" s="2"/>
      <c r="AC1009" s="2"/>
      <c r="AD1009" s="2"/>
      <c r="AE1009" s="2"/>
      <c r="AF1009" s="2"/>
      <c r="AG1009" s="2"/>
      <c r="AH1009" s="2"/>
      <c r="AI1009" s="2"/>
      <c r="AJ1009" s="2"/>
      <c r="AK1009" s="2"/>
      <c r="AL1009" s="2"/>
      <c r="AM1009" s="2"/>
      <c r="AN1009" s="2"/>
      <c r="AO1009" s="9"/>
      <c r="AP1009" s="9"/>
      <c r="AQ1009" s="9"/>
      <c r="AR1009" s="9"/>
    </row>
    <row r="1010">
      <c r="A1010" s="523"/>
      <c r="B1010" s="523"/>
      <c r="C1010" s="523"/>
      <c r="D1010" s="523"/>
      <c r="E1010" s="523"/>
      <c r="F1010" s="523"/>
      <c r="G1010" s="523"/>
      <c r="H1010" s="523"/>
      <c r="I1010" s="523"/>
      <c r="J1010" s="523"/>
      <c r="K1010" s="523"/>
      <c r="L1010" s="523"/>
      <c r="M1010" s="523"/>
      <c r="N1010" s="523"/>
      <c r="O1010" s="523"/>
      <c r="P1010" s="523"/>
      <c r="Q1010" s="523"/>
      <c r="R1010" s="523"/>
      <c r="S1010" s="523"/>
      <c r="T1010" s="523"/>
      <c r="U1010" s="523"/>
      <c r="V1010" s="224"/>
      <c r="W1010" s="224"/>
      <c r="X1010" s="224"/>
      <c r="Y1010" s="224"/>
      <c r="Z1010" s="868"/>
      <c r="AA1010" s="865"/>
      <c r="AB1010" s="2"/>
      <c r="AC1010" s="2"/>
      <c r="AD1010" s="2"/>
      <c r="AE1010" s="2"/>
      <c r="AF1010" s="2"/>
      <c r="AG1010" s="2"/>
      <c r="AH1010" s="2"/>
      <c r="AI1010" s="2"/>
      <c r="AJ1010" s="2"/>
      <c r="AK1010" s="2"/>
      <c r="AL1010" s="2"/>
      <c r="AM1010" s="2"/>
      <c r="AN1010" s="2"/>
      <c r="AO1010" s="9"/>
      <c r="AP1010" s="9"/>
      <c r="AQ1010" s="9"/>
      <c r="AR1010" s="9"/>
    </row>
    <row r="1011">
      <c r="A1011" s="523"/>
      <c r="B1011" s="523"/>
      <c r="C1011" s="523"/>
      <c r="D1011" s="523"/>
      <c r="E1011" s="523"/>
      <c r="F1011" s="523"/>
      <c r="G1011" s="523"/>
      <c r="H1011" s="523"/>
      <c r="I1011" s="523"/>
      <c r="J1011" s="523"/>
      <c r="K1011" s="523"/>
      <c r="L1011" s="523"/>
      <c r="M1011" s="523"/>
      <c r="N1011" s="523"/>
      <c r="O1011" s="523"/>
      <c r="P1011" s="523"/>
      <c r="Q1011" s="523"/>
      <c r="R1011" s="523"/>
      <c r="S1011" s="523"/>
      <c r="T1011" s="523"/>
      <c r="U1011" s="523"/>
      <c r="V1011" s="224"/>
      <c r="W1011" s="224"/>
      <c r="X1011" s="224"/>
      <c r="Y1011" s="224"/>
      <c r="Z1011" s="868"/>
      <c r="AA1011" s="865"/>
      <c r="AB1011" s="2"/>
      <c r="AC1011" s="2"/>
      <c r="AD1011" s="2"/>
      <c r="AE1011" s="2"/>
      <c r="AF1011" s="2"/>
      <c r="AG1011" s="2"/>
      <c r="AH1011" s="2"/>
      <c r="AI1011" s="2"/>
      <c r="AJ1011" s="2"/>
      <c r="AK1011" s="2"/>
      <c r="AL1011" s="2"/>
      <c r="AM1011" s="2"/>
      <c r="AN1011" s="2"/>
      <c r="AO1011" s="9"/>
      <c r="AP1011" s="9"/>
      <c r="AQ1011" s="9"/>
      <c r="AR1011" s="9"/>
    </row>
    <row r="1012">
      <c r="A1012" s="523"/>
      <c r="B1012" s="523"/>
      <c r="C1012" s="523"/>
      <c r="D1012" s="523"/>
      <c r="E1012" s="523"/>
      <c r="F1012" s="523"/>
      <c r="G1012" s="523"/>
      <c r="H1012" s="523"/>
      <c r="I1012" s="523"/>
      <c r="J1012" s="523"/>
      <c r="K1012" s="523"/>
      <c r="L1012" s="523"/>
      <c r="M1012" s="523"/>
      <c r="N1012" s="523"/>
      <c r="O1012" s="523"/>
      <c r="P1012" s="523"/>
      <c r="Q1012" s="523"/>
      <c r="R1012" s="523"/>
      <c r="S1012" s="523"/>
      <c r="T1012" s="523"/>
      <c r="U1012" s="523"/>
      <c r="V1012" s="224"/>
      <c r="W1012" s="224"/>
      <c r="X1012" s="224"/>
      <c r="Y1012" s="224"/>
      <c r="Z1012" s="868"/>
      <c r="AA1012" s="865"/>
      <c r="AB1012" s="2"/>
      <c r="AC1012" s="2"/>
      <c r="AD1012" s="2"/>
      <c r="AE1012" s="2"/>
      <c r="AF1012" s="2"/>
      <c r="AG1012" s="2"/>
      <c r="AH1012" s="2"/>
      <c r="AI1012" s="2"/>
      <c r="AJ1012" s="2"/>
      <c r="AK1012" s="2"/>
      <c r="AL1012" s="2"/>
      <c r="AM1012" s="2"/>
      <c r="AN1012" s="2"/>
      <c r="AO1012" s="9"/>
      <c r="AP1012" s="9"/>
      <c r="AQ1012" s="9"/>
      <c r="AR1012" s="9"/>
    </row>
    <row r="1013">
      <c r="A1013" s="523"/>
      <c r="B1013" s="523"/>
      <c r="C1013" s="523"/>
      <c r="D1013" s="523"/>
      <c r="E1013" s="523"/>
      <c r="F1013" s="523"/>
      <c r="G1013" s="523"/>
      <c r="H1013" s="523"/>
      <c r="I1013" s="523"/>
      <c r="J1013" s="523"/>
      <c r="K1013" s="523"/>
      <c r="L1013" s="523"/>
      <c r="M1013" s="523"/>
      <c r="N1013" s="523"/>
      <c r="O1013" s="523"/>
      <c r="P1013" s="523"/>
      <c r="Q1013" s="523"/>
      <c r="R1013" s="523"/>
      <c r="S1013" s="523"/>
      <c r="T1013" s="523"/>
      <c r="U1013" s="523"/>
      <c r="V1013" s="224"/>
      <c r="W1013" s="224"/>
      <c r="X1013" s="224"/>
      <c r="Y1013" s="224"/>
      <c r="Z1013" s="868"/>
      <c r="AA1013" s="865"/>
      <c r="AB1013" s="2"/>
      <c r="AC1013" s="2"/>
      <c r="AD1013" s="2"/>
      <c r="AE1013" s="2"/>
      <c r="AF1013" s="2"/>
      <c r="AG1013" s="2"/>
      <c r="AH1013" s="2"/>
      <c r="AI1013" s="2"/>
      <c r="AJ1013" s="2"/>
      <c r="AK1013" s="2"/>
      <c r="AL1013" s="2"/>
      <c r="AM1013" s="2"/>
      <c r="AN1013" s="2"/>
      <c r="AO1013" s="9"/>
      <c r="AP1013" s="9"/>
      <c r="AQ1013" s="9"/>
      <c r="AR1013" s="9"/>
    </row>
    <row r="1014">
      <c r="A1014" s="523"/>
      <c r="B1014" s="523"/>
      <c r="C1014" s="523"/>
      <c r="D1014" s="523"/>
      <c r="E1014" s="523"/>
      <c r="F1014" s="523"/>
      <c r="G1014" s="523"/>
      <c r="H1014" s="523"/>
      <c r="I1014" s="523"/>
      <c r="J1014" s="523"/>
      <c r="K1014" s="523"/>
      <c r="L1014" s="523"/>
      <c r="M1014" s="523"/>
      <c r="N1014" s="523"/>
      <c r="O1014" s="523"/>
      <c r="P1014" s="523"/>
      <c r="Q1014" s="523"/>
      <c r="R1014" s="523"/>
      <c r="S1014" s="523"/>
      <c r="T1014" s="523"/>
      <c r="U1014" s="523"/>
      <c r="V1014" s="224"/>
      <c r="W1014" s="224"/>
      <c r="X1014" s="224"/>
      <c r="Y1014" s="224"/>
      <c r="Z1014" s="868"/>
      <c r="AA1014" s="865"/>
      <c r="AB1014" s="2"/>
      <c r="AC1014" s="2"/>
      <c r="AD1014" s="2"/>
      <c r="AE1014" s="2"/>
      <c r="AF1014" s="2"/>
      <c r="AG1014" s="2"/>
      <c r="AH1014" s="2"/>
      <c r="AI1014" s="2"/>
      <c r="AJ1014" s="2"/>
      <c r="AK1014" s="2"/>
      <c r="AL1014" s="2"/>
      <c r="AM1014" s="2"/>
      <c r="AN1014" s="2"/>
      <c r="AO1014" s="9"/>
      <c r="AP1014" s="9"/>
      <c r="AQ1014" s="9"/>
      <c r="AR1014" s="9"/>
    </row>
    <row r="1015">
      <c r="A1015" s="523"/>
      <c r="B1015" s="523"/>
      <c r="C1015" s="523"/>
      <c r="D1015" s="523"/>
      <c r="E1015" s="523"/>
      <c r="F1015" s="523"/>
      <c r="G1015" s="523"/>
      <c r="H1015" s="523"/>
      <c r="I1015" s="523"/>
      <c r="J1015" s="523"/>
      <c r="K1015" s="523"/>
      <c r="L1015" s="523"/>
      <c r="M1015" s="523"/>
      <c r="N1015" s="523"/>
      <c r="O1015" s="523"/>
      <c r="P1015" s="523"/>
      <c r="Q1015" s="523"/>
      <c r="R1015" s="523"/>
      <c r="S1015" s="523"/>
      <c r="T1015" s="523"/>
      <c r="U1015" s="523"/>
      <c r="V1015" s="224"/>
      <c r="W1015" s="224"/>
      <c r="X1015" s="224"/>
      <c r="Y1015" s="224"/>
      <c r="Z1015" s="868"/>
      <c r="AA1015" s="865"/>
      <c r="AB1015" s="2"/>
      <c r="AC1015" s="2"/>
      <c r="AD1015" s="2"/>
      <c r="AE1015" s="2"/>
      <c r="AF1015" s="2"/>
      <c r="AG1015" s="2"/>
      <c r="AH1015" s="2"/>
      <c r="AI1015" s="2"/>
      <c r="AJ1015" s="2"/>
      <c r="AK1015" s="2"/>
      <c r="AL1015" s="2"/>
      <c r="AM1015" s="2"/>
      <c r="AN1015" s="2"/>
      <c r="AO1015" s="9"/>
      <c r="AP1015" s="9"/>
      <c r="AQ1015" s="9"/>
      <c r="AR1015" s="9"/>
    </row>
    <row r="1016">
      <c r="A1016" s="523"/>
      <c r="B1016" s="523"/>
      <c r="C1016" s="523"/>
      <c r="D1016" s="523"/>
      <c r="E1016" s="523"/>
      <c r="F1016" s="523"/>
      <c r="G1016" s="523"/>
      <c r="H1016" s="523"/>
      <c r="I1016" s="523"/>
      <c r="J1016" s="523"/>
      <c r="K1016" s="523"/>
      <c r="L1016" s="523"/>
      <c r="M1016" s="523"/>
      <c r="N1016" s="523"/>
      <c r="O1016" s="523"/>
      <c r="P1016" s="523"/>
      <c r="Q1016" s="523"/>
      <c r="R1016" s="523"/>
      <c r="S1016" s="523"/>
      <c r="T1016" s="523"/>
      <c r="U1016" s="523"/>
      <c r="V1016" s="224"/>
      <c r="W1016" s="224"/>
      <c r="X1016" s="224"/>
      <c r="Y1016" s="224"/>
      <c r="Z1016" s="868"/>
      <c r="AA1016" s="865"/>
      <c r="AB1016" s="2"/>
      <c r="AC1016" s="2"/>
      <c r="AD1016" s="2"/>
      <c r="AE1016" s="2"/>
      <c r="AF1016" s="2"/>
      <c r="AG1016" s="2"/>
      <c r="AH1016" s="2"/>
      <c r="AI1016" s="2"/>
      <c r="AJ1016" s="2"/>
      <c r="AK1016" s="2"/>
      <c r="AL1016" s="2"/>
      <c r="AM1016" s="2"/>
      <c r="AN1016" s="2"/>
      <c r="AO1016" s="9"/>
      <c r="AP1016" s="9"/>
      <c r="AQ1016" s="9"/>
      <c r="AR1016" s="9"/>
    </row>
    <row r="1017">
      <c r="A1017" s="523"/>
      <c r="B1017" s="523"/>
      <c r="C1017" s="523"/>
      <c r="D1017" s="523"/>
      <c r="E1017" s="523"/>
      <c r="F1017" s="523"/>
      <c r="G1017" s="523"/>
      <c r="H1017" s="523"/>
      <c r="I1017" s="523"/>
      <c r="J1017" s="523"/>
      <c r="K1017" s="523"/>
      <c r="L1017" s="523"/>
      <c r="M1017" s="523"/>
      <c r="N1017" s="523"/>
      <c r="O1017" s="523"/>
      <c r="P1017" s="523"/>
      <c r="Q1017" s="523"/>
      <c r="R1017" s="523"/>
      <c r="S1017" s="523"/>
      <c r="T1017" s="523"/>
      <c r="U1017" s="523"/>
      <c r="V1017" s="224"/>
      <c r="W1017" s="224"/>
      <c r="X1017" s="224"/>
      <c r="Y1017" s="224"/>
      <c r="Z1017" s="868"/>
      <c r="AA1017" s="865"/>
      <c r="AB1017" s="2"/>
      <c r="AC1017" s="2"/>
      <c r="AD1017" s="2"/>
      <c r="AE1017" s="2"/>
      <c r="AF1017" s="2"/>
      <c r="AG1017" s="2"/>
      <c r="AH1017" s="2"/>
      <c r="AI1017" s="2"/>
      <c r="AJ1017" s="2"/>
      <c r="AK1017" s="2"/>
      <c r="AL1017" s="2"/>
      <c r="AM1017" s="2"/>
      <c r="AN1017" s="2"/>
      <c r="AO1017" s="9"/>
      <c r="AP1017" s="9"/>
      <c r="AQ1017" s="9"/>
      <c r="AR1017" s="9"/>
    </row>
    <row r="1018">
      <c r="A1018" s="523"/>
      <c r="B1018" s="523"/>
      <c r="C1018" s="523"/>
      <c r="D1018" s="523"/>
      <c r="E1018" s="523"/>
      <c r="F1018" s="523"/>
      <c r="G1018" s="523"/>
      <c r="H1018" s="523"/>
      <c r="I1018" s="523"/>
      <c r="J1018" s="523"/>
      <c r="K1018" s="523"/>
      <c r="L1018" s="523"/>
      <c r="M1018" s="523"/>
      <c r="N1018" s="523"/>
      <c r="O1018" s="523"/>
      <c r="P1018" s="523"/>
      <c r="Q1018" s="523"/>
      <c r="R1018" s="523"/>
      <c r="S1018" s="523"/>
      <c r="T1018" s="523"/>
      <c r="U1018" s="523"/>
      <c r="V1018" s="224"/>
      <c r="W1018" s="224"/>
      <c r="X1018" s="224"/>
      <c r="Y1018" s="224"/>
      <c r="Z1018" s="868"/>
      <c r="AA1018" s="865"/>
      <c r="AB1018" s="2"/>
      <c r="AC1018" s="2"/>
      <c r="AD1018" s="2"/>
      <c r="AE1018" s="2"/>
      <c r="AF1018" s="2"/>
      <c r="AG1018" s="2"/>
      <c r="AH1018" s="2"/>
      <c r="AI1018" s="2"/>
      <c r="AJ1018" s="2"/>
      <c r="AK1018" s="2"/>
      <c r="AL1018" s="2"/>
      <c r="AM1018" s="2"/>
      <c r="AN1018" s="2"/>
      <c r="AO1018" s="9"/>
      <c r="AP1018" s="9"/>
      <c r="AQ1018" s="9"/>
      <c r="AR1018" s="9"/>
    </row>
    <row r="1019">
      <c r="A1019" s="523"/>
      <c r="B1019" s="523"/>
      <c r="C1019" s="523"/>
      <c r="D1019" s="523"/>
      <c r="E1019" s="523"/>
      <c r="F1019" s="523"/>
      <c r="G1019" s="523"/>
      <c r="H1019" s="523"/>
      <c r="I1019" s="523"/>
      <c r="J1019" s="523"/>
      <c r="K1019" s="523"/>
      <c r="L1019" s="523"/>
      <c r="M1019" s="523"/>
      <c r="N1019" s="523"/>
      <c r="O1019" s="523"/>
      <c r="P1019" s="523"/>
      <c r="Q1019" s="523"/>
      <c r="R1019" s="523"/>
      <c r="S1019" s="523"/>
      <c r="T1019" s="523"/>
      <c r="U1019" s="523"/>
      <c r="V1019" s="224"/>
      <c r="W1019" s="224"/>
      <c r="X1019" s="224"/>
      <c r="Y1019" s="224"/>
      <c r="Z1019" s="868"/>
      <c r="AA1019" s="865"/>
      <c r="AB1019" s="2"/>
      <c r="AC1019" s="2"/>
      <c r="AD1019" s="2"/>
      <c r="AE1019" s="2"/>
      <c r="AF1019" s="2"/>
      <c r="AG1019" s="2"/>
      <c r="AH1019" s="2"/>
      <c r="AI1019" s="2"/>
      <c r="AJ1019" s="2"/>
      <c r="AK1019" s="2"/>
      <c r="AL1019" s="2"/>
      <c r="AM1019" s="2"/>
      <c r="AN1019" s="2"/>
      <c r="AO1019" s="9"/>
      <c r="AP1019" s="9"/>
      <c r="AQ1019" s="9"/>
      <c r="AR1019" s="9"/>
    </row>
    <row r="1020">
      <c r="A1020" s="523"/>
      <c r="B1020" s="523"/>
      <c r="C1020" s="523"/>
      <c r="D1020" s="523"/>
      <c r="E1020" s="523"/>
      <c r="F1020" s="523"/>
      <c r="G1020" s="523"/>
      <c r="H1020" s="523"/>
      <c r="I1020" s="523"/>
      <c r="J1020" s="523"/>
      <c r="K1020" s="523"/>
      <c r="L1020" s="523"/>
      <c r="M1020" s="523"/>
      <c r="N1020" s="523"/>
      <c r="O1020" s="523"/>
      <c r="P1020" s="523"/>
      <c r="Q1020" s="523"/>
      <c r="R1020" s="523"/>
      <c r="S1020" s="523"/>
      <c r="T1020" s="523"/>
      <c r="U1020" s="523"/>
      <c r="V1020" s="224"/>
      <c r="W1020" s="224"/>
      <c r="X1020" s="224"/>
      <c r="Y1020" s="224"/>
      <c r="Z1020" s="868"/>
      <c r="AA1020" s="865"/>
      <c r="AB1020" s="2"/>
      <c r="AC1020" s="2"/>
      <c r="AD1020" s="2"/>
      <c r="AE1020" s="2"/>
      <c r="AF1020" s="2"/>
      <c r="AG1020" s="2"/>
      <c r="AH1020" s="2"/>
      <c r="AI1020" s="2"/>
      <c r="AJ1020" s="2"/>
      <c r="AK1020" s="2"/>
      <c r="AL1020" s="2"/>
      <c r="AM1020" s="2"/>
      <c r="AN1020" s="2"/>
      <c r="AO1020" s="9"/>
      <c r="AP1020" s="9"/>
      <c r="AQ1020" s="9"/>
      <c r="AR1020" s="9"/>
    </row>
    <row r="1021">
      <c r="A1021" s="523"/>
      <c r="B1021" s="523"/>
      <c r="C1021" s="523"/>
      <c r="D1021" s="523"/>
      <c r="E1021" s="523"/>
      <c r="F1021" s="523"/>
      <c r="G1021" s="523"/>
      <c r="H1021" s="523"/>
      <c r="I1021" s="523"/>
      <c r="J1021" s="523"/>
      <c r="K1021" s="523"/>
      <c r="L1021" s="523"/>
      <c r="M1021" s="523"/>
      <c r="N1021" s="523"/>
      <c r="O1021" s="523"/>
      <c r="P1021" s="523"/>
      <c r="Q1021" s="523"/>
      <c r="R1021" s="523"/>
      <c r="S1021" s="523"/>
      <c r="T1021" s="523"/>
      <c r="U1021" s="523"/>
      <c r="V1021" s="224"/>
      <c r="W1021" s="224"/>
      <c r="X1021" s="224"/>
      <c r="Y1021" s="224"/>
      <c r="Z1021" s="868"/>
      <c r="AA1021" s="865"/>
      <c r="AB1021" s="2"/>
      <c r="AC1021" s="2"/>
      <c r="AD1021" s="2"/>
      <c r="AE1021" s="2"/>
      <c r="AF1021" s="2"/>
      <c r="AG1021" s="2"/>
      <c r="AH1021" s="2"/>
      <c r="AI1021" s="2"/>
      <c r="AJ1021" s="2"/>
      <c r="AK1021" s="2"/>
      <c r="AL1021" s="2"/>
      <c r="AM1021" s="2"/>
      <c r="AN1021" s="2"/>
      <c r="AO1021" s="9"/>
      <c r="AP1021" s="9"/>
      <c r="AQ1021" s="9"/>
      <c r="AR1021" s="9"/>
    </row>
    <row r="1022">
      <c r="A1022" s="523"/>
      <c r="B1022" s="523"/>
      <c r="C1022" s="523"/>
      <c r="D1022" s="523"/>
      <c r="E1022" s="523"/>
      <c r="F1022" s="523"/>
      <c r="G1022" s="523"/>
      <c r="H1022" s="523"/>
      <c r="I1022" s="523"/>
      <c r="J1022" s="523"/>
      <c r="K1022" s="523"/>
      <c r="L1022" s="523"/>
      <c r="M1022" s="523"/>
      <c r="N1022" s="523"/>
      <c r="O1022" s="523"/>
      <c r="P1022" s="523"/>
      <c r="Q1022" s="523"/>
      <c r="R1022" s="523"/>
      <c r="S1022" s="523"/>
      <c r="T1022" s="523"/>
      <c r="U1022" s="523"/>
      <c r="V1022" s="224"/>
      <c r="W1022" s="224"/>
      <c r="X1022" s="224"/>
      <c r="Y1022" s="224"/>
      <c r="Z1022" s="868"/>
      <c r="AA1022" s="865"/>
      <c r="AB1022" s="2"/>
      <c r="AC1022" s="2"/>
      <c r="AD1022" s="2"/>
      <c r="AE1022" s="2"/>
      <c r="AF1022" s="2"/>
      <c r="AG1022" s="2"/>
      <c r="AH1022" s="2"/>
      <c r="AI1022" s="2"/>
      <c r="AJ1022" s="2"/>
      <c r="AK1022" s="2"/>
      <c r="AL1022" s="2"/>
      <c r="AM1022" s="2"/>
      <c r="AN1022" s="2"/>
      <c r="AO1022" s="9"/>
      <c r="AP1022" s="9"/>
      <c r="AQ1022" s="9"/>
      <c r="AR1022" s="9"/>
    </row>
    <row r="1023">
      <c r="A1023" s="523"/>
      <c r="B1023" s="523"/>
      <c r="C1023" s="523"/>
      <c r="D1023" s="523"/>
      <c r="E1023" s="523"/>
      <c r="F1023" s="523"/>
      <c r="G1023" s="523"/>
      <c r="H1023" s="523"/>
      <c r="I1023" s="523"/>
      <c r="J1023" s="523"/>
      <c r="K1023" s="523"/>
      <c r="L1023" s="523"/>
      <c r="M1023" s="523"/>
      <c r="N1023" s="523"/>
      <c r="O1023" s="523"/>
      <c r="P1023" s="523"/>
      <c r="Q1023" s="523"/>
      <c r="R1023" s="523"/>
      <c r="S1023" s="523"/>
      <c r="T1023" s="523"/>
      <c r="U1023" s="523"/>
      <c r="V1023" s="224"/>
      <c r="W1023" s="224"/>
      <c r="X1023" s="224"/>
      <c r="Y1023" s="224"/>
      <c r="Z1023" s="868"/>
      <c r="AA1023" s="865"/>
      <c r="AB1023" s="2"/>
      <c r="AC1023" s="2"/>
      <c r="AD1023" s="2"/>
      <c r="AE1023" s="2"/>
      <c r="AF1023" s="2"/>
      <c r="AG1023" s="2"/>
      <c r="AH1023" s="2"/>
      <c r="AI1023" s="2"/>
      <c r="AJ1023" s="2"/>
      <c r="AK1023" s="2"/>
      <c r="AL1023" s="2"/>
      <c r="AM1023" s="2"/>
      <c r="AN1023" s="2"/>
      <c r="AO1023" s="9"/>
      <c r="AP1023" s="9"/>
      <c r="AQ1023" s="9"/>
      <c r="AR1023" s="9"/>
    </row>
    <row r="1024">
      <c r="A1024" s="523"/>
      <c r="B1024" s="523"/>
      <c r="C1024" s="523"/>
      <c r="D1024" s="523"/>
      <c r="E1024" s="523"/>
      <c r="F1024" s="523"/>
      <c r="G1024" s="523"/>
      <c r="H1024" s="523"/>
      <c r="I1024" s="523"/>
      <c r="J1024" s="523"/>
      <c r="K1024" s="523"/>
      <c r="L1024" s="523"/>
      <c r="M1024" s="523"/>
      <c r="N1024" s="523"/>
      <c r="O1024" s="523"/>
      <c r="P1024" s="523"/>
      <c r="Q1024" s="523"/>
      <c r="R1024" s="523"/>
      <c r="S1024" s="523"/>
      <c r="T1024" s="523"/>
      <c r="U1024" s="523"/>
      <c r="V1024" s="224"/>
      <c r="W1024" s="224"/>
      <c r="X1024" s="224"/>
      <c r="Y1024" s="224"/>
      <c r="Z1024" s="868"/>
      <c r="AA1024" s="865"/>
      <c r="AB1024" s="2"/>
      <c r="AC1024" s="2"/>
      <c r="AD1024" s="2"/>
      <c r="AE1024" s="2"/>
      <c r="AF1024" s="2"/>
      <c r="AG1024" s="2"/>
      <c r="AH1024" s="2"/>
      <c r="AI1024" s="2"/>
      <c r="AJ1024" s="2"/>
      <c r="AK1024" s="2"/>
      <c r="AL1024" s="2"/>
      <c r="AM1024" s="2"/>
      <c r="AN1024" s="2"/>
      <c r="AO1024" s="9"/>
      <c r="AP1024" s="9"/>
      <c r="AQ1024" s="9"/>
      <c r="AR1024" s="9"/>
    </row>
    <row r="1025">
      <c r="A1025" s="523"/>
      <c r="B1025" s="523"/>
      <c r="C1025" s="523"/>
      <c r="D1025" s="523"/>
      <c r="E1025" s="523"/>
      <c r="F1025" s="523"/>
      <c r="G1025" s="523"/>
      <c r="H1025" s="523"/>
      <c r="I1025" s="523"/>
      <c r="J1025" s="523"/>
      <c r="K1025" s="523"/>
      <c r="L1025" s="523"/>
      <c r="M1025" s="523"/>
      <c r="N1025" s="523"/>
      <c r="O1025" s="523"/>
      <c r="P1025" s="523"/>
      <c r="Q1025" s="523"/>
      <c r="R1025" s="523"/>
      <c r="S1025" s="523"/>
      <c r="T1025" s="523"/>
      <c r="U1025" s="523"/>
      <c r="V1025" s="224"/>
      <c r="W1025" s="224"/>
      <c r="X1025" s="224"/>
      <c r="Y1025" s="224"/>
      <c r="Z1025" s="868"/>
      <c r="AA1025" s="865"/>
      <c r="AB1025" s="2"/>
      <c r="AC1025" s="2"/>
      <c r="AD1025" s="2"/>
      <c r="AE1025" s="2"/>
      <c r="AF1025" s="2"/>
      <c r="AG1025" s="2"/>
      <c r="AH1025" s="2"/>
      <c r="AI1025" s="2"/>
      <c r="AJ1025" s="2"/>
      <c r="AK1025" s="2"/>
      <c r="AL1025" s="2"/>
      <c r="AM1025" s="2"/>
      <c r="AN1025" s="2"/>
      <c r="AO1025" s="9"/>
      <c r="AP1025" s="9"/>
      <c r="AQ1025" s="9"/>
      <c r="AR1025" s="9"/>
    </row>
    <row r="1026">
      <c r="A1026" s="523"/>
      <c r="B1026" s="523"/>
      <c r="C1026" s="523"/>
      <c r="D1026" s="523"/>
      <c r="E1026" s="523"/>
      <c r="F1026" s="523"/>
      <c r="G1026" s="523"/>
      <c r="H1026" s="523"/>
      <c r="I1026" s="523"/>
      <c r="J1026" s="523"/>
      <c r="K1026" s="523"/>
      <c r="L1026" s="523"/>
      <c r="M1026" s="523"/>
      <c r="N1026" s="523"/>
      <c r="O1026" s="523"/>
      <c r="P1026" s="523"/>
      <c r="Q1026" s="523"/>
      <c r="R1026" s="523"/>
      <c r="S1026" s="523"/>
      <c r="T1026" s="523"/>
      <c r="U1026" s="523"/>
      <c r="V1026" s="224"/>
      <c r="W1026" s="224"/>
      <c r="X1026" s="224"/>
      <c r="Y1026" s="224"/>
      <c r="Z1026" s="868"/>
      <c r="AA1026" s="865"/>
      <c r="AB1026" s="2"/>
      <c r="AC1026" s="2"/>
      <c r="AD1026" s="2"/>
      <c r="AE1026" s="2"/>
      <c r="AF1026" s="2"/>
      <c r="AG1026" s="2"/>
      <c r="AH1026" s="2"/>
      <c r="AI1026" s="2"/>
      <c r="AJ1026" s="2"/>
      <c r="AK1026" s="2"/>
      <c r="AL1026" s="2"/>
      <c r="AM1026" s="2"/>
      <c r="AN1026" s="2"/>
      <c r="AO1026" s="9"/>
      <c r="AP1026" s="9"/>
      <c r="AQ1026" s="9"/>
      <c r="AR1026" s="9"/>
    </row>
    <row r="1027">
      <c r="A1027" s="523"/>
      <c r="B1027" s="523"/>
      <c r="C1027" s="523"/>
      <c r="D1027" s="523"/>
      <c r="E1027" s="523"/>
      <c r="F1027" s="523"/>
      <c r="G1027" s="523"/>
      <c r="H1027" s="523"/>
      <c r="I1027" s="523"/>
      <c r="J1027" s="523"/>
      <c r="K1027" s="523"/>
      <c r="L1027" s="523"/>
      <c r="M1027" s="523"/>
      <c r="N1027" s="523"/>
      <c r="O1027" s="523"/>
      <c r="P1027" s="523"/>
      <c r="Q1027" s="523"/>
      <c r="R1027" s="523"/>
      <c r="S1027" s="523"/>
      <c r="T1027" s="523"/>
      <c r="U1027" s="523"/>
      <c r="V1027" s="224"/>
      <c r="W1027" s="224"/>
      <c r="X1027" s="224"/>
      <c r="Y1027" s="224"/>
      <c r="Z1027" s="868"/>
      <c r="AA1027" s="865"/>
      <c r="AB1027" s="2"/>
      <c r="AC1027" s="2"/>
      <c r="AD1027" s="2"/>
      <c r="AE1027" s="2"/>
      <c r="AF1027" s="2"/>
      <c r="AG1027" s="2"/>
      <c r="AH1027" s="2"/>
      <c r="AI1027" s="2"/>
      <c r="AJ1027" s="2"/>
      <c r="AK1027" s="2"/>
      <c r="AL1027" s="2"/>
      <c r="AM1027" s="2"/>
      <c r="AN1027" s="2"/>
      <c r="AO1027" s="9"/>
      <c r="AP1027" s="9"/>
      <c r="AQ1027" s="9"/>
      <c r="AR1027" s="9"/>
    </row>
    <row r="1028">
      <c r="A1028" s="523"/>
      <c r="B1028" s="523"/>
      <c r="C1028" s="523"/>
      <c r="D1028" s="523"/>
      <c r="E1028" s="523"/>
      <c r="F1028" s="523"/>
      <c r="G1028" s="523"/>
      <c r="H1028" s="523"/>
      <c r="I1028" s="523"/>
      <c r="J1028" s="523"/>
      <c r="K1028" s="523"/>
      <c r="L1028" s="523"/>
      <c r="M1028" s="523"/>
      <c r="N1028" s="523"/>
      <c r="O1028" s="523"/>
      <c r="P1028" s="523"/>
      <c r="Q1028" s="523"/>
      <c r="R1028" s="523"/>
      <c r="S1028" s="523"/>
      <c r="T1028" s="523"/>
      <c r="U1028" s="523"/>
      <c r="V1028" s="224"/>
      <c r="W1028" s="224"/>
      <c r="X1028" s="224"/>
      <c r="Y1028" s="224"/>
      <c r="Z1028" s="868"/>
      <c r="AA1028" s="865"/>
      <c r="AB1028" s="2"/>
      <c r="AC1028" s="2"/>
      <c r="AD1028" s="2"/>
      <c r="AE1028" s="2"/>
      <c r="AF1028" s="2"/>
      <c r="AG1028" s="2"/>
      <c r="AH1028" s="2"/>
      <c r="AI1028" s="2"/>
      <c r="AJ1028" s="2"/>
      <c r="AK1028" s="2"/>
      <c r="AL1028" s="2"/>
      <c r="AM1028" s="2"/>
      <c r="AN1028" s="2"/>
      <c r="AO1028" s="9"/>
      <c r="AP1028" s="9"/>
      <c r="AQ1028" s="9"/>
      <c r="AR1028" s="9"/>
    </row>
    <row r="1029">
      <c r="A1029" s="523"/>
      <c r="B1029" s="523"/>
      <c r="C1029" s="523"/>
      <c r="D1029" s="523"/>
      <c r="E1029" s="523"/>
      <c r="F1029" s="523"/>
      <c r="G1029" s="523"/>
      <c r="H1029" s="523"/>
      <c r="I1029" s="523"/>
      <c r="J1029" s="523"/>
      <c r="K1029" s="523"/>
      <c r="L1029" s="523"/>
      <c r="M1029" s="523"/>
      <c r="N1029" s="523"/>
      <c r="O1029" s="523"/>
      <c r="P1029" s="523"/>
      <c r="Q1029" s="523"/>
      <c r="R1029" s="523"/>
      <c r="S1029" s="523"/>
      <c r="T1029" s="523"/>
      <c r="U1029" s="523"/>
      <c r="V1029" s="224"/>
      <c r="W1029" s="224"/>
      <c r="X1029" s="224"/>
      <c r="Y1029" s="224"/>
      <c r="Z1029" s="868"/>
      <c r="AA1029" s="865"/>
      <c r="AB1029" s="2"/>
      <c r="AC1029" s="2"/>
      <c r="AD1029" s="2"/>
      <c r="AE1029" s="2"/>
      <c r="AF1029" s="2"/>
      <c r="AG1029" s="2"/>
      <c r="AH1029" s="2"/>
      <c r="AI1029" s="2"/>
      <c r="AJ1029" s="2"/>
      <c r="AK1029" s="2"/>
      <c r="AL1029" s="2"/>
      <c r="AM1029" s="2"/>
      <c r="AN1029" s="2"/>
      <c r="AO1029" s="9"/>
      <c r="AP1029" s="9"/>
      <c r="AQ1029" s="9"/>
      <c r="AR1029" s="9"/>
    </row>
    <row r="1030">
      <c r="A1030" s="523"/>
      <c r="B1030" s="523"/>
      <c r="C1030" s="523"/>
      <c r="D1030" s="523"/>
      <c r="E1030" s="523"/>
      <c r="F1030" s="523"/>
      <c r="G1030" s="523"/>
      <c r="H1030" s="523"/>
      <c r="I1030" s="523"/>
      <c r="J1030" s="523"/>
      <c r="K1030" s="523"/>
      <c r="L1030" s="523"/>
      <c r="M1030" s="523"/>
      <c r="N1030" s="523"/>
      <c r="O1030" s="523"/>
      <c r="P1030" s="523"/>
      <c r="Q1030" s="523"/>
      <c r="R1030" s="523"/>
      <c r="S1030" s="523"/>
      <c r="T1030" s="523"/>
      <c r="U1030" s="523"/>
      <c r="V1030" s="224"/>
      <c r="W1030" s="224"/>
      <c r="X1030" s="224"/>
      <c r="Y1030" s="224"/>
      <c r="Z1030" s="868"/>
      <c r="AA1030" s="865"/>
      <c r="AB1030" s="2"/>
      <c r="AC1030" s="2"/>
      <c r="AD1030" s="2"/>
      <c r="AE1030" s="2"/>
      <c r="AF1030" s="2"/>
      <c r="AG1030" s="2"/>
      <c r="AH1030" s="2"/>
      <c r="AI1030" s="2"/>
      <c r="AJ1030" s="2"/>
      <c r="AK1030" s="2"/>
      <c r="AL1030" s="2"/>
      <c r="AM1030" s="2"/>
      <c r="AN1030" s="2"/>
      <c r="AO1030" s="9"/>
      <c r="AP1030" s="9"/>
      <c r="AQ1030" s="9"/>
      <c r="AR1030" s="9"/>
    </row>
    <row r="1031">
      <c r="A1031" s="523"/>
      <c r="B1031" s="523"/>
      <c r="C1031" s="523"/>
      <c r="D1031" s="523"/>
      <c r="E1031" s="523"/>
      <c r="F1031" s="523"/>
      <c r="G1031" s="523"/>
      <c r="H1031" s="523"/>
      <c r="I1031" s="523"/>
      <c r="J1031" s="523"/>
      <c r="K1031" s="523"/>
      <c r="L1031" s="523"/>
      <c r="M1031" s="523"/>
      <c r="N1031" s="523"/>
      <c r="O1031" s="523"/>
      <c r="P1031" s="523"/>
      <c r="Q1031" s="523"/>
      <c r="R1031" s="523"/>
      <c r="S1031" s="523"/>
      <c r="T1031" s="523"/>
      <c r="U1031" s="523"/>
      <c r="V1031" s="224"/>
      <c r="W1031" s="224"/>
      <c r="X1031" s="224"/>
      <c r="Y1031" s="224"/>
      <c r="Z1031" s="868"/>
      <c r="AA1031" s="865"/>
      <c r="AB1031" s="2"/>
      <c r="AC1031" s="2"/>
      <c r="AD1031" s="2"/>
      <c r="AE1031" s="2"/>
      <c r="AF1031" s="2"/>
      <c r="AG1031" s="2"/>
      <c r="AH1031" s="2"/>
      <c r="AI1031" s="2"/>
      <c r="AJ1031" s="2"/>
      <c r="AK1031" s="2"/>
      <c r="AL1031" s="2"/>
      <c r="AM1031" s="2"/>
      <c r="AN1031" s="2"/>
      <c r="AO1031" s="9"/>
      <c r="AP1031" s="9"/>
      <c r="AQ1031" s="9"/>
      <c r="AR1031" s="9"/>
    </row>
    <row r="1032">
      <c r="A1032" s="523"/>
      <c r="B1032" s="523"/>
      <c r="C1032" s="523"/>
      <c r="D1032" s="523"/>
      <c r="E1032" s="523"/>
      <c r="F1032" s="523"/>
      <c r="G1032" s="523"/>
      <c r="H1032" s="523"/>
      <c r="I1032" s="523"/>
      <c r="J1032" s="523"/>
      <c r="K1032" s="523"/>
      <c r="L1032" s="523"/>
      <c r="M1032" s="523"/>
      <c r="N1032" s="523"/>
      <c r="O1032" s="523"/>
      <c r="P1032" s="523"/>
      <c r="Q1032" s="523"/>
      <c r="R1032" s="523"/>
      <c r="S1032" s="523"/>
      <c r="T1032" s="523"/>
      <c r="U1032" s="523"/>
      <c r="V1032" s="224"/>
      <c r="W1032" s="224"/>
      <c r="X1032" s="224"/>
      <c r="Y1032" s="224"/>
      <c r="Z1032" s="868"/>
      <c r="AA1032" s="865"/>
      <c r="AB1032" s="2"/>
      <c r="AC1032" s="2"/>
      <c r="AD1032" s="2"/>
      <c r="AE1032" s="2"/>
      <c r="AF1032" s="2"/>
      <c r="AG1032" s="2"/>
      <c r="AH1032" s="2"/>
      <c r="AI1032" s="2"/>
      <c r="AJ1032" s="2"/>
      <c r="AK1032" s="2"/>
      <c r="AL1032" s="2"/>
      <c r="AM1032" s="2"/>
      <c r="AN1032" s="2"/>
      <c r="AO1032" s="9"/>
      <c r="AP1032" s="9"/>
      <c r="AQ1032" s="9"/>
      <c r="AR1032" s="9"/>
    </row>
    <row r="1033">
      <c r="A1033" s="523"/>
      <c r="B1033" s="523"/>
      <c r="C1033" s="523"/>
      <c r="D1033" s="523"/>
      <c r="E1033" s="523"/>
      <c r="F1033" s="523"/>
      <c r="G1033" s="523"/>
      <c r="H1033" s="523"/>
      <c r="I1033" s="523"/>
      <c r="J1033" s="523"/>
      <c r="K1033" s="523"/>
      <c r="L1033" s="523"/>
      <c r="M1033" s="523"/>
      <c r="N1033" s="523"/>
      <c r="O1033" s="523"/>
      <c r="P1033" s="523"/>
      <c r="Q1033" s="523"/>
      <c r="R1033" s="523"/>
      <c r="S1033" s="523"/>
      <c r="T1033" s="523"/>
      <c r="U1033" s="523"/>
      <c r="V1033" s="224"/>
      <c r="W1033" s="224"/>
      <c r="X1033" s="224"/>
      <c r="Y1033" s="224"/>
      <c r="Z1033" s="868"/>
      <c r="AA1033" s="865"/>
      <c r="AB1033" s="2"/>
      <c r="AC1033" s="2"/>
      <c r="AD1033" s="2"/>
      <c r="AE1033" s="2"/>
      <c r="AF1033" s="2"/>
      <c r="AG1033" s="2"/>
      <c r="AH1033" s="2"/>
      <c r="AI1033" s="2"/>
      <c r="AJ1033" s="2"/>
      <c r="AK1033" s="2"/>
      <c r="AL1033" s="2"/>
      <c r="AM1033" s="2"/>
      <c r="AN1033" s="2"/>
      <c r="AO1033" s="9"/>
      <c r="AP1033" s="9"/>
      <c r="AQ1033" s="9"/>
      <c r="AR1033" s="9"/>
    </row>
    <row r="1034">
      <c r="A1034" s="523"/>
      <c r="B1034" s="523"/>
      <c r="C1034" s="523"/>
      <c r="D1034" s="523"/>
      <c r="E1034" s="523"/>
      <c r="F1034" s="523"/>
      <c r="G1034" s="523"/>
      <c r="H1034" s="523"/>
      <c r="I1034" s="523"/>
      <c r="J1034" s="523"/>
      <c r="K1034" s="523"/>
      <c r="L1034" s="523"/>
      <c r="M1034" s="523"/>
      <c r="N1034" s="523"/>
      <c r="O1034" s="523"/>
      <c r="P1034" s="523"/>
      <c r="Q1034" s="523"/>
      <c r="R1034" s="523"/>
      <c r="S1034" s="523"/>
      <c r="T1034" s="523"/>
      <c r="U1034" s="523"/>
      <c r="V1034" s="224"/>
      <c r="W1034" s="224"/>
      <c r="X1034" s="224"/>
      <c r="Y1034" s="224"/>
      <c r="Z1034" s="868"/>
      <c r="AA1034" s="865"/>
      <c r="AB1034" s="2"/>
      <c r="AC1034" s="2"/>
      <c r="AD1034" s="2"/>
      <c r="AE1034" s="2"/>
      <c r="AF1034" s="2"/>
      <c r="AG1034" s="2"/>
      <c r="AH1034" s="2"/>
      <c r="AI1034" s="2"/>
      <c r="AJ1034" s="2"/>
      <c r="AK1034" s="2"/>
      <c r="AL1034" s="2"/>
      <c r="AM1034" s="2"/>
      <c r="AN1034" s="2"/>
      <c r="AO1034" s="9"/>
      <c r="AP1034" s="9"/>
      <c r="AQ1034" s="9"/>
      <c r="AR1034" s="9"/>
    </row>
    <row r="1035">
      <c r="A1035" s="523"/>
      <c r="B1035" s="523"/>
      <c r="C1035" s="523"/>
      <c r="D1035" s="523"/>
      <c r="E1035" s="523"/>
      <c r="F1035" s="523"/>
      <c r="G1035" s="523"/>
      <c r="H1035" s="523"/>
      <c r="I1035" s="523"/>
      <c r="J1035" s="523"/>
      <c r="K1035" s="523"/>
      <c r="L1035" s="523"/>
      <c r="M1035" s="523"/>
      <c r="N1035" s="523"/>
      <c r="O1035" s="523"/>
      <c r="P1035" s="523"/>
      <c r="Q1035" s="523"/>
      <c r="R1035" s="523"/>
      <c r="S1035" s="523"/>
      <c r="T1035" s="523"/>
      <c r="U1035" s="523"/>
      <c r="V1035" s="224"/>
      <c r="W1035" s="224"/>
      <c r="X1035" s="224"/>
      <c r="Y1035" s="224"/>
      <c r="Z1035" s="868"/>
      <c r="AA1035" s="865"/>
      <c r="AB1035" s="2"/>
      <c r="AC1035" s="2"/>
      <c r="AD1035" s="2"/>
      <c r="AE1035" s="2"/>
      <c r="AF1035" s="2"/>
      <c r="AG1035" s="2"/>
      <c r="AH1035" s="2"/>
      <c r="AI1035" s="2"/>
      <c r="AJ1035" s="2"/>
      <c r="AK1035" s="2"/>
      <c r="AL1035" s="2"/>
      <c r="AM1035" s="2"/>
      <c r="AN1035" s="2"/>
      <c r="AO1035" s="9"/>
      <c r="AP1035" s="9"/>
      <c r="AQ1035" s="9"/>
      <c r="AR1035" s="9"/>
    </row>
    <row r="1036">
      <c r="A1036" s="523"/>
      <c r="B1036" s="523"/>
      <c r="C1036" s="523"/>
      <c r="D1036" s="523"/>
      <c r="E1036" s="523"/>
      <c r="F1036" s="523"/>
      <c r="G1036" s="523"/>
      <c r="H1036" s="523"/>
      <c r="I1036" s="523"/>
      <c r="J1036" s="523"/>
      <c r="K1036" s="523"/>
      <c r="L1036" s="523"/>
      <c r="M1036" s="523"/>
      <c r="N1036" s="523"/>
      <c r="O1036" s="523"/>
      <c r="P1036" s="523"/>
      <c r="Q1036" s="523"/>
      <c r="R1036" s="523"/>
      <c r="S1036" s="523"/>
      <c r="T1036" s="523"/>
      <c r="U1036" s="523"/>
      <c r="V1036" s="224"/>
      <c r="W1036" s="224"/>
      <c r="X1036" s="224"/>
      <c r="Y1036" s="224"/>
      <c r="Z1036" s="868"/>
      <c r="AA1036" s="865"/>
      <c r="AB1036" s="2"/>
      <c r="AC1036" s="2"/>
      <c r="AD1036" s="2"/>
      <c r="AE1036" s="2"/>
      <c r="AF1036" s="2"/>
      <c r="AG1036" s="2"/>
      <c r="AH1036" s="2"/>
      <c r="AI1036" s="2"/>
      <c r="AJ1036" s="2"/>
      <c r="AK1036" s="2"/>
      <c r="AL1036" s="2"/>
      <c r="AM1036" s="2"/>
      <c r="AN1036" s="2"/>
      <c r="AO1036" s="9"/>
      <c r="AP1036" s="9"/>
      <c r="AQ1036" s="9"/>
      <c r="AR1036" s="9"/>
    </row>
    <row r="1037">
      <c r="A1037" s="523"/>
      <c r="B1037" s="523"/>
      <c r="C1037" s="523"/>
      <c r="D1037" s="523"/>
      <c r="E1037" s="523"/>
      <c r="F1037" s="523"/>
      <c r="G1037" s="523"/>
      <c r="H1037" s="523"/>
      <c r="I1037" s="523"/>
      <c r="J1037" s="523"/>
      <c r="K1037" s="523"/>
      <c r="L1037" s="523"/>
      <c r="M1037" s="523"/>
      <c r="N1037" s="523"/>
      <c r="O1037" s="523"/>
      <c r="P1037" s="523"/>
      <c r="Q1037" s="523"/>
      <c r="R1037" s="523"/>
      <c r="S1037" s="523"/>
      <c r="T1037" s="523"/>
      <c r="U1037" s="523"/>
      <c r="V1037" s="224"/>
      <c r="W1037" s="224"/>
      <c r="X1037" s="224"/>
      <c r="Y1037" s="224"/>
      <c r="Z1037" s="868"/>
      <c r="AA1037" s="865"/>
      <c r="AB1037" s="2"/>
      <c r="AC1037" s="2"/>
      <c r="AD1037" s="2"/>
      <c r="AE1037" s="2"/>
      <c r="AF1037" s="2"/>
      <c r="AG1037" s="2"/>
      <c r="AH1037" s="2"/>
      <c r="AI1037" s="2"/>
      <c r="AJ1037" s="2"/>
      <c r="AK1037" s="2"/>
      <c r="AL1037" s="2"/>
      <c r="AM1037" s="2"/>
      <c r="AN1037" s="2"/>
      <c r="AO1037" s="9"/>
      <c r="AP1037" s="9"/>
      <c r="AQ1037" s="9"/>
      <c r="AR1037" s="9"/>
    </row>
    <row r="1038">
      <c r="A1038" s="523"/>
      <c r="B1038" s="523"/>
      <c r="C1038" s="523"/>
      <c r="D1038" s="523"/>
      <c r="E1038" s="523"/>
      <c r="F1038" s="523"/>
      <c r="G1038" s="523"/>
      <c r="H1038" s="523"/>
      <c r="I1038" s="523"/>
      <c r="J1038" s="523"/>
      <c r="K1038" s="523"/>
      <c r="L1038" s="523"/>
      <c r="M1038" s="523"/>
      <c r="N1038" s="523"/>
      <c r="O1038" s="523"/>
      <c r="P1038" s="523"/>
      <c r="Q1038" s="523"/>
      <c r="R1038" s="523"/>
      <c r="S1038" s="523"/>
      <c r="T1038" s="523"/>
      <c r="U1038" s="523"/>
      <c r="V1038" s="224"/>
      <c r="W1038" s="224"/>
      <c r="X1038" s="224"/>
      <c r="Y1038" s="224"/>
      <c r="Z1038" s="868"/>
      <c r="AA1038" s="865"/>
      <c r="AB1038" s="2"/>
      <c r="AC1038" s="2"/>
      <c r="AD1038" s="2"/>
      <c r="AE1038" s="2"/>
      <c r="AF1038" s="2"/>
      <c r="AG1038" s="2"/>
      <c r="AH1038" s="2"/>
      <c r="AI1038" s="2"/>
      <c r="AJ1038" s="2"/>
      <c r="AK1038" s="2"/>
      <c r="AL1038" s="2"/>
      <c r="AM1038" s="2"/>
      <c r="AN1038" s="2"/>
      <c r="AO1038" s="9"/>
      <c r="AP1038" s="9"/>
      <c r="AQ1038" s="9"/>
      <c r="AR1038" s="9"/>
    </row>
    <row r="1039">
      <c r="A1039" s="523"/>
      <c r="B1039" s="523"/>
      <c r="C1039" s="523"/>
      <c r="D1039" s="523"/>
      <c r="E1039" s="523"/>
      <c r="F1039" s="523"/>
      <c r="G1039" s="523"/>
      <c r="H1039" s="523"/>
      <c r="I1039" s="523"/>
      <c r="J1039" s="523"/>
      <c r="K1039" s="523"/>
      <c r="L1039" s="523"/>
      <c r="M1039" s="523"/>
      <c r="N1039" s="523"/>
      <c r="O1039" s="523"/>
      <c r="P1039" s="523"/>
      <c r="Q1039" s="523"/>
      <c r="R1039" s="523"/>
      <c r="S1039" s="523"/>
      <c r="T1039" s="523"/>
      <c r="U1039" s="523"/>
      <c r="V1039" s="224"/>
      <c r="W1039" s="224"/>
      <c r="X1039" s="224"/>
      <c r="Y1039" s="224"/>
      <c r="Z1039" s="868"/>
      <c r="AA1039" s="865"/>
      <c r="AB1039" s="2"/>
      <c r="AC1039" s="2"/>
      <c r="AD1039" s="2"/>
      <c r="AE1039" s="2"/>
      <c r="AF1039" s="2"/>
      <c r="AG1039" s="2"/>
      <c r="AH1039" s="2"/>
      <c r="AI1039" s="2"/>
      <c r="AJ1039" s="2"/>
      <c r="AK1039" s="2"/>
      <c r="AL1039" s="2"/>
      <c r="AM1039" s="2"/>
      <c r="AN1039" s="2"/>
      <c r="AO1039" s="9"/>
      <c r="AP1039" s="9"/>
      <c r="AQ1039" s="9"/>
      <c r="AR1039" s="9"/>
    </row>
    <row r="1040">
      <c r="A1040" s="523"/>
      <c r="B1040" s="523"/>
      <c r="C1040" s="523"/>
      <c r="D1040" s="523"/>
      <c r="E1040" s="523"/>
      <c r="F1040" s="523"/>
      <c r="G1040" s="523"/>
      <c r="H1040" s="523"/>
      <c r="I1040" s="523"/>
      <c r="J1040" s="523"/>
      <c r="K1040" s="523"/>
      <c r="L1040" s="523"/>
      <c r="M1040" s="523"/>
      <c r="N1040" s="523"/>
      <c r="O1040" s="523"/>
      <c r="P1040" s="523"/>
      <c r="Q1040" s="523"/>
      <c r="R1040" s="523"/>
      <c r="S1040" s="523"/>
      <c r="T1040" s="523"/>
      <c r="U1040" s="523"/>
      <c r="V1040" s="224"/>
      <c r="W1040" s="224"/>
      <c r="X1040" s="224"/>
      <c r="Y1040" s="224"/>
      <c r="Z1040" s="868"/>
      <c r="AA1040" s="865"/>
      <c r="AB1040" s="2"/>
      <c r="AC1040" s="2"/>
      <c r="AD1040" s="2"/>
      <c r="AE1040" s="2"/>
      <c r="AF1040" s="2"/>
      <c r="AG1040" s="2"/>
      <c r="AH1040" s="2"/>
      <c r="AI1040" s="2"/>
      <c r="AJ1040" s="2"/>
      <c r="AK1040" s="2"/>
      <c r="AL1040" s="2"/>
      <c r="AM1040" s="2"/>
      <c r="AN1040" s="2"/>
      <c r="AO1040" s="9"/>
      <c r="AP1040" s="9"/>
      <c r="AQ1040" s="9"/>
      <c r="AR1040" s="9"/>
    </row>
    <row r="1041">
      <c r="A1041" s="523"/>
      <c r="B1041" s="523"/>
      <c r="C1041" s="523"/>
      <c r="D1041" s="523"/>
      <c r="E1041" s="523"/>
      <c r="F1041" s="523"/>
      <c r="G1041" s="523"/>
      <c r="H1041" s="523"/>
      <c r="I1041" s="523"/>
      <c r="J1041" s="523"/>
      <c r="K1041" s="523"/>
      <c r="L1041" s="523"/>
      <c r="M1041" s="523"/>
      <c r="N1041" s="523"/>
      <c r="O1041" s="523"/>
      <c r="P1041" s="523"/>
      <c r="Q1041" s="523"/>
      <c r="R1041" s="523"/>
      <c r="S1041" s="523"/>
      <c r="T1041" s="523"/>
      <c r="U1041" s="523"/>
      <c r="V1041" s="224"/>
      <c r="W1041" s="224"/>
      <c r="X1041" s="224"/>
      <c r="Y1041" s="224"/>
      <c r="Z1041" s="868"/>
      <c r="AA1041" s="865"/>
      <c r="AB1041" s="2"/>
      <c r="AC1041" s="2"/>
      <c r="AD1041" s="2"/>
      <c r="AE1041" s="2"/>
      <c r="AF1041" s="2"/>
      <c r="AG1041" s="2"/>
      <c r="AH1041" s="2"/>
      <c r="AI1041" s="2"/>
      <c r="AJ1041" s="2"/>
      <c r="AK1041" s="2"/>
      <c r="AL1041" s="2"/>
      <c r="AM1041" s="2"/>
      <c r="AN1041" s="2"/>
      <c r="AO1041" s="9"/>
      <c r="AP1041" s="9"/>
      <c r="AQ1041" s="9"/>
      <c r="AR1041" s="9"/>
    </row>
    <row r="1042">
      <c r="A1042" s="523"/>
      <c r="B1042" s="523"/>
      <c r="C1042" s="523"/>
      <c r="D1042" s="523"/>
      <c r="E1042" s="523"/>
      <c r="F1042" s="523"/>
      <c r="G1042" s="523"/>
      <c r="H1042" s="523"/>
      <c r="I1042" s="523"/>
      <c r="J1042" s="523"/>
      <c r="K1042" s="523"/>
      <c r="L1042" s="523"/>
      <c r="M1042" s="523"/>
      <c r="N1042" s="523"/>
      <c r="O1042" s="523"/>
      <c r="P1042" s="523"/>
      <c r="Q1042" s="523"/>
      <c r="R1042" s="523"/>
      <c r="S1042" s="523"/>
      <c r="T1042" s="523"/>
      <c r="U1042" s="523"/>
      <c r="V1042" s="224"/>
      <c r="W1042" s="224"/>
      <c r="X1042" s="224"/>
      <c r="Y1042" s="224"/>
      <c r="Z1042" s="868"/>
      <c r="AA1042" s="865"/>
      <c r="AB1042" s="2"/>
      <c r="AC1042" s="2"/>
      <c r="AD1042" s="2"/>
      <c r="AE1042" s="2"/>
      <c r="AF1042" s="2"/>
      <c r="AG1042" s="2"/>
      <c r="AH1042" s="2"/>
      <c r="AI1042" s="2"/>
      <c r="AJ1042" s="2"/>
      <c r="AK1042" s="2"/>
      <c r="AL1042" s="2"/>
      <c r="AM1042" s="2"/>
      <c r="AN1042" s="2"/>
      <c r="AO1042" s="9"/>
      <c r="AP1042" s="9"/>
      <c r="AQ1042" s="9"/>
      <c r="AR1042" s="9"/>
    </row>
    <row r="1043">
      <c r="A1043" s="523"/>
      <c r="B1043" s="523"/>
      <c r="C1043" s="523"/>
      <c r="D1043" s="523"/>
      <c r="E1043" s="523"/>
      <c r="F1043" s="523"/>
      <c r="G1043" s="523"/>
      <c r="H1043" s="523"/>
      <c r="I1043" s="523"/>
      <c r="J1043" s="523"/>
      <c r="K1043" s="523"/>
      <c r="L1043" s="523"/>
      <c r="M1043" s="523"/>
      <c r="N1043" s="523"/>
      <c r="O1043" s="523"/>
      <c r="P1043" s="523"/>
      <c r="Q1043" s="523"/>
      <c r="R1043" s="523"/>
      <c r="S1043" s="523"/>
      <c r="T1043" s="523"/>
      <c r="U1043" s="523"/>
      <c r="V1043" s="224"/>
      <c r="W1043" s="224"/>
      <c r="X1043" s="224"/>
      <c r="Y1043" s="224"/>
      <c r="Z1043" s="868"/>
      <c r="AA1043" s="865"/>
      <c r="AB1043" s="2"/>
      <c r="AC1043" s="2"/>
      <c r="AD1043" s="2"/>
      <c r="AE1043" s="2"/>
      <c r="AF1043" s="2"/>
      <c r="AG1043" s="2"/>
      <c r="AH1043" s="2"/>
      <c r="AI1043" s="2"/>
      <c r="AJ1043" s="2"/>
      <c r="AK1043" s="2"/>
      <c r="AL1043" s="2"/>
      <c r="AM1043" s="2"/>
      <c r="AN1043" s="2"/>
      <c r="AO1043" s="9"/>
      <c r="AP1043" s="9"/>
      <c r="AQ1043" s="9"/>
      <c r="AR1043" s="9"/>
    </row>
    <row r="1044">
      <c r="A1044" s="523"/>
      <c r="B1044" s="523"/>
      <c r="C1044" s="523"/>
      <c r="D1044" s="523"/>
      <c r="E1044" s="523"/>
      <c r="F1044" s="523"/>
      <c r="G1044" s="523"/>
      <c r="H1044" s="523"/>
      <c r="I1044" s="523"/>
      <c r="J1044" s="523"/>
      <c r="K1044" s="523"/>
      <c r="L1044" s="523"/>
      <c r="M1044" s="523"/>
      <c r="N1044" s="523"/>
      <c r="O1044" s="523"/>
      <c r="P1044" s="523"/>
      <c r="Q1044" s="523"/>
      <c r="R1044" s="523"/>
      <c r="S1044" s="523"/>
      <c r="T1044" s="523"/>
      <c r="U1044" s="523"/>
      <c r="V1044" s="224"/>
      <c r="W1044" s="224"/>
      <c r="X1044" s="224"/>
      <c r="Y1044" s="224"/>
      <c r="Z1044" s="868"/>
      <c r="AA1044" s="865"/>
      <c r="AB1044" s="2"/>
      <c r="AC1044" s="2"/>
      <c r="AD1044" s="2"/>
      <c r="AE1044" s="2"/>
      <c r="AF1044" s="2"/>
      <c r="AG1044" s="2"/>
      <c r="AH1044" s="2"/>
      <c r="AI1044" s="2"/>
      <c r="AJ1044" s="2"/>
      <c r="AK1044" s="2"/>
      <c r="AL1044" s="2"/>
      <c r="AM1044" s="2"/>
      <c r="AN1044" s="2"/>
      <c r="AO1044" s="9"/>
      <c r="AP1044" s="9"/>
      <c r="AQ1044" s="9"/>
      <c r="AR1044" s="9"/>
    </row>
    <row r="1045">
      <c r="A1045" s="523"/>
      <c r="B1045" s="523"/>
      <c r="C1045" s="523"/>
      <c r="D1045" s="523"/>
      <c r="E1045" s="523"/>
      <c r="F1045" s="523"/>
      <c r="G1045" s="523"/>
      <c r="H1045" s="523"/>
      <c r="I1045" s="523"/>
      <c r="J1045" s="523"/>
      <c r="K1045" s="523"/>
      <c r="L1045" s="523"/>
      <c r="M1045" s="523"/>
      <c r="N1045" s="523"/>
      <c r="O1045" s="523"/>
      <c r="P1045" s="523"/>
      <c r="Q1045" s="523"/>
      <c r="R1045" s="523"/>
      <c r="S1045" s="523"/>
      <c r="T1045" s="523"/>
      <c r="U1045" s="523"/>
      <c r="V1045" s="224"/>
      <c r="W1045" s="224"/>
      <c r="X1045" s="224"/>
      <c r="Y1045" s="224"/>
      <c r="Z1045" s="868"/>
      <c r="AA1045" s="865"/>
      <c r="AB1045" s="2"/>
      <c r="AC1045" s="2"/>
      <c r="AD1045" s="2"/>
      <c r="AE1045" s="2"/>
      <c r="AF1045" s="2"/>
      <c r="AG1045" s="2"/>
      <c r="AH1045" s="2"/>
      <c r="AI1045" s="2"/>
      <c r="AJ1045" s="2"/>
      <c r="AK1045" s="2"/>
      <c r="AL1045" s="2"/>
      <c r="AM1045" s="2"/>
      <c r="AN1045" s="2"/>
      <c r="AO1045" s="9"/>
      <c r="AP1045" s="9"/>
      <c r="AQ1045" s="9"/>
      <c r="AR1045" s="9"/>
    </row>
    <row r="1046">
      <c r="A1046" s="523"/>
      <c r="B1046" s="523"/>
      <c r="C1046" s="523"/>
      <c r="D1046" s="523"/>
      <c r="E1046" s="523"/>
      <c r="F1046" s="523"/>
      <c r="G1046" s="523"/>
      <c r="H1046" s="523"/>
      <c r="I1046" s="523"/>
      <c r="J1046" s="523"/>
      <c r="K1046" s="523"/>
      <c r="L1046" s="523"/>
      <c r="M1046" s="523"/>
      <c r="N1046" s="523"/>
      <c r="O1046" s="523"/>
      <c r="P1046" s="523"/>
      <c r="Q1046" s="523"/>
      <c r="R1046" s="523"/>
      <c r="S1046" s="523"/>
      <c r="T1046" s="523"/>
      <c r="U1046" s="523"/>
      <c r="V1046" s="224"/>
      <c r="W1046" s="224"/>
      <c r="X1046" s="224"/>
      <c r="Y1046" s="224"/>
      <c r="Z1046" s="868"/>
      <c r="AA1046" s="865"/>
      <c r="AB1046" s="2"/>
      <c r="AC1046" s="2"/>
      <c r="AD1046" s="2"/>
      <c r="AE1046" s="2"/>
      <c r="AF1046" s="2"/>
      <c r="AG1046" s="2"/>
      <c r="AH1046" s="2"/>
      <c r="AI1046" s="2"/>
      <c r="AJ1046" s="2"/>
      <c r="AK1046" s="2"/>
      <c r="AL1046" s="2"/>
      <c r="AM1046" s="2"/>
      <c r="AN1046" s="2"/>
      <c r="AO1046" s="9"/>
      <c r="AP1046" s="9"/>
      <c r="AQ1046" s="9"/>
      <c r="AR1046" s="9"/>
    </row>
    <row r="1047">
      <c r="A1047" s="523"/>
      <c r="B1047" s="523"/>
      <c r="C1047" s="523"/>
      <c r="D1047" s="523"/>
      <c r="E1047" s="523"/>
      <c r="F1047" s="523"/>
      <c r="G1047" s="523"/>
      <c r="H1047" s="523"/>
      <c r="I1047" s="523"/>
      <c r="J1047" s="523"/>
      <c r="K1047" s="523"/>
      <c r="L1047" s="523"/>
      <c r="M1047" s="523"/>
      <c r="N1047" s="523"/>
      <c r="O1047" s="523"/>
      <c r="P1047" s="523"/>
      <c r="Q1047" s="523"/>
      <c r="R1047" s="523"/>
      <c r="S1047" s="523"/>
      <c r="T1047" s="523"/>
      <c r="U1047" s="523"/>
      <c r="V1047" s="224"/>
      <c r="W1047" s="224"/>
      <c r="X1047" s="224"/>
      <c r="Y1047" s="224"/>
      <c r="Z1047" s="868"/>
      <c r="AA1047" s="865"/>
      <c r="AB1047" s="2"/>
      <c r="AC1047" s="2"/>
      <c r="AD1047" s="2"/>
      <c r="AE1047" s="2"/>
      <c r="AF1047" s="2"/>
      <c r="AG1047" s="2"/>
      <c r="AH1047" s="2"/>
      <c r="AI1047" s="2"/>
      <c r="AJ1047" s="2"/>
      <c r="AK1047" s="2"/>
      <c r="AL1047" s="2"/>
      <c r="AM1047" s="2"/>
      <c r="AN1047" s="2"/>
      <c r="AO1047" s="9"/>
      <c r="AP1047" s="9"/>
      <c r="AQ1047" s="9"/>
      <c r="AR1047" s="9"/>
    </row>
    <row r="1048">
      <c r="A1048" s="523"/>
      <c r="B1048" s="523"/>
      <c r="C1048" s="523"/>
      <c r="D1048" s="523"/>
      <c r="E1048" s="523"/>
      <c r="F1048" s="523"/>
      <c r="G1048" s="523"/>
      <c r="H1048" s="523"/>
      <c r="I1048" s="523"/>
      <c r="J1048" s="523"/>
      <c r="K1048" s="523"/>
      <c r="L1048" s="523"/>
      <c r="M1048" s="523"/>
      <c r="N1048" s="523"/>
      <c r="O1048" s="523"/>
      <c r="P1048" s="523"/>
      <c r="Q1048" s="523"/>
      <c r="R1048" s="523"/>
      <c r="S1048" s="523"/>
      <c r="T1048" s="523"/>
      <c r="U1048" s="523"/>
      <c r="V1048" s="224"/>
      <c r="W1048" s="224"/>
      <c r="X1048" s="224"/>
      <c r="Y1048" s="224"/>
      <c r="Z1048" s="868"/>
      <c r="AA1048" s="865"/>
      <c r="AB1048" s="2"/>
      <c r="AC1048" s="2"/>
      <c r="AD1048" s="2"/>
      <c r="AE1048" s="2"/>
      <c r="AF1048" s="2"/>
      <c r="AG1048" s="2"/>
      <c r="AH1048" s="2"/>
      <c r="AI1048" s="2"/>
      <c r="AJ1048" s="2"/>
      <c r="AK1048" s="2"/>
      <c r="AL1048" s="2"/>
      <c r="AM1048" s="2"/>
      <c r="AN1048" s="2"/>
      <c r="AO1048" s="9"/>
      <c r="AP1048" s="9"/>
      <c r="AQ1048" s="9"/>
      <c r="AR1048" s="9"/>
    </row>
    <row r="1049">
      <c r="A1049" s="523"/>
      <c r="B1049" s="523"/>
      <c r="C1049" s="523"/>
      <c r="D1049" s="523"/>
      <c r="E1049" s="523"/>
      <c r="F1049" s="523"/>
      <c r="G1049" s="523"/>
      <c r="H1049" s="523"/>
      <c r="I1049" s="523"/>
      <c r="J1049" s="523"/>
      <c r="K1049" s="523"/>
      <c r="L1049" s="523"/>
      <c r="M1049" s="523"/>
      <c r="N1049" s="523"/>
      <c r="O1049" s="523"/>
      <c r="P1049" s="523"/>
      <c r="Q1049" s="523"/>
      <c r="R1049" s="523"/>
      <c r="S1049" s="523"/>
      <c r="T1049" s="523"/>
      <c r="U1049" s="523"/>
      <c r="V1049" s="224"/>
      <c r="W1049" s="224"/>
      <c r="X1049" s="224"/>
      <c r="Y1049" s="224"/>
      <c r="Z1049" s="868"/>
      <c r="AA1049" s="865"/>
      <c r="AB1049" s="2"/>
      <c r="AC1049" s="2"/>
      <c r="AD1049" s="2"/>
      <c r="AE1049" s="2"/>
      <c r="AF1049" s="2"/>
      <c r="AG1049" s="2"/>
      <c r="AH1049" s="2"/>
      <c r="AI1049" s="2"/>
      <c r="AJ1049" s="2"/>
      <c r="AK1049" s="2"/>
      <c r="AL1049" s="2"/>
      <c r="AM1049" s="2"/>
      <c r="AN1049" s="2"/>
      <c r="AO1049" s="9"/>
      <c r="AP1049" s="9"/>
      <c r="AQ1049" s="9"/>
      <c r="AR1049" s="9"/>
    </row>
    <row r="1050">
      <c r="A1050" s="523"/>
      <c r="B1050" s="523"/>
      <c r="C1050" s="523"/>
      <c r="D1050" s="523"/>
      <c r="E1050" s="523"/>
      <c r="F1050" s="523"/>
      <c r="G1050" s="523"/>
      <c r="H1050" s="523"/>
      <c r="I1050" s="523"/>
      <c r="J1050" s="523"/>
      <c r="K1050" s="523"/>
      <c r="L1050" s="523"/>
      <c r="M1050" s="523"/>
      <c r="N1050" s="523"/>
      <c r="O1050" s="523"/>
      <c r="P1050" s="523"/>
      <c r="Q1050" s="523"/>
      <c r="R1050" s="523"/>
      <c r="S1050" s="523"/>
      <c r="T1050" s="523"/>
      <c r="U1050" s="523"/>
      <c r="V1050" s="224"/>
      <c r="W1050" s="224"/>
      <c r="X1050" s="224"/>
      <c r="Y1050" s="224"/>
      <c r="Z1050" s="868"/>
      <c r="AA1050" s="865"/>
      <c r="AB1050" s="2"/>
      <c r="AC1050" s="2"/>
      <c r="AD1050" s="2"/>
      <c r="AE1050" s="2"/>
      <c r="AF1050" s="2"/>
      <c r="AG1050" s="2"/>
      <c r="AH1050" s="2"/>
      <c r="AI1050" s="2"/>
      <c r="AJ1050" s="2"/>
      <c r="AK1050" s="2"/>
      <c r="AL1050" s="2"/>
      <c r="AM1050" s="2"/>
      <c r="AN1050" s="2"/>
      <c r="AO1050" s="9"/>
      <c r="AP1050" s="9"/>
      <c r="AQ1050" s="9"/>
      <c r="AR1050" s="9"/>
    </row>
    <row r="1051">
      <c r="A1051" s="523"/>
      <c r="B1051" s="523"/>
      <c r="C1051" s="523"/>
      <c r="D1051" s="523"/>
      <c r="E1051" s="523"/>
      <c r="F1051" s="523"/>
      <c r="G1051" s="523"/>
      <c r="H1051" s="523"/>
      <c r="I1051" s="523"/>
      <c r="J1051" s="523"/>
      <c r="K1051" s="523"/>
      <c r="L1051" s="523"/>
      <c r="M1051" s="523"/>
      <c r="N1051" s="523"/>
      <c r="O1051" s="523"/>
      <c r="P1051" s="523"/>
      <c r="Q1051" s="523"/>
      <c r="R1051" s="523"/>
      <c r="S1051" s="523"/>
      <c r="T1051" s="523"/>
      <c r="U1051" s="523"/>
      <c r="V1051" s="224"/>
      <c r="W1051" s="224"/>
      <c r="X1051" s="224"/>
      <c r="Y1051" s="224"/>
      <c r="Z1051" s="868"/>
      <c r="AA1051" s="865"/>
      <c r="AB1051" s="2"/>
      <c r="AC1051" s="2"/>
      <c r="AD1051" s="2"/>
      <c r="AE1051" s="2"/>
      <c r="AF1051" s="2"/>
      <c r="AG1051" s="2"/>
      <c r="AH1051" s="2"/>
      <c r="AI1051" s="2"/>
      <c r="AJ1051" s="2"/>
      <c r="AK1051" s="2"/>
      <c r="AL1051" s="2"/>
      <c r="AM1051" s="2"/>
      <c r="AN1051" s="2"/>
      <c r="AO1051" s="9"/>
      <c r="AP1051" s="9"/>
      <c r="AQ1051" s="9"/>
      <c r="AR1051" s="9"/>
    </row>
    <row r="1052">
      <c r="A1052" s="523"/>
      <c r="B1052" s="523"/>
      <c r="C1052" s="523"/>
      <c r="D1052" s="523"/>
      <c r="E1052" s="523"/>
      <c r="F1052" s="523"/>
      <c r="G1052" s="523"/>
      <c r="H1052" s="523"/>
      <c r="I1052" s="523"/>
      <c r="J1052" s="523"/>
      <c r="K1052" s="523"/>
      <c r="L1052" s="523"/>
      <c r="M1052" s="523"/>
      <c r="N1052" s="523"/>
      <c r="O1052" s="523"/>
      <c r="P1052" s="523"/>
      <c r="Q1052" s="523"/>
      <c r="R1052" s="523"/>
      <c r="S1052" s="523"/>
      <c r="T1052" s="523"/>
      <c r="U1052" s="523"/>
      <c r="V1052" s="224"/>
      <c r="W1052" s="224"/>
      <c r="X1052" s="224"/>
      <c r="Y1052" s="224"/>
      <c r="Z1052" s="868"/>
      <c r="AA1052" s="865"/>
      <c r="AB1052" s="2"/>
      <c r="AC1052" s="2"/>
      <c r="AD1052" s="2"/>
      <c r="AE1052" s="2"/>
      <c r="AF1052" s="2"/>
      <c r="AG1052" s="2"/>
      <c r="AH1052" s="2"/>
      <c r="AI1052" s="2"/>
      <c r="AJ1052" s="2"/>
      <c r="AK1052" s="2"/>
      <c r="AL1052" s="2"/>
      <c r="AM1052" s="2"/>
      <c r="AN1052" s="2"/>
      <c r="AO1052" s="9"/>
      <c r="AP1052" s="9"/>
      <c r="AQ1052" s="9"/>
      <c r="AR1052" s="9"/>
    </row>
    <row r="1053">
      <c r="A1053" s="523"/>
      <c r="B1053" s="523"/>
      <c r="C1053" s="523"/>
      <c r="D1053" s="523"/>
      <c r="E1053" s="523"/>
      <c r="F1053" s="523"/>
      <c r="G1053" s="523"/>
      <c r="H1053" s="523"/>
      <c r="I1053" s="523"/>
      <c r="J1053" s="523"/>
      <c r="K1053" s="523"/>
      <c r="L1053" s="523"/>
      <c r="M1053" s="523"/>
      <c r="N1053" s="523"/>
      <c r="O1053" s="523"/>
      <c r="P1053" s="523"/>
      <c r="Q1053" s="523"/>
      <c r="R1053" s="523"/>
      <c r="S1053" s="523"/>
      <c r="T1053" s="523"/>
      <c r="U1053" s="523"/>
      <c r="V1053" s="224"/>
      <c r="W1053" s="224"/>
      <c r="X1053" s="224"/>
      <c r="Y1053" s="224"/>
      <c r="Z1053" s="868"/>
      <c r="AA1053" s="865"/>
      <c r="AB1053" s="2"/>
      <c r="AC1053" s="2"/>
      <c r="AD1053" s="2"/>
      <c r="AE1053" s="2"/>
      <c r="AF1053" s="2"/>
      <c r="AG1053" s="2"/>
      <c r="AH1053" s="2"/>
      <c r="AI1053" s="2"/>
      <c r="AJ1053" s="2"/>
      <c r="AK1053" s="2"/>
      <c r="AL1053" s="2"/>
      <c r="AM1053" s="2"/>
      <c r="AN1053" s="2"/>
      <c r="AO1053" s="9"/>
      <c r="AP1053" s="9"/>
      <c r="AQ1053" s="9"/>
      <c r="AR1053" s="9"/>
    </row>
    <row r="1054">
      <c r="A1054" s="523"/>
      <c r="B1054" s="523"/>
      <c r="C1054" s="523"/>
      <c r="D1054" s="523"/>
      <c r="E1054" s="523"/>
      <c r="F1054" s="523"/>
      <c r="G1054" s="523"/>
      <c r="H1054" s="523"/>
      <c r="I1054" s="523"/>
      <c r="J1054" s="523"/>
      <c r="K1054" s="523"/>
      <c r="L1054" s="523"/>
      <c r="M1054" s="523"/>
      <c r="N1054" s="523"/>
      <c r="O1054" s="523"/>
      <c r="P1054" s="523"/>
      <c r="Q1054" s="523"/>
      <c r="R1054" s="523"/>
      <c r="S1054" s="523"/>
      <c r="T1054" s="523"/>
      <c r="U1054" s="523"/>
      <c r="V1054" s="224"/>
      <c r="W1054" s="224"/>
      <c r="X1054" s="224"/>
      <c r="Y1054" s="224"/>
      <c r="Z1054" s="868"/>
      <c r="AA1054" s="865"/>
      <c r="AB1054" s="2"/>
      <c r="AC1054" s="2"/>
      <c r="AD1054" s="2"/>
      <c r="AE1054" s="2"/>
      <c r="AF1054" s="2"/>
      <c r="AG1054" s="2"/>
      <c r="AH1054" s="2"/>
      <c r="AI1054" s="2"/>
      <c r="AJ1054" s="2"/>
      <c r="AK1054" s="2"/>
      <c r="AL1054" s="2"/>
      <c r="AM1054" s="2"/>
      <c r="AN1054" s="2"/>
      <c r="AO1054" s="9"/>
      <c r="AP1054" s="9"/>
      <c r="AQ1054" s="9"/>
      <c r="AR1054" s="9"/>
    </row>
    <row r="1055">
      <c r="A1055" s="523"/>
      <c r="B1055" s="523"/>
      <c r="C1055" s="523"/>
      <c r="D1055" s="523"/>
      <c r="E1055" s="523"/>
      <c r="F1055" s="523"/>
      <c r="G1055" s="523"/>
      <c r="H1055" s="523"/>
      <c r="I1055" s="523"/>
      <c r="J1055" s="523"/>
      <c r="K1055" s="523"/>
      <c r="L1055" s="523"/>
      <c r="M1055" s="523"/>
      <c r="N1055" s="523"/>
      <c r="O1055" s="523"/>
      <c r="P1055" s="523"/>
      <c r="Q1055" s="523"/>
      <c r="R1055" s="523"/>
      <c r="S1055" s="523"/>
      <c r="T1055" s="523"/>
      <c r="U1055" s="523"/>
      <c r="V1055" s="224"/>
      <c r="W1055" s="224"/>
      <c r="X1055" s="224"/>
      <c r="Y1055" s="224"/>
      <c r="Z1055" s="868"/>
      <c r="AA1055" s="865"/>
      <c r="AB1055" s="2"/>
      <c r="AC1055" s="2"/>
      <c r="AD1055" s="2"/>
      <c r="AE1055" s="2"/>
      <c r="AF1055" s="2"/>
      <c r="AG1055" s="2"/>
      <c r="AH1055" s="2"/>
      <c r="AI1055" s="2"/>
      <c r="AJ1055" s="2"/>
      <c r="AK1055" s="2"/>
      <c r="AL1055" s="2"/>
      <c r="AM1055" s="2"/>
      <c r="AN1055" s="2"/>
      <c r="AO1055" s="9"/>
      <c r="AP1055" s="9"/>
      <c r="AQ1055" s="9"/>
      <c r="AR1055" s="9"/>
    </row>
    <row r="1056">
      <c r="A1056" s="523"/>
      <c r="B1056" s="523"/>
      <c r="C1056" s="523"/>
      <c r="D1056" s="523"/>
      <c r="E1056" s="523"/>
      <c r="F1056" s="523"/>
      <c r="G1056" s="523"/>
      <c r="H1056" s="523"/>
      <c r="I1056" s="523"/>
      <c r="J1056" s="523"/>
      <c r="K1056" s="523"/>
      <c r="L1056" s="523"/>
      <c r="M1056" s="523"/>
      <c r="N1056" s="523"/>
      <c r="O1056" s="523"/>
      <c r="P1056" s="523"/>
      <c r="Q1056" s="523"/>
      <c r="R1056" s="523"/>
      <c r="S1056" s="523"/>
      <c r="T1056" s="523"/>
      <c r="U1056" s="523"/>
      <c r="V1056" s="224"/>
      <c r="W1056" s="224"/>
      <c r="X1056" s="224"/>
      <c r="Y1056" s="224"/>
      <c r="Z1056" s="868"/>
      <c r="AA1056" s="865"/>
      <c r="AB1056" s="2"/>
      <c r="AC1056" s="2"/>
      <c r="AD1056" s="2"/>
      <c r="AE1056" s="2"/>
      <c r="AF1056" s="2"/>
      <c r="AG1056" s="2"/>
      <c r="AH1056" s="2"/>
      <c r="AI1056" s="2"/>
      <c r="AJ1056" s="2"/>
      <c r="AK1056" s="2"/>
      <c r="AL1056" s="2"/>
      <c r="AM1056" s="2"/>
      <c r="AN1056" s="2"/>
      <c r="AO1056" s="9"/>
      <c r="AP1056" s="9"/>
      <c r="AQ1056" s="9"/>
      <c r="AR1056" s="9"/>
    </row>
    <row r="1057">
      <c r="A1057" s="523"/>
      <c r="B1057" s="523"/>
      <c r="C1057" s="523"/>
      <c r="D1057" s="523"/>
      <c r="E1057" s="523"/>
      <c r="F1057" s="523"/>
      <c r="G1057" s="523"/>
      <c r="H1057" s="523"/>
      <c r="I1057" s="523"/>
      <c r="J1057" s="523"/>
      <c r="K1057" s="523"/>
      <c r="L1057" s="523"/>
      <c r="M1057" s="523"/>
      <c r="N1057" s="523"/>
      <c r="O1057" s="523"/>
      <c r="P1057" s="523"/>
      <c r="Q1057" s="523"/>
      <c r="R1057" s="523"/>
      <c r="S1057" s="523"/>
      <c r="T1057" s="523"/>
      <c r="U1057" s="523"/>
      <c r="V1057" s="224"/>
      <c r="W1057" s="224"/>
      <c r="X1057" s="224"/>
      <c r="Y1057" s="224"/>
      <c r="Z1057" s="868"/>
      <c r="AA1057" s="865"/>
      <c r="AB1057" s="2"/>
      <c r="AC1057" s="2"/>
      <c r="AD1057" s="2"/>
      <c r="AE1057" s="2"/>
      <c r="AF1057" s="2"/>
      <c r="AG1057" s="2"/>
      <c r="AH1057" s="2"/>
      <c r="AI1057" s="2"/>
      <c r="AJ1057" s="2"/>
      <c r="AK1057" s="2"/>
      <c r="AL1057" s="2"/>
      <c r="AM1057" s="2"/>
      <c r="AN1057" s="2"/>
      <c r="AO1057" s="9"/>
      <c r="AP1057" s="9"/>
      <c r="AQ1057" s="9"/>
      <c r="AR1057" s="9"/>
    </row>
    <row r="1058">
      <c r="A1058" s="523"/>
      <c r="B1058" s="523"/>
      <c r="C1058" s="523"/>
      <c r="D1058" s="523"/>
      <c r="E1058" s="523"/>
      <c r="F1058" s="523"/>
      <c r="G1058" s="523"/>
      <c r="H1058" s="523"/>
      <c r="I1058" s="523"/>
      <c r="J1058" s="523"/>
      <c r="K1058" s="523"/>
      <c r="L1058" s="523"/>
      <c r="M1058" s="523"/>
      <c r="N1058" s="523"/>
      <c r="O1058" s="523"/>
      <c r="P1058" s="523"/>
      <c r="Q1058" s="523"/>
      <c r="R1058" s="523"/>
      <c r="S1058" s="523"/>
      <c r="T1058" s="523"/>
      <c r="U1058" s="523"/>
      <c r="V1058" s="224"/>
      <c r="W1058" s="224"/>
      <c r="X1058" s="224"/>
      <c r="Y1058" s="224"/>
      <c r="Z1058" s="868"/>
      <c r="AA1058" s="865"/>
      <c r="AB1058" s="2"/>
      <c r="AC1058" s="2"/>
      <c r="AD1058" s="2"/>
      <c r="AE1058" s="2"/>
      <c r="AF1058" s="2"/>
      <c r="AG1058" s="2"/>
      <c r="AH1058" s="2"/>
      <c r="AI1058" s="2"/>
      <c r="AJ1058" s="2"/>
      <c r="AK1058" s="2"/>
      <c r="AL1058" s="2"/>
      <c r="AM1058" s="2"/>
      <c r="AN1058" s="2"/>
      <c r="AO1058" s="9"/>
      <c r="AP1058" s="9"/>
      <c r="AQ1058" s="9"/>
      <c r="AR1058" s="9"/>
    </row>
    <row r="1059">
      <c r="A1059" s="523"/>
      <c r="B1059" s="523"/>
      <c r="C1059" s="523"/>
      <c r="D1059" s="523"/>
      <c r="E1059" s="523"/>
      <c r="F1059" s="523"/>
      <c r="G1059" s="523"/>
      <c r="H1059" s="523"/>
      <c r="I1059" s="523"/>
      <c r="J1059" s="523"/>
      <c r="K1059" s="523"/>
      <c r="L1059" s="523"/>
      <c r="M1059" s="523"/>
      <c r="N1059" s="523"/>
      <c r="O1059" s="523"/>
      <c r="P1059" s="523"/>
      <c r="Q1059" s="523"/>
      <c r="R1059" s="523"/>
      <c r="S1059" s="523"/>
      <c r="T1059" s="523"/>
      <c r="U1059" s="523"/>
      <c r="V1059" s="224"/>
      <c r="W1059" s="224"/>
      <c r="X1059" s="224"/>
      <c r="Y1059" s="224"/>
      <c r="Z1059" s="868"/>
      <c r="AA1059" s="865"/>
      <c r="AB1059" s="2"/>
      <c r="AC1059" s="2"/>
      <c r="AD1059" s="2"/>
      <c r="AE1059" s="2"/>
      <c r="AF1059" s="2"/>
      <c r="AG1059" s="2"/>
      <c r="AH1059" s="2"/>
      <c r="AI1059" s="2"/>
      <c r="AJ1059" s="2"/>
      <c r="AK1059" s="2"/>
      <c r="AL1059" s="2"/>
      <c r="AM1059" s="2"/>
      <c r="AN1059" s="2"/>
      <c r="AO1059" s="9"/>
      <c r="AP1059" s="9"/>
      <c r="AQ1059" s="9"/>
      <c r="AR1059" s="9"/>
    </row>
    <row r="1060">
      <c r="A1060" s="523"/>
      <c r="B1060" s="523"/>
      <c r="C1060" s="523"/>
      <c r="D1060" s="523"/>
      <c r="E1060" s="523"/>
      <c r="F1060" s="523"/>
      <c r="G1060" s="523"/>
      <c r="H1060" s="523"/>
      <c r="I1060" s="523"/>
      <c r="J1060" s="523"/>
      <c r="K1060" s="523"/>
      <c r="L1060" s="523"/>
      <c r="M1060" s="523"/>
      <c r="N1060" s="523"/>
      <c r="O1060" s="523"/>
      <c r="P1060" s="523"/>
      <c r="Q1060" s="523"/>
      <c r="R1060" s="523"/>
      <c r="S1060" s="523"/>
      <c r="T1060" s="523"/>
      <c r="U1060" s="523"/>
      <c r="V1060" s="224"/>
      <c r="W1060" s="224"/>
      <c r="X1060" s="224"/>
      <c r="Y1060" s="224"/>
      <c r="Z1060" s="868"/>
      <c r="AA1060" s="865"/>
      <c r="AB1060" s="2"/>
      <c r="AC1060" s="2"/>
      <c r="AD1060" s="2"/>
      <c r="AE1060" s="2"/>
      <c r="AF1060" s="2"/>
      <c r="AG1060" s="2"/>
      <c r="AH1060" s="2"/>
      <c r="AI1060" s="2"/>
      <c r="AJ1060" s="2"/>
      <c r="AK1060" s="2"/>
      <c r="AL1060" s="2"/>
      <c r="AM1060" s="2"/>
      <c r="AN1060" s="2"/>
      <c r="AO1060" s="9"/>
      <c r="AP1060" s="9"/>
      <c r="AQ1060" s="9"/>
      <c r="AR1060" s="9"/>
    </row>
  </sheetData>
  <mergeCells count="384">
    <mergeCell ref="A52:A53"/>
    <mergeCell ref="B52:B53"/>
    <mergeCell ref="C52:C53"/>
    <mergeCell ref="D52:D53"/>
    <mergeCell ref="E52:E53"/>
    <mergeCell ref="F52:F53"/>
    <mergeCell ref="G52:G53"/>
    <mergeCell ref="A54:A55"/>
    <mergeCell ref="B54:B55"/>
    <mergeCell ref="C54:C55"/>
    <mergeCell ref="D54:D55"/>
    <mergeCell ref="E54:E55"/>
    <mergeCell ref="F54:F55"/>
    <mergeCell ref="G54:G55"/>
    <mergeCell ref="A27:A28"/>
    <mergeCell ref="B27:B28"/>
    <mergeCell ref="C27:C28"/>
    <mergeCell ref="D27:D28"/>
    <mergeCell ref="E27:E28"/>
    <mergeCell ref="F27:F28"/>
    <mergeCell ref="G27:G28"/>
    <mergeCell ref="A29:A30"/>
    <mergeCell ref="B29:B30"/>
    <mergeCell ref="C29:C30"/>
    <mergeCell ref="D29:D30"/>
    <mergeCell ref="E29:E30"/>
    <mergeCell ref="F29:F30"/>
    <mergeCell ref="G29:G30"/>
    <mergeCell ref="A31:A32"/>
    <mergeCell ref="B31:B32"/>
    <mergeCell ref="C31:C32"/>
    <mergeCell ref="D31:D32"/>
    <mergeCell ref="E31:E32"/>
    <mergeCell ref="F31:F32"/>
    <mergeCell ref="G31:G32"/>
    <mergeCell ref="A33:A34"/>
    <mergeCell ref="B33:B34"/>
    <mergeCell ref="C33:C34"/>
    <mergeCell ref="D33:D34"/>
    <mergeCell ref="E33:E34"/>
    <mergeCell ref="F33:F34"/>
    <mergeCell ref="G33:G34"/>
    <mergeCell ref="A35:A36"/>
    <mergeCell ref="B35:B36"/>
    <mergeCell ref="C35:C36"/>
    <mergeCell ref="D35:D36"/>
    <mergeCell ref="E35:E36"/>
    <mergeCell ref="F35:F36"/>
    <mergeCell ref="G35:G36"/>
    <mergeCell ref="A41:B42"/>
    <mergeCell ref="M41:M42"/>
    <mergeCell ref="N41:N42"/>
    <mergeCell ref="A61:A62"/>
    <mergeCell ref="B61:B62"/>
    <mergeCell ref="C61:C62"/>
    <mergeCell ref="D61:D62"/>
    <mergeCell ref="E61:E62"/>
    <mergeCell ref="F61:F62"/>
    <mergeCell ref="G61:G62"/>
    <mergeCell ref="A72:A73"/>
    <mergeCell ref="B72:B73"/>
    <mergeCell ref="C72:C73"/>
    <mergeCell ref="D72:D73"/>
    <mergeCell ref="E72:E73"/>
    <mergeCell ref="F72:F73"/>
    <mergeCell ref="G72:G73"/>
    <mergeCell ref="A74:A75"/>
    <mergeCell ref="B74:B75"/>
    <mergeCell ref="C74:C75"/>
    <mergeCell ref="D74:D75"/>
    <mergeCell ref="E74:E75"/>
    <mergeCell ref="F74:F75"/>
    <mergeCell ref="G74:G75"/>
    <mergeCell ref="A76:A77"/>
    <mergeCell ref="B76:B77"/>
    <mergeCell ref="C76:C77"/>
    <mergeCell ref="D76:D77"/>
    <mergeCell ref="E76:E77"/>
    <mergeCell ref="F76:F77"/>
    <mergeCell ref="G76:G77"/>
    <mergeCell ref="A78:A79"/>
    <mergeCell ref="B78:B79"/>
    <mergeCell ref="C78:C79"/>
    <mergeCell ref="D78:D79"/>
    <mergeCell ref="E78:E79"/>
    <mergeCell ref="F78:F79"/>
    <mergeCell ref="G78:G79"/>
    <mergeCell ref="A83:B84"/>
    <mergeCell ref="M83:M84"/>
    <mergeCell ref="N83:N84"/>
    <mergeCell ref="C96:H96"/>
    <mergeCell ref="C98:H98"/>
    <mergeCell ref="A81:A82"/>
    <mergeCell ref="B81:B82"/>
    <mergeCell ref="C81:C82"/>
    <mergeCell ref="D81:D82"/>
    <mergeCell ref="E81:E82"/>
    <mergeCell ref="F81:F82"/>
    <mergeCell ref="G81:G82"/>
    <mergeCell ref="S74:S75"/>
    <mergeCell ref="S78:S79"/>
    <mergeCell ref="R81:R82"/>
    <mergeCell ref="S81:S82"/>
    <mergeCell ref="T81:T82"/>
    <mergeCell ref="U81:U82"/>
    <mergeCell ref="Q83:Q84"/>
    <mergeCell ref="R72:R79"/>
    <mergeCell ref="S72:S73"/>
    <mergeCell ref="T72:T73"/>
    <mergeCell ref="U72:U73"/>
    <mergeCell ref="T74:T75"/>
    <mergeCell ref="U74:U75"/>
    <mergeCell ref="U76:U77"/>
    <mergeCell ref="A56:A57"/>
    <mergeCell ref="B56:B57"/>
    <mergeCell ref="C56:C57"/>
    <mergeCell ref="D56:D57"/>
    <mergeCell ref="E56:E57"/>
    <mergeCell ref="F56:F57"/>
    <mergeCell ref="G56:G57"/>
    <mergeCell ref="A58:A59"/>
    <mergeCell ref="B58:B59"/>
    <mergeCell ref="C58:C59"/>
    <mergeCell ref="D58:D59"/>
    <mergeCell ref="E58:E59"/>
    <mergeCell ref="F58:F59"/>
    <mergeCell ref="G58:G59"/>
    <mergeCell ref="A65:A66"/>
    <mergeCell ref="B65:B66"/>
    <mergeCell ref="C65:C66"/>
    <mergeCell ref="D65:D66"/>
    <mergeCell ref="E65:E66"/>
    <mergeCell ref="F65:F66"/>
    <mergeCell ref="G65:G66"/>
    <mergeCell ref="A67:A68"/>
    <mergeCell ref="B67:B68"/>
    <mergeCell ref="C67:C68"/>
    <mergeCell ref="D67:D68"/>
    <mergeCell ref="E67:E68"/>
    <mergeCell ref="F67:F68"/>
    <mergeCell ref="G67:G68"/>
    <mergeCell ref="A69:A70"/>
    <mergeCell ref="B69:B70"/>
    <mergeCell ref="C69:C70"/>
    <mergeCell ref="D69:D70"/>
    <mergeCell ref="E69:E70"/>
    <mergeCell ref="F69:F70"/>
    <mergeCell ref="G69:G70"/>
    <mergeCell ref="S76:S77"/>
    <mergeCell ref="T76:T77"/>
    <mergeCell ref="T78:T79"/>
    <mergeCell ref="U78:U79"/>
    <mergeCell ref="E7:E8"/>
    <mergeCell ref="E9:E10"/>
    <mergeCell ref="AC18:AJ18"/>
    <mergeCell ref="AC19:AF19"/>
    <mergeCell ref="AG19:AJ19"/>
    <mergeCell ref="T20:T22"/>
    <mergeCell ref="U20:U22"/>
    <mergeCell ref="A5:A6"/>
    <mergeCell ref="B5:B6"/>
    <mergeCell ref="E5:E6"/>
    <mergeCell ref="A7:A8"/>
    <mergeCell ref="B7:B8"/>
    <mergeCell ref="A9:A10"/>
    <mergeCell ref="B9:B10"/>
    <mergeCell ref="U23:U24"/>
    <mergeCell ref="X23:X24"/>
    <mergeCell ref="Y23:Y24"/>
    <mergeCell ref="A23:A24"/>
    <mergeCell ref="B23:B24"/>
    <mergeCell ref="C23:C24"/>
    <mergeCell ref="D23:D24"/>
    <mergeCell ref="E23:E24"/>
    <mergeCell ref="F23:F24"/>
    <mergeCell ref="G23:G24"/>
    <mergeCell ref="S20:S22"/>
    <mergeCell ref="M21:M22"/>
    <mergeCell ref="N21:N22"/>
    <mergeCell ref="Q21:Q22"/>
    <mergeCell ref="R23:R24"/>
    <mergeCell ref="S23:S24"/>
    <mergeCell ref="T23:T24"/>
    <mergeCell ref="A25:A26"/>
    <mergeCell ref="B25:B26"/>
    <mergeCell ref="C25:C26"/>
    <mergeCell ref="D25:D26"/>
    <mergeCell ref="E25:E26"/>
    <mergeCell ref="F25:F26"/>
    <mergeCell ref="G25:G26"/>
    <mergeCell ref="R29:R30"/>
    <mergeCell ref="S29:S30"/>
    <mergeCell ref="T29:T30"/>
    <mergeCell ref="U29:U30"/>
    <mergeCell ref="X29:X30"/>
    <mergeCell ref="Y29:Y30"/>
    <mergeCell ref="X25:X26"/>
    <mergeCell ref="X27:X28"/>
    <mergeCell ref="X31:X32"/>
    <mergeCell ref="Y31:Y32"/>
    <mergeCell ref="X33:X34"/>
    <mergeCell ref="Y33:Y34"/>
    <mergeCell ref="Y35:Y36"/>
    <mergeCell ref="Y37:Y38"/>
    <mergeCell ref="X39:X40"/>
    <mergeCell ref="Y39:Y40"/>
    <mergeCell ref="X46:X47"/>
    <mergeCell ref="Y46:Y47"/>
    <mergeCell ref="X48:X49"/>
    <mergeCell ref="Y48:Y49"/>
    <mergeCell ref="X50:X51"/>
    <mergeCell ref="Y50:Y51"/>
    <mergeCell ref="X52:X53"/>
    <mergeCell ref="Y52:Y53"/>
    <mergeCell ref="X54:X55"/>
    <mergeCell ref="Y54:Y55"/>
    <mergeCell ref="Z54:Z55"/>
    <mergeCell ref="X56:X57"/>
    <mergeCell ref="Y56:Y57"/>
    <mergeCell ref="Z56:Z57"/>
    <mergeCell ref="X58:X59"/>
    <mergeCell ref="Y58:Y59"/>
    <mergeCell ref="X61:X62"/>
    <mergeCell ref="Y61:Y62"/>
    <mergeCell ref="X63:X64"/>
    <mergeCell ref="Y63:Y64"/>
    <mergeCell ref="X65:X66"/>
    <mergeCell ref="Y65:Y66"/>
    <mergeCell ref="Z65:Z66"/>
    <mergeCell ref="Y67:Y68"/>
    <mergeCell ref="Z67:Z68"/>
    <mergeCell ref="X74:X75"/>
    <mergeCell ref="X76:X77"/>
    <mergeCell ref="Y76:Y77"/>
    <mergeCell ref="X78:X79"/>
    <mergeCell ref="Y78:Y79"/>
    <mergeCell ref="X81:X82"/>
    <mergeCell ref="Y81:Y82"/>
    <mergeCell ref="X67:X68"/>
    <mergeCell ref="X69:X70"/>
    <mergeCell ref="Y69:Y70"/>
    <mergeCell ref="Z69:Z70"/>
    <mergeCell ref="X72:X73"/>
    <mergeCell ref="Y72:Y73"/>
    <mergeCell ref="Y74:Y75"/>
    <mergeCell ref="A37:A38"/>
    <mergeCell ref="B37:B38"/>
    <mergeCell ref="C37:C38"/>
    <mergeCell ref="D37:D38"/>
    <mergeCell ref="E37:E38"/>
    <mergeCell ref="F37:F38"/>
    <mergeCell ref="G37:G38"/>
    <mergeCell ref="A39:A40"/>
    <mergeCell ref="B39:B40"/>
    <mergeCell ref="C39:C40"/>
    <mergeCell ref="D39:D40"/>
    <mergeCell ref="E39:E40"/>
    <mergeCell ref="F39:F40"/>
    <mergeCell ref="G39:G40"/>
    <mergeCell ref="R25:R26"/>
    <mergeCell ref="S25:S26"/>
    <mergeCell ref="T25:T26"/>
    <mergeCell ref="U25:U26"/>
    <mergeCell ref="Y25:Y26"/>
    <mergeCell ref="R27:R28"/>
    <mergeCell ref="U27:U28"/>
    <mergeCell ref="Y27:Y28"/>
    <mergeCell ref="S33:S34"/>
    <mergeCell ref="T33:T34"/>
    <mergeCell ref="S27:S28"/>
    <mergeCell ref="T27:T28"/>
    <mergeCell ref="R31:R32"/>
    <mergeCell ref="S31:S32"/>
    <mergeCell ref="T31:T32"/>
    <mergeCell ref="U31:U32"/>
    <mergeCell ref="U33:U34"/>
    <mergeCell ref="T37:T38"/>
    <mergeCell ref="U37:U38"/>
    <mergeCell ref="X35:X36"/>
    <mergeCell ref="X37:X38"/>
    <mergeCell ref="Z37:Z38"/>
    <mergeCell ref="Z39:Z40"/>
    <mergeCell ref="R33:R34"/>
    <mergeCell ref="R35:R36"/>
    <mergeCell ref="S35:S36"/>
    <mergeCell ref="T35:T36"/>
    <mergeCell ref="U35:U36"/>
    <mergeCell ref="R37:R38"/>
    <mergeCell ref="S37:S38"/>
    <mergeCell ref="T44:T45"/>
    <mergeCell ref="U44:U45"/>
    <mergeCell ref="X44:X45"/>
    <mergeCell ref="Y44:Y45"/>
    <mergeCell ref="A44:A45"/>
    <mergeCell ref="B44:B45"/>
    <mergeCell ref="C44:C45"/>
    <mergeCell ref="D44:D45"/>
    <mergeCell ref="E44:E45"/>
    <mergeCell ref="F44:F45"/>
    <mergeCell ref="G44:G45"/>
    <mergeCell ref="A46:A47"/>
    <mergeCell ref="B46:B47"/>
    <mergeCell ref="C46:C47"/>
    <mergeCell ref="D46:D47"/>
    <mergeCell ref="E46:E47"/>
    <mergeCell ref="F46:F47"/>
    <mergeCell ref="G46:G47"/>
    <mergeCell ref="A48:A49"/>
    <mergeCell ref="B48:B49"/>
    <mergeCell ref="C48:C49"/>
    <mergeCell ref="D48:D49"/>
    <mergeCell ref="E48:E49"/>
    <mergeCell ref="F48:F49"/>
    <mergeCell ref="G48:G49"/>
    <mergeCell ref="A63:A64"/>
    <mergeCell ref="B63:B64"/>
    <mergeCell ref="C63:C64"/>
    <mergeCell ref="D63:D64"/>
    <mergeCell ref="E63:E64"/>
    <mergeCell ref="F63:F64"/>
    <mergeCell ref="G63:G64"/>
    <mergeCell ref="A50:A51"/>
    <mergeCell ref="B50:B51"/>
    <mergeCell ref="C50:C51"/>
    <mergeCell ref="D50:D51"/>
    <mergeCell ref="E50:E51"/>
    <mergeCell ref="F50:F51"/>
    <mergeCell ref="G50:G51"/>
    <mergeCell ref="R54:R55"/>
    <mergeCell ref="S54:S55"/>
    <mergeCell ref="T54:T55"/>
    <mergeCell ref="U54:U55"/>
    <mergeCell ref="S56:S57"/>
    <mergeCell ref="T56:T57"/>
    <mergeCell ref="U56:U57"/>
    <mergeCell ref="AK100:AL100"/>
    <mergeCell ref="AA107:AG107"/>
    <mergeCell ref="R56:R57"/>
    <mergeCell ref="R58:R59"/>
    <mergeCell ref="S58:S59"/>
    <mergeCell ref="T58:T59"/>
    <mergeCell ref="U58:U59"/>
    <mergeCell ref="S61:S62"/>
    <mergeCell ref="U63:U64"/>
    <mergeCell ref="R39:R40"/>
    <mergeCell ref="S39:S40"/>
    <mergeCell ref="T39:T40"/>
    <mergeCell ref="U39:U40"/>
    <mergeCell ref="Q41:Q42"/>
    <mergeCell ref="R44:R45"/>
    <mergeCell ref="S44:S45"/>
    <mergeCell ref="R46:R47"/>
    <mergeCell ref="S46:S47"/>
    <mergeCell ref="T46:T47"/>
    <mergeCell ref="U46:U47"/>
    <mergeCell ref="S48:S49"/>
    <mergeCell ref="T48:T49"/>
    <mergeCell ref="U48:U49"/>
    <mergeCell ref="T52:T53"/>
    <mergeCell ref="U52:U53"/>
    <mergeCell ref="R48:R49"/>
    <mergeCell ref="R50:R51"/>
    <mergeCell ref="S50:S51"/>
    <mergeCell ref="T50:T51"/>
    <mergeCell ref="U50:U51"/>
    <mergeCell ref="R52:R53"/>
    <mergeCell ref="S52:S53"/>
    <mergeCell ref="T61:T62"/>
    <mergeCell ref="U61:U62"/>
    <mergeCell ref="R61:R64"/>
    <mergeCell ref="R65:R66"/>
    <mergeCell ref="R67:R68"/>
    <mergeCell ref="R69:R70"/>
    <mergeCell ref="S67:S68"/>
    <mergeCell ref="S69:S70"/>
    <mergeCell ref="T69:T70"/>
    <mergeCell ref="U69:U70"/>
    <mergeCell ref="S63:S64"/>
    <mergeCell ref="T63:T64"/>
    <mergeCell ref="S65:S66"/>
    <mergeCell ref="T65:T66"/>
    <mergeCell ref="U65:U66"/>
    <mergeCell ref="T67:T68"/>
    <mergeCell ref="U67:U68"/>
  </mergeCells>
  <conditionalFormatting sqref="B23">
    <cfRule type="expression" dxfId="9" priority="1">
      <formula>If(AM25:AM1060&lt;&gt;"")</formula>
    </cfRule>
  </conditionalFormatting>
  <conditionalFormatting sqref="D23:D36 D41:D68 D71:D77 D80:D82">
    <cfRule type="expression" dxfId="0" priority="2">
      <formula>#REF!=TRUE</formula>
    </cfRule>
  </conditionalFormatting>
  <conditionalFormatting sqref="D23:D36 D41:D68 D71:D77 D80:D82">
    <cfRule type="expression" dxfId="1" priority="3">
      <formula>#REF!=TRUE</formula>
    </cfRule>
  </conditionalFormatting>
  <conditionalFormatting sqref="D23:D24 D50:D53 D60:D62 D65:D68 D71 D76:D77 D80 D86:D87 D91 D95 D97">
    <cfRule type="expression" dxfId="0" priority="4">
      <formula>AG23=TRUE</formula>
    </cfRule>
  </conditionalFormatting>
  <conditionalFormatting sqref="D23:D24 D50:D53 D60:D62 D65:D68 D71 D76:D77 D80 D86:D87 D91 D95 D97">
    <cfRule type="expression" dxfId="1" priority="5">
      <formula>P23=TRUE</formula>
    </cfRule>
  </conditionalFormatting>
  <dataValidations>
    <dataValidation type="list" allowBlank="1" showErrorMessage="1" sqref="G23 G25 G27 G29 G31 G33 G35 G37 G39 G43:G44 G46 G48 G50 G52 G54 G56 G58 G61 G63 G65 G67 G69 G72 G74 G76 G78 G80:G81 G85:G94">
      <formula1>"Hồ Chí Minh,Đồng Nai,Bình Dương,Hải Dương,Hà Nội ,Hải Phòng,Sóc Trăng,Cần Thơ,Mass,Đồng Tháp"</formula1>
    </dataValidation>
    <dataValidation type="list" allowBlank="1" showErrorMessage="1" sqref="U23 U25 U27 U29 U31 U33 U35 U37 U39 U43:U44 U46 U48 U50 U52 U54 U56 U58 U60:U61 U63 U65 U67 U69 U71:U72 U74 U76 U78 U80:U81 U85:U94">
      <formula1>"Confirm,Không phù hợp,Đề xuất thêm"</formula1>
    </dataValidation>
    <dataValidation type="list" allowBlank="1" showErrorMessage="1" sqref="X23 X25 X27 X29 X31 X33 X35 X37 X39 X43:X44 X46 X48 X50 X52 X54 X56 X58 X60:X61 X63 X65 X67 X69 X71:X72 X74 X76 X78 X80:X81 X85:X98">
      <formula1>"Ký Cá Nhân,Ký Công ty (VAT 8%),Ký HKD (6-7%),Chưa phản hồi"</formula1>
    </dataValidation>
    <dataValidation type="list" allowBlank="1" showErrorMessage="1" sqref="E23 E25 E27 E29 E31 E33 E35 E37 E39 E43:E44 E46 E48 E50 E52 E54 E56 E58 E61 E63 E65 E67 E69 E72 E74 E76 E78 E80:E81 E85:E94">
      <formula1>"Nano,Macro,Micro"</formula1>
    </dataValidation>
    <dataValidation type="list" allowBlank="1" showErrorMessage="1" sqref="C23 C25 C27 C29 C31 C33 C35 C37 C39 C43:C44 C46 C48 C50 C52 C54 C56 C58 C61 C63 C65 C67 C69 C72 C74 C76 C78 C80:C81 C85:C94">
      <formula1>"Tiktok,Facebook,Instagram,TikTok &amp; Facebook"</formula1>
    </dataValidation>
    <dataValidation type="list" allowBlank="1" showErrorMessage="1" sqref="Y23 Y25 Y27 Y29 Y31 Y33 Y35 Y37 Y39 Y43:Y44 Y46 Y48 Y50 Y52 Y54 Y56 Y58 Y60:Y61 Y63 Y65 Y67 Y69 Y71:Y72 Y74 Y76 Y78 Y80:Y81 Y85:Y98">
      <formula1>"Thanh Toán sau 100%, 30 ngày,Thanh Toán sau 100%, 14 ngày,Thanh toán 50/50, 14 ngày,Thanh toán 50/50, 30 ngày,Thanh toán trước 100%,Thanh toán 50/50, 7 ngày,Chưa phản hồi,Thanh toán 30/70, 14 ngày"</formula1>
    </dataValidation>
  </dataValidations>
  <hyperlinks>
    <hyperlink r:id="rId1" ref="F23"/>
    <hyperlink r:id="rId2" ref="H23"/>
    <hyperlink r:id="rId3" location="gid=1826739190" ref="Z23"/>
    <hyperlink r:id="rId4" ref="F25"/>
    <hyperlink r:id="rId5" ref="H25"/>
    <hyperlink r:id="rId6" ref="F27"/>
    <hyperlink r:id="rId7" ref="H27"/>
    <hyperlink r:id="rId8" location="gid=0" ref="Z27"/>
    <hyperlink r:id="rId9" ref="F29"/>
    <hyperlink r:id="rId10" ref="H29"/>
    <hyperlink r:id="rId11" ref="F31"/>
    <hyperlink r:id="rId12" ref="H31"/>
    <hyperlink r:id="rId13" ref="F33"/>
    <hyperlink r:id="rId14" ref="H33"/>
    <hyperlink r:id="rId15" ref="S33"/>
    <hyperlink r:id="rId16" location="gid=0" ref="Z33"/>
    <hyperlink r:id="rId17" ref="F35"/>
    <hyperlink r:id="rId18" ref="H35"/>
    <hyperlink r:id="rId19" location="gid=1826739190" ref="Z35"/>
    <hyperlink r:id="rId20" ref="F37"/>
    <hyperlink r:id="rId21" ref="H37"/>
    <hyperlink r:id="rId22" location="gid=86066825" ref="Z37"/>
    <hyperlink r:id="rId23" ref="F39"/>
    <hyperlink r:id="rId24" ref="H39"/>
    <hyperlink r:id="rId25" ref="F44"/>
    <hyperlink r:id="rId26" ref="H44"/>
    <hyperlink r:id="rId27" location="gid=1826739190" ref="Z44"/>
    <hyperlink r:id="rId28" ref="F46"/>
    <hyperlink r:id="rId29" ref="H46"/>
    <hyperlink r:id="rId30" location="gid=1826739190" ref="Z46"/>
    <hyperlink r:id="rId31" ref="F48"/>
    <hyperlink r:id="rId32" ref="H48"/>
    <hyperlink r:id="rId33" location="gid=1826739190" ref="Z48"/>
    <hyperlink r:id="rId34" ref="F50"/>
    <hyperlink r:id="rId35" ref="H50"/>
    <hyperlink r:id="rId36" location="gid=1826739190" ref="Z50"/>
    <hyperlink r:id="rId37" ref="F52"/>
    <hyperlink r:id="rId38" ref="H52"/>
    <hyperlink r:id="rId39" location="gid=1826739190" ref="Z52"/>
    <hyperlink r:id="rId40" ref="F54"/>
    <hyperlink r:id="rId41" ref="H54"/>
    <hyperlink r:id="rId42" location="gid=86066825" ref="Z54"/>
    <hyperlink r:id="rId43" ref="F56"/>
    <hyperlink r:id="rId44" ref="H56"/>
    <hyperlink r:id="rId45" ref="F58"/>
    <hyperlink r:id="rId46" ref="H58"/>
    <hyperlink r:id="rId47" location="gid=1826739190" ref="Z58"/>
    <hyperlink r:id="rId48" ref="F61"/>
    <hyperlink r:id="rId49" ref="H61"/>
    <hyperlink r:id="rId50" location="gid=317397432" ref="Z61"/>
    <hyperlink r:id="rId51" location="gid=317397432" ref="Z62"/>
    <hyperlink r:id="rId52" ref="F63"/>
    <hyperlink r:id="rId53" ref="H63"/>
    <hyperlink r:id="rId54" location="gid=317397432" ref="Z63"/>
    <hyperlink r:id="rId55" location="gid=317397432" ref="Z64"/>
    <hyperlink r:id="rId56" ref="F65"/>
    <hyperlink r:id="rId57" ref="H65"/>
    <hyperlink r:id="rId58" location="gid=86066825" ref="Z65"/>
    <hyperlink r:id="rId59" ref="F67"/>
    <hyperlink r:id="rId60" ref="H67"/>
    <hyperlink r:id="rId61" location="gid=86066825" ref="Z67"/>
    <hyperlink r:id="rId62" ref="F69"/>
    <hyperlink r:id="rId63" ref="H69"/>
    <hyperlink r:id="rId64" location="gid=86066825" ref="Z69"/>
    <hyperlink r:id="rId65" ref="F72"/>
    <hyperlink r:id="rId66" ref="H72"/>
    <hyperlink r:id="rId67" location="gid=317397432" ref="Z72"/>
    <hyperlink r:id="rId68" location="gid=317397432" ref="Z73"/>
    <hyperlink r:id="rId69" ref="F74"/>
    <hyperlink r:id="rId70" ref="H74"/>
    <hyperlink r:id="rId71" location="gid=317397432" ref="Z74"/>
    <hyperlink r:id="rId72" location="gid=317397432" ref="Z75"/>
    <hyperlink r:id="rId73" ref="F76"/>
    <hyperlink r:id="rId74" ref="H76"/>
    <hyperlink r:id="rId75" location="gid=317397432" ref="Z76"/>
    <hyperlink r:id="rId76" location="gid=317397432" ref="Z77"/>
    <hyperlink r:id="rId77" ref="F78"/>
    <hyperlink r:id="rId78" ref="H78"/>
    <hyperlink r:id="rId79" location="gid=317397432" ref="Z78"/>
    <hyperlink r:id="rId80" location="gid=317397432" ref="Z79"/>
    <hyperlink r:id="rId81" ref="F81"/>
    <hyperlink r:id="rId82" ref="H81"/>
    <hyperlink r:id="rId83" location="gid=317397432" ref="Z81"/>
    <hyperlink r:id="rId84" location="gid=317397432" ref="Z82"/>
    <hyperlink r:id="rId85" ref="F85"/>
    <hyperlink r:id="rId86" location="gid=1537112938" ref="Z85"/>
    <hyperlink r:id="rId87" ref="F86"/>
    <hyperlink r:id="rId88" location="gid=1537112938" ref="Z86"/>
    <hyperlink r:id="rId89" ref="F87"/>
    <hyperlink r:id="rId90" location="gid=1537112938" ref="Z87"/>
    <hyperlink r:id="rId91" ref="F88"/>
    <hyperlink r:id="rId92" location="gid=1537112938" ref="Z88"/>
    <hyperlink r:id="rId93" ref="F89"/>
    <hyperlink r:id="rId94" location="gid=1537112938" ref="Z89"/>
    <hyperlink r:id="rId95" ref="F90"/>
    <hyperlink r:id="rId96" location="gid=1537112938" ref="Z90"/>
    <hyperlink r:id="rId97" ref="F91"/>
    <hyperlink r:id="rId98" ref="F92"/>
    <hyperlink r:id="rId99" location="gid=1537112938" ref="Z92"/>
    <hyperlink r:id="rId100" ref="F93"/>
    <hyperlink r:id="rId101" ref="F94"/>
    <hyperlink r:id="rId102" location="gid=1537112938" ref="Z94"/>
    <hyperlink r:id="rId103" location="gid=0" ref="AM108"/>
    <hyperlink r:id="rId104" location="gid=979601156" ref="AM109"/>
    <hyperlink r:id="rId105" location="gid=979601156" ref="AM110"/>
    <hyperlink r:id="rId106" location="gid=2067434365" ref="AM111"/>
    <hyperlink r:id="rId107" location="gid=979601156" ref="AM112"/>
  </hyperlinks>
  <drawing r:id="rId10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outlineLevelRow="1"/>
  <cols>
    <col customWidth="1" min="1" max="1" width="8.63"/>
    <col customWidth="1" min="2" max="2" width="23.25"/>
    <col customWidth="1" min="3" max="3" width="18.63"/>
    <col customWidth="1" min="4" max="4" width="15.0"/>
    <col customWidth="1" min="5" max="5" width="17.25"/>
    <col customWidth="1" min="7" max="7" width="65.25"/>
    <col customWidth="1" min="11" max="11" width="14.88"/>
    <col customWidth="1" min="16" max="16" width="18.38"/>
    <col customWidth="1" min="17" max="17" width="76.13"/>
    <col customWidth="1" min="18" max="18" width="13.25"/>
    <col customWidth="1" min="19" max="19" width="15.38"/>
    <col customWidth="1" min="20" max="20" width="14.88"/>
    <col customWidth="1" min="21" max="21" width="16.75"/>
    <col customWidth="1" min="22" max="22" width="18.75"/>
    <col customWidth="1" min="24" max="31" width="11.0"/>
    <col customWidth="1" min="32" max="32" width="28.63"/>
    <col customWidth="1" min="33" max="33" width="22.13"/>
    <col customWidth="1" min="36" max="36" width="35.38"/>
    <col customWidth="1" min="37" max="39" width="7.25"/>
  </cols>
  <sheetData>
    <row r="1">
      <c r="A1" s="1" t="s">
        <v>1061</v>
      </c>
      <c r="B1" s="2"/>
      <c r="C1" s="2"/>
      <c r="D1" s="3"/>
      <c r="E1" s="2"/>
      <c r="F1" s="4"/>
      <c r="G1" s="2"/>
      <c r="H1" s="2"/>
      <c r="I1" s="2"/>
      <c r="J1" s="5"/>
      <c r="K1" s="6"/>
      <c r="L1" s="6"/>
      <c r="M1" s="6"/>
      <c r="N1" s="6"/>
      <c r="O1" s="6"/>
      <c r="P1" s="6"/>
      <c r="Q1" s="7"/>
      <c r="R1" s="8"/>
      <c r="S1" s="8"/>
      <c r="T1" s="8"/>
      <c r="U1" s="580"/>
      <c r="V1" s="581"/>
      <c r="W1" s="3"/>
      <c r="X1" s="3"/>
      <c r="Y1" s="3"/>
      <c r="Z1" s="3"/>
      <c r="AA1" s="3"/>
      <c r="AB1" s="3"/>
      <c r="AC1" s="3"/>
      <c r="AD1" s="3"/>
      <c r="AE1" s="3"/>
      <c r="AF1" s="3"/>
      <c r="AG1" s="3"/>
      <c r="AH1" s="3"/>
      <c r="AI1" s="3"/>
      <c r="AJ1" s="218"/>
      <c r="AK1" s="218"/>
      <c r="AL1" s="218"/>
      <c r="AM1" s="218"/>
    </row>
    <row r="2">
      <c r="A2" s="10"/>
      <c r="B2" s="11"/>
      <c r="C2" s="11"/>
      <c r="D2" s="11"/>
      <c r="E2" s="2"/>
      <c r="F2" s="4"/>
      <c r="G2" s="2"/>
      <c r="H2" s="2"/>
      <c r="I2" s="2"/>
      <c r="J2" s="5"/>
      <c r="K2" s="6"/>
      <c r="L2" s="6"/>
      <c r="M2" s="6"/>
      <c r="N2" s="6"/>
      <c r="O2" s="6"/>
      <c r="P2" s="6"/>
      <c r="Q2" s="7"/>
      <c r="R2" s="8"/>
      <c r="S2" s="8"/>
      <c r="T2" s="8"/>
      <c r="U2" s="580"/>
      <c r="V2" s="581"/>
      <c r="W2" s="3"/>
      <c r="X2" s="3"/>
      <c r="Y2" s="3"/>
      <c r="Z2" s="3"/>
      <c r="AA2" s="3"/>
      <c r="AB2" s="3"/>
      <c r="AC2" s="3"/>
      <c r="AD2" s="3"/>
      <c r="AE2" s="3"/>
      <c r="AF2" s="3"/>
      <c r="AG2" s="3"/>
      <c r="AH2" s="3"/>
      <c r="AI2" s="3"/>
      <c r="AJ2" s="218"/>
      <c r="AK2" s="218"/>
      <c r="AL2" s="218"/>
      <c r="AM2" s="218"/>
    </row>
    <row r="3" ht="27.0" customHeight="1">
      <c r="A3" s="12" t="s">
        <v>1</v>
      </c>
      <c r="B3" s="13" t="s">
        <v>2</v>
      </c>
      <c r="C3" s="14" t="s">
        <v>3</v>
      </c>
      <c r="D3" s="14" t="s">
        <v>4</v>
      </c>
      <c r="E3" s="15" t="s">
        <v>5</v>
      </c>
      <c r="I3" s="6"/>
      <c r="J3" s="2"/>
      <c r="K3" s="5"/>
      <c r="L3" s="6"/>
      <c r="M3" s="6"/>
      <c r="N3" s="6"/>
      <c r="O3" s="6"/>
      <c r="P3" s="6"/>
      <c r="Q3" s="6"/>
      <c r="R3" s="7"/>
      <c r="S3" s="8"/>
      <c r="T3" s="8"/>
      <c r="U3" s="580"/>
      <c r="V3" s="8"/>
      <c r="W3" s="581"/>
      <c r="X3" s="3"/>
      <c r="Y3" s="3"/>
      <c r="Z3" s="3"/>
      <c r="AA3" s="3"/>
      <c r="AB3" s="3"/>
      <c r="AC3" s="3"/>
      <c r="AD3" s="3"/>
      <c r="AE3" s="3"/>
      <c r="AF3" s="3"/>
      <c r="AG3" s="3"/>
      <c r="AH3" s="3"/>
      <c r="AI3" s="3"/>
      <c r="AJ3" s="3"/>
      <c r="AK3" s="218"/>
      <c r="AL3" s="218"/>
      <c r="AM3" s="218"/>
    </row>
    <row r="4" ht="27.0" customHeight="1">
      <c r="A4" s="17"/>
      <c r="B4" s="18"/>
      <c r="C4" s="19" t="s">
        <v>6</v>
      </c>
      <c r="D4" s="20">
        <f>sum(D5,D7,D9:D10)</f>
        <v>30</v>
      </c>
      <c r="E4" s="20">
        <f>Sum(E5:E11)</f>
        <v>518000000</v>
      </c>
      <c r="I4" s="2"/>
      <c r="J4" s="2"/>
      <c r="K4" s="5"/>
      <c r="L4" s="6"/>
      <c r="M4" s="6"/>
      <c r="N4" s="6"/>
      <c r="O4" s="6"/>
      <c r="P4" s="6"/>
      <c r="Q4" s="6"/>
      <c r="R4" s="7"/>
      <c r="S4" s="672"/>
      <c r="T4" s="672"/>
      <c r="U4" s="673"/>
      <c r="V4" s="672"/>
      <c r="W4" s="674"/>
      <c r="X4" s="219"/>
      <c r="Y4" s="3"/>
      <c r="Z4" s="3"/>
      <c r="AA4" s="3"/>
      <c r="AB4" s="3"/>
      <c r="AC4" s="3"/>
      <c r="AD4" s="3"/>
      <c r="AE4" s="3"/>
      <c r="AF4" s="3"/>
      <c r="AG4" s="3"/>
      <c r="AH4" s="3"/>
      <c r="AI4" s="3"/>
      <c r="AJ4" s="3"/>
      <c r="AK4" s="218"/>
      <c r="AL4" s="218"/>
      <c r="AM4" s="218"/>
    </row>
    <row r="5" ht="27.0" customHeight="1">
      <c r="A5" s="675">
        <v>1.0</v>
      </c>
      <c r="B5" s="22" t="str">
        <f>A20</f>
        <v>FOODY REVIEWER</v>
      </c>
      <c r="C5" s="23" t="s">
        <v>7</v>
      </c>
      <c r="D5" s="24">
        <f t="shared" ref="D5:D6" si="1">J20</f>
        <v>10</v>
      </c>
      <c r="E5" s="25">
        <f>P20</f>
        <v>224000000</v>
      </c>
      <c r="I5" s="2"/>
      <c r="J5" s="2"/>
      <c r="K5" s="5"/>
      <c r="L5" s="6"/>
      <c r="M5" s="6"/>
      <c r="N5" s="6"/>
      <c r="O5" s="6"/>
      <c r="P5" s="6"/>
      <c r="Q5" s="6"/>
      <c r="R5" s="7"/>
      <c r="S5" s="672"/>
      <c r="T5" s="672"/>
      <c r="U5" s="673"/>
      <c r="V5" s="672"/>
      <c r="W5" s="674"/>
      <c r="X5" s="219"/>
      <c r="Y5" s="3"/>
      <c r="Z5" s="3"/>
      <c r="AA5" s="3"/>
      <c r="AB5" s="3"/>
      <c r="AC5" s="3"/>
      <c r="AD5" s="3"/>
      <c r="AE5" s="3"/>
      <c r="AF5" s="3"/>
      <c r="AG5" s="3"/>
      <c r="AH5" s="3"/>
      <c r="AI5" s="3"/>
      <c r="AJ5" s="3"/>
      <c r="AK5" s="218"/>
      <c r="AL5" s="218"/>
      <c r="AM5" s="218"/>
    </row>
    <row r="6" ht="27.0" customHeight="1">
      <c r="A6" s="26"/>
      <c r="B6" s="26"/>
      <c r="C6" s="23" t="s">
        <v>8</v>
      </c>
      <c r="D6" s="24">
        <f t="shared" si="1"/>
        <v>7</v>
      </c>
      <c r="E6" s="26"/>
      <c r="I6" s="2"/>
      <c r="J6" s="2"/>
      <c r="K6" s="5"/>
      <c r="L6" s="6"/>
      <c r="M6" s="6"/>
      <c r="N6" s="6"/>
      <c r="O6" s="6"/>
      <c r="P6" s="6"/>
      <c r="Q6" s="6"/>
      <c r="R6" s="7"/>
      <c r="S6" s="672"/>
      <c r="T6" s="672"/>
      <c r="U6" s="673"/>
      <c r="V6" s="672"/>
      <c r="W6" s="674"/>
      <c r="X6" s="219"/>
      <c r="Y6" s="3"/>
      <c r="Z6" s="3"/>
      <c r="AA6" s="3"/>
      <c r="AB6" s="3"/>
      <c r="AC6" s="3"/>
      <c r="AD6" s="3"/>
      <c r="AE6" s="3"/>
      <c r="AF6" s="3"/>
      <c r="AG6" s="3"/>
      <c r="AH6" s="3"/>
      <c r="AI6" s="3"/>
      <c r="AJ6" s="3"/>
      <c r="AK6" s="218"/>
      <c r="AL6" s="218"/>
      <c r="AM6" s="218"/>
    </row>
    <row r="7" ht="27.0" customHeight="1">
      <c r="A7" s="676">
        <v>2.0</v>
      </c>
      <c r="B7" s="22" t="str">
        <f>A42</f>
        <v>FOODY UGC</v>
      </c>
      <c r="C7" s="23" t="s">
        <v>7</v>
      </c>
      <c r="D7" s="24">
        <f t="shared" ref="D7:D8" si="2">J42</f>
        <v>10</v>
      </c>
      <c r="E7" s="25">
        <f>P42</f>
        <v>58000000</v>
      </c>
      <c r="I7" s="2"/>
      <c r="J7" s="2"/>
      <c r="K7" s="5"/>
      <c r="L7" s="6"/>
      <c r="M7" s="6"/>
      <c r="N7" s="6"/>
      <c r="O7" s="6"/>
      <c r="P7" s="6"/>
      <c r="Q7" s="6"/>
      <c r="R7" s="7"/>
      <c r="S7" s="672"/>
      <c r="T7" s="672"/>
      <c r="U7" s="673"/>
      <c r="V7" s="672"/>
      <c r="W7" s="674"/>
      <c r="X7" s="219"/>
      <c r="Y7" s="3"/>
      <c r="Z7" s="3"/>
      <c r="AA7" s="3"/>
      <c r="AB7" s="3"/>
      <c r="AC7" s="3"/>
      <c r="AD7" s="3"/>
      <c r="AE7" s="3"/>
      <c r="AF7" s="3"/>
      <c r="AG7" s="3"/>
      <c r="AH7" s="3"/>
      <c r="AI7" s="3"/>
      <c r="AJ7" s="3"/>
      <c r="AK7" s="218"/>
      <c r="AL7" s="218"/>
      <c r="AM7" s="218"/>
    </row>
    <row r="8" ht="27.0" customHeight="1">
      <c r="A8" s="26"/>
      <c r="B8" s="26"/>
      <c r="C8" s="23" t="s">
        <v>8</v>
      </c>
      <c r="D8" s="28">
        <f t="shared" si="2"/>
        <v>10</v>
      </c>
      <c r="E8" s="26"/>
      <c r="I8" s="2"/>
      <c r="J8" s="2"/>
      <c r="K8" s="5"/>
      <c r="L8" s="6"/>
      <c r="M8" s="6"/>
      <c r="N8" s="6"/>
      <c r="O8" s="6"/>
      <c r="P8" s="6"/>
      <c r="Q8" s="6"/>
      <c r="R8" s="7"/>
      <c r="S8" s="672"/>
      <c r="T8" s="672"/>
      <c r="U8" s="673"/>
      <c r="V8" s="672"/>
      <c r="W8" s="674"/>
      <c r="X8" s="219"/>
      <c r="Y8" s="3"/>
      <c r="Z8" s="3"/>
      <c r="AA8" s="3"/>
      <c r="AB8" s="3"/>
      <c r="AC8" s="3"/>
      <c r="AD8" s="3"/>
      <c r="AE8" s="3"/>
      <c r="AF8" s="3"/>
      <c r="AG8" s="3"/>
      <c r="AH8" s="3"/>
      <c r="AI8" s="3"/>
      <c r="AJ8" s="3"/>
      <c r="AK8" s="218"/>
      <c r="AL8" s="218"/>
      <c r="AM8" s="218"/>
    </row>
    <row r="9" ht="27.0" customHeight="1">
      <c r="A9" s="676">
        <v>3.0</v>
      </c>
      <c r="B9" s="22" t="str">
        <f>A64</f>
        <v>FOODY COMMUNITY</v>
      </c>
      <c r="C9" s="23" t="s">
        <v>9</v>
      </c>
      <c r="D9" s="28">
        <f>J65</f>
        <v>5</v>
      </c>
      <c r="E9" s="25">
        <f>P64</f>
        <v>216000000</v>
      </c>
      <c r="I9" s="2"/>
      <c r="J9" s="2"/>
      <c r="K9" s="5"/>
      <c r="L9" s="6"/>
      <c r="M9" s="6"/>
      <c r="N9" s="6"/>
      <c r="O9" s="6"/>
      <c r="P9" s="6"/>
      <c r="Q9" s="6"/>
      <c r="R9" s="7"/>
      <c r="S9" s="672"/>
      <c r="T9" s="672"/>
      <c r="U9" s="673"/>
      <c r="V9" s="672"/>
      <c r="W9" s="674"/>
      <c r="X9" s="219"/>
      <c r="Y9" s="3"/>
      <c r="Z9" s="3"/>
      <c r="AA9" s="3"/>
      <c r="AB9" s="3"/>
      <c r="AC9" s="3"/>
      <c r="AD9" s="3"/>
      <c r="AE9" s="3"/>
      <c r="AF9" s="3"/>
      <c r="AG9" s="3"/>
      <c r="AH9" s="3"/>
      <c r="AI9" s="3"/>
      <c r="AJ9" s="3"/>
      <c r="AK9" s="218"/>
      <c r="AL9" s="218"/>
      <c r="AM9" s="218"/>
    </row>
    <row r="10" ht="27.0" customHeight="1">
      <c r="A10" s="26"/>
      <c r="B10" s="26"/>
      <c r="C10" s="29" t="s">
        <v>10</v>
      </c>
      <c r="D10" s="28">
        <f>J64</f>
        <v>5</v>
      </c>
      <c r="E10" s="26"/>
      <c r="I10" s="2"/>
      <c r="J10" s="2"/>
      <c r="K10" s="5"/>
      <c r="L10" s="6"/>
      <c r="M10" s="6"/>
      <c r="N10" s="6"/>
      <c r="O10" s="6"/>
      <c r="P10" s="6"/>
      <c r="Q10" s="6"/>
      <c r="R10" s="7"/>
      <c r="S10" s="672"/>
      <c r="T10" s="672"/>
      <c r="U10" s="673"/>
      <c r="V10" s="672"/>
      <c r="W10" s="674"/>
      <c r="X10" s="219"/>
      <c r="Y10" s="3"/>
      <c r="Z10" s="3"/>
      <c r="AA10" s="3"/>
      <c r="AB10" s="3"/>
      <c r="AC10" s="3"/>
      <c r="AD10" s="3"/>
      <c r="AE10" s="3"/>
      <c r="AF10" s="3"/>
      <c r="AG10" s="3"/>
      <c r="AH10" s="3"/>
      <c r="AI10" s="3"/>
      <c r="AJ10" s="3"/>
      <c r="AK10" s="218"/>
      <c r="AL10" s="218"/>
      <c r="AM10" s="218"/>
    </row>
    <row r="11" ht="27.0" customHeight="1">
      <c r="A11" s="677">
        <v>4.0</v>
      </c>
      <c r="B11" s="31" t="str">
        <f>A76</f>
        <v>SEEDING PACKAGE</v>
      </c>
      <c r="C11" s="29" t="s">
        <v>11</v>
      </c>
      <c r="D11" s="28">
        <f>J77</f>
        <v>2000</v>
      </c>
      <c r="E11" s="32">
        <f>P76</f>
        <v>20000000</v>
      </c>
      <c r="I11" s="2"/>
      <c r="J11" s="2"/>
      <c r="K11" s="5"/>
      <c r="L11" s="6"/>
      <c r="M11" s="6"/>
      <c r="N11" s="6"/>
      <c r="O11" s="6"/>
      <c r="P11" s="6"/>
      <c r="Q11" s="6"/>
      <c r="R11" s="7"/>
      <c r="S11" s="672"/>
      <c r="T11" s="672"/>
      <c r="U11" s="673"/>
      <c r="V11" s="672"/>
      <c r="W11" s="674"/>
      <c r="X11" s="219"/>
      <c r="Y11" s="3"/>
      <c r="Z11" s="3"/>
      <c r="AA11" s="3"/>
      <c r="AB11" s="3"/>
      <c r="AC11" s="3"/>
      <c r="AD11" s="3"/>
      <c r="AE11" s="3"/>
      <c r="AF11" s="3"/>
      <c r="AG11" s="3"/>
      <c r="AH11" s="3"/>
      <c r="AI11" s="3"/>
      <c r="AJ11" s="3"/>
      <c r="AK11" s="218"/>
      <c r="AL11" s="218"/>
      <c r="AM11" s="218"/>
    </row>
    <row r="12" ht="27.0" customHeight="1">
      <c r="A12" s="33"/>
      <c r="B12" s="34" t="s">
        <v>12</v>
      </c>
      <c r="C12" s="35"/>
      <c r="D12" s="35"/>
      <c r="E12" s="36">
        <f>E4</f>
        <v>518000000</v>
      </c>
      <c r="J12" s="2"/>
      <c r="K12" s="5"/>
      <c r="L12" s="6"/>
      <c r="M12" s="6"/>
      <c r="N12" s="6"/>
      <c r="O12" s="6"/>
      <c r="P12" s="6"/>
      <c r="Q12" s="681"/>
      <c r="R12" s="7"/>
      <c r="S12" s="672"/>
      <c r="T12" s="672"/>
      <c r="U12" s="673"/>
      <c r="V12" s="672"/>
      <c r="W12" s="682"/>
      <c r="X12" s="218"/>
      <c r="Y12" s="2"/>
      <c r="Z12" s="2"/>
      <c r="AA12" s="2"/>
      <c r="AB12" s="2"/>
      <c r="AC12" s="2"/>
      <c r="AD12" s="2"/>
      <c r="AE12" s="2"/>
      <c r="AF12" s="2"/>
      <c r="AG12" s="2"/>
      <c r="AH12" s="2"/>
      <c r="AI12" s="2"/>
      <c r="AJ12" s="2"/>
      <c r="AK12" s="218"/>
      <c r="AL12" s="218"/>
      <c r="AM12" s="218"/>
    </row>
    <row r="13" ht="27.0" customHeight="1">
      <c r="A13" s="38"/>
      <c r="B13" s="34" t="s">
        <v>13</v>
      </c>
      <c r="C13" s="39"/>
      <c r="D13" s="40">
        <v>0.12</v>
      </c>
      <c r="E13" s="41">
        <f>E12*D13</f>
        <v>62160000</v>
      </c>
      <c r="I13" s="42"/>
      <c r="J13" s="42"/>
      <c r="K13" s="43"/>
      <c r="L13" s="43"/>
      <c r="M13" s="43"/>
      <c r="N13" s="43"/>
      <c r="O13" s="43"/>
      <c r="P13" s="43"/>
      <c r="Q13" s="7"/>
      <c r="R13" s="8"/>
      <c r="S13" s="8"/>
      <c r="T13" s="8"/>
      <c r="U13" s="580"/>
      <c r="V13" s="683"/>
      <c r="W13" s="42"/>
      <c r="X13" s="42"/>
      <c r="Y13" s="42"/>
      <c r="Z13" s="42"/>
      <c r="AA13" s="42"/>
      <c r="AB13" s="42"/>
      <c r="AC13" s="42"/>
      <c r="AD13" s="42"/>
      <c r="AE13" s="42"/>
      <c r="AF13" s="43"/>
      <c r="AG13" s="43"/>
      <c r="AH13" s="43"/>
      <c r="AI13" s="43"/>
      <c r="AJ13" s="218"/>
      <c r="AK13" s="218"/>
      <c r="AL13" s="218"/>
      <c r="AM13" s="218"/>
    </row>
    <row r="14" ht="27.0" customHeight="1">
      <c r="A14" s="38"/>
      <c r="B14" s="34" t="s">
        <v>14</v>
      </c>
      <c r="C14" s="39"/>
      <c r="D14" s="39"/>
      <c r="E14" s="41">
        <f>sum(E12:E13)</f>
        <v>580160000</v>
      </c>
      <c r="I14" s="42"/>
      <c r="J14" s="42"/>
      <c r="K14" s="43"/>
      <c r="L14" s="43"/>
      <c r="M14" s="43"/>
      <c r="N14" s="43"/>
      <c r="O14" s="43"/>
      <c r="P14" s="43"/>
      <c r="Q14" s="7"/>
      <c r="R14" s="8"/>
      <c r="S14" s="8"/>
      <c r="T14" s="8"/>
      <c r="U14" s="580"/>
      <c r="V14" s="683"/>
      <c r="W14" s="42"/>
      <c r="X14" s="42"/>
      <c r="Y14" s="42"/>
      <c r="Z14" s="42"/>
      <c r="AA14" s="42"/>
      <c r="AB14" s="42"/>
      <c r="AC14" s="42"/>
      <c r="AD14" s="42"/>
      <c r="AE14" s="42"/>
      <c r="AF14" s="43"/>
      <c r="AG14" s="43"/>
      <c r="AH14" s="43"/>
      <c r="AI14" s="43"/>
      <c r="AJ14" s="218"/>
      <c r="AK14" s="218"/>
      <c r="AL14" s="218"/>
      <c r="AM14" s="218"/>
    </row>
    <row r="15" ht="27.0" customHeight="1">
      <c r="A15" s="38"/>
      <c r="B15" s="34" t="s">
        <v>15</v>
      </c>
      <c r="C15" s="39"/>
      <c r="D15" s="39"/>
      <c r="E15" s="41">
        <f>E14*1.08</f>
        <v>626572800</v>
      </c>
      <c r="I15" s="42"/>
      <c r="J15" s="42"/>
      <c r="K15" s="43"/>
      <c r="L15" s="43"/>
      <c r="M15" s="43"/>
      <c r="N15" s="43"/>
      <c r="O15" s="43"/>
      <c r="P15" s="43"/>
      <c r="Q15" s="7"/>
      <c r="R15" s="8"/>
      <c r="S15" s="8"/>
      <c r="T15" s="8"/>
      <c r="U15" s="580"/>
      <c r="V15" s="683"/>
      <c r="W15" s="42"/>
      <c r="X15" s="42"/>
      <c r="Y15" s="42"/>
      <c r="Z15" s="42"/>
      <c r="AA15" s="42"/>
      <c r="AB15" s="42"/>
      <c r="AC15" s="42"/>
      <c r="AD15" s="42"/>
      <c r="AE15" s="42"/>
      <c r="AF15" s="43"/>
      <c r="AG15" s="43"/>
      <c r="AH15" s="43"/>
      <c r="AI15" s="43"/>
      <c r="AJ15" s="218"/>
      <c r="AK15" s="218"/>
      <c r="AL15" s="218"/>
      <c r="AM15" s="218"/>
    </row>
    <row r="16">
      <c r="A16" s="38"/>
      <c r="B16" s="44"/>
      <c r="C16" s="42"/>
      <c r="D16" s="42"/>
      <c r="E16" s="42"/>
      <c r="I16" s="42"/>
      <c r="J16" s="42"/>
      <c r="K16" s="43"/>
      <c r="L16" s="43"/>
      <c r="M16" s="43"/>
      <c r="N16" s="43"/>
      <c r="O16" s="43"/>
      <c r="P16" s="43"/>
      <c r="Q16" s="7"/>
      <c r="R16" s="8"/>
      <c r="S16" s="8"/>
      <c r="T16" s="8"/>
      <c r="U16" s="580"/>
      <c r="V16" s="683"/>
      <c r="W16" s="42"/>
      <c r="X16" s="42"/>
      <c r="Y16" s="42"/>
      <c r="Z16" s="42"/>
      <c r="AA16" s="42"/>
      <c r="AB16" s="42"/>
      <c r="AC16" s="42"/>
      <c r="AD16" s="42"/>
      <c r="AE16" s="42"/>
      <c r="AF16" s="43"/>
      <c r="AG16" s="43"/>
      <c r="AH16" s="43"/>
      <c r="AI16" s="43"/>
      <c r="AJ16" s="218"/>
      <c r="AK16" s="218"/>
      <c r="AL16" s="218"/>
      <c r="AM16" s="218"/>
    </row>
    <row r="17">
      <c r="Q17" s="892"/>
      <c r="R17" s="8"/>
      <c r="S17" s="8"/>
      <c r="T17" s="8"/>
      <c r="U17" s="580"/>
      <c r="V17" s="685" t="s">
        <v>891</v>
      </c>
      <c r="W17" s="686"/>
      <c r="X17" s="687" t="s">
        <v>892</v>
      </c>
      <c r="Y17" s="688"/>
      <c r="Z17" s="688"/>
      <c r="AA17" s="688"/>
      <c r="AB17" s="688"/>
      <c r="AC17" s="688"/>
      <c r="AD17" s="688"/>
      <c r="AE17" s="688"/>
      <c r="AF17" s="686"/>
      <c r="AG17" s="686"/>
      <c r="AH17" s="686"/>
      <c r="AI17" s="689"/>
      <c r="AJ17" s="218"/>
      <c r="AK17" s="218"/>
      <c r="AL17" s="218"/>
      <c r="AM17" s="218"/>
    </row>
    <row r="18" ht="44.25" customHeight="1">
      <c r="A18" s="43"/>
      <c r="B18" s="43"/>
      <c r="C18" s="43"/>
      <c r="D18" s="43"/>
      <c r="E18" s="43"/>
      <c r="G18" s="43"/>
      <c r="J18" s="43"/>
      <c r="K18" s="43"/>
      <c r="L18" s="43"/>
      <c r="M18" s="43"/>
      <c r="N18" s="43"/>
      <c r="O18" s="43"/>
      <c r="P18" s="43"/>
      <c r="Q18" s="690"/>
      <c r="R18" s="47"/>
      <c r="S18" s="47"/>
      <c r="T18" s="47"/>
      <c r="U18" s="691"/>
      <c r="V18" s="692" t="s">
        <v>893</v>
      </c>
      <c r="W18" s="693" t="s">
        <v>894</v>
      </c>
      <c r="X18" s="694" t="s">
        <v>38</v>
      </c>
      <c r="Y18" s="688"/>
      <c r="Z18" s="688"/>
      <c r="AA18" s="688"/>
      <c r="AB18" s="695" t="s">
        <v>320</v>
      </c>
      <c r="AC18" s="696"/>
      <c r="AD18" s="696"/>
      <c r="AE18" s="697"/>
      <c r="AF18" s="698" t="s">
        <v>895</v>
      </c>
      <c r="AG18" s="693" t="s">
        <v>896</v>
      </c>
      <c r="AH18" s="693" t="s">
        <v>897</v>
      </c>
      <c r="AI18" s="693" t="s">
        <v>898</v>
      </c>
      <c r="AJ18" s="218"/>
      <c r="AK18" s="218"/>
      <c r="AL18" s="218"/>
      <c r="AM18" s="218"/>
    </row>
    <row r="19" ht="30.75" customHeight="1">
      <c r="A19" s="893" t="s">
        <v>16</v>
      </c>
      <c r="B19" s="894" t="s">
        <v>17</v>
      </c>
      <c r="C19" s="894" t="s">
        <v>18</v>
      </c>
      <c r="D19" s="895" t="s">
        <v>19</v>
      </c>
      <c r="E19" s="896" t="s">
        <v>20</v>
      </c>
      <c r="F19" s="897" t="s">
        <v>21</v>
      </c>
      <c r="G19" s="894" t="s">
        <v>23</v>
      </c>
      <c r="H19" s="894" t="s">
        <v>24</v>
      </c>
      <c r="I19" s="894" t="s">
        <v>3</v>
      </c>
      <c r="J19" s="894" t="s">
        <v>4</v>
      </c>
      <c r="K19" s="894" t="s">
        <v>25</v>
      </c>
      <c r="L19" s="895" t="s">
        <v>26</v>
      </c>
      <c r="M19" s="894" t="s">
        <v>27</v>
      </c>
      <c r="N19" s="894" t="s">
        <v>28</v>
      </c>
      <c r="O19" s="894" t="s">
        <v>29</v>
      </c>
      <c r="P19" s="894" t="s">
        <v>30</v>
      </c>
      <c r="Q19" s="898" t="s">
        <v>31</v>
      </c>
      <c r="R19" s="54"/>
      <c r="S19" s="703" t="s">
        <v>899</v>
      </c>
      <c r="T19" s="703" t="s">
        <v>900</v>
      </c>
      <c r="U19" s="704"/>
      <c r="V19" s="705"/>
      <c r="W19" s="706"/>
      <c r="X19" s="707" t="s">
        <v>901</v>
      </c>
      <c r="Y19" s="707" t="s">
        <v>902</v>
      </c>
      <c r="Z19" s="707" t="s">
        <v>903</v>
      </c>
      <c r="AA19" s="707" t="s">
        <v>904</v>
      </c>
      <c r="AB19" s="708" t="s">
        <v>901</v>
      </c>
      <c r="AC19" s="708" t="s">
        <v>902</v>
      </c>
      <c r="AD19" s="708" t="s">
        <v>903</v>
      </c>
      <c r="AE19" s="708" t="s">
        <v>904</v>
      </c>
      <c r="AF19" s="707" t="s">
        <v>905</v>
      </c>
      <c r="AG19" s="706"/>
      <c r="AH19" s="706"/>
      <c r="AI19" s="706"/>
      <c r="AJ19" s="899"/>
      <c r="AK19" s="899"/>
      <c r="AL19" s="899"/>
      <c r="AM19" s="899"/>
    </row>
    <row r="20" ht="30.0" customHeight="1">
      <c r="A20" s="900" t="s">
        <v>35</v>
      </c>
      <c r="B20" s="901"/>
      <c r="C20" s="902"/>
      <c r="D20" s="903"/>
      <c r="E20" s="904"/>
      <c r="F20" s="905"/>
      <c r="G20" s="906"/>
      <c r="H20" s="907"/>
      <c r="I20" s="908" t="s">
        <v>7</v>
      </c>
      <c r="J20" s="909">
        <f>SUMIFS(J22:J41,I22:I41,"Video Post")</f>
        <v>10</v>
      </c>
      <c r="K20" s="910"/>
      <c r="L20" s="911">
        <f t="shared" ref="L20:M20" si="3">sum(L22:L41)</f>
        <v>855000</v>
      </c>
      <c r="M20" s="911">
        <f t="shared" si="3"/>
        <v>30200</v>
      </c>
      <c r="N20" s="910"/>
      <c r="O20" s="910"/>
      <c r="P20" s="911">
        <f>sum(P22:P41)</f>
        <v>224000000</v>
      </c>
      <c r="Q20" s="912"/>
      <c r="R20" s="69"/>
      <c r="S20" s="717"/>
      <c r="T20" s="717"/>
      <c r="U20" s="718"/>
      <c r="V20" s="719"/>
      <c r="W20" s="720"/>
      <c r="X20" s="721"/>
      <c r="Y20" s="721"/>
      <c r="Z20" s="721"/>
      <c r="AA20" s="722"/>
      <c r="AB20" s="723"/>
      <c r="AC20" s="721"/>
      <c r="AD20" s="721"/>
      <c r="AE20" s="721"/>
      <c r="AF20" s="724"/>
      <c r="AG20" s="724"/>
      <c r="AH20" s="724"/>
      <c r="AI20" s="725"/>
      <c r="AJ20" s="913"/>
      <c r="AK20" s="218"/>
      <c r="AL20" s="218"/>
      <c r="AM20" s="218"/>
    </row>
    <row r="21" ht="30.0" customHeight="1">
      <c r="A21" s="914"/>
      <c r="B21" s="915"/>
      <c r="C21" s="916"/>
      <c r="D21" s="917"/>
      <c r="E21" s="918"/>
      <c r="F21" s="919"/>
      <c r="G21" s="920"/>
      <c r="H21" s="921"/>
      <c r="I21" s="922" t="s">
        <v>8</v>
      </c>
      <c r="J21" s="923">
        <f>SUMIFS(J22:J41,I22:I41,"Tháng")</f>
        <v>7</v>
      </c>
      <c r="K21" s="924"/>
      <c r="L21" s="925"/>
      <c r="M21" s="925"/>
      <c r="N21" s="924"/>
      <c r="O21" s="924"/>
      <c r="P21" s="925"/>
      <c r="Q21" s="926"/>
      <c r="R21" s="69"/>
      <c r="S21" s="717"/>
      <c r="T21" s="717"/>
      <c r="U21" s="728"/>
      <c r="V21" s="719"/>
      <c r="W21" s="720"/>
      <c r="X21" s="721"/>
      <c r="Y21" s="721"/>
      <c r="Z21" s="721"/>
      <c r="AA21" s="722"/>
      <c r="AB21" s="723"/>
      <c r="AC21" s="721"/>
      <c r="AD21" s="721"/>
      <c r="AE21" s="721"/>
      <c r="AF21" s="724"/>
      <c r="AG21" s="724"/>
      <c r="AH21" s="724"/>
      <c r="AI21" s="725"/>
      <c r="AJ21" s="913"/>
      <c r="AK21" s="218"/>
      <c r="AL21" s="218"/>
      <c r="AM21" s="218"/>
    </row>
    <row r="22" ht="114.75" customHeight="1" outlineLevel="1">
      <c r="A22" s="927">
        <v>1.0</v>
      </c>
      <c r="B22" s="928" t="s">
        <v>74</v>
      </c>
      <c r="C22" s="929" t="s">
        <v>38</v>
      </c>
      <c r="D22" s="930" t="s">
        <v>75</v>
      </c>
      <c r="E22" s="931" t="s">
        <v>40</v>
      </c>
      <c r="F22" s="932" t="s">
        <v>21</v>
      </c>
      <c r="G22" s="933" t="s">
        <v>1062</v>
      </c>
      <c r="H22" s="934" t="b">
        <v>1</v>
      </c>
      <c r="I22" s="935" t="s">
        <v>7</v>
      </c>
      <c r="J22" s="936">
        <f t="shared" ref="J22:J41" si="4">if(H22=True,1,if(H22=False,0))</f>
        <v>1</v>
      </c>
      <c r="K22" s="937">
        <f t="shared" ref="K22:K30" si="5">round(V22*(1+W22),-6)</f>
        <v>30000000</v>
      </c>
      <c r="L22" s="937">
        <f>(sum(X22:Y22)+sum(AB22:AC22))*J22</f>
        <v>80000</v>
      </c>
      <c r="M22" s="937">
        <f>(sum(Z22:AA22)+sum(AD22:AE22))*J22</f>
        <v>4000</v>
      </c>
      <c r="N22" s="937">
        <f>IFERROR(P22/L22,"-")</f>
        <v>375</v>
      </c>
      <c r="O22" s="937">
        <f>IFERROR(P22/M22,"-")</f>
        <v>7500</v>
      </c>
      <c r="P22" s="937">
        <f t="shared" ref="P22:P41" si="6">iferror(K22*J22,"-")</f>
        <v>30000000</v>
      </c>
      <c r="Q22" s="938" t="s">
        <v>1063</v>
      </c>
      <c r="R22" s="9"/>
      <c r="S22" s="740"/>
      <c r="T22" s="740"/>
      <c r="U22" s="741" t="s">
        <v>918</v>
      </c>
      <c r="V22" s="742">
        <f>18000000/0.9</f>
        <v>20000000</v>
      </c>
      <c r="W22" s="743">
        <v>0.5</v>
      </c>
      <c r="X22" s="744">
        <v>30000.0</v>
      </c>
      <c r="Y22" s="744">
        <v>50000.0</v>
      </c>
      <c r="Z22" s="744">
        <v>2000.0</v>
      </c>
      <c r="AA22" s="745">
        <v>2000.0</v>
      </c>
      <c r="AB22" s="746"/>
      <c r="AC22" s="744"/>
      <c r="AD22" s="744"/>
      <c r="AE22" s="744"/>
      <c r="AF22" s="747">
        <f t="shared" ref="AF22:AF41" si="7">(Y22*2+AA22*50+AC22*10+AE22*50)*J22</f>
        <v>200000</v>
      </c>
      <c r="AG22" s="747">
        <f t="shared" ref="AG22:AG41" si="8">sum(V22,AF22)*J22</f>
        <v>20200000</v>
      </c>
      <c r="AH22" s="747">
        <f t="shared" ref="AH22:AH41" si="9">iferror(P22-AG22,"-")</f>
        <v>9800000</v>
      </c>
      <c r="AI22" s="748">
        <f t="shared" ref="AI22:AI41" si="10">iferror(AH22/P22,"-")</f>
        <v>0.3266666667</v>
      </c>
      <c r="AJ22" s="939"/>
      <c r="AK22" s="940"/>
      <c r="AL22" s="940"/>
      <c r="AM22" s="940"/>
    </row>
    <row r="23" ht="114.75" customHeight="1" outlineLevel="1">
      <c r="A23" s="941"/>
      <c r="B23" s="942"/>
      <c r="C23" s="942"/>
      <c r="D23" s="942"/>
      <c r="E23" s="942"/>
      <c r="F23" s="942"/>
      <c r="G23" s="943" t="s">
        <v>1064</v>
      </c>
      <c r="H23" s="934" t="b">
        <v>1</v>
      </c>
      <c r="I23" s="935" t="s">
        <v>47</v>
      </c>
      <c r="J23" s="936">
        <f t="shared" si="4"/>
        <v>1</v>
      </c>
      <c r="K23" s="937">
        <f t="shared" si="5"/>
        <v>17000000</v>
      </c>
      <c r="L23" s="937">
        <v>0.0</v>
      </c>
      <c r="M23" s="937">
        <v>0.0</v>
      </c>
      <c r="N23" s="937" t="s">
        <v>81</v>
      </c>
      <c r="O23" s="937" t="s">
        <v>81</v>
      </c>
      <c r="P23" s="937">
        <f t="shared" si="6"/>
        <v>17000000</v>
      </c>
      <c r="Q23" s="944"/>
      <c r="R23" s="9"/>
      <c r="S23" s="26"/>
      <c r="T23" s="26"/>
      <c r="U23" s="751" t="s">
        <v>910</v>
      </c>
      <c r="V23" s="742">
        <f>10000000/0.9</f>
        <v>11111111.11</v>
      </c>
      <c r="W23" s="743">
        <v>0.5</v>
      </c>
      <c r="X23" s="744"/>
      <c r="Y23" s="744"/>
      <c r="Z23" s="744"/>
      <c r="AA23" s="745"/>
      <c r="AB23" s="746"/>
      <c r="AC23" s="744"/>
      <c r="AD23" s="744"/>
      <c r="AE23" s="744"/>
      <c r="AF23" s="747">
        <f t="shared" si="7"/>
        <v>0</v>
      </c>
      <c r="AG23" s="747">
        <f t="shared" si="8"/>
        <v>11111111.11</v>
      </c>
      <c r="AH23" s="747">
        <f t="shared" si="9"/>
        <v>5888888.889</v>
      </c>
      <c r="AI23" s="748">
        <f t="shared" si="10"/>
        <v>0.3464052288</v>
      </c>
      <c r="AJ23" s="939"/>
      <c r="AK23" s="940"/>
      <c r="AL23" s="940"/>
      <c r="AM23" s="940"/>
    </row>
    <row r="24" ht="114.75" customHeight="1" outlineLevel="1">
      <c r="A24" s="927">
        <f>A22+1</f>
        <v>2</v>
      </c>
      <c r="B24" s="945" t="s">
        <v>82</v>
      </c>
      <c r="C24" s="929" t="s">
        <v>38</v>
      </c>
      <c r="D24" s="930" t="s">
        <v>83</v>
      </c>
      <c r="E24" s="931" t="s">
        <v>40</v>
      </c>
      <c r="F24" s="932" t="s">
        <v>21</v>
      </c>
      <c r="G24" s="933" t="s">
        <v>1065</v>
      </c>
      <c r="H24" s="934" t="b">
        <v>1</v>
      </c>
      <c r="I24" s="935" t="s">
        <v>7</v>
      </c>
      <c r="J24" s="936">
        <f t="shared" si="4"/>
        <v>1</v>
      </c>
      <c r="K24" s="937">
        <f t="shared" si="5"/>
        <v>22000000</v>
      </c>
      <c r="L24" s="937">
        <f t="shared" ref="L24:L41" si="11">(sum(X24:Y24)+sum(AB24:AC24))*J24</f>
        <v>100000</v>
      </c>
      <c r="M24" s="937">
        <f t="shared" ref="M24:M41" si="12">(sum(Z24:AA24)+sum(AD24:AE24))*J24</f>
        <v>2000</v>
      </c>
      <c r="N24" s="937">
        <f t="shared" ref="N24:N41" si="13">IFERROR(P24/L24,"-")</f>
        <v>220</v>
      </c>
      <c r="O24" s="937">
        <f t="shared" ref="O24:O41" si="14">IFERROR(P24/M24,"-")</f>
        <v>11000</v>
      </c>
      <c r="P24" s="937">
        <f t="shared" si="6"/>
        <v>22000000</v>
      </c>
      <c r="Q24" s="938" t="s">
        <v>1066</v>
      </c>
      <c r="R24" s="87"/>
      <c r="S24" s="740"/>
      <c r="T24" s="740"/>
      <c r="U24" s="741" t="s">
        <v>918</v>
      </c>
      <c r="V24" s="742">
        <f>13000000/0.9</f>
        <v>14444444.44</v>
      </c>
      <c r="W24" s="743">
        <v>0.5</v>
      </c>
      <c r="X24" s="744">
        <v>80000.0</v>
      </c>
      <c r="Y24" s="744">
        <v>20000.0</v>
      </c>
      <c r="Z24" s="744">
        <v>1000.0</v>
      </c>
      <c r="AA24" s="745">
        <v>1000.0</v>
      </c>
      <c r="AB24" s="746"/>
      <c r="AC24" s="744"/>
      <c r="AD24" s="744"/>
      <c r="AE24" s="744"/>
      <c r="AF24" s="747">
        <f t="shared" si="7"/>
        <v>90000</v>
      </c>
      <c r="AG24" s="747">
        <f t="shared" si="8"/>
        <v>14534444.44</v>
      </c>
      <c r="AH24" s="747">
        <f t="shared" si="9"/>
        <v>7465555.556</v>
      </c>
      <c r="AI24" s="748">
        <f t="shared" si="10"/>
        <v>0.3393434343</v>
      </c>
      <c r="AJ24" s="939"/>
      <c r="AK24" s="940"/>
      <c r="AL24" s="940"/>
      <c r="AM24" s="940"/>
    </row>
    <row r="25" ht="114.75" customHeight="1" outlineLevel="1">
      <c r="A25" s="941"/>
      <c r="B25" s="942"/>
      <c r="C25" s="942"/>
      <c r="D25" s="942"/>
      <c r="E25" s="942"/>
      <c r="F25" s="942"/>
      <c r="G25" s="943" t="s">
        <v>1067</v>
      </c>
      <c r="H25" s="934" t="b">
        <v>0</v>
      </c>
      <c r="I25" s="935" t="s">
        <v>47</v>
      </c>
      <c r="J25" s="936">
        <f t="shared" si="4"/>
        <v>0</v>
      </c>
      <c r="K25" s="937">
        <f t="shared" si="5"/>
        <v>13000000</v>
      </c>
      <c r="L25" s="937">
        <f t="shared" si="11"/>
        <v>0</v>
      </c>
      <c r="M25" s="937">
        <f t="shared" si="12"/>
        <v>0</v>
      </c>
      <c r="N25" s="937" t="str">
        <f t="shared" si="13"/>
        <v>-</v>
      </c>
      <c r="O25" s="937" t="str">
        <f t="shared" si="14"/>
        <v>-</v>
      </c>
      <c r="P25" s="937">
        <f t="shared" si="6"/>
        <v>0</v>
      </c>
      <c r="Q25" s="944"/>
      <c r="R25" s="9"/>
      <c r="S25" s="26"/>
      <c r="T25" s="26"/>
      <c r="U25" s="751" t="s">
        <v>1068</v>
      </c>
      <c r="V25" s="742">
        <f>8000000/0.9</f>
        <v>8888888.889</v>
      </c>
      <c r="W25" s="743">
        <v>0.5</v>
      </c>
      <c r="X25" s="744"/>
      <c r="Y25" s="744"/>
      <c r="Z25" s="744"/>
      <c r="AA25" s="745"/>
      <c r="AB25" s="746"/>
      <c r="AC25" s="744"/>
      <c r="AD25" s="744"/>
      <c r="AE25" s="744"/>
      <c r="AF25" s="747">
        <f t="shared" si="7"/>
        <v>0</v>
      </c>
      <c r="AG25" s="747">
        <f t="shared" si="8"/>
        <v>0</v>
      </c>
      <c r="AH25" s="747">
        <f t="shared" si="9"/>
        <v>0</v>
      </c>
      <c r="AI25" s="748" t="str">
        <f t="shared" si="10"/>
        <v>-</v>
      </c>
      <c r="AJ25" s="939"/>
      <c r="AK25" s="940"/>
      <c r="AL25" s="940"/>
      <c r="AM25" s="940"/>
    </row>
    <row r="26" ht="114.75" customHeight="1" outlineLevel="1">
      <c r="A26" s="927">
        <f>A24+1</f>
        <v>3</v>
      </c>
      <c r="B26" s="946" t="s">
        <v>37</v>
      </c>
      <c r="C26" s="929" t="s">
        <v>38</v>
      </c>
      <c r="D26" s="930" t="s">
        <v>39</v>
      </c>
      <c r="E26" s="931" t="s">
        <v>40</v>
      </c>
      <c r="F26" s="932" t="s">
        <v>21</v>
      </c>
      <c r="G26" s="933" t="s">
        <v>1069</v>
      </c>
      <c r="H26" s="934" t="b">
        <v>1</v>
      </c>
      <c r="I26" s="935" t="s">
        <v>7</v>
      </c>
      <c r="J26" s="936">
        <f t="shared" si="4"/>
        <v>1</v>
      </c>
      <c r="K26" s="937">
        <f t="shared" si="5"/>
        <v>16000000</v>
      </c>
      <c r="L26" s="937">
        <f t="shared" si="11"/>
        <v>50000</v>
      </c>
      <c r="M26" s="937">
        <f t="shared" si="12"/>
        <v>3000</v>
      </c>
      <c r="N26" s="937">
        <f t="shared" si="13"/>
        <v>320</v>
      </c>
      <c r="O26" s="937">
        <f t="shared" si="14"/>
        <v>5333.333333</v>
      </c>
      <c r="P26" s="937">
        <f t="shared" si="6"/>
        <v>16000000</v>
      </c>
      <c r="Q26" s="938" t="s">
        <v>1070</v>
      </c>
      <c r="R26" s="87"/>
      <c r="S26" s="740"/>
      <c r="T26" s="740"/>
      <c r="U26" s="741" t="s">
        <v>1071</v>
      </c>
      <c r="V26" s="742">
        <f>2000000/0.9</f>
        <v>2222222.222</v>
      </c>
      <c r="W26" s="743">
        <v>6.0</v>
      </c>
      <c r="X26" s="744">
        <v>20000.0</v>
      </c>
      <c r="Y26" s="744">
        <v>30000.0</v>
      </c>
      <c r="Z26" s="744">
        <v>1000.0</v>
      </c>
      <c r="AA26" s="745">
        <v>2000.0</v>
      </c>
      <c r="AB26" s="746"/>
      <c r="AC26" s="744"/>
      <c r="AD26" s="744"/>
      <c r="AE26" s="744"/>
      <c r="AF26" s="747">
        <f t="shared" si="7"/>
        <v>160000</v>
      </c>
      <c r="AG26" s="747">
        <f t="shared" si="8"/>
        <v>2382222.222</v>
      </c>
      <c r="AH26" s="747">
        <f t="shared" si="9"/>
        <v>13617777.78</v>
      </c>
      <c r="AI26" s="748">
        <f t="shared" si="10"/>
        <v>0.8511111111</v>
      </c>
      <c r="AJ26" s="939"/>
      <c r="AK26" s="940"/>
      <c r="AL26" s="940"/>
      <c r="AM26" s="940"/>
    </row>
    <row r="27" ht="114.75" customHeight="1" outlineLevel="1">
      <c r="A27" s="941"/>
      <c r="B27" s="942"/>
      <c r="C27" s="942"/>
      <c r="D27" s="942"/>
      <c r="E27" s="942"/>
      <c r="F27" s="942"/>
      <c r="G27" s="943" t="s">
        <v>1072</v>
      </c>
      <c r="H27" s="934" t="b">
        <v>1</v>
      </c>
      <c r="I27" s="935" t="s">
        <v>47</v>
      </c>
      <c r="J27" s="936">
        <f t="shared" si="4"/>
        <v>1</v>
      </c>
      <c r="K27" s="937">
        <f t="shared" si="5"/>
        <v>8000000</v>
      </c>
      <c r="L27" s="937">
        <f t="shared" si="11"/>
        <v>0</v>
      </c>
      <c r="M27" s="937">
        <f t="shared" si="12"/>
        <v>0</v>
      </c>
      <c r="N27" s="937" t="str">
        <f t="shared" si="13"/>
        <v>-</v>
      </c>
      <c r="O27" s="937" t="str">
        <f t="shared" si="14"/>
        <v>-</v>
      </c>
      <c r="P27" s="937">
        <f t="shared" si="6"/>
        <v>8000000</v>
      </c>
      <c r="Q27" s="944"/>
      <c r="R27" s="87"/>
      <c r="S27" s="26"/>
      <c r="T27" s="26"/>
      <c r="U27" s="751" t="s">
        <v>910</v>
      </c>
      <c r="V27" s="742">
        <f>1500000/0.9</f>
        <v>1666666.667</v>
      </c>
      <c r="W27" s="743">
        <v>4.0</v>
      </c>
      <c r="X27" s="744"/>
      <c r="Y27" s="744"/>
      <c r="Z27" s="744"/>
      <c r="AA27" s="745"/>
      <c r="AB27" s="746"/>
      <c r="AC27" s="744"/>
      <c r="AD27" s="744"/>
      <c r="AE27" s="744"/>
      <c r="AF27" s="747">
        <f t="shared" si="7"/>
        <v>0</v>
      </c>
      <c r="AG27" s="747">
        <f t="shared" si="8"/>
        <v>1666666.667</v>
      </c>
      <c r="AH27" s="747">
        <f t="shared" si="9"/>
        <v>6333333.333</v>
      </c>
      <c r="AI27" s="748">
        <f t="shared" si="10"/>
        <v>0.7916666667</v>
      </c>
      <c r="AJ27" s="939"/>
      <c r="AK27" s="940"/>
      <c r="AL27" s="940"/>
      <c r="AM27" s="940"/>
    </row>
    <row r="28" ht="114.75" customHeight="1" outlineLevel="1">
      <c r="A28" s="927">
        <f>A26+1</f>
        <v>4</v>
      </c>
      <c r="B28" s="928" t="s">
        <v>89</v>
      </c>
      <c r="C28" s="929" t="s">
        <v>38</v>
      </c>
      <c r="D28" s="930" t="s">
        <v>90</v>
      </c>
      <c r="E28" s="931" t="s">
        <v>40</v>
      </c>
      <c r="F28" s="932" t="s">
        <v>21</v>
      </c>
      <c r="G28" s="933" t="s">
        <v>1073</v>
      </c>
      <c r="H28" s="947" t="b">
        <v>1</v>
      </c>
      <c r="I28" s="948" t="s">
        <v>7</v>
      </c>
      <c r="J28" s="949">
        <f t="shared" si="4"/>
        <v>1</v>
      </c>
      <c r="K28" s="950">
        <f t="shared" si="5"/>
        <v>17000000</v>
      </c>
      <c r="L28" s="950">
        <f t="shared" si="11"/>
        <v>150000</v>
      </c>
      <c r="M28" s="950">
        <f t="shared" si="12"/>
        <v>4000</v>
      </c>
      <c r="N28" s="950">
        <f t="shared" si="13"/>
        <v>113.3333333</v>
      </c>
      <c r="O28" s="950">
        <f t="shared" si="14"/>
        <v>4250</v>
      </c>
      <c r="P28" s="950">
        <f t="shared" si="6"/>
        <v>17000000</v>
      </c>
      <c r="Q28" s="938" t="s">
        <v>1074</v>
      </c>
      <c r="R28" s="9"/>
      <c r="S28" s="740"/>
      <c r="T28" s="740"/>
      <c r="U28" s="741" t="s">
        <v>1075</v>
      </c>
      <c r="V28" s="742">
        <f>4300000/0.9</f>
        <v>4777777.778</v>
      </c>
      <c r="W28" s="743">
        <v>2.5</v>
      </c>
      <c r="X28" s="744">
        <v>100000.0</v>
      </c>
      <c r="Y28" s="744">
        <v>50000.0</v>
      </c>
      <c r="Z28" s="744">
        <v>2000.0</v>
      </c>
      <c r="AA28" s="745">
        <v>2000.0</v>
      </c>
      <c r="AB28" s="746"/>
      <c r="AC28" s="744"/>
      <c r="AD28" s="744"/>
      <c r="AE28" s="744"/>
      <c r="AF28" s="747">
        <f t="shared" si="7"/>
        <v>200000</v>
      </c>
      <c r="AG28" s="747">
        <f t="shared" si="8"/>
        <v>4977777.778</v>
      </c>
      <c r="AH28" s="747">
        <f t="shared" si="9"/>
        <v>12022222.22</v>
      </c>
      <c r="AI28" s="748">
        <f t="shared" si="10"/>
        <v>0.7071895425</v>
      </c>
      <c r="AJ28" s="939"/>
      <c r="AK28" s="940"/>
      <c r="AL28" s="940"/>
      <c r="AM28" s="940"/>
    </row>
    <row r="29" ht="114.75" customHeight="1" outlineLevel="1">
      <c r="A29" s="941"/>
      <c r="B29" s="942"/>
      <c r="C29" s="942"/>
      <c r="D29" s="942"/>
      <c r="E29" s="942"/>
      <c r="F29" s="942"/>
      <c r="G29" s="951" t="s">
        <v>1076</v>
      </c>
      <c r="H29" s="952" t="b">
        <v>0</v>
      </c>
      <c r="I29" s="953" t="s">
        <v>47</v>
      </c>
      <c r="J29" s="954">
        <f t="shared" si="4"/>
        <v>0</v>
      </c>
      <c r="K29" s="955">
        <f t="shared" si="5"/>
        <v>7000000</v>
      </c>
      <c r="L29" s="955">
        <f t="shared" si="11"/>
        <v>0</v>
      </c>
      <c r="M29" s="955">
        <f t="shared" si="12"/>
        <v>0</v>
      </c>
      <c r="N29" s="955" t="str">
        <f t="shared" si="13"/>
        <v>-</v>
      </c>
      <c r="O29" s="955" t="str">
        <f t="shared" si="14"/>
        <v>-</v>
      </c>
      <c r="P29" s="955">
        <f t="shared" si="6"/>
        <v>0</v>
      </c>
      <c r="Q29" s="944"/>
      <c r="R29" s="9"/>
      <c r="S29" s="26"/>
      <c r="T29" s="26"/>
      <c r="U29" s="751" t="s">
        <v>910</v>
      </c>
      <c r="V29" s="742">
        <f>2000000/0.9</f>
        <v>2222222.222</v>
      </c>
      <c r="W29" s="743">
        <v>2.0</v>
      </c>
      <c r="X29" s="744"/>
      <c r="Y29" s="744"/>
      <c r="Z29" s="744"/>
      <c r="AA29" s="745"/>
      <c r="AB29" s="746"/>
      <c r="AC29" s="744"/>
      <c r="AD29" s="744"/>
      <c r="AE29" s="744"/>
      <c r="AF29" s="747">
        <f t="shared" si="7"/>
        <v>0</v>
      </c>
      <c r="AG29" s="747">
        <f t="shared" si="8"/>
        <v>0</v>
      </c>
      <c r="AH29" s="747">
        <f t="shared" si="9"/>
        <v>0</v>
      </c>
      <c r="AI29" s="748" t="str">
        <f t="shared" si="10"/>
        <v>-</v>
      </c>
      <c r="AJ29" s="939"/>
      <c r="AK29" s="940"/>
      <c r="AL29" s="940"/>
      <c r="AM29" s="940"/>
    </row>
    <row r="30" ht="114.75" customHeight="1" outlineLevel="1">
      <c r="A30" s="927">
        <f>A28+1</f>
        <v>5</v>
      </c>
      <c r="B30" s="956" t="s">
        <v>48</v>
      </c>
      <c r="C30" s="957" t="s">
        <v>38</v>
      </c>
      <c r="D30" s="958" t="s">
        <v>49</v>
      </c>
      <c r="E30" s="959" t="s">
        <v>40</v>
      </c>
      <c r="F30" s="960" t="s">
        <v>21</v>
      </c>
      <c r="G30" s="933" t="s">
        <v>1077</v>
      </c>
      <c r="H30" s="961" t="b">
        <v>1</v>
      </c>
      <c r="I30" s="962" t="s">
        <v>7</v>
      </c>
      <c r="J30" s="963">
        <f t="shared" si="4"/>
        <v>1</v>
      </c>
      <c r="K30" s="964">
        <f t="shared" si="5"/>
        <v>12000000</v>
      </c>
      <c r="L30" s="964">
        <f t="shared" si="11"/>
        <v>100000</v>
      </c>
      <c r="M30" s="964">
        <f t="shared" si="12"/>
        <v>3000</v>
      </c>
      <c r="N30" s="964">
        <f t="shared" si="13"/>
        <v>120</v>
      </c>
      <c r="O30" s="964">
        <f t="shared" si="14"/>
        <v>4000</v>
      </c>
      <c r="P30" s="964">
        <f t="shared" si="6"/>
        <v>12000000</v>
      </c>
      <c r="Q30" s="938" t="s">
        <v>1078</v>
      </c>
      <c r="R30" s="87"/>
      <c r="S30" s="740"/>
      <c r="T30" s="740"/>
      <c r="U30" s="751" t="s">
        <v>913</v>
      </c>
      <c r="V30" s="742">
        <f>5500000/0.9</f>
        <v>6111111.111</v>
      </c>
      <c r="W30" s="743">
        <v>1.0</v>
      </c>
      <c r="X30" s="744">
        <v>50000.0</v>
      </c>
      <c r="Y30" s="744">
        <v>50000.0</v>
      </c>
      <c r="Z30" s="744">
        <v>1000.0</v>
      </c>
      <c r="AA30" s="745">
        <v>2000.0</v>
      </c>
      <c r="AB30" s="746"/>
      <c r="AC30" s="744"/>
      <c r="AD30" s="744"/>
      <c r="AE30" s="744"/>
      <c r="AF30" s="747">
        <f t="shared" si="7"/>
        <v>200000</v>
      </c>
      <c r="AG30" s="747">
        <f t="shared" si="8"/>
        <v>6311111.111</v>
      </c>
      <c r="AH30" s="747">
        <f t="shared" si="9"/>
        <v>5688888.889</v>
      </c>
      <c r="AI30" s="748">
        <f t="shared" si="10"/>
        <v>0.4740740741</v>
      </c>
      <c r="AJ30" s="939"/>
      <c r="AK30" s="940"/>
      <c r="AL30" s="940"/>
      <c r="AM30" s="940"/>
    </row>
    <row r="31" ht="114.75" customHeight="1" outlineLevel="1">
      <c r="A31" s="941"/>
      <c r="B31" s="942"/>
      <c r="C31" s="942"/>
      <c r="D31" s="942"/>
      <c r="E31" s="942"/>
      <c r="F31" s="942"/>
      <c r="G31" s="943" t="s">
        <v>1079</v>
      </c>
      <c r="H31" s="934" t="b">
        <v>1</v>
      </c>
      <c r="I31" s="935" t="s">
        <v>47</v>
      </c>
      <c r="J31" s="936">
        <f t="shared" si="4"/>
        <v>1</v>
      </c>
      <c r="K31" s="965">
        <v>6000000.0</v>
      </c>
      <c r="L31" s="937">
        <f t="shared" si="11"/>
        <v>0</v>
      </c>
      <c r="M31" s="937">
        <f t="shared" si="12"/>
        <v>0</v>
      </c>
      <c r="N31" s="937" t="str">
        <f t="shared" si="13"/>
        <v>-</v>
      </c>
      <c r="O31" s="937" t="str">
        <f t="shared" si="14"/>
        <v>-</v>
      </c>
      <c r="P31" s="937">
        <f t="shared" si="6"/>
        <v>6000000</v>
      </c>
      <c r="Q31" s="944"/>
      <c r="R31" s="9"/>
      <c r="S31" s="26"/>
      <c r="T31" s="26"/>
      <c r="U31" s="751" t="s">
        <v>915</v>
      </c>
      <c r="V31" s="742">
        <v>0.0</v>
      </c>
      <c r="W31" s="743"/>
      <c r="X31" s="744"/>
      <c r="Y31" s="744"/>
      <c r="Z31" s="744"/>
      <c r="AA31" s="745"/>
      <c r="AB31" s="746"/>
      <c r="AC31" s="744"/>
      <c r="AD31" s="744"/>
      <c r="AE31" s="744"/>
      <c r="AF31" s="747">
        <f t="shared" si="7"/>
        <v>0</v>
      </c>
      <c r="AG31" s="747">
        <f t="shared" si="8"/>
        <v>0</v>
      </c>
      <c r="AH31" s="747">
        <f t="shared" si="9"/>
        <v>6000000</v>
      </c>
      <c r="AI31" s="748">
        <f t="shared" si="10"/>
        <v>1</v>
      </c>
      <c r="AJ31" s="939"/>
      <c r="AK31" s="940"/>
      <c r="AL31" s="940"/>
      <c r="AM31" s="940"/>
    </row>
    <row r="32" ht="114.75" customHeight="1" outlineLevel="1">
      <c r="A32" s="927">
        <f>A30+1</f>
        <v>6</v>
      </c>
      <c r="B32" s="945" t="s">
        <v>55</v>
      </c>
      <c r="C32" s="929" t="s">
        <v>38</v>
      </c>
      <c r="D32" s="930" t="s">
        <v>56</v>
      </c>
      <c r="E32" s="931" t="s">
        <v>40</v>
      </c>
      <c r="F32" s="932" t="s">
        <v>21</v>
      </c>
      <c r="G32" s="933" t="s">
        <v>1080</v>
      </c>
      <c r="H32" s="934" t="b">
        <v>1</v>
      </c>
      <c r="I32" s="935" t="s">
        <v>7</v>
      </c>
      <c r="J32" s="936">
        <f t="shared" si="4"/>
        <v>1</v>
      </c>
      <c r="K32" s="937">
        <f t="shared" ref="K32:K38" si="15">round(V32*(1+W32),-6)</f>
        <v>20000000</v>
      </c>
      <c r="L32" s="937">
        <f t="shared" si="11"/>
        <v>130000</v>
      </c>
      <c r="M32" s="937">
        <f t="shared" si="12"/>
        <v>4000</v>
      </c>
      <c r="N32" s="937">
        <f t="shared" si="13"/>
        <v>153.8461538</v>
      </c>
      <c r="O32" s="937">
        <f t="shared" si="14"/>
        <v>5000</v>
      </c>
      <c r="P32" s="937">
        <f t="shared" si="6"/>
        <v>20000000</v>
      </c>
      <c r="Q32" s="938" t="s">
        <v>1081</v>
      </c>
      <c r="R32" s="87"/>
      <c r="S32" s="740"/>
      <c r="T32" s="740"/>
      <c r="U32" s="741" t="s">
        <v>918</v>
      </c>
      <c r="V32" s="742">
        <f>12000000/0.9</f>
        <v>13333333.33</v>
      </c>
      <c r="W32" s="743">
        <v>0.5</v>
      </c>
      <c r="X32" s="744">
        <v>80000.0</v>
      </c>
      <c r="Y32" s="744">
        <v>50000.0</v>
      </c>
      <c r="Z32" s="744">
        <v>2000.0</v>
      </c>
      <c r="AA32" s="745">
        <v>2000.0</v>
      </c>
      <c r="AB32" s="746"/>
      <c r="AC32" s="744"/>
      <c r="AD32" s="744"/>
      <c r="AE32" s="744"/>
      <c r="AF32" s="747">
        <f t="shared" si="7"/>
        <v>200000</v>
      </c>
      <c r="AG32" s="747">
        <f t="shared" si="8"/>
        <v>13533333.33</v>
      </c>
      <c r="AH32" s="747">
        <f t="shared" si="9"/>
        <v>6466666.667</v>
      </c>
      <c r="AI32" s="748">
        <f t="shared" si="10"/>
        <v>0.3233333333</v>
      </c>
      <c r="AJ32" s="939"/>
      <c r="AK32" s="940"/>
      <c r="AL32" s="940"/>
      <c r="AM32" s="940"/>
    </row>
    <row r="33" ht="114.75" customHeight="1" outlineLevel="1">
      <c r="A33" s="941"/>
      <c r="B33" s="942"/>
      <c r="C33" s="942"/>
      <c r="D33" s="942"/>
      <c r="E33" s="942"/>
      <c r="F33" s="942"/>
      <c r="G33" s="943" t="s">
        <v>1082</v>
      </c>
      <c r="H33" s="934" t="b">
        <v>1</v>
      </c>
      <c r="I33" s="935" t="s">
        <v>47</v>
      </c>
      <c r="J33" s="936">
        <f t="shared" si="4"/>
        <v>1</v>
      </c>
      <c r="K33" s="937">
        <f t="shared" si="15"/>
        <v>13000000</v>
      </c>
      <c r="L33" s="937">
        <f t="shared" si="11"/>
        <v>0</v>
      </c>
      <c r="M33" s="937">
        <f t="shared" si="12"/>
        <v>0</v>
      </c>
      <c r="N33" s="937" t="str">
        <f t="shared" si="13"/>
        <v>-</v>
      </c>
      <c r="O33" s="937" t="str">
        <f t="shared" si="14"/>
        <v>-</v>
      </c>
      <c r="P33" s="937">
        <f t="shared" si="6"/>
        <v>13000000</v>
      </c>
      <c r="Q33" s="944"/>
      <c r="R33" s="9"/>
      <c r="S33" s="26"/>
      <c r="T33" s="26"/>
      <c r="U33" s="751" t="s">
        <v>910</v>
      </c>
      <c r="V33" s="742">
        <f>8000000/0.9</f>
        <v>8888888.889</v>
      </c>
      <c r="W33" s="743">
        <v>0.5</v>
      </c>
      <c r="X33" s="744"/>
      <c r="Y33" s="744"/>
      <c r="Z33" s="744"/>
      <c r="AA33" s="745"/>
      <c r="AB33" s="746"/>
      <c r="AC33" s="744"/>
      <c r="AD33" s="744"/>
      <c r="AE33" s="744"/>
      <c r="AF33" s="747">
        <f t="shared" si="7"/>
        <v>0</v>
      </c>
      <c r="AG33" s="747">
        <f t="shared" si="8"/>
        <v>8888888.889</v>
      </c>
      <c r="AH33" s="747">
        <f t="shared" si="9"/>
        <v>4111111.111</v>
      </c>
      <c r="AI33" s="748">
        <f t="shared" si="10"/>
        <v>0.3162393162</v>
      </c>
      <c r="AJ33" s="939"/>
      <c r="AK33" s="940"/>
      <c r="AL33" s="940"/>
      <c r="AM33" s="940"/>
    </row>
    <row r="34" ht="114.75" customHeight="1" outlineLevel="1">
      <c r="A34" s="927">
        <f>A32+1</f>
        <v>7</v>
      </c>
      <c r="B34" s="946" t="s">
        <v>95</v>
      </c>
      <c r="C34" s="929" t="s">
        <v>38</v>
      </c>
      <c r="D34" s="930" t="s">
        <v>96</v>
      </c>
      <c r="E34" s="931" t="s">
        <v>40</v>
      </c>
      <c r="F34" s="932" t="s">
        <v>21</v>
      </c>
      <c r="G34" s="933" t="s">
        <v>1083</v>
      </c>
      <c r="H34" s="934" t="b">
        <v>1</v>
      </c>
      <c r="I34" s="935" t="s">
        <v>7</v>
      </c>
      <c r="J34" s="936">
        <f t="shared" si="4"/>
        <v>1</v>
      </c>
      <c r="K34" s="937">
        <f t="shared" si="15"/>
        <v>17000000</v>
      </c>
      <c r="L34" s="937">
        <f t="shared" si="11"/>
        <v>45000</v>
      </c>
      <c r="M34" s="937">
        <f t="shared" si="12"/>
        <v>2000</v>
      </c>
      <c r="N34" s="937">
        <f t="shared" si="13"/>
        <v>377.7777778</v>
      </c>
      <c r="O34" s="937">
        <f t="shared" si="14"/>
        <v>8500</v>
      </c>
      <c r="P34" s="937">
        <f t="shared" si="6"/>
        <v>17000000</v>
      </c>
      <c r="Q34" s="938" t="s">
        <v>1084</v>
      </c>
      <c r="R34" s="9"/>
      <c r="S34" s="740"/>
      <c r="T34" s="740"/>
      <c r="U34" s="741" t="s">
        <v>918</v>
      </c>
      <c r="V34" s="742">
        <f>10000000/0.9</f>
        <v>11111111.11</v>
      </c>
      <c r="W34" s="743">
        <v>0.5</v>
      </c>
      <c r="X34" s="744">
        <v>15000.0</v>
      </c>
      <c r="Y34" s="744">
        <v>30000.0</v>
      </c>
      <c r="Z34" s="744">
        <v>1000.0</v>
      </c>
      <c r="AA34" s="745">
        <v>1000.0</v>
      </c>
      <c r="AB34" s="746"/>
      <c r="AC34" s="744"/>
      <c r="AD34" s="744"/>
      <c r="AE34" s="744"/>
      <c r="AF34" s="747">
        <f t="shared" si="7"/>
        <v>110000</v>
      </c>
      <c r="AG34" s="747">
        <f t="shared" si="8"/>
        <v>11221111.11</v>
      </c>
      <c r="AH34" s="747">
        <f t="shared" si="9"/>
        <v>5778888.889</v>
      </c>
      <c r="AI34" s="748">
        <f t="shared" si="10"/>
        <v>0.3399346405</v>
      </c>
      <c r="AJ34" s="939"/>
      <c r="AK34" s="940"/>
      <c r="AL34" s="940"/>
      <c r="AM34" s="940"/>
    </row>
    <row r="35" ht="114.75" customHeight="1" outlineLevel="1">
      <c r="A35" s="941"/>
      <c r="B35" s="942"/>
      <c r="C35" s="942"/>
      <c r="D35" s="942"/>
      <c r="E35" s="942"/>
      <c r="F35" s="942"/>
      <c r="G35" s="943" t="s">
        <v>1085</v>
      </c>
      <c r="H35" s="966" t="b">
        <v>0</v>
      </c>
      <c r="I35" s="967" t="s">
        <v>47</v>
      </c>
      <c r="J35" s="968">
        <f t="shared" si="4"/>
        <v>0</v>
      </c>
      <c r="K35" s="937">
        <f t="shared" si="15"/>
        <v>10000000</v>
      </c>
      <c r="L35" s="969">
        <f t="shared" si="11"/>
        <v>0</v>
      </c>
      <c r="M35" s="969">
        <f t="shared" si="12"/>
        <v>0</v>
      </c>
      <c r="N35" s="969" t="str">
        <f t="shared" si="13"/>
        <v>-</v>
      </c>
      <c r="O35" s="969" t="str">
        <f t="shared" si="14"/>
        <v>-</v>
      </c>
      <c r="P35" s="937">
        <f t="shared" si="6"/>
        <v>0</v>
      </c>
      <c r="Q35" s="944"/>
      <c r="R35" s="9"/>
      <c r="S35" s="26"/>
      <c r="T35" s="26"/>
      <c r="U35" s="751" t="s">
        <v>910</v>
      </c>
      <c r="V35" s="742">
        <f t="shared" ref="V35:V36" si="16">6000000/0.9</f>
        <v>6666666.667</v>
      </c>
      <c r="W35" s="743">
        <v>0.5</v>
      </c>
      <c r="X35" s="744"/>
      <c r="Y35" s="744"/>
      <c r="Z35" s="744"/>
      <c r="AA35" s="745"/>
      <c r="AB35" s="746"/>
      <c r="AC35" s="744"/>
      <c r="AD35" s="744"/>
      <c r="AE35" s="744"/>
      <c r="AF35" s="747">
        <f t="shared" si="7"/>
        <v>0</v>
      </c>
      <c r="AG35" s="747">
        <f t="shared" si="8"/>
        <v>0</v>
      </c>
      <c r="AH35" s="747">
        <f t="shared" si="9"/>
        <v>0</v>
      </c>
      <c r="AI35" s="748" t="str">
        <f t="shared" si="10"/>
        <v>-</v>
      </c>
      <c r="AJ35" s="939"/>
      <c r="AK35" s="940"/>
      <c r="AL35" s="940"/>
      <c r="AM35" s="940"/>
    </row>
    <row r="36" ht="114.75" customHeight="1" outlineLevel="1">
      <c r="A36" s="927">
        <f>A34+1</f>
        <v>8</v>
      </c>
      <c r="B36" s="928" t="s">
        <v>1086</v>
      </c>
      <c r="C36" s="929" t="s">
        <v>38</v>
      </c>
      <c r="D36" s="930" t="s">
        <v>1087</v>
      </c>
      <c r="E36" s="931" t="s">
        <v>40</v>
      </c>
      <c r="F36" s="932" t="s">
        <v>21</v>
      </c>
      <c r="G36" s="933" t="s">
        <v>1088</v>
      </c>
      <c r="H36" s="934" t="b">
        <v>1</v>
      </c>
      <c r="I36" s="935" t="s">
        <v>7</v>
      </c>
      <c r="J36" s="936">
        <f t="shared" si="4"/>
        <v>1</v>
      </c>
      <c r="K36" s="937">
        <f t="shared" si="15"/>
        <v>13000000</v>
      </c>
      <c r="L36" s="937">
        <f t="shared" si="11"/>
        <v>120000</v>
      </c>
      <c r="M36" s="937">
        <f t="shared" si="12"/>
        <v>4000</v>
      </c>
      <c r="N36" s="937">
        <f t="shared" si="13"/>
        <v>108.3333333</v>
      </c>
      <c r="O36" s="937">
        <f t="shared" si="14"/>
        <v>3250</v>
      </c>
      <c r="P36" s="937">
        <f t="shared" si="6"/>
        <v>13000000</v>
      </c>
      <c r="Q36" s="938" t="s">
        <v>1089</v>
      </c>
      <c r="R36" s="9"/>
      <c r="S36" s="740"/>
      <c r="T36" s="740"/>
      <c r="U36" s="751" t="s">
        <v>913</v>
      </c>
      <c r="V36" s="742">
        <f t="shared" si="16"/>
        <v>6666666.667</v>
      </c>
      <c r="W36" s="743">
        <v>1.0</v>
      </c>
      <c r="X36" s="744">
        <v>50000.0</v>
      </c>
      <c r="Y36" s="744">
        <v>70000.0</v>
      </c>
      <c r="Z36" s="744">
        <v>2000.0</v>
      </c>
      <c r="AA36" s="745">
        <v>2000.0</v>
      </c>
      <c r="AB36" s="746"/>
      <c r="AC36" s="744"/>
      <c r="AD36" s="744"/>
      <c r="AE36" s="744"/>
      <c r="AF36" s="747">
        <f t="shared" si="7"/>
        <v>240000</v>
      </c>
      <c r="AG36" s="747">
        <f t="shared" si="8"/>
        <v>6906666.667</v>
      </c>
      <c r="AH36" s="747">
        <f t="shared" si="9"/>
        <v>6093333.333</v>
      </c>
      <c r="AI36" s="748">
        <f t="shared" si="10"/>
        <v>0.4687179487</v>
      </c>
      <c r="AJ36" s="939"/>
      <c r="AK36" s="940"/>
      <c r="AL36" s="940"/>
      <c r="AM36" s="940"/>
    </row>
    <row r="37" ht="114.75" customHeight="1" outlineLevel="1">
      <c r="A37" s="941"/>
      <c r="B37" s="942"/>
      <c r="C37" s="942"/>
      <c r="D37" s="942"/>
      <c r="E37" s="942"/>
      <c r="F37" s="942"/>
      <c r="G37" s="943" t="s">
        <v>1090</v>
      </c>
      <c r="H37" s="934" t="b">
        <v>1</v>
      </c>
      <c r="I37" s="935" t="s">
        <v>47</v>
      </c>
      <c r="J37" s="936">
        <f t="shared" si="4"/>
        <v>1</v>
      </c>
      <c r="K37" s="937">
        <f t="shared" si="15"/>
        <v>6000000</v>
      </c>
      <c r="L37" s="937">
        <f t="shared" si="11"/>
        <v>0</v>
      </c>
      <c r="M37" s="937">
        <f t="shared" si="12"/>
        <v>0</v>
      </c>
      <c r="N37" s="937" t="str">
        <f t="shared" si="13"/>
        <v>-</v>
      </c>
      <c r="O37" s="937" t="str">
        <f t="shared" si="14"/>
        <v>-</v>
      </c>
      <c r="P37" s="937">
        <f t="shared" si="6"/>
        <v>6000000</v>
      </c>
      <c r="Q37" s="944"/>
      <c r="R37" s="9"/>
      <c r="S37" s="26"/>
      <c r="T37" s="26"/>
      <c r="U37" s="751" t="s">
        <v>1091</v>
      </c>
      <c r="V37" s="742">
        <f>1000000/0.9</f>
        <v>1111111.111</v>
      </c>
      <c r="W37" s="743">
        <v>4.0</v>
      </c>
      <c r="X37" s="744"/>
      <c r="Y37" s="744"/>
      <c r="Z37" s="744"/>
      <c r="AA37" s="745"/>
      <c r="AB37" s="746"/>
      <c r="AC37" s="744"/>
      <c r="AD37" s="744"/>
      <c r="AE37" s="744"/>
      <c r="AF37" s="747">
        <f t="shared" si="7"/>
        <v>0</v>
      </c>
      <c r="AG37" s="747">
        <f t="shared" si="8"/>
        <v>1111111.111</v>
      </c>
      <c r="AH37" s="747">
        <f t="shared" si="9"/>
        <v>4888888.889</v>
      </c>
      <c r="AI37" s="748">
        <f t="shared" si="10"/>
        <v>0.8148148148</v>
      </c>
      <c r="AJ37" s="939"/>
      <c r="AK37" s="940"/>
      <c r="AL37" s="940"/>
      <c r="AM37" s="940"/>
    </row>
    <row r="38" ht="114.75" customHeight="1" outlineLevel="1">
      <c r="A38" s="927">
        <f>A36+1</f>
        <v>9</v>
      </c>
      <c r="B38" s="945" t="s">
        <v>61</v>
      </c>
      <c r="C38" s="929" t="s">
        <v>38</v>
      </c>
      <c r="D38" s="930" t="s">
        <v>62</v>
      </c>
      <c r="E38" s="931" t="s">
        <v>40</v>
      </c>
      <c r="F38" s="932" t="s">
        <v>21</v>
      </c>
      <c r="G38" s="933" t="s">
        <v>1092</v>
      </c>
      <c r="H38" s="934" t="b">
        <v>1</v>
      </c>
      <c r="I38" s="935" t="s">
        <v>7</v>
      </c>
      <c r="J38" s="936">
        <f t="shared" si="4"/>
        <v>1</v>
      </c>
      <c r="K38" s="937">
        <f t="shared" si="15"/>
        <v>8000000</v>
      </c>
      <c r="L38" s="937">
        <f t="shared" si="11"/>
        <v>30000</v>
      </c>
      <c r="M38" s="937">
        <f t="shared" si="12"/>
        <v>1200</v>
      </c>
      <c r="N38" s="937">
        <f t="shared" si="13"/>
        <v>266.6666667</v>
      </c>
      <c r="O38" s="937">
        <f t="shared" si="14"/>
        <v>6666.666667</v>
      </c>
      <c r="P38" s="937">
        <f t="shared" si="6"/>
        <v>8000000</v>
      </c>
      <c r="Q38" s="938" t="s">
        <v>1093</v>
      </c>
      <c r="R38" s="87"/>
      <c r="S38" s="740"/>
      <c r="T38" s="740"/>
      <c r="U38" s="751" t="s">
        <v>913</v>
      </c>
      <c r="V38" s="742">
        <f>3800000/0.9</f>
        <v>4222222.222</v>
      </c>
      <c r="W38" s="743">
        <v>1.0</v>
      </c>
      <c r="X38" s="744">
        <v>5000.0</v>
      </c>
      <c r="Y38" s="744">
        <v>25000.0</v>
      </c>
      <c r="Z38" s="744">
        <v>200.0</v>
      </c>
      <c r="AA38" s="745">
        <v>1000.0</v>
      </c>
      <c r="AB38" s="746"/>
      <c r="AC38" s="744"/>
      <c r="AD38" s="744"/>
      <c r="AE38" s="744"/>
      <c r="AF38" s="747">
        <f t="shared" si="7"/>
        <v>100000</v>
      </c>
      <c r="AG38" s="747">
        <f t="shared" si="8"/>
        <v>4322222.222</v>
      </c>
      <c r="AH38" s="747">
        <f t="shared" si="9"/>
        <v>3677777.778</v>
      </c>
      <c r="AI38" s="748">
        <f t="shared" si="10"/>
        <v>0.4597222222</v>
      </c>
      <c r="AJ38" s="939"/>
      <c r="AK38" s="940"/>
      <c r="AL38" s="940"/>
      <c r="AM38" s="940"/>
    </row>
    <row r="39" ht="114.75" customHeight="1" outlineLevel="1">
      <c r="A39" s="941"/>
      <c r="B39" s="942"/>
      <c r="C39" s="942"/>
      <c r="D39" s="942"/>
      <c r="E39" s="942"/>
      <c r="F39" s="942"/>
      <c r="G39" s="943" t="s">
        <v>1094</v>
      </c>
      <c r="H39" s="934" t="b">
        <v>1</v>
      </c>
      <c r="I39" s="935" t="s">
        <v>47</v>
      </c>
      <c r="J39" s="936">
        <f t="shared" si="4"/>
        <v>1</v>
      </c>
      <c r="K39" s="965">
        <v>4000000.0</v>
      </c>
      <c r="L39" s="937">
        <f t="shared" si="11"/>
        <v>0</v>
      </c>
      <c r="M39" s="937">
        <f t="shared" si="12"/>
        <v>0</v>
      </c>
      <c r="N39" s="937" t="str">
        <f t="shared" si="13"/>
        <v>-</v>
      </c>
      <c r="O39" s="937" t="str">
        <f t="shared" si="14"/>
        <v>-</v>
      </c>
      <c r="P39" s="937">
        <f t="shared" si="6"/>
        <v>4000000</v>
      </c>
      <c r="Q39" s="944"/>
      <c r="R39" s="9"/>
      <c r="S39" s="26"/>
      <c r="T39" s="26"/>
      <c r="U39" s="751" t="s">
        <v>923</v>
      </c>
      <c r="V39" s="742">
        <v>0.0</v>
      </c>
      <c r="W39" s="743"/>
      <c r="X39" s="744"/>
      <c r="Y39" s="744"/>
      <c r="Z39" s="744"/>
      <c r="AA39" s="745"/>
      <c r="AB39" s="746"/>
      <c r="AC39" s="744"/>
      <c r="AD39" s="744"/>
      <c r="AE39" s="744"/>
      <c r="AF39" s="747">
        <f t="shared" si="7"/>
        <v>0</v>
      </c>
      <c r="AG39" s="747">
        <f t="shared" si="8"/>
        <v>0</v>
      </c>
      <c r="AH39" s="747">
        <f t="shared" si="9"/>
        <v>4000000</v>
      </c>
      <c r="AI39" s="748">
        <f t="shared" si="10"/>
        <v>1</v>
      </c>
      <c r="AJ39" s="939"/>
      <c r="AK39" s="940"/>
      <c r="AL39" s="940"/>
      <c r="AM39" s="940"/>
    </row>
    <row r="40" ht="114.75" customHeight="1" outlineLevel="1">
      <c r="A40" s="927">
        <f>A38+1</f>
        <v>10</v>
      </c>
      <c r="B40" s="945" t="s">
        <v>67</v>
      </c>
      <c r="C40" s="929" t="s">
        <v>38</v>
      </c>
      <c r="D40" s="930" t="s">
        <v>68</v>
      </c>
      <c r="E40" s="931" t="s">
        <v>40</v>
      </c>
      <c r="F40" s="932" t="s">
        <v>21</v>
      </c>
      <c r="G40" s="933" t="s">
        <v>1095</v>
      </c>
      <c r="H40" s="934" t="b">
        <v>1</v>
      </c>
      <c r="I40" s="935" t="s">
        <v>7</v>
      </c>
      <c r="J40" s="936">
        <f t="shared" si="4"/>
        <v>1</v>
      </c>
      <c r="K40" s="937">
        <f>round(V40*(1+W40),-6)</f>
        <v>10000000</v>
      </c>
      <c r="L40" s="937">
        <f t="shared" si="11"/>
        <v>50000</v>
      </c>
      <c r="M40" s="937">
        <f t="shared" si="12"/>
        <v>3000</v>
      </c>
      <c r="N40" s="937">
        <f t="shared" si="13"/>
        <v>200</v>
      </c>
      <c r="O40" s="937">
        <f t="shared" si="14"/>
        <v>3333.333333</v>
      </c>
      <c r="P40" s="937">
        <f t="shared" si="6"/>
        <v>10000000</v>
      </c>
      <c r="Q40" s="938" t="s">
        <v>1096</v>
      </c>
      <c r="R40" s="87"/>
      <c r="S40" s="740"/>
      <c r="T40" s="740"/>
      <c r="U40" s="751" t="s">
        <v>913</v>
      </c>
      <c r="V40" s="742">
        <f>5000000/0.9</f>
        <v>5555555.556</v>
      </c>
      <c r="W40" s="743">
        <v>0.8</v>
      </c>
      <c r="X40" s="744">
        <v>15000.0</v>
      </c>
      <c r="Y40" s="744">
        <v>35000.0</v>
      </c>
      <c r="Z40" s="744">
        <v>1000.0</v>
      </c>
      <c r="AA40" s="745">
        <v>2000.0</v>
      </c>
      <c r="AB40" s="746"/>
      <c r="AC40" s="744"/>
      <c r="AD40" s="744"/>
      <c r="AE40" s="744"/>
      <c r="AF40" s="747">
        <f t="shared" si="7"/>
        <v>170000</v>
      </c>
      <c r="AG40" s="747">
        <f t="shared" si="8"/>
        <v>5725555.556</v>
      </c>
      <c r="AH40" s="747">
        <f t="shared" si="9"/>
        <v>4274444.444</v>
      </c>
      <c r="AI40" s="748">
        <f t="shared" si="10"/>
        <v>0.4274444444</v>
      </c>
      <c r="AJ40" s="939"/>
      <c r="AK40" s="940"/>
      <c r="AL40" s="940"/>
      <c r="AM40" s="940"/>
    </row>
    <row r="41" ht="114.75" customHeight="1" outlineLevel="1">
      <c r="A41" s="941"/>
      <c r="B41" s="942"/>
      <c r="C41" s="942"/>
      <c r="D41" s="942"/>
      <c r="E41" s="942"/>
      <c r="F41" s="942"/>
      <c r="G41" s="943" t="s">
        <v>1097</v>
      </c>
      <c r="H41" s="934" t="b">
        <v>1</v>
      </c>
      <c r="I41" s="935" t="s">
        <v>47</v>
      </c>
      <c r="J41" s="936">
        <f t="shared" si="4"/>
        <v>1</v>
      </c>
      <c r="K41" s="965">
        <v>5000000.0</v>
      </c>
      <c r="L41" s="937">
        <f t="shared" si="11"/>
        <v>0</v>
      </c>
      <c r="M41" s="937">
        <f t="shared" si="12"/>
        <v>0</v>
      </c>
      <c r="N41" s="937" t="str">
        <f t="shared" si="13"/>
        <v>-</v>
      </c>
      <c r="O41" s="937" t="str">
        <f t="shared" si="14"/>
        <v>-</v>
      </c>
      <c r="P41" s="937">
        <f t="shared" si="6"/>
        <v>5000000</v>
      </c>
      <c r="Q41" s="944"/>
      <c r="R41" s="9"/>
      <c r="S41" s="26"/>
      <c r="T41" s="26"/>
      <c r="U41" s="751" t="s">
        <v>927</v>
      </c>
      <c r="V41" s="742">
        <v>0.0</v>
      </c>
      <c r="W41" s="743"/>
      <c r="X41" s="744"/>
      <c r="Y41" s="744"/>
      <c r="Z41" s="744"/>
      <c r="AA41" s="745"/>
      <c r="AB41" s="746"/>
      <c r="AC41" s="744"/>
      <c r="AD41" s="744"/>
      <c r="AE41" s="744"/>
      <c r="AF41" s="747">
        <f t="shared" si="7"/>
        <v>0</v>
      </c>
      <c r="AG41" s="747">
        <f t="shared" si="8"/>
        <v>0</v>
      </c>
      <c r="AH41" s="747">
        <f t="shared" si="9"/>
        <v>5000000</v>
      </c>
      <c r="AI41" s="748">
        <f t="shared" si="10"/>
        <v>1</v>
      </c>
      <c r="AJ41" s="939"/>
      <c r="AK41" s="940"/>
      <c r="AL41" s="940"/>
      <c r="AM41" s="940"/>
    </row>
    <row r="42" ht="30.0" customHeight="1">
      <c r="A42" s="970" t="s">
        <v>134</v>
      </c>
      <c r="B42" s="971"/>
      <c r="C42" s="902"/>
      <c r="D42" s="903"/>
      <c r="E42" s="904"/>
      <c r="F42" s="904"/>
      <c r="G42" s="906"/>
      <c r="H42" s="907"/>
      <c r="I42" s="908" t="s">
        <v>7</v>
      </c>
      <c r="J42" s="909">
        <f>SUMIFS(J44:J63,I44:I63,"Video Post")</f>
        <v>10</v>
      </c>
      <c r="K42" s="910"/>
      <c r="L42" s="911">
        <f t="shared" ref="L42:M42" si="17">sum(L44:L63)</f>
        <v>230000</v>
      </c>
      <c r="M42" s="911">
        <f t="shared" si="17"/>
        <v>16000</v>
      </c>
      <c r="N42" s="910"/>
      <c r="O42" s="910"/>
      <c r="P42" s="911">
        <f>sum(P44:P63)</f>
        <v>58000000</v>
      </c>
      <c r="Q42" s="972"/>
      <c r="R42" s="69"/>
      <c r="S42" s="717"/>
      <c r="T42" s="717"/>
      <c r="U42" s="718"/>
      <c r="V42" s="719"/>
      <c r="W42" s="720"/>
      <c r="X42" s="721"/>
      <c r="Y42" s="721"/>
      <c r="Z42" s="721"/>
      <c r="AA42" s="722"/>
      <c r="AB42" s="723"/>
      <c r="AC42" s="721"/>
      <c r="AD42" s="721"/>
      <c r="AE42" s="721"/>
      <c r="AF42" s="724"/>
      <c r="AG42" s="724"/>
      <c r="AH42" s="724"/>
      <c r="AI42" s="725"/>
      <c r="AJ42" s="913"/>
      <c r="AK42" s="218"/>
      <c r="AL42" s="218"/>
      <c r="AM42" s="218"/>
    </row>
    <row r="43" ht="30.0" customHeight="1">
      <c r="A43" s="914"/>
      <c r="B43" s="915"/>
      <c r="C43" s="916"/>
      <c r="D43" s="917"/>
      <c r="E43" s="918"/>
      <c r="F43" s="919"/>
      <c r="G43" s="920"/>
      <c r="H43" s="921"/>
      <c r="I43" s="922" t="s">
        <v>8</v>
      </c>
      <c r="J43" s="923">
        <f>SUMIFS(J44:J63,I44:I63,"Tháng")</f>
        <v>10</v>
      </c>
      <c r="K43" s="924"/>
      <c r="L43" s="925"/>
      <c r="M43" s="925"/>
      <c r="N43" s="924"/>
      <c r="O43" s="924"/>
      <c r="P43" s="925"/>
      <c r="Q43" s="973"/>
      <c r="R43" s="69"/>
      <c r="S43" s="717"/>
      <c r="T43" s="717"/>
      <c r="U43" s="728"/>
      <c r="V43" s="719"/>
      <c r="W43" s="720"/>
      <c r="X43" s="721"/>
      <c r="Y43" s="721"/>
      <c r="Z43" s="721"/>
      <c r="AA43" s="722"/>
      <c r="AB43" s="723"/>
      <c r="AC43" s="721"/>
      <c r="AD43" s="721"/>
      <c r="AE43" s="721"/>
      <c r="AF43" s="724"/>
      <c r="AG43" s="724"/>
      <c r="AH43" s="724"/>
      <c r="AI43" s="725"/>
      <c r="AJ43" s="913"/>
      <c r="AK43" s="218"/>
      <c r="AL43" s="218"/>
      <c r="AM43" s="218"/>
    </row>
    <row r="44" ht="96.0" customHeight="1" outlineLevel="1">
      <c r="A44" s="927">
        <v>1.0</v>
      </c>
      <c r="B44" s="928" t="s">
        <v>137</v>
      </c>
      <c r="C44" s="929" t="s">
        <v>38</v>
      </c>
      <c r="D44" s="930" t="s">
        <v>138</v>
      </c>
      <c r="E44" s="931" t="s">
        <v>40</v>
      </c>
      <c r="F44" s="932" t="s">
        <v>139</v>
      </c>
      <c r="G44" s="943" t="s">
        <v>1098</v>
      </c>
      <c r="H44" s="934" t="b">
        <v>1</v>
      </c>
      <c r="I44" s="935" t="s">
        <v>7</v>
      </c>
      <c r="J44" s="936">
        <f t="shared" ref="J44:J63" si="18">if(H44=True,1,if(H44=False,0))</f>
        <v>1</v>
      </c>
      <c r="K44" s="937">
        <f t="shared" ref="K44:K63" si="19">round(V44*(1+W44),-6)</f>
        <v>3000000</v>
      </c>
      <c r="L44" s="937">
        <f>(sum(X44:Y44)+sum(AB44:AC44))*J44</f>
        <v>30000</v>
      </c>
      <c r="M44" s="937">
        <f>(sum(Z44:AA44)+sum(AD44:AE44))*J44</f>
        <v>2000</v>
      </c>
      <c r="N44" s="937">
        <f>IFERROR(P44/L44,"-")</f>
        <v>100</v>
      </c>
      <c r="O44" s="937">
        <f>IFERROR(P44/M44,"-")</f>
        <v>1500</v>
      </c>
      <c r="P44" s="937">
        <f t="shared" ref="P44:P63" si="20">iferror(K44*J44,"-")</f>
        <v>3000000</v>
      </c>
      <c r="Q44" s="938" t="s">
        <v>1099</v>
      </c>
      <c r="R44" s="9"/>
      <c r="S44" s="740"/>
      <c r="T44" s="740"/>
      <c r="U44" s="741" t="s">
        <v>1100</v>
      </c>
      <c r="V44" s="742">
        <f>1500000/0.9</f>
        <v>1666666.667</v>
      </c>
      <c r="W44" s="743">
        <v>0.5</v>
      </c>
      <c r="X44" s="744">
        <v>20000.0</v>
      </c>
      <c r="Y44" s="744">
        <v>10000.0</v>
      </c>
      <c r="Z44" s="744">
        <v>1000.0</v>
      </c>
      <c r="AA44" s="745">
        <v>1000.0</v>
      </c>
      <c r="AB44" s="746"/>
      <c r="AC44" s="744"/>
      <c r="AD44" s="744"/>
      <c r="AE44" s="744"/>
      <c r="AF44" s="747">
        <f t="shared" ref="AF44:AF63" si="21">(Y44*2+AA44*50+AC44*10+AE44*50)*J44</f>
        <v>70000</v>
      </c>
      <c r="AG44" s="747">
        <f t="shared" ref="AG44:AG63" si="22">sum(V44,AF44)*J44</f>
        <v>1736666.667</v>
      </c>
      <c r="AH44" s="747">
        <f t="shared" ref="AH44:AH63" si="23">iferror(P44-AG44,"-")</f>
        <v>1263333.333</v>
      </c>
      <c r="AI44" s="748">
        <f t="shared" ref="AI44:AI63" si="24">iferror(AH44/P44,"-")</f>
        <v>0.4211111111</v>
      </c>
      <c r="AJ44" s="939"/>
      <c r="AK44" s="940"/>
      <c r="AL44" s="940"/>
      <c r="AM44" s="940"/>
    </row>
    <row r="45" ht="96.0" customHeight="1" outlineLevel="1">
      <c r="A45" s="941"/>
      <c r="B45" s="942"/>
      <c r="C45" s="942"/>
      <c r="D45" s="942"/>
      <c r="E45" s="942"/>
      <c r="F45" s="942"/>
      <c r="G45" s="943" t="s">
        <v>1101</v>
      </c>
      <c r="H45" s="934" t="b">
        <v>1</v>
      </c>
      <c r="I45" s="935" t="s">
        <v>47</v>
      </c>
      <c r="J45" s="936">
        <f t="shared" si="18"/>
        <v>1</v>
      </c>
      <c r="K45" s="937">
        <f t="shared" si="19"/>
        <v>2000000</v>
      </c>
      <c r="L45" s="937">
        <v>0.0</v>
      </c>
      <c r="M45" s="937">
        <v>0.0</v>
      </c>
      <c r="N45" s="937" t="s">
        <v>81</v>
      </c>
      <c r="O45" s="937" t="s">
        <v>81</v>
      </c>
      <c r="P45" s="937">
        <f t="shared" si="20"/>
        <v>2000000</v>
      </c>
      <c r="Q45" s="944"/>
      <c r="R45" s="9"/>
      <c r="S45" s="26"/>
      <c r="T45" s="26"/>
      <c r="U45" s="751" t="s">
        <v>910</v>
      </c>
      <c r="V45" s="742">
        <f>1000000/0.9</f>
        <v>1111111.111</v>
      </c>
      <c r="W45" s="743">
        <v>0.5</v>
      </c>
      <c r="X45" s="744"/>
      <c r="Y45" s="744"/>
      <c r="Z45" s="744"/>
      <c r="AA45" s="745"/>
      <c r="AB45" s="746"/>
      <c r="AC45" s="744"/>
      <c r="AD45" s="744"/>
      <c r="AE45" s="744"/>
      <c r="AF45" s="747">
        <f t="shared" si="21"/>
        <v>0</v>
      </c>
      <c r="AG45" s="747">
        <f t="shared" si="22"/>
        <v>1111111.111</v>
      </c>
      <c r="AH45" s="747">
        <f t="shared" si="23"/>
        <v>888888.8889</v>
      </c>
      <c r="AI45" s="748">
        <f t="shared" si="24"/>
        <v>0.4444444444</v>
      </c>
      <c r="AJ45" s="939"/>
      <c r="AK45" s="940"/>
      <c r="AL45" s="940"/>
      <c r="AM45" s="940"/>
    </row>
    <row r="46" ht="96.0" customHeight="1" outlineLevel="1">
      <c r="A46" s="927">
        <f>A44+1</f>
        <v>2</v>
      </c>
      <c r="B46" s="946" t="s">
        <v>157</v>
      </c>
      <c r="C46" s="929" t="s">
        <v>38</v>
      </c>
      <c r="D46" s="930" t="s">
        <v>158</v>
      </c>
      <c r="E46" s="931" t="s">
        <v>40</v>
      </c>
      <c r="F46" s="932" t="s">
        <v>139</v>
      </c>
      <c r="G46" s="943" t="s">
        <v>1098</v>
      </c>
      <c r="H46" s="934" t="b">
        <v>1</v>
      </c>
      <c r="I46" s="935" t="s">
        <v>7</v>
      </c>
      <c r="J46" s="936">
        <f t="shared" si="18"/>
        <v>1</v>
      </c>
      <c r="K46" s="937">
        <f t="shared" si="19"/>
        <v>3000000</v>
      </c>
      <c r="L46" s="937">
        <f t="shared" ref="L46:L63" si="25">(sum(X46:Y46)+sum(AB46:AC46))*J46</f>
        <v>30000</v>
      </c>
      <c r="M46" s="937">
        <f t="shared" ref="M46:M63" si="26">(sum(Z46:AA46)+sum(AD46:AE46))*J46</f>
        <v>2000</v>
      </c>
      <c r="N46" s="937">
        <f t="shared" ref="N46:N63" si="27">IFERROR(P46/L46,"-")</f>
        <v>100</v>
      </c>
      <c r="O46" s="937">
        <f t="shared" ref="O46:O63" si="28">IFERROR(P46/M46,"-")</f>
        <v>1500</v>
      </c>
      <c r="P46" s="937">
        <f t="shared" si="20"/>
        <v>3000000</v>
      </c>
      <c r="Q46" s="938" t="s">
        <v>1102</v>
      </c>
      <c r="R46" s="87"/>
      <c r="S46" s="740"/>
      <c r="T46" s="740"/>
      <c r="U46" s="741" t="s">
        <v>1103</v>
      </c>
      <c r="V46" s="742">
        <f>1500000/0.9</f>
        <v>1666666.667</v>
      </c>
      <c r="W46" s="743">
        <v>0.5</v>
      </c>
      <c r="X46" s="744">
        <v>20000.0</v>
      </c>
      <c r="Y46" s="744">
        <v>10000.0</v>
      </c>
      <c r="Z46" s="744">
        <v>1000.0</v>
      </c>
      <c r="AA46" s="745">
        <v>1000.0</v>
      </c>
      <c r="AB46" s="746"/>
      <c r="AC46" s="744"/>
      <c r="AD46" s="744"/>
      <c r="AE46" s="744"/>
      <c r="AF46" s="747">
        <f t="shared" si="21"/>
        <v>70000</v>
      </c>
      <c r="AG46" s="747">
        <f t="shared" si="22"/>
        <v>1736666.667</v>
      </c>
      <c r="AH46" s="747">
        <f t="shared" si="23"/>
        <v>1263333.333</v>
      </c>
      <c r="AI46" s="748">
        <f t="shared" si="24"/>
        <v>0.4211111111</v>
      </c>
      <c r="AJ46" s="939"/>
      <c r="AK46" s="940"/>
      <c r="AL46" s="940"/>
      <c r="AM46" s="940"/>
    </row>
    <row r="47" ht="96.0" customHeight="1" outlineLevel="1">
      <c r="A47" s="941"/>
      <c r="B47" s="942"/>
      <c r="C47" s="942"/>
      <c r="D47" s="942"/>
      <c r="E47" s="942"/>
      <c r="F47" s="942"/>
      <c r="G47" s="943" t="s">
        <v>1104</v>
      </c>
      <c r="H47" s="934" t="b">
        <v>1</v>
      </c>
      <c r="I47" s="935" t="s">
        <v>47</v>
      </c>
      <c r="J47" s="936">
        <f t="shared" si="18"/>
        <v>1</v>
      </c>
      <c r="K47" s="937">
        <f t="shared" si="19"/>
        <v>2000000</v>
      </c>
      <c r="L47" s="937">
        <f t="shared" si="25"/>
        <v>0</v>
      </c>
      <c r="M47" s="937">
        <f t="shared" si="26"/>
        <v>0</v>
      </c>
      <c r="N47" s="937" t="str">
        <f t="shared" si="27"/>
        <v>-</v>
      </c>
      <c r="O47" s="937" t="str">
        <f t="shared" si="28"/>
        <v>-</v>
      </c>
      <c r="P47" s="937">
        <f t="shared" si="20"/>
        <v>2000000</v>
      </c>
      <c r="Q47" s="944"/>
      <c r="R47" s="87"/>
      <c r="S47" s="26"/>
      <c r="T47" s="26"/>
      <c r="U47" s="751" t="s">
        <v>910</v>
      </c>
      <c r="V47" s="742">
        <f>1000000/0.9</f>
        <v>1111111.111</v>
      </c>
      <c r="W47" s="743">
        <v>0.5</v>
      </c>
      <c r="X47" s="744"/>
      <c r="Y47" s="744"/>
      <c r="Z47" s="744"/>
      <c r="AA47" s="745"/>
      <c r="AB47" s="746"/>
      <c r="AC47" s="744"/>
      <c r="AD47" s="744"/>
      <c r="AE47" s="744"/>
      <c r="AF47" s="747">
        <f t="shared" si="21"/>
        <v>0</v>
      </c>
      <c r="AG47" s="747">
        <f t="shared" si="22"/>
        <v>1111111.111</v>
      </c>
      <c r="AH47" s="747">
        <f t="shared" si="23"/>
        <v>888888.8889</v>
      </c>
      <c r="AI47" s="748">
        <f t="shared" si="24"/>
        <v>0.4444444444</v>
      </c>
      <c r="AJ47" s="939"/>
      <c r="AK47" s="940"/>
      <c r="AL47" s="940"/>
      <c r="AM47" s="940"/>
    </row>
    <row r="48" ht="96.0" customHeight="1" outlineLevel="1">
      <c r="A48" s="927">
        <f>A46+1</f>
        <v>3</v>
      </c>
      <c r="B48" s="946" t="s">
        <v>163</v>
      </c>
      <c r="C48" s="929" t="s">
        <v>38</v>
      </c>
      <c r="D48" s="930" t="s">
        <v>164</v>
      </c>
      <c r="E48" s="959" t="s">
        <v>146</v>
      </c>
      <c r="F48" s="932" t="s">
        <v>21</v>
      </c>
      <c r="G48" s="943" t="s">
        <v>1098</v>
      </c>
      <c r="H48" s="934" t="b">
        <v>1</v>
      </c>
      <c r="I48" s="935" t="s">
        <v>7</v>
      </c>
      <c r="J48" s="936">
        <f t="shared" si="18"/>
        <v>1</v>
      </c>
      <c r="K48" s="937">
        <f t="shared" si="19"/>
        <v>4000000</v>
      </c>
      <c r="L48" s="937">
        <f t="shared" si="25"/>
        <v>20000</v>
      </c>
      <c r="M48" s="937">
        <f t="shared" si="26"/>
        <v>1500</v>
      </c>
      <c r="N48" s="937">
        <f t="shared" si="27"/>
        <v>200</v>
      </c>
      <c r="O48" s="937">
        <f t="shared" si="28"/>
        <v>2666.666667</v>
      </c>
      <c r="P48" s="937">
        <f t="shared" si="20"/>
        <v>4000000</v>
      </c>
      <c r="Q48" s="938" t="s">
        <v>1105</v>
      </c>
      <c r="R48" s="87"/>
      <c r="S48" s="740"/>
      <c r="T48" s="740"/>
      <c r="U48" s="741" t="s">
        <v>1106</v>
      </c>
      <c r="V48" s="742">
        <f>2500000/0.9</f>
        <v>2777777.778</v>
      </c>
      <c r="W48" s="743">
        <v>0.5</v>
      </c>
      <c r="X48" s="744">
        <v>10000.0</v>
      </c>
      <c r="Y48" s="744">
        <v>10000.0</v>
      </c>
      <c r="Z48" s="744">
        <v>500.0</v>
      </c>
      <c r="AA48" s="745">
        <v>1000.0</v>
      </c>
      <c r="AB48" s="746"/>
      <c r="AC48" s="744"/>
      <c r="AD48" s="744"/>
      <c r="AE48" s="744"/>
      <c r="AF48" s="747">
        <f t="shared" si="21"/>
        <v>70000</v>
      </c>
      <c r="AG48" s="747">
        <f t="shared" si="22"/>
        <v>2847777.778</v>
      </c>
      <c r="AH48" s="747">
        <f t="shared" si="23"/>
        <v>1152222.222</v>
      </c>
      <c r="AI48" s="748">
        <f t="shared" si="24"/>
        <v>0.2880555556</v>
      </c>
      <c r="AJ48" s="939"/>
      <c r="AK48" s="940"/>
      <c r="AL48" s="940"/>
      <c r="AM48" s="940"/>
    </row>
    <row r="49" ht="96.0" customHeight="1" outlineLevel="1">
      <c r="A49" s="941"/>
      <c r="B49" s="942"/>
      <c r="C49" s="942"/>
      <c r="D49" s="942"/>
      <c r="E49" s="942"/>
      <c r="F49" s="942"/>
      <c r="G49" s="943" t="s">
        <v>1107</v>
      </c>
      <c r="H49" s="934" t="b">
        <v>1</v>
      </c>
      <c r="I49" s="935" t="s">
        <v>47</v>
      </c>
      <c r="J49" s="936">
        <f t="shared" si="18"/>
        <v>1</v>
      </c>
      <c r="K49" s="937">
        <f t="shared" si="19"/>
        <v>3000000</v>
      </c>
      <c r="L49" s="937">
        <f t="shared" si="25"/>
        <v>0</v>
      </c>
      <c r="M49" s="937">
        <f t="shared" si="26"/>
        <v>0</v>
      </c>
      <c r="N49" s="937" t="str">
        <f t="shared" si="27"/>
        <v>-</v>
      </c>
      <c r="O49" s="937" t="str">
        <f t="shared" si="28"/>
        <v>-</v>
      </c>
      <c r="P49" s="937">
        <f t="shared" si="20"/>
        <v>3000000</v>
      </c>
      <c r="Q49" s="944"/>
      <c r="R49" s="9"/>
      <c r="S49" s="26"/>
      <c r="T49" s="26"/>
      <c r="U49" s="751" t="s">
        <v>910</v>
      </c>
      <c r="V49" s="742">
        <f>1500000/0.9</f>
        <v>1666666.667</v>
      </c>
      <c r="W49" s="743">
        <v>0.5</v>
      </c>
      <c r="X49" s="744"/>
      <c r="Y49" s="744"/>
      <c r="Z49" s="744"/>
      <c r="AA49" s="745"/>
      <c r="AB49" s="746"/>
      <c r="AC49" s="744"/>
      <c r="AD49" s="744"/>
      <c r="AE49" s="744"/>
      <c r="AF49" s="747">
        <f t="shared" si="21"/>
        <v>0</v>
      </c>
      <c r="AG49" s="747">
        <f t="shared" si="22"/>
        <v>1666666.667</v>
      </c>
      <c r="AH49" s="747">
        <f t="shared" si="23"/>
        <v>1333333.333</v>
      </c>
      <c r="AI49" s="748">
        <f t="shared" si="24"/>
        <v>0.4444444444</v>
      </c>
      <c r="AJ49" s="939"/>
      <c r="AK49" s="940"/>
      <c r="AL49" s="940"/>
      <c r="AM49" s="940"/>
    </row>
    <row r="50" ht="96.0" customHeight="1" outlineLevel="1">
      <c r="A50" s="927">
        <f>A48+1</f>
        <v>4</v>
      </c>
      <c r="B50" s="945" t="s">
        <v>144</v>
      </c>
      <c r="C50" s="929" t="s">
        <v>38</v>
      </c>
      <c r="D50" s="930" t="s">
        <v>145</v>
      </c>
      <c r="E50" s="959" t="s">
        <v>146</v>
      </c>
      <c r="F50" s="932" t="s">
        <v>139</v>
      </c>
      <c r="G50" s="943" t="s">
        <v>1098</v>
      </c>
      <c r="H50" s="934" t="b">
        <v>1</v>
      </c>
      <c r="I50" s="935" t="s">
        <v>7</v>
      </c>
      <c r="J50" s="936">
        <f t="shared" si="18"/>
        <v>1</v>
      </c>
      <c r="K50" s="937">
        <f t="shared" si="19"/>
        <v>3000000</v>
      </c>
      <c r="L50" s="937">
        <f t="shared" si="25"/>
        <v>20000</v>
      </c>
      <c r="M50" s="937">
        <f t="shared" si="26"/>
        <v>1500</v>
      </c>
      <c r="N50" s="937">
        <f t="shared" si="27"/>
        <v>150</v>
      </c>
      <c r="O50" s="937">
        <f t="shared" si="28"/>
        <v>2000</v>
      </c>
      <c r="P50" s="937">
        <f t="shared" si="20"/>
        <v>3000000</v>
      </c>
      <c r="Q50" s="938" t="s">
        <v>1108</v>
      </c>
      <c r="R50" s="87"/>
      <c r="S50" s="740"/>
      <c r="T50" s="740"/>
      <c r="U50" s="741" t="s">
        <v>1109</v>
      </c>
      <c r="V50" s="742">
        <f>1700000/0.9</f>
        <v>1888888.889</v>
      </c>
      <c r="W50" s="743">
        <v>0.5</v>
      </c>
      <c r="X50" s="744">
        <v>10000.0</v>
      </c>
      <c r="Y50" s="744">
        <v>10000.0</v>
      </c>
      <c r="Z50" s="744">
        <v>500.0</v>
      </c>
      <c r="AA50" s="745">
        <v>1000.0</v>
      </c>
      <c r="AB50" s="746"/>
      <c r="AC50" s="744"/>
      <c r="AD50" s="744"/>
      <c r="AE50" s="744"/>
      <c r="AF50" s="747">
        <f t="shared" si="21"/>
        <v>70000</v>
      </c>
      <c r="AG50" s="747">
        <f t="shared" si="22"/>
        <v>1958888.889</v>
      </c>
      <c r="AH50" s="747">
        <f t="shared" si="23"/>
        <v>1041111.111</v>
      </c>
      <c r="AI50" s="748">
        <f t="shared" si="24"/>
        <v>0.347037037</v>
      </c>
      <c r="AJ50" s="939"/>
      <c r="AK50" s="940"/>
      <c r="AL50" s="940"/>
      <c r="AM50" s="940"/>
    </row>
    <row r="51" ht="96.0" customHeight="1" outlineLevel="1">
      <c r="A51" s="941"/>
      <c r="B51" s="942"/>
      <c r="C51" s="942"/>
      <c r="D51" s="942"/>
      <c r="E51" s="942"/>
      <c r="F51" s="942"/>
      <c r="G51" s="943" t="s">
        <v>1110</v>
      </c>
      <c r="H51" s="934" t="b">
        <v>1</v>
      </c>
      <c r="I51" s="935" t="s">
        <v>47</v>
      </c>
      <c r="J51" s="936">
        <f t="shared" si="18"/>
        <v>1</v>
      </c>
      <c r="K51" s="937">
        <f t="shared" si="19"/>
        <v>2000000</v>
      </c>
      <c r="L51" s="937">
        <f t="shared" si="25"/>
        <v>0</v>
      </c>
      <c r="M51" s="937">
        <f t="shared" si="26"/>
        <v>0</v>
      </c>
      <c r="N51" s="937" t="str">
        <f t="shared" si="27"/>
        <v>-</v>
      </c>
      <c r="O51" s="937" t="str">
        <f t="shared" si="28"/>
        <v>-</v>
      </c>
      <c r="P51" s="937">
        <f t="shared" si="20"/>
        <v>2000000</v>
      </c>
      <c r="Q51" s="944"/>
      <c r="R51" s="9"/>
      <c r="S51" s="26"/>
      <c r="T51" s="26"/>
      <c r="U51" s="751" t="s">
        <v>910</v>
      </c>
      <c r="V51" s="742">
        <f>1200000/0.9</f>
        <v>1333333.333</v>
      </c>
      <c r="W51" s="743">
        <v>0.8</v>
      </c>
      <c r="X51" s="744"/>
      <c r="Y51" s="744"/>
      <c r="Z51" s="744"/>
      <c r="AA51" s="745"/>
      <c r="AB51" s="746"/>
      <c r="AC51" s="744"/>
      <c r="AD51" s="744"/>
      <c r="AE51" s="744"/>
      <c r="AF51" s="747">
        <f t="shared" si="21"/>
        <v>0</v>
      </c>
      <c r="AG51" s="747">
        <f t="shared" si="22"/>
        <v>1333333.333</v>
      </c>
      <c r="AH51" s="747">
        <f t="shared" si="23"/>
        <v>666666.6667</v>
      </c>
      <c r="AI51" s="748">
        <f t="shared" si="24"/>
        <v>0.3333333333</v>
      </c>
      <c r="AJ51" s="939"/>
      <c r="AK51" s="940"/>
      <c r="AL51" s="940"/>
      <c r="AM51" s="940"/>
    </row>
    <row r="52" ht="96.0" customHeight="1" outlineLevel="1">
      <c r="A52" s="927">
        <f>A50+1</f>
        <v>5</v>
      </c>
      <c r="B52" s="956" t="s">
        <v>1111</v>
      </c>
      <c r="C52" s="929" t="s">
        <v>38</v>
      </c>
      <c r="D52" s="958" t="s">
        <v>1112</v>
      </c>
      <c r="E52" s="959" t="s">
        <v>146</v>
      </c>
      <c r="F52" s="960" t="s">
        <v>21</v>
      </c>
      <c r="G52" s="974" t="s">
        <v>1098</v>
      </c>
      <c r="H52" s="961" t="b">
        <v>1</v>
      </c>
      <c r="I52" s="962" t="s">
        <v>7</v>
      </c>
      <c r="J52" s="963">
        <f t="shared" si="18"/>
        <v>1</v>
      </c>
      <c r="K52" s="964">
        <f t="shared" si="19"/>
        <v>4000000</v>
      </c>
      <c r="L52" s="964">
        <f t="shared" si="25"/>
        <v>20000</v>
      </c>
      <c r="M52" s="964">
        <f t="shared" si="26"/>
        <v>1500</v>
      </c>
      <c r="N52" s="964">
        <f t="shared" si="27"/>
        <v>200</v>
      </c>
      <c r="O52" s="964">
        <f t="shared" si="28"/>
        <v>2666.666667</v>
      </c>
      <c r="P52" s="964">
        <f t="shared" si="20"/>
        <v>4000000</v>
      </c>
      <c r="Q52" s="938" t="s">
        <v>1113</v>
      </c>
      <c r="R52" s="87"/>
      <c r="S52" s="740"/>
      <c r="T52" s="740"/>
      <c r="U52" s="741" t="s">
        <v>1114</v>
      </c>
      <c r="V52" s="742">
        <f>2500000/0.9</f>
        <v>2777777.778</v>
      </c>
      <c r="W52" s="743">
        <v>0.5</v>
      </c>
      <c r="X52" s="744">
        <v>10000.0</v>
      </c>
      <c r="Y52" s="744">
        <v>10000.0</v>
      </c>
      <c r="Z52" s="744">
        <v>500.0</v>
      </c>
      <c r="AA52" s="745">
        <v>1000.0</v>
      </c>
      <c r="AB52" s="746"/>
      <c r="AC52" s="744"/>
      <c r="AD52" s="744"/>
      <c r="AE52" s="744"/>
      <c r="AF52" s="747">
        <f t="shared" si="21"/>
        <v>70000</v>
      </c>
      <c r="AG52" s="747">
        <f t="shared" si="22"/>
        <v>2847777.778</v>
      </c>
      <c r="AH52" s="747">
        <f t="shared" si="23"/>
        <v>1152222.222</v>
      </c>
      <c r="AI52" s="748">
        <f t="shared" si="24"/>
        <v>0.2880555556</v>
      </c>
      <c r="AJ52" s="939"/>
      <c r="AK52" s="940"/>
      <c r="AL52" s="940"/>
      <c r="AM52" s="940"/>
    </row>
    <row r="53" ht="96.0" customHeight="1" outlineLevel="1">
      <c r="A53" s="941"/>
      <c r="B53" s="942"/>
      <c r="C53" s="942"/>
      <c r="D53" s="942"/>
      <c r="E53" s="942"/>
      <c r="F53" s="942"/>
      <c r="G53" s="943" t="s">
        <v>1115</v>
      </c>
      <c r="H53" s="934" t="b">
        <v>1</v>
      </c>
      <c r="I53" s="935" t="s">
        <v>47</v>
      </c>
      <c r="J53" s="936">
        <f t="shared" si="18"/>
        <v>1</v>
      </c>
      <c r="K53" s="937">
        <f t="shared" si="19"/>
        <v>3000000</v>
      </c>
      <c r="L53" s="937">
        <f t="shared" si="25"/>
        <v>0</v>
      </c>
      <c r="M53" s="937">
        <f t="shared" si="26"/>
        <v>0</v>
      </c>
      <c r="N53" s="937" t="str">
        <f t="shared" si="27"/>
        <v>-</v>
      </c>
      <c r="O53" s="937" t="str">
        <f t="shared" si="28"/>
        <v>-</v>
      </c>
      <c r="P53" s="937">
        <f t="shared" si="20"/>
        <v>3000000</v>
      </c>
      <c r="Q53" s="944"/>
      <c r="R53" s="9"/>
      <c r="S53" s="26"/>
      <c r="T53" s="26"/>
      <c r="U53" s="751" t="s">
        <v>910</v>
      </c>
      <c r="V53" s="742">
        <f>1500000/0.9</f>
        <v>1666666.667</v>
      </c>
      <c r="W53" s="743">
        <v>0.5</v>
      </c>
      <c r="X53" s="744"/>
      <c r="Y53" s="744"/>
      <c r="Z53" s="744"/>
      <c r="AA53" s="745"/>
      <c r="AB53" s="746"/>
      <c r="AC53" s="744"/>
      <c r="AD53" s="744"/>
      <c r="AE53" s="744"/>
      <c r="AF53" s="747">
        <f t="shared" si="21"/>
        <v>0</v>
      </c>
      <c r="AG53" s="747">
        <f t="shared" si="22"/>
        <v>1666666.667</v>
      </c>
      <c r="AH53" s="747">
        <f t="shared" si="23"/>
        <v>1333333.333</v>
      </c>
      <c r="AI53" s="748">
        <f t="shared" si="24"/>
        <v>0.4444444444</v>
      </c>
      <c r="AJ53" s="939"/>
      <c r="AK53" s="940"/>
      <c r="AL53" s="940"/>
      <c r="AM53" s="940"/>
    </row>
    <row r="54" ht="96.0" customHeight="1" outlineLevel="1">
      <c r="A54" s="927">
        <f>A52+1</f>
        <v>6</v>
      </c>
      <c r="B54" s="945" t="s">
        <v>1116</v>
      </c>
      <c r="C54" s="929" t="s">
        <v>38</v>
      </c>
      <c r="D54" s="930" t="s">
        <v>1117</v>
      </c>
      <c r="E54" s="959" t="s">
        <v>146</v>
      </c>
      <c r="F54" s="932" t="s">
        <v>139</v>
      </c>
      <c r="G54" s="943" t="s">
        <v>1098</v>
      </c>
      <c r="H54" s="934" t="b">
        <v>1</v>
      </c>
      <c r="I54" s="935" t="s">
        <v>7</v>
      </c>
      <c r="J54" s="936">
        <f t="shared" si="18"/>
        <v>1</v>
      </c>
      <c r="K54" s="937">
        <f t="shared" si="19"/>
        <v>4000000</v>
      </c>
      <c r="L54" s="937">
        <f t="shared" si="25"/>
        <v>20000</v>
      </c>
      <c r="M54" s="937">
        <f t="shared" si="26"/>
        <v>1500</v>
      </c>
      <c r="N54" s="937">
        <f t="shared" si="27"/>
        <v>200</v>
      </c>
      <c r="O54" s="937">
        <f t="shared" si="28"/>
        <v>2666.666667</v>
      </c>
      <c r="P54" s="937">
        <f t="shared" si="20"/>
        <v>4000000</v>
      </c>
      <c r="Q54" s="938" t="s">
        <v>1118</v>
      </c>
      <c r="R54" s="87"/>
      <c r="S54" s="740"/>
      <c r="T54" s="740"/>
      <c r="U54" s="741" t="s">
        <v>1119</v>
      </c>
      <c r="V54" s="742">
        <f>2000000/0.9</f>
        <v>2222222.222</v>
      </c>
      <c r="W54" s="743">
        <v>1.0</v>
      </c>
      <c r="X54" s="744">
        <v>10000.0</v>
      </c>
      <c r="Y54" s="744">
        <v>10000.0</v>
      </c>
      <c r="Z54" s="744">
        <v>500.0</v>
      </c>
      <c r="AA54" s="745">
        <v>1000.0</v>
      </c>
      <c r="AB54" s="746"/>
      <c r="AC54" s="744"/>
      <c r="AD54" s="744"/>
      <c r="AE54" s="744"/>
      <c r="AF54" s="747">
        <f t="shared" si="21"/>
        <v>70000</v>
      </c>
      <c r="AG54" s="747">
        <f t="shared" si="22"/>
        <v>2292222.222</v>
      </c>
      <c r="AH54" s="747">
        <f t="shared" si="23"/>
        <v>1707777.778</v>
      </c>
      <c r="AI54" s="748">
        <f t="shared" si="24"/>
        <v>0.4269444444</v>
      </c>
      <c r="AJ54" s="939"/>
      <c r="AK54" s="940"/>
      <c r="AL54" s="940"/>
      <c r="AM54" s="940"/>
    </row>
    <row r="55" ht="96.0" customHeight="1" outlineLevel="1">
      <c r="A55" s="941"/>
      <c r="B55" s="942"/>
      <c r="C55" s="942"/>
      <c r="D55" s="942"/>
      <c r="E55" s="942"/>
      <c r="F55" s="942"/>
      <c r="G55" s="943" t="s">
        <v>1120</v>
      </c>
      <c r="H55" s="934" t="b">
        <v>1</v>
      </c>
      <c r="I55" s="935" t="s">
        <v>47</v>
      </c>
      <c r="J55" s="936">
        <f t="shared" si="18"/>
        <v>1</v>
      </c>
      <c r="K55" s="937">
        <f t="shared" si="19"/>
        <v>3000000</v>
      </c>
      <c r="L55" s="937">
        <f t="shared" si="25"/>
        <v>0</v>
      </c>
      <c r="M55" s="937">
        <f t="shared" si="26"/>
        <v>0</v>
      </c>
      <c r="N55" s="937" t="str">
        <f t="shared" si="27"/>
        <v>-</v>
      </c>
      <c r="O55" s="937" t="str">
        <f t="shared" si="28"/>
        <v>-</v>
      </c>
      <c r="P55" s="937">
        <f t="shared" si="20"/>
        <v>3000000</v>
      </c>
      <c r="Q55" s="944"/>
      <c r="R55" s="9"/>
      <c r="S55" s="26"/>
      <c r="T55" s="26"/>
      <c r="U55" s="751" t="s">
        <v>910</v>
      </c>
      <c r="V55" s="742">
        <f>1500000/0.9</f>
        <v>1666666.667</v>
      </c>
      <c r="W55" s="743">
        <v>0.5</v>
      </c>
      <c r="X55" s="744"/>
      <c r="Y55" s="744"/>
      <c r="Z55" s="744"/>
      <c r="AA55" s="745"/>
      <c r="AB55" s="746"/>
      <c r="AC55" s="744"/>
      <c r="AD55" s="744"/>
      <c r="AE55" s="744"/>
      <c r="AF55" s="747">
        <f t="shared" si="21"/>
        <v>0</v>
      </c>
      <c r="AG55" s="747">
        <f t="shared" si="22"/>
        <v>1666666.667</v>
      </c>
      <c r="AH55" s="747">
        <f t="shared" si="23"/>
        <v>1333333.333</v>
      </c>
      <c r="AI55" s="748">
        <f t="shared" si="24"/>
        <v>0.4444444444</v>
      </c>
      <c r="AJ55" s="939"/>
      <c r="AK55" s="940"/>
      <c r="AL55" s="940"/>
      <c r="AM55" s="940"/>
    </row>
    <row r="56" ht="96.0" customHeight="1" outlineLevel="1">
      <c r="A56" s="927">
        <f>A54+1</f>
        <v>7</v>
      </c>
      <c r="B56" s="945" t="s">
        <v>1121</v>
      </c>
      <c r="C56" s="929" t="s">
        <v>38</v>
      </c>
      <c r="D56" s="930" t="s">
        <v>1122</v>
      </c>
      <c r="E56" s="959" t="s">
        <v>146</v>
      </c>
      <c r="F56" s="932" t="s">
        <v>139</v>
      </c>
      <c r="G56" s="943" t="s">
        <v>1098</v>
      </c>
      <c r="H56" s="934" t="b">
        <v>1</v>
      </c>
      <c r="I56" s="935" t="s">
        <v>7</v>
      </c>
      <c r="J56" s="936">
        <f t="shared" si="18"/>
        <v>1</v>
      </c>
      <c r="K56" s="937">
        <f t="shared" si="19"/>
        <v>4000000</v>
      </c>
      <c r="L56" s="937">
        <f t="shared" si="25"/>
        <v>20000</v>
      </c>
      <c r="M56" s="937">
        <f t="shared" si="26"/>
        <v>1500</v>
      </c>
      <c r="N56" s="937">
        <f t="shared" si="27"/>
        <v>200</v>
      </c>
      <c r="O56" s="937">
        <f t="shared" si="28"/>
        <v>2666.666667</v>
      </c>
      <c r="P56" s="937">
        <f t="shared" si="20"/>
        <v>4000000</v>
      </c>
      <c r="Q56" s="938" t="s">
        <v>1123</v>
      </c>
      <c r="R56" s="87"/>
      <c r="S56" s="740"/>
      <c r="T56" s="740"/>
      <c r="U56" s="741" t="s">
        <v>1124</v>
      </c>
      <c r="V56" s="742">
        <f>2000000/0.9</f>
        <v>2222222.222</v>
      </c>
      <c r="W56" s="743">
        <v>1.0</v>
      </c>
      <c r="X56" s="744">
        <v>10000.0</v>
      </c>
      <c r="Y56" s="744">
        <v>10000.0</v>
      </c>
      <c r="Z56" s="744">
        <v>500.0</v>
      </c>
      <c r="AA56" s="745">
        <v>1000.0</v>
      </c>
      <c r="AB56" s="746"/>
      <c r="AC56" s="744"/>
      <c r="AD56" s="744"/>
      <c r="AE56" s="744"/>
      <c r="AF56" s="747">
        <f t="shared" si="21"/>
        <v>70000</v>
      </c>
      <c r="AG56" s="747">
        <f t="shared" si="22"/>
        <v>2292222.222</v>
      </c>
      <c r="AH56" s="747">
        <f t="shared" si="23"/>
        <v>1707777.778</v>
      </c>
      <c r="AI56" s="748">
        <f t="shared" si="24"/>
        <v>0.4269444444</v>
      </c>
      <c r="AJ56" s="939"/>
      <c r="AK56" s="940"/>
      <c r="AL56" s="940"/>
      <c r="AM56" s="940"/>
    </row>
    <row r="57" ht="96.0" customHeight="1" outlineLevel="1">
      <c r="A57" s="941"/>
      <c r="B57" s="942"/>
      <c r="C57" s="942"/>
      <c r="D57" s="942"/>
      <c r="E57" s="942"/>
      <c r="F57" s="942"/>
      <c r="G57" s="943" t="s">
        <v>1125</v>
      </c>
      <c r="H57" s="934" t="b">
        <v>1</v>
      </c>
      <c r="I57" s="935" t="s">
        <v>47</v>
      </c>
      <c r="J57" s="936">
        <f t="shared" si="18"/>
        <v>1</v>
      </c>
      <c r="K57" s="937">
        <f t="shared" si="19"/>
        <v>3000000</v>
      </c>
      <c r="L57" s="937">
        <f t="shared" si="25"/>
        <v>0</v>
      </c>
      <c r="M57" s="937">
        <f t="shared" si="26"/>
        <v>0</v>
      </c>
      <c r="N57" s="937" t="str">
        <f t="shared" si="27"/>
        <v>-</v>
      </c>
      <c r="O57" s="937" t="str">
        <f t="shared" si="28"/>
        <v>-</v>
      </c>
      <c r="P57" s="937">
        <f t="shared" si="20"/>
        <v>3000000</v>
      </c>
      <c r="Q57" s="944"/>
      <c r="R57" s="9"/>
      <c r="S57" s="26"/>
      <c r="T57" s="26"/>
      <c r="U57" s="751" t="s">
        <v>910</v>
      </c>
      <c r="V57" s="742">
        <f t="shared" ref="V57:V58" si="29">1500000/0.9</f>
        <v>1666666.667</v>
      </c>
      <c r="W57" s="743">
        <v>0.5</v>
      </c>
      <c r="X57" s="744"/>
      <c r="Y57" s="744"/>
      <c r="Z57" s="744"/>
      <c r="AA57" s="745"/>
      <c r="AB57" s="746"/>
      <c r="AC57" s="744"/>
      <c r="AD57" s="744"/>
      <c r="AE57" s="744"/>
      <c r="AF57" s="747">
        <f t="shared" si="21"/>
        <v>0</v>
      </c>
      <c r="AG57" s="747">
        <f t="shared" si="22"/>
        <v>1666666.667</v>
      </c>
      <c r="AH57" s="747">
        <f t="shared" si="23"/>
        <v>1333333.333</v>
      </c>
      <c r="AI57" s="748">
        <f t="shared" si="24"/>
        <v>0.4444444444</v>
      </c>
      <c r="AJ57" s="939"/>
      <c r="AK57" s="940"/>
      <c r="AL57" s="940"/>
      <c r="AM57" s="940"/>
    </row>
    <row r="58" ht="96.0" customHeight="1" outlineLevel="1">
      <c r="A58" s="927">
        <f>A56+1</f>
        <v>8</v>
      </c>
      <c r="B58" s="928" t="s">
        <v>151</v>
      </c>
      <c r="C58" s="929" t="s">
        <v>38</v>
      </c>
      <c r="D58" s="930" t="s">
        <v>152</v>
      </c>
      <c r="E58" s="959" t="s">
        <v>146</v>
      </c>
      <c r="F58" s="932" t="s">
        <v>139</v>
      </c>
      <c r="G58" s="943" t="s">
        <v>1098</v>
      </c>
      <c r="H58" s="934" t="b">
        <v>1</v>
      </c>
      <c r="I58" s="935" t="s">
        <v>7</v>
      </c>
      <c r="J58" s="936">
        <f t="shared" si="18"/>
        <v>1</v>
      </c>
      <c r="K58" s="937">
        <f t="shared" si="19"/>
        <v>3000000</v>
      </c>
      <c r="L58" s="937">
        <f t="shared" si="25"/>
        <v>20000</v>
      </c>
      <c r="M58" s="937">
        <f t="shared" si="26"/>
        <v>1500</v>
      </c>
      <c r="N58" s="937">
        <f t="shared" si="27"/>
        <v>150</v>
      </c>
      <c r="O58" s="937">
        <f t="shared" si="28"/>
        <v>2000</v>
      </c>
      <c r="P58" s="937">
        <f t="shared" si="20"/>
        <v>3000000</v>
      </c>
      <c r="Q58" s="938" t="s">
        <v>1126</v>
      </c>
      <c r="R58" s="9"/>
      <c r="S58" s="740"/>
      <c r="T58" s="740"/>
      <c r="U58" s="741" t="s">
        <v>1127</v>
      </c>
      <c r="V58" s="742">
        <f t="shared" si="29"/>
        <v>1666666.667</v>
      </c>
      <c r="W58" s="743">
        <v>0.5</v>
      </c>
      <c r="X58" s="744">
        <v>10000.0</v>
      </c>
      <c r="Y58" s="744">
        <v>10000.0</v>
      </c>
      <c r="Z58" s="744">
        <v>500.0</v>
      </c>
      <c r="AA58" s="745">
        <v>1000.0</v>
      </c>
      <c r="AB58" s="746"/>
      <c r="AC58" s="744"/>
      <c r="AD58" s="744"/>
      <c r="AE58" s="744"/>
      <c r="AF58" s="747">
        <f t="shared" si="21"/>
        <v>70000</v>
      </c>
      <c r="AG58" s="747">
        <f t="shared" si="22"/>
        <v>1736666.667</v>
      </c>
      <c r="AH58" s="747">
        <f t="shared" si="23"/>
        <v>1263333.333</v>
      </c>
      <c r="AI58" s="748">
        <f t="shared" si="24"/>
        <v>0.4211111111</v>
      </c>
      <c r="AJ58" s="939"/>
      <c r="AK58" s="940"/>
      <c r="AL58" s="940"/>
      <c r="AM58" s="940"/>
    </row>
    <row r="59" ht="96.0" customHeight="1" outlineLevel="1">
      <c r="A59" s="941"/>
      <c r="B59" s="942"/>
      <c r="C59" s="942"/>
      <c r="D59" s="942"/>
      <c r="E59" s="942"/>
      <c r="F59" s="942"/>
      <c r="G59" s="943" t="s">
        <v>1128</v>
      </c>
      <c r="H59" s="934" t="b">
        <v>1</v>
      </c>
      <c r="I59" s="935" t="s">
        <v>47</v>
      </c>
      <c r="J59" s="936">
        <f t="shared" si="18"/>
        <v>1</v>
      </c>
      <c r="K59" s="937">
        <f t="shared" si="19"/>
        <v>2000000</v>
      </c>
      <c r="L59" s="937">
        <f t="shared" si="25"/>
        <v>0</v>
      </c>
      <c r="M59" s="937">
        <f t="shared" si="26"/>
        <v>0</v>
      </c>
      <c r="N59" s="937" t="str">
        <f t="shared" si="27"/>
        <v>-</v>
      </c>
      <c r="O59" s="937" t="str">
        <f t="shared" si="28"/>
        <v>-</v>
      </c>
      <c r="P59" s="937">
        <f t="shared" si="20"/>
        <v>2000000</v>
      </c>
      <c r="Q59" s="944"/>
      <c r="R59" s="9"/>
      <c r="S59" s="26"/>
      <c r="T59" s="26"/>
      <c r="U59" s="751" t="s">
        <v>910</v>
      </c>
      <c r="V59" s="742">
        <f>1000000/0.9</f>
        <v>1111111.111</v>
      </c>
      <c r="W59" s="743">
        <v>1.0</v>
      </c>
      <c r="X59" s="744"/>
      <c r="Y59" s="744"/>
      <c r="Z59" s="744"/>
      <c r="AA59" s="745"/>
      <c r="AB59" s="746"/>
      <c r="AC59" s="744"/>
      <c r="AD59" s="744"/>
      <c r="AE59" s="744"/>
      <c r="AF59" s="747">
        <f t="shared" si="21"/>
        <v>0</v>
      </c>
      <c r="AG59" s="747">
        <f t="shared" si="22"/>
        <v>1111111.111</v>
      </c>
      <c r="AH59" s="747">
        <f t="shared" si="23"/>
        <v>888888.8889</v>
      </c>
      <c r="AI59" s="748">
        <f t="shared" si="24"/>
        <v>0.4444444444</v>
      </c>
      <c r="AJ59" s="939"/>
      <c r="AK59" s="940"/>
      <c r="AL59" s="940"/>
      <c r="AM59" s="940"/>
    </row>
    <row r="60" ht="96.0" customHeight="1" outlineLevel="1">
      <c r="A60" s="927">
        <f>A58+1</f>
        <v>9</v>
      </c>
      <c r="B60" s="946" t="s">
        <v>169</v>
      </c>
      <c r="C60" s="929" t="s">
        <v>38</v>
      </c>
      <c r="D60" s="930">
        <v>6489.0</v>
      </c>
      <c r="E60" s="959" t="s">
        <v>146</v>
      </c>
      <c r="F60" s="932" t="s">
        <v>139</v>
      </c>
      <c r="G60" s="943" t="s">
        <v>1098</v>
      </c>
      <c r="H60" s="934" t="b">
        <v>1</v>
      </c>
      <c r="I60" s="935" t="s">
        <v>7</v>
      </c>
      <c r="J60" s="936">
        <f t="shared" si="18"/>
        <v>1</v>
      </c>
      <c r="K60" s="937">
        <f t="shared" si="19"/>
        <v>3000000</v>
      </c>
      <c r="L60" s="937">
        <f t="shared" si="25"/>
        <v>10000</v>
      </c>
      <c r="M60" s="937">
        <f t="shared" si="26"/>
        <v>1000</v>
      </c>
      <c r="N60" s="937">
        <f t="shared" si="27"/>
        <v>300</v>
      </c>
      <c r="O60" s="937">
        <f t="shared" si="28"/>
        <v>3000</v>
      </c>
      <c r="P60" s="937">
        <f t="shared" si="20"/>
        <v>3000000</v>
      </c>
      <c r="Q60" s="938" t="s">
        <v>1129</v>
      </c>
      <c r="R60" s="9"/>
      <c r="S60" s="740"/>
      <c r="T60" s="740"/>
      <c r="U60" s="741" t="s">
        <v>1130</v>
      </c>
      <c r="V60" s="742">
        <f>1500000/0.9</f>
        <v>1666666.667</v>
      </c>
      <c r="W60" s="743">
        <v>0.5</v>
      </c>
      <c r="X60" s="744">
        <v>5000.0</v>
      </c>
      <c r="Y60" s="744">
        <v>5000.0</v>
      </c>
      <c r="Z60" s="744">
        <v>500.0</v>
      </c>
      <c r="AA60" s="745">
        <v>500.0</v>
      </c>
      <c r="AB60" s="746"/>
      <c r="AC60" s="744"/>
      <c r="AD60" s="744"/>
      <c r="AE60" s="744"/>
      <c r="AF60" s="747">
        <f t="shared" si="21"/>
        <v>35000</v>
      </c>
      <c r="AG60" s="747">
        <f t="shared" si="22"/>
        <v>1701666.667</v>
      </c>
      <c r="AH60" s="747">
        <f t="shared" si="23"/>
        <v>1298333.333</v>
      </c>
      <c r="AI60" s="748">
        <f t="shared" si="24"/>
        <v>0.4327777778</v>
      </c>
      <c r="AJ60" s="939"/>
      <c r="AK60" s="940"/>
      <c r="AL60" s="940"/>
      <c r="AM60" s="940"/>
    </row>
    <row r="61" ht="96.0" customHeight="1" outlineLevel="1">
      <c r="A61" s="941"/>
      <c r="B61" s="942"/>
      <c r="C61" s="942"/>
      <c r="D61" s="942"/>
      <c r="E61" s="942"/>
      <c r="F61" s="942"/>
      <c r="G61" s="943" t="s">
        <v>1131</v>
      </c>
      <c r="H61" s="966" t="b">
        <v>1</v>
      </c>
      <c r="I61" s="967" t="s">
        <v>47</v>
      </c>
      <c r="J61" s="968">
        <f t="shared" si="18"/>
        <v>1</v>
      </c>
      <c r="K61" s="937">
        <f t="shared" si="19"/>
        <v>2000000</v>
      </c>
      <c r="L61" s="969">
        <f t="shared" si="25"/>
        <v>0</v>
      </c>
      <c r="M61" s="969">
        <f t="shared" si="26"/>
        <v>0</v>
      </c>
      <c r="N61" s="969" t="str">
        <f t="shared" si="27"/>
        <v>-</v>
      </c>
      <c r="O61" s="969" t="str">
        <f t="shared" si="28"/>
        <v>-</v>
      </c>
      <c r="P61" s="937">
        <f t="shared" si="20"/>
        <v>2000000</v>
      </c>
      <c r="Q61" s="944"/>
      <c r="R61" s="9"/>
      <c r="S61" s="26"/>
      <c r="T61" s="26"/>
      <c r="U61" s="751" t="s">
        <v>910</v>
      </c>
      <c r="V61" s="742">
        <f t="shared" ref="V61:V62" si="30">1000000/0.9</f>
        <v>1111111.111</v>
      </c>
      <c r="W61" s="743">
        <v>1.2</v>
      </c>
      <c r="X61" s="744"/>
      <c r="Y61" s="744"/>
      <c r="Z61" s="744"/>
      <c r="AA61" s="745"/>
      <c r="AB61" s="746"/>
      <c r="AC61" s="744"/>
      <c r="AD61" s="744"/>
      <c r="AE61" s="744"/>
      <c r="AF61" s="747">
        <f t="shared" si="21"/>
        <v>0</v>
      </c>
      <c r="AG61" s="747">
        <f t="shared" si="22"/>
        <v>1111111.111</v>
      </c>
      <c r="AH61" s="747">
        <f t="shared" si="23"/>
        <v>888888.8889</v>
      </c>
      <c r="AI61" s="748">
        <f t="shared" si="24"/>
        <v>0.4444444444</v>
      </c>
      <c r="AJ61" s="939"/>
      <c r="AK61" s="940"/>
      <c r="AL61" s="940"/>
      <c r="AM61" s="940"/>
    </row>
    <row r="62" ht="96.0" customHeight="1" outlineLevel="1">
      <c r="A62" s="927">
        <f>A60+1</f>
        <v>10</v>
      </c>
      <c r="B62" s="928" t="s">
        <v>1132</v>
      </c>
      <c r="C62" s="929" t="s">
        <v>38</v>
      </c>
      <c r="D62" s="930">
        <v>3031.0</v>
      </c>
      <c r="E62" s="931" t="s">
        <v>40</v>
      </c>
      <c r="F62" s="932" t="s">
        <v>139</v>
      </c>
      <c r="G62" s="943" t="s">
        <v>1098</v>
      </c>
      <c r="H62" s="934" t="b">
        <v>1</v>
      </c>
      <c r="I62" s="935" t="s">
        <v>7</v>
      </c>
      <c r="J62" s="936">
        <f t="shared" si="18"/>
        <v>1</v>
      </c>
      <c r="K62" s="937">
        <f t="shared" si="19"/>
        <v>3000000</v>
      </c>
      <c r="L62" s="937">
        <f t="shared" si="25"/>
        <v>40000</v>
      </c>
      <c r="M62" s="937">
        <f t="shared" si="26"/>
        <v>2000</v>
      </c>
      <c r="N62" s="937">
        <f t="shared" si="27"/>
        <v>75</v>
      </c>
      <c r="O62" s="937">
        <f t="shared" si="28"/>
        <v>1500</v>
      </c>
      <c r="P62" s="937">
        <f t="shared" si="20"/>
        <v>3000000</v>
      </c>
      <c r="Q62" s="938" t="s">
        <v>1133</v>
      </c>
      <c r="R62" s="9"/>
      <c r="S62" s="740"/>
      <c r="T62" s="740"/>
      <c r="U62" s="741" t="s">
        <v>1134</v>
      </c>
      <c r="V62" s="742">
        <f t="shared" si="30"/>
        <v>1111111.111</v>
      </c>
      <c r="W62" s="743">
        <v>2.0</v>
      </c>
      <c r="X62" s="744">
        <v>20000.0</v>
      </c>
      <c r="Y62" s="744">
        <v>20000.0</v>
      </c>
      <c r="Z62" s="744">
        <v>1000.0</v>
      </c>
      <c r="AA62" s="745">
        <v>1000.0</v>
      </c>
      <c r="AB62" s="746"/>
      <c r="AC62" s="744"/>
      <c r="AD62" s="744"/>
      <c r="AE62" s="744"/>
      <c r="AF62" s="747">
        <f t="shared" si="21"/>
        <v>90000</v>
      </c>
      <c r="AG62" s="747">
        <f t="shared" si="22"/>
        <v>1201111.111</v>
      </c>
      <c r="AH62" s="747">
        <f t="shared" si="23"/>
        <v>1798888.889</v>
      </c>
      <c r="AI62" s="748">
        <f t="shared" si="24"/>
        <v>0.5996296296</v>
      </c>
      <c r="AJ62" s="939"/>
      <c r="AK62" s="940"/>
      <c r="AL62" s="940"/>
      <c r="AM62" s="940"/>
    </row>
    <row r="63" ht="96.0" customHeight="1" outlineLevel="1">
      <c r="A63" s="941"/>
      <c r="B63" s="942"/>
      <c r="C63" s="925"/>
      <c r="D63" s="942"/>
      <c r="E63" s="942"/>
      <c r="F63" s="925"/>
      <c r="G63" s="943" t="s">
        <v>1135</v>
      </c>
      <c r="H63" s="947" t="b">
        <v>1</v>
      </c>
      <c r="I63" s="948" t="s">
        <v>47</v>
      </c>
      <c r="J63" s="949">
        <f t="shared" si="18"/>
        <v>1</v>
      </c>
      <c r="K63" s="950">
        <f t="shared" si="19"/>
        <v>2000000</v>
      </c>
      <c r="L63" s="950">
        <f t="shared" si="25"/>
        <v>0</v>
      </c>
      <c r="M63" s="950">
        <f t="shared" si="26"/>
        <v>0</v>
      </c>
      <c r="N63" s="950" t="str">
        <f t="shared" si="27"/>
        <v>-</v>
      </c>
      <c r="O63" s="950" t="str">
        <f t="shared" si="28"/>
        <v>-</v>
      </c>
      <c r="P63" s="950">
        <f t="shared" si="20"/>
        <v>2000000</v>
      </c>
      <c r="Q63" s="944"/>
      <c r="R63" s="9"/>
      <c r="S63" s="26"/>
      <c r="T63" s="26"/>
      <c r="U63" s="751" t="s">
        <v>910</v>
      </c>
      <c r="V63" s="742">
        <f>800000/0.9</f>
        <v>888888.8889</v>
      </c>
      <c r="W63" s="743">
        <v>1.0</v>
      </c>
      <c r="X63" s="744"/>
      <c r="Y63" s="744"/>
      <c r="Z63" s="744"/>
      <c r="AA63" s="745"/>
      <c r="AB63" s="746"/>
      <c r="AC63" s="744"/>
      <c r="AD63" s="744"/>
      <c r="AE63" s="744"/>
      <c r="AF63" s="747">
        <f t="shared" si="21"/>
        <v>0</v>
      </c>
      <c r="AG63" s="747">
        <f t="shared" si="22"/>
        <v>888888.8889</v>
      </c>
      <c r="AH63" s="747">
        <f t="shared" si="23"/>
        <v>1111111.111</v>
      </c>
      <c r="AI63" s="748">
        <f t="shared" si="24"/>
        <v>0.5555555556</v>
      </c>
      <c r="AJ63" s="939"/>
      <c r="AK63" s="940"/>
      <c r="AL63" s="940"/>
      <c r="AM63" s="940"/>
    </row>
    <row r="64" ht="34.5" customHeight="1">
      <c r="A64" s="975" t="s">
        <v>318</v>
      </c>
      <c r="B64" s="971"/>
      <c r="C64" s="976"/>
      <c r="D64" s="903"/>
      <c r="E64" s="904"/>
      <c r="F64" s="977"/>
      <c r="G64" s="978"/>
      <c r="H64" s="907"/>
      <c r="I64" s="908" t="s">
        <v>10</v>
      </c>
      <c r="J64" s="909">
        <f>SUMIFS(J66:J75,I66:I75,"Photo Post")</f>
        <v>5</v>
      </c>
      <c r="K64" s="910"/>
      <c r="L64" s="911">
        <f t="shared" ref="L64:M64" si="31">sum(L66:L75)</f>
        <v>320000</v>
      </c>
      <c r="M64" s="911">
        <f t="shared" si="31"/>
        <v>23500</v>
      </c>
      <c r="N64" s="910"/>
      <c r="O64" s="910"/>
      <c r="P64" s="911">
        <f>sum(P66:P75)</f>
        <v>216000000</v>
      </c>
      <c r="Q64" s="972"/>
      <c r="R64" s="69"/>
      <c r="S64" s="717"/>
      <c r="T64" s="717"/>
      <c r="U64" s="718"/>
      <c r="V64" s="719"/>
      <c r="W64" s="720"/>
      <c r="X64" s="721"/>
      <c r="Y64" s="721"/>
      <c r="Z64" s="721"/>
      <c r="AA64" s="722"/>
      <c r="AB64" s="723"/>
      <c r="AC64" s="721"/>
      <c r="AD64" s="721"/>
      <c r="AE64" s="721"/>
      <c r="AF64" s="724"/>
      <c r="AG64" s="724"/>
      <c r="AH64" s="724"/>
      <c r="AI64" s="725"/>
      <c r="AJ64" s="913"/>
      <c r="AK64" s="218"/>
      <c r="AL64" s="218"/>
      <c r="AM64" s="218"/>
    </row>
    <row r="65" ht="34.5" customHeight="1">
      <c r="A65" s="914"/>
      <c r="B65" s="915"/>
      <c r="C65" s="916"/>
      <c r="D65" s="917"/>
      <c r="E65" s="918"/>
      <c r="F65" s="919"/>
      <c r="G65" s="920"/>
      <c r="H65" s="921"/>
      <c r="I65" s="922" t="s">
        <v>7</v>
      </c>
      <c r="J65" s="923">
        <f>SUMIFS(J66:J75,I66:I75,"Video Post")</f>
        <v>5</v>
      </c>
      <c r="K65" s="924"/>
      <c r="L65" s="925"/>
      <c r="M65" s="925"/>
      <c r="N65" s="924"/>
      <c r="O65" s="924"/>
      <c r="P65" s="925"/>
      <c r="Q65" s="973"/>
      <c r="R65" s="69"/>
      <c r="S65" s="717"/>
      <c r="T65" s="717"/>
      <c r="U65" s="718"/>
      <c r="V65" s="719"/>
      <c r="W65" s="720"/>
      <c r="X65" s="721"/>
      <c r="Y65" s="721"/>
      <c r="Z65" s="721"/>
      <c r="AA65" s="722"/>
      <c r="AB65" s="723"/>
      <c r="AC65" s="721"/>
      <c r="AD65" s="721"/>
      <c r="AE65" s="721"/>
      <c r="AF65" s="724"/>
      <c r="AG65" s="724"/>
      <c r="AH65" s="724"/>
      <c r="AI65" s="725"/>
      <c r="AJ65" s="913"/>
      <c r="AK65" s="218"/>
      <c r="AL65" s="218"/>
      <c r="AM65" s="218"/>
    </row>
    <row r="66" ht="151.5" customHeight="1" outlineLevel="1">
      <c r="A66" s="979">
        <v>1.0</v>
      </c>
      <c r="B66" s="980" t="s">
        <v>319</v>
      </c>
      <c r="C66" s="981" t="s">
        <v>320</v>
      </c>
      <c r="D66" s="982" t="s">
        <v>321</v>
      </c>
      <c r="E66" s="983" t="s">
        <v>118</v>
      </c>
      <c r="F66" s="984" t="s">
        <v>21</v>
      </c>
      <c r="G66" s="985" t="s">
        <v>323</v>
      </c>
      <c r="H66" s="966" t="b">
        <v>1</v>
      </c>
      <c r="I66" s="967" t="s">
        <v>10</v>
      </c>
      <c r="J66" s="968">
        <f t="shared" ref="J66:J75" si="32">if(H66=True,1,if(H66=False,0))</f>
        <v>1</v>
      </c>
      <c r="K66" s="969">
        <f t="shared" ref="K66:K75" si="33">round(V66*(1+W66),-6)</f>
        <v>32000000</v>
      </c>
      <c r="L66" s="969">
        <f t="shared" ref="L66:L75" si="34">(sum(X66:Y66)+sum(AB66:AC66))*J66</f>
        <v>0</v>
      </c>
      <c r="M66" s="969">
        <f t="shared" ref="M66:M75" si="35">(sum(Z66:AA66)+sum(AD66:AE66))*J66</f>
        <v>3000</v>
      </c>
      <c r="N66" s="969" t="str">
        <f t="shared" ref="N66:N75" si="36">IFERROR(P66/L66,"-")</f>
        <v>-</v>
      </c>
      <c r="O66" s="969">
        <f t="shared" ref="O66:O75" si="37">IFERROR(P66/M66,"-")</f>
        <v>10666.66667</v>
      </c>
      <c r="P66" s="969">
        <f t="shared" ref="P66:P75" si="38">iferror(K66*J66,"-")</f>
        <v>32000000</v>
      </c>
      <c r="Q66" s="193" t="s">
        <v>1136</v>
      </c>
      <c r="R66" s="168"/>
      <c r="S66" s="798"/>
      <c r="T66" s="798"/>
      <c r="U66" s="799" t="s">
        <v>1017</v>
      </c>
      <c r="V66" s="800">
        <f>14500000/0.9</f>
        <v>16111111.11</v>
      </c>
      <c r="W66" s="743">
        <v>1.0</v>
      </c>
      <c r="X66" s="801"/>
      <c r="Y66" s="801"/>
      <c r="Z66" s="801"/>
      <c r="AA66" s="802"/>
      <c r="AB66" s="803"/>
      <c r="AC66" s="801"/>
      <c r="AD66" s="744">
        <v>3000.0</v>
      </c>
      <c r="AE66" s="801"/>
      <c r="AF66" s="804">
        <f>(Y66*2+AA66*50+AC66*10+AE66*50)*J66</f>
        <v>0</v>
      </c>
      <c r="AG66" s="804">
        <f t="shared" ref="AG66:AG75" si="39">sum(V66,AF66)*J66</f>
        <v>16111111.11</v>
      </c>
      <c r="AH66" s="804">
        <f t="shared" ref="AH66:AH75" si="40">iferror(P66-AG66,"-")</f>
        <v>15888888.89</v>
      </c>
      <c r="AI66" s="805">
        <f t="shared" ref="AI66:AI75" si="41">iferror(AH66/P66,"-")</f>
        <v>0.4965277778</v>
      </c>
      <c r="AJ66" s="986"/>
      <c r="AK66" s="517"/>
      <c r="AL66" s="517"/>
      <c r="AM66" s="517"/>
    </row>
    <row r="67" ht="151.5" customHeight="1" outlineLevel="1">
      <c r="A67" s="979">
        <f t="shared" ref="A67:A75" si="42">A66+1</f>
        <v>2</v>
      </c>
      <c r="B67" s="980" t="s">
        <v>325</v>
      </c>
      <c r="C67" s="981" t="s">
        <v>320</v>
      </c>
      <c r="D67" s="982" t="s">
        <v>326</v>
      </c>
      <c r="E67" s="983" t="s">
        <v>118</v>
      </c>
      <c r="F67" s="984" t="s">
        <v>139</v>
      </c>
      <c r="G67" s="985" t="s">
        <v>323</v>
      </c>
      <c r="H67" s="966" t="b">
        <v>1</v>
      </c>
      <c r="I67" s="967" t="s">
        <v>10</v>
      </c>
      <c r="J67" s="968">
        <f t="shared" si="32"/>
        <v>1</v>
      </c>
      <c r="K67" s="969">
        <f t="shared" si="33"/>
        <v>26000000</v>
      </c>
      <c r="L67" s="969">
        <f t="shared" si="34"/>
        <v>0</v>
      </c>
      <c r="M67" s="969">
        <f t="shared" si="35"/>
        <v>3000</v>
      </c>
      <c r="N67" s="969" t="str">
        <f t="shared" si="36"/>
        <v>-</v>
      </c>
      <c r="O67" s="969">
        <f t="shared" si="37"/>
        <v>8666.666667</v>
      </c>
      <c r="P67" s="969">
        <f t="shared" si="38"/>
        <v>26000000</v>
      </c>
      <c r="Q67" s="193" t="s">
        <v>1137</v>
      </c>
      <c r="R67" s="170"/>
      <c r="S67" s="798"/>
      <c r="T67" s="798"/>
      <c r="U67" s="799" t="s">
        <v>1017</v>
      </c>
      <c r="V67" s="742">
        <f>11500000/0.9</f>
        <v>12777777.78</v>
      </c>
      <c r="W67" s="743">
        <v>1.0</v>
      </c>
      <c r="X67" s="744"/>
      <c r="Y67" s="744"/>
      <c r="Z67" s="744"/>
      <c r="AA67" s="745"/>
      <c r="AB67" s="746"/>
      <c r="AC67" s="744"/>
      <c r="AD67" s="744">
        <v>3000.0</v>
      </c>
      <c r="AE67" s="744"/>
      <c r="AF67" s="747">
        <f t="shared" ref="AF67:AF68" si="43">(AE67*50+AA67*50+AC67*20+Y67*2)*J67</f>
        <v>0</v>
      </c>
      <c r="AG67" s="747">
        <f t="shared" si="39"/>
        <v>12777777.78</v>
      </c>
      <c r="AH67" s="747">
        <f t="shared" si="40"/>
        <v>13222222.22</v>
      </c>
      <c r="AI67" s="748">
        <f t="shared" si="41"/>
        <v>0.5085470085</v>
      </c>
      <c r="AJ67" s="939"/>
      <c r="AK67" s="940"/>
      <c r="AL67" s="940"/>
      <c r="AM67" s="940"/>
    </row>
    <row r="68" ht="151.5" customHeight="1" outlineLevel="1">
      <c r="A68" s="979">
        <f t="shared" si="42"/>
        <v>3</v>
      </c>
      <c r="B68" s="980" t="s">
        <v>328</v>
      </c>
      <c r="C68" s="981" t="s">
        <v>320</v>
      </c>
      <c r="D68" s="982" t="s">
        <v>329</v>
      </c>
      <c r="E68" s="983" t="s">
        <v>118</v>
      </c>
      <c r="F68" s="984" t="s">
        <v>21</v>
      </c>
      <c r="G68" s="985" t="s">
        <v>323</v>
      </c>
      <c r="H68" s="966" t="b">
        <v>1</v>
      </c>
      <c r="I68" s="967" t="s">
        <v>10</v>
      </c>
      <c r="J68" s="968">
        <f t="shared" si="32"/>
        <v>1</v>
      </c>
      <c r="K68" s="969">
        <f t="shared" si="33"/>
        <v>26000000</v>
      </c>
      <c r="L68" s="969">
        <f t="shared" si="34"/>
        <v>0</v>
      </c>
      <c r="M68" s="969">
        <f t="shared" si="35"/>
        <v>3000</v>
      </c>
      <c r="N68" s="969" t="str">
        <f t="shared" si="36"/>
        <v>-</v>
      </c>
      <c r="O68" s="969">
        <f t="shared" si="37"/>
        <v>8666.666667</v>
      </c>
      <c r="P68" s="969">
        <f t="shared" si="38"/>
        <v>26000000</v>
      </c>
      <c r="Q68" s="193" t="s">
        <v>1138</v>
      </c>
      <c r="R68" s="170"/>
      <c r="S68" s="798"/>
      <c r="T68" s="798"/>
      <c r="U68" s="799" t="s">
        <v>1017</v>
      </c>
      <c r="V68" s="742">
        <f>10000000/0.9</f>
        <v>11111111.11</v>
      </c>
      <c r="W68" s="743">
        <v>1.3</v>
      </c>
      <c r="X68" s="744"/>
      <c r="Y68" s="744"/>
      <c r="Z68" s="744"/>
      <c r="AA68" s="745"/>
      <c r="AB68" s="746"/>
      <c r="AC68" s="744"/>
      <c r="AD68" s="744">
        <v>3000.0</v>
      </c>
      <c r="AE68" s="744"/>
      <c r="AF68" s="747">
        <f t="shared" si="43"/>
        <v>0</v>
      </c>
      <c r="AG68" s="747">
        <f t="shared" si="39"/>
        <v>11111111.11</v>
      </c>
      <c r="AH68" s="747">
        <f t="shared" si="40"/>
        <v>14888888.89</v>
      </c>
      <c r="AI68" s="748">
        <f t="shared" si="41"/>
        <v>0.5726495726</v>
      </c>
      <c r="AJ68" s="939"/>
      <c r="AK68" s="940"/>
      <c r="AL68" s="940"/>
      <c r="AM68" s="940"/>
    </row>
    <row r="69" ht="151.5" customHeight="1" outlineLevel="1">
      <c r="A69" s="979">
        <f t="shared" si="42"/>
        <v>4</v>
      </c>
      <c r="B69" s="987" t="s">
        <v>331</v>
      </c>
      <c r="C69" s="988" t="s">
        <v>320</v>
      </c>
      <c r="D69" s="989" t="s">
        <v>332</v>
      </c>
      <c r="E69" s="990" t="s">
        <v>40</v>
      </c>
      <c r="F69" s="991" t="s">
        <v>21</v>
      </c>
      <c r="G69" s="992" t="s">
        <v>323</v>
      </c>
      <c r="H69" s="993" t="b">
        <v>1</v>
      </c>
      <c r="I69" s="824" t="s">
        <v>10</v>
      </c>
      <c r="J69" s="994">
        <f t="shared" si="32"/>
        <v>1</v>
      </c>
      <c r="K69" s="995">
        <f t="shared" si="33"/>
        <v>25000000</v>
      </c>
      <c r="L69" s="995">
        <f t="shared" si="34"/>
        <v>0</v>
      </c>
      <c r="M69" s="995">
        <f t="shared" si="35"/>
        <v>3000</v>
      </c>
      <c r="N69" s="995" t="str">
        <f t="shared" si="36"/>
        <v>-</v>
      </c>
      <c r="O69" s="995">
        <f t="shared" si="37"/>
        <v>8333.333333</v>
      </c>
      <c r="P69" s="995">
        <f t="shared" si="38"/>
        <v>25000000</v>
      </c>
      <c r="Q69" s="193" t="s">
        <v>1139</v>
      </c>
      <c r="R69" s="170"/>
      <c r="S69" s="798"/>
      <c r="T69" s="798"/>
      <c r="U69" s="799" t="s">
        <v>1017</v>
      </c>
      <c r="V69" s="742">
        <f>11500000/0.9</f>
        <v>12777777.78</v>
      </c>
      <c r="W69" s="743">
        <v>0.95</v>
      </c>
      <c r="X69" s="744"/>
      <c r="Y69" s="744"/>
      <c r="Z69" s="744"/>
      <c r="AA69" s="745"/>
      <c r="AB69" s="746"/>
      <c r="AC69" s="744"/>
      <c r="AD69" s="744">
        <v>3000.0</v>
      </c>
      <c r="AE69" s="744"/>
      <c r="AF69" s="747">
        <f t="shared" ref="AF69:AF71" si="44">(Y69*2+AA69*50+AC69*10+AE69*50)*J69</f>
        <v>0</v>
      </c>
      <c r="AG69" s="747">
        <f t="shared" si="39"/>
        <v>12777777.78</v>
      </c>
      <c r="AH69" s="747">
        <f t="shared" si="40"/>
        <v>12222222.22</v>
      </c>
      <c r="AI69" s="748">
        <f t="shared" si="41"/>
        <v>0.4888888889</v>
      </c>
      <c r="AJ69" s="939"/>
      <c r="AK69" s="940"/>
      <c r="AL69" s="940"/>
      <c r="AM69" s="940"/>
    </row>
    <row r="70" ht="151.5" customHeight="1" outlineLevel="1">
      <c r="A70" s="979">
        <f t="shared" si="42"/>
        <v>5</v>
      </c>
      <c r="B70" s="980" t="s">
        <v>334</v>
      </c>
      <c r="C70" s="981" t="s">
        <v>320</v>
      </c>
      <c r="D70" s="982" t="s">
        <v>335</v>
      </c>
      <c r="E70" s="983" t="s">
        <v>40</v>
      </c>
      <c r="F70" s="984" t="s">
        <v>21</v>
      </c>
      <c r="G70" s="985" t="s">
        <v>336</v>
      </c>
      <c r="H70" s="966" t="b">
        <v>1</v>
      </c>
      <c r="I70" s="967" t="s">
        <v>10</v>
      </c>
      <c r="J70" s="968">
        <f t="shared" si="32"/>
        <v>1</v>
      </c>
      <c r="K70" s="969">
        <f t="shared" si="33"/>
        <v>17000000</v>
      </c>
      <c r="L70" s="969">
        <f t="shared" si="34"/>
        <v>0</v>
      </c>
      <c r="M70" s="969">
        <f t="shared" si="35"/>
        <v>3000</v>
      </c>
      <c r="N70" s="969" t="str">
        <f t="shared" si="36"/>
        <v>-</v>
      </c>
      <c r="O70" s="969">
        <f t="shared" si="37"/>
        <v>5666.666667</v>
      </c>
      <c r="P70" s="969">
        <f t="shared" si="38"/>
        <v>17000000</v>
      </c>
      <c r="Q70" s="193" t="s">
        <v>1140</v>
      </c>
      <c r="R70" s="170"/>
      <c r="S70" s="798"/>
      <c r="T70" s="798"/>
      <c r="U70" s="799" t="s">
        <v>1017</v>
      </c>
      <c r="V70" s="742">
        <f>7500000/0.9</f>
        <v>8333333.333</v>
      </c>
      <c r="W70" s="743">
        <v>1.0</v>
      </c>
      <c r="X70" s="744"/>
      <c r="Y70" s="744"/>
      <c r="Z70" s="744"/>
      <c r="AA70" s="745"/>
      <c r="AB70" s="746"/>
      <c r="AC70" s="744"/>
      <c r="AD70" s="744">
        <v>3000.0</v>
      </c>
      <c r="AE70" s="744"/>
      <c r="AF70" s="747">
        <f t="shared" si="44"/>
        <v>0</v>
      </c>
      <c r="AG70" s="747">
        <f t="shared" si="39"/>
        <v>8333333.333</v>
      </c>
      <c r="AH70" s="747">
        <f t="shared" si="40"/>
        <v>8666666.667</v>
      </c>
      <c r="AI70" s="748">
        <f t="shared" si="41"/>
        <v>0.5098039216</v>
      </c>
      <c r="AJ70" s="939"/>
      <c r="AK70" s="940"/>
      <c r="AL70" s="940"/>
      <c r="AM70" s="940"/>
    </row>
    <row r="71" ht="151.5" customHeight="1" outlineLevel="1">
      <c r="A71" s="979">
        <f t="shared" si="42"/>
        <v>6</v>
      </c>
      <c r="B71" s="996" t="s">
        <v>338</v>
      </c>
      <c r="C71" s="981" t="s">
        <v>38</v>
      </c>
      <c r="D71" s="982" t="s">
        <v>339</v>
      </c>
      <c r="E71" s="983" t="s">
        <v>118</v>
      </c>
      <c r="F71" s="984" t="s">
        <v>21</v>
      </c>
      <c r="G71" s="985" t="s">
        <v>340</v>
      </c>
      <c r="H71" s="966" t="b">
        <v>1</v>
      </c>
      <c r="I71" s="967" t="s">
        <v>7</v>
      </c>
      <c r="J71" s="968">
        <f t="shared" si="32"/>
        <v>1</v>
      </c>
      <c r="K71" s="969">
        <f t="shared" si="33"/>
        <v>25000000</v>
      </c>
      <c r="L71" s="969">
        <f t="shared" si="34"/>
        <v>80000</v>
      </c>
      <c r="M71" s="969">
        <f t="shared" si="35"/>
        <v>2000</v>
      </c>
      <c r="N71" s="969">
        <f t="shared" si="36"/>
        <v>312.5</v>
      </c>
      <c r="O71" s="969">
        <f t="shared" si="37"/>
        <v>12500</v>
      </c>
      <c r="P71" s="969">
        <f t="shared" si="38"/>
        <v>25000000</v>
      </c>
      <c r="Q71" s="193" t="s">
        <v>1141</v>
      </c>
      <c r="R71" s="170"/>
      <c r="S71" s="798"/>
      <c r="T71" s="798"/>
      <c r="U71" s="799" t="s">
        <v>1017</v>
      </c>
      <c r="V71" s="742">
        <f>15000000/0.9</f>
        <v>16666666.67</v>
      </c>
      <c r="W71" s="743">
        <v>0.5</v>
      </c>
      <c r="X71" s="744">
        <v>80000.0</v>
      </c>
      <c r="Y71" s="744"/>
      <c r="Z71" s="744">
        <v>1000.0</v>
      </c>
      <c r="AA71" s="745">
        <v>1000.0</v>
      </c>
      <c r="AB71" s="746"/>
      <c r="AC71" s="744"/>
      <c r="AD71" s="744"/>
      <c r="AE71" s="744"/>
      <c r="AF71" s="747">
        <f t="shared" si="44"/>
        <v>50000</v>
      </c>
      <c r="AG71" s="747">
        <f t="shared" si="39"/>
        <v>16716666.67</v>
      </c>
      <c r="AH71" s="747">
        <f t="shared" si="40"/>
        <v>8283333.333</v>
      </c>
      <c r="AI71" s="748">
        <f t="shared" si="41"/>
        <v>0.3313333333</v>
      </c>
      <c r="AJ71" s="939"/>
      <c r="AK71" s="940"/>
      <c r="AL71" s="940"/>
      <c r="AM71" s="940"/>
    </row>
    <row r="72" ht="151.5" customHeight="1" outlineLevel="1">
      <c r="A72" s="979">
        <f t="shared" si="42"/>
        <v>7</v>
      </c>
      <c r="B72" s="997" t="s">
        <v>342</v>
      </c>
      <c r="C72" s="981" t="s">
        <v>38</v>
      </c>
      <c r="D72" s="998" t="s">
        <v>343</v>
      </c>
      <c r="E72" s="999" t="s">
        <v>40</v>
      </c>
      <c r="F72" s="1000" t="s">
        <v>21</v>
      </c>
      <c r="G72" s="985" t="s">
        <v>340</v>
      </c>
      <c r="H72" s="1001" t="b">
        <v>1</v>
      </c>
      <c r="I72" s="1002" t="s">
        <v>7</v>
      </c>
      <c r="J72" s="1003">
        <f t="shared" si="32"/>
        <v>1</v>
      </c>
      <c r="K72" s="1004">
        <f t="shared" si="33"/>
        <v>15000000</v>
      </c>
      <c r="L72" s="1004">
        <f t="shared" si="34"/>
        <v>30000</v>
      </c>
      <c r="M72" s="1004">
        <f t="shared" si="35"/>
        <v>1500</v>
      </c>
      <c r="N72" s="1004">
        <f t="shared" si="36"/>
        <v>500</v>
      </c>
      <c r="O72" s="1004">
        <f t="shared" si="37"/>
        <v>10000</v>
      </c>
      <c r="P72" s="1004">
        <f t="shared" si="38"/>
        <v>15000000</v>
      </c>
      <c r="Q72" s="193" t="s">
        <v>1142</v>
      </c>
      <c r="R72" s="170"/>
      <c r="S72" s="798"/>
      <c r="T72" s="798"/>
      <c r="U72" s="808" t="s">
        <v>1024</v>
      </c>
      <c r="V72" s="742">
        <f>9000000/0.9</f>
        <v>10000000</v>
      </c>
      <c r="W72" s="743">
        <v>0.5</v>
      </c>
      <c r="X72" s="744">
        <v>10000.0</v>
      </c>
      <c r="Y72" s="744">
        <v>20000.0</v>
      </c>
      <c r="Z72" s="744">
        <v>500.0</v>
      </c>
      <c r="AA72" s="745">
        <v>1000.0</v>
      </c>
      <c r="AB72" s="746"/>
      <c r="AC72" s="744"/>
      <c r="AD72" s="744"/>
      <c r="AE72" s="801"/>
      <c r="AF72" s="747">
        <f>(AE72*50+AA72*50+AC72*20+Y72*2)*J72</f>
        <v>90000</v>
      </c>
      <c r="AG72" s="747">
        <f t="shared" si="39"/>
        <v>10090000</v>
      </c>
      <c r="AH72" s="747">
        <f t="shared" si="40"/>
        <v>4910000</v>
      </c>
      <c r="AI72" s="748">
        <f t="shared" si="41"/>
        <v>0.3273333333</v>
      </c>
      <c r="AJ72" s="939"/>
      <c r="AK72" s="940"/>
      <c r="AL72" s="940"/>
      <c r="AM72" s="940"/>
    </row>
    <row r="73" ht="151.5" customHeight="1" outlineLevel="1">
      <c r="A73" s="979">
        <f t="shared" si="42"/>
        <v>8</v>
      </c>
      <c r="B73" s="980" t="s">
        <v>345</v>
      </c>
      <c r="C73" s="981" t="s">
        <v>38</v>
      </c>
      <c r="D73" s="982" t="s">
        <v>346</v>
      </c>
      <c r="E73" s="983" t="s">
        <v>40</v>
      </c>
      <c r="F73" s="984" t="s">
        <v>21</v>
      </c>
      <c r="G73" s="985" t="s">
        <v>340</v>
      </c>
      <c r="H73" s="966" t="b">
        <v>1</v>
      </c>
      <c r="I73" s="967" t="s">
        <v>7</v>
      </c>
      <c r="J73" s="968">
        <f t="shared" si="32"/>
        <v>1</v>
      </c>
      <c r="K73" s="969">
        <f t="shared" si="33"/>
        <v>18000000</v>
      </c>
      <c r="L73" s="969">
        <f t="shared" si="34"/>
        <v>80000</v>
      </c>
      <c r="M73" s="969">
        <f t="shared" si="35"/>
        <v>1500</v>
      </c>
      <c r="N73" s="969">
        <f t="shared" si="36"/>
        <v>225</v>
      </c>
      <c r="O73" s="969">
        <f t="shared" si="37"/>
        <v>12000</v>
      </c>
      <c r="P73" s="969">
        <f t="shared" si="38"/>
        <v>18000000</v>
      </c>
      <c r="Q73" s="193" t="s">
        <v>1143</v>
      </c>
      <c r="R73" s="170"/>
      <c r="S73" s="798"/>
      <c r="T73" s="798"/>
      <c r="U73" s="799" t="s">
        <v>1017</v>
      </c>
      <c r="V73" s="742">
        <f>8000000/0.9</f>
        <v>8888888.889</v>
      </c>
      <c r="W73" s="743">
        <v>1.0</v>
      </c>
      <c r="X73" s="744">
        <v>30000.0</v>
      </c>
      <c r="Y73" s="744">
        <v>50000.0</v>
      </c>
      <c r="Z73" s="744">
        <v>500.0</v>
      </c>
      <c r="AA73" s="745">
        <v>1000.0</v>
      </c>
      <c r="AB73" s="746"/>
      <c r="AC73" s="744"/>
      <c r="AD73" s="744"/>
      <c r="AE73" s="744"/>
      <c r="AF73" s="747">
        <f t="shared" ref="AF73:AF75" si="45">(Y73*2+AA73*50+AC73*10+AE73*50)*J73</f>
        <v>150000</v>
      </c>
      <c r="AG73" s="747">
        <f t="shared" si="39"/>
        <v>9038888.889</v>
      </c>
      <c r="AH73" s="747">
        <f t="shared" si="40"/>
        <v>8961111.111</v>
      </c>
      <c r="AI73" s="748">
        <f t="shared" si="41"/>
        <v>0.4978395062</v>
      </c>
      <c r="AJ73" s="939"/>
      <c r="AK73" s="940"/>
      <c r="AL73" s="940"/>
      <c r="AM73" s="940"/>
    </row>
    <row r="74" ht="151.5" customHeight="1" outlineLevel="1">
      <c r="A74" s="979">
        <f t="shared" si="42"/>
        <v>9</v>
      </c>
      <c r="B74" s="980" t="s">
        <v>348</v>
      </c>
      <c r="C74" s="981" t="s">
        <v>38</v>
      </c>
      <c r="D74" s="982" t="s">
        <v>349</v>
      </c>
      <c r="E74" s="983" t="s">
        <v>40</v>
      </c>
      <c r="F74" s="984" t="s">
        <v>21</v>
      </c>
      <c r="G74" s="985" t="s">
        <v>340</v>
      </c>
      <c r="H74" s="966" t="b">
        <v>1</v>
      </c>
      <c r="I74" s="967" t="s">
        <v>7</v>
      </c>
      <c r="J74" s="968">
        <f t="shared" si="32"/>
        <v>1</v>
      </c>
      <c r="K74" s="969">
        <f t="shared" si="33"/>
        <v>12000000</v>
      </c>
      <c r="L74" s="969">
        <f t="shared" si="34"/>
        <v>50000</v>
      </c>
      <c r="M74" s="969">
        <f t="shared" si="35"/>
        <v>1500</v>
      </c>
      <c r="N74" s="969">
        <f t="shared" si="36"/>
        <v>240</v>
      </c>
      <c r="O74" s="969">
        <f t="shared" si="37"/>
        <v>8000</v>
      </c>
      <c r="P74" s="969">
        <f t="shared" si="38"/>
        <v>12000000</v>
      </c>
      <c r="Q74" s="193" t="s">
        <v>1144</v>
      </c>
      <c r="R74" s="170"/>
      <c r="S74" s="798"/>
      <c r="T74" s="798"/>
      <c r="U74" s="808" t="s">
        <v>1024</v>
      </c>
      <c r="V74" s="742">
        <f>5000000/0.9</f>
        <v>5555555.556</v>
      </c>
      <c r="W74" s="743">
        <v>1.2</v>
      </c>
      <c r="X74" s="744">
        <v>30000.0</v>
      </c>
      <c r="Y74" s="744">
        <v>20000.0</v>
      </c>
      <c r="Z74" s="744">
        <v>500.0</v>
      </c>
      <c r="AA74" s="745">
        <v>1000.0</v>
      </c>
      <c r="AB74" s="746"/>
      <c r="AC74" s="744"/>
      <c r="AD74" s="744"/>
      <c r="AE74" s="744"/>
      <c r="AF74" s="747">
        <f t="shared" si="45"/>
        <v>90000</v>
      </c>
      <c r="AG74" s="747">
        <f t="shared" si="39"/>
        <v>5645555.556</v>
      </c>
      <c r="AH74" s="747">
        <f t="shared" si="40"/>
        <v>6354444.444</v>
      </c>
      <c r="AI74" s="748">
        <f t="shared" si="41"/>
        <v>0.529537037</v>
      </c>
      <c r="AJ74" s="939"/>
      <c r="AK74" s="940"/>
      <c r="AL74" s="940"/>
      <c r="AM74" s="940"/>
    </row>
    <row r="75" ht="151.5" customHeight="1" outlineLevel="1">
      <c r="A75" s="979">
        <f t="shared" si="42"/>
        <v>10</v>
      </c>
      <c r="B75" s="980" t="s">
        <v>351</v>
      </c>
      <c r="C75" s="981" t="s">
        <v>38</v>
      </c>
      <c r="D75" s="982" t="s">
        <v>352</v>
      </c>
      <c r="E75" s="983" t="s">
        <v>40</v>
      </c>
      <c r="F75" s="984" t="s">
        <v>21</v>
      </c>
      <c r="G75" s="985" t="s">
        <v>340</v>
      </c>
      <c r="H75" s="966" t="b">
        <v>1</v>
      </c>
      <c r="I75" s="967" t="s">
        <v>7</v>
      </c>
      <c r="J75" s="968">
        <f t="shared" si="32"/>
        <v>1</v>
      </c>
      <c r="K75" s="969">
        <f t="shared" si="33"/>
        <v>20000000</v>
      </c>
      <c r="L75" s="969">
        <f t="shared" si="34"/>
        <v>80000</v>
      </c>
      <c r="M75" s="969">
        <f t="shared" si="35"/>
        <v>2000</v>
      </c>
      <c r="N75" s="969">
        <f t="shared" si="36"/>
        <v>250</v>
      </c>
      <c r="O75" s="969">
        <f t="shared" si="37"/>
        <v>10000</v>
      </c>
      <c r="P75" s="969">
        <f t="shared" si="38"/>
        <v>20000000</v>
      </c>
      <c r="Q75" s="193" t="s">
        <v>1145</v>
      </c>
      <c r="R75" s="168"/>
      <c r="S75" s="798"/>
      <c r="T75" s="798"/>
      <c r="U75" s="799" t="s">
        <v>1017</v>
      </c>
      <c r="V75" s="800">
        <f>12000000/0.9</f>
        <v>13333333.33</v>
      </c>
      <c r="W75" s="743">
        <v>0.5</v>
      </c>
      <c r="X75" s="744">
        <v>80000.0</v>
      </c>
      <c r="Y75" s="801"/>
      <c r="Z75" s="744">
        <v>1000.0</v>
      </c>
      <c r="AA75" s="745">
        <v>1000.0</v>
      </c>
      <c r="AB75" s="803"/>
      <c r="AC75" s="801"/>
      <c r="AD75" s="744"/>
      <c r="AE75" s="801"/>
      <c r="AF75" s="804">
        <f t="shared" si="45"/>
        <v>50000</v>
      </c>
      <c r="AG75" s="804">
        <f t="shared" si="39"/>
        <v>13383333.33</v>
      </c>
      <c r="AH75" s="804">
        <f t="shared" si="40"/>
        <v>6616666.667</v>
      </c>
      <c r="AI75" s="805">
        <f t="shared" si="41"/>
        <v>0.3308333333</v>
      </c>
      <c r="AJ75" s="986"/>
      <c r="AK75" s="517"/>
      <c r="AL75" s="517"/>
      <c r="AM75" s="517"/>
    </row>
    <row r="76" ht="54.0" customHeight="1">
      <c r="A76" s="1005" t="s">
        <v>354</v>
      </c>
      <c r="B76" s="1006"/>
      <c r="C76" s="1007"/>
      <c r="D76" s="1008"/>
      <c r="E76" s="1007"/>
      <c r="F76" s="1007"/>
      <c r="G76" s="1007"/>
      <c r="H76" s="1009"/>
      <c r="I76" s="1010"/>
      <c r="J76" s="1011"/>
      <c r="K76" s="1010"/>
      <c r="L76" s="1010"/>
      <c r="M76" s="1012">
        <f>J77</f>
        <v>2000</v>
      </c>
      <c r="N76" s="1010"/>
      <c r="O76" s="1010"/>
      <c r="P76" s="1012">
        <f>P77</f>
        <v>20000000</v>
      </c>
      <c r="Q76" s="1013"/>
      <c r="R76" s="181"/>
      <c r="S76" s="813"/>
      <c r="T76" s="813"/>
      <c r="U76" s="814"/>
      <c r="V76" s="815"/>
      <c r="W76" s="816"/>
      <c r="X76" s="815"/>
      <c r="Y76" s="815"/>
      <c r="Z76" s="815"/>
      <c r="AA76" s="817"/>
      <c r="AB76" s="818"/>
      <c r="AC76" s="815"/>
      <c r="AD76" s="815"/>
      <c r="AE76" s="815"/>
      <c r="AF76" s="815"/>
      <c r="AG76" s="815"/>
      <c r="AH76" s="815"/>
      <c r="AI76" s="819"/>
      <c r="AJ76" s="863"/>
      <c r="AK76" s="862"/>
      <c r="AL76" s="862"/>
      <c r="AM76" s="862"/>
    </row>
    <row r="77" ht="67.5" customHeight="1" outlineLevel="1">
      <c r="A77" s="182">
        <v>1.0</v>
      </c>
      <c r="B77" s="183" t="s">
        <v>355</v>
      </c>
      <c r="C77" s="184" t="s">
        <v>356</v>
      </c>
      <c r="D77" s="185"/>
      <c r="E77" s="185"/>
      <c r="F77" s="185"/>
      <c r="G77" s="186"/>
      <c r="H77" s="187" t="b">
        <v>1</v>
      </c>
      <c r="I77" s="188" t="s">
        <v>11</v>
      </c>
      <c r="J77" s="189">
        <v>2000.0</v>
      </c>
      <c r="K77" s="189">
        <v>10000.0</v>
      </c>
      <c r="L77" s="190"/>
      <c r="M77" s="191">
        <f>K77</f>
        <v>10000</v>
      </c>
      <c r="N77" s="190"/>
      <c r="O77" s="190"/>
      <c r="P77" s="192">
        <f>iferror(K77*J77,"-")</f>
        <v>20000000</v>
      </c>
      <c r="Q77" s="1014"/>
      <c r="R77" s="181"/>
      <c r="S77" s="826"/>
      <c r="T77" s="826"/>
      <c r="U77" s="814"/>
      <c r="V77" s="827">
        <f>6000/0.9</f>
        <v>6666.666667</v>
      </c>
      <c r="W77" s="832"/>
      <c r="X77" s="828"/>
      <c r="Y77" s="828"/>
      <c r="Z77" s="828"/>
      <c r="AA77" s="829"/>
      <c r="AB77" s="830"/>
      <c r="AC77" s="828"/>
      <c r="AD77" s="828"/>
      <c r="AE77" s="828"/>
      <c r="AF77" s="804">
        <f>(Y77*2+AA77*50+AC77*10+AE77*50)*J77</f>
        <v>0</v>
      </c>
      <c r="AG77" s="804">
        <f>sum(V77,AF77)*J77</f>
        <v>13333333.33</v>
      </c>
      <c r="AH77" s="804">
        <f>iferror(P77-AG77,"-")</f>
        <v>6666666.667</v>
      </c>
      <c r="AI77" s="805">
        <f>iferror(AH77/P77,"-")</f>
        <v>0.3333333333</v>
      </c>
      <c r="AJ77" s="838"/>
      <c r="AK77" s="523"/>
      <c r="AL77" s="523"/>
      <c r="AM77" s="523"/>
    </row>
    <row r="78" ht="23.25" customHeight="1">
      <c r="A78" s="194"/>
      <c r="B78" s="195"/>
      <c r="C78" s="195"/>
      <c r="D78" s="195"/>
      <c r="E78" s="195"/>
      <c r="F78" s="196"/>
      <c r="G78" s="195"/>
      <c r="H78" s="197" t="s">
        <v>357</v>
      </c>
      <c r="I78" s="195"/>
      <c r="J78" s="195"/>
      <c r="K78" s="195"/>
      <c r="L78" s="198">
        <f t="shared" ref="L78:M78" si="46">sum(L76,L64,L42,L20)</f>
        <v>1405000</v>
      </c>
      <c r="M78" s="198">
        <f t="shared" si="46"/>
        <v>71700</v>
      </c>
      <c r="N78" s="199"/>
      <c r="O78" s="199"/>
      <c r="P78" s="198">
        <f>sum(P76,P64,P42,P20)</f>
        <v>518000000</v>
      </c>
      <c r="Q78" s="200"/>
      <c r="R78" s="8"/>
      <c r="S78" s="717"/>
      <c r="T78" s="717"/>
      <c r="U78" s="580"/>
      <c r="V78" s="839"/>
      <c r="W78" s="839"/>
      <c r="X78" s="839"/>
      <c r="Y78" s="839"/>
      <c r="Z78" s="839"/>
      <c r="AA78" s="839"/>
      <c r="AB78" s="839"/>
      <c r="AC78" s="839"/>
      <c r="AD78" s="839"/>
      <c r="AE78" s="839"/>
      <c r="AF78" s="840">
        <f t="shared" ref="AF78:AH78" si="47">sum(AF20:AF77)</f>
        <v>2785000</v>
      </c>
      <c r="AG78" s="840">
        <f t="shared" si="47"/>
        <v>275896111.1</v>
      </c>
      <c r="AH78" s="840">
        <f t="shared" si="47"/>
        <v>242103888.9</v>
      </c>
      <c r="AI78" s="841" t="str">
        <f>iferror(AH78/#REF!,"-")</f>
        <v>-</v>
      </c>
      <c r="AJ78" s="218"/>
      <c r="AK78" s="218"/>
      <c r="AL78" s="218"/>
      <c r="AM78" s="218"/>
    </row>
    <row r="79" ht="25.5" customHeight="1">
      <c r="A79" s="194"/>
      <c r="B79" s="195"/>
      <c r="C79" s="195"/>
      <c r="D79" s="195"/>
      <c r="E79" s="195"/>
      <c r="F79" s="196"/>
      <c r="G79" s="195"/>
      <c r="H79" s="197" t="s">
        <v>358</v>
      </c>
      <c r="I79" s="195"/>
      <c r="J79" s="195"/>
      <c r="K79" s="195"/>
      <c r="L79" s="195"/>
      <c r="M79" s="195"/>
      <c r="N79" s="195"/>
      <c r="O79" s="201">
        <v>0.12</v>
      </c>
      <c r="P79" s="198">
        <f>P78*O79</f>
        <v>62160000</v>
      </c>
      <c r="Q79" s="200"/>
      <c r="R79" s="8"/>
      <c r="S79" s="8"/>
      <c r="T79" s="8"/>
      <c r="U79" s="580"/>
      <c r="V79" s="581"/>
      <c r="W79" s="3"/>
      <c r="X79" s="3"/>
      <c r="Y79" s="3"/>
      <c r="Z79" s="3"/>
      <c r="AA79" s="3"/>
      <c r="AB79" s="3"/>
      <c r="AC79" s="3"/>
      <c r="AD79" s="3"/>
      <c r="AE79" s="3"/>
      <c r="AF79" s="844" t="s">
        <v>1032</v>
      </c>
      <c r="AG79" s="845"/>
      <c r="AH79" s="3"/>
      <c r="AI79" s="3"/>
      <c r="AJ79" s="218"/>
      <c r="AK79" s="218"/>
      <c r="AL79" s="218"/>
      <c r="AM79" s="218"/>
    </row>
    <row r="80" ht="25.5" customHeight="1">
      <c r="A80" s="202"/>
      <c r="B80" s="203"/>
      <c r="C80" s="203"/>
      <c r="D80" s="203"/>
      <c r="E80" s="203"/>
      <c r="F80" s="204"/>
      <c r="G80" s="203"/>
      <c r="H80" s="205" t="s">
        <v>359</v>
      </c>
      <c r="I80" s="203"/>
      <c r="J80" s="203"/>
      <c r="K80" s="203"/>
      <c r="L80" s="203"/>
      <c r="M80" s="203"/>
      <c r="N80" s="203"/>
      <c r="O80" s="206"/>
      <c r="P80" s="207">
        <f>SUM(P78:P79)</f>
        <v>580160000</v>
      </c>
      <c r="Q80" s="208"/>
      <c r="R80" s="8"/>
      <c r="S80" s="8"/>
      <c r="T80" s="8"/>
      <c r="U80" s="580"/>
      <c r="V80" s="581"/>
      <c r="W80" s="3"/>
      <c r="X80" s="3"/>
      <c r="Y80" s="3"/>
      <c r="Z80" s="3"/>
      <c r="AA80" s="3"/>
      <c r="AB80" s="3"/>
      <c r="AC80" s="3"/>
      <c r="AD80" s="3"/>
      <c r="AE80" s="3"/>
      <c r="AF80" s="852" t="s">
        <v>1033</v>
      </c>
      <c r="AG80" s="853">
        <f>(30*600000)/0.9</f>
        <v>20000000</v>
      </c>
      <c r="AH80" s="854" t="s">
        <v>1034</v>
      </c>
      <c r="AI80" s="3"/>
      <c r="AJ80" s="218"/>
      <c r="AK80" s="218"/>
      <c r="AL80" s="218"/>
      <c r="AM80" s="218"/>
    </row>
    <row r="81" ht="25.5" customHeight="1">
      <c r="A81" s="209"/>
      <c r="B81" s="210"/>
      <c r="C81" s="210"/>
      <c r="D81" s="210"/>
      <c r="E81" s="210"/>
      <c r="F81" s="211"/>
      <c r="G81" s="210"/>
      <c r="H81" s="212" t="s">
        <v>360</v>
      </c>
      <c r="I81" s="210"/>
      <c r="J81" s="210"/>
      <c r="K81" s="210"/>
      <c r="L81" s="210"/>
      <c r="M81" s="210"/>
      <c r="N81" s="210"/>
      <c r="O81" s="213"/>
      <c r="P81" s="214">
        <f>P80*1.08</f>
        <v>626572800</v>
      </c>
      <c r="Q81" s="215"/>
      <c r="R81" s="8"/>
      <c r="S81" s="8"/>
      <c r="T81" s="8"/>
      <c r="U81" s="580"/>
      <c r="V81" s="581"/>
      <c r="W81" s="3"/>
      <c r="X81" s="3"/>
      <c r="Y81" s="3"/>
      <c r="Z81" s="3"/>
      <c r="AA81" s="3"/>
      <c r="AB81" s="3"/>
      <c r="AC81" s="3"/>
      <c r="AD81" s="3"/>
      <c r="AE81" s="3"/>
      <c r="AF81" s="860" t="s">
        <v>5</v>
      </c>
      <c r="AG81" s="861">
        <f>sum(AG78,AG80)</f>
        <v>295896111.1</v>
      </c>
      <c r="AH81" s="854"/>
      <c r="AI81" s="851"/>
      <c r="AJ81" s="218"/>
      <c r="AK81" s="218"/>
      <c r="AL81" s="218"/>
      <c r="AM81" s="218"/>
    </row>
    <row r="82" ht="25.5" customHeight="1">
      <c r="R82" s="8"/>
      <c r="S82" s="8"/>
      <c r="T82" s="8"/>
      <c r="U82" s="580"/>
      <c r="V82" s="581"/>
      <c r="W82" s="3"/>
      <c r="X82" s="3"/>
      <c r="Y82" s="3"/>
      <c r="Z82" s="3"/>
      <c r="AA82" s="3"/>
      <c r="AB82" s="3"/>
      <c r="AC82" s="3"/>
      <c r="AD82" s="3"/>
      <c r="AE82" s="3"/>
      <c r="AF82" s="852" t="s">
        <v>1035</v>
      </c>
      <c r="AG82" s="861">
        <f>P78-AG81</f>
        <v>222103888.9</v>
      </c>
      <c r="AH82" s="3"/>
      <c r="AI82" s="3"/>
      <c r="AJ82" s="218"/>
      <c r="AK82" s="218"/>
      <c r="AL82" s="218"/>
      <c r="AM82" s="218"/>
    </row>
    <row r="83" ht="25.5" customHeight="1">
      <c r="A83" s="217"/>
      <c r="B83" s="218"/>
      <c r="C83" s="218"/>
      <c r="D83" s="219"/>
      <c r="E83" s="218"/>
      <c r="F83" s="220"/>
      <c r="G83" s="218"/>
      <c r="H83" s="218"/>
      <c r="I83" s="221"/>
      <c r="J83" s="222"/>
      <c r="K83" s="221"/>
      <c r="L83" s="221"/>
      <c r="M83" s="221"/>
      <c r="N83" s="221"/>
      <c r="O83" s="221"/>
      <c r="P83" s="221"/>
      <c r="Q83" s="223"/>
      <c r="R83" s="8"/>
      <c r="S83" s="8"/>
      <c r="T83" s="8"/>
      <c r="U83" s="580"/>
      <c r="V83" s="865"/>
      <c r="W83" s="3"/>
      <c r="X83" s="3"/>
      <c r="Y83" s="3"/>
      <c r="Z83" s="3"/>
      <c r="AA83" s="3"/>
      <c r="AB83" s="3"/>
      <c r="AC83" s="3"/>
      <c r="AD83" s="3"/>
      <c r="AE83" s="3"/>
      <c r="AF83" s="866" t="s">
        <v>1036</v>
      </c>
      <c r="AG83" s="867">
        <f>iferror(AG82/P78,"-")</f>
        <v>0.4287719863</v>
      </c>
      <c r="AH83" s="3"/>
      <c r="AI83" s="3"/>
      <c r="AJ83" s="218"/>
      <c r="AK83" s="218"/>
      <c r="AL83" s="218"/>
      <c r="AM83" s="218"/>
    </row>
    <row r="84" ht="29.25" customHeight="1">
      <c r="A84" s="33"/>
      <c r="B84" s="2"/>
      <c r="C84" s="2"/>
      <c r="D84" s="2"/>
      <c r="E84" s="2"/>
      <c r="F84" s="4"/>
      <c r="G84" s="2"/>
      <c r="H84" s="2"/>
      <c r="I84" s="2"/>
      <c r="J84" s="5"/>
      <c r="K84" s="2"/>
      <c r="L84" s="2"/>
      <c r="M84" s="2"/>
      <c r="N84" s="2"/>
      <c r="O84" s="2"/>
      <c r="P84" s="2"/>
      <c r="Q84" s="7"/>
      <c r="R84" s="224"/>
      <c r="S84" s="224"/>
      <c r="T84" s="224"/>
      <c r="U84" s="868"/>
      <c r="V84" s="865"/>
      <c r="W84" s="2"/>
      <c r="X84" s="2"/>
      <c r="Y84" s="2"/>
      <c r="Z84" s="2"/>
      <c r="AA84" s="2"/>
      <c r="AB84" s="2"/>
      <c r="AC84" s="2"/>
      <c r="AD84" s="2"/>
      <c r="AE84" s="2"/>
      <c r="AH84" s="2"/>
      <c r="AI84" s="2"/>
      <c r="AJ84" s="218"/>
      <c r="AK84" s="218"/>
      <c r="AL84" s="218"/>
      <c r="AM84" s="218"/>
    </row>
    <row r="85">
      <c r="A85" s="33"/>
      <c r="B85" s="2"/>
      <c r="C85" s="2"/>
      <c r="D85" s="2"/>
      <c r="E85" s="2"/>
      <c r="F85" s="4"/>
      <c r="G85" s="2"/>
      <c r="H85" s="2"/>
      <c r="I85" s="2"/>
      <c r="J85" s="5"/>
      <c r="K85" s="2"/>
      <c r="L85" s="2"/>
      <c r="M85" s="2"/>
      <c r="N85" s="2"/>
      <c r="O85" s="2"/>
      <c r="P85" s="2"/>
      <c r="Q85" s="7"/>
      <c r="R85" s="224"/>
      <c r="S85" s="224"/>
      <c r="T85" s="224"/>
      <c r="U85" s="868"/>
      <c r="V85" s="865"/>
      <c r="W85" s="2"/>
      <c r="X85" s="2"/>
      <c r="Y85" s="2"/>
      <c r="Z85" s="2"/>
      <c r="AA85" s="2"/>
      <c r="AB85" s="2"/>
      <c r="AC85" s="2"/>
      <c r="AD85" s="2"/>
      <c r="AE85" s="2"/>
      <c r="AF85" s="2"/>
      <c r="AG85" s="2"/>
      <c r="AH85" s="2"/>
      <c r="AI85" s="2"/>
      <c r="AJ85" s="218"/>
      <c r="AK85" s="218"/>
      <c r="AL85" s="218"/>
      <c r="AM85" s="218"/>
    </row>
    <row r="86">
      <c r="A86" s="33"/>
      <c r="B86" s="2"/>
      <c r="C86" s="225"/>
      <c r="D86" s="2"/>
      <c r="E86" s="2"/>
      <c r="F86" s="4"/>
      <c r="G86" s="2"/>
      <c r="H86" s="2"/>
      <c r="I86" s="2"/>
      <c r="J86" s="5"/>
      <c r="K86" s="2"/>
      <c r="L86" s="2"/>
      <c r="M86" s="2"/>
      <c r="N86" s="2"/>
      <c r="O86" s="2"/>
      <c r="P86" s="2"/>
      <c r="Q86" s="7"/>
      <c r="R86" s="224"/>
      <c r="S86" s="224"/>
      <c r="T86" s="224"/>
      <c r="U86" s="868"/>
      <c r="V86" s="865"/>
      <c r="W86" s="2"/>
      <c r="X86" s="2"/>
      <c r="Y86" s="2"/>
      <c r="Z86" s="2"/>
      <c r="AA86" s="2"/>
      <c r="AB86" s="2"/>
      <c r="AC86" s="2"/>
      <c r="AD86" s="2"/>
      <c r="AE86" s="2"/>
      <c r="AF86" s="2"/>
      <c r="AG86" s="2"/>
      <c r="AH86" s="2"/>
      <c r="AI86" s="2"/>
      <c r="AJ86" s="218"/>
      <c r="AK86" s="218"/>
      <c r="AL86" s="218"/>
      <c r="AM86" s="218"/>
    </row>
    <row r="87">
      <c r="A87" s="33"/>
      <c r="B87" s="2"/>
      <c r="C87" s="2"/>
      <c r="D87" s="2"/>
      <c r="E87" s="2"/>
      <c r="F87" s="4"/>
      <c r="G87" s="2"/>
      <c r="H87" s="2"/>
      <c r="I87" s="2"/>
      <c r="J87" s="5"/>
      <c r="K87" s="2"/>
      <c r="L87" s="2"/>
      <c r="M87" s="2"/>
      <c r="N87" s="2"/>
      <c r="O87" s="2"/>
      <c r="P87" s="2"/>
      <c r="Q87" s="7"/>
      <c r="R87" s="224"/>
      <c r="S87" s="224"/>
      <c r="T87" s="224"/>
      <c r="U87" s="868"/>
      <c r="V87" s="865"/>
      <c r="W87" s="2"/>
      <c r="X87" s="2"/>
      <c r="Y87" s="2"/>
      <c r="Z87" s="2"/>
      <c r="AA87" s="2"/>
      <c r="AB87" s="2"/>
      <c r="AC87" s="2"/>
      <c r="AD87" s="2"/>
      <c r="AE87" s="2"/>
      <c r="AF87" s="2"/>
      <c r="AG87" s="2"/>
      <c r="AH87" s="2"/>
      <c r="AI87" s="2"/>
      <c r="AJ87" s="218"/>
      <c r="AK87" s="218"/>
      <c r="AL87" s="218"/>
      <c r="AM87" s="218"/>
    </row>
    <row r="88">
      <c r="A88" s="33"/>
      <c r="B88" s="2"/>
      <c r="C88" s="2"/>
      <c r="D88" s="2"/>
      <c r="E88" s="2"/>
      <c r="F88" s="4"/>
      <c r="G88" s="2"/>
      <c r="H88" s="2"/>
      <c r="I88" s="2"/>
      <c r="J88" s="5"/>
      <c r="K88" s="2"/>
      <c r="L88" s="2"/>
      <c r="M88" s="2"/>
      <c r="N88" s="2"/>
      <c r="O88" s="2"/>
      <c r="P88" s="2"/>
      <c r="Q88" s="7"/>
      <c r="R88" s="224"/>
      <c r="S88" s="224"/>
      <c r="T88" s="224"/>
      <c r="U88" s="868"/>
      <c r="V88" s="865"/>
      <c r="W88" s="2"/>
      <c r="X88" s="2"/>
      <c r="Y88" s="2"/>
      <c r="Z88" s="2"/>
      <c r="AA88" s="2"/>
      <c r="AB88" s="2"/>
      <c r="AC88" s="2"/>
      <c r="AD88" s="2"/>
      <c r="AE88" s="2"/>
      <c r="AF88" s="2"/>
      <c r="AG88" s="2"/>
      <c r="AH88" s="2"/>
      <c r="AI88" s="2"/>
      <c r="AJ88" s="218"/>
      <c r="AK88" s="218"/>
      <c r="AL88" s="218"/>
      <c r="AM88" s="218"/>
    </row>
    <row r="89">
      <c r="A89" s="33"/>
      <c r="B89" s="2"/>
      <c r="C89" s="2"/>
      <c r="D89" s="2"/>
      <c r="E89" s="2"/>
      <c r="F89" s="4"/>
      <c r="G89" s="2"/>
      <c r="H89" s="2"/>
      <c r="I89" s="2"/>
      <c r="J89" s="5"/>
      <c r="K89" s="2"/>
      <c r="L89" s="2"/>
      <c r="M89" s="2"/>
      <c r="N89" s="2"/>
      <c r="O89" s="2"/>
      <c r="P89" s="2"/>
      <c r="Q89" s="7"/>
      <c r="R89" s="224"/>
      <c r="S89" s="224"/>
      <c r="T89" s="224"/>
      <c r="U89" s="868"/>
      <c r="V89" s="865"/>
      <c r="W89" s="2"/>
      <c r="X89" s="2"/>
      <c r="Y89" s="2"/>
      <c r="Z89" s="2"/>
      <c r="AA89" s="2"/>
      <c r="AB89" s="2"/>
      <c r="AC89" s="2"/>
      <c r="AD89" s="2"/>
      <c r="AE89" s="2"/>
      <c r="AF89" s="2"/>
      <c r="AG89" s="2"/>
      <c r="AH89" s="2"/>
      <c r="AI89" s="2"/>
      <c r="AJ89" s="218"/>
      <c r="AK89" s="218"/>
      <c r="AL89" s="218"/>
      <c r="AM89" s="218"/>
    </row>
    <row r="90">
      <c r="A90" s="33"/>
      <c r="B90" s="2"/>
      <c r="C90" s="2"/>
      <c r="D90" s="2"/>
      <c r="E90" s="2"/>
      <c r="F90" s="4"/>
      <c r="G90" s="2"/>
      <c r="H90" s="2"/>
      <c r="I90" s="2"/>
      <c r="J90" s="5"/>
      <c r="K90" s="2"/>
      <c r="L90" s="2"/>
      <c r="M90" s="2"/>
      <c r="N90" s="2"/>
      <c r="O90" s="2"/>
      <c r="P90" s="2"/>
      <c r="Q90" s="7"/>
      <c r="R90" s="224"/>
      <c r="S90" s="224"/>
      <c r="T90" s="224"/>
      <c r="U90" s="868"/>
      <c r="V90" s="865"/>
      <c r="W90" s="2"/>
      <c r="X90" s="2"/>
      <c r="Y90" s="2"/>
      <c r="Z90" s="2"/>
      <c r="AA90" s="2"/>
      <c r="AB90" s="2"/>
      <c r="AC90" s="2"/>
      <c r="AD90" s="2"/>
      <c r="AE90" s="2"/>
      <c r="AF90" s="2"/>
      <c r="AG90" s="2"/>
      <c r="AH90" s="2"/>
      <c r="AI90" s="2"/>
      <c r="AJ90" s="218"/>
      <c r="AK90" s="218"/>
      <c r="AL90" s="218"/>
      <c r="AM90" s="218"/>
    </row>
    <row r="91">
      <c r="A91" s="33"/>
      <c r="B91" s="2"/>
      <c r="C91" s="2"/>
      <c r="D91" s="2"/>
      <c r="E91" s="2"/>
      <c r="F91" s="4"/>
      <c r="G91" s="2"/>
      <c r="H91" s="2"/>
      <c r="I91" s="2"/>
      <c r="J91" s="5"/>
      <c r="K91" s="2"/>
      <c r="L91" s="2"/>
      <c r="M91" s="2"/>
      <c r="N91" s="2"/>
      <c r="O91" s="2"/>
      <c r="P91" s="2"/>
      <c r="Q91" s="7"/>
      <c r="R91" s="224"/>
      <c r="S91" s="224"/>
      <c r="T91" s="224"/>
      <c r="U91" s="868"/>
      <c r="V91" s="865"/>
      <c r="W91" s="2"/>
      <c r="X91" s="2"/>
      <c r="Y91" s="2"/>
      <c r="Z91" s="2"/>
      <c r="AA91" s="2"/>
      <c r="AB91" s="2"/>
      <c r="AC91" s="2"/>
      <c r="AD91" s="2"/>
      <c r="AE91" s="2"/>
      <c r="AF91" s="2"/>
      <c r="AG91" s="2"/>
      <c r="AH91" s="2"/>
      <c r="AI91" s="2"/>
      <c r="AJ91" s="218"/>
      <c r="AK91" s="218"/>
      <c r="AL91" s="218"/>
      <c r="AM91" s="218"/>
    </row>
    <row r="92">
      <c r="A92" s="33"/>
      <c r="B92" s="2"/>
      <c r="C92" s="2"/>
      <c r="D92" s="2"/>
      <c r="E92" s="2"/>
      <c r="F92" s="4"/>
      <c r="G92" s="2"/>
      <c r="H92" s="2"/>
      <c r="I92" s="2"/>
      <c r="J92" s="5"/>
      <c r="K92" s="2"/>
      <c r="L92" s="2"/>
      <c r="M92" s="2"/>
      <c r="N92" s="2"/>
      <c r="O92" s="2"/>
      <c r="P92" s="2"/>
      <c r="Q92" s="7"/>
      <c r="R92" s="224"/>
      <c r="S92" s="224"/>
      <c r="T92" s="224"/>
      <c r="U92" s="868"/>
      <c r="V92" s="865"/>
      <c r="W92" s="2"/>
      <c r="X92" s="2"/>
      <c r="Y92" s="2"/>
      <c r="Z92" s="2"/>
      <c r="AA92" s="2"/>
      <c r="AB92" s="2"/>
      <c r="AC92" s="2"/>
      <c r="AD92" s="2"/>
      <c r="AE92" s="2"/>
      <c r="AF92" s="2"/>
      <c r="AG92" s="2"/>
      <c r="AH92" s="2"/>
      <c r="AI92" s="2"/>
      <c r="AJ92" s="218"/>
      <c r="AK92" s="218"/>
      <c r="AL92" s="218"/>
      <c r="AM92" s="218"/>
    </row>
    <row r="93">
      <c r="A93" s="33"/>
      <c r="B93" s="2"/>
      <c r="C93" s="2"/>
      <c r="D93" s="2"/>
      <c r="E93" s="2"/>
      <c r="F93" s="4"/>
      <c r="G93" s="2"/>
      <c r="H93" s="2"/>
      <c r="I93" s="2"/>
      <c r="J93" s="5"/>
      <c r="K93" s="2"/>
      <c r="L93" s="2"/>
      <c r="M93" s="2"/>
      <c r="N93" s="2"/>
      <c r="O93" s="2"/>
      <c r="P93" s="2"/>
      <c r="Q93" s="7"/>
      <c r="R93" s="224"/>
      <c r="S93" s="224"/>
      <c r="T93" s="224"/>
      <c r="U93" s="868"/>
      <c r="V93" s="865"/>
      <c r="W93" s="2"/>
      <c r="X93" s="2"/>
      <c r="Y93" s="2"/>
      <c r="Z93" s="2"/>
      <c r="AA93" s="2"/>
      <c r="AB93" s="2"/>
      <c r="AC93" s="2"/>
      <c r="AD93" s="2"/>
      <c r="AE93" s="2"/>
      <c r="AF93" s="2"/>
      <c r="AG93" s="2"/>
      <c r="AH93" s="2"/>
      <c r="AI93" s="2"/>
      <c r="AJ93" s="218"/>
      <c r="AK93" s="218"/>
      <c r="AL93" s="218"/>
      <c r="AM93" s="218"/>
    </row>
    <row r="94">
      <c r="A94" s="33"/>
      <c r="B94" s="2"/>
      <c r="C94" s="2"/>
      <c r="D94" s="2"/>
      <c r="E94" s="2"/>
      <c r="F94" s="4"/>
      <c r="G94" s="2"/>
      <c r="H94" s="2"/>
      <c r="I94" s="2"/>
      <c r="J94" s="5"/>
      <c r="K94" s="2"/>
      <c r="L94" s="2"/>
      <c r="M94" s="2"/>
      <c r="N94" s="2"/>
      <c r="O94" s="2"/>
      <c r="P94" s="2"/>
      <c r="Q94" s="7"/>
      <c r="R94" s="224"/>
      <c r="S94" s="224"/>
      <c r="T94" s="224"/>
      <c r="U94" s="868"/>
      <c r="V94" s="865"/>
      <c r="W94" s="2"/>
      <c r="X94" s="2"/>
      <c r="Y94" s="2"/>
      <c r="Z94" s="2"/>
      <c r="AA94" s="2"/>
      <c r="AB94" s="2"/>
      <c r="AC94" s="2"/>
      <c r="AD94" s="2"/>
      <c r="AE94" s="2"/>
      <c r="AF94" s="2"/>
      <c r="AG94" s="2"/>
      <c r="AH94" s="2"/>
      <c r="AI94" s="2"/>
      <c r="AJ94" s="218"/>
      <c r="AK94" s="218"/>
      <c r="AL94" s="218"/>
      <c r="AM94" s="218"/>
    </row>
    <row r="95">
      <c r="A95" s="33"/>
      <c r="B95" s="2"/>
      <c r="C95" s="2"/>
      <c r="D95" s="2"/>
      <c r="E95" s="2"/>
      <c r="F95" s="4"/>
      <c r="G95" s="2"/>
      <c r="H95" s="2"/>
      <c r="I95" s="2"/>
      <c r="J95" s="5"/>
      <c r="K95" s="2"/>
      <c r="L95" s="2"/>
      <c r="M95" s="2"/>
      <c r="N95" s="2"/>
      <c r="O95" s="2"/>
      <c r="P95" s="2"/>
      <c r="Q95" s="7"/>
      <c r="R95" s="224"/>
      <c r="S95" s="224"/>
      <c r="T95" s="224"/>
      <c r="U95" s="868"/>
      <c r="V95" s="865"/>
      <c r="W95" s="2"/>
      <c r="X95" s="2"/>
      <c r="Y95" s="2"/>
      <c r="Z95" s="2"/>
      <c r="AA95" s="2"/>
      <c r="AB95" s="2"/>
      <c r="AC95" s="2"/>
      <c r="AD95" s="2"/>
      <c r="AE95" s="2"/>
      <c r="AF95" s="2"/>
      <c r="AG95" s="2"/>
      <c r="AH95" s="2"/>
      <c r="AI95" s="2"/>
      <c r="AJ95" s="218"/>
      <c r="AK95" s="218"/>
      <c r="AL95" s="218"/>
      <c r="AM95" s="218"/>
    </row>
    <row r="96">
      <c r="A96" s="33"/>
      <c r="B96" s="2"/>
      <c r="C96" s="2"/>
      <c r="D96" s="2"/>
      <c r="E96" s="2"/>
      <c r="F96" s="4"/>
      <c r="G96" s="2"/>
      <c r="H96" s="2"/>
      <c r="I96" s="2"/>
      <c r="J96" s="5"/>
      <c r="K96" s="2"/>
      <c r="L96" s="2"/>
      <c r="M96" s="2"/>
      <c r="N96" s="2"/>
      <c r="O96" s="2"/>
      <c r="P96" s="2"/>
      <c r="Q96" s="7"/>
      <c r="R96" s="224"/>
      <c r="S96" s="224"/>
      <c r="T96" s="224"/>
      <c r="U96" s="868"/>
      <c r="V96" s="865"/>
      <c r="W96" s="2"/>
      <c r="X96" s="2"/>
      <c r="Y96" s="2"/>
      <c r="Z96" s="2"/>
      <c r="AA96" s="2"/>
      <c r="AB96" s="2"/>
      <c r="AC96" s="2"/>
      <c r="AD96" s="2"/>
      <c r="AE96" s="2"/>
      <c r="AF96" s="2"/>
      <c r="AG96" s="2"/>
      <c r="AH96" s="2"/>
      <c r="AI96" s="2"/>
      <c r="AJ96" s="218"/>
      <c r="AK96" s="218"/>
      <c r="AL96" s="218"/>
      <c r="AM96" s="218"/>
    </row>
    <row r="97">
      <c r="A97" s="33"/>
      <c r="B97" s="2"/>
      <c r="C97" s="2"/>
      <c r="D97" s="2"/>
      <c r="E97" s="2"/>
      <c r="F97" s="4"/>
      <c r="G97" s="2"/>
      <c r="H97" s="2"/>
      <c r="I97" s="2"/>
      <c r="J97" s="5"/>
      <c r="K97" s="2"/>
      <c r="L97" s="2"/>
      <c r="M97" s="2"/>
      <c r="N97" s="2"/>
      <c r="O97" s="2"/>
      <c r="P97" s="2"/>
      <c r="Q97" s="7"/>
      <c r="R97" s="224"/>
      <c r="S97" s="224"/>
      <c r="T97" s="224"/>
      <c r="U97" s="868"/>
      <c r="V97" s="865"/>
      <c r="W97" s="2"/>
      <c r="X97" s="2"/>
      <c r="Y97" s="2"/>
      <c r="Z97" s="2"/>
      <c r="AA97" s="2"/>
      <c r="AB97" s="2"/>
      <c r="AC97" s="2"/>
      <c r="AD97" s="2"/>
      <c r="AE97" s="2"/>
      <c r="AF97" s="2"/>
      <c r="AG97" s="2"/>
      <c r="AH97" s="2"/>
      <c r="AI97" s="2"/>
      <c r="AJ97" s="218"/>
      <c r="AK97" s="218"/>
      <c r="AL97" s="218"/>
      <c r="AM97" s="218"/>
    </row>
    <row r="98">
      <c r="A98" s="33"/>
      <c r="B98" s="2"/>
      <c r="C98" s="2"/>
      <c r="D98" s="2"/>
      <c r="E98" s="2"/>
      <c r="F98" s="4"/>
      <c r="G98" s="2"/>
      <c r="H98" s="2"/>
      <c r="I98" s="2"/>
      <c r="J98" s="5"/>
      <c r="K98" s="2"/>
      <c r="L98" s="2"/>
      <c r="M98" s="2"/>
      <c r="N98" s="2"/>
      <c r="O98" s="2"/>
      <c r="P98" s="2"/>
      <c r="Q98" s="7"/>
      <c r="R98" s="224"/>
      <c r="S98" s="224"/>
      <c r="T98" s="224"/>
      <c r="U98" s="868"/>
      <c r="V98" s="865"/>
      <c r="W98" s="2"/>
      <c r="X98" s="2"/>
      <c r="Y98" s="2"/>
      <c r="Z98" s="2"/>
      <c r="AA98" s="2"/>
      <c r="AB98" s="2"/>
      <c r="AC98" s="2"/>
      <c r="AD98" s="2"/>
      <c r="AE98" s="2"/>
      <c r="AF98" s="2"/>
      <c r="AG98" s="2"/>
      <c r="AH98" s="2"/>
      <c r="AI98" s="2"/>
      <c r="AJ98" s="218"/>
      <c r="AK98" s="218"/>
      <c r="AL98" s="218"/>
      <c r="AM98" s="218"/>
    </row>
    <row r="99">
      <c r="A99" s="33"/>
      <c r="B99" s="2"/>
      <c r="C99" s="2"/>
      <c r="D99" s="2"/>
      <c r="E99" s="2"/>
      <c r="F99" s="4"/>
      <c r="G99" s="2"/>
      <c r="H99" s="2"/>
      <c r="I99" s="2"/>
      <c r="J99" s="5"/>
      <c r="K99" s="2"/>
      <c r="L99" s="2"/>
      <c r="M99" s="2"/>
      <c r="N99" s="2"/>
      <c r="O99" s="2"/>
      <c r="P99" s="2"/>
      <c r="Q99" s="7"/>
      <c r="R99" s="224"/>
      <c r="S99" s="224"/>
      <c r="T99" s="224"/>
      <c r="U99" s="868"/>
      <c r="V99" s="865"/>
      <c r="W99" s="2"/>
      <c r="X99" s="2"/>
      <c r="Y99" s="2"/>
      <c r="Z99" s="2"/>
      <c r="AA99" s="2"/>
      <c r="AB99" s="2"/>
      <c r="AC99" s="2"/>
      <c r="AD99" s="2"/>
      <c r="AE99" s="2"/>
      <c r="AF99" s="2"/>
      <c r="AG99" s="2"/>
      <c r="AH99" s="2"/>
      <c r="AI99" s="2"/>
      <c r="AJ99" s="218"/>
      <c r="AK99" s="218"/>
      <c r="AL99" s="218"/>
      <c r="AM99" s="218"/>
    </row>
    <row r="100">
      <c r="A100" s="33"/>
      <c r="B100" s="2"/>
      <c r="C100" s="2"/>
      <c r="D100" s="2"/>
      <c r="E100" s="2"/>
      <c r="F100" s="4"/>
      <c r="G100" s="2"/>
      <c r="H100" s="2"/>
      <c r="I100" s="2"/>
      <c r="J100" s="5"/>
      <c r="K100" s="2"/>
      <c r="L100" s="2"/>
      <c r="M100" s="2"/>
      <c r="N100" s="2"/>
      <c r="O100" s="2"/>
      <c r="P100" s="2"/>
      <c r="Q100" s="7"/>
      <c r="R100" s="224"/>
      <c r="S100" s="224"/>
      <c r="T100" s="224"/>
      <c r="U100" s="868"/>
      <c r="V100" s="865"/>
      <c r="W100" s="2"/>
      <c r="X100" s="2"/>
      <c r="Y100" s="2"/>
      <c r="Z100" s="2"/>
      <c r="AA100" s="2"/>
      <c r="AB100" s="2"/>
      <c r="AC100" s="2"/>
      <c r="AD100" s="2"/>
      <c r="AE100" s="2"/>
      <c r="AF100" s="2"/>
      <c r="AG100" s="2"/>
      <c r="AH100" s="2"/>
      <c r="AI100" s="2"/>
      <c r="AJ100" s="218"/>
      <c r="AK100" s="218"/>
      <c r="AL100" s="218"/>
      <c r="AM100" s="218"/>
    </row>
    <row r="101">
      <c r="A101" s="33"/>
      <c r="B101" s="2"/>
      <c r="C101" s="2"/>
      <c r="D101" s="2"/>
      <c r="E101" s="2"/>
      <c r="F101" s="4"/>
      <c r="G101" s="2"/>
      <c r="H101" s="2"/>
      <c r="I101" s="2"/>
      <c r="J101" s="5"/>
      <c r="K101" s="2"/>
      <c r="L101" s="2"/>
      <c r="M101" s="2"/>
      <c r="N101" s="2"/>
      <c r="O101" s="2"/>
      <c r="P101" s="2"/>
      <c r="Q101" s="7"/>
      <c r="R101" s="224"/>
      <c r="S101" s="224"/>
      <c r="T101" s="224"/>
      <c r="U101" s="868"/>
      <c r="V101" s="865"/>
      <c r="W101" s="2"/>
      <c r="X101" s="2"/>
      <c r="Y101" s="2"/>
      <c r="Z101" s="2"/>
      <c r="AA101" s="2"/>
      <c r="AB101" s="2"/>
      <c r="AC101" s="2"/>
      <c r="AD101" s="2"/>
      <c r="AE101" s="2"/>
      <c r="AF101" s="2"/>
      <c r="AG101" s="2"/>
      <c r="AH101" s="2"/>
      <c r="AI101" s="2"/>
      <c r="AJ101" s="218"/>
      <c r="AK101" s="218"/>
      <c r="AL101" s="218"/>
      <c r="AM101" s="218"/>
    </row>
    <row r="102">
      <c r="A102" s="33"/>
      <c r="B102" s="2"/>
      <c r="C102" s="2"/>
      <c r="D102" s="2"/>
      <c r="E102" s="2"/>
      <c r="F102" s="4"/>
      <c r="G102" s="2"/>
      <c r="H102" s="2"/>
      <c r="I102" s="2"/>
      <c r="J102" s="5"/>
      <c r="K102" s="2"/>
      <c r="L102" s="2"/>
      <c r="M102" s="2"/>
      <c r="N102" s="2"/>
      <c r="O102" s="2"/>
      <c r="P102" s="2"/>
      <c r="Q102" s="7"/>
      <c r="R102" s="224"/>
      <c r="S102" s="224"/>
      <c r="T102" s="224"/>
      <c r="U102" s="868"/>
      <c r="V102" s="865"/>
      <c r="W102" s="2"/>
      <c r="X102" s="2"/>
      <c r="Y102" s="2"/>
      <c r="Z102" s="2"/>
      <c r="AA102" s="2"/>
      <c r="AB102" s="2"/>
      <c r="AC102" s="2"/>
      <c r="AD102" s="2"/>
      <c r="AE102" s="2"/>
      <c r="AF102" s="2"/>
      <c r="AG102" s="2"/>
      <c r="AH102" s="2"/>
      <c r="AI102" s="2"/>
      <c r="AJ102" s="218"/>
      <c r="AK102" s="218"/>
      <c r="AL102" s="218"/>
      <c r="AM102" s="218"/>
    </row>
    <row r="103">
      <c r="A103" s="33"/>
      <c r="B103" s="2"/>
      <c r="C103" s="2"/>
      <c r="D103" s="2"/>
      <c r="E103" s="2"/>
      <c r="F103" s="4"/>
      <c r="G103" s="2"/>
      <c r="H103" s="2"/>
      <c r="I103" s="2"/>
      <c r="J103" s="5"/>
      <c r="K103" s="2"/>
      <c r="L103" s="2"/>
      <c r="M103" s="2"/>
      <c r="N103" s="2"/>
      <c r="O103" s="2"/>
      <c r="P103" s="2"/>
      <c r="Q103" s="7"/>
      <c r="R103" s="224"/>
      <c r="S103" s="224"/>
      <c r="T103" s="224"/>
      <c r="U103" s="868"/>
      <c r="V103" s="865"/>
      <c r="W103" s="2"/>
      <c r="X103" s="2"/>
      <c r="Y103" s="2"/>
      <c r="Z103" s="2"/>
      <c r="AA103" s="2"/>
      <c r="AB103" s="2"/>
      <c r="AC103" s="2"/>
      <c r="AD103" s="2"/>
      <c r="AE103" s="2"/>
      <c r="AF103" s="2"/>
      <c r="AG103" s="2"/>
      <c r="AH103" s="2"/>
      <c r="AI103" s="2"/>
      <c r="AJ103" s="218"/>
      <c r="AK103" s="218"/>
      <c r="AL103" s="218"/>
      <c r="AM103" s="218"/>
    </row>
    <row r="104">
      <c r="A104" s="33"/>
      <c r="B104" s="2"/>
      <c r="C104" s="2"/>
      <c r="D104" s="2"/>
      <c r="E104" s="2"/>
      <c r="F104" s="4"/>
      <c r="G104" s="2"/>
      <c r="H104" s="2"/>
      <c r="I104" s="2"/>
      <c r="J104" s="5"/>
      <c r="K104" s="2"/>
      <c r="L104" s="2"/>
      <c r="M104" s="2"/>
      <c r="N104" s="2"/>
      <c r="O104" s="2"/>
      <c r="P104" s="2"/>
      <c r="Q104" s="7"/>
      <c r="R104" s="224"/>
      <c r="S104" s="224"/>
      <c r="T104" s="224"/>
      <c r="U104" s="868"/>
      <c r="V104" s="865"/>
      <c r="W104" s="2"/>
      <c r="X104" s="2"/>
      <c r="Y104" s="2"/>
      <c r="Z104" s="2"/>
      <c r="AA104" s="2"/>
      <c r="AB104" s="2"/>
      <c r="AC104" s="2"/>
      <c r="AD104" s="2"/>
      <c r="AE104" s="2"/>
      <c r="AF104" s="2"/>
      <c r="AG104" s="2"/>
      <c r="AH104" s="2"/>
      <c r="AI104" s="2"/>
      <c r="AJ104" s="218"/>
      <c r="AK104" s="218"/>
      <c r="AL104" s="218"/>
      <c r="AM104" s="218"/>
    </row>
    <row r="105">
      <c r="A105" s="33"/>
      <c r="B105" s="2"/>
      <c r="C105" s="2"/>
      <c r="D105" s="2"/>
      <c r="E105" s="2"/>
      <c r="F105" s="4"/>
      <c r="G105" s="2"/>
      <c r="H105" s="2"/>
      <c r="I105" s="2"/>
      <c r="J105" s="5"/>
      <c r="K105" s="2"/>
      <c r="L105" s="2"/>
      <c r="M105" s="2"/>
      <c r="N105" s="2"/>
      <c r="O105" s="2"/>
      <c r="P105" s="2"/>
      <c r="Q105" s="7"/>
      <c r="R105" s="224"/>
      <c r="S105" s="224"/>
      <c r="T105" s="224"/>
      <c r="U105" s="868"/>
      <c r="V105" s="865"/>
      <c r="W105" s="2"/>
      <c r="X105" s="2"/>
      <c r="Y105" s="2"/>
      <c r="Z105" s="2"/>
      <c r="AA105" s="2"/>
      <c r="AB105" s="2"/>
      <c r="AC105" s="2"/>
      <c r="AD105" s="2"/>
      <c r="AE105" s="2"/>
      <c r="AF105" s="2"/>
      <c r="AG105" s="2"/>
      <c r="AH105" s="2"/>
      <c r="AI105" s="2"/>
      <c r="AJ105" s="218"/>
      <c r="AK105" s="218"/>
      <c r="AL105" s="218"/>
      <c r="AM105" s="218"/>
    </row>
    <row r="106">
      <c r="A106" s="33"/>
      <c r="B106" s="2"/>
      <c r="C106" s="2"/>
      <c r="D106" s="2"/>
      <c r="E106" s="2"/>
      <c r="F106" s="4"/>
      <c r="G106" s="2"/>
      <c r="H106" s="2"/>
      <c r="I106" s="2"/>
      <c r="J106" s="5"/>
      <c r="K106" s="2"/>
      <c r="L106" s="2"/>
      <c r="M106" s="2"/>
      <c r="N106" s="2"/>
      <c r="O106" s="2"/>
      <c r="P106" s="2"/>
      <c r="Q106" s="7"/>
      <c r="R106" s="224"/>
      <c r="S106" s="224"/>
      <c r="T106" s="224"/>
      <c r="U106" s="868"/>
      <c r="V106" s="865"/>
      <c r="W106" s="2"/>
      <c r="X106" s="2"/>
      <c r="Y106" s="2"/>
      <c r="Z106" s="2"/>
      <c r="AA106" s="2"/>
      <c r="AB106" s="2"/>
      <c r="AC106" s="2"/>
      <c r="AD106" s="2"/>
      <c r="AE106" s="2"/>
      <c r="AF106" s="2"/>
      <c r="AG106" s="2"/>
      <c r="AH106" s="2"/>
      <c r="AI106" s="2"/>
      <c r="AJ106" s="218"/>
      <c r="AK106" s="218"/>
      <c r="AL106" s="218"/>
      <c r="AM106" s="218"/>
    </row>
    <row r="107">
      <c r="A107" s="33"/>
      <c r="B107" s="2"/>
      <c r="C107" s="2"/>
      <c r="D107" s="2"/>
      <c r="E107" s="2"/>
      <c r="F107" s="4"/>
      <c r="G107" s="2"/>
      <c r="H107" s="2"/>
      <c r="I107" s="2"/>
      <c r="J107" s="5"/>
      <c r="K107" s="2"/>
      <c r="L107" s="2"/>
      <c r="M107" s="2"/>
      <c r="N107" s="2"/>
      <c r="O107" s="2"/>
      <c r="P107" s="2"/>
      <c r="Q107" s="7"/>
      <c r="R107" s="224"/>
      <c r="S107" s="224"/>
      <c r="T107" s="224"/>
      <c r="U107" s="868"/>
      <c r="V107" s="865"/>
      <c r="W107" s="2"/>
      <c r="X107" s="2"/>
      <c r="Y107" s="2"/>
      <c r="Z107" s="2"/>
      <c r="AA107" s="2"/>
      <c r="AB107" s="2"/>
      <c r="AC107" s="2"/>
      <c r="AD107" s="2"/>
      <c r="AE107" s="2"/>
      <c r="AF107" s="2"/>
      <c r="AG107" s="2"/>
      <c r="AH107" s="2"/>
      <c r="AI107" s="2"/>
      <c r="AJ107" s="218"/>
      <c r="AK107" s="218"/>
      <c r="AL107" s="218"/>
      <c r="AM107" s="218"/>
    </row>
    <row r="108">
      <c r="A108" s="33"/>
      <c r="B108" s="2"/>
      <c r="C108" s="2"/>
      <c r="D108" s="2"/>
      <c r="E108" s="2"/>
      <c r="F108" s="4"/>
      <c r="G108" s="2"/>
      <c r="H108" s="2"/>
      <c r="I108" s="2"/>
      <c r="J108" s="5"/>
      <c r="K108" s="2"/>
      <c r="L108" s="2"/>
      <c r="M108" s="2"/>
      <c r="N108" s="2"/>
      <c r="O108" s="2"/>
      <c r="P108" s="2"/>
      <c r="Q108" s="7"/>
      <c r="R108" s="224"/>
      <c r="S108" s="224"/>
      <c r="T108" s="224"/>
      <c r="U108" s="868"/>
      <c r="V108" s="865"/>
      <c r="W108" s="2"/>
      <c r="X108" s="2"/>
      <c r="Y108" s="2"/>
      <c r="Z108" s="2"/>
      <c r="AA108" s="2"/>
      <c r="AB108" s="2"/>
      <c r="AC108" s="2"/>
      <c r="AD108" s="2"/>
      <c r="AE108" s="2"/>
      <c r="AF108" s="2"/>
      <c r="AG108" s="2"/>
      <c r="AH108" s="2"/>
      <c r="AI108" s="2"/>
      <c r="AJ108" s="218"/>
      <c r="AK108" s="218"/>
      <c r="AL108" s="218"/>
      <c r="AM108" s="218"/>
    </row>
    <row r="109">
      <c r="A109" s="33"/>
      <c r="B109" s="2"/>
      <c r="C109" s="2"/>
      <c r="D109" s="2"/>
      <c r="E109" s="2"/>
      <c r="F109" s="4"/>
      <c r="G109" s="2"/>
      <c r="H109" s="2"/>
      <c r="I109" s="2"/>
      <c r="J109" s="5"/>
      <c r="K109" s="2"/>
      <c r="L109" s="2"/>
      <c r="M109" s="2"/>
      <c r="N109" s="2"/>
      <c r="O109" s="2"/>
      <c r="P109" s="2"/>
      <c r="Q109" s="7"/>
      <c r="R109" s="224"/>
      <c r="S109" s="224"/>
      <c r="T109" s="224"/>
      <c r="U109" s="868"/>
      <c r="V109" s="865"/>
      <c r="W109" s="2"/>
      <c r="X109" s="2"/>
      <c r="Y109" s="2"/>
      <c r="Z109" s="2"/>
      <c r="AA109" s="2"/>
      <c r="AB109" s="2"/>
      <c r="AC109" s="2"/>
      <c r="AD109" s="2"/>
      <c r="AE109" s="2"/>
      <c r="AF109" s="2"/>
      <c r="AG109" s="2"/>
      <c r="AH109" s="2"/>
      <c r="AI109" s="2"/>
      <c r="AJ109" s="218"/>
      <c r="AK109" s="218"/>
      <c r="AL109" s="218"/>
      <c r="AM109" s="218"/>
    </row>
    <row r="110">
      <c r="A110" s="33"/>
      <c r="B110" s="2"/>
      <c r="C110" s="2"/>
      <c r="D110" s="2"/>
      <c r="E110" s="2"/>
      <c r="F110" s="4"/>
      <c r="G110" s="2"/>
      <c r="H110" s="2"/>
      <c r="I110" s="2"/>
      <c r="J110" s="5"/>
      <c r="K110" s="2"/>
      <c r="L110" s="2"/>
      <c r="M110" s="2"/>
      <c r="N110" s="2"/>
      <c r="O110" s="2"/>
      <c r="P110" s="2"/>
      <c r="Q110" s="7"/>
      <c r="R110" s="224"/>
      <c r="S110" s="224"/>
      <c r="T110" s="224"/>
      <c r="U110" s="868"/>
      <c r="V110" s="865"/>
      <c r="W110" s="2"/>
      <c r="X110" s="2"/>
      <c r="Y110" s="2"/>
      <c r="Z110" s="2"/>
      <c r="AA110" s="2"/>
      <c r="AB110" s="2"/>
      <c r="AC110" s="2"/>
      <c r="AD110" s="2"/>
      <c r="AE110" s="2"/>
      <c r="AF110" s="2"/>
      <c r="AG110" s="2"/>
      <c r="AH110" s="2"/>
      <c r="AI110" s="2"/>
      <c r="AJ110" s="218"/>
      <c r="AK110" s="218"/>
      <c r="AL110" s="218"/>
      <c r="AM110" s="218"/>
    </row>
    <row r="111">
      <c r="A111" s="33"/>
      <c r="B111" s="2"/>
      <c r="C111" s="2"/>
      <c r="D111" s="2"/>
      <c r="E111" s="2"/>
      <c r="F111" s="4"/>
      <c r="G111" s="2"/>
      <c r="H111" s="2"/>
      <c r="I111" s="2"/>
      <c r="J111" s="5"/>
      <c r="K111" s="2"/>
      <c r="L111" s="2"/>
      <c r="M111" s="2"/>
      <c r="N111" s="2"/>
      <c r="O111" s="2"/>
      <c r="P111" s="2"/>
      <c r="Q111" s="7"/>
      <c r="R111" s="224"/>
      <c r="S111" s="224"/>
      <c r="T111" s="224"/>
      <c r="U111" s="868"/>
      <c r="V111" s="865"/>
      <c r="W111" s="2"/>
      <c r="X111" s="2"/>
      <c r="Y111" s="2"/>
      <c r="Z111" s="2"/>
      <c r="AA111" s="2"/>
      <c r="AB111" s="2"/>
      <c r="AC111" s="2"/>
      <c r="AD111" s="2"/>
      <c r="AE111" s="2"/>
      <c r="AF111" s="2"/>
      <c r="AG111" s="2"/>
      <c r="AH111" s="2"/>
      <c r="AI111" s="2"/>
      <c r="AJ111" s="218"/>
      <c r="AK111" s="218"/>
      <c r="AL111" s="218"/>
      <c r="AM111" s="218"/>
    </row>
    <row r="112">
      <c r="A112" s="33"/>
      <c r="B112" s="2"/>
      <c r="C112" s="2"/>
      <c r="D112" s="2"/>
      <c r="E112" s="2"/>
      <c r="F112" s="4"/>
      <c r="G112" s="2"/>
      <c r="H112" s="2"/>
      <c r="I112" s="2"/>
      <c r="J112" s="5"/>
      <c r="K112" s="2"/>
      <c r="L112" s="2"/>
      <c r="M112" s="2"/>
      <c r="N112" s="2"/>
      <c r="O112" s="2"/>
      <c r="P112" s="2"/>
      <c r="Q112" s="7"/>
      <c r="R112" s="224"/>
      <c r="S112" s="224"/>
      <c r="T112" s="224"/>
      <c r="U112" s="868"/>
      <c r="V112" s="865"/>
      <c r="W112" s="2"/>
      <c r="X112" s="2"/>
      <c r="Y112" s="2"/>
      <c r="Z112" s="2"/>
      <c r="AA112" s="2"/>
      <c r="AB112" s="2"/>
      <c r="AC112" s="2"/>
      <c r="AD112" s="2"/>
      <c r="AE112" s="2"/>
      <c r="AF112" s="2"/>
      <c r="AG112" s="2"/>
      <c r="AH112" s="2"/>
      <c r="AI112" s="2"/>
      <c r="AJ112" s="218"/>
      <c r="AK112" s="218"/>
      <c r="AL112" s="218"/>
      <c r="AM112" s="218"/>
    </row>
    <row r="113">
      <c r="A113" s="33"/>
      <c r="B113" s="2"/>
      <c r="C113" s="2"/>
      <c r="D113" s="2"/>
      <c r="E113" s="2"/>
      <c r="F113" s="4"/>
      <c r="G113" s="2"/>
      <c r="H113" s="2"/>
      <c r="I113" s="2"/>
      <c r="J113" s="5"/>
      <c r="K113" s="2"/>
      <c r="L113" s="2"/>
      <c r="M113" s="2"/>
      <c r="N113" s="2"/>
      <c r="O113" s="2"/>
      <c r="P113" s="2"/>
      <c r="Q113" s="7"/>
      <c r="R113" s="224"/>
      <c r="S113" s="224"/>
      <c r="T113" s="224"/>
      <c r="U113" s="868"/>
      <c r="V113" s="865"/>
      <c r="W113" s="2"/>
      <c r="X113" s="2"/>
      <c r="Y113" s="2"/>
      <c r="Z113" s="2"/>
      <c r="AA113" s="2"/>
      <c r="AB113" s="2"/>
      <c r="AC113" s="2"/>
      <c r="AD113" s="2"/>
      <c r="AE113" s="2"/>
      <c r="AF113" s="2"/>
      <c r="AG113" s="2"/>
      <c r="AH113" s="2"/>
      <c r="AI113" s="2"/>
      <c r="AJ113" s="218"/>
      <c r="AK113" s="218"/>
      <c r="AL113" s="218"/>
      <c r="AM113" s="218"/>
    </row>
    <row r="114">
      <c r="A114" s="33"/>
      <c r="B114" s="2"/>
      <c r="C114" s="2"/>
      <c r="D114" s="2"/>
      <c r="E114" s="2"/>
      <c r="F114" s="4"/>
      <c r="G114" s="2"/>
      <c r="H114" s="2"/>
      <c r="I114" s="2"/>
      <c r="J114" s="5"/>
      <c r="K114" s="2"/>
      <c r="L114" s="2"/>
      <c r="M114" s="2"/>
      <c r="N114" s="2"/>
      <c r="O114" s="2"/>
      <c r="P114" s="2"/>
      <c r="Q114" s="7"/>
      <c r="R114" s="226"/>
      <c r="S114" s="224"/>
      <c r="T114" s="224"/>
      <c r="U114" s="868"/>
      <c r="V114" s="865"/>
      <c r="W114" s="2"/>
      <c r="X114" s="2"/>
      <c r="Y114" s="2"/>
      <c r="Z114" s="2"/>
      <c r="AA114" s="2"/>
      <c r="AB114" s="2"/>
      <c r="AC114" s="2"/>
      <c r="AD114" s="2"/>
      <c r="AE114" s="2"/>
      <c r="AF114" s="2"/>
      <c r="AG114" s="2"/>
      <c r="AH114" s="2"/>
      <c r="AI114" s="2"/>
      <c r="AJ114" s="218"/>
      <c r="AK114" s="218"/>
      <c r="AL114" s="218"/>
      <c r="AM114" s="218"/>
    </row>
    <row r="115">
      <c r="A115" s="33"/>
      <c r="B115" s="2"/>
      <c r="C115" s="2"/>
      <c r="D115" s="2"/>
      <c r="E115" s="2"/>
      <c r="F115" s="4"/>
      <c r="G115" s="2"/>
      <c r="H115" s="2"/>
      <c r="I115" s="2"/>
      <c r="J115" s="5"/>
      <c r="K115" s="2"/>
      <c r="L115" s="2"/>
      <c r="M115" s="2"/>
      <c r="N115" s="2"/>
      <c r="O115" s="2"/>
      <c r="P115" s="2"/>
      <c r="Q115" s="7"/>
      <c r="R115" s="224"/>
      <c r="S115" s="224"/>
      <c r="T115" s="224"/>
      <c r="U115" s="868"/>
      <c r="V115" s="865"/>
      <c r="W115" s="2"/>
      <c r="X115" s="2"/>
      <c r="Y115" s="2"/>
      <c r="Z115" s="2"/>
      <c r="AA115" s="2"/>
      <c r="AB115" s="2"/>
      <c r="AC115" s="2"/>
      <c r="AD115" s="2"/>
      <c r="AE115" s="2"/>
      <c r="AF115" s="2"/>
      <c r="AG115" s="2"/>
      <c r="AH115" s="2"/>
      <c r="AI115" s="2"/>
      <c r="AJ115" s="218"/>
      <c r="AK115" s="218"/>
      <c r="AL115" s="218"/>
      <c r="AM115" s="218"/>
    </row>
    <row r="116">
      <c r="A116" s="33"/>
      <c r="B116" s="2"/>
      <c r="C116" s="2"/>
      <c r="D116" s="2"/>
      <c r="E116" s="2"/>
      <c r="F116" s="4"/>
      <c r="G116" s="2"/>
      <c r="H116" s="2"/>
      <c r="I116" s="2"/>
      <c r="J116" s="5"/>
      <c r="K116" s="2"/>
      <c r="L116" s="2"/>
      <c r="M116" s="2"/>
      <c r="N116" s="2"/>
      <c r="O116" s="2"/>
      <c r="P116" s="2"/>
      <c r="Q116" s="7"/>
      <c r="R116" s="224"/>
      <c r="S116" s="224"/>
      <c r="T116" s="224"/>
      <c r="U116" s="868"/>
      <c r="V116" s="865"/>
      <c r="W116" s="2"/>
      <c r="X116" s="2"/>
      <c r="Y116" s="2"/>
      <c r="Z116" s="2"/>
      <c r="AA116" s="2"/>
      <c r="AB116" s="2"/>
      <c r="AC116" s="2"/>
      <c r="AD116" s="2"/>
      <c r="AE116" s="2"/>
      <c r="AF116" s="2"/>
      <c r="AG116" s="2"/>
      <c r="AH116" s="2"/>
      <c r="AI116" s="2"/>
      <c r="AJ116" s="218"/>
      <c r="AK116" s="218"/>
      <c r="AL116" s="218"/>
      <c r="AM116" s="218"/>
    </row>
    <row r="117">
      <c r="A117" s="33"/>
      <c r="B117" s="2"/>
      <c r="C117" s="2"/>
      <c r="D117" s="2"/>
      <c r="E117" s="2"/>
      <c r="F117" s="4"/>
      <c r="G117" s="2"/>
      <c r="H117" s="2"/>
      <c r="I117" s="2"/>
      <c r="J117" s="5"/>
      <c r="K117" s="2"/>
      <c r="L117" s="2"/>
      <c r="M117" s="2"/>
      <c r="N117" s="2"/>
      <c r="O117" s="2"/>
      <c r="P117" s="2"/>
      <c r="Q117" s="7"/>
      <c r="R117" s="224"/>
      <c r="S117" s="224"/>
      <c r="T117" s="224"/>
      <c r="U117" s="868"/>
      <c r="V117" s="865"/>
      <c r="W117" s="2"/>
      <c r="X117" s="2"/>
      <c r="Y117" s="2"/>
      <c r="Z117" s="2"/>
      <c r="AA117" s="2"/>
      <c r="AB117" s="2"/>
      <c r="AC117" s="2"/>
      <c r="AD117" s="2"/>
      <c r="AE117" s="2"/>
      <c r="AF117" s="2"/>
      <c r="AG117" s="2"/>
      <c r="AH117" s="2"/>
      <c r="AI117" s="2"/>
      <c r="AJ117" s="218"/>
      <c r="AK117" s="218"/>
      <c r="AL117" s="218"/>
      <c r="AM117" s="218"/>
    </row>
    <row r="118">
      <c r="A118" s="33"/>
      <c r="B118" s="2"/>
      <c r="C118" s="2"/>
      <c r="D118" s="2"/>
      <c r="E118" s="2"/>
      <c r="F118" s="4"/>
      <c r="G118" s="2"/>
      <c r="H118" s="2"/>
      <c r="I118" s="2"/>
      <c r="J118" s="5"/>
      <c r="K118" s="2"/>
      <c r="L118" s="2"/>
      <c r="M118" s="2"/>
      <c r="N118" s="2"/>
      <c r="O118" s="2"/>
      <c r="P118" s="2"/>
      <c r="Q118" s="7"/>
      <c r="R118" s="224"/>
      <c r="S118" s="224"/>
      <c r="T118" s="224"/>
      <c r="U118" s="868"/>
      <c r="V118" s="865"/>
      <c r="W118" s="2"/>
      <c r="X118" s="2"/>
      <c r="Y118" s="2"/>
      <c r="Z118" s="2"/>
      <c r="AA118" s="2"/>
      <c r="AB118" s="2"/>
      <c r="AC118" s="2"/>
      <c r="AD118" s="2"/>
      <c r="AE118" s="2"/>
      <c r="AF118" s="2"/>
      <c r="AG118" s="2"/>
      <c r="AH118" s="2"/>
      <c r="AI118" s="2"/>
      <c r="AJ118" s="218"/>
      <c r="AK118" s="218"/>
      <c r="AL118" s="218"/>
      <c r="AM118" s="218"/>
    </row>
    <row r="119">
      <c r="A119" s="33"/>
      <c r="B119" s="2"/>
      <c r="C119" s="2"/>
      <c r="D119" s="2"/>
      <c r="E119" s="2"/>
      <c r="F119" s="4"/>
      <c r="G119" s="2"/>
      <c r="H119" s="2"/>
      <c r="I119" s="2"/>
      <c r="J119" s="5"/>
      <c r="K119" s="2"/>
      <c r="L119" s="2"/>
      <c r="M119" s="2"/>
      <c r="N119" s="2"/>
      <c r="O119" s="2"/>
      <c r="P119" s="2"/>
      <c r="Q119" s="7"/>
      <c r="R119" s="224"/>
      <c r="S119" s="224"/>
      <c r="T119" s="224"/>
      <c r="U119" s="868"/>
      <c r="V119" s="865"/>
      <c r="W119" s="2"/>
      <c r="X119" s="2"/>
      <c r="Y119" s="2"/>
      <c r="Z119" s="2"/>
      <c r="AA119" s="2"/>
      <c r="AB119" s="2"/>
      <c r="AC119" s="2"/>
      <c r="AD119" s="2"/>
      <c r="AE119" s="2"/>
      <c r="AF119" s="2"/>
      <c r="AG119" s="2"/>
      <c r="AH119" s="2"/>
      <c r="AI119" s="2"/>
      <c r="AJ119" s="218"/>
      <c r="AK119" s="218"/>
      <c r="AL119" s="218"/>
      <c r="AM119" s="218"/>
    </row>
    <row r="120">
      <c r="A120" s="33"/>
      <c r="B120" s="2"/>
      <c r="C120" s="2"/>
      <c r="D120" s="2"/>
      <c r="E120" s="2"/>
      <c r="F120" s="4"/>
      <c r="G120" s="2"/>
      <c r="H120" s="2"/>
      <c r="I120" s="2"/>
      <c r="J120" s="5"/>
      <c r="K120" s="2"/>
      <c r="L120" s="2"/>
      <c r="M120" s="2"/>
      <c r="N120" s="2"/>
      <c r="O120" s="2"/>
      <c r="P120" s="2"/>
      <c r="Q120" s="7"/>
      <c r="R120" s="224"/>
      <c r="S120" s="224"/>
      <c r="T120" s="224"/>
      <c r="U120" s="868"/>
      <c r="V120" s="865"/>
      <c r="W120" s="2"/>
      <c r="X120" s="2"/>
      <c r="Y120" s="2"/>
      <c r="Z120" s="2"/>
      <c r="AA120" s="2"/>
      <c r="AB120" s="2"/>
      <c r="AC120" s="2"/>
      <c r="AD120" s="2"/>
      <c r="AE120" s="2"/>
      <c r="AF120" s="2"/>
      <c r="AG120" s="2"/>
      <c r="AH120" s="2"/>
      <c r="AI120" s="2"/>
      <c r="AJ120" s="218"/>
      <c r="AK120" s="218"/>
      <c r="AL120" s="218"/>
      <c r="AM120" s="218"/>
    </row>
    <row r="121">
      <c r="A121" s="33"/>
      <c r="B121" s="2"/>
      <c r="C121" s="2"/>
      <c r="D121" s="2"/>
      <c r="E121" s="2"/>
      <c r="F121" s="4"/>
      <c r="G121" s="2"/>
      <c r="H121" s="2"/>
      <c r="I121" s="2"/>
      <c r="J121" s="5"/>
      <c r="K121" s="2"/>
      <c r="L121" s="2"/>
      <c r="M121" s="2"/>
      <c r="N121" s="2"/>
      <c r="O121" s="2"/>
      <c r="P121" s="2"/>
      <c r="Q121" s="7"/>
      <c r="R121" s="224"/>
      <c r="S121" s="224"/>
      <c r="T121" s="224"/>
      <c r="U121" s="868"/>
      <c r="V121" s="865"/>
      <c r="W121" s="2"/>
      <c r="X121" s="2"/>
      <c r="Y121" s="2"/>
      <c r="Z121" s="2"/>
      <c r="AA121" s="2"/>
      <c r="AB121" s="2"/>
      <c r="AC121" s="2"/>
      <c r="AD121" s="2"/>
      <c r="AE121" s="2"/>
      <c r="AF121" s="2"/>
      <c r="AG121" s="2"/>
      <c r="AH121" s="2"/>
      <c r="AI121" s="2"/>
      <c r="AJ121" s="218"/>
      <c r="AK121" s="218"/>
      <c r="AL121" s="218"/>
      <c r="AM121" s="218"/>
    </row>
    <row r="122">
      <c r="A122" s="33"/>
      <c r="B122" s="2"/>
      <c r="C122" s="2"/>
      <c r="D122" s="2"/>
      <c r="E122" s="2"/>
      <c r="F122" s="4"/>
      <c r="G122" s="2"/>
      <c r="H122" s="2"/>
      <c r="I122" s="2"/>
      <c r="J122" s="5"/>
      <c r="K122" s="2"/>
      <c r="L122" s="2"/>
      <c r="M122" s="2"/>
      <c r="N122" s="2"/>
      <c r="O122" s="2"/>
      <c r="P122" s="2"/>
      <c r="Q122" s="7"/>
      <c r="R122" s="224"/>
      <c r="S122" s="224"/>
      <c r="T122" s="224"/>
      <c r="U122" s="868"/>
      <c r="V122" s="865"/>
      <c r="W122" s="2"/>
      <c r="X122" s="2"/>
      <c r="Y122" s="2"/>
      <c r="Z122" s="2"/>
      <c r="AA122" s="2"/>
      <c r="AB122" s="2"/>
      <c r="AC122" s="2"/>
      <c r="AD122" s="2"/>
      <c r="AE122" s="2"/>
      <c r="AF122" s="2"/>
      <c r="AG122" s="2"/>
      <c r="AH122" s="2"/>
      <c r="AI122" s="2"/>
      <c r="AJ122" s="218"/>
      <c r="AK122" s="218"/>
      <c r="AL122" s="218"/>
      <c r="AM122" s="218"/>
    </row>
    <row r="123">
      <c r="A123" s="33"/>
      <c r="B123" s="2"/>
      <c r="C123" s="2"/>
      <c r="D123" s="2"/>
      <c r="E123" s="2"/>
      <c r="F123" s="4"/>
      <c r="G123" s="2"/>
      <c r="H123" s="2"/>
      <c r="I123" s="2"/>
      <c r="J123" s="5"/>
      <c r="K123" s="2"/>
      <c r="L123" s="2"/>
      <c r="M123" s="2"/>
      <c r="N123" s="2"/>
      <c r="O123" s="2"/>
      <c r="P123" s="2"/>
      <c r="Q123" s="7"/>
      <c r="R123" s="224"/>
      <c r="S123" s="224"/>
      <c r="T123" s="224"/>
      <c r="U123" s="868"/>
      <c r="V123" s="865"/>
      <c r="W123" s="2"/>
      <c r="X123" s="2"/>
      <c r="Y123" s="2"/>
      <c r="Z123" s="2"/>
      <c r="AA123" s="2"/>
      <c r="AB123" s="2"/>
      <c r="AC123" s="2"/>
      <c r="AD123" s="2"/>
      <c r="AE123" s="2"/>
      <c r="AF123" s="2"/>
      <c r="AG123" s="2"/>
      <c r="AH123" s="2"/>
      <c r="AI123" s="2"/>
      <c r="AJ123" s="218"/>
      <c r="AK123" s="218"/>
      <c r="AL123" s="218"/>
      <c r="AM123" s="218"/>
    </row>
    <row r="124">
      <c r="A124" s="33"/>
      <c r="B124" s="2"/>
      <c r="C124" s="2"/>
      <c r="D124" s="2"/>
      <c r="E124" s="2"/>
      <c r="F124" s="4"/>
      <c r="G124" s="2"/>
      <c r="H124" s="2"/>
      <c r="I124" s="2"/>
      <c r="J124" s="5"/>
      <c r="K124" s="2"/>
      <c r="L124" s="2"/>
      <c r="M124" s="2"/>
      <c r="N124" s="2"/>
      <c r="O124" s="2"/>
      <c r="P124" s="2"/>
      <c r="Q124" s="7"/>
      <c r="R124" s="224"/>
      <c r="S124" s="224"/>
      <c r="T124" s="224"/>
      <c r="U124" s="868"/>
      <c r="V124" s="865"/>
      <c r="W124" s="2"/>
      <c r="X124" s="2"/>
      <c r="Y124" s="2"/>
      <c r="Z124" s="2"/>
      <c r="AA124" s="2"/>
      <c r="AB124" s="2"/>
      <c r="AC124" s="2"/>
      <c r="AD124" s="2"/>
      <c r="AE124" s="2"/>
      <c r="AF124" s="2"/>
      <c r="AG124" s="2"/>
      <c r="AH124" s="2"/>
      <c r="AI124" s="2"/>
      <c r="AJ124" s="218"/>
      <c r="AK124" s="218"/>
      <c r="AL124" s="218"/>
      <c r="AM124" s="218"/>
    </row>
    <row r="125">
      <c r="A125" s="33"/>
      <c r="B125" s="2"/>
      <c r="C125" s="2"/>
      <c r="D125" s="2"/>
      <c r="E125" s="2"/>
      <c r="F125" s="4"/>
      <c r="G125" s="2"/>
      <c r="H125" s="2"/>
      <c r="I125" s="2"/>
      <c r="J125" s="5"/>
      <c r="K125" s="2"/>
      <c r="L125" s="2"/>
      <c r="M125" s="2"/>
      <c r="N125" s="2"/>
      <c r="O125" s="2"/>
      <c r="P125" s="2"/>
      <c r="Q125" s="7"/>
      <c r="R125" s="224"/>
      <c r="S125" s="224"/>
      <c r="T125" s="224"/>
      <c r="U125" s="868"/>
      <c r="V125" s="865"/>
      <c r="W125" s="2"/>
      <c r="X125" s="2"/>
      <c r="Y125" s="2"/>
      <c r="Z125" s="2"/>
      <c r="AA125" s="2"/>
      <c r="AB125" s="2"/>
      <c r="AC125" s="2"/>
      <c r="AD125" s="2"/>
      <c r="AE125" s="2"/>
      <c r="AF125" s="2"/>
      <c r="AG125" s="2"/>
      <c r="AH125" s="2"/>
      <c r="AI125" s="2"/>
      <c r="AJ125" s="218"/>
      <c r="AK125" s="218"/>
      <c r="AL125" s="218"/>
      <c r="AM125" s="218"/>
    </row>
    <row r="126">
      <c r="A126" s="33"/>
      <c r="B126" s="2"/>
      <c r="C126" s="2"/>
      <c r="D126" s="2"/>
      <c r="E126" s="2"/>
      <c r="F126" s="4"/>
      <c r="G126" s="2"/>
      <c r="H126" s="2"/>
      <c r="I126" s="2"/>
      <c r="J126" s="5"/>
      <c r="K126" s="2"/>
      <c r="L126" s="2"/>
      <c r="M126" s="2"/>
      <c r="N126" s="2"/>
      <c r="O126" s="2"/>
      <c r="P126" s="2"/>
      <c r="Q126" s="7"/>
      <c r="R126" s="224"/>
      <c r="S126" s="224"/>
      <c r="T126" s="224"/>
      <c r="U126" s="868"/>
      <c r="V126" s="865"/>
      <c r="W126" s="2"/>
      <c r="X126" s="2"/>
      <c r="Y126" s="2"/>
      <c r="Z126" s="2"/>
      <c r="AA126" s="2"/>
      <c r="AB126" s="2"/>
      <c r="AC126" s="2"/>
      <c r="AD126" s="2"/>
      <c r="AE126" s="2"/>
      <c r="AF126" s="2"/>
      <c r="AG126" s="2"/>
      <c r="AH126" s="2"/>
      <c r="AI126" s="2"/>
      <c r="AJ126" s="218"/>
      <c r="AK126" s="218"/>
      <c r="AL126" s="218"/>
      <c r="AM126" s="218"/>
    </row>
    <row r="127">
      <c r="A127" s="33"/>
      <c r="B127" s="2"/>
      <c r="C127" s="2"/>
      <c r="D127" s="2"/>
      <c r="E127" s="2"/>
      <c r="F127" s="4"/>
      <c r="G127" s="2"/>
      <c r="H127" s="2"/>
      <c r="I127" s="2"/>
      <c r="J127" s="5"/>
      <c r="K127" s="2"/>
      <c r="L127" s="2"/>
      <c r="M127" s="2"/>
      <c r="N127" s="2"/>
      <c r="O127" s="2"/>
      <c r="P127" s="2"/>
      <c r="Q127" s="7"/>
      <c r="R127" s="224"/>
      <c r="S127" s="224"/>
      <c r="T127" s="224"/>
      <c r="U127" s="868"/>
      <c r="V127" s="865"/>
      <c r="W127" s="2"/>
      <c r="X127" s="2"/>
      <c r="Y127" s="2"/>
      <c r="Z127" s="2"/>
      <c r="AA127" s="2"/>
      <c r="AB127" s="2"/>
      <c r="AC127" s="2"/>
      <c r="AD127" s="2"/>
      <c r="AE127" s="2"/>
      <c r="AF127" s="2"/>
      <c r="AG127" s="2"/>
      <c r="AH127" s="2"/>
      <c r="AI127" s="2"/>
      <c r="AJ127" s="218"/>
      <c r="AK127" s="218"/>
      <c r="AL127" s="218"/>
      <c r="AM127" s="218"/>
    </row>
    <row r="128">
      <c r="A128" s="33"/>
      <c r="B128" s="2"/>
      <c r="C128" s="2"/>
      <c r="D128" s="2"/>
      <c r="E128" s="2"/>
      <c r="F128" s="4"/>
      <c r="G128" s="2"/>
      <c r="H128" s="2"/>
      <c r="I128" s="2"/>
      <c r="J128" s="5"/>
      <c r="K128" s="2"/>
      <c r="L128" s="2"/>
      <c r="M128" s="2"/>
      <c r="N128" s="2"/>
      <c r="O128" s="2"/>
      <c r="P128" s="2"/>
      <c r="Q128" s="7"/>
      <c r="R128" s="224"/>
      <c r="S128" s="224"/>
      <c r="T128" s="224"/>
      <c r="U128" s="868"/>
      <c r="V128" s="865"/>
      <c r="W128" s="2"/>
      <c r="X128" s="2"/>
      <c r="Y128" s="2"/>
      <c r="Z128" s="2"/>
      <c r="AA128" s="2"/>
      <c r="AB128" s="2"/>
      <c r="AC128" s="2"/>
      <c r="AD128" s="2"/>
      <c r="AE128" s="2"/>
      <c r="AF128" s="2"/>
      <c r="AG128" s="2"/>
      <c r="AH128" s="2"/>
      <c r="AI128" s="2"/>
      <c r="AJ128" s="218"/>
      <c r="AK128" s="218"/>
      <c r="AL128" s="218"/>
      <c r="AM128" s="218"/>
    </row>
    <row r="129">
      <c r="A129" s="33"/>
      <c r="B129" s="2"/>
      <c r="C129" s="2"/>
      <c r="D129" s="2"/>
      <c r="E129" s="2"/>
      <c r="F129" s="4"/>
      <c r="G129" s="2"/>
      <c r="H129" s="2"/>
      <c r="I129" s="2"/>
      <c r="J129" s="5"/>
      <c r="K129" s="2"/>
      <c r="L129" s="2"/>
      <c r="M129" s="2"/>
      <c r="N129" s="2"/>
      <c r="O129" s="2"/>
      <c r="P129" s="2"/>
      <c r="Q129" s="7"/>
      <c r="R129" s="224"/>
      <c r="S129" s="224"/>
      <c r="T129" s="224"/>
      <c r="U129" s="868"/>
      <c r="V129" s="865"/>
      <c r="W129" s="2"/>
      <c r="X129" s="2"/>
      <c r="Y129" s="2"/>
      <c r="Z129" s="2"/>
      <c r="AA129" s="2"/>
      <c r="AB129" s="2"/>
      <c r="AC129" s="2"/>
      <c r="AD129" s="2"/>
      <c r="AE129" s="2"/>
      <c r="AF129" s="2"/>
      <c r="AG129" s="2"/>
      <c r="AH129" s="2"/>
      <c r="AI129" s="2"/>
      <c r="AJ129" s="218"/>
      <c r="AK129" s="218"/>
      <c r="AL129" s="218"/>
      <c r="AM129" s="218"/>
    </row>
    <row r="130">
      <c r="A130" s="33"/>
      <c r="B130" s="2"/>
      <c r="C130" s="2"/>
      <c r="D130" s="2"/>
      <c r="E130" s="2"/>
      <c r="F130" s="4"/>
      <c r="G130" s="2"/>
      <c r="H130" s="2"/>
      <c r="I130" s="2"/>
      <c r="J130" s="5"/>
      <c r="K130" s="2"/>
      <c r="L130" s="2"/>
      <c r="M130" s="2"/>
      <c r="N130" s="2"/>
      <c r="O130" s="2"/>
      <c r="P130" s="2"/>
      <c r="Q130" s="7"/>
      <c r="R130" s="224"/>
      <c r="S130" s="224"/>
      <c r="T130" s="224"/>
      <c r="U130" s="868"/>
      <c r="V130" s="865"/>
      <c r="W130" s="2"/>
      <c r="X130" s="2"/>
      <c r="Y130" s="2"/>
      <c r="Z130" s="2"/>
      <c r="AA130" s="2"/>
      <c r="AB130" s="2"/>
      <c r="AC130" s="2"/>
      <c r="AD130" s="2"/>
      <c r="AE130" s="2"/>
      <c r="AF130" s="2"/>
      <c r="AG130" s="2"/>
      <c r="AH130" s="2"/>
      <c r="AI130" s="2"/>
      <c r="AJ130" s="218"/>
      <c r="AK130" s="218"/>
      <c r="AL130" s="218"/>
      <c r="AM130" s="218"/>
    </row>
    <row r="131">
      <c r="A131" s="33"/>
      <c r="B131" s="2"/>
      <c r="C131" s="2"/>
      <c r="D131" s="2"/>
      <c r="E131" s="2"/>
      <c r="F131" s="4"/>
      <c r="G131" s="2"/>
      <c r="H131" s="2"/>
      <c r="I131" s="2"/>
      <c r="J131" s="5"/>
      <c r="K131" s="2"/>
      <c r="L131" s="2"/>
      <c r="M131" s="2"/>
      <c r="N131" s="2"/>
      <c r="O131" s="2"/>
      <c r="P131" s="2"/>
      <c r="Q131" s="7"/>
      <c r="R131" s="224"/>
      <c r="S131" s="224"/>
      <c r="T131" s="224"/>
      <c r="U131" s="868"/>
      <c r="V131" s="865"/>
      <c r="W131" s="2"/>
      <c r="X131" s="2"/>
      <c r="Y131" s="2"/>
      <c r="Z131" s="2"/>
      <c r="AA131" s="2"/>
      <c r="AB131" s="2"/>
      <c r="AC131" s="2"/>
      <c r="AD131" s="2"/>
      <c r="AE131" s="2"/>
      <c r="AF131" s="2"/>
      <c r="AG131" s="2"/>
      <c r="AH131" s="2"/>
      <c r="AI131" s="2"/>
      <c r="AJ131" s="218"/>
      <c r="AK131" s="218"/>
      <c r="AL131" s="218"/>
      <c r="AM131" s="218"/>
    </row>
    <row r="132">
      <c r="A132" s="33"/>
      <c r="B132" s="2"/>
      <c r="C132" s="2"/>
      <c r="D132" s="2"/>
      <c r="E132" s="2"/>
      <c r="F132" s="4"/>
      <c r="G132" s="2"/>
      <c r="H132" s="2"/>
      <c r="I132" s="2"/>
      <c r="J132" s="5"/>
      <c r="K132" s="2"/>
      <c r="L132" s="2"/>
      <c r="M132" s="2"/>
      <c r="N132" s="2"/>
      <c r="O132" s="2"/>
      <c r="P132" s="2"/>
      <c r="Q132" s="7"/>
      <c r="R132" s="224"/>
      <c r="S132" s="224"/>
      <c r="T132" s="224"/>
      <c r="U132" s="868"/>
      <c r="V132" s="865"/>
      <c r="W132" s="2"/>
      <c r="X132" s="2"/>
      <c r="Y132" s="2"/>
      <c r="Z132" s="2"/>
      <c r="AA132" s="2"/>
      <c r="AB132" s="2"/>
      <c r="AC132" s="2"/>
      <c r="AD132" s="2"/>
      <c r="AE132" s="2"/>
      <c r="AF132" s="2"/>
      <c r="AG132" s="2"/>
      <c r="AH132" s="2"/>
      <c r="AI132" s="2"/>
      <c r="AJ132" s="218"/>
      <c r="AK132" s="218"/>
      <c r="AL132" s="218"/>
      <c r="AM132" s="218"/>
    </row>
    <row r="133">
      <c r="A133" s="33"/>
      <c r="B133" s="2"/>
      <c r="C133" s="2"/>
      <c r="D133" s="2"/>
      <c r="E133" s="2"/>
      <c r="F133" s="4"/>
      <c r="G133" s="2"/>
      <c r="H133" s="2"/>
      <c r="I133" s="2"/>
      <c r="J133" s="5"/>
      <c r="K133" s="2"/>
      <c r="L133" s="2"/>
      <c r="M133" s="2"/>
      <c r="N133" s="2"/>
      <c r="O133" s="2"/>
      <c r="P133" s="2"/>
      <c r="Q133" s="7"/>
      <c r="R133" s="224"/>
      <c r="S133" s="224"/>
      <c r="T133" s="224"/>
      <c r="U133" s="868"/>
      <c r="V133" s="865"/>
      <c r="W133" s="2"/>
      <c r="X133" s="2"/>
      <c r="Y133" s="2"/>
      <c r="Z133" s="2"/>
      <c r="AA133" s="2"/>
      <c r="AB133" s="2"/>
      <c r="AC133" s="2"/>
      <c r="AD133" s="2"/>
      <c r="AE133" s="2"/>
      <c r="AF133" s="2"/>
      <c r="AG133" s="2"/>
      <c r="AH133" s="2"/>
      <c r="AI133" s="2"/>
      <c r="AJ133" s="218"/>
      <c r="AK133" s="218"/>
      <c r="AL133" s="218"/>
      <c r="AM133" s="218"/>
    </row>
    <row r="134">
      <c r="A134" s="33"/>
      <c r="B134" s="2"/>
      <c r="C134" s="2"/>
      <c r="D134" s="2"/>
      <c r="E134" s="2"/>
      <c r="F134" s="4"/>
      <c r="G134" s="2"/>
      <c r="H134" s="2"/>
      <c r="I134" s="2"/>
      <c r="J134" s="5"/>
      <c r="K134" s="2"/>
      <c r="L134" s="2"/>
      <c r="M134" s="2"/>
      <c r="N134" s="2"/>
      <c r="O134" s="2"/>
      <c r="P134" s="2"/>
      <c r="Q134" s="7"/>
      <c r="R134" s="224"/>
      <c r="S134" s="224"/>
      <c r="T134" s="224"/>
      <c r="U134" s="868"/>
      <c r="V134" s="865"/>
      <c r="W134" s="2"/>
      <c r="X134" s="2"/>
      <c r="Y134" s="2"/>
      <c r="Z134" s="2"/>
      <c r="AA134" s="2"/>
      <c r="AB134" s="2"/>
      <c r="AC134" s="2"/>
      <c r="AD134" s="2"/>
      <c r="AE134" s="2"/>
      <c r="AF134" s="2"/>
      <c r="AG134" s="2"/>
      <c r="AH134" s="2"/>
      <c r="AI134" s="2"/>
      <c r="AJ134" s="218"/>
      <c r="AK134" s="218"/>
      <c r="AL134" s="218"/>
      <c r="AM134" s="218"/>
    </row>
    <row r="135">
      <c r="A135" s="33"/>
      <c r="B135" s="2"/>
      <c r="C135" s="2"/>
      <c r="D135" s="2"/>
      <c r="E135" s="2"/>
      <c r="F135" s="4"/>
      <c r="G135" s="2"/>
      <c r="H135" s="2"/>
      <c r="I135" s="2"/>
      <c r="J135" s="5"/>
      <c r="K135" s="2"/>
      <c r="L135" s="2"/>
      <c r="M135" s="2"/>
      <c r="N135" s="2"/>
      <c r="O135" s="2"/>
      <c r="P135" s="2"/>
      <c r="Q135" s="7"/>
      <c r="R135" s="224"/>
      <c r="S135" s="224"/>
      <c r="T135" s="224"/>
      <c r="U135" s="868"/>
      <c r="V135" s="865"/>
      <c r="W135" s="2"/>
      <c r="X135" s="2"/>
      <c r="Y135" s="2"/>
      <c r="Z135" s="2"/>
      <c r="AA135" s="2"/>
      <c r="AB135" s="2"/>
      <c r="AC135" s="2"/>
      <c r="AD135" s="2"/>
      <c r="AE135" s="2"/>
      <c r="AF135" s="2"/>
      <c r="AG135" s="2"/>
      <c r="AH135" s="2"/>
      <c r="AI135" s="2"/>
      <c r="AJ135" s="218"/>
      <c r="AK135" s="218"/>
      <c r="AL135" s="218"/>
      <c r="AM135" s="218"/>
    </row>
    <row r="136">
      <c r="A136" s="33"/>
      <c r="B136" s="2"/>
      <c r="C136" s="2"/>
      <c r="D136" s="2"/>
      <c r="E136" s="2"/>
      <c r="F136" s="4"/>
      <c r="G136" s="2"/>
      <c r="H136" s="2"/>
      <c r="I136" s="2"/>
      <c r="J136" s="5"/>
      <c r="K136" s="2"/>
      <c r="L136" s="2"/>
      <c r="M136" s="2"/>
      <c r="N136" s="2"/>
      <c r="O136" s="2"/>
      <c r="P136" s="2"/>
      <c r="Q136" s="7"/>
      <c r="R136" s="224"/>
      <c r="S136" s="224"/>
      <c r="T136" s="224"/>
      <c r="U136" s="868"/>
      <c r="V136" s="865"/>
      <c r="W136" s="2"/>
      <c r="X136" s="2"/>
      <c r="Y136" s="2"/>
      <c r="Z136" s="2"/>
      <c r="AA136" s="2"/>
      <c r="AB136" s="2"/>
      <c r="AC136" s="2"/>
      <c r="AD136" s="2"/>
      <c r="AE136" s="2"/>
      <c r="AF136" s="2"/>
      <c r="AG136" s="2"/>
      <c r="AH136" s="2"/>
      <c r="AI136" s="2"/>
      <c r="AJ136" s="218"/>
      <c r="AK136" s="218"/>
      <c r="AL136" s="218"/>
      <c r="AM136" s="218"/>
    </row>
    <row r="137">
      <c r="A137" s="33"/>
      <c r="B137" s="2"/>
      <c r="C137" s="2"/>
      <c r="D137" s="2"/>
      <c r="E137" s="2"/>
      <c r="F137" s="4"/>
      <c r="G137" s="2"/>
      <c r="H137" s="2"/>
      <c r="I137" s="2"/>
      <c r="J137" s="5"/>
      <c r="K137" s="2"/>
      <c r="L137" s="2"/>
      <c r="M137" s="2"/>
      <c r="N137" s="2"/>
      <c r="O137" s="2"/>
      <c r="P137" s="2"/>
      <c r="Q137" s="7"/>
      <c r="R137" s="224"/>
      <c r="S137" s="224"/>
      <c r="T137" s="224"/>
      <c r="U137" s="868"/>
      <c r="V137" s="865"/>
      <c r="W137" s="2"/>
      <c r="X137" s="2"/>
      <c r="Y137" s="2"/>
      <c r="Z137" s="2"/>
      <c r="AA137" s="2"/>
      <c r="AB137" s="2"/>
      <c r="AC137" s="2"/>
      <c r="AD137" s="2"/>
      <c r="AE137" s="2"/>
      <c r="AF137" s="2"/>
      <c r="AG137" s="2"/>
      <c r="AH137" s="2"/>
      <c r="AI137" s="2"/>
      <c r="AJ137" s="218"/>
      <c r="AK137" s="218"/>
      <c r="AL137" s="218"/>
      <c r="AM137" s="218"/>
    </row>
    <row r="138">
      <c r="A138" s="33"/>
      <c r="B138" s="2"/>
      <c r="C138" s="2"/>
      <c r="D138" s="2"/>
      <c r="E138" s="2"/>
      <c r="F138" s="4"/>
      <c r="G138" s="2"/>
      <c r="H138" s="2"/>
      <c r="I138" s="2"/>
      <c r="J138" s="5"/>
      <c r="K138" s="2"/>
      <c r="L138" s="2"/>
      <c r="M138" s="2"/>
      <c r="N138" s="2"/>
      <c r="O138" s="2"/>
      <c r="P138" s="2"/>
      <c r="Q138" s="7"/>
      <c r="R138" s="224"/>
      <c r="S138" s="224"/>
      <c r="T138" s="224"/>
      <c r="U138" s="868"/>
      <c r="V138" s="865"/>
      <c r="W138" s="2"/>
      <c r="X138" s="2"/>
      <c r="Y138" s="2"/>
      <c r="Z138" s="2"/>
      <c r="AA138" s="2"/>
      <c r="AB138" s="2"/>
      <c r="AC138" s="2"/>
      <c r="AD138" s="2"/>
      <c r="AE138" s="2"/>
      <c r="AF138" s="2"/>
      <c r="AG138" s="2"/>
      <c r="AH138" s="2"/>
      <c r="AI138" s="2"/>
      <c r="AJ138" s="218"/>
      <c r="AK138" s="218"/>
      <c r="AL138" s="218"/>
      <c r="AM138" s="218"/>
    </row>
    <row r="139">
      <c r="A139" s="33"/>
      <c r="B139" s="2"/>
      <c r="C139" s="2"/>
      <c r="D139" s="2"/>
      <c r="E139" s="2"/>
      <c r="F139" s="4"/>
      <c r="G139" s="2"/>
      <c r="H139" s="2"/>
      <c r="I139" s="2"/>
      <c r="J139" s="5"/>
      <c r="K139" s="2"/>
      <c r="L139" s="2"/>
      <c r="M139" s="2"/>
      <c r="N139" s="2"/>
      <c r="O139" s="2"/>
      <c r="P139" s="2"/>
      <c r="Q139" s="7"/>
      <c r="R139" s="224"/>
      <c r="S139" s="224"/>
      <c r="T139" s="224"/>
      <c r="U139" s="868"/>
      <c r="V139" s="865"/>
      <c r="W139" s="2"/>
      <c r="X139" s="2"/>
      <c r="Y139" s="2"/>
      <c r="Z139" s="2"/>
      <c r="AA139" s="2"/>
      <c r="AB139" s="2"/>
      <c r="AC139" s="2"/>
      <c r="AD139" s="2"/>
      <c r="AE139" s="2"/>
      <c r="AF139" s="2"/>
      <c r="AG139" s="2"/>
      <c r="AH139" s="2"/>
      <c r="AI139" s="2"/>
      <c r="AJ139" s="218"/>
      <c r="AK139" s="218"/>
      <c r="AL139" s="218"/>
      <c r="AM139" s="218"/>
    </row>
    <row r="140">
      <c r="A140" s="33"/>
      <c r="B140" s="2"/>
      <c r="C140" s="2"/>
      <c r="D140" s="2"/>
      <c r="E140" s="2"/>
      <c r="F140" s="4"/>
      <c r="G140" s="2"/>
      <c r="H140" s="2"/>
      <c r="I140" s="2"/>
      <c r="J140" s="5"/>
      <c r="K140" s="2"/>
      <c r="L140" s="2"/>
      <c r="M140" s="2"/>
      <c r="N140" s="2"/>
      <c r="O140" s="2"/>
      <c r="P140" s="2"/>
      <c r="Q140" s="7"/>
      <c r="R140" s="224"/>
      <c r="S140" s="224"/>
      <c r="T140" s="224"/>
      <c r="U140" s="868"/>
      <c r="V140" s="865"/>
      <c r="W140" s="2"/>
      <c r="X140" s="2"/>
      <c r="Y140" s="2"/>
      <c r="Z140" s="2"/>
      <c r="AA140" s="2"/>
      <c r="AB140" s="2"/>
      <c r="AC140" s="2"/>
      <c r="AD140" s="2"/>
      <c r="AE140" s="2"/>
      <c r="AF140" s="2"/>
      <c r="AG140" s="2"/>
      <c r="AH140" s="2"/>
      <c r="AI140" s="2"/>
      <c r="AJ140" s="218"/>
      <c r="AK140" s="218"/>
      <c r="AL140" s="218"/>
      <c r="AM140" s="218"/>
    </row>
    <row r="141">
      <c r="A141" s="33"/>
      <c r="B141" s="2"/>
      <c r="C141" s="2"/>
      <c r="D141" s="2"/>
      <c r="E141" s="2"/>
      <c r="F141" s="4"/>
      <c r="G141" s="2"/>
      <c r="H141" s="2"/>
      <c r="I141" s="2"/>
      <c r="J141" s="5"/>
      <c r="K141" s="2"/>
      <c r="L141" s="2"/>
      <c r="M141" s="2"/>
      <c r="N141" s="2"/>
      <c r="O141" s="2"/>
      <c r="P141" s="2"/>
      <c r="Q141" s="7"/>
      <c r="R141" s="224"/>
      <c r="S141" s="224"/>
      <c r="T141" s="224"/>
      <c r="U141" s="868"/>
      <c r="V141" s="865"/>
      <c r="W141" s="2"/>
      <c r="X141" s="2"/>
      <c r="Y141" s="2"/>
      <c r="Z141" s="2"/>
      <c r="AA141" s="2"/>
      <c r="AB141" s="2"/>
      <c r="AC141" s="2"/>
      <c r="AD141" s="2"/>
      <c r="AE141" s="2"/>
      <c r="AF141" s="2"/>
      <c r="AG141" s="2"/>
      <c r="AH141" s="2"/>
      <c r="AI141" s="2"/>
      <c r="AJ141" s="218"/>
      <c r="AK141" s="218"/>
      <c r="AL141" s="218"/>
      <c r="AM141" s="218"/>
    </row>
    <row r="142">
      <c r="A142" s="33"/>
      <c r="B142" s="2"/>
      <c r="C142" s="2"/>
      <c r="D142" s="2"/>
      <c r="E142" s="2"/>
      <c r="F142" s="4"/>
      <c r="G142" s="2"/>
      <c r="H142" s="2"/>
      <c r="I142" s="2"/>
      <c r="J142" s="5"/>
      <c r="K142" s="2"/>
      <c r="L142" s="2"/>
      <c r="M142" s="2"/>
      <c r="N142" s="2"/>
      <c r="O142" s="2"/>
      <c r="P142" s="2"/>
      <c r="Q142" s="7"/>
      <c r="R142" s="224"/>
      <c r="S142" s="224"/>
      <c r="T142" s="224"/>
      <c r="U142" s="868"/>
      <c r="V142" s="865"/>
      <c r="W142" s="2"/>
      <c r="X142" s="2"/>
      <c r="Y142" s="2"/>
      <c r="Z142" s="2"/>
      <c r="AA142" s="2"/>
      <c r="AB142" s="2"/>
      <c r="AC142" s="2"/>
      <c r="AD142" s="2"/>
      <c r="AE142" s="2"/>
      <c r="AF142" s="2"/>
      <c r="AG142" s="2"/>
      <c r="AH142" s="2"/>
      <c r="AI142" s="2"/>
      <c r="AJ142" s="218"/>
      <c r="AK142" s="218"/>
      <c r="AL142" s="218"/>
      <c r="AM142" s="218"/>
    </row>
    <row r="143">
      <c r="A143" s="33"/>
      <c r="B143" s="2"/>
      <c r="C143" s="2"/>
      <c r="D143" s="2"/>
      <c r="E143" s="2"/>
      <c r="F143" s="4"/>
      <c r="G143" s="2"/>
      <c r="H143" s="2"/>
      <c r="I143" s="2"/>
      <c r="J143" s="5"/>
      <c r="K143" s="2"/>
      <c r="L143" s="2"/>
      <c r="M143" s="2"/>
      <c r="N143" s="2"/>
      <c r="O143" s="2"/>
      <c r="P143" s="2"/>
      <c r="Q143" s="7"/>
      <c r="R143" s="224"/>
      <c r="S143" s="224"/>
      <c r="T143" s="224"/>
      <c r="U143" s="868"/>
      <c r="V143" s="865"/>
      <c r="W143" s="2"/>
      <c r="X143" s="2"/>
      <c r="Y143" s="2"/>
      <c r="Z143" s="2"/>
      <c r="AA143" s="2"/>
      <c r="AB143" s="2"/>
      <c r="AC143" s="2"/>
      <c r="AD143" s="2"/>
      <c r="AE143" s="2"/>
      <c r="AF143" s="2"/>
      <c r="AG143" s="2"/>
      <c r="AH143" s="2"/>
      <c r="AI143" s="2"/>
      <c r="AJ143" s="218"/>
      <c r="AK143" s="218"/>
      <c r="AL143" s="218"/>
      <c r="AM143" s="218"/>
    </row>
    <row r="144">
      <c r="A144" s="33"/>
      <c r="B144" s="2"/>
      <c r="C144" s="2"/>
      <c r="D144" s="2"/>
      <c r="E144" s="2"/>
      <c r="F144" s="4"/>
      <c r="G144" s="2"/>
      <c r="H144" s="2"/>
      <c r="I144" s="2"/>
      <c r="J144" s="5"/>
      <c r="K144" s="2"/>
      <c r="L144" s="2"/>
      <c r="M144" s="2"/>
      <c r="N144" s="2"/>
      <c r="O144" s="2"/>
      <c r="P144" s="2"/>
      <c r="Q144" s="7"/>
      <c r="R144" s="224"/>
      <c r="S144" s="224"/>
      <c r="T144" s="224"/>
      <c r="U144" s="868"/>
      <c r="V144" s="865"/>
      <c r="W144" s="2"/>
      <c r="X144" s="2"/>
      <c r="Y144" s="2"/>
      <c r="Z144" s="2"/>
      <c r="AA144" s="2"/>
      <c r="AB144" s="2"/>
      <c r="AC144" s="2"/>
      <c r="AD144" s="2"/>
      <c r="AE144" s="2"/>
      <c r="AF144" s="2"/>
      <c r="AG144" s="2"/>
      <c r="AH144" s="2"/>
      <c r="AI144" s="2"/>
      <c r="AJ144" s="218"/>
      <c r="AK144" s="218"/>
      <c r="AL144" s="218"/>
      <c r="AM144" s="218"/>
    </row>
    <row r="145">
      <c r="A145" s="33"/>
      <c r="B145" s="2"/>
      <c r="C145" s="2"/>
      <c r="D145" s="2"/>
      <c r="E145" s="2"/>
      <c r="F145" s="4"/>
      <c r="G145" s="2"/>
      <c r="H145" s="2"/>
      <c r="I145" s="2"/>
      <c r="J145" s="5"/>
      <c r="K145" s="2"/>
      <c r="L145" s="2"/>
      <c r="M145" s="2"/>
      <c r="N145" s="2"/>
      <c r="O145" s="2"/>
      <c r="P145" s="2"/>
      <c r="Q145" s="7"/>
      <c r="R145" s="224"/>
      <c r="S145" s="224"/>
      <c r="T145" s="224"/>
      <c r="U145" s="868"/>
      <c r="V145" s="865"/>
      <c r="W145" s="2"/>
      <c r="X145" s="2"/>
      <c r="Y145" s="2"/>
      <c r="Z145" s="2"/>
      <c r="AA145" s="2"/>
      <c r="AB145" s="2"/>
      <c r="AC145" s="2"/>
      <c r="AD145" s="2"/>
      <c r="AE145" s="2"/>
      <c r="AF145" s="2"/>
      <c r="AG145" s="2"/>
      <c r="AH145" s="2"/>
      <c r="AI145" s="2"/>
      <c r="AJ145" s="218"/>
      <c r="AK145" s="218"/>
      <c r="AL145" s="218"/>
      <c r="AM145" s="218"/>
    </row>
    <row r="146">
      <c r="A146" s="33"/>
      <c r="B146" s="2"/>
      <c r="C146" s="2"/>
      <c r="D146" s="2"/>
      <c r="E146" s="2"/>
      <c r="F146" s="4"/>
      <c r="G146" s="2"/>
      <c r="H146" s="2"/>
      <c r="I146" s="2"/>
      <c r="J146" s="5"/>
      <c r="K146" s="2"/>
      <c r="L146" s="2"/>
      <c r="M146" s="2"/>
      <c r="N146" s="2"/>
      <c r="O146" s="2"/>
      <c r="P146" s="2"/>
      <c r="Q146" s="7"/>
      <c r="R146" s="224"/>
      <c r="S146" s="224"/>
      <c r="T146" s="224"/>
      <c r="U146" s="868"/>
      <c r="V146" s="865"/>
      <c r="W146" s="2"/>
      <c r="X146" s="2"/>
      <c r="Y146" s="2"/>
      <c r="Z146" s="2"/>
      <c r="AA146" s="2"/>
      <c r="AB146" s="2"/>
      <c r="AC146" s="2"/>
      <c r="AD146" s="2"/>
      <c r="AE146" s="2"/>
      <c r="AF146" s="2"/>
      <c r="AG146" s="2"/>
      <c r="AH146" s="2"/>
      <c r="AI146" s="2"/>
      <c r="AJ146" s="218"/>
      <c r="AK146" s="218"/>
      <c r="AL146" s="218"/>
      <c r="AM146" s="218"/>
    </row>
    <row r="147">
      <c r="A147" s="33"/>
      <c r="B147" s="2"/>
      <c r="C147" s="2"/>
      <c r="D147" s="2"/>
      <c r="E147" s="2"/>
      <c r="F147" s="4"/>
      <c r="G147" s="2"/>
      <c r="H147" s="2"/>
      <c r="I147" s="2"/>
      <c r="J147" s="5"/>
      <c r="K147" s="2"/>
      <c r="L147" s="2"/>
      <c r="M147" s="2"/>
      <c r="N147" s="2"/>
      <c r="O147" s="2"/>
      <c r="P147" s="2"/>
      <c r="Q147" s="7"/>
      <c r="R147" s="224"/>
      <c r="S147" s="224"/>
      <c r="T147" s="224"/>
      <c r="U147" s="868"/>
      <c r="V147" s="865"/>
      <c r="W147" s="2"/>
      <c r="X147" s="2"/>
      <c r="Y147" s="2"/>
      <c r="Z147" s="2"/>
      <c r="AA147" s="2"/>
      <c r="AB147" s="2"/>
      <c r="AC147" s="2"/>
      <c r="AD147" s="2"/>
      <c r="AE147" s="2"/>
      <c r="AF147" s="2"/>
      <c r="AG147" s="2"/>
      <c r="AH147" s="2"/>
      <c r="AI147" s="2"/>
      <c r="AJ147" s="218"/>
      <c r="AK147" s="218"/>
      <c r="AL147" s="218"/>
      <c r="AM147" s="218"/>
    </row>
    <row r="148">
      <c r="A148" s="33"/>
      <c r="B148" s="2"/>
      <c r="C148" s="2"/>
      <c r="D148" s="2"/>
      <c r="E148" s="2"/>
      <c r="F148" s="4"/>
      <c r="G148" s="2"/>
      <c r="H148" s="2"/>
      <c r="I148" s="2"/>
      <c r="J148" s="5"/>
      <c r="K148" s="2"/>
      <c r="L148" s="2"/>
      <c r="M148" s="2"/>
      <c r="N148" s="2"/>
      <c r="O148" s="2"/>
      <c r="P148" s="2"/>
      <c r="Q148" s="7"/>
      <c r="R148" s="224"/>
      <c r="S148" s="224"/>
      <c r="T148" s="224"/>
      <c r="U148" s="868"/>
      <c r="V148" s="865"/>
      <c r="W148" s="2"/>
      <c r="X148" s="2"/>
      <c r="Y148" s="2"/>
      <c r="Z148" s="2"/>
      <c r="AA148" s="2"/>
      <c r="AB148" s="2"/>
      <c r="AC148" s="2"/>
      <c r="AD148" s="2"/>
      <c r="AE148" s="2"/>
      <c r="AF148" s="2"/>
      <c r="AG148" s="2"/>
      <c r="AH148" s="2"/>
      <c r="AI148" s="2"/>
      <c r="AJ148" s="218"/>
      <c r="AK148" s="218"/>
      <c r="AL148" s="218"/>
      <c r="AM148" s="218"/>
    </row>
    <row r="149">
      <c r="A149" s="33"/>
      <c r="B149" s="2"/>
      <c r="C149" s="2"/>
      <c r="D149" s="2"/>
      <c r="E149" s="2"/>
      <c r="F149" s="4"/>
      <c r="G149" s="2"/>
      <c r="H149" s="2"/>
      <c r="I149" s="2"/>
      <c r="J149" s="5"/>
      <c r="K149" s="2"/>
      <c r="L149" s="2"/>
      <c r="M149" s="2"/>
      <c r="N149" s="2"/>
      <c r="O149" s="2"/>
      <c r="P149" s="2"/>
      <c r="Q149" s="7"/>
      <c r="R149" s="224"/>
      <c r="S149" s="224"/>
      <c r="T149" s="224"/>
      <c r="U149" s="868"/>
      <c r="V149" s="865"/>
      <c r="W149" s="2"/>
      <c r="X149" s="2"/>
      <c r="Y149" s="2"/>
      <c r="Z149" s="2"/>
      <c r="AA149" s="2"/>
      <c r="AB149" s="2"/>
      <c r="AC149" s="2"/>
      <c r="AD149" s="2"/>
      <c r="AE149" s="2"/>
      <c r="AF149" s="2"/>
      <c r="AG149" s="2"/>
      <c r="AH149" s="2"/>
      <c r="AI149" s="2"/>
      <c r="AJ149" s="218"/>
      <c r="AK149" s="218"/>
      <c r="AL149" s="218"/>
      <c r="AM149" s="218"/>
    </row>
    <row r="150">
      <c r="A150" s="33"/>
      <c r="B150" s="2"/>
      <c r="C150" s="2"/>
      <c r="D150" s="2"/>
      <c r="E150" s="2"/>
      <c r="F150" s="4"/>
      <c r="G150" s="2"/>
      <c r="H150" s="2"/>
      <c r="I150" s="2"/>
      <c r="J150" s="5"/>
      <c r="K150" s="2"/>
      <c r="L150" s="2"/>
      <c r="M150" s="2"/>
      <c r="N150" s="2"/>
      <c r="O150" s="2"/>
      <c r="P150" s="2"/>
      <c r="Q150" s="7"/>
      <c r="R150" s="224"/>
      <c r="S150" s="224"/>
      <c r="T150" s="224"/>
      <c r="U150" s="868"/>
      <c r="V150" s="865"/>
      <c r="W150" s="2"/>
      <c r="X150" s="2"/>
      <c r="Y150" s="2"/>
      <c r="Z150" s="2"/>
      <c r="AA150" s="2"/>
      <c r="AB150" s="2"/>
      <c r="AC150" s="2"/>
      <c r="AD150" s="2"/>
      <c r="AE150" s="2"/>
      <c r="AF150" s="2"/>
      <c r="AG150" s="2"/>
      <c r="AH150" s="2"/>
      <c r="AI150" s="2"/>
      <c r="AJ150" s="218"/>
      <c r="AK150" s="218"/>
      <c r="AL150" s="218"/>
      <c r="AM150" s="218"/>
    </row>
    <row r="151">
      <c r="A151" s="33"/>
      <c r="B151" s="2"/>
      <c r="C151" s="2"/>
      <c r="D151" s="2"/>
      <c r="E151" s="2"/>
      <c r="F151" s="4"/>
      <c r="G151" s="2"/>
      <c r="H151" s="2"/>
      <c r="I151" s="2"/>
      <c r="J151" s="5"/>
      <c r="K151" s="2"/>
      <c r="L151" s="2"/>
      <c r="M151" s="2"/>
      <c r="N151" s="2"/>
      <c r="O151" s="2"/>
      <c r="P151" s="2"/>
      <c r="Q151" s="7"/>
      <c r="R151" s="224"/>
      <c r="S151" s="224"/>
      <c r="T151" s="224"/>
      <c r="U151" s="868"/>
      <c r="V151" s="865"/>
      <c r="W151" s="2"/>
      <c r="X151" s="2"/>
      <c r="Y151" s="2"/>
      <c r="Z151" s="2"/>
      <c r="AA151" s="2"/>
      <c r="AB151" s="2"/>
      <c r="AC151" s="2"/>
      <c r="AD151" s="2"/>
      <c r="AE151" s="2"/>
      <c r="AF151" s="2"/>
      <c r="AG151" s="2"/>
      <c r="AH151" s="2"/>
      <c r="AI151" s="2"/>
      <c r="AJ151" s="218"/>
      <c r="AK151" s="218"/>
      <c r="AL151" s="218"/>
      <c r="AM151" s="218"/>
    </row>
    <row r="152">
      <c r="A152" s="33"/>
      <c r="B152" s="2"/>
      <c r="C152" s="2"/>
      <c r="D152" s="2"/>
      <c r="E152" s="2"/>
      <c r="F152" s="4"/>
      <c r="G152" s="2"/>
      <c r="H152" s="2"/>
      <c r="I152" s="2"/>
      <c r="J152" s="5"/>
      <c r="K152" s="2"/>
      <c r="L152" s="2"/>
      <c r="M152" s="2"/>
      <c r="N152" s="2"/>
      <c r="O152" s="2"/>
      <c r="P152" s="2"/>
      <c r="Q152" s="7"/>
      <c r="R152" s="224"/>
      <c r="S152" s="224"/>
      <c r="T152" s="224"/>
      <c r="U152" s="868"/>
      <c r="V152" s="865"/>
      <c r="W152" s="2"/>
      <c r="X152" s="2"/>
      <c r="Y152" s="2"/>
      <c r="Z152" s="2"/>
      <c r="AA152" s="2"/>
      <c r="AB152" s="2"/>
      <c r="AC152" s="2"/>
      <c r="AD152" s="2"/>
      <c r="AE152" s="2"/>
      <c r="AF152" s="2"/>
      <c r="AG152" s="2"/>
      <c r="AH152" s="2"/>
      <c r="AI152" s="2"/>
      <c r="AJ152" s="218"/>
      <c r="AK152" s="218"/>
      <c r="AL152" s="218"/>
      <c r="AM152" s="218"/>
    </row>
    <row r="153">
      <c r="A153" s="33"/>
      <c r="B153" s="2"/>
      <c r="C153" s="2"/>
      <c r="D153" s="2"/>
      <c r="E153" s="2"/>
      <c r="F153" s="4"/>
      <c r="G153" s="2"/>
      <c r="H153" s="2"/>
      <c r="I153" s="2"/>
      <c r="J153" s="5"/>
      <c r="K153" s="2"/>
      <c r="L153" s="2"/>
      <c r="M153" s="2"/>
      <c r="N153" s="2"/>
      <c r="O153" s="2"/>
      <c r="P153" s="2"/>
      <c r="Q153" s="7"/>
      <c r="R153" s="224"/>
      <c r="S153" s="224"/>
      <c r="T153" s="224"/>
      <c r="U153" s="868"/>
      <c r="V153" s="865"/>
      <c r="W153" s="2"/>
      <c r="X153" s="2"/>
      <c r="Y153" s="2"/>
      <c r="Z153" s="2"/>
      <c r="AA153" s="2"/>
      <c r="AB153" s="2"/>
      <c r="AC153" s="2"/>
      <c r="AD153" s="2"/>
      <c r="AE153" s="2"/>
      <c r="AF153" s="2"/>
      <c r="AG153" s="2"/>
      <c r="AH153" s="2"/>
      <c r="AI153" s="2"/>
      <c r="AJ153" s="218"/>
      <c r="AK153" s="218"/>
      <c r="AL153" s="218"/>
      <c r="AM153" s="218"/>
    </row>
    <row r="154">
      <c r="A154" s="33"/>
      <c r="B154" s="2"/>
      <c r="C154" s="2"/>
      <c r="D154" s="2"/>
      <c r="E154" s="2"/>
      <c r="F154" s="4"/>
      <c r="G154" s="2"/>
      <c r="H154" s="2"/>
      <c r="I154" s="2"/>
      <c r="J154" s="5"/>
      <c r="K154" s="2"/>
      <c r="L154" s="2"/>
      <c r="M154" s="2"/>
      <c r="N154" s="2"/>
      <c r="O154" s="2"/>
      <c r="P154" s="2"/>
      <c r="Q154" s="7"/>
      <c r="R154" s="224"/>
      <c r="S154" s="224"/>
      <c r="T154" s="224"/>
      <c r="U154" s="868"/>
      <c r="V154" s="865"/>
      <c r="W154" s="2"/>
      <c r="X154" s="2"/>
      <c r="Y154" s="2"/>
      <c r="Z154" s="2"/>
      <c r="AA154" s="2"/>
      <c r="AB154" s="2"/>
      <c r="AC154" s="2"/>
      <c r="AD154" s="2"/>
      <c r="AE154" s="2"/>
      <c r="AF154" s="2"/>
      <c r="AG154" s="2"/>
      <c r="AH154" s="2"/>
      <c r="AI154" s="2"/>
      <c r="AJ154" s="218"/>
      <c r="AK154" s="218"/>
      <c r="AL154" s="218"/>
      <c r="AM154" s="218"/>
    </row>
    <row r="155">
      <c r="A155" s="33"/>
      <c r="B155" s="2"/>
      <c r="C155" s="2"/>
      <c r="D155" s="2"/>
      <c r="E155" s="2"/>
      <c r="F155" s="4"/>
      <c r="G155" s="2"/>
      <c r="H155" s="2"/>
      <c r="I155" s="2"/>
      <c r="J155" s="5"/>
      <c r="K155" s="2"/>
      <c r="L155" s="2"/>
      <c r="M155" s="2"/>
      <c r="N155" s="2"/>
      <c r="O155" s="2"/>
      <c r="P155" s="2"/>
      <c r="Q155" s="7"/>
      <c r="R155" s="224"/>
      <c r="S155" s="224"/>
      <c r="T155" s="224"/>
      <c r="U155" s="868"/>
      <c r="V155" s="865"/>
      <c r="W155" s="2"/>
      <c r="X155" s="2"/>
      <c r="Y155" s="2"/>
      <c r="Z155" s="2"/>
      <c r="AA155" s="2"/>
      <c r="AB155" s="2"/>
      <c r="AC155" s="2"/>
      <c r="AD155" s="2"/>
      <c r="AE155" s="2"/>
      <c r="AF155" s="2"/>
      <c r="AG155" s="2"/>
      <c r="AH155" s="2"/>
      <c r="AI155" s="2"/>
      <c r="AJ155" s="218"/>
      <c r="AK155" s="218"/>
      <c r="AL155" s="218"/>
      <c r="AM155" s="218"/>
    </row>
    <row r="156">
      <c r="A156" s="33"/>
      <c r="B156" s="2"/>
      <c r="C156" s="2"/>
      <c r="D156" s="2"/>
      <c r="E156" s="2"/>
      <c r="F156" s="4"/>
      <c r="G156" s="2"/>
      <c r="H156" s="2"/>
      <c r="I156" s="2"/>
      <c r="J156" s="5"/>
      <c r="K156" s="2"/>
      <c r="L156" s="2"/>
      <c r="M156" s="2"/>
      <c r="N156" s="2"/>
      <c r="O156" s="2"/>
      <c r="P156" s="2"/>
      <c r="Q156" s="7"/>
      <c r="R156" s="224"/>
      <c r="S156" s="224"/>
      <c r="T156" s="224"/>
      <c r="U156" s="868"/>
      <c r="V156" s="865"/>
      <c r="W156" s="2"/>
      <c r="X156" s="2"/>
      <c r="Y156" s="2"/>
      <c r="Z156" s="2"/>
      <c r="AA156" s="2"/>
      <c r="AB156" s="2"/>
      <c r="AC156" s="2"/>
      <c r="AD156" s="2"/>
      <c r="AE156" s="2"/>
      <c r="AF156" s="2"/>
      <c r="AG156" s="2"/>
      <c r="AH156" s="2"/>
      <c r="AI156" s="2"/>
      <c r="AJ156" s="218"/>
      <c r="AK156" s="218"/>
      <c r="AL156" s="218"/>
      <c r="AM156" s="218"/>
    </row>
    <row r="157">
      <c r="A157" s="33"/>
      <c r="B157" s="2"/>
      <c r="C157" s="2"/>
      <c r="D157" s="2"/>
      <c r="E157" s="2"/>
      <c r="F157" s="4"/>
      <c r="G157" s="2"/>
      <c r="H157" s="2"/>
      <c r="I157" s="2"/>
      <c r="J157" s="5"/>
      <c r="K157" s="2"/>
      <c r="L157" s="2"/>
      <c r="M157" s="2"/>
      <c r="N157" s="2"/>
      <c r="O157" s="2"/>
      <c r="P157" s="2"/>
      <c r="Q157" s="7"/>
      <c r="R157" s="224"/>
      <c r="S157" s="224"/>
      <c r="T157" s="224"/>
      <c r="U157" s="868"/>
      <c r="V157" s="865"/>
      <c r="W157" s="2"/>
      <c r="X157" s="2"/>
      <c r="Y157" s="2"/>
      <c r="Z157" s="2"/>
      <c r="AA157" s="2"/>
      <c r="AB157" s="2"/>
      <c r="AC157" s="2"/>
      <c r="AD157" s="2"/>
      <c r="AE157" s="2"/>
      <c r="AF157" s="2"/>
      <c r="AG157" s="2"/>
      <c r="AH157" s="2"/>
      <c r="AI157" s="2"/>
      <c r="AJ157" s="218"/>
      <c r="AK157" s="218"/>
      <c r="AL157" s="218"/>
      <c r="AM157" s="218"/>
    </row>
    <row r="158">
      <c r="A158" s="33"/>
      <c r="B158" s="2"/>
      <c r="C158" s="2"/>
      <c r="D158" s="2"/>
      <c r="E158" s="2"/>
      <c r="F158" s="4"/>
      <c r="G158" s="2"/>
      <c r="H158" s="2"/>
      <c r="I158" s="2"/>
      <c r="J158" s="5"/>
      <c r="K158" s="2"/>
      <c r="L158" s="2"/>
      <c r="M158" s="2"/>
      <c r="N158" s="2"/>
      <c r="O158" s="2"/>
      <c r="P158" s="2"/>
      <c r="Q158" s="7"/>
      <c r="R158" s="224"/>
      <c r="S158" s="224"/>
      <c r="T158" s="224"/>
      <c r="U158" s="868"/>
      <c r="V158" s="865"/>
      <c r="W158" s="2"/>
      <c r="X158" s="2"/>
      <c r="Y158" s="2"/>
      <c r="Z158" s="2"/>
      <c r="AA158" s="2"/>
      <c r="AB158" s="2"/>
      <c r="AC158" s="2"/>
      <c r="AD158" s="2"/>
      <c r="AE158" s="2"/>
      <c r="AF158" s="2"/>
      <c r="AG158" s="2"/>
      <c r="AH158" s="2"/>
      <c r="AI158" s="2"/>
      <c r="AJ158" s="218"/>
      <c r="AK158" s="218"/>
      <c r="AL158" s="218"/>
      <c r="AM158" s="218"/>
    </row>
    <row r="159">
      <c r="A159" s="33"/>
      <c r="B159" s="2"/>
      <c r="C159" s="2"/>
      <c r="D159" s="2"/>
      <c r="E159" s="2"/>
      <c r="F159" s="4"/>
      <c r="G159" s="2"/>
      <c r="H159" s="2"/>
      <c r="I159" s="2"/>
      <c r="J159" s="5"/>
      <c r="K159" s="2"/>
      <c r="L159" s="2"/>
      <c r="M159" s="2"/>
      <c r="N159" s="2"/>
      <c r="O159" s="2"/>
      <c r="P159" s="2"/>
      <c r="Q159" s="7"/>
      <c r="R159" s="224"/>
      <c r="S159" s="224"/>
      <c r="T159" s="224"/>
      <c r="U159" s="868"/>
      <c r="V159" s="865"/>
      <c r="W159" s="2"/>
      <c r="X159" s="2"/>
      <c r="Y159" s="2"/>
      <c r="Z159" s="2"/>
      <c r="AA159" s="2"/>
      <c r="AB159" s="2"/>
      <c r="AC159" s="2"/>
      <c r="AD159" s="2"/>
      <c r="AE159" s="2"/>
      <c r="AF159" s="2"/>
      <c r="AG159" s="2"/>
      <c r="AH159" s="2"/>
      <c r="AI159" s="2"/>
      <c r="AJ159" s="218"/>
      <c r="AK159" s="218"/>
      <c r="AL159" s="218"/>
      <c r="AM159" s="218"/>
    </row>
    <row r="160">
      <c r="A160" s="33"/>
      <c r="B160" s="2"/>
      <c r="C160" s="2"/>
      <c r="D160" s="2"/>
      <c r="E160" s="2"/>
      <c r="F160" s="4"/>
      <c r="G160" s="2"/>
      <c r="H160" s="2"/>
      <c r="I160" s="2"/>
      <c r="J160" s="5"/>
      <c r="K160" s="2"/>
      <c r="L160" s="2"/>
      <c r="M160" s="2"/>
      <c r="N160" s="2"/>
      <c r="O160" s="2"/>
      <c r="P160" s="2"/>
      <c r="Q160" s="7"/>
      <c r="R160" s="224"/>
      <c r="S160" s="224"/>
      <c r="T160" s="224"/>
      <c r="U160" s="868"/>
      <c r="V160" s="865"/>
      <c r="W160" s="2"/>
      <c r="X160" s="2"/>
      <c r="Y160" s="2"/>
      <c r="Z160" s="2"/>
      <c r="AA160" s="2"/>
      <c r="AB160" s="2"/>
      <c r="AC160" s="2"/>
      <c r="AD160" s="2"/>
      <c r="AE160" s="2"/>
      <c r="AF160" s="2"/>
      <c r="AG160" s="2"/>
      <c r="AH160" s="2"/>
      <c r="AI160" s="2"/>
      <c r="AJ160" s="218"/>
      <c r="AK160" s="218"/>
      <c r="AL160" s="218"/>
      <c r="AM160" s="218"/>
    </row>
    <row r="161">
      <c r="A161" s="33"/>
      <c r="B161" s="2"/>
      <c r="C161" s="2"/>
      <c r="D161" s="2"/>
      <c r="E161" s="2"/>
      <c r="F161" s="4"/>
      <c r="G161" s="2"/>
      <c r="H161" s="2"/>
      <c r="I161" s="2"/>
      <c r="J161" s="5"/>
      <c r="K161" s="2"/>
      <c r="L161" s="2"/>
      <c r="M161" s="2"/>
      <c r="N161" s="2"/>
      <c r="O161" s="2"/>
      <c r="P161" s="2"/>
      <c r="Q161" s="7"/>
      <c r="R161" s="224"/>
      <c r="S161" s="224"/>
      <c r="T161" s="224"/>
      <c r="U161" s="868"/>
      <c r="V161" s="865"/>
      <c r="W161" s="2"/>
      <c r="X161" s="2"/>
      <c r="Y161" s="2"/>
      <c r="Z161" s="2"/>
      <c r="AA161" s="2"/>
      <c r="AB161" s="2"/>
      <c r="AC161" s="2"/>
      <c r="AD161" s="2"/>
      <c r="AE161" s="2"/>
      <c r="AF161" s="2"/>
      <c r="AG161" s="2"/>
      <c r="AH161" s="2"/>
      <c r="AI161" s="2"/>
      <c r="AJ161" s="218"/>
      <c r="AK161" s="218"/>
      <c r="AL161" s="218"/>
      <c r="AM161" s="218"/>
    </row>
    <row r="162">
      <c r="A162" s="33"/>
      <c r="B162" s="2"/>
      <c r="C162" s="2"/>
      <c r="D162" s="2"/>
      <c r="E162" s="2"/>
      <c r="F162" s="4"/>
      <c r="G162" s="2"/>
      <c r="H162" s="2"/>
      <c r="I162" s="2"/>
      <c r="J162" s="5"/>
      <c r="K162" s="2"/>
      <c r="L162" s="2"/>
      <c r="M162" s="2"/>
      <c r="N162" s="2"/>
      <c r="O162" s="2"/>
      <c r="P162" s="2"/>
      <c r="Q162" s="7"/>
      <c r="R162" s="224"/>
      <c r="S162" s="224"/>
      <c r="T162" s="224"/>
      <c r="U162" s="868"/>
      <c r="V162" s="865"/>
      <c r="W162" s="2"/>
      <c r="X162" s="2"/>
      <c r="Y162" s="2"/>
      <c r="Z162" s="2"/>
      <c r="AA162" s="2"/>
      <c r="AB162" s="2"/>
      <c r="AC162" s="2"/>
      <c r="AD162" s="2"/>
      <c r="AE162" s="2"/>
      <c r="AF162" s="2"/>
      <c r="AG162" s="2"/>
      <c r="AH162" s="2"/>
      <c r="AI162" s="2"/>
      <c r="AJ162" s="218"/>
      <c r="AK162" s="218"/>
      <c r="AL162" s="218"/>
      <c r="AM162" s="218"/>
    </row>
    <row r="163">
      <c r="A163" s="33"/>
      <c r="B163" s="2"/>
      <c r="C163" s="2"/>
      <c r="D163" s="2"/>
      <c r="E163" s="2"/>
      <c r="F163" s="4"/>
      <c r="G163" s="2"/>
      <c r="H163" s="2"/>
      <c r="I163" s="2"/>
      <c r="J163" s="5"/>
      <c r="K163" s="2"/>
      <c r="L163" s="2"/>
      <c r="M163" s="2"/>
      <c r="N163" s="2"/>
      <c r="O163" s="2"/>
      <c r="P163" s="2"/>
      <c r="Q163" s="7"/>
      <c r="R163" s="224"/>
      <c r="S163" s="224"/>
      <c r="T163" s="224"/>
      <c r="U163" s="868"/>
      <c r="V163" s="865"/>
      <c r="W163" s="2"/>
      <c r="X163" s="2"/>
      <c r="Y163" s="2"/>
      <c r="Z163" s="2"/>
      <c r="AA163" s="2"/>
      <c r="AB163" s="2"/>
      <c r="AC163" s="2"/>
      <c r="AD163" s="2"/>
      <c r="AE163" s="2"/>
      <c r="AF163" s="2"/>
      <c r="AG163" s="2"/>
      <c r="AH163" s="2"/>
      <c r="AI163" s="2"/>
      <c r="AJ163" s="218"/>
      <c r="AK163" s="218"/>
      <c r="AL163" s="218"/>
      <c r="AM163" s="218"/>
    </row>
    <row r="164">
      <c r="A164" s="33"/>
      <c r="B164" s="2"/>
      <c r="C164" s="2"/>
      <c r="D164" s="2"/>
      <c r="E164" s="2"/>
      <c r="F164" s="4"/>
      <c r="G164" s="2"/>
      <c r="H164" s="2"/>
      <c r="I164" s="2"/>
      <c r="J164" s="5"/>
      <c r="K164" s="2"/>
      <c r="L164" s="2"/>
      <c r="M164" s="2"/>
      <c r="N164" s="2"/>
      <c r="O164" s="2"/>
      <c r="P164" s="2"/>
      <c r="Q164" s="7"/>
      <c r="R164" s="224"/>
      <c r="S164" s="224"/>
      <c r="T164" s="224"/>
      <c r="U164" s="868"/>
      <c r="V164" s="865"/>
      <c r="W164" s="2"/>
      <c r="X164" s="2"/>
      <c r="Y164" s="2"/>
      <c r="Z164" s="2"/>
      <c r="AA164" s="2"/>
      <c r="AB164" s="2"/>
      <c r="AC164" s="2"/>
      <c r="AD164" s="2"/>
      <c r="AE164" s="2"/>
      <c r="AF164" s="2"/>
      <c r="AG164" s="2"/>
      <c r="AH164" s="2"/>
      <c r="AI164" s="2"/>
      <c r="AJ164" s="218"/>
      <c r="AK164" s="218"/>
      <c r="AL164" s="218"/>
      <c r="AM164" s="218"/>
    </row>
    <row r="165">
      <c r="A165" s="33"/>
      <c r="B165" s="2"/>
      <c r="C165" s="2"/>
      <c r="D165" s="2"/>
      <c r="E165" s="2"/>
      <c r="F165" s="4"/>
      <c r="G165" s="2"/>
      <c r="H165" s="2"/>
      <c r="I165" s="2"/>
      <c r="J165" s="5"/>
      <c r="K165" s="2"/>
      <c r="L165" s="2"/>
      <c r="M165" s="2"/>
      <c r="N165" s="2"/>
      <c r="O165" s="2"/>
      <c r="P165" s="2"/>
      <c r="Q165" s="7"/>
      <c r="R165" s="224"/>
      <c r="S165" s="224"/>
      <c r="T165" s="224"/>
      <c r="U165" s="868"/>
      <c r="V165" s="865"/>
      <c r="W165" s="2"/>
      <c r="X165" s="2"/>
      <c r="Y165" s="2"/>
      <c r="Z165" s="2"/>
      <c r="AA165" s="2"/>
      <c r="AB165" s="2"/>
      <c r="AC165" s="2"/>
      <c r="AD165" s="2"/>
      <c r="AE165" s="2"/>
      <c r="AF165" s="2"/>
      <c r="AG165" s="2"/>
      <c r="AH165" s="2"/>
      <c r="AI165" s="2"/>
      <c r="AJ165" s="218"/>
      <c r="AK165" s="218"/>
      <c r="AL165" s="218"/>
      <c r="AM165" s="218"/>
    </row>
    <row r="166">
      <c r="A166" s="33"/>
      <c r="B166" s="2"/>
      <c r="C166" s="2"/>
      <c r="D166" s="2"/>
      <c r="E166" s="2"/>
      <c r="F166" s="4"/>
      <c r="G166" s="2"/>
      <c r="H166" s="2"/>
      <c r="I166" s="2"/>
      <c r="J166" s="5"/>
      <c r="K166" s="2"/>
      <c r="L166" s="2"/>
      <c r="M166" s="2"/>
      <c r="N166" s="2"/>
      <c r="O166" s="2"/>
      <c r="P166" s="2"/>
      <c r="Q166" s="7"/>
      <c r="R166" s="224"/>
      <c r="S166" s="224"/>
      <c r="T166" s="224"/>
      <c r="U166" s="868"/>
      <c r="V166" s="865"/>
      <c r="W166" s="2"/>
      <c r="X166" s="2"/>
      <c r="Y166" s="2"/>
      <c r="Z166" s="2"/>
      <c r="AA166" s="2"/>
      <c r="AB166" s="2"/>
      <c r="AC166" s="2"/>
      <c r="AD166" s="2"/>
      <c r="AE166" s="2"/>
      <c r="AF166" s="2"/>
      <c r="AG166" s="2"/>
      <c r="AH166" s="2"/>
      <c r="AI166" s="2"/>
      <c r="AJ166" s="218"/>
      <c r="AK166" s="218"/>
      <c r="AL166" s="218"/>
      <c r="AM166" s="218"/>
    </row>
    <row r="167">
      <c r="A167" s="33"/>
      <c r="B167" s="2"/>
      <c r="C167" s="2"/>
      <c r="D167" s="2"/>
      <c r="E167" s="2"/>
      <c r="F167" s="4"/>
      <c r="G167" s="2"/>
      <c r="H167" s="2"/>
      <c r="I167" s="2"/>
      <c r="J167" s="5"/>
      <c r="K167" s="2"/>
      <c r="L167" s="2"/>
      <c r="M167" s="2"/>
      <c r="N167" s="2"/>
      <c r="O167" s="2"/>
      <c r="P167" s="2"/>
      <c r="Q167" s="7"/>
      <c r="R167" s="224"/>
      <c r="S167" s="224"/>
      <c r="T167" s="224"/>
      <c r="U167" s="868"/>
      <c r="V167" s="865"/>
      <c r="W167" s="2"/>
      <c r="X167" s="2"/>
      <c r="Y167" s="2"/>
      <c r="Z167" s="2"/>
      <c r="AA167" s="2"/>
      <c r="AB167" s="2"/>
      <c r="AC167" s="2"/>
      <c r="AD167" s="2"/>
      <c r="AE167" s="2"/>
      <c r="AF167" s="2"/>
      <c r="AG167" s="2"/>
      <c r="AH167" s="2"/>
      <c r="AI167" s="2"/>
      <c r="AJ167" s="218"/>
      <c r="AK167" s="218"/>
      <c r="AL167" s="218"/>
      <c r="AM167" s="218"/>
    </row>
    <row r="168">
      <c r="A168" s="33"/>
      <c r="B168" s="2"/>
      <c r="C168" s="2"/>
      <c r="D168" s="2"/>
      <c r="E168" s="2"/>
      <c r="F168" s="4"/>
      <c r="G168" s="2"/>
      <c r="H168" s="2"/>
      <c r="I168" s="2"/>
      <c r="J168" s="5"/>
      <c r="K168" s="2"/>
      <c r="L168" s="2"/>
      <c r="M168" s="2"/>
      <c r="N168" s="2"/>
      <c r="O168" s="2"/>
      <c r="P168" s="2"/>
      <c r="Q168" s="7"/>
      <c r="R168" s="224"/>
      <c r="S168" s="224"/>
      <c r="T168" s="224"/>
      <c r="U168" s="868"/>
      <c r="V168" s="865"/>
      <c r="W168" s="2"/>
      <c r="X168" s="2"/>
      <c r="Y168" s="2"/>
      <c r="Z168" s="2"/>
      <c r="AA168" s="2"/>
      <c r="AB168" s="2"/>
      <c r="AC168" s="2"/>
      <c r="AD168" s="2"/>
      <c r="AE168" s="2"/>
      <c r="AF168" s="2"/>
      <c r="AG168" s="2"/>
      <c r="AH168" s="2"/>
      <c r="AI168" s="2"/>
      <c r="AJ168" s="218"/>
      <c r="AK168" s="218"/>
      <c r="AL168" s="218"/>
      <c r="AM168" s="218"/>
    </row>
    <row r="169">
      <c r="A169" s="33"/>
      <c r="B169" s="2"/>
      <c r="C169" s="2"/>
      <c r="D169" s="2"/>
      <c r="E169" s="2"/>
      <c r="F169" s="4"/>
      <c r="G169" s="2"/>
      <c r="H169" s="2"/>
      <c r="I169" s="2"/>
      <c r="J169" s="5"/>
      <c r="K169" s="2"/>
      <c r="L169" s="2"/>
      <c r="M169" s="2"/>
      <c r="N169" s="2"/>
      <c r="O169" s="2"/>
      <c r="P169" s="2"/>
      <c r="Q169" s="7"/>
      <c r="R169" s="224"/>
      <c r="S169" s="224"/>
      <c r="T169" s="224"/>
      <c r="U169" s="868"/>
      <c r="V169" s="865"/>
      <c r="W169" s="2"/>
      <c r="X169" s="2"/>
      <c r="Y169" s="2"/>
      <c r="Z169" s="2"/>
      <c r="AA169" s="2"/>
      <c r="AB169" s="2"/>
      <c r="AC169" s="2"/>
      <c r="AD169" s="2"/>
      <c r="AE169" s="2"/>
      <c r="AF169" s="2"/>
      <c r="AG169" s="2"/>
      <c r="AH169" s="2"/>
      <c r="AI169" s="2"/>
      <c r="AJ169" s="218"/>
      <c r="AK169" s="218"/>
      <c r="AL169" s="218"/>
      <c r="AM169" s="218"/>
    </row>
    <row r="170">
      <c r="A170" s="33"/>
      <c r="B170" s="2"/>
      <c r="C170" s="2"/>
      <c r="D170" s="2"/>
      <c r="E170" s="2"/>
      <c r="F170" s="4"/>
      <c r="G170" s="2"/>
      <c r="H170" s="2"/>
      <c r="I170" s="2"/>
      <c r="J170" s="5"/>
      <c r="K170" s="2"/>
      <c r="L170" s="2"/>
      <c r="M170" s="2"/>
      <c r="N170" s="2"/>
      <c r="O170" s="2"/>
      <c r="P170" s="2"/>
      <c r="Q170" s="7"/>
      <c r="R170" s="224"/>
      <c r="S170" s="224"/>
      <c r="T170" s="224"/>
      <c r="U170" s="868"/>
      <c r="V170" s="865"/>
      <c r="W170" s="2"/>
      <c r="X170" s="2"/>
      <c r="Y170" s="2"/>
      <c r="Z170" s="2"/>
      <c r="AA170" s="2"/>
      <c r="AB170" s="2"/>
      <c r="AC170" s="2"/>
      <c r="AD170" s="2"/>
      <c r="AE170" s="2"/>
      <c r="AF170" s="2"/>
      <c r="AG170" s="2"/>
      <c r="AH170" s="2"/>
      <c r="AI170" s="2"/>
      <c r="AJ170" s="218"/>
      <c r="AK170" s="218"/>
      <c r="AL170" s="218"/>
      <c r="AM170" s="218"/>
    </row>
    <row r="171">
      <c r="A171" s="33"/>
      <c r="B171" s="2"/>
      <c r="C171" s="2"/>
      <c r="D171" s="2"/>
      <c r="E171" s="2"/>
      <c r="F171" s="4"/>
      <c r="G171" s="2"/>
      <c r="H171" s="2"/>
      <c r="I171" s="2"/>
      <c r="J171" s="5"/>
      <c r="K171" s="2"/>
      <c r="L171" s="2"/>
      <c r="M171" s="2"/>
      <c r="N171" s="2"/>
      <c r="O171" s="2"/>
      <c r="P171" s="2"/>
      <c r="Q171" s="7"/>
      <c r="R171" s="224"/>
      <c r="S171" s="224"/>
      <c r="T171" s="224"/>
      <c r="U171" s="868"/>
      <c r="V171" s="865"/>
      <c r="W171" s="2"/>
      <c r="X171" s="2"/>
      <c r="Y171" s="2"/>
      <c r="Z171" s="2"/>
      <c r="AA171" s="2"/>
      <c r="AB171" s="2"/>
      <c r="AC171" s="2"/>
      <c r="AD171" s="2"/>
      <c r="AE171" s="2"/>
      <c r="AF171" s="2"/>
      <c r="AG171" s="2"/>
      <c r="AH171" s="2"/>
      <c r="AI171" s="2"/>
      <c r="AJ171" s="218"/>
      <c r="AK171" s="218"/>
      <c r="AL171" s="218"/>
      <c r="AM171" s="218"/>
    </row>
    <row r="172">
      <c r="A172" s="33"/>
      <c r="B172" s="2"/>
      <c r="C172" s="2"/>
      <c r="D172" s="2"/>
      <c r="E172" s="2"/>
      <c r="F172" s="4"/>
      <c r="G172" s="2"/>
      <c r="H172" s="2"/>
      <c r="I172" s="2"/>
      <c r="J172" s="5"/>
      <c r="K172" s="2"/>
      <c r="L172" s="2"/>
      <c r="M172" s="2"/>
      <c r="N172" s="2"/>
      <c r="O172" s="2"/>
      <c r="P172" s="2"/>
      <c r="Q172" s="7"/>
      <c r="R172" s="224"/>
      <c r="S172" s="224"/>
      <c r="T172" s="224"/>
      <c r="U172" s="868"/>
      <c r="V172" s="865"/>
      <c r="W172" s="2"/>
      <c r="X172" s="2"/>
      <c r="Y172" s="2"/>
      <c r="Z172" s="2"/>
      <c r="AA172" s="2"/>
      <c r="AB172" s="2"/>
      <c r="AC172" s="2"/>
      <c r="AD172" s="2"/>
      <c r="AE172" s="2"/>
      <c r="AF172" s="2"/>
      <c r="AG172" s="2"/>
      <c r="AH172" s="2"/>
      <c r="AI172" s="2"/>
      <c r="AJ172" s="218"/>
      <c r="AK172" s="218"/>
      <c r="AL172" s="218"/>
      <c r="AM172" s="218"/>
    </row>
    <row r="173">
      <c r="A173" s="33"/>
      <c r="B173" s="2"/>
      <c r="C173" s="2"/>
      <c r="D173" s="2"/>
      <c r="E173" s="2"/>
      <c r="F173" s="4"/>
      <c r="G173" s="2"/>
      <c r="H173" s="2"/>
      <c r="I173" s="2"/>
      <c r="J173" s="5"/>
      <c r="K173" s="2"/>
      <c r="L173" s="2"/>
      <c r="M173" s="2"/>
      <c r="N173" s="2"/>
      <c r="O173" s="2"/>
      <c r="P173" s="2"/>
      <c r="Q173" s="7"/>
      <c r="R173" s="224"/>
      <c r="S173" s="224"/>
      <c r="T173" s="224"/>
      <c r="U173" s="868"/>
      <c r="V173" s="865"/>
      <c r="W173" s="2"/>
      <c r="X173" s="2"/>
      <c r="Y173" s="2"/>
      <c r="Z173" s="2"/>
      <c r="AA173" s="2"/>
      <c r="AB173" s="2"/>
      <c r="AC173" s="2"/>
      <c r="AD173" s="2"/>
      <c r="AE173" s="2"/>
      <c r="AF173" s="2"/>
      <c r="AG173" s="2"/>
      <c r="AH173" s="2"/>
      <c r="AI173" s="2"/>
      <c r="AJ173" s="218"/>
      <c r="AK173" s="218"/>
      <c r="AL173" s="218"/>
      <c r="AM173" s="218"/>
    </row>
    <row r="174">
      <c r="A174" s="33"/>
      <c r="B174" s="2"/>
      <c r="C174" s="2"/>
      <c r="D174" s="2"/>
      <c r="E174" s="2"/>
      <c r="F174" s="4"/>
      <c r="G174" s="2"/>
      <c r="H174" s="2"/>
      <c r="I174" s="2"/>
      <c r="J174" s="5"/>
      <c r="K174" s="2"/>
      <c r="L174" s="2"/>
      <c r="M174" s="2"/>
      <c r="N174" s="2"/>
      <c r="O174" s="2"/>
      <c r="P174" s="2"/>
      <c r="Q174" s="7"/>
      <c r="R174" s="224"/>
      <c r="S174" s="224"/>
      <c r="T174" s="224"/>
      <c r="U174" s="868"/>
      <c r="V174" s="865"/>
      <c r="W174" s="2"/>
      <c r="X174" s="2"/>
      <c r="Y174" s="2"/>
      <c r="Z174" s="2"/>
      <c r="AA174" s="2"/>
      <c r="AB174" s="2"/>
      <c r="AC174" s="2"/>
      <c r="AD174" s="2"/>
      <c r="AE174" s="2"/>
      <c r="AF174" s="2"/>
      <c r="AG174" s="2"/>
      <c r="AH174" s="2"/>
      <c r="AI174" s="2"/>
      <c r="AJ174" s="218"/>
      <c r="AK174" s="218"/>
      <c r="AL174" s="218"/>
      <c r="AM174" s="218"/>
    </row>
    <row r="175">
      <c r="A175" s="33"/>
      <c r="B175" s="2"/>
      <c r="C175" s="2"/>
      <c r="D175" s="2"/>
      <c r="E175" s="2"/>
      <c r="F175" s="4"/>
      <c r="G175" s="2"/>
      <c r="H175" s="2"/>
      <c r="I175" s="2"/>
      <c r="J175" s="5"/>
      <c r="K175" s="2"/>
      <c r="L175" s="2"/>
      <c r="M175" s="2"/>
      <c r="N175" s="2"/>
      <c r="O175" s="2"/>
      <c r="P175" s="2"/>
      <c r="Q175" s="7"/>
      <c r="R175" s="224"/>
      <c r="S175" s="224"/>
      <c r="T175" s="224"/>
      <c r="U175" s="868"/>
      <c r="V175" s="865"/>
      <c r="W175" s="2"/>
      <c r="X175" s="2"/>
      <c r="Y175" s="2"/>
      <c r="Z175" s="2"/>
      <c r="AA175" s="2"/>
      <c r="AB175" s="2"/>
      <c r="AC175" s="2"/>
      <c r="AD175" s="2"/>
      <c r="AE175" s="2"/>
      <c r="AF175" s="2"/>
      <c r="AG175" s="2"/>
      <c r="AH175" s="2"/>
      <c r="AI175" s="2"/>
      <c r="AJ175" s="218"/>
      <c r="AK175" s="218"/>
      <c r="AL175" s="218"/>
      <c r="AM175" s="218"/>
    </row>
    <row r="176">
      <c r="A176" s="33"/>
      <c r="B176" s="2"/>
      <c r="C176" s="2"/>
      <c r="D176" s="2"/>
      <c r="E176" s="2"/>
      <c r="F176" s="4"/>
      <c r="G176" s="2"/>
      <c r="H176" s="2"/>
      <c r="I176" s="2"/>
      <c r="J176" s="5"/>
      <c r="K176" s="2"/>
      <c r="L176" s="2"/>
      <c r="M176" s="2"/>
      <c r="N176" s="2"/>
      <c r="O176" s="2"/>
      <c r="P176" s="2"/>
      <c r="Q176" s="7"/>
      <c r="R176" s="224"/>
      <c r="S176" s="224"/>
      <c r="T176" s="224"/>
      <c r="U176" s="868"/>
      <c r="V176" s="865"/>
      <c r="W176" s="2"/>
      <c r="X176" s="2"/>
      <c r="Y176" s="2"/>
      <c r="Z176" s="2"/>
      <c r="AA176" s="2"/>
      <c r="AB176" s="2"/>
      <c r="AC176" s="2"/>
      <c r="AD176" s="2"/>
      <c r="AE176" s="2"/>
      <c r="AF176" s="2"/>
      <c r="AG176" s="2"/>
      <c r="AH176" s="2"/>
      <c r="AI176" s="2"/>
      <c r="AJ176" s="218"/>
      <c r="AK176" s="218"/>
      <c r="AL176" s="218"/>
      <c r="AM176" s="218"/>
    </row>
    <row r="177">
      <c r="A177" s="33"/>
      <c r="B177" s="2"/>
      <c r="C177" s="2"/>
      <c r="D177" s="2"/>
      <c r="E177" s="2"/>
      <c r="F177" s="4"/>
      <c r="G177" s="2"/>
      <c r="H177" s="2"/>
      <c r="I177" s="2"/>
      <c r="J177" s="5"/>
      <c r="K177" s="2"/>
      <c r="L177" s="2"/>
      <c r="M177" s="2"/>
      <c r="N177" s="2"/>
      <c r="O177" s="2"/>
      <c r="P177" s="2"/>
      <c r="Q177" s="7"/>
      <c r="R177" s="224"/>
      <c r="S177" s="224"/>
      <c r="T177" s="224"/>
      <c r="U177" s="868"/>
      <c r="V177" s="865"/>
      <c r="W177" s="2"/>
      <c r="X177" s="2"/>
      <c r="Y177" s="2"/>
      <c r="Z177" s="2"/>
      <c r="AA177" s="2"/>
      <c r="AB177" s="2"/>
      <c r="AC177" s="2"/>
      <c r="AD177" s="2"/>
      <c r="AE177" s="2"/>
      <c r="AF177" s="2"/>
      <c r="AG177" s="2"/>
      <c r="AH177" s="2"/>
      <c r="AI177" s="2"/>
      <c r="AJ177" s="218"/>
      <c r="AK177" s="218"/>
      <c r="AL177" s="218"/>
      <c r="AM177" s="218"/>
    </row>
    <row r="178">
      <c r="A178" s="33"/>
      <c r="B178" s="2"/>
      <c r="C178" s="2"/>
      <c r="D178" s="2"/>
      <c r="E178" s="2"/>
      <c r="F178" s="4"/>
      <c r="G178" s="2"/>
      <c r="H178" s="2"/>
      <c r="I178" s="2"/>
      <c r="J178" s="5"/>
      <c r="K178" s="2"/>
      <c r="L178" s="2"/>
      <c r="M178" s="2"/>
      <c r="N178" s="2"/>
      <c r="O178" s="2"/>
      <c r="P178" s="2"/>
      <c r="Q178" s="7"/>
      <c r="R178" s="224"/>
      <c r="S178" s="224"/>
      <c r="T178" s="224"/>
      <c r="U178" s="868"/>
      <c r="V178" s="865"/>
      <c r="W178" s="2"/>
      <c r="X178" s="2"/>
      <c r="Y178" s="2"/>
      <c r="Z178" s="2"/>
      <c r="AA178" s="2"/>
      <c r="AB178" s="2"/>
      <c r="AC178" s="2"/>
      <c r="AD178" s="2"/>
      <c r="AE178" s="2"/>
      <c r="AF178" s="2"/>
      <c r="AG178" s="2"/>
      <c r="AH178" s="2"/>
      <c r="AI178" s="2"/>
      <c r="AJ178" s="218"/>
      <c r="AK178" s="218"/>
      <c r="AL178" s="218"/>
      <c r="AM178" s="218"/>
    </row>
    <row r="179">
      <c r="A179" s="33"/>
      <c r="B179" s="2"/>
      <c r="C179" s="2"/>
      <c r="D179" s="2"/>
      <c r="E179" s="2"/>
      <c r="F179" s="4"/>
      <c r="G179" s="2"/>
      <c r="H179" s="2"/>
      <c r="I179" s="2"/>
      <c r="J179" s="5"/>
      <c r="K179" s="2"/>
      <c r="L179" s="2"/>
      <c r="M179" s="2"/>
      <c r="N179" s="2"/>
      <c r="O179" s="2"/>
      <c r="P179" s="2"/>
      <c r="Q179" s="7"/>
      <c r="R179" s="224"/>
      <c r="S179" s="224"/>
      <c r="T179" s="224"/>
      <c r="U179" s="868"/>
      <c r="V179" s="865"/>
      <c r="W179" s="2"/>
      <c r="X179" s="2"/>
      <c r="Y179" s="2"/>
      <c r="Z179" s="2"/>
      <c r="AA179" s="2"/>
      <c r="AB179" s="2"/>
      <c r="AC179" s="2"/>
      <c r="AD179" s="2"/>
      <c r="AE179" s="2"/>
      <c r="AF179" s="2"/>
      <c r="AG179" s="2"/>
      <c r="AH179" s="2"/>
      <c r="AI179" s="2"/>
      <c r="AJ179" s="218"/>
      <c r="AK179" s="218"/>
      <c r="AL179" s="218"/>
      <c r="AM179" s="218"/>
    </row>
    <row r="180">
      <c r="A180" s="33"/>
      <c r="B180" s="2"/>
      <c r="C180" s="2"/>
      <c r="D180" s="2"/>
      <c r="E180" s="2"/>
      <c r="F180" s="4"/>
      <c r="G180" s="2"/>
      <c r="H180" s="2"/>
      <c r="I180" s="2"/>
      <c r="J180" s="5"/>
      <c r="K180" s="2"/>
      <c r="L180" s="2"/>
      <c r="M180" s="2"/>
      <c r="N180" s="2"/>
      <c r="O180" s="2"/>
      <c r="P180" s="2"/>
      <c r="Q180" s="7"/>
      <c r="R180" s="224"/>
      <c r="S180" s="224"/>
      <c r="T180" s="224"/>
      <c r="U180" s="868"/>
      <c r="V180" s="865"/>
      <c r="W180" s="2"/>
      <c r="X180" s="2"/>
      <c r="Y180" s="2"/>
      <c r="Z180" s="2"/>
      <c r="AA180" s="2"/>
      <c r="AB180" s="2"/>
      <c r="AC180" s="2"/>
      <c r="AD180" s="2"/>
      <c r="AE180" s="2"/>
      <c r="AF180" s="2"/>
      <c r="AG180" s="2"/>
      <c r="AH180" s="2"/>
      <c r="AI180" s="2"/>
      <c r="AJ180" s="218"/>
      <c r="AK180" s="218"/>
      <c r="AL180" s="218"/>
      <c r="AM180" s="218"/>
    </row>
    <row r="181">
      <c r="A181" s="33"/>
      <c r="B181" s="2"/>
      <c r="C181" s="2"/>
      <c r="D181" s="2"/>
      <c r="E181" s="2"/>
      <c r="F181" s="4"/>
      <c r="G181" s="2"/>
      <c r="H181" s="2"/>
      <c r="I181" s="2"/>
      <c r="J181" s="5"/>
      <c r="K181" s="2"/>
      <c r="L181" s="2"/>
      <c r="M181" s="2"/>
      <c r="N181" s="2"/>
      <c r="O181" s="2"/>
      <c r="P181" s="2"/>
      <c r="Q181" s="7"/>
      <c r="R181" s="224"/>
      <c r="S181" s="224"/>
      <c r="T181" s="224"/>
      <c r="U181" s="868"/>
      <c r="V181" s="865"/>
      <c r="W181" s="2"/>
      <c r="X181" s="2"/>
      <c r="Y181" s="2"/>
      <c r="Z181" s="2"/>
      <c r="AA181" s="2"/>
      <c r="AB181" s="2"/>
      <c r="AC181" s="2"/>
      <c r="AD181" s="2"/>
      <c r="AE181" s="2"/>
      <c r="AF181" s="2"/>
      <c r="AG181" s="2"/>
      <c r="AH181" s="2"/>
      <c r="AI181" s="2"/>
      <c r="AJ181" s="218"/>
      <c r="AK181" s="218"/>
      <c r="AL181" s="218"/>
      <c r="AM181" s="218"/>
    </row>
    <row r="182">
      <c r="A182" s="33"/>
      <c r="B182" s="2"/>
      <c r="C182" s="2"/>
      <c r="D182" s="2"/>
      <c r="E182" s="2"/>
      <c r="F182" s="4"/>
      <c r="G182" s="2"/>
      <c r="H182" s="2"/>
      <c r="I182" s="2"/>
      <c r="J182" s="5"/>
      <c r="K182" s="2"/>
      <c r="L182" s="2"/>
      <c r="M182" s="2"/>
      <c r="N182" s="2"/>
      <c r="O182" s="2"/>
      <c r="P182" s="2"/>
      <c r="Q182" s="7"/>
      <c r="R182" s="224"/>
      <c r="S182" s="224"/>
      <c r="T182" s="224"/>
      <c r="U182" s="868"/>
      <c r="V182" s="865"/>
      <c r="W182" s="2"/>
      <c r="X182" s="2"/>
      <c r="Y182" s="2"/>
      <c r="Z182" s="2"/>
      <c r="AA182" s="2"/>
      <c r="AB182" s="2"/>
      <c r="AC182" s="2"/>
      <c r="AD182" s="2"/>
      <c r="AE182" s="2"/>
      <c r="AF182" s="2"/>
      <c r="AG182" s="2"/>
      <c r="AH182" s="2"/>
      <c r="AI182" s="2"/>
      <c r="AJ182" s="218"/>
      <c r="AK182" s="218"/>
      <c r="AL182" s="218"/>
      <c r="AM182" s="218"/>
    </row>
    <row r="183">
      <c r="A183" s="33"/>
      <c r="B183" s="2"/>
      <c r="C183" s="2"/>
      <c r="D183" s="2"/>
      <c r="E183" s="2"/>
      <c r="F183" s="4"/>
      <c r="G183" s="2"/>
      <c r="H183" s="2"/>
      <c r="I183" s="2"/>
      <c r="J183" s="5"/>
      <c r="K183" s="2"/>
      <c r="L183" s="2"/>
      <c r="M183" s="2"/>
      <c r="N183" s="2"/>
      <c r="O183" s="2"/>
      <c r="P183" s="2"/>
      <c r="Q183" s="7"/>
      <c r="R183" s="224"/>
      <c r="S183" s="224"/>
      <c r="T183" s="224"/>
      <c r="U183" s="868"/>
      <c r="V183" s="865"/>
      <c r="W183" s="2"/>
      <c r="X183" s="2"/>
      <c r="Y183" s="2"/>
      <c r="Z183" s="2"/>
      <c r="AA183" s="2"/>
      <c r="AB183" s="2"/>
      <c r="AC183" s="2"/>
      <c r="AD183" s="2"/>
      <c r="AE183" s="2"/>
      <c r="AF183" s="2"/>
      <c r="AG183" s="2"/>
      <c r="AH183" s="2"/>
      <c r="AI183" s="2"/>
      <c r="AJ183" s="218"/>
      <c r="AK183" s="218"/>
      <c r="AL183" s="218"/>
      <c r="AM183" s="218"/>
    </row>
    <row r="184">
      <c r="A184" s="33"/>
      <c r="B184" s="2"/>
      <c r="C184" s="2"/>
      <c r="D184" s="2"/>
      <c r="E184" s="2"/>
      <c r="F184" s="4"/>
      <c r="G184" s="2"/>
      <c r="H184" s="2"/>
      <c r="I184" s="2"/>
      <c r="J184" s="5"/>
      <c r="K184" s="2"/>
      <c r="L184" s="2"/>
      <c r="M184" s="2"/>
      <c r="N184" s="2"/>
      <c r="O184" s="2"/>
      <c r="P184" s="2"/>
      <c r="Q184" s="7"/>
      <c r="R184" s="224"/>
      <c r="S184" s="224"/>
      <c r="T184" s="224"/>
      <c r="U184" s="868"/>
      <c r="V184" s="865"/>
      <c r="W184" s="2"/>
      <c r="X184" s="2"/>
      <c r="Y184" s="2"/>
      <c r="Z184" s="2"/>
      <c r="AA184" s="2"/>
      <c r="AB184" s="2"/>
      <c r="AC184" s="2"/>
      <c r="AD184" s="2"/>
      <c r="AE184" s="2"/>
      <c r="AF184" s="2"/>
      <c r="AG184" s="2"/>
      <c r="AH184" s="2"/>
      <c r="AI184" s="2"/>
      <c r="AJ184" s="218"/>
      <c r="AK184" s="218"/>
      <c r="AL184" s="218"/>
      <c r="AM184" s="218"/>
    </row>
    <row r="185">
      <c r="A185" s="33"/>
      <c r="B185" s="2"/>
      <c r="C185" s="2"/>
      <c r="D185" s="2"/>
      <c r="E185" s="2"/>
      <c r="F185" s="4"/>
      <c r="G185" s="2"/>
      <c r="H185" s="2"/>
      <c r="I185" s="2"/>
      <c r="J185" s="5"/>
      <c r="K185" s="2"/>
      <c r="L185" s="2"/>
      <c r="M185" s="2"/>
      <c r="N185" s="2"/>
      <c r="O185" s="2"/>
      <c r="P185" s="2"/>
      <c r="Q185" s="7"/>
      <c r="R185" s="224"/>
      <c r="S185" s="224"/>
      <c r="T185" s="224"/>
      <c r="U185" s="868"/>
      <c r="V185" s="865"/>
      <c r="W185" s="2"/>
      <c r="X185" s="2"/>
      <c r="Y185" s="2"/>
      <c r="Z185" s="2"/>
      <c r="AA185" s="2"/>
      <c r="AB185" s="2"/>
      <c r="AC185" s="2"/>
      <c r="AD185" s="2"/>
      <c r="AE185" s="2"/>
      <c r="AF185" s="2"/>
      <c r="AG185" s="2"/>
      <c r="AH185" s="2"/>
      <c r="AI185" s="2"/>
      <c r="AJ185" s="218"/>
      <c r="AK185" s="218"/>
      <c r="AL185" s="218"/>
      <c r="AM185" s="218"/>
    </row>
    <row r="186">
      <c r="A186" s="33"/>
      <c r="B186" s="2"/>
      <c r="C186" s="2"/>
      <c r="D186" s="2"/>
      <c r="E186" s="2"/>
      <c r="F186" s="4"/>
      <c r="G186" s="2"/>
      <c r="H186" s="2"/>
      <c r="I186" s="2"/>
      <c r="J186" s="5"/>
      <c r="K186" s="2"/>
      <c r="L186" s="2"/>
      <c r="M186" s="2"/>
      <c r="N186" s="2"/>
      <c r="O186" s="2"/>
      <c r="P186" s="2"/>
      <c r="Q186" s="7"/>
      <c r="R186" s="224"/>
      <c r="S186" s="224"/>
      <c r="T186" s="224"/>
      <c r="U186" s="868"/>
      <c r="V186" s="865"/>
      <c r="W186" s="2"/>
      <c r="X186" s="2"/>
      <c r="Y186" s="2"/>
      <c r="Z186" s="2"/>
      <c r="AA186" s="2"/>
      <c r="AB186" s="2"/>
      <c r="AC186" s="2"/>
      <c r="AD186" s="2"/>
      <c r="AE186" s="2"/>
      <c r="AF186" s="2"/>
      <c r="AG186" s="2"/>
      <c r="AH186" s="2"/>
      <c r="AI186" s="2"/>
      <c r="AJ186" s="218"/>
      <c r="AK186" s="218"/>
      <c r="AL186" s="218"/>
      <c r="AM186" s="218"/>
    </row>
    <row r="187">
      <c r="A187" s="33"/>
      <c r="B187" s="2"/>
      <c r="C187" s="2"/>
      <c r="D187" s="2"/>
      <c r="E187" s="2"/>
      <c r="F187" s="4"/>
      <c r="G187" s="2"/>
      <c r="H187" s="2"/>
      <c r="I187" s="2"/>
      <c r="J187" s="5"/>
      <c r="K187" s="2"/>
      <c r="L187" s="2"/>
      <c r="M187" s="2"/>
      <c r="N187" s="2"/>
      <c r="O187" s="2"/>
      <c r="P187" s="2"/>
      <c r="Q187" s="7"/>
      <c r="R187" s="224"/>
      <c r="S187" s="224"/>
      <c r="T187" s="224"/>
      <c r="U187" s="868"/>
      <c r="V187" s="865"/>
      <c r="W187" s="2"/>
      <c r="X187" s="2"/>
      <c r="Y187" s="2"/>
      <c r="Z187" s="2"/>
      <c r="AA187" s="2"/>
      <c r="AB187" s="2"/>
      <c r="AC187" s="2"/>
      <c r="AD187" s="2"/>
      <c r="AE187" s="2"/>
      <c r="AF187" s="2"/>
      <c r="AG187" s="2"/>
      <c r="AH187" s="2"/>
      <c r="AI187" s="2"/>
      <c r="AJ187" s="218"/>
      <c r="AK187" s="218"/>
      <c r="AL187" s="218"/>
      <c r="AM187" s="218"/>
    </row>
    <row r="188">
      <c r="A188" s="33"/>
      <c r="B188" s="2"/>
      <c r="C188" s="2"/>
      <c r="D188" s="2"/>
      <c r="E188" s="2"/>
      <c r="F188" s="4"/>
      <c r="G188" s="2"/>
      <c r="H188" s="2"/>
      <c r="I188" s="2"/>
      <c r="J188" s="5"/>
      <c r="K188" s="2"/>
      <c r="L188" s="2"/>
      <c r="M188" s="2"/>
      <c r="N188" s="2"/>
      <c r="O188" s="2"/>
      <c r="P188" s="2"/>
      <c r="Q188" s="7"/>
      <c r="R188" s="224"/>
      <c r="S188" s="224"/>
      <c r="T188" s="224"/>
      <c r="U188" s="868"/>
      <c r="V188" s="865"/>
      <c r="W188" s="2"/>
      <c r="X188" s="2"/>
      <c r="Y188" s="2"/>
      <c r="Z188" s="2"/>
      <c r="AA188" s="2"/>
      <c r="AB188" s="2"/>
      <c r="AC188" s="2"/>
      <c r="AD188" s="2"/>
      <c r="AE188" s="2"/>
      <c r="AF188" s="2"/>
      <c r="AG188" s="2"/>
      <c r="AH188" s="2"/>
      <c r="AI188" s="2"/>
      <c r="AJ188" s="218"/>
      <c r="AK188" s="218"/>
      <c r="AL188" s="218"/>
      <c r="AM188" s="218"/>
    </row>
    <row r="189">
      <c r="A189" s="33"/>
      <c r="B189" s="2"/>
      <c r="C189" s="2"/>
      <c r="D189" s="2"/>
      <c r="E189" s="2"/>
      <c r="F189" s="4"/>
      <c r="G189" s="2"/>
      <c r="H189" s="2"/>
      <c r="I189" s="2"/>
      <c r="J189" s="5"/>
      <c r="K189" s="2"/>
      <c r="L189" s="2"/>
      <c r="M189" s="2"/>
      <c r="N189" s="2"/>
      <c r="O189" s="2"/>
      <c r="P189" s="2"/>
      <c r="Q189" s="7"/>
      <c r="R189" s="224"/>
      <c r="S189" s="224"/>
      <c r="T189" s="224"/>
      <c r="U189" s="868"/>
      <c r="V189" s="865"/>
      <c r="W189" s="2"/>
      <c r="X189" s="2"/>
      <c r="Y189" s="2"/>
      <c r="Z189" s="2"/>
      <c r="AA189" s="2"/>
      <c r="AB189" s="2"/>
      <c r="AC189" s="2"/>
      <c r="AD189" s="2"/>
      <c r="AE189" s="2"/>
      <c r="AF189" s="2"/>
      <c r="AG189" s="2"/>
      <c r="AH189" s="2"/>
      <c r="AI189" s="2"/>
      <c r="AJ189" s="218"/>
      <c r="AK189" s="218"/>
      <c r="AL189" s="218"/>
      <c r="AM189" s="218"/>
    </row>
    <row r="190">
      <c r="A190" s="33"/>
      <c r="B190" s="2"/>
      <c r="C190" s="2"/>
      <c r="D190" s="2"/>
      <c r="E190" s="2"/>
      <c r="F190" s="4"/>
      <c r="G190" s="2"/>
      <c r="H190" s="2"/>
      <c r="I190" s="2"/>
      <c r="J190" s="5"/>
      <c r="K190" s="2"/>
      <c r="L190" s="2"/>
      <c r="M190" s="2"/>
      <c r="N190" s="2"/>
      <c r="O190" s="2"/>
      <c r="P190" s="2"/>
      <c r="Q190" s="7"/>
      <c r="R190" s="224"/>
      <c r="S190" s="224"/>
      <c r="T190" s="224"/>
      <c r="U190" s="868"/>
      <c r="V190" s="865"/>
      <c r="W190" s="2"/>
      <c r="X190" s="2"/>
      <c r="Y190" s="2"/>
      <c r="Z190" s="2"/>
      <c r="AA190" s="2"/>
      <c r="AB190" s="2"/>
      <c r="AC190" s="2"/>
      <c r="AD190" s="2"/>
      <c r="AE190" s="2"/>
      <c r="AF190" s="2"/>
      <c r="AG190" s="2"/>
      <c r="AH190" s="2"/>
      <c r="AI190" s="2"/>
      <c r="AJ190" s="218"/>
      <c r="AK190" s="218"/>
      <c r="AL190" s="218"/>
      <c r="AM190" s="218"/>
    </row>
    <row r="191">
      <c r="A191" s="33"/>
      <c r="B191" s="2"/>
      <c r="C191" s="2"/>
      <c r="D191" s="2"/>
      <c r="E191" s="2"/>
      <c r="F191" s="4"/>
      <c r="G191" s="2"/>
      <c r="H191" s="2"/>
      <c r="I191" s="2"/>
      <c r="J191" s="5"/>
      <c r="K191" s="2"/>
      <c r="L191" s="2"/>
      <c r="M191" s="2"/>
      <c r="N191" s="2"/>
      <c r="O191" s="2"/>
      <c r="P191" s="2"/>
      <c r="Q191" s="7"/>
      <c r="R191" s="224"/>
      <c r="S191" s="224"/>
      <c r="T191" s="224"/>
      <c r="U191" s="868"/>
      <c r="V191" s="865"/>
      <c r="W191" s="2"/>
      <c r="X191" s="2"/>
      <c r="Y191" s="2"/>
      <c r="Z191" s="2"/>
      <c r="AA191" s="2"/>
      <c r="AB191" s="2"/>
      <c r="AC191" s="2"/>
      <c r="AD191" s="2"/>
      <c r="AE191" s="2"/>
      <c r="AF191" s="2"/>
      <c r="AG191" s="2"/>
      <c r="AH191" s="2"/>
      <c r="AI191" s="2"/>
      <c r="AJ191" s="218"/>
      <c r="AK191" s="218"/>
      <c r="AL191" s="218"/>
      <c r="AM191" s="218"/>
    </row>
    <row r="192">
      <c r="A192" s="33"/>
      <c r="B192" s="2"/>
      <c r="C192" s="2"/>
      <c r="D192" s="2"/>
      <c r="E192" s="2"/>
      <c r="F192" s="4"/>
      <c r="G192" s="2"/>
      <c r="H192" s="2"/>
      <c r="I192" s="2"/>
      <c r="J192" s="5"/>
      <c r="K192" s="2"/>
      <c r="L192" s="2"/>
      <c r="M192" s="2"/>
      <c r="N192" s="2"/>
      <c r="O192" s="2"/>
      <c r="P192" s="2"/>
      <c r="Q192" s="7"/>
      <c r="R192" s="224"/>
      <c r="S192" s="224"/>
      <c r="T192" s="224"/>
      <c r="U192" s="868"/>
      <c r="V192" s="865"/>
      <c r="W192" s="2"/>
      <c r="X192" s="2"/>
      <c r="Y192" s="2"/>
      <c r="Z192" s="2"/>
      <c r="AA192" s="2"/>
      <c r="AB192" s="2"/>
      <c r="AC192" s="2"/>
      <c r="AD192" s="2"/>
      <c r="AE192" s="2"/>
      <c r="AF192" s="2"/>
      <c r="AG192" s="2"/>
      <c r="AH192" s="2"/>
      <c r="AI192" s="2"/>
      <c r="AJ192" s="218"/>
      <c r="AK192" s="218"/>
      <c r="AL192" s="218"/>
      <c r="AM192" s="218"/>
    </row>
    <row r="193">
      <c r="A193" s="33"/>
      <c r="B193" s="2"/>
      <c r="C193" s="2"/>
      <c r="D193" s="2"/>
      <c r="E193" s="2"/>
      <c r="F193" s="4"/>
      <c r="G193" s="2"/>
      <c r="H193" s="2"/>
      <c r="I193" s="2"/>
      <c r="J193" s="5"/>
      <c r="K193" s="2"/>
      <c r="L193" s="2"/>
      <c r="M193" s="2"/>
      <c r="N193" s="2"/>
      <c r="O193" s="2"/>
      <c r="P193" s="2"/>
      <c r="Q193" s="7"/>
      <c r="R193" s="224"/>
      <c r="S193" s="224"/>
      <c r="T193" s="224"/>
      <c r="U193" s="868"/>
      <c r="V193" s="865"/>
      <c r="W193" s="2"/>
      <c r="X193" s="2"/>
      <c r="Y193" s="2"/>
      <c r="Z193" s="2"/>
      <c r="AA193" s="2"/>
      <c r="AB193" s="2"/>
      <c r="AC193" s="2"/>
      <c r="AD193" s="2"/>
      <c r="AE193" s="2"/>
      <c r="AF193" s="2"/>
      <c r="AG193" s="2"/>
      <c r="AH193" s="2"/>
      <c r="AI193" s="2"/>
      <c r="AJ193" s="218"/>
      <c r="AK193" s="218"/>
      <c r="AL193" s="218"/>
      <c r="AM193" s="218"/>
    </row>
    <row r="194">
      <c r="A194" s="33"/>
      <c r="B194" s="2"/>
      <c r="C194" s="2"/>
      <c r="D194" s="2"/>
      <c r="E194" s="2"/>
      <c r="F194" s="4"/>
      <c r="G194" s="2"/>
      <c r="H194" s="2"/>
      <c r="I194" s="2"/>
      <c r="J194" s="5"/>
      <c r="K194" s="2"/>
      <c r="L194" s="2"/>
      <c r="M194" s="2"/>
      <c r="N194" s="2"/>
      <c r="O194" s="2"/>
      <c r="P194" s="2"/>
      <c r="Q194" s="7"/>
      <c r="R194" s="224"/>
      <c r="S194" s="224"/>
      <c r="T194" s="224"/>
      <c r="U194" s="868"/>
      <c r="V194" s="865"/>
      <c r="W194" s="2"/>
      <c r="X194" s="2"/>
      <c r="Y194" s="2"/>
      <c r="Z194" s="2"/>
      <c r="AA194" s="2"/>
      <c r="AB194" s="2"/>
      <c r="AC194" s="2"/>
      <c r="AD194" s="2"/>
      <c r="AE194" s="2"/>
      <c r="AF194" s="2"/>
      <c r="AG194" s="2"/>
      <c r="AH194" s="2"/>
      <c r="AI194" s="2"/>
      <c r="AJ194" s="218"/>
      <c r="AK194" s="218"/>
      <c r="AL194" s="218"/>
      <c r="AM194" s="218"/>
    </row>
    <row r="195">
      <c r="A195" s="33"/>
      <c r="B195" s="2"/>
      <c r="C195" s="2"/>
      <c r="D195" s="2"/>
      <c r="E195" s="2"/>
      <c r="F195" s="4"/>
      <c r="G195" s="2"/>
      <c r="H195" s="2"/>
      <c r="I195" s="2"/>
      <c r="J195" s="5"/>
      <c r="K195" s="2"/>
      <c r="L195" s="2"/>
      <c r="M195" s="2"/>
      <c r="N195" s="2"/>
      <c r="O195" s="2"/>
      <c r="P195" s="2"/>
      <c r="Q195" s="7"/>
      <c r="R195" s="224"/>
      <c r="S195" s="224"/>
      <c r="T195" s="224"/>
      <c r="U195" s="868"/>
      <c r="V195" s="865"/>
      <c r="W195" s="2"/>
      <c r="X195" s="2"/>
      <c r="Y195" s="2"/>
      <c r="Z195" s="2"/>
      <c r="AA195" s="2"/>
      <c r="AB195" s="2"/>
      <c r="AC195" s="2"/>
      <c r="AD195" s="2"/>
      <c r="AE195" s="2"/>
      <c r="AF195" s="2"/>
      <c r="AG195" s="2"/>
      <c r="AH195" s="2"/>
      <c r="AI195" s="2"/>
      <c r="AJ195" s="218"/>
      <c r="AK195" s="218"/>
      <c r="AL195" s="218"/>
      <c r="AM195" s="218"/>
    </row>
    <row r="196">
      <c r="A196" s="33"/>
      <c r="B196" s="2"/>
      <c r="C196" s="2"/>
      <c r="D196" s="2"/>
      <c r="E196" s="2"/>
      <c r="F196" s="4"/>
      <c r="G196" s="2"/>
      <c r="H196" s="2"/>
      <c r="I196" s="2"/>
      <c r="J196" s="5"/>
      <c r="K196" s="2"/>
      <c r="L196" s="2"/>
      <c r="M196" s="2"/>
      <c r="N196" s="2"/>
      <c r="O196" s="2"/>
      <c r="P196" s="2"/>
      <c r="Q196" s="7"/>
      <c r="R196" s="224"/>
      <c r="S196" s="224"/>
      <c r="T196" s="224"/>
      <c r="U196" s="868"/>
      <c r="V196" s="865"/>
      <c r="W196" s="2"/>
      <c r="X196" s="2"/>
      <c r="Y196" s="2"/>
      <c r="Z196" s="2"/>
      <c r="AA196" s="2"/>
      <c r="AB196" s="2"/>
      <c r="AC196" s="2"/>
      <c r="AD196" s="2"/>
      <c r="AE196" s="2"/>
      <c r="AF196" s="2"/>
      <c r="AG196" s="2"/>
      <c r="AH196" s="2"/>
      <c r="AI196" s="2"/>
      <c r="AJ196" s="218"/>
      <c r="AK196" s="218"/>
      <c r="AL196" s="218"/>
      <c r="AM196" s="218"/>
    </row>
    <row r="197">
      <c r="A197" s="33"/>
      <c r="B197" s="2"/>
      <c r="C197" s="2"/>
      <c r="D197" s="2"/>
      <c r="E197" s="2"/>
      <c r="F197" s="4"/>
      <c r="G197" s="2"/>
      <c r="H197" s="2"/>
      <c r="I197" s="2"/>
      <c r="J197" s="5"/>
      <c r="K197" s="2"/>
      <c r="L197" s="2"/>
      <c r="M197" s="2"/>
      <c r="N197" s="2"/>
      <c r="O197" s="2"/>
      <c r="P197" s="2"/>
      <c r="Q197" s="7"/>
      <c r="R197" s="224"/>
      <c r="S197" s="224"/>
      <c r="T197" s="224"/>
      <c r="U197" s="868"/>
      <c r="V197" s="865"/>
      <c r="W197" s="2"/>
      <c r="X197" s="2"/>
      <c r="Y197" s="2"/>
      <c r="Z197" s="2"/>
      <c r="AA197" s="2"/>
      <c r="AB197" s="2"/>
      <c r="AC197" s="2"/>
      <c r="AD197" s="2"/>
      <c r="AE197" s="2"/>
      <c r="AF197" s="2"/>
      <c r="AG197" s="2"/>
      <c r="AH197" s="2"/>
      <c r="AI197" s="2"/>
      <c r="AJ197" s="218"/>
      <c r="AK197" s="218"/>
      <c r="AL197" s="218"/>
      <c r="AM197" s="218"/>
    </row>
    <row r="198">
      <c r="A198" s="33"/>
      <c r="B198" s="2"/>
      <c r="C198" s="2"/>
      <c r="D198" s="2"/>
      <c r="E198" s="2"/>
      <c r="F198" s="4"/>
      <c r="G198" s="2"/>
      <c r="H198" s="2"/>
      <c r="I198" s="2"/>
      <c r="J198" s="5"/>
      <c r="K198" s="2"/>
      <c r="L198" s="2"/>
      <c r="M198" s="2"/>
      <c r="N198" s="2"/>
      <c r="O198" s="2"/>
      <c r="P198" s="2"/>
      <c r="Q198" s="7"/>
      <c r="R198" s="224"/>
      <c r="S198" s="224"/>
      <c r="T198" s="224"/>
      <c r="U198" s="868"/>
      <c r="V198" s="865"/>
      <c r="W198" s="2"/>
      <c r="X198" s="2"/>
      <c r="Y198" s="2"/>
      <c r="Z198" s="2"/>
      <c r="AA198" s="2"/>
      <c r="AB198" s="2"/>
      <c r="AC198" s="2"/>
      <c r="AD198" s="2"/>
      <c r="AE198" s="2"/>
      <c r="AF198" s="2"/>
      <c r="AG198" s="2"/>
      <c r="AH198" s="2"/>
      <c r="AI198" s="2"/>
      <c r="AJ198" s="218"/>
      <c r="AK198" s="218"/>
      <c r="AL198" s="218"/>
      <c r="AM198" s="218"/>
    </row>
    <row r="199">
      <c r="A199" s="33"/>
      <c r="B199" s="2"/>
      <c r="C199" s="2"/>
      <c r="D199" s="2"/>
      <c r="E199" s="2"/>
      <c r="F199" s="4"/>
      <c r="G199" s="2"/>
      <c r="H199" s="2"/>
      <c r="I199" s="2"/>
      <c r="J199" s="5"/>
      <c r="K199" s="2"/>
      <c r="L199" s="2"/>
      <c r="M199" s="2"/>
      <c r="N199" s="2"/>
      <c r="O199" s="2"/>
      <c r="P199" s="2"/>
      <c r="Q199" s="7"/>
      <c r="R199" s="224"/>
      <c r="S199" s="224"/>
      <c r="T199" s="224"/>
      <c r="U199" s="868"/>
      <c r="V199" s="865"/>
      <c r="W199" s="2"/>
      <c r="X199" s="2"/>
      <c r="Y199" s="2"/>
      <c r="Z199" s="2"/>
      <c r="AA199" s="2"/>
      <c r="AB199" s="2"/>
      <c r="AC199" s="2"/>
      <c r="AD199" s="2"/>
      <c r="AE199" s="2"/>
      <c r="AF199" s="2"/>
      <c r="AG199" s="2"/>
      <c r="AH199" s="2"/>
      <c r="AI199" s="2"/>
      <c r="AJ199" s="218"/>
      <c r="AK199" s="218"/>
      <c r="AL199" s="218"/>
      <c r="AM199" s="218"/>
    </row>
    <row r="200">
      <c r="A200" s="33"/>
      <c r="B200" s="2"/>
      <c r="C200" s="2"/>
      <c r="D200" s="2"/>
      <c r="E200" s="2"/>
      <c r="F200" s="4"/>
      <c r="G200" s="2"/>
      <c r="H200" s="2"/>
      <c r="I200" s="2"/>
      <c r="J200" s="5"/>
      <c r="K200" s="2"/>
      <c r="L200" s="2"/>
      <c r="M200" s="2"/>
      <c r="N200" s="2"/>
      <c r="O200" s="2"/>
      <c r="P200" s="2"/>
      <c r="Q200" s="7"/>
      <c r="R200" s="224"/>
      <c r="S200" s="224"/>
      <c r="T200" s="224"/>
      <c r="U200" s="868"/>
      <c r="V200" s="865"/>
      <c r="W200" s="2"/>
      <c r="X200" s="2"/>
      <c r="Y200" s="2"/>
      <c r="Z200" s="2"/>
      <c r="AA200" s="2"/>
      <c r="AB200" s="2"/>
      <c r="AC200" s="2"/>
      <c r="AD200" s="2"/>
      <c r="AE200" s="2"/>
      <c r="AF200" s="2"/>
      <c r="AG200" s="2"/>
      <c r="AH200" s="2"/>
      <c r="AI200" s="2"/>
      <c r="AJ200" s="218"/>
      <c r="AK200" s="218"/>
      <c r="AL200" s="218"/>
      <c r="AM200" s="218"/>
    </row>
    <row r="201">
      <c r="A201" s="33"/>
      <c r="B201" s="2"/>
      <c r="C201" s="2"/>
      <c r="D201" s="2"/>
      <c r="E201" s="2"/>
      <c r="F201" s="4"/>
      <c r="G201" s="2"/>
      <c r="H201" s="2"/>
      <c r="I201" s="2"/>
      <c r="J201" s="5"/>
      <c r="K201" s="2"/>
      <c r="L201" s="2"/>
      <c r="M201" s="2"/>
      <c r="N201" s="2"/>
      <c r="O201" s="2"/>
      <c r="P201" s="2"/>
      <c r="Q201" s="7"/>
      <c r="R201" s="224"/>
      <c r="S201" s="224"/>
      <c r="T201" s="224"/>
      <c r="U201" s="868"/>
      <c r="V201" s="865"/>
      <c r="W201" s="2"/>
      <c r="X201" s="2"/>
      <c r="Y201" s="2"/>
      <c r="Z201" s="2"/>
      <c r="AA201" s="2"/>
      <c r="AB201" s="2"/>
      <c r="AC201" s="2"/>
      <c r="AD201" s="2"/>
      <c r="AE201" s="2"/>
      <c r="AF201" s="2"/>
      <c r="AG201" s="2"/>
      <c r="AH201" s="2"/>
      <c r="AI201" s="2"/>
      <c r="AJ201" s="218"/>
      <c r="AK201" s="218"/>
      <c r="AL201" s="218"/>
      <c r="AM201" s="218"/>
    </row>
    <row r="202">
      <c r="A202" s="33"/>
      <c r="B202" s="2"/>
      <c r="C202" s="2"/>
      <c r="D202" s="2"/>
      <c r="E202" s="2"/>
      <c r="F202" s="4"/>
      <c r="G202" s="2"/>
      <c r="H202" s="2"/>
      <c r="I202" s="2"/>
      <c r="J202" s="5"/>
      <c r="K202" s="2"/>
      <c r="L202" s="2"/>
      <c r="M202" s="2"/>
      <c r="N202" s="2"/>
      <c r="O202" s="2"/>
      <c r="P202" s="2"/>
      <c r="Q202" s="7"/>
      <c r="R202" s="224"/>
      <c r="S202" s="224"/>
      <c r="T202" s="224"/>
      <c r="U202" s="868"/>
      <c r="V202" s="865"/>
      <c r="W202" s="2"/>
      <c r="X202" s="2"/>
      <c r="Y202" s="2"/>
      <c r="Z202" s="2"/>
      <c r="AA202" s="2"/>
      <c r="AB202" s="2"/>
      <c r="AC202" s="2"/>
      <c r="AD202" s="2"/>
      <c r="AE202" s="2"/>
      <c r="AF202" s="2"/>
      <c r="AG202" s="2"/>
      <c r="AH202" s="2"/>
      <c r="AI202" s="2"/>
      <c r="AJ202" s="218"/>
      <c r="AK202" s="218"/>
      <c r="AL202" s="218"/>
      <c r="AM202" s="218"/>
    </row>
    <row r="203">
      <c r="A203" s="33"/>
      <c r="B203" s="2"/>
      <c r="C203" s="2"/>
      <c r="D203" s="2"/>
      <c r="E203" s="2"/>
      <c r="F203" s="4"/>
      <c r="G203" s="2"/>
      <c r="H203" s="2"/>
      <c r="I203" s="2"/>
      <c r="J203" s="5"/>
      <c r="K203" s="2"/>
      <c r="L203" s="2"/>
      <c r="M203" s="2"/>
      <c r="N203" s="2"/>
      <c r="O203" s="2"/>
      <c r="P203" s="2"/>
      <c r="Q203" s="7"/>
      <c r="R203" s="224"/>
      <c r="S203" s="224"/>
      <c r="T203" s="224"/>
      <c r="U203" s="868"/>
      <c r="V203" s="865"/>
      <c r="W203" s="2"/>
      <c r="X203" s="2"/>
      <c r="Y203" s="2"/>
      <c r="Z203" s="2"/>
      <c r="AA203" s="2"/>
      <c r="AB203" s="2"/>
      <c r="AC203" s="2"/>
      <c r="AD203" s="2"/>
      <c r="AE203" s="2"/>
      <c r="AF203" s="2"/>
      <c r="AG203" s="2"/>
      <c r="AH203" s="2"/>
      <c r="AI203" s="2"/>
      <c r="AJ203" s="218"/>
      <c r="AK203" s="218"/>
      <c r="AL203" s="218"/>
      <c r="AM203" s="218"/>
    </row>
    <row r="204">
      <c r="A204" s="33"/>
      <c r="B204" s="2"/>
      <c r="C204" s="2"/>
      <c r="D204" s="2"/>
      <c r="E204" s="2"/>
      <c r="F204" s="4"/>
      <c r="G204" s="2"/>
      <c r="H204" s="2"/>
      <c r="I204" s="2"/>
      <c r="J204" s="5"/>
      <c r="K204" s="2"/>
      <c r="L204" s="2"/>
      <c r="M204" s="2"/>
      <c r="N204" s="2"/>
      <c r="O204" s="2"/>
      <c r="P204" s="2"/>
      <c r="Q204" s="7"/>
      <c r="R204" s="224"/>
      <c r="S204" s="224"/>
      <c r="T204" s="224"/>
      <c r="U204" s="868"/>
      <c r="V204" s="865"/>
      <c r="W204" s="2"/>
      <c r="X204" s="2"/>
      <c r="Y204" s="2"/>
      <c r="Z204" s="2"/>
      <c r="AA204" s="2"/>
      <c r="AB204" s="2"/>
      <c r="AC204" s="2"/>
      <c r="AD204" s="2"/>
      <c r="AE204" s="2"/>
      <c r="AF204" s="2"/>
      <c r="AG204" s="2"/>
      <c r="AH204" s="2"/>
      <c r="AI204" s="2"/>
      <c r="AJ204" s="218"/>
      <c r="AK204" s="218"/>
      <c r="AL204" s="218"/>
      <c r="AM204" s="218"/>
    </row>
    <row r="205">
      <c r="A205" s="33"/>
      <c r="B205" s="2"/>
      <c r="C205" s="2"/>
      <c r="D205" s="2"/>
      <c r="E205" s="2"/>
      <c r="F205" s="4"/>
      <c r="G205" s="2"/>
      <c r="H205" s="2"/>
      <c r="I205" s="2"/>
      <c r="J205" s="5"/>
      <c r="K205" s="2"/>
      <c r="L205" s="2"/>
      <c r="M205" s="2"/>
      <c r="N205" s="2"/>
      <c r="O205" s="2"/>
      <c r="P205" s="2"/>
      <c r="Q205" s="7"/>
      <c r="R205" s="224"/>
      <c r="S205" s="224"/>
      <c r="T205" s="224"/>
      <c r="U205" s="868"/>
      <c r="V205" s="865"/>
      <c r="W205" s="2"/>
      <c r="X205" s="2"/>
      <c r="Y205" s="2"/>
      <c r="Z205" s="2"/>
      <c r="AA205" s="2"/>
      <c r="AB205" s="2"/>
      <c r="AC205" s="2"/>
      <c r="AD205" s="2"/>
      <c r="AE205" s="2"/>
      <c r="AF205" s="2"/>
      <c r="AG205" s="2"/>
      <c r="AH205" s="2"/>
      <c r="AI205" s="2"/>
      <c r="AJ205" s="218"/>
      <c r="AK205" s="218"/>
      <c r="AL205" s="218"/>
      <c r="AM205" s="218"/>
    </row>
    <row r="206">
      <c r="A206" s="33"/>
      <c r="B206" s="2"/>
      <c r="C206" s="2"/>
      <c r="D206" s="2"/>
      <c r="E206" s="2"/>
      <c r="F206" s="4"/>
      <c r="G206" s="2"/>
      <c r="H206" s="2"/>
      <c r="I206" s="2"/>
      <c r="J206" s="5"/>
      <c r="K206" s="2"/>
      <c r="L206" s="2"/>
      <c r="M206" s="2"/>
      <c r="N206" s="2"/>
      <c r="O206" s="2"/>
      <c r="P206" s="2"/>
      <c r="Q206" s="7"/>
      <c r="R206" s="224"/>
      <c r="S206" s="224"/>
      <c r="T206" s="224"/>
      <c r="U206" s="868"/>
      <c r="V206" s="865"/>
      <c r="W206" s="2"/>
      <c r="X206" s="2"/>
      <c r="Y206" s="2"/>
      <c r="Z206" s="2"/>
      <c r="AA206" s="2"/>
      <c r="AB206" s="2"/>
      <c r="AC206" s="2"/>
      <c r="AD206" s="2"/>
      <c r="AE206" s="2"/>
      <c r="AF206" s="2"/>
      <c r="AG206" s="2"/>
      <c r="AH206" s="2"/>
      <c r="AI206" s="2"/>
      <c r="AJ206" s="218"/>
      <c r="AK206" s="218"/>
      <c r="AL206" s="218"/>
      <c r="AM206" s="218"/>
    </row>
    <row r="207">
      <c r="A207" s="33"/>
      <c r="B207" s="2"/>
      <c r="C207" s="2"/>
      <c r="D207" s="2"/>
      <c r="E207" s="2"/>
      <c r="F207" s="4"/>
      <c r="G207" s="2"/>
      <c r="H207" s="2"/>
      <c r="I207" s="2"/>
      <c r="J207" s="5"/>
      <c r="K207" s="2"/>
      <c r="L207" s="2"/>
      <c r="M207" s="2"/>
      <c r="N207" s="2"/>
      <c r="O207" s="2"/>
      <c r="P207" s="2"/>
      <c r="Q207" s="7"/>
      <c r="R207" s="224"/>
      <c r="S207" s="224"/>
      <c r="T207" s="224"/>
      <c r="U207" s="868"/>
      <c r="V207" s="865"/>
      <c r="W207" s="2"/>
      <c r="X207" s="2"/>
      <c r="Y207" s="2"/>
      <c r="Z207" s="2"/>
      <c r="AA207" s="2"/>
      <c r="AB207" s="2"/>
      <c r="AC207" s="2"/>
      <c r="AD207" s="2"/>
      <c r="AE207" s="2"/>
      <c r="AF207" s="2"/>
      <c r="AG207" s="2"/>
      <c r="AH207" s="2"/>
      <c r="AI207" s="2"/>
      <c r="AJ207" s="218"/>
      <c r="AK207" s="218"/>
      <c r="AL207" s="218"/>
      <c r="AM207" s="218"/>
    </row>
    <row r="208">
      <c r="A208" s="33"/>
      <c r="B208" s="2"/>
      <c r="C208" s="2"/>
      <c r="D208" s="2"/>
      <c r="E208" s="2"/>
      <c r="F208" s="4"/>
      <c r="G208" s="2"/>
      <c r="H208" s="2"/>
      <c r="I208" s="2"/>
      <c r="J208" s="5"/>
      <c r="K208" s="2"/>
      <c r="L208" s="2"/>
      <c r="M208" s="2"/>
      <c r="N208" s="2"/>
      <c r="O208" s="2"/>
      <c r="P208" s="2"/>
      <c r="Q208" s="7"/>
      <c r="R208" s="224"/>
      <c r="S208" s="224"/>
      <c r="T208" s="224"/>
      <c r="U208" s="868"/>
      <c r="V208" s="865"/>
      <c r="W208" s="2"/>
      <c r="X208" s="2"/>
      <c r="Y208" s="2"/>
      <c r="Z208" s="2"/>
      <c r="AA208" s="2"/>
      <c r="AB208" s="2"/>
      <c r="AC208" s="2"/>
      <c r="AD208" s="2"/>
      <c r="AE208" s="2"/>
      <c r="AF208" s="2"/>
      <c r="AG208" s="2"/>
      <c r="AH208" s="2"/>
      <c r="AI208" s="2"/>
      <c r="AJ208" s="218"/>
      <c r="AK208" s="218"/>
      <c r="AL208" s="218"/>
      <c r="AM208" s="218"/>
    </row>
    <row r="209">
      <c r="A209" s="33"/>
      <c r="B209" s="2"/>
      <c r="C209" s="2"/>
      <c r="D209" s="2"/>
      <c r="E209" s="2"/>
      <c r="F209" s="4"/>
      <c r="G209" s="2"/>
      <c r="H209" s="2"/>
      <c r="I209" s="2"/>
      <c r="J209" s="5"/>
      <c r="K209" s="2"/>
      <c r="L209" s="2"/>
      <c r="M209" s="2"/>
      <c r="N209" s="2"/>
      <c r="O209" s="2"/>
      <c r="P209" s="2"/>
      <c r="Q209" s="7"/>
      <c r="R209" s="224"/>
      <c r="S209" s="224"/>
      <c r="T209" s="224"/>
      <c r="U209" s="868"/>
      <c r="V209" s="865"/>
      <c r="W209" s="2"/>
      <c r="X209" s="2"/>
      <c r="Y209" s="2"/>
      <c r="Z209" s="2"/>
      <c r="AA209" s="2"/>
      <c r="AB209" s="2"/>
      <c r="AC209" s="2"/>
      <c r="AD209" s="2"/>
      <c r="AE209" s="2"/>
      <c r="AF209" s="2"/>
      <c r="AG209" s="2"/>
      <c r="AH209" s="2"/>
      <c r="AI209" s="2"/>
      <c r="AJ209" s="218"/>
      <c r="AK209" s="218"/>
      <c r="AL209" s="218"/>
      <c r="AM209" s="218"/>
    </row>
    <row r="210">
      <c r="A210" s="33"/>
      <c r="B210" s="2"/>
      <c r="C210" s="2"/>
      <c r="D210" s="2"/>
      <c r="E210" s="2"/>
      <c r="F210" s="4"/>
      <c r="G210" s="2"/>
      <c r="H210" s="2"/>
      <c r="I210" s="2"/>
      <c r="J210" s="5"/>
      <c r="K210" s="2"/>
      <c r="L210" s="2"/>
      <c r="M210" s="2"/>
      <c r="N210" s="2"/>
      <c r="O210" s="2"/>
      <c r="P210" s="2"/>
      <c r="Q210" s="7"/>
      <c r="R210" s="224"/>
      <c r="S210" s="224"/>
      <c r="T210" s="224"/>
      <c r="U210" s="868"/>
      <c r="V210" s="865"/>
      <c r="W210" s="2"/>
      <c r="X210" s="2"/>
      <c r="Y210" s="2"/>
      <c r="Z210" s="2"/>
      <c r="AA210" s="2"/>
      <c r="AB210" s="2"/>
      <c r="AC210" s="2"/>
      <c r="AD210" s="2"/>
      <c r="AE210" s="2"/>
      <c r="AF210" s="2"/>
      <c r="AG210" s="2"/>
      <c r="AH210" s="2"/>
      <c r="AI210" s="2"/>
      <c r="AJ210" s="218"/>
      <c r="AK210" s="218"/>
      <c r="AL210" s="218"/>
      <c r="AM210" s="218"/>
    </row>
    <row r="211">
      <c r="A211" s="33"/>
      <c r="B211" s="2"/>
      <c r="C211" s="2"/>
      <c r="D211" s="2"/>
      <c r="E211" s="2"/>
      <c r="F211" s="4"/>
      <c r="G211" s="2"/>
      <c r="H211" s="2"/>
      <c r="I211" s="2"/>
      <c r="J211" s="5"/>
      <c r="K211" s="2"/>
      <c r="L211" s="2"/>
      <c r="M211" s="2"/>
      <c r="N211" s="2"/>
      <c r="O211" s="2"/>
      <c r="P211" s="2"/>
      <c r="Q211" s="7"/>
      <c r="R211" s="224"/>
      <c r="S211" s="224"/>
      <c r="T211" s="224"/>
      <c r="U211" s="868"/>
      <c r="V211" s="865"/>
      <c r="W211" s="2"/>
      <c r="X211" s="2"/>
      <c r="Y211" s="2"/>
      <c r="Z211" s="2"/>
      <c r="AA211" s="2"/>
      <c r="AB211" s="2"/>
      <c r="AC211" s="2"/>
      <c r="AD211" s="2"/>
      <c r="AE211" s="2"/>
      <c r="AF211" s="2"/>
      <c r="AG211" s="2"/>
      <c r="AH211" s="2"/>
      <c r="AI211" s="2"/>
      <c r="AJ211" s="218"/>
      <c r="AK211" s="218"/>
      <c r="AL211" s="218"/>
      <c r="AM211" s="218"/>
    </row>
    <row r="212">
      <c r="A212" s="33"/>
      <c r="B212" s="2"/>
      <c r="C212" s="2"/>
      <c r="D212" s="2"/>
      <c r="E212" s="2"/>
      <c r="F212" s="4"/>
      <c r="G212" s="2"/>
      <c r="H212" s="2"/>
      <c r="I212" s="2"/>
      <c r="J212" s="5"/>
      <c r="K212" s="2"/>
      <c r="L212" s="2"/>
      <c r="M212" s="2"/>
      <c r="N212" s="2"/>
      <c r="O212" s="2"/>
      <c r="P212" s="2"/>
      <c r="Q212" s="7"/>
      <c r="R212" s="224"/>
      <c r="S212" s="224"/>
      <c r="T212" s="224"/>
      <c r="U212" s="868"/>
      <c r="V212" s="865"/>
      <c r="W212" s="2"/>
      <c r="X212" s="2"/>
      <c r="Y212" s="2"/>
      <c r="Z212" s="2"/>
      <c r="AA212" s="2"/>
      <c r="AB212" s="2"/>
      <c r="AC212" s="2"/>
      <c r="AD212" s="2"/>
      <c r="AE212" s="2"/>
      <c r="AF212" s="2"/>
      <c r="AG212" s="2"/>
      <c r="AH212" s="2"/>
      <c r="AI212" s="2"/>
      <c r="AJ212" s="218"/>
      <c r="AK212" s="218"/>
      <c r="AL212" s="218"/>
      <c r="AM212" s="218"/>
    </row>
    <row r="213">
      <c r="A213" s="33"/>
      <c r="B213" s="2"/>
      <c r="C213" s="2"/>
      <c r="D213" s="2"/>
      <c r="E213" s="2"/>
      <c r="F213" s="4"/>
      <c r="G213" s="2"/>
      <c r="H213" s="2"/>
      <c r="I213" s="2"/>
      <c r="J213" s="5"/>
      <c r="K213" s="2"/>
      <c r="L213" s="2"/>
      <c r="M213" s="2"/>
      <c r="N213" s="2"/>
      <c r="O213" s="2"/>
      <c r="P213" s="2"/>
      <c r="Q213" s="7"/>
      <c r="R213" s="224"/>
      <c r="S213" s="224"/>
      <c r="T213" s="224"/>
      <c r="U213" s="868"/>
      <c r="V213" s="865"/>
      <c r="W213" s="2"/>
      <c r="X213" s="2"/>
      <c r="Y213" s="2"/>
      <c r="Z213" s="2"/>
      <c r="AA213" s="2"/>
      <c r="AB213" s="2"/>
      <c r="AC213" s="2"/>
      <c r="AD213" s="2"/>
      <c r="AE213" s="2"/>
      <c r="AF213" s="2"/>
      <c r="AG213" s="2"/>
      <c r="AH213" s="2"/>
      <c r="AI213" s="2"/>
      <c r="AJ213" s="218"/>
      <c r="AK213" s="218"/>
      <c r="AL213" s="218"/>
      <c r="AM213" s="218"/>
    </row>
    <row r="214">
      <c r="A214" s="33"/>
      <c r="B214" s="2"/>
      <c r="C214" s="2"/>
      <c r="D214" s="2"/>
      <c r="E214" s="2"/>
      <c r="F214" s="4"/>
      <c r="G214" s="2"/>
      <c r="H214" s="2"/>
      <c r="I214" s="2"/>
      <c r="J214" s="5"/>
      <c r="K214" s="2"/>
      <c r="L214" s="2"/>
      <c r="M214" s="2"/>
      <c r="N214" s="2"/>
      <c r="O214" s="2"/>
      <c r="P214" s="2"/>
      <c r="Q214" s="7"/>
      <c r="R214" s="224"/>
      <c r="S214" s="224"/>
      <c r="T214" s="224"/>
      <c r="U214" s="868"/>
      <c r="V214" s="865"/>
      <c r="W214" s="2"/>
      <c r="X214" s="2"/>
      <c r="Y214" s="2"/>
      <c r="Z214" s="2"/>
      <c r="AA214" s="2"/>
      <c r="AB214" s="2"/>
      <c r="AC214" s="2"/>
      <c r="AD214" s="2"/>
      <c r="AE214" s="2"/>
      <c r="AF214" s="2"/>
      <c r="AG214" s="2"/>
      <c r="AH214" s="2"/>
      <c r="AI214" s="2"/>
      <c r="AJ214" s="218"/>
      <c r="AK214" s="218"/>
      <c r="AL214" s="218"/>
      <c r="AM214" s="218"/>
    </row>
    <row r="215">
      <c r="A215" s="33"/>
      <c r="B215" s="2"/>
      <c r="C215" s="2"/>
      <c r="D215" s="2"/>
      <c r="E215" s="2"/>
      <c r="F215" s="4"/>
      <c r="G215" s="2"/>
      <c r="H215" s="2"/>
      <c r="I215" s="2"/>
      <c r="J215" s="5"/>
      <c r="K215" s="2"/>
      <c r="L215" s="2"/>
      <c r="M215" s="2"/>
      <c r="N215" s="2"/>
      <c r="O215" s="2"/>
      <c r="P215" s="2"/>
      <c r="Q215" s="7"/>
      <c r="R215" s="224"/>
      <c r="S215" s="224"/>
      <c r="T215" s="224"/>
      <c r="U215" s="868"/>
      <c r="V215" s="865"/>
      <c r="W215" s="2"/>
      <c r="X215" s="2"/>
      <c r="Y215" s="2"/>
      <c r="Z215" s="2"/>
      <c r="AA215" s="2"/>
      <c r="AB215" s="2"/>
      <c r="AC215" s="2"/>
      <c r="AD215" s="2"/>
      <c r="AE215" s="2"/>
      <c r="AF215" s="2"/>
      <c r="AG215" s="2"/>
      <c r="AH215" s="2"/>
      <c r="AI215" s="2"/>
      <c r="AJ215" s="218"/>
      <c r="AK215" s="218"/>
      <c r="AL215" s="218"/>
      <c r="AM215" s="218"/>
    </row>
    <row r="216">
      <c r="A216" s="33"/>
      <c r="B216" s="2"/>
      <c r="C216" s="2"/>
      <c r="D216" s="2"/>
      <c r="E216" s="2"/>
      <c r="F216" s="4"/>
      <c r="G216" s="2"/>
      <c r="H216" s="2"/>
      <c r="I216" s="2"/>
      <c r="J216" s="5"/>
      <c r="K216" s="2"/>
      <c r="L216" s="2"/>
      <c r="M216" s="2"/>
      <c r="N216" s="2"/>
      <c r="O216" s="2"/>
      <c r="P216" s="2"/>
      <c r="Q216" s="7"/>
      <c r="R216" s="224"/>
      <c r="S216" s="224"/>
      <c r="T216" s="224"/>
      <c r="U216" s="868"/>
      <c r="V216" s="865"/>
      <c r="W216" s="2"/>
      <c r="X216" s="2"/>
      <c r="Y216" s="2"/>
      <c r="Z216" s="2"/>
      <c r="AA216" s="2"/>
      <c r="AB216" s="2"/>
      <c r="AC216" s="2"/>
      <c r="AD216" s="2"/>
      <c r="AE216" s="2"/>
      <c r="AF216" s="2"/>
      <c r="AG216" s="2"/>
      <c r="AH216" s="2"/>
      <c r="AI216" s="2"/>
      <c r="AJ216" s="218"/>
      <c r="AK216" s="218"/>
      <c r="AL216" s="218"/>
      <c r="AM216" s="218"/>
    </row>
    <row r="217">
      <c r="A217" s="33"/>
      <c r="B217" s="2"/>
      <c r="C217" s="2"/>
      <c r="D217" s="2"/>
      <c r="E217" s="2"/>
      <c r="F217" s="4"/>
      <c r="G217" s="2"/>
      <c r="H217" s="2"/>
      <c r="I217" s="2"/>
      <c r="J217" s="5"/>
      <c r="K217" s="2"/>
      <c r="L217" s="2"/>
      <c r="M217" s="2"/>
      <c r="N217" s="2"/>
      <c r="O217" s="2"/>
      <c r="P217" s="2"/>
      <c r="Q217" s="7"/>
      <c r="R217" s="224"/>
      <c r="S217" s="224"/>
      <c r="T217" s="224"/>
      <c r="U217" s="868"/>
      <c r="V217" s="865"/>
      <c r="W217" s="2"/>
      <c r="X217" s="2"/>
      <c r="Y217" s="2"/>
      <c r="Z217" s="2"/>
      <c r="AA217" s="2"/>
      <c r="AB217" s="2"/>
      <c r="AC217" s="2"/>
      <c r="AD217" s="2"/>
      <c r="AE217" s="2"/>
      <c r="AF217" s="2"/>
      <c r="AG217" s="2"/>
      <c r="AH217" s="2"/>
      <c r="AI217" s="2"/>
      <c r="AJ217" s="218"/>
      <c r="AK217" s="218"/>
      <c r="AL217" s="218"/>
      <c r="AM217" s="218"/>
    </row>
    <row r="218">
      <c r="A218" s="33"/>
      <c r="B218" s="2"/>
      <c r="C218" s="2"/>
      <c r="D218" s="2"/>
      <c r="E218" s="2"/>
      <c r="F218" s="4"/>
      <c r="G218" s="2"/>
      <c r="H218" s="2"/>
      <c r="I218" s="2"/>
      <c r="J218" s="5"/>
      <c r="K218" s="2"/>
      <c r="L218" s="2"/>
      <c r="M218" s="2"/>
      <c r="N218" s="2"/>
      <c r="O218" s="2"/>
      <c r="P218" s="2"/>
      <c r="Q218" s="7"/>
      <c r="R218" s="224"/>
      <c r="S218" s="224"/>
      <c r="T218" s="224"/>
      <c r="U218" s="868"/>
      <c r="V218" s="865"/>
      <c r="W218" s="2"/>
      <c r="X218" s="2"/>
      <c r="Y218" s="2"/>
      <c r="Z218" s="2"/>
      <c r="AA218" s="2"/>
      <c r="AB218" s="2"/>
      <c r="AC218" s="2"/>
      <c r="AD218" s="2"/>
      <c r="AE218" s="2"/>
      <c r="AF218" s="2"/>
      <c r="AG218" s="2"/>
      <c r="AH218" s="2"/>
      <c r="AI218" s="2"/>
      <c r="AJ218" s="218"/>
      <c r="AK218" s="218"/>
      <c r="AL218" s="218"/>
      <c r="AM218" s="218"/>
    </row>
    <row r="219">
      <c r="A219" s="33"/>
      <c r="B219" s="2"/>
      <c r="C219" s="2"/>
      <c r="D219" s="2"/>
      <c r="E219" s="2"/>
      <c r="F219" s="4"/>
      <c r="G219" s="2"/>
      <c r="H219" s="2"/>
      <c r="I219" s="2"/>
      <c r="J219" s="5"/>
      <c r="K219" s="2"/>
      <c r="L219" s="2"/>
      <c r="M219" s="2"/>
      <c r="N219" s="2"/>
      <c r="O219" s="2"/>
      <c r="P219" s="2"/>
      <c r="Q219" s="7"/>
      <c r="R219" s="224"/>
      <c r="S219" s="224"/>
      <c r="T219" s="224"/>
      <c r="U219" s="868"/>
      <c r="V219" s="865"/>
      <c r="W219" s="2"/>
      <c r="X219" s="2"/>
      <c r="Y219" s="2"/>
      <c r="Z219" s="2"/>
      <c r="AA219" s="2"/>
      <c r="AB219" s="2"/>
      <c r="AC219" s="2"/>
      <c r="AD219" s="2"/>
      <c r="AE219" s="2"/>
      <c r="AF219" s="2"/>
      <c r="AG219" s="2"/>
      <c r="AH219" s="2"/>
      <c r="AI219" s="2"/>
      <c r="AJ219" s="218"/>
      <c r="AK219" s="218"/>
      <c r="AL219" s="218"/>
      <c r="AM219" s="218"/>
    </row>
    <row r="220">
      <c r="A220" s="33"/>
      <c r="B220" s="2"/>
      <c r="C220" s="2"/>
      <c r="D220" s="2"/>
      <c r="E220" s="2"/>
      <c r="F220" s="4"/>
      <c r="G220" s="2"/>
      <c r="H220" s="2"/>
      <c r="I220" s="2"/>
      <c r="J220" s="5"/>
      <c r="K220" s="2"/>
      <c r="L220" s="2"/>
      <c r="M220" s="2"/>
      <c r="N220" s="2"/>
      <c r="O220" s="2"/>
      <c r="P220" s="2"/>
      <c r="Q220" s="7"/>
      <c r="R220" s="224"/>
      <c r="S220" s="224"/>
      <c r="T220" s="224"/>
      <c r="U220" s="868"/>
      <c r="V220" s="865"/>
      <c r="W220" s="2"/>
      <c r="X220" s="2"/>
      <c r="Y220" s="2"/>
      <c r="Z220" s="2"/>
      <c r="AA220" s="2"/>
      <c r="AB220" s="2"/>
      <c r="AC220" s="2"/>
      <c r="AD220" s="2"/>
      <c r="AE220" s="2"/>
      <c r="AF220" s="2"/>
      <c r="AG220" s="2"/>
      <c r="AH220" s="2"/>
      <c r="AI220" s="2"/>
      <c r="AJ220" s="218"/>
      <c r="AK220" s="218"/>
      <c r="AL220" s="218"/>
      <c r="AM220" s="218"/>
    </row>
    <row r="221">
      <c r="A221" s="33"/>
      <c r="B221" s="2"/>
      <c r="C221" s="2"/>
      <c r="D221" s="2"/>
      <c r="E221" s="2"/>
      <c r="F221" s="4"/>
      <c r="G221" s="2"/>
      <c r="H221" s="2"/>
      <c r="I221" s="2"/>
      <c r="J221" s="5"/>
      <c r="K221" s="2"/>
      <c r="L221" s="2"/>
      <c r="M221" s="2"/>
      <c r="N221" s="2"/>
      <c r="O221" s="2"/>
      <c r="P221" s="2"/>
      <c r="Q221" s="7"/>
      <c r="R221" s="224"/>
      <c r="S221" s="224"/>
      <c r="T221" s="224"/>
      <c r="U221" s="868"/>
      <c r="V221" s="865"/>
      <c r="W221" s="2"/>
      <c r="X221" s="2"/>
      <c r="Y221" s="2"/>
      <c r="Z221" s="2"/>
      <c r="AA221" s="2"/>
      <c r="AB221" s="2"/>
      <c r="AC221" s="2"/>
      <c r="AD221" s="2"/>
      <c r="AE221" s="2"/>
      <c r="AF221" s="2"/>
      <c r="AG221" s="2"/>
      <c r="AH221" s="2"/>
      <c r="AI221" s="2"/>
      <c r="AJ221" s="218"/>
      <c r="AK221" s="218"/>
      <c r="AL221" s="218"/>
      <c r="AM221" s="218"/>
    </row>
    <row r="222">
      <c r="A222" s="33"/>
      <c r="B222" s="2"/>
      <c r="C222" s="2"/>
      <c r="D222" s="2"/>
      <c r="E222" s="2"/>
      <c r="F222" s="4"/>
      <c r="G222" s="2"/>
      <c r="H222" s="2"/>
      <c r="I222" s="2"/>
      <c r="J222" s="5"/>
      <c r="K222" s="2"/>
      <c r="L222" s="2"/>
      <c r="M222" s="2"/>
      <c r="N222" s="2"/>
      <c r="O222" s="2"/>
      <c r="P222" s="2"/>
      <c r="Q222" s="7"/>
      <c r="R222" s="224"/>
      <c r="S222" s="224"/>
      <c r="T222" s="224"/>
      <c r="U222" s="868"/>
      <c r="V222" s="865"/>
      <c r="W222" s="2"/>
      <c r="X222" s="2"/>
      <c r="Y222" s="2"/>
      <c r="Z222" s="2"/>
      <c r="AA222" s="2"/>
      <c r="AB222" s="2"/>
      <c r="AC222" s="2"/>
      <c r="AD222" s="2"/>
      <c r="AE222" s="2"/>
      <c r="AF222" s="2"/>
      <c r="AG222" s="2"/>
      <c r="AH222" s="2"/>
      <c r="AI222" s="2"/>
      <c r="AJ222" s="218"/>
      <c r="AK222" s="218"/>
      <c r="AL222" s="218"/>
      <c r="AM222" s="218"/>
    </row>
    <row r="223">
      <c r="A223" s="33"/>
      <c r="B223" s="2"/>
      <c r="C223" s="2"/>
      <c r="D223" s="2"/>
      <c r="E223" s="2"/>
      <c r="F223" s="4"/>
      <c r="G223" s="2"/>
      <c r="H223" s="2"/>
      <c r="I223" s="2"/>
      <c r="J223" s="5"/>
      <c r="K223" s="2"/>
      <c r="L223" s="2"/>
      <c r="M223" s="2"/>
      <c r="N223" s="2"/>
      <c r="O223" s="2"/>
      <c r="P223" s="2"/>
      <c r="Q223" s="7"/>
      <c r="R223" s="224"/>
      <c r="S223" s="224"/>
      <c r="T223" s="224"/>
      <c r="U223" s="868"/>
      <c r="V223" s="865"/>
      <c r="W223" s="2"/>
      <c r="X223" s="2"/>
      <c r="Y223" s="2"/>
      <c r="Z223" s="2"/>
      <c r="AA223" s="2"/>
      <c r="AB223" s="2"/>
      <c r="AC223" s="2"/>
      <c r="AD223" s="2"/>
      <c r="AE223" s="2"/>
      <c r="AF223" s="2"/>
      <c r="AG223" s="2"/>
      <c r="AH223" s="2"/>
      <c r="AI223" s="2"/>
      <c r="AJ223" s="218"/>
      <c r="AK223" s="218"/>
      <c r="AL223" s="218"/>
      <c r="AM223" s="218"/>
    </row>
    <row r="224">
      <c r="A224" s="33"/>
      <c r="B224" s="2"/>
      <c r="C224" s="2"/>
      <c r="D224" s="2"/>
      <c r="E224" s="2"/>
      <c r="F224" s="4"/>
      <c r="G224" s="2"/>
      <c r="H224" s="2"/>
      <c r="I224" s="2"/>
      <c r="J224" s="5"/>
      <c r="K224" s="2"/>
      <c r="L224" s="2"/>
      <c r="M224" s="2"/>
      <c r="N224" s="2"/>
      <c r="O224" s="2"/>
      <c r="P224" s="2"/>
      <c r="Q224" s="7"/>
      <c r="R224" s="224"/>
      <c r="S224" s="224"/>
      <c r="T224" s="224"/>
      <c r="U224" s="868"/>
      <c r="V224" s="865"/>
      <c r="W224" s="2"/>
      <c r="X224" s="2"/>
      <c r="Y224" s="2"/>
      <c r="Z224" s="2"/>
      <c r="AA224" s="2"/>
      <c r="AB224" s="2"/>
      <c r="AC224" s="2"/>
      <c r="AD224" s="2"/>
      <c r="AE224" s="2"/>
      <c r="AF224" s="2"/>
      <c r="AG224" s="2"/>
      <c r="AH224" s="2"/>
      <c r="AI224" s="2"/>
      <c r="AJ224" s="218"/>
      <c r="AK224" s="218"/>
      <c r="AL224" s="218"/>
      <c r="AM224" s="218"/>
    </row>
    <row r="225">
      <c r="A225" s="33"/>
      <c r="B225" s="2"/>
      <c r="C225" s="2"/>
      <c r="D225" s="2"/>
      <c r="E225" s="2"/>
      <c r="F225" s="4"/>
      <c r="G225" s="2"/>
      <c r="H225" s="2"/>
      <c r="I225" s="2"/>
      <c r="J225" s="5"/>
      <c r="K225" s="2"/>
      <c r="L225" s="2"/>
      <c r="M225" s="2"/>
      <c r="N225" s="2"/>
      <c r="O225" s="2"/>
      <c r="P225" s="2"/>
      <c r="Q225" s="7"/>
      <c r="R225" s="224"/>
      <c r="S225" s="224"/>
      <c r="T225" s="224"/>
      <c r="U225" s="868"/>
      <c r="V225" s="865"/>
      <c r="W225" s="2"/>
      <c r="X225" s="2"/>
      <c r="Y225" s="2"/>
      <c r="Z225" s="2"/>
      <c r="AA225" s="2"/>
      <c r="AB225" s="2"/>
      <c r="AC225" s="2"/>
      <c r="AD225" s="2"/>
      <c r="AE225" s="2"/>
      <c r="AF225" s="2"/>
      <c r="AG225" s="2"/>
      <c r="AH225" s="2"/>
      <c r="AI225" s="2"/>
      <c r="AJ225" s="218"/>
      <c r="AK225" s="218"/>
      <c r="AL225" s="218"/>
      <c r="AM225" s="218"/>
    </row>
    <row r="226">
      <c r="A226" s="33"/>
      <c r="B226" s="2"/>
      <c r="C226" s="2"/>
      <c r="D226" s="2"/>
      <c r="E226" s="2"/>
      <c r="F226" s="4"/>
      <c r="G226" s="2"/>
      <c r="H226" s="2"/>
      <c r="I226" s="2"/>
      <c r="J226" s="5"/>
      <c r="K226" s="2"/>
      <c r="L226" s="2"/>
      <c r="M226" s="2"/>
      <c r="N226" s="2"/>
      <c r="O226" s="2"/>
      <c r="P226" s="2"/>
      <c r="Q226" s="7"/>
      <c r="R226" s="224"/>
      <c r="S226" s="224"/>
      <c r="T226" s="224"/>
      <c r="U226" s="868"/>
      <c r="V226" s="865"/>
      <c r="W226" s="2"/>
      <c r="X226" s="2"/>
      <c r="Y226" s="2"/>
      <c r="Z226" s="2"/>
      <c r="AA226" s="2"/>
      <c r="AB226" s="2"/>
      <c r="AC226" s="2"/>
      <c r="AD226" s="2"/>
      <c r="AE226" s="2"/>
      <c r="AF226" s="2"/>
      <c r="AG226" s="2"/>
      <c r="AH226" s="2"/>
      <c r="AI226" s="2"/>
      <c r="AJ226" s="218"/>
      <c r="AK226" s="218"/>
      <c r="AL226" s="218"/>
      <c r="AM226" s="218"/>
    </row>
    <row r="227">
      <c r="A227" s="33"/>
      <c r="B227" s="2"/>
      <c r="C227" s="2"/>
      <c r="D227" s="2"/>
      <c r="E227" s="2"/>
      <c r="F227" s="4"/>
      <c r="G227" s="2"/>
      <c r="H227" s="2"/>
      <c r="I227" s="2"/>
      <c r="J227" s="5"/>
      <c r="K227" s="2"/>
      <c r="L227" s="2"/>
      <c r="M227" s="2"/>
      <c r="N227" s="2"/>
      <c r="O227" s="2"/>
      <c r="P227" s="2"/>
      <c r="Q227" s="7"/>
      <c r="R227" s="224"/>
      <c r="S227" s="224"/>
      <c r="T227" s="224"/>
      <c r="U227" s="868"/>
      <c r="V227" s="865"/>
      <c r="W227" s="2"/>
      <c r="X227" s="2"/>
      <c r="Y227" s="2"/>
      <c r="Z227" s="2"/>
      <c r="AA227" s="2"/>
      <c r="AB227" s="2"/>
      <c r="AC227" s="2"/>
      <c r="AD227" s="2"/>
      <c r="AE227" s="2"/>
      <c r="AF227" s="2"/>
      <c r="AG227" s="2"/>
      <c r="AH227" s="2"/>
      <c r="AI227" s="2"/>
      <c r="AJ227" s="218"/>
      <c r="AK227" s="218"/>
      <c r="AL227" s="218"/>
      <c r="AM227" s="218"/>
    </row>
    <row r="228">
      <c r="A228" s="33"/>
      <c r="B228" s="2"/>
      <c r="C228" s="2"/>
      <c r="D228" s="2"/>
      <c r="E228" s="2"/>
      <c r="F228" s="4"/>
      <c r="G228" s="2"/>
      <c r="H228" s="2"/>
      <c r="I228" s="2"/>
      <c r="J228" s="5"/>
      <c r="K228" s="2"/>
      <c r="L228" s="2"/>
      <c r="M228" s="2"/>
      <c r="N228" s="2"/>
      <c r="O228" s="2"/>
      <c r="P228" s="2"/>
      <c r="Q228" s="7"/>
      <c r="R228" s="224"/>
      <c r="S228" s="224"/>
      <c r="T228" s="224"/>
      <c r="U228" s="868"/>
      <c r="V228" s="865"/>
      <c r="W228" s="2"/>
      <c r="X228" s="2"/>
      <c r="Y228" s="2"/>
      <c r="Z228" s="2"/>
      <c r="AA228" s="2"/>
      <c r="AB228" s="2"/>
      <c r="AC228" s="2"/>
      <c r="AD228" s="2"/>
      <c r="AE228" s="2"/>
      <c r="AF228" s="2"/>
      <c r="AG228" s="2"/>
      <c r="AH228" s="2"/>
      <c r="AI228" s="2"/>
      <c r="AJ228" s="218"/>
      <c r="AK228" s="218"/>
      <c r="AL228" s="218"/>
      <c r="AM228" s="218"/>
    </row>
    <row r="229">
      <c r="A229" s="33"/>
      <c r="B229" s="2"/>
      <c r="C229" s="2"/>
      <c r="D229" s="2"/>
      <c r="E229" s="2"/>
      <c r="F229" s="4"/>
      <c r="G229" s="2"/>
      <c r="H229" s="2"/>
      <c r="I229" s="2"/>
      <c r="J229" s="5"/>
      <c r="K229" s="2"/>
      <c r="L229" s="2"/>
      <c r="M229" s="2"/>
      <c r="N229" s="2"/>
      <c r="O229" s="2"/>
      <c r="P229" s="2"/>
      <c r="Q229" s="7"/>
      <c r="R229" s="224"/>
      <c r="S229" s="224"/>
      <c r="T229" s="224"/>
      <c r="U229" s="868"/>
      <c r="V229" s="865"/>
      <c r="W229" s="2"/>
      <c r="X229" s="2"/>
      <c r="Y229" s="2"/>
      <c r="Z229" s="2"/>
      <c r="AA229" s="2"/>
      <c r="AB229" s="2"/>
      <c r="AC229" s="2"/>
      <c r="AD229" s="2"/>
      <c r="AE229" s="2"/>
      <c r="AF229" s="2"/>
      <c r="AG229" s="2"/>
      <c r="AH229" s="2"/>
      <c r="AI229" s="2"/>
      <c r="AJ229" s="218"/>
      <c r="AK229" s="218"/>
      <c r="AL229" s="218"/>
      <c r="AM229" s="218"/>
    </row>
    <row r="230">
      <c r="A230" s="33"/>
      <c r="B230" s="2"/>
      <c r="C230" s="2"/>
      <c r="D230" s="2"/>
      <c r="E230" s="2"/>
      <c r="F230" s="4"/>
      <c r="G230" s="2"/>
      <c r="H230" s="2"/>
      <c r="I230" s="2"/>
      <c r="J230" s="5"/>
      <c r="K230" s="2"/>
      <c r="L230" s="2"/>
      <c r="M230" s="2"/>
      <c r="N230" s="2"/>
      <c r="O230" s="2"/>
      <c r="P230" s="2"/>
      <c r="Q230" s="7"/>
      <c r="R230" s="224"/>
      <c r="S230" s="224"/>
      <c r="T230" s="224"/>
      <c r="U230" s="868"/>
      <c r="V230" s="865"/>
      <c r="W230" s="2"/>
      <c r="X230" s="2"/>
      <c r="Y230" s="2"/>
      <c r="Z230" s="2"/>
      <c r="AA230" s="2"/>
      <c r="AB230" s="2"/>
      <c r="AC230" s="2"/>
      <c r="AD230" s="2"/>
      <c r="AE230" s="2"/>
      <c r="AF230" s="2"/>
      <c r="AG230" s="2"/>
      <c r="AH230" s="2"/>
      <c r="AI230" s="2"/>
      <c r="AJ230" s="218"/>
      <c r="AK230" s="218"/>
      <c r="AL230" s="218"/>
      <c r="AM230" s="218"/>
    </row>
    <row r="231">
      <c r="A231" s="33"/>
      <c r="B231" s="2"/>
      <c r="C231" s="2"/>
      <c r="D231" s="2"/>
      <c r="E231" s="2"/>
      <c r="F231" s="4"/>
      <c r="G231" s="2"/>
      <c r="H231" s="2"/>
      <c r="I231" s="2"/>
      <c r="J231" s="5"/>
      <c r="K231" s="2"/>
      <c r="L231" s="2"/>
      <c r="M231" s="2"/>
      <c r="N231" s="2"/>
      <c r="O231" s="2"/>
      <c r="P231" s="2"/>
      <c r="Q231" s="7"/>
      <c r="R231" s="224"/>
      <c r="S231" s="224"/>
      <c r="T231" s="224"/>
      <c r="U231" s="868"/>
      <c r="V231" s="865"/>
      <c r="W231" s="2"/>
      <c r="X231" s="2"/>
      <c r="Y231" s="2"/>
      <c r="Z231" s="2"/>
      <c r="AA231" s="2"/>
      <c r="AB231" s="2"/>
      <c r="AC231" s="2"/>
      <c r="AD231" s="2"/>
      <c r="AE231" s="2"/>
      <c r="AF231" s="2"/>
      <c r="AG231" s="2"/>
      <c r="AH231" s="2"/>
      <c r="AI231" s="2"/>
      <c r="AJ231" s="218"/>
      <c r="AK231" s="218"/>
      <c r="AL231" s="218"/>
      <c r="AM231" s="218"/>
    </row>
    <row r="232">
      <c r="A232" s="33"/>
      <c r="B232" s="2"/>
      <c r="C232" s="2"/>
      <c r="D232" s="2"/>
      <c r="E232" s="2"/>
      <c r="F232" s="4"/>
      <c r="G232" s="2"/>
      <c r="H232" s="2"/>
      <c r="I232" s="2"/>
      <c r="J232" s="5"/>
      <c r="K232" s="2"/>
      <c r="L232" s="2"/>
      <c r="M232" s="2"/>
      <c r="N232" s="2"/>
      <c r="O232" s="2"/>
      <c r="P232" s="2"/>
      <c r="Q232" s="7"/>
      <c r="R232" s="224"/>
      <c r="S232" s="224"/>
      <c r="T232" s="224"/>
      <c r="U232" s="868"/>
      <c r="V232" s="865"/>
      <c r="W232" s="2"/>
      <c r="X232" s="2"/>
      <c r="Y232" s="2"/>
      <c r="Z232" s="2"/>
      <c r="AA232" s="2"/>
      <c r="AB232" s="2"/>
      <c r="AC232" s="2"/>
      <c r="AD232" s="2"/>
      <c r="AE232" s="2"/>
      <c r="AF232" s="2"/>
      <c r="AG232" s="2"/>
      <c r="AH232" s="2"/>
      <c r="AI232" s="2"/>
      <c r="AJ232" s="218"/>
      <c r="AK232" s="218"/>
      <c r="AL232" s="218"/>
      <c r="AM232" s="218"/>
    </row>
    <row r="233">
      <c r="A233" s="33"/>
      <c r="B233" s="2"/>
      <c r="C233" s="2"/>
      <c r="D233" s="2"/>
      <c r="E233" s="2"/>
      <c r="F233" s="4"/>
      <c r="G233" s="2"/>
      <c r="H233" s="2"/>
      <c r="I233" s="2"/>
      <c r="J233" s="5"/>
      <c r="K233" s="2"/>
      <c r="L233" s="2"/>
      <c r="M233" s="2"/>
      <c r="N233" s="2"/>
      <c r="O233" s="2"/>
      <c r="P233" s="2"/>
      <c r="Q233" s="7"/>
      <c r="R233" s="224"/>
      <c r="S233" s="224"/>
      <c r="T233" s="224"/>
      <c r="U233" s="868"/>
      <c r="V233" s="865"/>
      <c r="W233" s="2"/>
      <c r="X233" s="2"/>
      <c r="Y233" s="2"/>
      <c r="Z233" s="2"/>
      <c r="AA233" s="2"/>
      <c r="AB233" s="2"/>
      <c r="AC233" s="2"/>
      <c r="AD233" s="2"/>
      <c r="AE233" s="2"/>
      <c r="AF233" s="2"/>
      <c r="AG233" s="2"/>
      <c r="AH233" s="2"/>
      <c r="AI233" s="2"/>
      <c r="AJ233" s="218"/>
      <c r="AK233" s="218"/>
      <c r="AL233" s="218"/>
      <c r="AM233" s="218"/>
    </row>
    <row r="234">
      <c r="A234" s="33"/>
      <c r="B234" s="2"/>
      <c r="C234" s="2"/>
      <c r="D234" s="2"/>
      <c r="E234" s="2"/>
      <c r="F234" s="4"/>
      <c r="G234" s="2"/>
      <c r="H234" s="2"/>
      <c r="I234" s="2"/>
      <c r="J234" s="5"/>
      <c r="K234" s="2"/>
      <c r="L234" s="2"/>
      <c r="M234" s="2"/>
      <c r="N234" s="2"/>
      <c r="O234" s="2"/>
      <c r="P234" s="2"/>
      <c r="Q234" s="7"/>
      <c r="R234" s="224"/>
      <c r="S234" s="224"/>
      <c r="T234" s="224"/>
      <c r="U234" s="868"/>
      <c r="V234" s="865"/>
      <c r="W234" s="2"/>
      <c r="X234" s="2"/>
      <c r="Y234" s="2"/>
      <c r="Z234" s="2"/>
      <c r="AA234" s="2"/>
      <c r="AB234" s="2"/>
      <c r="AC234" s="2"/>
      <c r="AD234" s="2"/>
      <c r="AE234" s="2"/>
      <c r="AF234" s="2"/>
      <c r="AG234" s="2"/>
      <c r="AH234" s="2"/>
      <c r="AI234" s="2"/>
      <c r="AJ234" s="218"/>
      <c r="AK234" s="218"/>
      <c r="AL234" s="218"/>
      <c r="AM234" s="218"/>
    </row>
    <row r="235">
      <c r="A235" s="33"/>
      <c r="B235" s="2"/>
      <c r="C235" s="2"/>
      <c r="D235" s="2"/>
      <c r="E235" s="2"/>
      <c r="F235" s="4"/>
      <c r="G235" s="2"/>
      <c r="H235" s="2"/>
      <c r="I235" s="2"/>
      <c r="J235" s="5"/>
      <c r="K235" s="2"/>
      <c r="L235" s="2"/>
      <c r="M235" s="2"/>
      <c r="N235" s="2"/>
      <c r="O235" s="2"/>
      <c r="P235" s="2"/>
      <c r="Q235" s="7"/>
      <c r="R235" s="224"/>
      <c r="S235" s="224"/>
      <c r="T235" s="224"/>
      <c r="U235" s="868"/>
      <c r="V235" s="865"/>
      <c r="W235" s="2"/>
      <c r="X235" s="2"/>
      <c r="Y235" s="2"/>
      <c r="Z235" s="2"/>
      <c r="AA235" s="2"/>
      <c r="AB235" s="2"/>
      <c r="AC235" s="2"/>
      <c r="AD235" s="2"/>
      <c r="AE235" s="2"/>
      <c r="AF235" s="2"/>
      <c r="AG235" s="2"/>
      <c r="AH235" s="2"/>
      <c r="AI235" s="2"/>
      <c r="AJ235" s="218"/>
      <c r="AK235" s="218"/>
      <c r="AL235" s="218"/>
      <c r="AM235" s="218"/>
    </row>
    <row r="236">
      <c r="A236" s="33"/>
      <c r="B236" s="2"/>
      <c r="C236" s="2"/>
      <c r="D236" s="2"/>
      <c r="E236" s="2"/>
      <c r="F236" s="4"/>
      <c r="G236" s="2"/>
      <c r="H236" s="2"/>
      <c r="I236" s="2"/>
      <c r="J236" s="5"/>
      <c r="K236" s="2"/>
      <c r="L236" s="2"/>
      <c r="M236" s="2"/>
      <c r="N236" s="2"/>
      <c r="O236" s="2"/>
      <c r="P236" s="2"/>
      <c r="Q236" s="7"/>
      <c r="R236" s="224"/>
      <c r="S236" s="224"/>
      <c r="T236" s="224"/>
      <c r="U236" s="868"/>
      <c r="V236" s="865"/>
      <c r="W236" s="2"/>
      <c r="X236" s="2"/>
      <c r="Y236" s="2"/>
      <c r="Z236" s="2"/>
      <c r="AA236" s="2"/>
      <c r="AB236" s="2"/>
      <c r="AC236" s="2"/>
      <c r="AD236" s="2"/>
      <c r="AE236" s="2"/>
      <c r="AF236" s="2"/>
      <c r="AG236" s="2"/>
      <c r="AH236" s="2"/>
      <c r="AI236" s="2"/>
      <c r="AJ236" s="218"/>
      <c r="AK236" s="218"/>
      <c r="AL236" s="218"/>
      <c r="AM236" s="218"/>
    </row>
    <row r="237">
      <c r="A237" s="33"/>
      <c r="B237" s="2"/>
      <c r="C237" s="2"/>
      <c r="D237" s="2"/>
      <c r="E237" s="2"/>
      <c r="F237" s="4"/>
      <c r="G237" s="2"/>
      <c r="H237" s="2"/>
      <c r="I237" s="2"/>
      <c r="J237" s="5"/>
      <c r="K237" s="2"/>
      <c r="L237" s="2"/>
      <c r="M237" s="2"/>
      <c r="N237" s="2"/>
      <c r="O237" s="2"/>
      <c r="P237" s="2"/>
      <c r="Q237" s="7"/>
      <c r="R237" s="224"/>
      <c r="S237" s="224"/>
      <c r="T237" s="224"/>
      <c r="U237" s="868"/>
      <c r="V237" s="865"/>
      <c r="W237" s="2"/>
      <c r="X237" s="2"/>
      <c r="Y237" s="2"/>
      <c r="Z237" s="2"/>
      <c r="AA237" s="2"/>
      <c r="AB237" s="2"/>
      <c r="AC237" s="2"/>
      <c r="AD237" s="2"/>
      <c r="AE237" s="2"/>
      <c r="AF237" s="2"/>
      <c r="AG237" s="2"/>
      <c r="AH237" s="2"/>
      <c r="AI237" s="2"/>
      <c r="AJ237" s="218"/>
      <c r="AK237" s="218"/>
      <c r="AL237" s="218"/>
      <c r="AM237" s="218"/>
    </row>
    <row r="238">
      <c r="A238" s="33"/>
      <c r="B238" s="2"/>
      <c r="C238" s="2"/>
      <c r="D238" s="2"/>
      <c r="E238" s="2"/>
      <c r="F238" s="4"/>
      <c r="G238" s="2"/>
      <c r="H238" s="2"/>
      <c r="I238" s="2"/>
      <c r="J238" s="5"/>
      <c r="K238" s="2"/>
      <c r="L238" s="2"/>
      <c r="M238" s="2"/>
      <c r="N238" s="2"/>
      <c r="O238" s="2"/>
      <c r="P238" s="2"/>
      <c r="Q238" s="7"/>
      <c r="R238" s="224"/>
      <c r="S238" s="224"/>
      <c r="T238" s="224"/>
      <c r="U238" s="868"/>
      <c r="V238" s="865"/>
      <c r="W238" s="2"/>
      <c r="X238" s="2"/>
      <c r="Y238" s="2"/>
      <c r="Z238" s="2"/>
      <c r="AA238" s="2"/>
      <c r="AB238" s="2"/>
      <c r="AC238" s="2"/>
      <c r="AD238" s="2"/>
      <c r="AE238" s="2"/>
      <c r="AF238" s="2"/>
      <c r="AG238" s="2"/>
      <c r="AH238" s="2"/>
      <c r="AI238" s="2"/>
      <c r="AJ238" s="218"/>
      <c r="AK238" s="218"/>
      <c r="AL238" s="218"/>
      <c r="AM238" s="218"/>
    </row>
    <row r="239">
      <c r="A239" s="33"/>
      <c r="B239" s="2"/>
      <c r="C239" s="2"/>
      <c r="D239" s="2"/>
      <c r="E239" s="2"/>
      <c r="F239" s="4"/>
      <c r="G239" s="2"/>
      <c r="H239" s="2"/>
      <c r="I239" s="2"/>
      <c r="J239" s="5"/>
      <c r="K239" s="2"/>
      <c r="L239" s="2"/>
      <c r="M239" s="2"/>
      <c r="N239" s="2"/>
      <c r="O239" s="2"/>
      <c r="P239" s="2"/>
      <c r="Q239" s="7"/>
      <c r="R239" s="224"/>
      <c r="S239" s="224"/>
      <c r="T239" s="224"/>
      <c r="U239" s="868"/>
      <c r="V239" s="865"/>
      <c r="W239" s="2"/>
      <c r="X239" s="2"/>
      <c r="Y239" s="2"/>
      <c r="Z239" s="2"/>
      <c r="AA239" s="2"/>
      <c r="AB239" s="2"/>
      <c r="AC239" s="2"/>
      <c r="AD239" s="2"/>
      <c r="AE239" s="2"/>
      <c r="AF239" s="2"/>
      <c r="AG239" s="2"/>
      <c r="AH239" s="2"/>
      <c r="AI239" s="2"/>
      <c r="AJ239" s="218"/>
      <c r="AK239" s="218"/>
      <c r="AL239" s="218"/>
      <c r="AM239" s="218"/>
    </row>
    <row r="240">
      <c r="A240" s="33"/>
      <c r="B240" s="2"/>
      <c r="C240" s="2"/>
      <c r="D240" s="2"/>
      <c r="E240" s="2"/>
      <c r="F240" s="4"/>
      <c r="G240" s="2"/>
      <c r="H240" s="2"/>
      <c r="I240" s="2"/>
      <c r="J240" s="5"/>
      <c r="K240" s="2"/>
      <c r="L240" s="2"/>
      <c r="M240" s="2"/>
      <c r="N240" s="2"/>
      <c r="O240" s="2"/>
      <c r="P240" s="2"/>
      <c r="Q240" s="7"/>
      <c r="R240" s="224"/>
      <c r="S240" s="224"/>
      <c r="T240" s="224"/>
      <c r="U240" s="868"/>
      <c r="V240" s="865"/>
      <c r="W240" s="2"/>
      <c r="X240" s="2"/>
      <c r="Y240" s="2"/>
      <c r="Z240" s="2"/>
      <c r="AA240" s="2"/>
      <c r="AB240" s="2"/>
      <c r="AC240" s="2"/>
      <c r="AD240" s="2"/>
      <c r="AE240" s="2"/>
      <c r="AF240" s="2"/>
      <c r="AG240" s="2"/>
      <c r="AH240" s="2"/>
      <c r="AI240" s="2"/>
      <c r="AJ240" s="218"/>
      <c r="AK240" s="218"/>
      <c r="AL240" s="218"/>
      <c r="AM240" s="218"/>
    </row>
    <row r="241">
      <c r="A241" s="33"/>
      <c r="B241" s="2"/>
      <c r="C241" s="2"/>
      <c r="D241" s="2"/>
      <c r="E241" s="2"/>
      <c r="F241" s="4"/>
      <c r="G241" s="2"/>
      <c r="H241" s="2"/>
      <c r="I241" s="2"/>
      <c r="J241" s="5"/>
      <c r="K241" s="2"/>
      <c r="L241" s="2"/>
      <c r="M241" s="2"/>
      <c r="N241" s="2"/>
      <c r="O241" s="2"/>
      <c r="P241" s="2"/>
      <c r="Q241" s="7"/>
      <c r="R241" s="224"/>
      <c r="S241" s="224"/>
      <c r="T241" s="224"/>
      <c r="U241" s="868"/>
      <c r="V241" s="865"/>
      <c r="W241" s="2"/>
      <c r="X241" s="2"/>
      <c r="Y241" s="2"/>
      <c r="Z241" s="2"/>
      <c r="AA241" s="2"/>
      <c r="AB241" s="2"/>
      <c r="AC241" s="2"/>
      <c r="AD241" s="2"/>
      <c r="AE241" s="2"/>
      <c r="AF241" s="2"/>
      <c r="AG241" s="2"/>
      <c r="AH241" s="2"/>
      <c r="AI241" s="2"/>
      <c r="AJ241" s="218"/>
      <c r="AK241" s="218"/>
      <c r="AL241" s="218"/>
      <c r="AM241" s="218"/>
    </row>
    <row r="242">
      <c r="A242" s="33"/>
      <c r="B242" s="2"/>
      <c r="C242" s="2"/>
      <c r="D242" s="2"/>
      <c r="E242" s="2"/>
      <c r="F242" s="4"/>
      <c r="G242" s="2"/>
      <c r="H242" s="2"/>
      <c r="I242" s="2"/>
      <c r="J242" s="5"/>
      <c r="K242" s="2"/>
      <c r="L242" s="2"/>
      <c r="M242" s="2"/>
      <c r="N242" s="2"/>
      <c r="O242" s="2"/>
      <c r="P242" s="2"/>
      <c r="Q242" s="7"/>
      <c r="R242" s="224"/>
      <c r="S242" s="224"/>
      <c r="T242" s="224"/>
      <c r="U242" s="868"/>
      <c r="V242" s="865"/>
      <c r="W242" s="2"/>
      <c r="X242" s="2"/>
      <c r="Y242" s="2"/>
      <c r="Z242" s="2"/>
      <c r="AA242" s="2"/>
      <c r="AB242" s="2"/>
      <c r="AC242" s="2"/>
      <c r="AD242" s="2"/>
      <c r="AE242" s="2"/>
      <c r="AF242" s="2"/>
      <c r="AG242" s="2"/>
      <c r="AH242" s="2"/>
      <c r="AI242" s="2"/>
      <c r="AJ242" s="218"/>
      <c r="AK242" s="218"/>
      <c r="AL242" s="218"/>
      <c r="AM242" s="218"/>
    </row>
    <row r="243">
      <c r="A243" s="33"/>
      <c r="B243" s="2"/>
      <c r="C243" s="2"/>
      <c r="D243" s="2"/>
      <c r="E243" s="2"/>
      <c r="F243" s="4"/>
      <c r="G243" s="2"/>
      <c r="H243" s="2"/>
      <c r="I243" s="2"/>
      <c r="J243" s="5"/>
      <c r="K243" s="2"/>
      <c r="L243" s="2"/>
      <c r="M243" s="2"/>
      <c r="N243" s="2"/>
      <c r="O243" s="2"/>
      <c r="P243" s="2"/>
      <c r="Q243" s="7"/>
      <c r="R243" s="224"/>
      <c r="S243" s="224"/>
      <c r="T243" s="224"/>
      <c r="U243" s="868"/>
      <c r="V243" s="865"/>
      <c r="W243" s="2"/>
      <c r="X243" s="2"/>
      <c r="Y243" s="2"/>
      <c r="Z243" s="2"/>
      <c r="AA243" s="2"/>
      <c r="AB243" s="2"/>
      <c r="AC243" s="2"/>
      <c r="AD243" s="2"/>
      <c r="AE243" s="2"/>
      <c r="AF243" s="2"/>
      <c r="AG243" s="2"/>
      <c r="AH243" s="2"/>
      <c r="AI243" s="2"/>
      <c r="AJ243" s="218"/>
      <c r="AK243" s="218"/>
      <c r="AL243" s="218"/>
      <c r="AM243" s="218"/>
    </row>
    <row r="244">
      <c r="A244" s="33"/>
      <c r="B244" s="2"/>
      <c r="C244" s="2"/>
      <c r="D244" s="2"/>
      <c r="E244" s="2"/>
      <c r="F244" s="4"/>
      <c r="G244" s="2"/>
      <c r="H244" s="2"/>
      <c r="I244" s="2"/>
      <c r="J244" s="5"/>
      <c r="K244" s="2"/>
      <c r="L244" s="2"/>
      <c r="M244" s="2"/>
      <c r="N244" s="2"/>
      <c r="O244" s="2"/>
      <c r="P244" s="2"/>
      <c r="Q244" s="7"/>
      <c r="R244" s="224"/>
      <c r="S244" s="224"/>
      <c r="T244" s="224"/>
      <c r="U244" s="868"/>
      <c r="V244" s="865"/>
      <c r="W244" s="2"/>
      <c r="X244" s="2"/>
      <c r="Y244" s="2"/>
      <c r="Z244" s="2"/>
      <c r="AA244" s="2"/>
      <c r="AB244" s="2"/>
      <c r="AC244" s="2"/>
      <c r="AD244" s="2"/>
      <c r="AE244" s="2"/>
      <c r="AF244" s="2"/>
      <c r="AG244" s="2"/>
      <c r="AH244" s="2"/>
      <c r="AI244" s="2"/>
      <c r="AJ244" s="218"/>
      <c r="AK244" s="218"/>
      <c r="AL244" s="218"/>
      <c r="AM244" s="218"/>
    </row>
    <row r="245">
      <c r="A245" s="33"/>
      <c r="B245" s="2"/>
      <c r="C245" s="2"/>
      <c r="D245" s="2"/>
      <c r="E245" s="2"/>
      <c r="F245" s="4"/>
      <c r="G245" s="2"/>
      <c r="H245" s="2"/>
      <c r="I245" s="2"/>
      <c r="J245" s="5"/>
      <c r="K245" s="2"/>
      <c r="L245" s="2"/>
      <c r="M245" s="2"/>
      <c r="N245" s="2"/>
      <c r="O245" s="2"/>
      <c r="P245" s="2"/>
      <c r="Q245" s="7"/>
      <c r="R245" s="224"/>
      <c r="S245" s="224"/>
      <c r="T245" s="224"/>
      <c r="U245" s="868"/>
      <c r="V245" s="865"/>
      <c r="W245" s="2"/>
      <c r="X245" s="2"/>
      <c r="Y245" s="2"/>
      <c r="Z245" s="2"/>
      <c r="AA245" s="2"/>
      <c r="AB245" s="2"/>
      <c r="AC245" s="2"/>
      <c r="AD245" s="2"/>
      <c r="AE245" s="2"/>
      <c r="AF245" s="2"/>
      <c r="AG245" s="2"/>
      <c r="AH245" s="2"/>
      <c r="AI245" s="2"/>
      <c r="AJ245" s="218"/>
      <c r="AK245" s="218"/>
      <c r="AL245" s="218"/>
      <c r="AM245" s="218"/>
    </row>
    <row r="246">
      <c r="A246" s="33"/>
      <c r="B246" s="2"/>
      <c r="C246" s="2"/>
      <c r="D246" s="2"/>
      <c r="E246" s="2"/>
      <c r="F246" s="4"/>
      <c r="G246" s="2"/>
      <c r="H246" s="2"/>
      <c r="I246" s="2"/>
      <c r="J246" s="5"/>
      <c r="K246" s="2"/>
      <c r="L246" s="2"/>
      <c r="M246" s="2"/>
      <c r="N246" s="2"/>
      <c r="O246" s="2"/>
      <c r="P246" s="2"/>
      <c r="Q246" s="7"/>
      <c r="R246" s="224"/>
      <c r="S246" s="224"/>
      <c r="T246" s="224"/>
      <c r="U246" s="868"/>
      <c r="V246" s="865"/>
      <c r="W246" s="2"/>
      <c r="X246" s="2"/>
      <c r="Y246" s="2"/>
      <c r="Z246" s="2"/>
      <c r="AA246" s="2"/>
      <c r="AB246" s="2"/>
      <c r="AC246" s="2"/>
      <c r="AD246" s="2"/>
      <c r="AE246" s="2"/>
      <c r="AF246" s="2"/>
      <c r="AG246" s="2"/>
      <c r="AH246" s="2"/>
      <c r="AI246" s="2"/>
      <c r="AJ246" s="218"/>
      <c r="AK246" s="218"/>
      <c r="AL246" s="218"/>
      <c r="AM246" s="218"/>
    </row>
    <row r="247">
      <c r="A247" s="33"/>
      <c r="B247" s="2"/>
      <c r="C247" s="2"/>
      <c r="D247" s="2"/>
      <c r="E247" s="2"/>
      <c r="F247" s="4"/>
      <c r="G247" s="2"/>
      <c r="H247" s="2"/>
      <c r="I247" s="2"/>
      <c r="J247" s="5"/>
      <c r="K247" s="2"/>
      <c r="L247" s="2"/>
      <c r="M247" s="2"/>
      <c r="N247" s="2"/>
      <c r="O247" s="2"/>
      <c r="P247" s="2"/>
      <c r="Q247" s="7"/>
      <c r="R247" s="224"/>
      <c r="S247" s="224"/>
      <c r="T247" s="224"/>
      <c r="U247" s="868"/>
      <c r="V247" s="865"/>
      <c r="W247" s="2"/>
      <c r="X247" s="2"/>
      <c r="Y247" s="2"/>
      <c r="Z247" s="2"/>
      <c r="AA247" s="2"/>
      <c r="AB247" s="2"/>
      <c r="AC247" s="2"/>
      <c r="AD247" s="2"/>
      <c r="AE247" s="2"/>
      <c r="AF247" s="2"/>
      <c r="AG247" s="2"/>
      <c r="AH247" s="2"/>
      <c r="AI247" s="2"/>
      <c r="AJ247" s="218"/>
      <c r="AK247" s="218"/>
      <c r="AL247" s="218"/>
      <c r="AM247" s="218"/>
    </row>
    <row r="248">
      <c r="A248" s="33"/>
      <c r="B248" s="2"/>
      <c r="C248" s="2"/>
      <c r="D248" s="2"/>
      <c r="E248" s="2"/>
      <c r="F248" s="4"/>
      <c r="G248" s="2"/>
      <c r="H248" s="2"/>
      <c r="I248" s="2"/>
      <c r="J248" s="5"/>
      <c r="K248" s="2"/>
      <c r="L248" s="2"/>
      <c r="M248" s="2"/>
      <c r="N248" s="2"/>
      <c r="O248" s="2"/>
      <c r="P248" s="2"/>
      <c r="Q248" s="7"/>
      <c r="R248" s="224"/>
      <c r="S248" s="224"/>
      <c r="T248" s="224"/>
      <c r="U248" s="868"/>
      <c r="V248" s="865"/>
      <c r="W248" s="2"/>
      <c r="X248" s="2"/>
      <c r="Y248" s="2"/>
      <c r="Z248" s="2"/>
      <c r="AA248" s="2"/>
      <c r="AB248" s="2"/>
      <c r="AC248" s="2"/>
      <c r="AD248" s="2"/>
      <c r="AE248" s="2"/>
      <c r="AF248" s="2"/>
      <c r="AG248" s="2"/>
      <c r="AH248" s="2"/>
      <c r="AI248" s="2"/>
      <c r="AJ248" s="218"/>
      <c r="AK248" s="218"/>
      <c r="AL248" s="218"/>
      <c r="AM248" s="218"/>
    </row>
    <row r="249">
      <c r="A249" s="33"/>
      <c r="B249" s="2"/>
      <c r="C249" s="2"/>
      <c r="D249" s="2"/>
      <c r="E249" s="2"/>
      <c r="F249" s="4"/>
      <c r="G249" s="2"/>
      <c r="H249" s="2"/>
      <c r="I249" s="2"/>
      <c r="J249" s="5"/>
      <c r="K249" s="2"/>
      <c r="L249" s="2"/>
      <c r="M249" s="2"/>
      <c r="N249" s="2"/>
      <c r="O249" s="2"/>
      <c r="P249" s="2"/>
      <c r="Q249" s="7"/>
      <c r="R249" s="224"/>
      <c r="S249" s="224"/>
      <c r="T249" s="224"/>
      <c r="U249" s="868"/>
      <c r="V249" s="865"/>
      <c r="W249" s="2"/>
      <c r="X249" s="2"/>
      <c r="Y249" s="2"/>
      <c r="Z249" s="2"/>
      <c r="AA249" s="2"/>
      <c r="AB249" s="2"/>
      <c r="AC249" s="2"/>
      <c r="AD249" s="2"/>
      <c r="AE249" s="2"/>
      <c r="AF249" s="2"/>
      <c r="AG249" s="2"/>
      <c r="AH249" s="2"/>
      <c r="AI249" s="2"/>
      <c r="AJ249" s="218"/>
      <c r="AK249" s="218"/>
      <c r="AL249" s="218"/>
      <c r="AM249" s="218"/>
    </row>
    <row r="250">
      <c r="A250" s="33"/>
      <c r="B250" s="2"/>
      <c r="C250" s="2"/>
      <c r="D250" s="2"/>
      <c r="E250" s="2"/>
      <c r="F250" s="4"/>
      <c r="G250" s="2"/>
      <c r="H250" s="2"/>
      <c r="I250" s="2"/>
      <c r="J250" s="5"/>
      <c r="K250" s="2"/>
      <c r="L250" s="2"/>
      <c r="M250" s="2"/>
      <c r="N250" s="2"/>
      <c r="O250" s="2"/>
      <c r="P250" s="2"/>
      <c r="Q250" s="7"/>
      <c r="R250" s="224"/>
      <c r="S250" s="224"/>
      <c r="T250" s="224"/>
      <c r="U250" s="868"/>
      <c r="V250" s="865"/>
      <c r="W250" s="2"/>
      <c r="X250" s="2"/>
      <c r="Y250" s="2"/>
      <c r="Z250" s="2"/>
      <c r="AA250" s="2"/>
      <c r="AB250" s="2"/>
      <c r="AC250" s="2"/>
      <c r="AD250" s="2"/>
      <c r="AE250" s="2"/>
      <c r="AF250" s="2"/>
      <c r="AG250" s="2"/>
      <c r="AH250" s="2"/>
      <c r="AI250" s="2"/>
      <c r="AJ250" s="218"/>
      <c r="AK250" s="218"/>
      <c r="AL250" s="218"/>
      <c r="AM250" s="218"/>
    </row>
    <row r="251">
      <c r="A251" s="33"/>
      <c r="B251" s="2"/>
      <c r="C251" s="2"/>
      <c r="D251" s="2"/>
      <c r="E251" s="2"/>
      <c r="F251" s="4"/>
      <c r="G251" s="2"/>
      <c r="H251" s="2"/>
      <c r="I251" s="2"/>
      <c r="J251" s="5"/>
      <c r="K251" s="2"/>
      <c r="L251" s="2"/>
      <c r="M251" s="2"/>
      <c r="N251" s="2"/>
      <c r="O251" s="2"/>
      <c r="P251" s="2"/>
      <c r="Q251" s="7"/>
      <c r="R251" s="224"/>
      <c r="S251" s="224"/>
      <c r="T251" s="224"/>
      <c r="U251" s="868"/>
      <c r="V251" s="865"/>
      <c r="W251" s="2"/>
      <c r="X251" s="2"/>
      <c r="Y251" s="2"/>
      <c r="Z251" s="2"/>
      <c r="AA251" s="2"/>
      <c r="AB251" s="2"/>
      <c r="AC251" s="2"/>
      <c r="AD251" s="2"/>
      <c r="AE251" s="2"/>
      <c r="AF251" s="2"/>
      <c r="AG251" s="2"/>
      <c r="AH251" s="2"/>
      <c r="AI251" s="2"/>
      <c r="AJ251" s="218"/>
      <c r="AK251" s="218"/>
      <c r="AL251" s="218"/>
      <c r="AM251" s="218"/>
    </row>
    <row r="252">
      <c r="A252" s="33"/>
      <c r="B252" s="2"/>
      <c r="C252" s="2"/>
      <c r="D252" s="2"/>
      <c r="E252" s="2"/>
      <c r="F252" s="4"/>
      <c r="G252" s="2"/>
      <c r="H252" s="2"/>
      <c r="I252" s="2"/>
      <c r="J252" s="5"/>
      <c r="K252" s="2"/>
      <c r="L252" s="2"/>
      <c r="M252" s="2"/>
      <c r="N252" s="2"/>
      <c r="O252" s="2"/>
      <c r="P252" s="2"/>
      <c r="Q252" s="7"/>
      <c r="R252" s="224"/>
      <c r="S252" s="224"/>
      <c r="T252" s="224"/>
      <c r="U252" s="868"/>
      <c r="V252" s="865"/>
      <c r="W252" s="2"/>
      <c r="X252" s="2"/>
      <c r="Y252" s="2"/>
      <c r="Z252" s="2"/>
      <c r="AA252" s="2"/>
      <c r="AB252" s="2"/>
      <c r="AC252" s="2"/>
      <c r="AD252" s="2"/>
      <c r="AE252" s="2"/>
      <c r="AF252" s="2"/>
      <c r="AG252" s="2"/>
      <c r="AH252" s="2"/>
      <c r="AI252" s="2"/>
      <c r="AJ252" s="218"/>
      <c r="AK252" s="218"/>
      <c r="AL252" s="218"/>
      <c r="AM252" s="218"/>
    </row>
    <row r="253">
      <c r="A253" s="33"/>
      <c r="B253" s="2"/>
      <c r="C253" s="2"/>
      <c r="D253" s="2"/>
      <c r="E253" s="2"/>
      <c r="F253" s="4"/>
      <c r="G253" s="2"/>
      <c r="H253" s="2"/>
      <c r="I253" s="2"/>
      <c r="J253" s="5"/>
      <c r="K253" s="2"/>
      <c r="L253" s="2"/>
      <c r="M253" s="2"/>
      <c r="N253" s="2"/>
      <c r="O253" s="2"/>
      <c r="P253" s="2"/>
      <c r="Q253" s="7"/>
      <c r="R253" s="224"/>
      <c r="S253" s="224"/>
      <c r="T253" s="224"/>
      <c r="U253" s="868"/>
      <c r="V253" s="865"/>
      <c r="W253" s="2"/>
      <c r="X253" s="2"/>
      <c r="Y253" s="2"/>
      <c r="Z253" s="2"/>
      <c r="AA253" s="2"/>
      <c r="AB253" s="2"/>
      <c r="AC253" s="2"/>
      <c r="AD253" s="2"/>
      <c r="AE253" s="2"/>
      <c r="AF253" s="2"/>
      <c r="AG253" s="2"/>
      <c r="AH253" s="2"/>
      <c r="AI253" s="2"/>
      <c r="AJ253" s="218"/>
      <c r="AK253" s="218"/>
      <c r="AL253" s="218"/>
      <c r="AM253" s="218"/>
    </row>
    <row r="254">
      <c r="A254" s="33"/>
      <c r="B254" s="2"/>
      <c r="C254" s="2"/>
      <c r="D254" s="2"/>
      <c r="E254" s="2"/>
      <c r="F254" s="4"/>
      <c r="G254" s="2"/>
      <c r="H254" s="2"/>
      <c r="I254" s="2"/>
      <c r="J254" s="5"/>
      <c r="K254" s="2"/>
      <c r="L254" s="2"/>
      <c r="M254" s="2"/>
      <c r="N254" s="2"/>
      <c r="O254" s="2"/>
      <c r="P254" s="2"/>
      <c r="Q254" s="7"/>
      <c r="R254" s="224"/>
      <c r="S254" s="224"/>
      <c r="T254" s="224"/>
      <c r="U254" s="868"/>
      <c r="V254" s="865"/>
      <c r="W254" s="2"/>
      <c r="X254" s="2"/>
      <c r="Y254" s="2"/>
      <c r="Z254" s="2"/>
      <c r="AA254" s="2"/>
      <c r="AB254" s="2"/>
      <c r="AC254" s="2"/>
      <c r="AD254" s="2"/>
      <c r="AE254" s="2"/>
      <c r="AF254" s="2"/>
      <c r="AG254" s="2"/>
      <c r="AH254" s="2"/>
      <c r="AI254" s="2"/>
      <c r="AJ254" s="218"/>
      <c r="AK254" s="218"/>
      <c r="AL254" s="218"/>
      <c r="AM254" s="218"/>
    </row>
    <row r="255">
      <c r="A255" s="33"/>
      <c r="B255" s="2"/>
      <c r="C255" s="2"/>
      <c r="D255" s="2"/>
      <c r="E255" s="2"/>
      <c r="F255" s="4"/>
      <c r="G255" s="2"/>
      <c r="H255" s="2"/>
      <c r="I255" s="2"/>
      <c r="J255" s="5"/>
      <c r="K255" s="2"/>
      <c r="L255" s="2"/>
      <c r="M255" s="2"/>
      <c r="N255" s="2"/>
      <c r="O255" s="2"/>
      <c r="P255" s="2"/>
      <c r="Q255" s="7"/>
      <c r="R255" s="224"/>
      <c r="S255" s="224"/>
      <c r="T255" s="224"/>
      <c r="U255" s="868"/>
      <c r="V255" s="865"/>
      <c r="W255" s="2"/>
      <c r="X255" s="2"/>
      <c r="Y255" s="2"/>
      <c r="Z255" s="2"/>
      <c r="AA255" s="2"/>
      <c r="AB255" s="2"/>
      <c r="AC255" s="2"/>
      <c r="AD255" s="2"/>
      <c r="AE255" s="2"/>
      <c r="AF255" s="2"/>
      <c r="AG255" s="2"/>
      <c r="AH255" s="2"/>
      <c r="AI255" s="2"/>
      <c r="AJ255" s="218"/>
      <c r="AK255" s="218"/>
      <c r="AL255" s="218"/>
      <c r="AM255" s="218"/>
    </row>
    <row r="256">
      <c r="A256" s="33"/>
      <c r="B256" s="2"/>
      <c r="C256" s="2"/>
      <c r="D256" s="2"/>
      <c r="E256" s="2"/>
      <c r="F256" s="4"/>
      <c r="G256" s="2"/>
      <c r="H256" s="2"/>
      <c r="I256" s="2"/>
      <c r="J256" s="5"/>
      <c r="K256" s="2"/>
      <c r="L256" s="2"/>
      <c r="M256" s="2"/>
      <c r="N256" s="2"/>
      <c r="O256" s="2"/>
      <c r="P256" s="2"/>
      <c r="Q256" s="7"/>
      <c r="R256" s="224"/>
      <c r="S256" s="224"/>
      <c r="T256" s="224"/>
      <c r="U256" s="868"/>
      <c r="V256" s="865"/>
      <c r="W256" s="2"/>
      <c r="X256" s="2"/>
      <c r="Y256" s="2"/>
      <c r="Z256" s="2"/>
      <c r="AA256" s="2"/>
      <c r="AB256" s="2"/>
      <c r="AC256" s="2"/>
      <c r="AD256" s="2"/>
      <c r="AE256" s="2"/>
      <c r="AF256" s="2"/>
      <c r="AG256" s="2"/>
      <c r="AH256" s="2"/>
      <c r="AI256" s="2"/>
      <c r="AJ256" s="218"/>
      <c r="AK256" s="218"/>
      <c r="AL256" s="218"/>
      <c r="AM256" s="218"/>
    </row>
    <row r="257">
      <c r="A257" s="33"/>
      <c r="B257" s="2"/>
      <c r="C257" s="2"/>
      <c r="D257" s="2"/>
      <c r="E257" s="2"/>
      <c r="F257" s="4"/>
      <c r="G257" s="2"/>
      <c r="H257" s="2"/>
      <c r="I257" s="2"/>
      <c r="J257" s="5"/>
      <c r="K257" s="2"/>
      <c r="L257" s="2"/>
      <c r="M257" s="2"/>
      <c r="N257" s="2"/>
      <c r="O257" s="2"/>
      <c r="P257" s="2"/>
      <c r="Q257" s="7"/>
      <c r="R257" s="224"/>
      <c r="S257" s="224"/>
      <c r="T257" s="224"/>
      <c r="U257" s="868"/>
      <c r="V257" s="865"/>
      <c r="W257" s="2"/>
      <c r="X257" s="2"/>
      <c r="Y257" s="2"/>
      <c r="Z257" s="2"/>
      <c r="AA257" s="2"/>
      <c r="AB257" s="2"/>
      <c r="AC257" s="2"/>
      <c r="AD257" s="2"/>
      <c r="AE257" s="2"/>
      <c r="AF257" s="2"/>
      <c r="AG257" s="2"/>
      <c r="AH257" s="2"/>
      <c r="AI257" s="2"/>
      <c r="AJ257" s="218"/>
      <c r="AK257" s="218"/>
      <c r="AL257" s="218"/>
      <c r="AM257" s="218"/>
    </row>
    <row r="258">
      <c r="A258" s="33"/>
      <c r="B258" s="2"/>
      <c r="C258" s="2"/>
      <c r="D258" s="2"/>
      <c r="E258" s="2"/>
      <c r="F258" s="4"/>
      <c r="G258" s="2"/>
      <c r="H258" s="2"/>
      <c r="I258" s="2"/>
      <c r="J258" s="5"/>
      <c r="K258" s="2"/>
      <c r="L258" s="2"/>
      <c r="M258" s="2"/>
      <c r="N258" s="2"/>
      <c r="O258" s="2"/>
      <c r="P258" s="2"/>
      <c r="Q258" s="7"/>
      <c r="R258" s="224"/>
      <c r="S258" s="224"/>
      <c r="T258" s="224"/>
      <c r="U258" s="868"/>
      <c r="V258" s="865"/>
      <c r="W258" s="2"/>
      <c r="X258" s="2"/>
      <c r="Y258" s="2"/>
      <c r="Z258" s="2"/>
      <c r="AA258" s="2"/>
      <c r="AB258" s="2"/>
      <c r="AC258" s="2"/>
      <c r="AD258" s="2"/>
      <c r="AE258" s="2"/>
      <c r="AF258" s="2"/>
      <c r="AG258" s="2"/>
      <c r="AH258" s="2"/>
      <c r="AI258" s="2"/>
      <c r="AJ258" s="218"/>
      <c r="AK258" s="218"/>
      <c r="AL258" s="218"/>
      <c r="AM258" s="218"/>
    </row>
    <row r="259">
      <c r="A259" s="33"/>
      <c r="B259" s="2"/>
      <c r="C259" s="2"/>
      <c r="D259" s="2"/>
      <c r="E259" s="2"/>
      <c r="F259" s="4"/>
      <c r="G259" s="2"/>
      <c r="H259" s="2"/>
      <c r="I259" s="2"/>
      <c r="J259" s="5"/>
      <c r="K259" s="2"/>
      <c r="L259" s="2"/>
      <c r="M259" s="2"/>
      <c r="N259" s="2"/>
      <c r="O259" s="2"/>
      <c r="P259" s="2"/>
      <c r="Q259" s="7"/>
      <c r="R259" s="224"/>
      <c r="S259" s="224"/>
      <c r="T259" s="224"/>
      <c r="U259" s="868"/>
      <c r="V259" s="865"/>
      <c r="W259" s="2"/>
      <c r="X259" s="2"/>
      <c r="Y259" s="2"/>
      <c r="Z259" s="2"/>
      <c r="AA259" s="2"/>
      <c r="AB259" s="2"/>
      <c r="AC259" s="2"/>
      <c r="AD259" s="2"/>
      <c r="AE259" s="2"/>
      <c r="AF259" s="2"/>
      <c r="AG259" s="2"/>
      <c r="AH259" s="2"/>
      <c r="AI259" s="2"/>
      <c r="AJ259" s="218"/>
      <c r="AK259" s="218"/>
      <c r="AL259" s="218"/>
      <c r="AM259" s="218"/>
    </row>
    <row r="260">
      <c r="A260" s="33"/>
      <c r="B260" s="2"/>
      <c r="C260" s="2"/>
      <c r="D260" s="2"/>
      <c r="E260" s="2"/>
      <c r="F260" s="4"/>
      <c r="G260" s="2"/>
      <c r="H260" s="2"/>
      <c r="I260" s="2"/>
      <c r="J260" s="5"/>
      <c r="K260" s="2"/>
      <c r="L260" s="2"/>
      <c r="M260" s="2"/>
      <c r="N260" s="2"/>
      <c r="O260" s="2"/>
      <c r="P260" s="2"/>
      <c r="Q260" s="7"/>
      <c r="R260" s="224"/>
      <c r="S260" s="224"/>
      <c r="T260" s="224"/>
      <c r="U260" s="868"/>
      <c r="V260" s="865"/>
      <c r="W260" s="2"/>
      <c r="X260" s="2"/>
      <c r="Y260" s="2"/>
      <c r="Z260" s="2"/>
      <c r="AA260" s="2"/>
      <c r="AB260" s="2"/>
      <c r="AC260" s="2"/>
      <c r="AD260" s="2"/>
      <c r="AE260" s="2"/>
      <c r="AF260" s="2"/>
      <c r="AG260" s="2"/>
      <c r="AH260" s="2"/>
      <c r="AI260" s="2"/>
      <c r="AJ260" s="218"/>
      <c r="AK260" s="218"/>
      <c r="AL260" s="218"/>
      <c r="AM260" s="218"/>
    </row>
    <row r="261">
      <c r="A261" s="33"/>
      <c r="B261" s="2"/>
      <c r="C261" s="2"/>
      <c r="D261" s="2"/>
      <c r="E261" s="2"/>
      <c r="F261" s="4"/>
      <c r="G261" s="2"/>
      <c r="H261" s="2"/>
      <c r="I261" s="2"/>
      <c r="J261" s="5"/>
      <c r="K261" s="2"/>
      <c r="L261" s="2"/>
      <c r="M261" s="2"/>
      <c r="N261" s="2"/>
      <c r="O261" s="2"/>
      <c r="P261" s="2"/>
      <c r="Q261" s="7"/>
      <c r="R261" s="224"/>
      <c r="S261" s="224"/>
      <c r="T261" s="224"/>
      <c r="U261" s="868"/>
      <c r="V261" s="865"/>
      <c r="W261" s="2"/>
      <c r="X261" s="2"/>
      <c r="Y261" s="2"/>
      <c r="Z261" s="2"/>
      <c r="AA261" s="2"/>
      <c r="AB261" s="2"/>
      <c r="AC261" s="2"/>
      <c r="AD261" s="2"/>
      <c r="AE261" s="2"/>
      <c r="AF261" s="2"/>
      <c r="AG261" s="2"/>
      <c r="AH261" s="2"/>
      <c r="AI261" s="2"/>
      <c r="AJ261" s="218"/>
      <c r="AK261" s="218"/>
      <c r="AL261" s="218"/>
      <c r="AM261" s="218"/>
    </row>
    <row r="262">
      <c r="A262" s="33"/>
      <c r="B262" s="2"/>
      <c r="C262" s="2"/>
      <c r="D262" s="2"/>
      <c r="E262" s="2"/>
      <c r="F262" s="4"/>
      <c r="G262" s="2"/>
      <c r="H262" s="2"/>
      <c r="I262" s="2"/>
      <c r="J262" s="5"/>
      <c r="K262" s="2"/>
      <c r="L262" s="2"/>
      <c r="M262" s="2"/>
      <c r="N262" s="2"/>
      <c r="O262" s="2"/>
      <c r="P262" s="2"/>
      <c r="Q262" s="7"/>
      <c r="R262" s="224"/>
      <c r="S262" s="224"/>
      <c r="T262" s="224"/>
      <c r="U262" s="868"/>
      <c r="V262" s="865"/>
      <c r="W262" s="2"/>
      <c r="X262" s="2"/>
      <c r="Y262" s="2"/>
      <c r="Z262" s="2"/>
      <c r="AA262" s="2"/>
      <c r="AB262" s="2"/>
      <c r="AC262" s="2"/>
      <c r="AD262" s="2"/>
      <c r="AE262" s="2"/>
      <c r="AF262" s="2"/>
      <c r="AG262" s="2"/>
      <c r="AH262" s="2"/>
      <c r="AI262" s="2"/>
      <c r="AJ262" s="218"/>
      <c r="AK262" s="218"/>
      <c r="AL262" s="218"/>
      <c r="AM262" s="218"/>
    </row>
    <row r="263">
      <c r="A263" s="33"/>
      <c r="B263" s="2"/>
      <c r="C263" s="2"/>
      <c r="D263" s="2"/>
      <c r="E263" s="2"/>
      <c r="F263" s="4"/>
      <c r="G263" s="2"/>
      <c r="H263" s="2"/>
      <c r="I263" s="2"/>
      <c r="J263" s="5"/>
      <c r="K263" s="2"/>
      <c r="L263" s="2"/>
      <c r="M263" s="2"/>
      <c r="N263" s="2"/>
      <c r="O263" s="2"/>
      <c r="P263" s="2"/>
      <c r="Q263" s="7"/>
      <c r="R263" s="224"/>
      <c r="S263" s="224"/>
      <c r="T263" s="224"/>
      <c r="U263" s="868"/>
      <c r="V263" s="865"/>
      <c r="W263" s="2"/>
      <c r="X263" s="2"/>
      <c r="Y263" s="2"/>
      <c r="Z263" s="2"/>
      <c r="AA263" s="2"/>
      <c r="AB263" s="2"/>
      <c r="AC263" s="2"/>
      <c r="AD263" s="2"/>
      <c r="AE263" s="2"/>
      <c r="AF263" s="2"/>
      <c r="AG263" s="2"/>
      <c r="AH263" s="2"/>
      <c r="AI263" s="2"/>
      <c r="AJ263" s="218"/>
      <c r="AK263" s="218"/>
      <c r="AL263" s="218"/>
      <c r="AM263" s="218"/>
    </row>
    <row r="264">
      <c r="A264" s="33"/>
      <c r="B264" s="2"/>
      <c r="C264" s="2"/>
      <c r="D264" s="2"/>
      <c r="E264" s="2"/>
      <c r="F264" s="4"/>
      <c r="G264" s="2"/>
      <c r="H264" s="2"/>
      <c r="I264" s="2"/>
      <c r="J264" s="5"/>
      <c r="K264" s="2"/>
      <c r="L264" s="2"/>
      <c r="M264" s="2"/>
      <c r="N264" s="2"/>
      <c r="O264" s="2"/>
      <c r="P264" s="2"/>
      <c r="Q264" s="7"/>
      <c r="R264" s="224"/>
      <c r="S264" s="224"/>
      <c r="T264" s="224"/>
      <c r="U264" s="868"/>
      <c r="V264" s="865"/>
      <c r="W264" s="2"/>
      <c r="X264" s="2"/>
      <c r="Y264" s="2"/>
      <c r="Z264" s="2"/>
      <c r="AA264" s="2"/>
      <c r="AB264" s="2"/>
      <c r="AC264" s="2"/>
      <c r="AD264" s="2"/>
      <c r="AE264" s="2"/>
      <c r="AF264" s="2"/>
      <c r="AG264" s="2"/>
      <c r="AH264" s="2"/>
      <c r="AI264" s="2"/>
      <c r="AJ264" s="218"/>
      <c r="AK264" s="218"/>
      <c r="AL264" s="218"/>
      <c r="AM264" s="218"/>
    </row>
    <row r="265">
      <c r="A265" s="33"/>
      <c r="B265" s="2"/>
      <c r="C265" s="2"/>
      <c r="D265" s="2"/>
      <c r="E265" s="2"/>
      <c r="F265" s="4"/>
      <c r="G265" s="2"/>
      <c r="H265" s="2"/>
      <c r="I265" s="2"/>
      <c r="J265" s="5"/>
      <c r="K265" s="2"/>
      <c r="L265" s="2"/>
      <c r="M265" s="2"/>
      <c r="N265" s="2"/>
      <c r="O265" s="2"/>
      <c r="P265" s="2"/>
      <c r="Q265" s="7"/>
      <c r="R265" s="224"/>
      <c r="S265" s="224"/>
      <c r="T265" s="224"/>
      <c r="U265" s="868"/>
      <c r="V265" s="865"/>
      <c r="W265" s="2"/>
      <c r="X265" s="2"/>
      <c r="Y265" s="2"/>
      <c r="Z265" s="2"/>
      <c r="AA265" s="2"/>
      <c r="AB265" s="2"/>
      <c r="AC265" s="2"/>
      <c r="AD265" s="2"/>
      <c r="AE265" s="2"/>
      <c r="AF265" s="2"/>
      <c r="AG265" s="2"/>
      <c r="AH265" s="2"/>
      <c r="AI265" s="2"/>
      <c r="AJ265" s="218"/>
      <c r="AK265" s="218"/>
      <c r="AL265" s="218"/>
      <c r="AM265" s="218"/>
    </row>
    <row r="266">
      <c r="A266" s="33"/>
      <c r="B266" s="2"/>
      <c r="C266" s="2"/>
      <c r="D266" s="2"/>
      <c r="E266" s="2"/>
      <c r="F266" s="4"/>
      <c r="G266" s="2"/>
      <c r="H266" s="2"/>
      <c r="I266" s="2"/>
      <c r="J266" s="5"/>
      <c r="K266" s="2"/>
      <c r="L266" s="2"/>
      <c r="M266" s="2"/>
      <c r="N266" s="2"/>
      <c r="O266" s="2"/>
      <c r="P266" s="2"/>
      <c r="Q266" s="7"/>
      <c r="R266" s="224"/>
      <c r="S266" s="224"/>
      <c r="T266" s="224"/>
      <c r="U266" s="868"/>
      <c r="V266" s="865"/>
      <c r="W266" s="2"/>
      <c r="X266" s="2"/>
      <c r="Y266" s="2"/>
      <c r="Z266" s="2"/>
      <c r="AA266" s="2"/>
      <c r="AB266" s="2"/>
      <c r="AC266" s="2"/>
      <c r="AD266" s="2"/>
      <c r="AE266" s="2"/>
      <c r="AF266" s="2"/>
      <c r="AG266" s="2"/>
      <c r="AH266" s="2"/>
      <c r="AI266" s="2"/>
      <c r="AJ266" s="218"/>
      <c r="AK266" s="218"/>
      <c r="AL266" s="218"/>
      <c r="AM266" s="218"/>
    </row>
    <row r="267">
      <c r="A267" s="33"/>
      <c r="B267" s="2"/>
      <c r="C267" s="2"/>
      <c r="D267" s="2"/>
      <c r="E267" s="2"/>
      <c r="F267" s="4"/>
      <c r="G267" s="2"/>
      <c r="H267" s="2"/>
      <c r="I267" s="2"/>
      <c r="J267" s="5"/>
      <c r="K267" s="2"/>
      <c r="L267" s="2"/>
      <c r="M267" s="2"/>
      <c r="N267" s="2"/>
      <c r="O267" s="2"/>
      <c r="P267" s="2"/>
      <c r="Q267" s="7"/>
      <c r="R267" s="224"/>
      <c r="S267" s="224"/>
      <c r="T267" s="224"/>
      <c r="U267" s="868"/>
      <c r="V267" s="865"/>
      <c r="W267" s="2"/>
      <c r="X267" s="2"/>
      <c r="Y267" s="2"/>
      <c r="Z267" s="2"/>
      <c r="AA267" s="2"/>
      <c r="AB267" s="2"/>
      <c r="AC267" s="2"/>
      <c r="AD267" s="2"/>
      <c r="AE267" s="2"/>
      <c r="AF267" s="2"/>
      <c r="AG267" s="2"/>
      <c r="AH267" s="2"/>
      <c r="AI267" s="2"/>
      <c r="AJ267" s="218"/>
      <c r="AK267" s="218"/>
      <c r="AL267" s="218"/>
      <c r="AM267" s="218"/>
    </row>
    <row r="268">
      <c r="A268" s="33"/>
      <c r="B268" s="2"/>
      <c r="C268" s="2"/>
      <c r="D268" s="2"/>
      <c r="E268" s="2"/>
      <c r="F268" s="4"/>
      <c r="G268" s="2"/>
      <c r="H268" s="2"/>
      <c r="I268" s="2"/>
      <c r="J268" s="5"/>
      <c r="K268" s="2"/>
      <c r="L268" s="2"/>
      <c r="M268" s="2"/>
      <c r="N268" s="2"/>
      <c r="O268" s="2"/>
      <c r="P268" s="2"/>
      <c r="Q268" s="7"/>
      <c r="R268" s="224"/>
      <c r="S268" s="224"/>
      <c r="T268" s="224"/>
      <c r="U268" s="868"/>
      <c r="V268" s="865"/>
      <c r="W268" s="2"/>
      <c r="X268" s="2"/>
      <c r="Y268" s="2"/>
      <c r="Z268" s="2"/>
      <c r="AA268" s="2"/>
      <c r="AB268" s="2"/>
      <c r="AC268" s="2"/>
      <c r="AD268" s="2"/>
      <c r="AE268" s="2"/>
      <c r="AF268" s="2"/>
      <c r="AG268" s="2"/>
      <c r="AH268" s="2"/>
      <c r="AI268" s="2"/>
      <c r="AJ268" s="218"/>
      <c r="AK268" s="218"/>
      <c r="AL268" s="218"/>
      <c r="AM268" s="218"/>
    </row>
    <row r="269">
      <c r="A269" s="33"/>
      <c r="B269" s="2"/>
      <c r="C269" s="2"/>
      <c r="D269" s="2"/>
      <c r="E269" s="2"/>
      <c r="F269" s="4"/>
      <c r="G269" s="2"/>
      <c r="H269" s="2"/>
      <c r="I269" s="2"/>
      <c r="J269" s="5"/>
      <c r="K269" s="2"/>
      <c r="L269" s="2"/>
      <c r="M269" s="2"/>
      <c r="N269" s="2"/>
      <c r="O269" s="2"/>
      <c r="P269" s="2"/>
      <c r="Q269" s="7"/>
      <c r="R269" s="224"/>
      <c r="S269" s="224"/>
      <c r="T269" s="224"/>
      <c r="U269" s="868"/>
      <c r="V269" s="865"/>
      <c r="W269" s="2"/>
      <c r="X269" s="2"/>
      <c r="Y269" s="2"/>
      <c r="Z269" s="2"/>
      <c r="AA269" s="2"/>
      <c r="AB269" s="2"/>
      <c r="AC269" s="2"/>
      <c r="AD269" s="2"/>
      <c r="AE269" s="2"/>
      <c r="AF269" s="2"/>
      <c r="AG269" s="2"/>
      <c r="AH269" s="2"/>
      <c r="AI269" s="2"/>
      <c r="AJ269" s="218"/>
      <c r="AK269" s="218"/>
      <c r="AL269" s="218"/>
      <c r="AM269" s="218"/>
    </row>
    <row r="270">
      <c r="A270" s="33"/>
      <c r="B270" s="2"/>
      <c r="C270" s="2"/>
      <c r="D270" s="2"/>
      <c r="E270" s="2"/>
      <c r="F270" s="4"/>
      <c r="G270" s="2"/>
      <c r="H270" s="2"/>
      <c r="I270" s="2"/>
      <c r="J270" s="5"/>
      <c r="K270" s="2"/>
      <c r="L270" s="2"/>
      <c r="M270" s="2"/>
      <c r="N270" s="2"/>
      <c r="O270" s="2"/>
      <c r="P270" s="2"/>
      <c r="Q270" s="7"/>
      <c r="R270" s="224"/>
      <c r="S270" s="224"/>
      <c r="T270" s="224"/>
      <c r="U270" s="868"/>
      <c r="V270" s="865"/>
      <c r="W270" s="2"/>
      <c r="X270" s="2"/>
      <c r="Y270" s="2"/>
      <c r="Z270" s="2"/>
      <c r="AA270" s="2"/>
      <c r="AB270" s="2"/>
      <c r="AC270" s="2"/>
      <c r="AD270" s="2"/>
      <c r="AE270" s="2"/>
      <c r="AF270" s="2"/>
      <c r="AG270" s="2"/>
      <c r="AH270" s="2"/>
      <c r="AI270" s="2"/>
      <c r="AJ270" s="218"/>
      <c r="AK270" s="218"/>
      <c r="AL270" s="218"/>
      <c r="AM270" s="218"/>
    </row>
    <row r="271">
      <c r="A271" s="33"/>
      <c r="B271" s="2"/>
      <c r="C271" s="2"/>
      <c r="D271" s="2"/>
      <c r="E271" s="2"/>
      <c r="F271" s="4"/>
      <c r="G271" s="2"/>
      <c r="H271" s="2"/>
      <c r="I271" s="2"/>
      <c r="J271" s="5"/>
      <c r="K271" s="2"/>
      <c r="L271" s="2"/>
      <c r="M271" s="2"/>
      <c r="N271" s="2"/>
      <c r="O271" s="2"/>
      <c r="P271" s="2"/>
      <c r="Q271" s="7"/>
      <c r="R271" s="224"/>
      <c r="S271" s="224"/>
      <c r="T271" s="224"/>
      <c r="U271" s="868"/>
      <c r="V271" s="865"/>
      <c r="W271" s="2"/>
      <c r="X271" s="2"/>
      <c r="Y271" s="2"/>
      <c r="Z271" s="2"/>
      <c r="AA271" s="2"/>
      <c r="AB271" s="2"/>
      <c r="AC271" s="2"/>
      <c r="AD271" s="2"/>
      <c r="AE271" s="2"/>
      <c r="AF271" s="2"/>
      <c r="AG271" s="2"/>
      <c r="AH271" s="2"/>
      <c r="AI271" s="2"/>
      <c r="AJ271" s="218"/>
      <c r="AK271" s="218"/>
      <c r="AL271" s="218"/>
      <c r="AM271" s="218"/>
    </row>
    <row r="272">
      <c r="A272" s="33"/>
      <c r="B272" s="2"/>
      <c r="C272" s="2"/>
      <c r="D272" s="2"/>
      <c r="E272" s="2"/>
      <c r="F272" s="4"/>
      <c r="G272" s="2"/>
      <c r="H272" s="2"/>
      <c r="I272" s="2"/>
      <c r="J272" s="5"/>
      <c r="K272" s="2"/>
      <c r="L272" s="2"/>
      <c r="M272" s="2"/>
      <c r="N272" s="2"/>
      <c r="O272" s="2"/>
      <c r="P272" s="2"/>
      <c r="Q272" s="7"/>
      <c r="R272" s="224"/>
      <c r="S272" s="224"/>
      <c r="T272" s="224"/>
      <c r="U272" s="868"/>
      <c r="V272" s="865"/>
      <c r="W272" s="2"/>
      <c r="X272" s="2"/>
      <c r="Y272" s="2"/>
      <c r="Z272" s="2"/>
      <c r="AA272" s="2"/>
      <c r="AB272" s="2"/>
      <c r="AC272" s="2"/>
      <c r="AD272" s="2"/>
      <c r="AE272" s="2"/>
      <c r="AF272" s="2"/>
      <c r="AG272" s="2"/>
      <c r="AH272" s="2"/>
      <c r="AI272" s="2"/>
      <c r="AJ272" s="218"/>
      <c r="AK272" s="218"/>
      <c r="AL272" s="218"/>
      <c r="AM272" s="218"/>
    </row>
    <row r="273">
      <c r="A273" s="33"/>
      <c r="B273" s="2"/>
      <c r="C273" s="2"/>
      <c r="D273" s="2"/>
      <c r="E273" s="2"/>
      <c r="F273" s="4"/>
      <c r="G273" s="2"/>
      <c r="H273" s="2"/>
      <c r="I273" s="2"/>
      <c r="J273" s="5"/>
      <c r="K273" s="2"/>
      <c r="L273" s="2"/>
      <c r="M273" s="2"/>
      <c r="N273" s="2"/>
      <c r="O273" s="2"/>
      <c r="P273" s="2"/>
      <c r="Q273" s="7"/>
      <c r="R273" s="224"/>
      <c r="S273" s="224"/>
      <c r="T273" s="224"/>
      <c r="U273" s="868"/>
      <c r="V273" s="865"/>
      <c r="W273" s="2"/>
      <c r="X273" s="2"/>
      <c r="Y273" s="2"/>
      <c r="Z273" s="2"/>
      <c r="AA273" s="2"/>
      <c r="AB273" s="2"/>
      <c r="AC273" s="2"/>
      <c r="AD273" s="2"/>
      <c r="AE273" s="2"/>
      <c r="AF273" s="2"/>
      <c r="AG273" s="2"/>
      <c r="AH273" s="2"/>
      <c r="AI273" s="2"/>
      <c r="AJ273" s="218"/>
      <c r="AK273" s="218"/>
      <c r="AL273" s="218"/>
      <c r="AM273" s="218"/>
    </row>
    <row r="274">
      <c r="A274" s="33"/>
      <c r="B274" s="2"/>
      <c r="C274" s="2"/>
      <c r="D274" s="2"/>
      <c r="E274" s="2"/>
      <c r="F274" s="4"/>
      <c r="G274" s="2"/>
      <c r="H274" s="2"/>
      <c r="I274" s="2"/>
      <c r="J274" s="5"/>
      <c r="K274" s="2"/>
      <c r="L274" s="2"/>
      <c r="M274" s="2"/>
      <c r="N274" s="2"/>
      <c r="O274" s="2"/>
      <c r="P274" s="2"/>
      <c r="Q274" s="7"/>
      <c r="R274" s="224"/>
      <c r="S274" s="224"/>
      <c r="T274" s="224"/>
      <c r="U274" s="868"/>
      <c r="V274" s="865"/>
      <c r="W274" s="2"/>
      <c r="X274" s="2"/>
      <c r="Y274" s="2"/>
      <c r="Z274" s="2"/>
      <c r="AA274" s="2"/>
      <c r="AB274" s="2"/>
      <c r="AC274" s="2"/>
      <c r="AD274" s="2"/>
      <c r="AE274" s="2"/>
      <c r="AF274" s="2"/>
      <c r="AG274" s="2"/>
      <c r="AH274" s="2"/>
      <c r="AI274" s="2"/>
      <c r="AJ274" s="218"/>
      <c r="AK274" s="218"/>
      <c r="AL274" s="218"/>
      <c r="AM274" s="218"/>
    </row>
    <row r="275">
      <c r="A275" s="33"/>
      <c r="B275" s="2"/>
      <c r="C275" s="2"/>
      <c r="D275" s="2"/>
      <c r="E275" s="2"/>
      <c r="F275" s="4"/>
      <c r="G275" s="2"/>
      <c r="H275" s="2"/>
      <c r="I275" s="2"/>
      <c r="J275" s="5"/>
      <c r="K275" s="2"/>
      <c r="L275" s="2"/>
      <c r="M275" s="2"/>
      <c r="N275" s="2"/>
      <c r="O275" s="2"/>
      <c r="P275" s="2"/>
      <c r="Q275" s="7"/>
      <c r="R275" s="224"/>
      <c r="S275" s="224"/>
      <c r="T275" s="224"/>
      <c r="U275" s="868"/>
      <c r="V275" s="865"/>
      <c r="W275" s="2"/>
      <c r="X275" s="2"/>
      <c r="Y275" s="2"/>
      <c r="Z275" s="2"/>
      <c r="AA275" s="2"/>
      <c r="AB275" s="2"/>
      <c r="AC275" s="2"/>
      <c r="AD275" s="2"/>
      <c r="AE275" s="2"/>
      <c r="AF275" s="2"/>
      <c r="AG275" s="2"/>
      <c r="AH275" s="2"/>
      <c r="AI275" s="2"/>
      <c r="AJ275" s="218"/>
      <c r="AK275" s="218"/>
      <c r="AL275" s="218"/>
      <c r="AM275" s="218"/>
    </row>
    <row r="276">
      <c r="A276" s="33"/>
      <c r="B276" s="2"/>
      <c r="C276" s="2"/>
      <c r="D276" s="2"/>
      <c r="E276" s="2"/>
      <c r="F276" s="4"/>
      <c r="G276" s="2"/>
      <c r="H276" s="2"/>
      <c r="I276" s="2"/>
      <c r="J276" s="5"/>
      <c r="K276" s="2"/>
      <c r="L276" s="2"/>
      <c r="M276" s="2"/>
      <c r="N276" s="2"/>
      <c r="O276" s="2"/>
      <c r="P276" s="2"/>
      <c r="Q276" s="7"/>
      <c r="R276" s="224"/>
      <c r="S276" s="224"/>
      <c r="T276" s="224"/>
      <c r="U276" s="868"/>
      <c r="V276" s="865"/>
      <c r="W276" s="2"/>
      <c r="X276" s="2"/>
      <c r="Y276" s="2"/>
      <c r="Z276" s="2"/>
      <c r="AA276" s="2"/>
      <c r="AB276" s="2"/>
      <c r="AC276" s="2"/>
      <c r="AD276" s="2"/>
      <c r="AE276" s="2"/>
      <c r="AF276" s="2"/>
      <c r="AG276" s="2"/>
      <c r="AH276" s="2"/>
      <c r="AI276" s="2"/>
      <c r="AJ276" s="218"/>
      <c r="AK276" s="218"/>
      <c r="AL276" s="218"/>
      <c r="AM276" s="218"/>
    </row>
    <row r="277">
      <c r="A277" s="33"/>
      <c r="B277" s="2"/>
      <c r="C277" s="2"/>
      <c r="D277" s="2"/>
      <c r="E277" s="2"/>
      <c r="F277" s="4"/>
      <c r="G277" s="2"/>
      <c r="H277" s="2"/>
      <c r="I277" s="2"/>
      <c r="J277" s="5"/>
      <c r="K277" s="2"/>
      <c r="L277" s="2"/>
      <c r="M277" s="2"/>
      <c r="N277" s="2"/>
      <c r="O277" s="2"/>
      <c r="P277" s="2"/>
      <c r="Q277" s="7"/>
      <c r="R277" s="224"/>
      <c r="S277" s="224"/>
      <c r="T277" s="224"/>
      <c r="U277" s="868"/>
      <c r="V277" s="865"/>
      <c r="W277" s="2"/>
      <c r="X277" s="2"/>
      <c r="Y277" s="2"/>
      <c r="Z277" s="2"/>
      <c r="AA277" s="2"/>
      <c r="AB277" s="2"/>
      <c r="AC277" s="2"/>
      <c r="AD277" s="2"/>
      <c r="AE277" s="2"/>
      <c r="AF277" s="2"/>
      <c r="AG277" s="2"/>
      <c r="AH277" s="2"/>
      <c r="AI277" s="2"/>
      <c r="AJ277" s="218"/>
      <c r="AK277" s="218"/>
      <c r="AL277" s="218"/>
      <c r="AM277" s="218"/>
    </row>
    <row r="278">
      <c r="A278" s="33"/>
      <c r="B278" s="2"/>
      <c r="C278" s="2"/>
      <c r="D278" s="2"/>
      <c r="E278" s="2"/>
      <c r="F278" s="4"/>
      <c r="G278" s="2"/>
      <c r="H278" s="2"/>
      <c r="I278" s="2"/>
      <c r="J278" s="5"/>
      <c r="K278" s="2"/>
      <c r="L278" s="2"/>
      <c r="M278" s="2"/>
      <c r="N278" s="2"/>
      <c r="O278" s="2"/>
      <c r="P278" s="2"/>
      <c r="Q278" s="7"/>
      <c r="R278" s="224"/>
      <c r="S278" s="224"/>
      <c r="T278" s="224"/>
      <c r="U278" s="868"/>
      <c r="V278" s="865"/>
      <c r="W278" s="2"/>
      <c r="X278" s="2"/>
      <c r="Y278" s="2"/>
      <c r="Z278" s="2"/>
      <c r="AA278" s="2"/>
      <c r="AB278" s="2"/>
      <c r="AC278" s="2"/>
      <c r="AD278" s="2"/>
      <c r="AE278" s="2"/>
      <c r="AF278" s="2"/>
      <c r="AG278" s="2"/>
      <c r="AH278" s="2"/>
      <c r="AI278" s="2"/>
      <c r="AJ278" s="218"/>
      <c r="AK278" s="218"/>
      <c r="AL278" s="218"/>
      <c r="AM278" s="218"/>
    </row>
    <row r="279">
      <c r="A279" s="33"/>
      <c r="B279" s="2"/>
      <c r="C279" s="2"/>
      <c r="D279" s="2"/>
      <c r="E279" s="2"/>
      <c r="F279" s="4"/>
      <c r="G279" s="2"/>
      <c r="H279" s="2"/>
      <c r="I279" s="2"/>
      <c r="J279" s="5"/>
      <c r="K279" s="2"/>
      <c r="L279" s="2"/>
      <c r="M279" s="2"/>
      <c r="N279" s="2"/>
      <c r="O279" s="2"/>
      <c r="P279" s="2"/>
      <c r="Q279" s="7"/>
      <c r="R279" s="224"/>
      <c r="S279" s="224"/>
      <c r="T279" s="224"/>
      <c r="U279" s="868"/>
      <c r="V279" s="865"/>
      <c r="W279" s="2"/>
      <c r="X279" s="2"/>
      <c r="Y279" s="2"/>
      <c r="Z279" s="2"/>
      <c r="AA279" s="2"/>
      <c r="AB279" s="2"/>
      <c r="AC279" s="2"/>
      <c r="AD279" s="2"/>
      <c r="AE279" s="2"/>
      <c r="AF279" s="2"/>
      <c r="AG279" s="2"/>
      <c r="AH279" s="2"/>
      <c r="AI279" s="2"/>
      <c r="AJ279" s="218"/>
      <c r="AK279" s="218"/>
      <c r="AL279" s="218"/>
      <c r="AM279" s="218"/>
    </row>
    <row r="280">
      <c r="A280" s="33"/>
      <c r="B280" s="2"/>
      <c r="C280" s="2"/>
      <c r="D280" s="2"/>
      <c r="E280" s="2"/>
      <c r="F280" s="4"/>
      <c r="G280" s="2"/>
      <c r="H280" s="2"/>
      <c r="I280" s="2"/>
      <c r="J280" s="5"/>
      <c r="K280" s="2"/>
      <c r="L280" s="2"/>
      <c r="M280" s="2"/>
      <c r="N280" s="2"/>
      <c r="O280" s="2"/>
      <c r="P280" s="2"/>
      <c r="Q280" s="7"/>
      <c r="R280" s="224"/>
      <c r="S280" s="224"/>
      <c r="T280" s="224"/>
      <c r="U280" s="868"/>
      <c r="V280" s="865"/>
      <c r="W280" s="2"/>
      <c r="X280" s="2"/>
      <c r="Y280" s="2"/>
      <c r="Z280" s="2"/>
      <c r="AA280" s="2"/>
      <c r="AB280" s="2"/>
      <c r="AC280" s="2"/>
      <c r="AD280" s="2"/>
      <c r="AE280" s="2"/>
      <c r="AF280" s="2"/>
      <c r="AG280" s="2"/>
      <c r="AH280" s="2"/>
      <c r="AI280" s="2"/>
      <c r="AJ280" s="218"/>
      <c r="AK280" s="218"/>
      <c r="AL280" s="218"/>
      <c r="AM280" s="218"/>
    </row>
    <row r="281">
      <c r="A281" s="33"/>
      <c r="B281" s="2"/>
      <c r="C281" s="2"/>
      <c r="D281" s="2"/>
      <c r="E281" s="2"/>
      <c r="F281" s="4"/>
      <c r="G281" s="2"/>
      <c r="H281" s="2"/>
      <c r="I281" s="2"/>
      <c r="J281" s="5"/>
      <c r="K281" s="2"/>
      <c r="L281" s="2"/>
      <c r="M281" s="2"/>
      <c r="N281" s="2"/>
      <c r="O281" s="2"/>
      <c r="P281" s="2"/>
      <c r="Q281" s="7"/>
      <c r="R281" s="224"/>
      <c r="S281" s="224"/>
      <c r="T281" s="224"/>
      <c r="U281" s="868"/>
      <c r="V281" s="865"/>
      <c r="W281" s="2"/>
      <c r="X281" s="2"/>
      <c r="Y281" s="2"/>
      <c r="Z281" s="2"/>
      <c r="AA281" s="2"/>
      <c r="AB281" s="2"/>
      <c r="AC281" s="2"/>
      <c r="AD281" s="2"/>
      <c r="AE281" s="2"/>
      <c r="AF281" s="2"/>
      <c r="AG281" s="2"/>
      <c r="AH281" s="2"/>
      <c r="AI281" s="2"/>
      <c r="AJ281" s="218"/>
      <c r="AK281" s="218"/>
      <c r="AL281" s="218"/>
      <c r="AM281" s="218"/>
    </row>
    <row r="282">
      <c r="A282" s="33"/>
      <c r="B282" s="2"/>
      <c r="C282" s="2"/>
      <c r="D282" s="2"/>
      <c r="E282" s="2"/>
      <c r="F282" s="4"/>
      <c r="G282" s="2"/>
      <c r="H282" s="2"/>
      <c r="I282" s="2"/>
      <c r="J282" s="5"/>
      <c r="K282" s="2"/>
      <c r="L282" s="2"/>
      <c r="M282" s="2"/>
      <c r="N282" s="2"/>
      <c r="O282" s="2"/>
      <c r="P282" s="2"/>
      <c r="Q282" s="7"/>
      <c r="R282" s="224"/>
      <c r="S282" s="224"/>
      <c r="T282" s="224"/>
      <c r="U282" s="868"/>
      <c r="V282" s="865"/>
      <c r="W282" s="2"/>
      <c r="X282" s="2"/>
      <c r="Y282" s="2"/>
      <c r="Z282" s="2"/>
      <c r="AA282" s="2"/>
      <c r="AB282" s="2"/>
      <c r="AC282" s="2"/>
      <c r="AD282" s="2"/>
      <c r="AE282" s="2"/>
      <c r="AF282" s="2"/>
      <c r="AG282" s="2"/>
      <c r="AH282" s="2"/>
      <c r="AI282" s="2"/>
      <c r="AJ282" s="218"/>
      <c r="AK282" s="218"/>
      <c r="AL282" s="218"/>
      <c r="AM282" s="218"/>
    </row>
    <row r="283">
      <c r="A283" s="33"/>
      <c r="B283" s="2"/>
      <c r="C283" s="2"/>
      <c r="D283" s="2"/>
      <c r="E283" s="2"/>
      <c r="F283" s="4"/>
      <c r="G283" s="2"/>
      <c r="H283" s="2"/>
      <c r="I283" s="2"/>
      <c r="J283" s="5"/>
      <c r="K283" s="2"/>
      <c r="L283" s="2"/>
      <c r="M283" s="2"/>
      <c r="N283" s="2"/>
      <c r="O283" s="2"/>
      <c r="P283" s="2"/>
      <c r="Q283" s="7"/>
      <c r="R283" s="224"/>
      <c r="S283" s="224"/>
      <c r="T283" s="224"/>
      <c r="U283" s="868"/>
      <c r="V283" s="865"/>
      <c r="W283" s="2"/>
      <c r="X283" s="2"/>
      <c r="Y283" s="2"/>
      <c r="Z283" s="2"/>
      <c r="AA283" s="2"/>
      <c r="AB283" s="2"/>
      <c r="AC283" s="2"/>
      <c r="AD283" s="2"/>
      <c r="AE283" s="2"/>
      <c r="AF283" s="2"/>
      <c r="AG283" s="2"/>
      <c r="AH283" s="2"/>
      <c r="AI283" s="2"/>
      <c r="AJ283" s="218"/>
      <c r="AK283" s="218"/>
      <c r="AL283" s="218"/>
      <c r="AM283" s="218"/>
    </row>
    <row r="284">
      <c r="A284" s="33"/>
      <c r="B284" s="2"/>
      <c r="C284" s="2"/>
      <c r="D284" s="2"/>
      <c r="E284" s="2"/>
      <c r="F284" s="4"/>
      <c r="G284" s="2"/>
      <c r="H284" s="2"/>
      <c r="I284" s="2"/>
      <c r="J284" s="5"/>
      <c r="K284" s="2"/>
      <c r="L284" s="2"/>
      <c r="M284" s="2"/>
      <c r="N284" s="2"/>
      <c r="O284" s="2"/>
      <c r="P284" s="2"/>
      <c r="Q284" s="7"/>
      <c r="R284" s="224"/>
      <c r="S284" s="224"/>
      <c r="T284" s="224"/>
      <c r="U284" s="868"/>
      <c r="V284" s="865"/>
      <c r="W284" s="2"/>
      <c r="X284" s="2"/>
      <c r="Y284" s="2"/>
      <c r="Z284" s="2"/>
      <c r="AA284" s="2"/>
      <c r="AB284" s="2"/>
      <c r="AC284" s="2"/>
      <c r="AD284" s="2"/>
      <c r="AE284" s="2"/>
      <c r="AF284" s="2"/>
      <c r="AG284" s="2"/>
      <c r="AH284" s="2"/>
      <c r="AI284" s="2"/>
      <c r="AJ284" s="218"/>
      <c r="AK284" s="218"/>
      <c r="AL284" s="218"/>
      <c r="AM284" s="218"/>
    </row>
    <row r="285">
      <c r="A285" s="33"/>
      <c r="B285" s="2"/>
      <c r="C285" s="2"/>
      <c r="D285" s="2"/>
      <c r="E285" s="2"/>
      <c r="F285" s="4"/>
      <c r="G285" s="2"/>
      <c r="H285" s="2"/>
      <c r="I285" s="2"/>
      <c r="J285" s="5"/>
      <c r="K285" s="2"/>
      <c r="L285" s="2"/>
      <c r="M285" s="2"/>
      <c r="N285" s="2"/>
      <c r="O285" s="2"/>
      <c r="P285" s="2"/>
      <c r="Q285" s="7"/>
      <c r="R285" s="224"/>
      <c r="S285" s="224"/>
      <c r="T285" s="224"/>
      <c r="U285" s="868"/>
      <c r="V285" s="865"/>
      <c r="W285" s="2"/>
      <c r="X285" s="2"/>
      <c r="Y285" s="2"/>
      <c r="Z285" s="2"/>
      <c r="AA285" s="2"/>
      <c r="AB285" s="2"/>
      <c r="AC285" s="2"/>
      <c r="AD285" s="2"/>
      <c r="AE285" s="2"/>
      <c r="AF285" s="2"/>
      <c r="AG285" s="2"/>
      <c r="AH285" s="2"/>
      <c r="AI285" s="2"/>
      <c r="AJ285" s="218"/>
      <c r="AK285" s="218"/>
      <c r="AL285" s="218"/>
      <c r="AM285" s="218"/>
    </row>
    <row r="286">
      <c r="A286" s="33"/>
      <c r="B286" s="2"/>
      <c r="C286" s="2"/>
      <c r="D286" s="2"/>
      <c r="E286" s="2"/>
      <c r="F286" s="4"/>
      <c r="G286" s="2"/>
      <c r="H286" s="2"/>
      <c r="I286" s="2"/>
      <c r="J286" s="5"/>
      <c r="K286" s="2"/>
      <c r="L286" s="2"/>
      <c r="M286" s="2"/>
      <c r="N286" s="2"/>
      <c r="O286" s="2"/>
      <c r="P286" s="2"/>
      <c r="Q286" s="7"/>
      <c r="R286" s="224"/>
      <c r="S286" s="224"/>
      <c r="T286" s="224"/>
      <c r="U286" s="868"/>
      <c r="V286" s="865"/>
      <c r="W286" s="2"/>
      <c r="X286" s="2"/>
      <c r="Y286" s="2"/>
      <c r="Z286" s="2"/>
      <c r="AA286" s="2"/>
      <c r="AB286" s="2"/>
      <c r="AC286" s="2"/>
      <c r="AD286" s="2"/>
      <c r="AE286" s="2"/>
      <c r="AF286" s="2"/>
      <c r="AG286" s="2"/>
      <c r="AH286" s="2"/>
      <c r="AI286" s="2"/>
      <c r="AJ286" s="218"/>
      <c r="AK286" s="218"/>
      <c r="AL286" s="218"/>
      <c r="AM286" s="218"/>
    </row>
    <row r="287">
      <c r="A287" s="33"/>
      <c r="B287" s="2"/>
      <c r="C287" s="2"/>
      <c r="D287" s="2"/>
      <c r="E287" s="2"/>
      <c r="F287" s="4"/>
      <c r="G287" s="2"/>
      <c r="H287" s="2"/>
      <c r="I287" s="2"/>
      <c r="J287" s="5"/>
      <c r="K287" s="2"/>
      <c r="L287" s="2"/>
      <c r="M287" s="2"/>
      <c r="N287" s="2"/>
      <c r="O287" s="2"/>
      <c r="P287" s="2"/>
      <c r="Q287" s="7"/>
      <c r="R287" s="224"/>
      <c r="S287" s="224"/>
      <c r="T287" s="224"/>
      <c r="U287" s="868"/>
      <c r="V287" s="865"/>
      <c r="W287" s="2"/>
      <c r="X287" s="2"/>
      <c r="Y287" s="2"/>
      <c r="Z287" s="2"/>
      <c r="AA287" s="2"/>
      <c r="AB287" s="2"/>
      <c r="AC287" s="2"/>
      <c r="AD287" s="2"/>
      <c r="AE287" s="2"/>
      <c r="AF287" s="2"/>
      <c r="AG287" s="2"/>
      <c r="AH287" s="2"/>
      <c r="AI287" s="2"/>
      <c r="AJ287" s="218"/>
      <c r="AK287" s="218"/>
      <c r="AL287" s="218"/>
      <c r="AM287" s="218"/>
    </row>
    <row r="288">
      <c r="A288" s="33"/>
      <c r="B288" s="2"/>
      <c r="C288" s="2"/>
      <c r="D288" s="2"/>
      <c r="E288" s="2"/>
      <c r="F288" s="4"/>
      <c r="G288" s="2"/>
      <c r="H288" s="2"/>
      <c r="I288" s="2"/>
      <c r="J288" s="5"/>
      <c r="K288" s="2"/>
      <c r="L288" s="2"/>
      <c r="M288" s="2"/>
      <c r="N288" s="2"/>
      <c r="O288" s="2"/>
      <c r="P288" s="2"/>
      <c r="Q288" s="7"/>
      <c r="R288" s="224"/>
      <c r="S288" s="224"/>
      <c r="T288" s="224"/>
      <c r="U288" s="868"/>
      <c r="V288" s="865"/>
      <c r="W288" s="2"/>
      <c r="X288" s="2"/>
      <c r="Y288" s="2"/>
      <c r="Z288" s="2"/>
      <c r="AA288" s="2"/>
      <c r="AB288" s="2"/>
      <c r="AC288" s="2"/>
      <c r="AD288" s="2"/>
      <c r="AE288" s="2"/>
      <c r="AF288" s="2"/>
      <c r="AG288" s="2"/>
      <c r="AH288" s="2"/>
      <c r="AI288" s="2"/>
      <c r="AJ288" s="218"/>
      <c r="AK288" s="218"/>
      <c r="AL288" s="218"/>
      <c r="AM288" s="218"/>
    </row>
    <row r="289">
      <c r="A289" s="33"/>
      <c r="B289" s="2"/>
      <c r="C289" s="2"/>
      <c r="D289" s="2"/>
      <c r="E289" s="2"/>
      <c r="F289" s="4"/>
      <c r="G289" s="2"/>
      <c r="H289" s="2"/>
      <c r="I289" s="2"/>
      <c r="J289" s="5"/>
      <c r="K289" s="2"/>
      <c r="L289" s="2"/>
      <c r="M289" s="2"/>
      <c r="N289" s="2"/>
      <c r="O289" s="2"/>
      <c r="P289" s="2"/>
      <c r="Q289" s="7"/>
      <c r="R289" s="224"/>
      <c r="S289" s="224"/>
      <c r="T289" s="224"/>
      <c r="U289" s="868"/>
      <c r="V289" s="865"/>
      <c r="W289" s="2"/>
      <c r="X289" s="2"/>
      <c r="Y289" s="2"/>
      <c r="Z289" s="2"/>
      <c r="AA289" s="2"/>
      <c r="AB289" s="2"/>
      <c r="AC289" s="2"/>
      <c r="AD289" s="2"/>
      <c r="AE289" s="2"/>
      <c r="AF289" s="2"/>
      <c r="AG289" s="2"/>
      <c r="AH289" s="2"/>
      <c r="AI289" s="2"/>
      <c r="AJ289" s="218"/>
      <c r="AK289" s="218"/>
      <c r="AL289" s="218"/>
      <c r="AM289" s="218"/>
    </row>
    <row r="290">
      <c r="A290" s="33"/>
      <c r="B290" s="2"/>
      <c r="C290" s="2"/>
      <c r="D290" s="2"/>
      <c r="E290" s="2"/>
      <c r="F290" s="4"/>
      <c r="G290" s="2"/>
      <c r="H290" s="2"/>
      <c r="I290" s="2"/>
      <c r="J290" s="5"/>
      <c r="K290" s="2"/>
      <c r="L290" s="2"/>
      <c r="M290" s="2"/>
      <c r="N290" s="2"/>
      <c r="O290" s="2"/>
      <c r="P290" s="2"/>
      <c r="Q290" s="7"/>
      <c r="R290" s="224"/>
      <c r="S290" s="224"/>
      <c r="T290" s="224"/>
      <c r="U290" s="868"/>
      <c r="V290" s="865"/>
      <c r="W290" s="2"/>
      <c r="X290" s="2"/>
      <c r="Y290" s="2"/>
      <c r="Z290" s="2"/>
      <c r="AA290" s="2"/>
      <c r="AB290" s="2"/>
      <c r="AC290" s="2"/>
      <c r="AD290" s="2"/>
      <c r="AE290" s="2"/>
      <c r="AF290" s="2"/>
      <c r="AG290" s="2"/>
      <c r="AH290" s="2"/>
      <c r="AI290" s="2"/>
      <c r="AJ290" s="218"/>
      <c r="AK290" s="218"/>
      <c r="AL290" s="218"/>
      <c r="AM290" s="218"/>
    </row>
    <row r="291">
      <c r="A291" s="33"/>
      <c r="B291" s="2"/>
      <c r="C291" s="2"/>
      <c r="D291" s="2"/>
      <c r="E291" s="2"/>
      <c r="F291" s="4"/>
      <c r="G291" s="2"/>
      <c r="H291" s="2"/>
      <c r="I291" s="2"/>
      <c r="J291" s="5"/>
      <c r="K291" s="2"/>
      <c r="L291" s="2"/>
      <c r="M291" s="2"/>
      <c r="N291" s="2"/>
      <c r="O291" s="2"/>
      <c r="P291" s="2"/>
      <c r="Q291" s="7"/>
      <c r="R291" s="224"/>
      <c r="S291" s="224"/>
      <c r="T291" s="224"/>
      <c r="U291" s="868"/>
      <c r="V291" s="865"/>
      <c r="W291" s="2"/>
      <c r="X291" s="2"/>
      <c r="Y291" s="2"/>
      <c r="Z291" s="2"/>
      <c r="AA291" s="2"/>
      <c r="AB291" s="2"/>
      <c r="AC291" s="2"/>
      <c r="AD291" s="2"/>
      <c r="AE291" s="2"/>
      <c r="AF291" s="2"/>
      <c r="AG291" s="2"/>
      <c r="AH291" s="2"/>
      <c r="AI291" s="2"/>
      <c r="AJ291" s="218"/>
      <c r="AK291" s="218"/>
      <c r="AL291" s="218"/>
      <c r="AM291" s="218"/>
    </row>
    <row r="292">
      <c r="A292" s="33"/>
      <c r="B292" s="2"/>
      <c r="C292" s="2"/>
      <c r="D292" s="2"/>
      <c r="E292" s="2"/>
      <c r="F292" s="4"/>
      <c r="G292" s="2"/>
      <c r="H292" s="2"/>
      <c r="I292" s="2"/>
      <c r="J292" s="5"/>
      <c r="K292" s="2"/>
      <c r="L292" s="2"/>
      <c r="M292" s="2"/>
      <c r="N292" s="2"/>
      <c r="O292" s="2"/>
      <c r="P292" s="2"/>
      <c r="Q292" s="7"/>
      <c r="R292" s="224"/>
      <c r="S292" s="224"/>
      <c r="T292" s="224"/>
      <c r="U292" s="868"/>
      <c r="V292" s="865"/>
      <c r="W292" s="2"/>
      <c r="X292" s="2"/>
      <c r="Y292" s="2"/>
      <c r="Z292" s="2"/>
      <c r="AA292" s="2"/>
      <c r="AB292" s="2"/>
      <c r="AC292" s="2"/>
      <c r="AD292" s="2"/>
      <c r="AE292" s="2"/>
      <c r="AF292" s="2"/>
      <c r="AG292" s="2"/>
      <c r="AH292" s="2"/>
      <c r="AI292" s="2"/>
      <c r="AJ292" s="218"/>
      <c r="AK292" s="218"/>
      <c r="AL292" s="218"/>
      <c r="AM292" s="218"/>
    </row>
    <row r="293">
      <c r="A293" s="33"/>
      <c r="B293" s="2"/>
      <c r="C293" s="2"/>
      <c r="D293" s="2"/>
      <c r="E293" s="2"/>
      <c r="F293" s="4"/>
      <c r="G293" s="2"/>
      <c r="H293" s="2"/>
      <c r="I293" s="2"/>
      <c r="J293" s="5"/>
      <c r="K293" s="2"/>
      <c r="L293" s="2"/>
      <c r="M293" s="2"/>
      <c r="N293" s="2"/>
      <c r="O293" s="2"/>
      <c r="P293" s="2"/>
      <c r="Q293" s="7"/>
      <c r="R293" s="224"/>
      <c r="S293" s="224"/>
      <c r="T293" s="224"/>
      <c r="U293" s="868"/>
      <c r="V293" s="865"/>
      <c r="W293" s="2"/>
      <c r="X293" s="2"/>
      <c r="Y293" s="2"/>
      <c r="Z293" s="2"/>
      <c r="AA293" s="2"/>
      <c r="AB293" s="2"/>
      <c r="AC293" s="2"/>
      <c r="AD293" s="2"/>
      <c r="AE293" s="2"/>
      <c r="AF293" s="2"/>
      <c r="AG293" s="2"/>
      <c r="AH293" s="2"/>
      <c r="AI293" s="2"/>
      <c r="AJ293" s="218"/>
      <c r="AK293" s="218"/>
      <c r="AL293" s="218"/>
      <c r="AM293" s="218"/>
    </row>
    <row r="294">
      <c r="A294" s="33"/>
      <c r="B294" s="2"/>
      <c r="C294" s="2"/>
      <c r="D294" s="2"/>
      <c r="E294" s="2"/>
      <c r="F294" s="4"/>
      <c r="G294" s="2"/>
      <c r="H294" s="2"/>
      <c r="I294" s="2"/>
      <c r="J294" s="5"/>
      <c r="K294" s="2"/>
      <c r="L294" s="2"/>
      <c r="M294" s="2"/>
      <c r="N294" s="2"/>
      <c r="O294" s="2"/>
      <c r="P294" s="2"/>
      <c r="Q294" s="7"/>
      <c r="R294" s="224"/>
      <c r="S294" s="224"/>
      <c r="T294" s="224"/>
      <c r="U294" s="868"/>
      <c r="V294" s="865"/>
      <c r="W294" s="2"/>
      <c r="X294" s="2"/>
      <c r="Y294" s="2"/>
      <c r="Z294" s="2"/>
      <c r="AA294" s="2"/>
      <c r="AB294" s="2"/>
      <c r="AC294" s="2"/>
      <c r="AD294" s="2"/>
      <c r="AE294" s="2"/>
      <c r="AF294" s="2"/>
      <c r="AG294" s="2"/>
      <c r="AH294" s="2"/>
      <c r="AI294" s="2"/>
      <c r="AJ294" s="218"/>
      <c r="AK294" s="218"/>
      <c r="AL294" s="218"/>
      <c r="AM294" s="218"/>
    </row>
    <row r="295">
      <c r="A295" s="33"/>
      <c r="B295" s="2"/>
      <c r="C295" s="2"/>
      <c r="D295" s="2"/>
      <c r="E295" s="2"/>
      <c r="F295" s="4"/>
      <c r="G295" s="2"/>
      <c r="H295" s="2"/>
      <c r="I295" s="2"/>
      <c r="J295" s="5"/>
      <c r="K295" s="2"/>
      <c r="L295" s="2"/>
      <c r="M295" s="2"/>
      <c r="N295" s="2"/>
      <c r="O295" s="2"/>
      <c r="P295" s="2"/>
      <c r="Q295" s="7"/>
      <c r="R295" s="224"/>
      <c r="S295" s="224"/>
      <c r="T295" s="224"/>
      <c r="U295" s="868"/>
      <c r="V295" s="865"/>
      <c r="W295" s="2"/>
      <c r="X295" s="2"/>
      <c r="Y295" s="2"/>
      <c r="Z295" s="2"/>
      <c r="AA295" s="2"/>
      <c r="AB295" s="2"/>
      <c r="AC295" s="2"/>
      <c r="AD295" s="2"/>
      <c r="AE295" s="2"/>
      <c r="AF295" s="2"/>
      <c r="AG295" s="2"/>
      <c r="AH295" s="2"/>
      <c r="AI295" s="2"/>
      <c r="AJ295" s="218"/>
      <c r="AK295" s="218"/>
      <c r="AL295" s="218"/>
      <c r="AM295" s="218"/>
    </row>
    <row r="296">
      <c r="A296" s="33"/>
      <c r="B296" s="2"/>
      <c r="C296" s="2"/>
      <c r="D296" s="2"/>
      <c r="E296" s="2"/>
      <c r="F296" s="4"/>
      <c r="G296" s="2"/>
      <c r="H296" s="2"/>
      <c r="I296" s="2"/>
      <c r="J296" s="5"/>
      <c r="K296" s="2"/>
      <c r="L296" s="2"/>
      <c r="M296" s="2"/>
      <c r="N296" s="2"/>
      <c r="O296" s="2"/>
      <c r="P296" s="2"/>
      <c r="Q296" s="7"/>
      <c r="R296" s="224"/>
      <c r="S296" s="224"/>
      <c r="T296" s="224"/>
      <c r="U296" s="868"/>
      <c r="V296" s="865"/>
      <c r="W296" s="2"/>
      <c r="X296" s="2"/>
      <c r="Y296" s="2"/>
      <c r="Z296" s="2"/>
      <c r="AA296" s="2"/>
      <c r="AB296" s="2"/>
      <c r="AC296" s="2"/>
      <c r="AD296" s="2"/>
      <c r="AE296" s="2"/>
      <c r="AF296" s="2"/>
      <c r="AG296" s="2"/>
      <c r="AH296" s="2"/>
      <c r="AI296" s="2"/>
      <c r="AJ296" s="218"/>
      <c r="AK296" s="218"/>
      <c r="AL296" s="218"/>
      <c r="AM296" s="218"/>
    </row>
    <row r="297">
      <c r="A297" s="33"/>
      <c r="B297" s="2"/>
      <c r="C297" s="2"/>
      <c r="D297" s="2"/>
      <c r="E297" s="2"/>
      <c r="F297" s="4"/>
      <c r="G297" s="2"/>
      <c r="H297" s="2"/>
      <c r="I297" s="2"/>
      <c r="J297" s="5"/>
      <c r="K297" s="2"/>
      <c r="L297" s="2"/>
      <c r="M297" s="2"/>
      <c r="N297" s="2"/>
      <c r="O297" s="2"/>
      <c r="P297" s="2"/>
      <c r="Q297" s="7"/>
      <c r="R297" s="224"/>
      <c r="S297" s="224"/>
      <c r="T297" s="224"/>
      <c r="U297" s="868"/>
      <c r="V297" s="865"/>
      <c r="W297" s="2"/>
      <c r="X297" s="2"/>
      <c r="Y297" s="2"/>
      <c r="Z297" s="2"/>
      <c r="AA297" s="2"/>
      <c r="AB297" s="2"/>
      <c r="AC297" s="2"/>
      <c r="AD297" s="2"/>
      <c r="AE297" s="2"/>
      <c r="AF297" s="2"/>
      <c r="AG297" s="2"/>
      <c r="AH297" s="2"/>
      <c r="AI297" s="2"/>
      <c r="AJ297" s="218"/>
      <c r="AK297" s="218"/>
      <c r="AL297" s="218"/>
      <c r="AM297" s="218"/>
    </row>
    <row r="298">
      <c r="A298" s="33"/>
      <c r="B298" s="2"/>
      <c r="C298" s="2"/>
      <c r="D298" s="2"/>
      <c r="E298" s="2"/>
      <c r="F298" s="4"/>
      <c r="G298" s="2"/>
      <c r="H298" s="2"/>
      <c r="I298" s="2"/>
      <c r="J298" s="5"/>
      <c r="K298" s="2"/>
      <c r="L298" s="2"/>
      <c r="M298" s="2"/>
      <c r="N298" s="2"/>
      <c r="O298" s="2"/>
      <c r="P298" s="2"/>
      <c r="Q298" s="7"/>
      <c r="R298" s="224"/>
      <c r="S298" s="224"/>
      <c r="T298" s="224"/>
      <c r="U298" s="868"/>
      <c r="V298" s="865"/>
      <c r="W298" s="2"/>
      <c r="X298" s="2"/>
      <c r="Y298" s="2"/>
      <c r="Z298" s="2"/>
      <c r="AA298" s="2"/>
      <c r="AB298" s="2"/>
      <c r="AC298" s="2"/>
      <c r="AD298" s="2"/>
      <c r="AE298" s="2"/>
      <c r="AF298" s="2"/>
      <c r="AG298" s="2"/>
      <c r="AH298" s="2"/>
      <c r="AI298" s="2"/>
      <c r="AJ298" s="218"/>
      <c r="AK298" s="218"/>
      <c r="AL298" s="218"/>
      <c r="AM298" s="218"/>
    </row>
    <row r="299">
      <c r="A299" s="33"/>
      <c r="B299" s="2"/>
      <c r="C299" s="2"/>
      <c r="D299" s="2"/>
      <c r="E299" s="2"/>
      <c r="F299" s="4"/>
      <c r="G299" s="2"/>
      <c r="H299" s="2"/>
      <c r="I299" s="2"/>
      <c r="J299" s="5"/>
      <c r="K299" s="2"/>
      <c r="L299" s="2"/>
      <c r="M299" s="2"/>
      <c r="N299" s="2"/>
      <c r="O299" s="2"/>
      <c r="P299" s="2"/>
      <c r="Q299" s="7"/>
      <c r="R299" s="224"/>
      <c r="S299" s="224"/>
      <c r="T299" s="224"/>
      <c r="U299" s="868"/>
      <c r="V299" s="865"/>
      <c r="W299" s="2"/>
      <c r="X299" s="2"/>
      <c r="Y299" s="2"/>
      <c r="Z299" s="2"/>
      <c r="AA299" s="2"/>
      <c r="AB299" s="2"/>
      <c r="AC299" s="2"/>
      <c r="AD299" s="2"/>
      <c r="AE299" s="2"/>
      <c r="AF299" s="2"/>
      <c r="AG299" s="2"/>
      <c r="AH299" s="2"/>
      <c r="AI299" s="2"/>
      <c r="AJ299" s="218"/>
      <c r="AK299" s="218"/>
      <c r="AL299" s="218"/>
      <c r="AM299" s="218"/>
    </row>
    <row r="300">
      <c r="A300" s="33"/>
      <c r="B300" s="2"/>
      <c r="C300" s="2"/>
      <c r="D300" s="2"/>
      <c r="E300" s="2"/>
      <c r="F300" s="4"/>
      <c r="G300" s="2"/>
      <c r="H300" s="2"/>
      <c r="I300" s="2"/>
      <c r="J300" s="5"/>
      <c r="K300" s="2"/>
      <c r="L300" s="2"/>
      <c r="M300" s="2"/>
      <c r="N300" s="2"/>
      <c r="O300" s="2"/>
      <c r="P300" s="2"/>
      <c r="Q300" s="7"/>
      <c r="R300" s="224"/>
      <c r="S300" s="224"/>
      <c r="T300" s="224"/>
      <c r="U300" s="868"/>
      <c r="V300" s="865"/>
      <c r="W300" s="2"/>
      <c r="X300" s="2"/>
      <c r="Y300" s="2"/>
      <c r="Z300" s="2"/>
      <c r="AA300" s="2"/>
      <c r="AB300" s="2"/>
      <c r="AC300" s="2"/>
      <c r="AD300" s="2"/>
      <c r="AE300" s="2"/>
      <c r="AF300" s="2"/>
      <c r="AG300" s="2"/>
      <c r="AH300" s="2"/>
      <c r="AI300" s="2"/>
      <c r="AJ300" s="218"/>
      <c r="AK300" s="218"/>
      <c r="AL300" s="218"/>
      <c r="AM300" s="218"/>
    </row>
    <row r="301">
      <c r="A301" s="33"/>
      <c r="B301" s="2"/>
      <c r="C301" s="2"/>
      <c r="D301" s="2"/>
      <c r="E301" s="2"/>
      <c r="F301" s="4"/>
      <c r="G301" s="2"/>
      <c r="H301" s="2"/>
      <c r="I301" s="2"/>
      <c r="J301" s="5"/>
      <c r="K301" s="2"/>
      <c r="L301" s="2"/>
      <c r="M301" s="2"/>
      <c r="N301" s="2"/>
      <c r="O301" s="2"/>
      <c r="P301" s="2"/>
      <c r="Q301" s="7"/>
      <c r="R301" s="224"/>
      <c r="S301" s="224"/>
      <c r="T301" s="224"/>
      <c r="U301" s="868"/>
      <c r="V301" s="865"/>
      <c r="W301" s="2"/>
      <c r="X301" s="2"/>
      <c r="Y301" s="2"/>
      <c r="Z301" s="2"/>
      <c r="AA301" s="2"/>
      <c r="AB301" s="2"/>
      <c r="AC301" s="2"/>
      <c r="AD301" s="2"/>
      <c r="AE301" s="2"/>
      <c r="AF301" s="2"/>
      <c r="AG301" s="2"/>
      <c r="AH301" s="2"/>
      <c r="AI301" s="2"/>
      <c r="AJ301" s="218"/>
      <c r="AK301" s="218"/>
      <c r="AL301" s="218"/>
      <c r="AM301" s="218"/>
    </row>
    <row r="302">
      <c r="A302" s="33"/>
      <c r="B302" s="2"/>
      <c r="C302" s="2"/>
      <c r="D302" s="2"/>
      <c r="E302" s="2"/>
      <c r="F302" s="4"/>
      <c r="G302" s="2"/>
      <c r="H302" s="2"/>
      <c r="I302" s="2"/>
      <c r="J302" s="5"/>
      <c r="K302" s="2"/>
      <c r="L302" s="2"/>
      <c r="M302" s="2"/>
      <c r="N302" s="2"/>
      <c r="O302" s="2"/>
      <c r="P302" s="2"/>
      <c r="Q302" s="7"/>
      <c r="R302" s="224"/>
      <c r="S302" s="224"/>
      <c r="T302" s="224"/>
      <c r="U302" s="868"/>
      <c r="V302" s="865"/>
      <c r="W302" s="2"/>
      <c r="X302" s="2"/>
      <c r="Y302" s="2"/>
      <c r="Z302" s="2"/>
      <c r="AA302" s="2"/>
      <c r="AB302" s="2"/>
      <c r="AC302" s="2"/>
      <c r="AD302" s="2"/>
      <c r="AE302" s="2"/>
      <c r="AF302" s="2"/>
      <c r="AG302" s="2"/>
      <c r="AH302" s="2"/>
      <c r="AI302" s="2"/>
      <c r="AJ302" s="218"/>
      <c r="AK302" s="218"/>
      <c r="AL302" s="218"/>
      <c r="AM302" s="218"/>
    </row>
    <row r="303">
      <c r="A303" s="33"/>
      <c r="B303" s="2"/>
      <c r="C303" s="2"/>
      <c r="D303" s="2"/>
      <c r="E303" s="2"/>
      <c r="F303" s="4"/>
      <c r="G303" s="2"/>
      <c r="H303" s="2"/>
      <c r="I303" s="2"/>
      <c r="J303" s="5"/>
      <c r="K303" s="2"/>
      <c r="L303" s="2"/>
      <c r="M303" s="2"/>
      <c r="N303" s="2"/>
      <c r="O303" s="2"/>
      <c r="P303" s="2"/>
      <c r="Q303" s="7"/>
      <c r="R303" s="224"/>
      <c r="S303" s="224"/>
      <c r="T303" s="224"/>
      <c r="U303" s="868"/>
      <c r="V303" s="865"/>
      <c r="W303" s="2"/>
      <c r="X303" s="2"/>
      <c r="Y303" s="2"/>
      <c r="Z303" s="2"/>
      <c r="AA303" s="2"/>
      <c r="AB303" s="2"/>
      <c r="AC303" s="2"/>
      <c r="AD303" s="2"/>
      <c r="AE303" s="2"/>
      <c r="AF303" s="2"/>
      <c r="AG303" s="2"/>
      <c r="AH303" s="2"/>
      <c r="AI303" s="2"/>
      <c r="AJ303" s="218"/>
      <c r="AK303" s="218"/>
      <c r="AL303" s="218"/>
      <c r="AM303" s="218"/>
    </row>
    <row r="304">
      <c r="A304" s="33"/>
      <c r="B304" s="2"/>
      <c r="C304" s="2"/>
      <c r="D304" s="2"/>
      <c r="E304" s="2"/>
      <c r="F304" s="4"/>
      <c r="G304" s="2"/>
      <c r="H304" s="2"/>
      <c r="I304" s="2"/>
      <c r="J304" s="5"/>
      <c r="K304" s="2"/>
      <c r="L304" s="2"/>
      <c r="M304" s="2"/>
      <c r="N304" s="2"/>
      <c r="O304" s="2"/>
      <c r="P304" s="2"/>
      <c r="Q304" s="7"/>
      <c r="R304" s="224"/>
      <c r="S304" s="224"/>
      <c r="T304" s="224"/>
      <c r="U304" s="868"/>
      <c r="V304" s="865"/>
      <c r="W304" s="2"/>
      <c r="X304" s="2"/>
      <c r="Y304" s="2"/>
      <c r="Z304" s="2"/>
      <c r="AA304" s="2"/>
      <c r="AB304" s="2"/>
      <c r="AC304" s="2"/>
      <c r="AD304" s="2"/>
      <c r="AE304" s="2"/>
      <c r="AF304" s="2"/>
      <c r="AG304" s="2"/>
      <c r="AH304" s="2"/>
      <c r="AI304" s="2"/>
      <c r="AJ304" s="218"/>
      <c r="AK304" s="218"/>
      <c r="AL304" s="218"/>
      <c r="AM304" s="218"/>
    </row>
    <row r="305">
      <c r="A305" s="33"/>
      <c r="B305" s="2"/>
      <c r="C305" s="2"/>
      <c r="D305" s="2"/>
      <c r="E305" s="2"/>
      <c r="F305" s="4"/>
      <c r="G305" s="2"/>
      <c r="H305" s="2"/>
      <c r="I305" s="2"/>
      <c r="J305" s="5"/>
      <c r="K305" s="2"/>
      <c r="L305" s="2"/>
      <c r="M305" s="2"/>
      <c r="N305" s="2"/>
      <c r="O305" s="2"/>
      <c r="P305" s="2"/>
      <c r="Q305" s="7"/>
      <c r="R305" s="224"/>
      <c r="S305" s="224"/>
      <c r="T305" s="224"/>
      <c r="U305" s="868"/>
      <c r="V305" s="865"/>
      <c r="W305" s="2"/>
      <c r="X305" s="2"/>
      <c r="Y305" s="2"/>
      <c r="Z305" s="2"/>
      <c r="AA305" s="2"/>
      <c r="AB305" s="2"/>
      <c r="AC305" s="2"/>
      <c r="AD305" s="2"/>
      <c r="AE305" s="2"/>
      <c r="AF305" s="2"/>
      <c r="AG305" s="2"/>
      <c r="AH305" s="2"/>
      <c r="AI305" s="2"/>
      <c r="AJ305" s="218"/>
      <c r="AK305" s="218"/>
      <c r="AL305" s="218"/>
      <c r="AM305" s="218"/>
    </row>
    <row r="306">
      <c r="A306" s="33"/>
      <c r="B306" s="2"/>
      <c r="C306" s="2"/>
      <c r="D306" s="2"/>
      <c r="E306" s="2"/>
      <c r="F306" s="4"/>
      <c r="G306" s="2"/>
      <c r="H306" s="2"/>
      <c r="I306" s="2"/>
      <c r="J306" s="5"/>
      <c r="K306" s="2"/>
      <c r="L306" s="2"/>
      <c r="M306" s="2"/>
      <c r="N306" s="2"/>
      <c r="O306" s="2"/>
      <c r="P306" s="2"/>
      <c r="Q306" s="7"/>
      <c r="R306" s="224"/>
      <c r="S306" s="224"/>
      <c r="T306" s="224"/>
      <c r="U306" s="868"/>
      <c r="V306" s="865"/>
      <c r="W306" s="2"/>
      <c r="X306" s="2"/>
      <c r="Y306" s="2"/>
      <c r="Z306" s="2"/>
      <c r="AA306" s="2"/>
      <c r="AB306" s="2"/>
      <c r="AC306" s="2"/>
      <c r="AD306" s="2"/>
      <c r="AE306" s="2"/>
      <c r="AF306" s="2"/>
      <c r="AG306" s="2"/>
      <c r="AH306" s="2"/>
      <c r="AI306" s="2"/>
      <c r="AJ306" s="218"/>
      <c r="AK306" s="218"/>
      <c r="AL306" s="218"/>
      <c r="AM306" s="218"/>
    </row>
    <row r="307">
      <c r="A307" s="33"/>
      <c r="B307" s="2"/>
      <c r="C307" s="2"/>
      <c r="D307" s="2"/>
      <c r="E307" s="2"/>
      <c r="F307" s="4"/>
      <c r="G307" s="2"/>
      <c r="H307" s="2"/>
      <c r="I307" s="2"/>
      <c r="J307" s="5"/>
      <c r="K307" s="2"/>
      <c r="L307" s="2"/>
      <c r="M307" s="2"/>
      <c r="N307" s="2"/>
      <c r="O307" s="2"/>
      <c r="P307" s="2"/>
      <c r="Q307" s="7"/>
      <c r="R307" s="224"/>
      <c r="S307" s="224"/>
      <c r="T307" s="224"/>
      <c r="U307" s="868"/>
      <c r="V307" s="865"/>
      <c r="W307" s="2"/>
      <c r="X307" s="2"/>
      <c r="Y307" s="2"/>
      <c r="Z307" s="2"/>
      <c r="AA307" s="2"/>
      <c r="AB307" s="2"/>
      <c r="AC307" s="2"/>
      <c r="AD307" s="2"/>
      <c r="AE307" s="2"/>
      <c r="AF307" s="2"/>
      <c r="AG307" s="2"/>
      <c r="AH307" s="2"/>
      <c r="AI307" s="2"/>
      <c r="AJ307" s="218"/>
      <c r="AK307" s="218"/>
      <c r="AL307" s="218"/>
      <c r="AM307" s="218"/>
    </row>
    <row r="308">
      <c r="A308" s="33"/>
      <c r="B308" s="2"/>
      <c r="C308" s="2"/>
      <c r="D308" s="2"/>
      <c r="E308" s="2"/>
      <c r="F308" s="4"/>
      <c r="G308" s="2"/>
      <c r="H308" s="2"/>
      <c r="I308" s="2"/>
      <c r="J308" s="5"/>
      <c r="K308" s="2"/>
      <c r="L308" s="2"/>
      <c r="M308" s="2"/>
      <c r="N308" s="2"/>
      <c r="O308" s="2"/>
      <c r="P308" s="2"/>
      <c r="Q308" s="7"/>
      <c r="R308" s="224"/>
      <c r="S308" s="224"/>
      <c r="T308" s="224"/>
      <c r="U308" s="868"/>
      <c r="V308" s="865"/>
      <c r="W308" s="2"/>
      <c r="X308" s="2"/>
      <c r="Y308" s="2"/>
      <c r="Z308" s="2"/>
      <c r="AA308" s="2"/>
      <c r="AB308" s="2"/>
      <c r="AC308" s="2"/>
      <c r="AD308" s="2"/>
      <c r="AE308" s="2"/>
      <c r="AF308" s="2"/>
      <c r="AG308" s="2"/>
      <c r="AH308" s="2"/>
      <c r="AI308" s="2"/>
      <c r="AJ308" s="218"/>
      <c r="AK308" s="218"/>
      <c r="AL308" s="218"/>
      <c r="AM308" s="218"/>
    </row>
    <row r="309">
      <c r="A309" s="33"/>
      <c r="B309" s="2"/>
      <c r="C309" s="2"/>
      <c r="D309" s="2"/>
      <c r="E309" s="2"/>
      <c r="F309" s="4"/>
      <c r="G309" s="2"/>
      <c r="H309" s="2"/>
      <c r="I309" s="2"/>
      <c r="J309" s="5"/>
      <c r="K309" s="2"/>
      <c r="L309" s="2"/>
      <c r="M309" s="2"/>
      <c r="N309" s="2"/>
      <c r="O309" s="2"/>
      <c r="P309" s="2"/>
      <c r="Q309" s="7"/>
      <c r="R309" s="224"/>
      <c r="S309" s="224"/>
      <c r="T309" s="224"/>
      <c r="U309" s="868"/>
      <c r="V309" s="865"/>
      <c r="W309" s="2"/>
      <c r="X309" s="2"/>
      <c r="Y309" s="2"/>
      <c r="Z309" s="2"/>
      <c r="AA309" s="2"/>
      <c r="AB309" s="2"/>
      <c r="AC309" s="2"/>
      <c r="AD309" s="2"/>
      <c r="AE309" s="2"/>
      <c r="AF309" s="2"/>
      <c r="AG309" s="2"/>
      <c r="AH309" s="2"/>
      <c r="AI309" s="2"/>
      <c r="AJ309" s="218"/>
      <c r="AK309" s="218"/>
      <c r="AL309" s="218"/>
      <c r="AM309" s="218"/>
    </row>
    <row r="310">
      <c r="A310" s="33"/>
      <c r="B310" s="2"/>
      <c r="C310" s="2"/>
      <c r="D310" s="2"/>
      <c r="E310" s="2"/>
      <c r="F310" s="4"/>
      <c r="G310" s="2"/>
      <c r="H310" s="2"/>
      <c r="I310" s="2"/>
      <c r="J310" s="5"/>
      <c r="K310" s="2"/>
      <c r="L310" s="2"/>
      <c r="M310" s="2"/>
      <c r="N310" s="2"/>
      <c r="O310" s="2"/>
      <c r="P310" s="2"/>
      <c r="Q310" s="7"/>
      <c r="R310" s="224"/>
      <c r="S310" s="224"/>
      <c r="T310" s="224"/>
      <c r="U310" s="868"/>
      <c r="V310" s="865"/>
      <c r="W310" s="2"/>
      <c r="X310" s="2"/>
      <c r="Y310" s="2"/>
      <c r="Z310" s="2"/>
      <c r="AA310" s="2"/>
      <c r="AB310" s="2"/>
      <c r="AC310" s="2"/>
      <c r="AD310" s="2"/>
      <c r="AE310" s="2"/>
      <c r="AF310" s="2"/>
      <c r="AG310" s="2"/>
      <c r="AH310" s="2"/>
      <c r="AI310" s="2"/>
      <c r="AJ310" s="218"/>
      <c r="AK310" s="218"/>
      <c r="AL310" s="218"/>
      <c r="AM310" s="218"/>
    </row>
    <row r="311">
      <c r="A311" s="33"/>
      <c r="B311" s="2"/>
      <c r="C311" s="2"/>
      <c r="D311" s="2"/>
      <c r="E311" s="2"/>
      <c r="F311" s="4"/>
      <c r="G311" s="2"/>
      <c r="H311" s="2"/>
      <c r="I311" s="2"/>
      <c r="J311" s="5"/>
      <c r="K311" s="2"/>
      <c r="L311" s="2"/>
      <c r="M311" s="2"/>
      <c r="N311" s="2"/>
      <c r="O311" s="2"/>
      <c r="P311" s="2"/>
      <c r="Q311" s="7"/>
      <c r="R311" s="224"/>
      <c r="S311" s="224"/>
      <c r="T311" s="224"/>
      <c r="U311" s="868"/>
      <c r="V311" s="865"/>
      <c r="W311" s="2"/>
      <c r="X311" s="2"/>
      <c r="Y311" s="2"/>
      <c r="Z311" s="2"/>
      <c r="AA311" s="2"/>
      <c r="AB311" s="2"/>
      <c r="AC311" s="2"/>
      <c r="AD311" s="2"/>
      <c r="AE311" s="2"/>
      <c r="AF311" s="2"/>
      <c r="AG311" s="2"/>
      <c r="AH311" s="2"/>
      <c r="AI311" s="2"/>
      <c r="AJ311" s="218"/>
      <c r="AK311" s="218"/>
      <c r="AL311" s="218"/>
      <c r="AM311" s="218"/>
    </row>
    <row r="312">
      <c r="A312" s="33"/>
      <c r="B312" s="2"/>
      <c r="C312" s="2"/>
      <c r="D312" s="2"/>
      <c r="E312" s="2"/>
      <c r="F312" s="4"/>
      <c r="G312" s="2"/>
      <c r="H312" s="2"/>
      <c r="I312" s="2"/>
      <c r="J312" s="5"/>
      <c r="K312" s="2"/>
      <c r="L312" s="2"/>
      <c r="M312" s="2"/>
      <c r="N312" s="2"/>
      <c r="O312" s="2"/>
      <c r="P312" s="2"/>
      <c r="Q312" s="7"/>
      <c r="R312" s="224"/>
      <c r="S312" s="224"/>
      <c r="T312" s="224"/>
      <c r="U312" s="868"/>
      <c r="V312" s="865"/>
      <c r="W312" s="2"/>
      <c r="X312" s="2"/>
      <c r="Y312" s="2"/>
      <c r="Z312" s="2"/>
      <c r="AA312" s="2"/>
      <c r="AB312" s="2"/>
      <c r="AC312" s="2"/>
      <c r="AD312" s="2"/>
      <c r="AE312" s="2"/>
      <c r="AF312" s="2"/>
      <c r="AG312" s="2"/>
      <c r="AH312" s="2"/>
      <c r="AI312" s="2"/>
      <c r="AJ312" s="218"/>
      <c r="AK312" s="218"/>
      <c r="AL312" s="218"/>
      <c r="AM312" s="218"/>
    </row>
    <row r="313">
      <c r="A313" s="33"/>
      <c r="B313" s="2"/>
      <c r="C313" s="2"/>
      <c r="D313" s="2"/>
      <c r="E313" s="2"/>
      <c r="F313" s="4"/>
      <c r="G313" s="2"/>
      <c r="H313" s="2"/>
      <c r="I313" s="2"/>
      <c r="J313" s="5"/>
      <c r="K313" s="2"/>
      <c r="L313" s="2"/>
      <c r="M313" s="2"/>
      <c r="N313" s="2"/>
      <c r="O313" s="2"/>
      <c r="P313" s="2"/>
      <c r="Q313" s="7"/>
      <c r="R313" s="224"/>
      <c r="S313" s="224"/>
      <c r="T313" s="224"/>
      <c r="U313" s="868"/>
      <c r="V313" s="865"/>
      <c r="W313" s="2"/>
      <c r="X313" s="2"/>
      <c r="Y313" s="2"/>
      <c r="Z313" s="2"/>
      <c r="AA313" s="2"/>
      <c r="AB313" s="2"/>
      <c r="AC313" s="2"/>
      <c r="AD313" s="2"/>
      <c r="AE313" s="2"/>
      <c r="AF313" s="2"/>
      <c r="AG313" s="2"/>
      <c r="AH313" s="2"/>
      <c r="AI313" s="2"/>
      <c r="AJ313" s="218"/>
      <c r="AK313" s="218"/>
      <c r="AL313" s="218"/>
      <c r="AM313" s="218"/>
    </row>
    <row r="314">
      <c r="A314" s="33"/>
      <c r="B314" s="2"/>
      <c r="C314" s="2"/>
      <c r="D314" s="2"/>
      <c r="E314" s="2"/>
      <c r="F314" s="4"/>
      <c r="G314" s="2"/>
      <c r="H314" s="2"/>
      <c r="I314" s="2"/>
      <c r="J314" s="5"/>
      <c r="K314" s="2"/>
      <c r="L314" s="2"/>
      <c r="M314" s="2"/>
      <c r="N314" s="2"/>
      <c r="O314" s="2"/>
      <c r="P314" s="2"/>
      <c r="Q314" s="7"/>
      <c r="R314" s="224"/>
      <c r="S314" s="224"/>
      <c r="T314" s="224"/>
      <c r="U314" s="868"/>
      <c r="V314" s="865"/>
      <c r="W314" s="2"/>
      <c r="X314" s="2"/>
      <c r="Y314" s="2"/>
      <c r="Z314" s="2"/>
      <c r="AA314" s="2"/>
      <c r="AB314" s="2"/>
      <c r="AC314" s="2"/>
      <c r="AD314" s="2"/>
      <c r="AE314" s="2"/>
      <c r="AF314" s="2"/>
      <c r="AG314" s="2"/>
      <c r="AH314" s="2"/>
      <c r="AI314" s="2"/>
      <c r="AJ314" s="218"/>
      <c r="AK314" s="218"/>
      <c r="AL314" s="218"/>
      <c r="AM314" s="218"/>
    </row>
    <row r="315">
      <c r="A315" s="33"/>
      <c r="B315" s="2"/>
      <c r="C315" s="2"/>
      <c r="D315" s="2"/>
      <c r="E315" s="2"/>
      <c r="F315" s="4"/>
      <c r="G315" s="2"/>
      <c r="H315" s="2"/>
      <c r="I315" s="2"/>
      <c r="J315" s="5"/>
      <c r="K315" s="2"/>
      <c r="L315" s="2"/>
      <c r="M315" s="2"/>
      <c r="N315" s="2"/>
      <c r="O315" s="2"/>
      <c r="P315" s="2"/>
      <c r="Q315" s="7"/>
      <c r="R315" s="224"/>
      <c r="S315" s="224"/>
      <c r="T315" s="224"/>
      <c r="U315" s="868"/>
      <c r="V315" s="865"/>
      <c r="W315" s="2"/>
      <c r="X315" s="2"/>
      <c r="Y315" s="2"/>
      <c r="Z315" s="2"/>
      <c r="AA315" s="2"/>
      <c r="AB315" s="2"/>
      <c r="AC315" s="2"/>
      <c r="AD315" s="2"/>
      <c r="AE315" s="2"/>
      <c r="AF315" s="2"/>
      <c r="AG315" s="2"/>
      <c r="AH315" s="2"/>
      <c r="AI315" s="2"/>
      <c r="AJ315" s="218"/>
      <c r="AK315" s="218"/>
      <c r="AL315" s="218"/>
      <c r="AM315" s="218"/>
    </row>
    <row r="316">
      <c r="A316" s="33"/>
      <c r="B316" s="2"/>
      <c r="C316" s="2"/>
      <c r="D316" s="2"/>
      <c r="E316" s="2"/>
      <c r="F316" s="4"/>
      <c r="G316" s="2"/>
      <c r="H316" s="2"/>
      <c r="I316" s="2"/>
      <c r="J316" s="5"/>
      <c r="K316" s="2"/>
      <c r="L316" s="2"/>
      <c r="M316" s="2"/>
      <c r="N316" s="2"/>
      <c r="O316" s="2"/>
      <c r="P316" s="2"/>
      <c r="Q316" s="7"/>
      <c r="R316" s="224"/>
      <c r="S316" s="224"/>
      <c r="T316" s="224"/>
      <c r="U316" s="868"/>
      <c r="V316" s="865"/>
      <c r="W316" s="2"/>
      <c r="X316" s="2"/>
      <c r="Y316" s="2"/>
      <c r="Z316" s="2"/>
      <c r="AA316" s="2"/>
      <c r="AB316" s="2"/>
      <c r="AC316" s="2"/>
      <c r="AD316" s="2"/>
      <c r="AE316" s="2"/>
      <c r="AF316" s="2"/>
      <c r="AG316" s="2"/>
      <c r="AH316" s="2"/>
      <c r="AI316" s="2"/>
      <c r="AJ316" s="218"/>
      <c r="AK316" s="218"/>
      <c r="AL316" s="218"/>
      <c r="AM316" s="218"/>
    </row>
    <row r="317">
      <c r="A317" s="33"/>
      <c r="B317" s="2"/>
      <c r="C317" s="2"/>
      <c r="D317" s="2"/>
      <c r="E317" s="2"/>
      <c r="F317" s="4"/>
      <c r="G317" s="2"/>
      <c r="H317" s="2"/>
      <c r="I317" s="2"/>
      <c r="J317" s="5"/>
      <c r="K317" s="2"/>
      <c r="L317" s="2"/>
      <c r="M317" s="2"/>
      <c r="N317" s="2"/>
      <c r="O317" s="2"/>
      <c r="P317" s="2"/>
      <c r="Q317" s="7"/>
      <c r="R317" s="224"/>
      <c r="S317" s="224"/>
      <c r="T317" s="224"/>
      <c r="U317" s="868"/>
      <c r="V317" s="865"/>
      <c r="W317" s="2"/>
      <c r="X317" s="2"/>
      <c r="Y317" s="2"/>
      <c r="Z317" s="2"/>
      <c r="AA317" s="2"/>
      <c r="AB317" s="2"/>
      <c r="AC317" s="2"/>
      <c r="AD317" s="2"/>
      <c r="AE317" s="2"/>
      <c r="AF317" s="2"/>
      <c r="AG317" s="2"/>
      <c r="AH317" s="2"/>
      <c r="AI317" s="2"/>
      <c r="AJ317" s="218"/>
      <c r="AK317" s="218"/>
      <c r="AL317" s="218"/>
      <c r="AM317" s="218"/>
    </row>
    <row r="318">
      <c r="A318" s="33"/>
      <c r="B318" s="2"/>
      <c r="C318" s="2"/>
      <c r="D318" s="2"/>
      <c r="E318" s="2"/>
      <c r="F318" s="4"/>
      <c r="G318" s="2"/>
      <c r="H318" s="2"/>
      <c r="I318" s="2"/>
      <c r="J318" s="5"/>
      <c r="K318" s="2"/>
      <c r="L318" s="2"/>
      <c r="M318" s="2"/>
      <c r="N318" s="2"/>
      <c r="O318" s="2"/>
      <c r="P318" s="2"/>
      <c r="Q318" s="7"/>
      <c r="R318" s="224"/>
      <c r="S318" s="224"/>
      <c r="T318" s="224"/>
      <c r="U318" s="868"/>
      <c r="V318" s="865"/>
      <c r="W318" s="2"/>
      <c r="X318" s="2"/>
      <c r="Y318" s="2"/>
      <c r="Z318" s="2"/>
      <c r="AA318" s="2"/>
      <c r="AB318" s="2"/>
      <c r="AC318" s="2"/>
      <c r="AD318" s="2"/>
      <c r="AE318" s="2"/>
      <c r="AF318" s="2"/>
      <c r="AG318" s="2"/>
      <c r="AH318" s="2"/>
      <c r="AI318" s="2"/>
      <c r="AJ318" s="218"/>
      <c r="AK318" s="218"/>
      <c r="AL318" s="218"/>
      <c r="AM318" s="218"/>
    </row>
    <row r="319">
      <c r="A319" s="33"/>
      <c r="B319" s="2"/>
      <c r="C319" s="2"/>
      <c r="D319" s="2"/>
      <c r="E319" s="2"/>
      <c r="F319" s="4"/>
      <c r="G319" s="2"/>
      <c r="H319" s="2"/>
      <c r="I319" s="2"/>
      <c r="J319" s="5"/>
      <c r="K319" s="2"/>
      <c r="L319" s="2"/>
      <c r="M319" s="2"/>
      <c r="N319" s="2"/>
      <c r="O319" s="2"/>
      <c r="P319" s="2"/>
      <c r="Q319" s="7"/>
      <c r="R319" s="224"/>
      <c r="S319" s="224"/>
      <c r="T319" s="224"/>
      <c r="U319" s="868"/>
      <c r="V319" s="865"/>
      <c r="W319" s="2"/>
      <c r="X319" s="2"/>
      <c r="Y319" s="2"/>
      <c r="Z319" s="2"/>
      <c r="AA319" s="2"/>
      <c r="AB319" s="2"/>
      <c r="AC319" s="2"/>
      <c r="AD319" s="2"/>
      <c r="AE319" s="2"/>
      <c r="AF319" s="2"/>
      <c r="AG319" s="2"/>
      <c r="AH319" s="2"/>
      <c r="AI319" s="2"/>
      <c r="AJ319" s="218"/>
      <c r="AK319" s="218"/>
      <c r="AL319" s="218"/>
      <c r="AM319" s="218"/>
    </row>
    <row r="320">
      <c r="A320" s="33"/>
      <c r="B320" s="2"/>
      <c r="C320" s="2"/>
      <c r="D320" s="2"/>
      <c r="E320" s="2"/>
      <c r="F320" s="4"/>
      <c r="G320" s="2"/>
      <c r="H320" s="2"/>
      <c r="I320" s="2"/>
      <c r="J320" s="5"/>
      <c r="K320" s="2"/>
      <c r="L320" s="2"/>
      <c r="M320" s="2"/>
      <c r="N320" s="2"/>
      <c r="O320" s="2"/>
      <c r="P320" s="2"/>
      <c r="Q320" s="7"/>
      <c r="R320" s="224"/>
      <c r="S320" s="224"/>
      <c r="T320" s="224"/>
      <c r="U320" s="868"/>
      <c r="V320" s="865"/>
      <c r="W320" s="2"/>
      <c r="X320" s="2"/>
      <c r="Y320" s="2"/>
      <c r="Z320" s="2"/>
      <c r="AA320" s="2"/>
      <c r="AB320" s="2"/>
      <c r="AC320" s="2"/>
      <c r="AD320" s="2"/>
      <c r="AE320" s="2"/>
      <c r="AF320" s="2"/>
      <c r="AG320" s="2"/>
      <c r="AH320" s="2"/>
      <c r="AI320" s="2"/>
      <c r="AJ320" s="218"/>
      <c r="AK320" s="218"/>
      <c r="AL320" s="218"/>
      <c r="AM320" s="218"/>
    </row>
    <row r="321">
      <c r="A321" s="33"/>
      <c r="B321" s="2"/>
      <c r="C321" s="2"/>
      <c r="D321" s="2"/>
      <c r="E321" s="2"/>
      <c r="F321" s="4"/>
      <c r="G321" s="2"/>
      <c r="H321" s="2"/>
      <c r="I321" s="2"/>
      <c r="J321" s="5"/>
      <c r="K321" s="2"/>
      <c r="L321" s="2"/>
      <c r="M321" s="2"/>
      <c r="N321" s="2"/>
      <c r="O321" s="2"/>
      <c r="P321" s="2"/>
      <c r="Q321" s="7"/>
      <c r="R321" s="224"/>
      <c r="S321" s="224"/>
      <c r="T321" s="224"/>
      <c r="U321" s="868"/>
      <c r="V321" s="865"/>
      <c r="W321" s="2"/>
      <c r="X321" s="2"/>
      <c r="Y321" s="2"/>
      <c r="Z321" s="2"/>
      <c r="AA321" s="2"/>
      <c r="AB321" s="2"/>
      <c r="AC321" s="2"/>
      <c r="AD321" s="2"/>
      <c r="AE321" s="2"/>
      <c r="AF321" s="2"/>
      <c r="AG321" s="2"/>
      <c r="AH321" s="2"/>
      <c r="AI321" s="2"/>
      <c r="AJ321" s="218"/>
      <c r="AK321" s="218"/>
      <c r="AL321" s="218"/>
      <c r="AM321" s="218"/>
    </row>
    <row r="322">
      <c r="A322" s="33"/>
      <c r="B322" s="2"/>
      <c r="C322" s="2"/>
      <c r="D322" s="2"/>
      <c r="E322" s="2"/>
      <c r="F322" s="4"/>
      <c r="G322" s="2"/>
      <c r="H322" s="2"/>
      <c r="I322" s="2"/>
      <c r="J322" s="5"/>
      <c r="K322" s="2"/>
      <c r="L322" s="2"/>
      <c r="M322" s="2"/>
      <c r="N322" s="2"/>
      <c r="O322" s="2"/>
      <c r="P322" s="2"/>
      <c r="Q322" s="7"/>
      <c r="R322" s="224"/>
      <c r="S322" s="224"/>
      <c r="T322" s="224"/>
      <c r="U322" s="868"/>
      <c r="V322" s="865"/>
      <c r="W322" s="2"/>
      <c r="X322" s="2"/>
      <c r="Y322" s="2"/>
      <c r="Z322" s="2"/>
      <c r="AA322" s="2"/>
      <c r="AB322" s="2"/>
      <c r="AC322" s="2"/>
      <c r="AD322" s="2"/>
      <c r="AE322" s="2"/>
      <c r="AF322" s="2"/>
      <c r="AG322" s="2"/>
      <c r="AH322" s="2"/>
      <c r="AI322" s="2"/>
      <c r="AJ322" s="218"/>
      <c r="AK322" s="218"/>
      <c r="AL322" s="218"/>
      <c r="AM322" s="218"/>
    </row>
    <row r="323">
      <c r="A323" s="33"/>
      <c r="B323" s="2"/>
      <c r="C323" s="2"/>
      <c r="D323" s="2"/>
      <c r="E323" s="2"/>
      <c r="F323" s="4"/>
      <c r="G323" s="2"/>
      <c r="H323" s="2"/>
      <c r="I323" s="2"/>
      <c r="J323" s="5"/>
      <c r="K323" s="2"/>
      <c r="L323" s="2"/>
      <c r="M323" s="2"/>
      <c r="N323" s="2"/>
      <c r="O323" s="2"/>
      <c r="P323" s="2"/>
      <c r="Q323" s="7"/>
      <c r="R323" s="224"/>
      <c r="S323" s="224"/>
      <c r="T323" s="224"/>
      <c r="U323" s="868"/>
      <c r="V323" s="865"/>
      <c r="W323" s="2"/>
      <c r="X323" s="2"/>
      <c r="Y323" s="2"/>
      <c r="Z323" s="2"/>
      <c r="AA323" s="2"/>
      <c r="AB323" s="2"/>
      <c r="AC323" s="2"/>
      <c r="AD323" s="2"/>
      <c r="AE323" s="2"/>
      <c r="AF323" s="2"/>
      <c r="AG323" s="2"/>
      <c r="AH323" s="2"/>
      <c r="AI323" s="2"/>
      <c r="AJ323" s="218"/>
      <c r="AK323" s="218"/>
      <c r="AL323" s="218"/>
      <c r="AM323" s="218"/>
    </row>
    <row r="324">
      <c r="A324" s="33"/>
      <c r="B324" s="2"/>
      <c r="C324" s="2"/>
      <c r="D324" s="2"/>
      <c r="E324" s="2"/>
      <c r="F324" s="4"/>
      <c r="G324" s="2"/>
      <c r="H324" s="2"/>
      <c r="I324" s="2"/>
      <c r="J324" s="5"/>
      <c r="K324" s="2"/>
      <c r="L324" s="2"/>
      <c r="M324" s="2"/>
      <c r="N324" s="2"/>
      <c r="O324" s="2"/>
      <c r="P324" s="2"/>
      <c r="Q324" s="7"/>
      <c r="R324" s="224"/>
      <c r="S324" s="224"/>
      <c r="T324" s="224"/>
      <c r="U324" s="868"/>
      <c r="V324" s="865"/>
      <c r="W324" s="2"/>
      <c r="X324" s="2"/>
      <c r="Y324" s="2"/>
      <c r="Z324" s="2"/>
      <c r="AA324" s="2"/>
      <c r="AB324" s="2"/>
      <c r="AC324" s="2"/>
      <c r="AD324" s="2"/>
      <c r="AE324" s="2"/>
      <c r="AF324" s="2"/>
      <c r="AG324" s="2"/>
      <c r="AH324" s="2"/>
      <c r="AI324" s="2"/>
      <c r="AJ324" s="218"/>
      <c r="AK324" s="218"/>
      <c r="AL324" s="218"/>
      <c r="AM324" s="218"/>
    </row>
    <row r="325">
      <c r="A325" s="33"/>
      <c r="B325" s="2"/>
      <c r="C325" s="2"/>
      <c r="D325" s="2"/>
      <c r="E325" s="2"/>
      <c r="F325" s="4"/>
      <c r="G325" s="2"/>
      <c r="H325" s="2"/>
      <c r="I325" s="2"/>
      <c r="J325" s="5"/>
      <c r="K325" s="2"/>
      <c r="L325" s="2"/>
      <c r="M325" s="2"/>
      <c r="N325" s="2"/>
      <c r="O325" s="2"/>
      <c r="P325" s="2"/>
      <c r="Q325" s="7"/>
      <c r="R325" s="224"/>
      <c r="S325" s="224"/>
      <c r="T325" s="224"/>
      <c r="U325" s="868"/>
      <c r="V325" s="865"/>
      <c r="W325" s="2"/>
      <c r="X325" s="2"/>
      <c r="Y325" s="2"/>
      <c r="Z325" s="2"/>
      <c r="AA325" s="2"/>
      <c r="AB325" s="2"/>
      <c r="AC325" s="2"/>
      <c r="AD325" s="2"/>
      <c r="AE325" s="2"/>
      <c r="AF325" s="2"/>
      <c r="AG325" s="2"/>
      <c r="AH325" s="2"/>
      <c r="AI325" s="2"/>
      <c r="AJ325" s="218"/>
      <c r="AK325" s="218"/>
      <c r="AL325" s="218"/>
      <c r="AM325" s="218"/>
    </row>
    <row r="326">
      <c r="A326" s="33"/>
      <c r="B326" s="2"/>
      <c r="C326" s="2"/>
      <c r="D326" s="2"/>
      <c r="E326" s="2"/>
      <c r="F326" s="4"/>
      <c r="G326" s="2"/>
      <c r="H326" s="2"/>
      <c r="I326" s="2"/>
      <c r="J326" s="5"/>
      <c r="K326" s="2"/>
      <c r="L326" s="2"/>
      <c r="M326" s="2"/>
      <c r="N326" s="2"/>
      <c r="O326" s="2"/>
      <c r="P326" s="2"/>
      <c r="Q326" s="7"/>
      <c r="R326" s="224"/>
      <c r="S326" s="224"/>
      <c r="T326" s="224"/>
      <c r="U326" s="868"/>
      <c r="V326" s="865"/>
      <c r="W326" s="2"/>
      <c r="X326" s="2"/>
      <c r="Y326" s="2"/>
      <c r="Z326" s="2"/>
      <c r="AA326" s="2"/>
      <c r="AB326" s="2"/>
      <c r="AC326" s="2"/>
      <c r="AD326" s="2"/>
      <c r="AE326" s="2"/>
      <c r="AF326" s="2"/>
      <c r="AG326" s="2"/>
      <c r="AH326" s="2"/>
      <c r="AI326" s="2"/>
      <c r="AJ326" s="218"/>
      <c r="AK326" s="218"/>
      <c r="AL326" s="218"/>
      <c r="AM326" s="218"/>
    </row>
    <row r="327">
      <c r="A327" s="33"/>
      <c r="B327" s="2"/>
      <c r="C327" s="2"/>
      <c r="D327" s="2"/>
      <c r="E327" s="2"/>
      <c r="F327" s="4"/>
      <c r="G327" s="2"/>
      <c r="H327" s="2"/>
      <c r="I327" s="2"/>
      <c r="J327" s="5"/>
      <c r="K327" s="2"/>
      <c r="L327" s="2"/>
      <c r="M327" s="2"/>
      <c r="N327" s="2"/>
      <c r="O327" s="2"/>
      <c r="P327" s="2"/>
      <c r="Q327" s="7"/>
      <c r="R327" s="224"/>
      <c r="S327" s="224"/>
      <c r="T327" s="224"/>
      <c r="U327" s="868"/>
      <c r="V327" s="865"/>
      <c r="W327" s="2"/>
      <c r="X327" s="2"/>
      <c r="Y327" s="2"/>
      <c r="Z327" s="2"/>
      <c r="AA327" s="2"/>
      <c r="AB327" s="2"/>
      <c r="AC327" s="2"/>
      <c r="AD327" s="2"/>
      <c r="AE327" s="2"/>
      <c r="AF327" s="2"/>
      <c r="AG327" s="2"/>
      <c r="AH327" s="2"/>
      <c r="AI327" s="2"/>
      <c r="AJ327" s="218"/>
      <c r="AK327" s="218"/>
      <c r="AL327" s="218"/>
      <c r="AM327" s="218"/>
    </row>
    <row r="328">
      <c r="A328" s="33"/>
      <c r="B328" s="2"/>
      <c r="C328" s="2"/>
      <c r="D328" s="2"/>
      <c r="E328" s="2"/>
      <c r="F328" s="4"/>
      <c r="G328" s="2"/>
      <c r="H328" s="2"/>
      <c r="I328" s="2"/>
      <c r="J328" s="5"/>
      <c r="K328" s="2"/>
      <c r="L328" s="2"/>
      <c r="M328" s="2"/>
      <c r="N328" s="2"/>
      <c r="O328" s="2"/>
      <c r="P328" s="2"/>
      <c r="Q328" s="7"/>
      <c r="R328" s="224"/>
      <c r="S328" s="224"/>
      <c r="T328" s="224"/>
      <c r="U328" s="868"/>
      <c r="V328" s="865"/>
      <c r="W328" s="2"/>
      <c r="X328" s="2"/>
      <c r="Y328" s="2"/>
      <c r="Z328" s="2"/>
      <c r="AA328" s="2"/>
      <c r="AB328" s="2"/>
      <c r="AC328" s="2"/>
      <c r="AD328" s="2"/>
      <c r="AE328" s="2"/>
      <c r="AF328" s="2"/>
      <c r="AG328" s="2"/>
      <c r="AH328" s="2"/>
      <c r="AI328" s="2"/>
      <c r="AJ328" s="218"/>
      <c r="AK328" s="218"/>
      <c r="AL328" s="218"/>
      <c r="AM328" s="218"/>
    </row>
    <row r="329">
      <c r="A329" s="33"/>
      <c r="B329" s="2"/>
      <c r="C329" s="2"/>
      <c r="D329" s="2"/>
      <c r="E329" s="2"/>
      <c r="F329" s="4"/>
      <c r="G329" s="2"/>
      <c r="H329" s="2"/>
      <c r="I329" s="2"/>
      <c r="J329" s="5"/>
      <c r="K329" s="2"/>
      <c r="L329" s="2"/>
      <c r="M329" s="2"/>
      <c r="N329" s="2"/>
      <c r="O329" s="2"/>
      <c r="P329" s="2"/>
      <c r="Q329" s="7"/>
      <c r="R329" s="224"/>
      <c r="S329" s="224"/>
      <c r="T329" s="224"/>
      <c r="U329" s="868"/>
      <c r="V329" s="865"/>
      <c r="W329" s="2"/>
      <c r="X329" s="2"/>
      <c r="Y329" s="2"/>
      <c r="Z329" s="2"/>
      <c r="AA329" s="2"/>
      <c r="AB329" s="2"/>
      <c r="AC329" s="2"/>
      <c r="AD329" s="2"/>
      <c r="AE329" s="2"/>
      <c r="AF329" s="2"/>
      <c r="AG329" s="2"/>
      <c r="AH329" s="2"/>
      <c r="AI329" s="2"/>
      <c r="AJ329" s="218"/>
      <c r="AK329" s="218"/>
      <c r="AL329" s="218"/>
      <c r="AM329" s="218"/>
    </row>
    <row r="330">
      <c r="A330" s="33"/>
      <c r="B330" s="2"/>
      <c r="C330" s="2"/>
      <c r="D330" s="2"/>
      <c r="E330" s="2"/>
      <c r="F330" s="4"/>
      <c r="G330" s="2"/>
      <c r="H330" s="2"/>
      <c r="I330" s="2"/>
      <c r="J330" s="5"/>
      <c r="K330" s="2"/>
      <c r="L330" s="2"/>
      <c r="M330" s="2"/>
      <c r="N330" s="2"/>
      <c r="O330" s="2"/>
      <c r="P330" s="2"/>
      <c r="Q330" s="7"/>
      <c r="R330" s="224"/>
      <c r="S330" s="224"/>
      <c r="T330" s="224"/>
      <c r="U330" s="868"/>
      <c r="V330" s="865"/>
      <c r="W330" s="2"/>
      <c r="X330" s="2"/>
      <c r="Y330" s="2"/>
      <c r="Z330" s="2"/>
      <c r="AA330" s="2"/>
      <c r="AB330" s="2"/>
      <c r="AC330" s="2"/>
      <c r="AD330" s="2"/>
      <c r="AE330" s="2"/>
      <c r="AF330" s="2"/>
      <c r="AG330" s="2"/>
      <c r="AH330" s="2"/>
      <c r="AI330" s="2"/>
      <c r="AJ330" s="218"/>
      <c r="AK330" s="218"/>
      <c r="AL330" s="218"/>
      <c r="AM330" s="218"/>
    </row>
    <row r="331">
      <c r="A331" s="33"/>
      <c r="B331" s="2"/>
      <c r="C331" s="2"/>
      <c r="D331" s="2"/>
      <c r="E331" s="2"/>
      <c r="F331" s="4"/>
      <c r="G331" s="2"/>
      <c r="H331" s="2"/>
      <c r="I331" s="2"/>
      <c r="J331" s="5"/>
      <c r="K331" s="2"/>
      <c r="L331" s="2"/>
      <c r="M331" s="2"/>
      <c r="N331" s="2"/>
      <c r="O331" s="2"/>
      <c r="P331" s="2"/>
      <c r="Q331" s="7"/>
      <c r="R331" s="224"/>
      <c r="S331" s="224"/>
      <c r="T331" s="224"/>
      <c r="U331" s="868"/>
      <c r="V331" s="865"/>
      <c r="W331" s="2"/>
      <c r="X331" s="2"/>
      <c r="Y331" s="2"/>
      <c r="Z331" s="2"/>
      <c r="AA331" s="2"/>
      <c r="AB331" s="2"/>
      <c r="AC331" s="2"/>
      <c r="AD331" s="2"/>
      <c r="AE331" s="2"/>
      <c r="AF331" s="2"/>
      <c r="AG331" s="2"/>
      <c r="AH331" s="2"/>
      <c r="AI331" s="2"/>
      <c r="AJ331" s="218"/>
      <c r="AK331" s="218"/>
      <c r="AL331" s="218"/>
      <c r="AM331" s="218"/>
    </row>
    <row r="332">
      <c r="A332" s="33"/>
      <c r="B332" s="2"/>
      <c r="C332" s="2"/>
      <c r="D332" s="2"/>
      <c r="E332" s="2"/>
      <c r="F332" s="4"/>
      <c r="G332" s="2"/>
      <c r="H332" s="2"/>
      <c r="I332" s="2"/>
      <c r="J332" s="5"/>
      <c r="K332" s="2"/>
      <c r="L332" s="2"/>
      <c r="M332" s="2"/>
      <c r="N332" s="2"/>
      <c r="O332" s="2"/>
      <c r="P332" s="2"/>
      <c r="Q332" s="7"/>
      <c r="R332" s="224"/>
      <c r="S332" s="224"/>
      <c r="T332" s="224"/>
      <c r="U332" s="868"/>
      <c r="V332" s="865"/>
      <c r="W332" s="2"/>
      <c r="X332" s="2"/>
      <c r="Y332" s="2"/>
      <c r="Z332" s="2"/>
      <c r="AA332" s="2"/>
      <c r="AB332" s="2"/>
      <c r="AC332" s="2"/>
      <c r="AD332" s="2"/>
      <c r="AE332" s="2"/>
      <c r="AF332" s="2"/>
      <c r="AG332" s="2"/>
      <c r="AH332" s="2"/>
      <c r="AI332" s="2"/>
      <c r="AJ332" s="218"/>
      <c r="AK332" s="218"/>
      <c r="AL332" s="218"/>
      <c r="AM332" s="218"/>
    </row>
    <row r="333">
      <c r="A333" s="33"/>
      <c r="B333" s="2"/>
      <c r="C333" s="2"/>
      <c r="D333" s="2"/>
      <c r="E333" s="2"/>
      <c r="F333" s="4"/>
      <c r="G333" s="2"/>
      <c r="H333" s="2"/>
      <c r="I333" s="2"/>
      <c r="J333" s="5"/>
      <c r="K333" s="2"/>
      <c r="L333" s="2"/>
      <c r="M333" s="2"/>
      <c r="N333" s="2"/>
      <c r="O333" s="2"/>
      <c r="P333" s="2"/>
      <c r="Q333" s="7"/>
      <c r="R333" s="224"/>
      <c r="S333" s="224"/>
      <c r="T333" s="224"/>
      <c r="U333" s="868"/>
      <c r="V333" s="865"/>
      <c r="W333" s="2"/>
      <c r="X333" s="2"/>
      <c r="Y333" s="2"/>
      <c r="Z333" s="2"/>
      <c r="AA333" s="2"/>
      <c r="AB333" s="2"/>
      <c r="AC333" s="2"/>
      <c r="AD333" s="2"/>
      <c r="AE333" s="2"/>
      <c r="AF333" s="2"/>
      <c r="AG333" s="2"/>
      <c r="AH333" s="2"/>
      <c r="AI333" s="2"/>
      <c r="AJ333" s="218"/>
      <c r="AK333" s="218"/>
      <c r="AL333" s="218"/>
      <c r="AM333" s="218"/>
    </row>
    <row r="334">
      <c r="A334" s="33"/>
      <c r="B334" s="2"/>
      <c r="C334" s="2"/>
      <c r="D334" s="2"/>
      <c r="E334" s="2"/>
      <c r="F334" s="4"/>
      <c r="G334" s="2"/>
      <c r="H334" s="2"/>
      <c r="I334" s="2"/>
      <c r="J334" s="5"/>
      <c r="K334" s="2"/>
      <c r="L334" s="2"/>
      <c r="M334" s="2"/>
      <c r="N334" s="2"/>
      <c r="O334" s="2"/>
      <c r="P334" s="2"/>
      <c r="Q334" s="7"/>
      <c r="R334" s="224"/>
      <c r="S334" s="224"/>
      <c r="T334" s="224"/>
      <c r="U334" s="868"/>
      <c r="V334" s="865"/>
      <c r="W334" s="2"/>
      <c r="X334" s="2"/>
      <c r="Y334" s="2"/>
      <c r="Z334" s="2"/>
      <c r="AA334" s="2"/>
      <c r="AB334" s="2"/>
      <c r="AC334" s="2"/>
      <c r="AD334" s="2"/>
      <c r="AE334" s="2"/>
      <c r="AF334" s="2"/>
      <c r="AG334" s="2"/>
      <c r="AH334" s="2"/>
      <c r="AI334" s="2"/>
      <c r="AJ334" s="218"/>
      <c r="AK334" s="218"/>
      <c r="AL334" s="218"/>
      <c r="AM334" s="218"/>
    </row>
    <row r="335">
      <c r="A335" s="33"/>
      <c r="B335" s="2"/>
      <c r="C335" s="2"/>
      <c r="D335" s="2"/>
      <c r="E335" s="2"/>
      <c r="F335" s="4"/>
      <c r="G335" s="2"/>
      <c r="H335" s="2"/>
      <c r="I335" s="2"/>
      <c r="J335" s="5"/>
      <c r="K335" s="2"/>
      <c r="L335" s="2"/>
      <c r="M335" s="2"/>
      <c r="N335" s="2"/>
      <c r="O335" s="2"/>
      <c r="P335" s="2"/>
      <c r="Q335" s="7"/>
      <c r="R335" s="224"/>
      <c r="S335" s="224"/>
      <c r="T335" s="224"/>
      <c r="U335" s="868"/>
      <c r="V335" s="865"/>
      <c r="W335" s="2"/>
      <c r="X335" s="2"/>
      <c r="Y335" s="2"/>
      <c r="Z335" s="2"/>
      <c r="AA335" s="2"/>
      <c r="AB335" s="2"/>
      <c r="AC335" s="2"/>
      <c r="AD335" s="2"/>
      <c r="AE335" s="2"/>
      <c r="AF335" s="2"/>
      <c r="AG335" s="2"/>
      <c r="AH335" s="2"/>
      <c r="AI335" s="2"/>
      <c r="AJ335" s="218"/>
      <c r="AK335" s="218"/>
      <c r="AL335" s="218"/>
      <c r="AM335" s="218"/>
    </row>
    <row r="336">
      <c r="A336" s="33"/>
      <c r="B336" s="2"/>
      <c r="C336" s="2"/>
      <c r="D336" s="2"/>
      <c r="E336" s="2"/>
      <c r="F336" s="4"/>
      <c r="G336" s="2"/>
      <c r="H336" s="2"/>
      <c r="I336" s="2"/>
      <c r="J336" s="5"/>
      <c r="K336" s="2"/>
      <c r="L336" s="2"/>
      <c r="M336" s="2"/>
      <c r="N336" s="2"/>
      <c r="O336" s="2"/>
      <c r="P336" s="2"/>
      <c r="Q336" s="7"/>
      <c r="R336" s="224"/>
      <c r="S336" s="224"/>
      <c r="T336" s="224"/>
      <c r="U336" s="868"/>
      <c r="V336" s="865"/>
      <c r="W336" s="2"/>
      <c r="X336" s="2"/>
      <c r="Y336" s="2"/>
      <c r="Z336" s="2"/>
      <c r="AA336" s="2"/>
      <c r="AB336" s="2"/>
      <c r="AC336" s="2"/>
      <c r="AD336" s="2"/>
      <c r="AE336" s="2"/>
      <c r="AF336" s="2"/>
      <c r="AG336" s="2"/>
      <c r="AH336" s="2"/>
      <c r="AI336" s="2"/>
      <c r="AJ336" s="218"/>
      <c r="AK336" s="218"/>
      <c r="AL336" s="218"/>
      <c r="AM336" s="218"/>
    </row>
    <row r="337">
      <c r="A337" s="33"/>
      <c r="B337" s="2"/>
      <c r="C337" s="2"/>
      <c r="D337" s="2"/>
      <c r="E337" s="2"/>
      <c r="F337" s="4"/>
      <c r="G337" s="2"/>
      <c r="H337" s="2"/>
      <c r="I337" s="2"/>
      <c r="J337" s="5"/>
      <c r="K337" s="2"/>
      <c r="L337" s="2"/>
      <c r="M337" s="2"/>
      <c r="N337" s="2"/>
      <c r="O337" s="2"/>
      <c r="P337" s="2"/>
      <c r="Q337" s="7"/>
      <c r="R337" s="224"/>
      <c r="S337" s="224"/>
      <c r="T337" s="224"/>
      <c r="U337" s="868"/>
      <c r="V337" s="865"/>
      <c r="W337" s="2"/>
      <c r="X337" s="2"/>
      <c r="Y337" s="2"/>
      <c r="Z337" s="2"/>
      <c r="AA337" s="2"/>
      <c r="AB337" s="2"/>
      <c r="AC337" s="2"/>
      <c r="AD337" s="2"/>
      <c r="AE337" s="2"/>
      <c r="AF337" s="2"/>
      <c r="AG337" s="2"/>
      <c r="AH337" s="2"/>
      <c r="AI337" s="2"/>
      <c r="AJ337" s="218"/>
      <c r="AK337" s="218"/>
      <c r="AL337" s="218"/>
      <c r="AM337" s="218"/>
    </row>
    <row r="338">
      <c r="A338" s="33"/>
      <c r="B338" s="2"/>
      <c r="C338" s="2"/>
      <c r="D338" s="2"/>
      <c r="E338" s="2"/>
      <c r="F338" s="4"/>
      <c r="G338" s="2"/>
      <c r="H338" s="2"/>
      <c r="I338" s="2"/>
      <c r="J338" s="5"/>
      <c r="K338" s="2"/>
      <c r="L338" s="2"/>
      <c r="M338" s="2"/>
      <c r="N338" s="2"/>
      <c r="O338" s="2"/>
      <c r="P338" s="2"/>
      <c r="Q338" s="7"/>
      <c r="R338" s="224"/>
      <c r="S338" s="224"/>
      <c r="T338" s="224"/>
      <c r="U338" s="868"/>
      <c r="V338" s="865"/>
      <c r="W338" s="2"/>
      <c r="X338" s="2"/>
      <c r="Y338" s="2"/>
      <c r="Z338" s="2"/>
      <c r="AA338" s="2"/>
      <c r="AB338" s="2"/>
      <c r="AC338" s="2"/>
      <c r="AD338" s="2"/>
      <c r="AE338" s="2"/>
      <c r="AF338" s="2"/>
      <c r="AG338" s="2"/>
      <c r="AH338" s="2"/>
      <c r="AI338" s="2"/>
      <c r="AJ338" s="218"/>
      <c r="AK338" s="218"/>
      <c r="AL338" s="218"/>
      <c r="AM338" s="218"/>
    </row>
    <row r="339">
      <c r="A339" s="33"/>
      <c r="B339" s="2"/>
      <c r="C339" s="2"/>
      <c r="D339" s="2"/>
      <c r="E339" s="2"/>
      <c r="F339" s="4"/>
      <c r="G339" s="2"/>
      <c r="H339" s="2"/>
      <c r="I339" s="2"/>
      <c r="J339" s="5"/>
      <c r="K339" s="2"/>
      <c r="L339" s="2"/>
      <c r="M339" s="2"/>
      <c r="N339" s="2"/>
      <c r="O339" s="2"/>
      <c r="P339" s="2"/>
      <c r="Q339" s="7"/>
      <c r="R339" s="224"/>
      <c r="S339" s="224"/>
      <c r="T339" s="224"/>
      <c r="U339" s="868"/>
      <c r="V339" s="865"/>
      <c r="W339" s="2"/>
      <c r="X339" s="2"/>
      <c r="Y339" s="2"/>
      <c r="Z339" s="2"/>
      <c r="AA339" s="2"/>
      <c r="AB339" s="2"/>
      <c r="AC339" s="2"/>
      <c r="AD339" s="2"/>
      <c r="AE339" s="2"/>
      <c r="AF339" s="2"/>
      <c r="AG339" s="2"/>
      <c r="AH339" s="2"/>
      <c r="AI339" s="2"/>
      <c r="AJ339" s="218"/>
      <c r="AK339" s="218"/>
      <c r="AL339" s="218"/>
      <c r="AM339" s="218"/>
    </row>
    <row r="340">
      <c r="A340" s="33"/>
      <c r="B340" s="2"/>
      <c r="C340" s="2"/>
      <c r="D340" s="2"/>
      <c r="E340" s="2"/>
      <c r="F340" s="4"/>
      <c r="G340" s="2"/>
      <c r="H340" s="2"/>
      <c r="I340" s="2"/>
      <c r="J340" s="5"/>
      <c r="K340" s="2"/>
      <c r="L340" s="2"/>
      <c r="M340" s="2"/>
      <c r="N340" s="2"/>
      <c r="O340" s="2"/>
      <c r="P340" s="2"/>
      <c r="Q340" s="7"/>
      <c r="R340" s="224"/>
      <c r="S340" s="224"/>
      <c r="T340" s="224"/>
      <c r="U340" s="868"/>
      <c r="V340" s="865"/>
      <c r="W340" s="2"/>
      <c r="X340" s="2"/>
      <c r="Y340" s="2"/>
      <c r="Z340" s="2"/>
      <c r="AA340" s="2"/>
      <c r="AB340" s="2"/>
      <c r="AC340" s="2"/>
      <c r="AD340" s="2"/>
      <c r="AE340" s="2"/>
      <c r="AF340" s="2"/>
      <c r="AG340" s="2"/>
      <c r="AH340" s="2"/>
      <c r="AI340" s="2"/>
      <c r="AJ340" s="218"/>
      <c r="AK340" s="218"/>
      <c r="AL340" s="218"/>
      <c r="AM340" s="218"/>
    </row>
    <row r="341">
      <c r="A341" s="33"/>
      <c r="B341" s="2"/>
      <c r="C341" s="2"/>
      <c r="D341" s="2"/>
      <c r="E341" s="2"/>
      <c r="F341" s="4"/>
      <c r="G341" s="2"/>
      <c r="H341" s="2"/>
      <c r="I341" s="2"/>
      <c r="J341" s="5"/>
      <c r="K341" s="2"/>
      <c r="L341" s="2"/>
      <c r="M341" s="2"/>
      <c r="N341" s="2"/>
      <c r="O341" s="2"/>
      <c r="P341" s="2"/>
      <c r="Q341" s="7"/>
      <c r="R341" s="224"/>
      <c r="S341" s="224"/>
      <c r="T341" s="224"/>
      <c r="U341" s="868"/>
      <c r="V341" s="865"/>
      <c r="W341" s="2"/>
      <c r="X341" s="2"/>
      <c r="Y341" s="2"/>
      <c r="Z341" s="2"/>
      <c r="AA341" s="2"/>
      <c r="AB341" s="2"/>
      <c r="AC341" s="2"/>
      <c r="AD341" s="2"/>
      <c r="AE341" s="2"/>
      <c r="AF341" s="2"/>
      <c r="AG341" s="2"/>
      <c r="AH341" s="2"/>
      <c r="AI341" s="2"/>
      <c r="AJ341" s="218"/>
      <c r="AK341" s="218"/>
      <c r="AL341" s="218"/>
      <c r="AM341" s="218"/>
    </row>
    <row r="342">
      <c r="A342" s="33"/>
      <c r="B342" s="2"/>
      <c r="C342" s="2"/>
      <c r="D342" s="2"/>
      <c r="E342" s="2"/>
      <c r="F342" s="4"/>
      <c r="G342" s="2"/>
      <c r="H342" s="2"/>
      <c r="I342" s="2"/>
      <c r="J342" s="5"/>
      <c r="K342" s="2"/>
      <c r="L342" s="2"/>
      <c r="M342" s="2"/>
      <c r="N342" s="2"/>
      <c r="O342" s="2"/>
      <c r="P342" s="2"/>
      <c r="Q342" s="7"/>
      <c r="R342" s="224"/>
      <c r="S342" s="224"/>
      <c r="T342" s="224"/>
      <c r="U342" s="868"/>
      <c r="V342" s="865"/>
      <c r="W342" s="2"/>
      <c r="X342" s="2"/>
      <c r="Y342" s="2"/>
      <c r="Z342" s="2"/>
      <c r="AA342" s="2"/>
      <c r="AB342" s="2"/>
      <c r="AC342" s="2"/>
      <c r="AD342" s="2"/>
      <c r="AE342" s="2"/>
      <c r="AF342" s="2"/>
      <c r="AG342" s="2"/>
      <c r="AH342" s="2"/>
      <c r="AI342" s="2"/>
      <c r="AJ342" s="218"/>
      <c r="AK342" s="218"/>
      <c r="AL342" s="218"/>
      <c r="AM342" s="218"/>
    </row>
    <row r="343">
      <c r="A343" s="33"/>
      <c r="B343" s="2"/>
      <c r="C343" s="2"/>
      <c r="D343" s="2"/>
      <c r="E343" s="2"/>
      <c r="F343" s="4"/>
      <c r="G343" s="2"/>
      <c r="H343" s="2"/>
      <c r="I343" s="2"/>
      <c r="J343" s="5"/>
      <c r="K343" s="2"/>
      <c r="L343" s="2"/>
      <c r="M343" s="2"/>
      <c r="N343" s="2"/>
      <c r="O343" s="2"/>
      <c r="P343" s="2"/>
      <c r="Q343" s="7"/>
      <c r="R343" s="224"/>
      <c r="S343" s="224"/>
      <c r="T343" s="224"/>
      <c r="U343" s="868"/>
      <c r="V343" s="865"/>
      <c r="W343" s="2"/>
      <c r="X343" s="2"/>
      <c r="Y343" s="2"/>
      <c r="Z343" s="2"/>
      <c r="AA343" s="2"/>
      <c r="AB343" s="2"/>
      <c r="AC343" s="2"/>
      <c r="AD343" s="2"/>
      <c r="AE343" s="2"/>
      <c r="AF343" s="2"/>
      <c r="AG343" s="2"/>
      <c r="AH343" s="2"/>
      <c r="AI343" s="2"/>
      <c r="AJ343" s="218"/>
      <c r="AK343" s="218"/>
      <c r="AL343" s="218"/>
      <c r="AM343" s="218"/>
    </row>
    <row r="344">
      <c r="A344" s="33"/>
      <c r="B344" s="2"/>
      <c r="C344" s="2"/>
      <c r="D344" s="2"/>
      <c r="E344" s="2"/>
      <c r="F344" s="4"/>
      <c r="G344" s="2"/>
      <c r="H344" s="2"/>
      <c r="I344" s="2"/>
      <c r="J344" s="5"/>
      <c r="K344" s="2"/>
      <c r="L344" s="2"/>
      <c r="M344" s="2"/>
      <c r="N344" s="2"/>
      <c r="O344" s="2"/>
      <c r="P344" s="2"/>
      <c r="Q344" s="7"/>
      <c r="R344" s="224"/>
      <c r="S344" s="224"/>
      <c r="T344" s="224"/>
      <c r="U344" s="868"/>
      <c r="V344" s="865"/>
      <c r="W344" s="2"/>
      <c r="X344" s="2"/>
      <c r="Y344" s="2"/>
      <c r="Z344" s="2"/>
      <c r="AA344" s="2"/>
      <c r="AB344" s="2"/>
      <c r="AC344" s="2"/>
      <c r="AD344" s="2"/>
      <c r="AE344" s="2"/>
      <c r="AF344" s="2"/>
      <c r="AG344" s="2"/>
      <c r="AH344" s="2"/>
      <c r="AI344" s="2"/>
      <c r="AJ344" s="218"/>
      <c r="AK344" s="218"/>
      <c r="AL344" s="218"/>
      <c r="AM344" s="218"/>
    </row>
    <row r="345">
      <c r="A345" s="33"/>
      <c r="B345" s="2"/>
      <c r="C345" s="2"/>
      <c r="D345" s="2"/>
      <c r="E345" s="2"/>
      <c r="F345" s="4"/>
      <c r="G345" s="2"/>
      <c r="H345" s="2"/>
      <c r="I345" s="2"/>
      <c r="J345" s="5"/>
      <c r="K345" s="2"/>
      <c r="L345" s="2"/>
      <c r="M345" s="2"/>
      <c r="N345" s="2"/>
      <c r="O345" s="2"/>
      <c r="P345" s="2"/>
      <c r="Q345" s="7"/>
      <c r="R345" s="224"/>
      <c r="S345" s="224"/>
      <c r="T345" s="224"/>
      <c r="U345" s="868"/>
      <c r="V345" s="865"/>
      <c r="W345" s="2"/>
      <c r="X345" s="2"/>
      <c r="Y345" s="2"/>
      <c r="Z345" s="2"/>
      <c r="AA345" s="2"/>
      <c r="AB345" s="2"/>
      <c r="AC345" s="2"/>
      <c r="AD345" s="2"/>
      <c r="AE345" s="2"/>
      <c r="AF345" s="2"/>
      <c r="AG345" s="2"/>
      <c r="AH345" s="2"/>
      <c r="AI345" s="2"/>
      <c r="AJ345" s="218"/>
      <c r="AK345" s="218"/>
      <c r="AL345" s="218"/>
      <c r="AM345" s="218"/>
    </row>
    <row r="346">
      <c r="A346" s="33"/>
      <c r="B346" s="2"/>
      <c r="C346" s="2"/>
      <c r="D346" s="2"/>
      <c r="E346" s="2"/>
      <c r="F346" s="4"/>
      <c r="G346" s="2"/>
      <c r="H346" s="2"/>
      <c r="I346" s="2"/>
      <c r="J346" s="5"/>
      <c r="K346" s="2"/>
      <c r="L346" s="2"/>
      <c r="M346" s="2"/>
      <c r="N346" s="2"/>
      <c r="O346" s="2"/>
      <c r="P346" s="2"/>
      <c r="Q346" s="7"/>
      <c r="R346" s="224"/>
      <c r="S346" s="224"/>
      <c r="T346" s="224"/>
      <c r="U346" s="868"/>
      <c r="V346" s="865"/>
      <c r="W346" s="2"/>
      <c r="X346" s="2"/>
      <c r="Y346" s="2"/>
      <c r="Z346" s="2"/>
      <c r="AA346" s="2"/>
      <c r="AB346" s="2"/>
      <c r="AC346" s="2"/>
      <c r="AD346" s="2"/>
      <c r="AE346" s="2"/>
      <c r="AF346" s="2"/>
      <c r="AG346" s="2"/>
      <c r="AH346" s="2"/>
      <c r="AI346" s="2"/>
      <c r="AJ346" s="218"/>
      <c r="AK346" s="218"/>
      <c r="AL346" s="218"/>
      <c r="AM346" s="218"/>
    </row>
    <row r="347">
      <c r="A347" s="33"/>
      <c r="B347" s="2"/>
      <c r="C347" s="2"/>
      <c r="D347" s="2"/>
      <c r="E347" s="2"/>
      <c r="F347" s="4"/>
      <c r="G347" s="2"/>
      <c r="H347" s="2"/>
      <c r="I347" s="2"/>
      <c r="J347" s="5"/>
      <c r="K347" s="2"/>
      <c r="L347" s="2"/>
      <c r="M347" s="2"/>
      <c r="N347" s="2"/>
      <c r="O347" s="2"/>
      <c r="P347" s="2"/>
      <c r="Q347" s="7"/>
      <c r="R347" s="224"/>
      <c r="S347" s="224"/>
      <c r="T347" s="224"/>
      <c r="U347" s="868"/>
      <c r="V347" s="865"/>
      <c r="W347" s="2"/>
      <c r="X347" s="2"/>
      <c r="Y347" s="2"/>
      <c r="Z347" s="2"/>
      <c r="AA347" s="2"/>
      <c r="AB347" s="2"/>
      <c r="AC347" s="2"/>
      <c r="AD347" s="2"/>
      <c r="AE347" s="2"/>
      <c r="AF347" s="2"/>
      <c r="AG347" s="2"/>
      <c r="AH347" s="2"/>
      <c r="AI347" s="2"/>
      <c r="AJ347" s="218"/>
      <c r="AK347" s="218"/>
      <c r="AL347" s="218"/>
      <c r="AM347" s="218"/>
    </row>
    <row r="348">
      <c r="A348" s="33"/>
      <c r="B348" s="2"/>
      <c r="C348" s="2"/>
      <c r="D348" s="2"/>
      <c r="E348" s="2"/>
      <c r="F348" s="4"/>
      <c r="G348" s="2"/>
      <c r="H348" s="2"/>
      <c r="I348" s="2"/>
      <c r="J348" s="5"/>
      <c r="K348" s="2"/>
      <c r="L348" s="2"/>
      <c r="M348" s="2"/>
      <c r="N348" s="2"/>
      <c r="O348" s="2"/>
      <c r="P348" s="2"/>
      <c r="Q348" s="7"/>
      <c r="R348" s="224"/>
      <c r="S348" s="224"/>
      <c r="T348" s="224"/>
      <c r="U348" s="868"/>
      <c r="V348" s="865"/>
      <c r="W348" s="2"/>
      <c r="X348" s="2"/>
      <c r="Y348" s="2"/>
      <c r="Z348" s="2"/>
      <c r="AA348" s="2"/>
      <c r="AB348" s="2"/>
      <c r="AC348" s="2"/>
      <c r="AD348" s="2"/>
      <c r="AE348" s="2"/>
      <c r="AF348" s="2"/>
      <c r="AG348" s="2"/>
      <c r="AH348" s="2"/>
      <c r="AI348" s="2"/>
      <c r="AJ348" s="218"/>
      <c r="AK348" s="218"/>
      <c r="AL348" s="218"/>
      <c r="AM348" s="218"/>
    </row>
    <row r="349">
      <c r="A349" s="33"/>
      <c r="B349" s="2"/>
      <c r="C349" s="2"/>
      <c r="D349" s="2"/>
      <c r="E349" s="2"/>
      <c r="F349" s="4"/>
      <c r="G349" s="2"/>
      <c r="H349" s="2"/>
      <c r="I349" s="2"/>
      <c r="J349" s="5"/>
      <c r="K349" s="2"/>
      <c r="L349" s="2"/>
      <c r="M349" s="2"/>
      <c r="N349" s="2"/>
      <c r="O349" s="2"/>
      <c r="P349" s="2"/>
      <c r="Q349" s="7"/>
      <c r="R349" s="224"/>
      <c r="S349" s="224"/>
      <c r="T349" s="224"/>
      <c r="U349" s="868"/>
      <c r="V349" s="865"/>
      <c r="W349" s="2"/>
      <c r="X349" s="2"/>
      <c r="Y349" s="2"/>
      <c r="Z349" s="2"/>
      <c r="AA349" s="2"/>
      <c r="AB349" s="2"/>
      <c r="AC349" s="2"/>
      <c r="AD349" s="2"/>
      <c r="AE349" s="2"/>
      <c r="AF349" s="2"/>
      <c r="AG349" s="2"/>
      <c r="AH349" s="2"/>
      <c r="AI349" s="2"/>
      <c r="AJ349" s="218"/>
      <c r="AK349" s="218"/>
      <c r="AL349" s="218"/>
      <c r="AM349" s="218"/>
    </row>
    <row r="350">
      <c r="A350" s="33"/>
      <c r="B350" s="2"/>
      <c r="C350" s="2"/>
      <c r="D350" s="2"/>
      <c r="E350" s="2"/>
      <c r="F350" s="4"/>
      <c r="G350" s="2"/>
      <c r="H350" s="2"/>
      <c r="I350" s="2"/>
      <c r="J350" s="5"/>
      <c r="K350" s="2"/>
      <c r="L350" s="2"/>
      <c r="M350" s="2"/>
      <c r="N350" s="2"/>
      <c r="O350" s="2"/>
      <c r="P350" s="2"/>
      <c r="Q350" s="7"/>
      <c r="R350" s="224"/>
      <c r="S350" s="224"/>
      <c r="T350" s="224"/>
      <c r="U350" s="868"/>
      <c r="V350" s="865"/>
      <c r="W350" s="2"/>
      <c r="X350" s="2"/>
      <c r="Y350" s="2"/>
      <c r="Z350" s="2"/>
      <c r="AA350" s="2"/>
      <c r="AB350" s="2"/>
      <c r="AC350" s="2"/>
      <c r="AD350" s="2"/>
      <c r="AE350" s="2"/>
      <c r="AF350" s="2"/>
      <c r="AG350" s="2"/>
      <c r="AH350" s="2"/>
      <c r="AI350" s="2"/>
      <c r="AJ350" s="218"/>
      <c r="AK350" s="218"/>
      <c r="AL350" s="218"/>
      <c r="AM350" s="218"/>
    </row>
    <row r="351">
      <c r="A351" s="33"/>
      <c r="B351" s="2"/>
      <c r="C351" s="2"/>
      <c r="D351" s="2"/>
      <c r="E351" s="2"/>
      <c r="F351" s="4"/>
      <c r="G351" s="2"/>
      <c r="H351" s="2"/>
      <c r="I351" s="2"/>
      <c r="J351" s="5"/>
      <c r="K351" s="2"/>
      <c r="L351" s="2"/>
      <c r="M351" s="2"/>
      <c r="N351" s="2"/>
      <c r="O351" s="2"/>
      <c r="P351" s="2"/>
      <c r="Q351" s="7"/>
      <c r="R351" s="224"/>
      <c r="S351" s="224"/>
      <c r="T351" s="224"/>
      <c r="U351" s="868"/>
      <c r="V351" s="865"/>
      <c r="W351" s="2"/>
      <c r="X351" s="2"/>
      <c r="Y351" s="2"/>
      <c r="Z351" s="2"/>
      <c r="AA351" s="2"/>
      <c r="AB351" s="2"/>
      <c r="AC351" s="2"/>
      <c r="AD351" s="2"/>
      <c r="AE351" s="2"/>
      <c r="AF351" s="2"/>
      <c r="AG351" s="2"/>
      <c r="AH351" s="2"/>
      <c r="AI351" s="2"/>
      <c r="AJ351" s="218"/>
      <c r="AK351" s="218"/>
      <c r="AL351" s="218"/>
      <c r="AM351" s="218"/>
    </row>
    <row r="352">
      <c r="A352" s="33"/>
      <c r="B352" s="2"/>
      <c r="C352" s="2"/>
      <c r="D352" s="2"/>
      <c r="E352" s="2"/>
      <c r="F352" s="4"/>
      <c r="G352" s="2"/>
      <c r="H352" s="2"/>
      <c r="I352" s="2"/>
      <c r="J352" s="5"/>
      <c r="K352" s="2"/>
      <c r="L352" s="2"/>
      <c r="M352" s="2"/>
      <c r="N352" s="2"/>
      <c r="O352" s="2"/>
      <c r="P352" s="2"/>
      <c r="Q352" s="7"/>
      <c r="R352" s="224"/>
      <c r="S352" s="224"/>
      <c r="T352" s="224"/>
      <c r="U352" s="868"/>
      <c r="V352" s="865"/>
      <c r="W352" s="2"/>
      <c r="X352" s="2"/>
      <c r="Y352" s="2"/>
      <c r="Z352" s="2"/>
      <c r="AA352" s="2"/>
      <c r="AB352" s="2"/>
      <c r="AC352" s="2"/>
      <c r="AD352" s="2"/>
      <c r="AE352" s="2"/>
      <c r="AF352" s="2"/>
      <c r="AG352" s="2"/>
      <c r="AH352" s="2"/>
      <c r="AI352" s="2"/>
      <c r="AJ352" s="218"/>
      <c r="AK352" s="218"/>
      <c r="AL352" s="218"/>
      <c r="AM352" s="218"/>
    </row>
    <row r="353">
      <c r="A353" s="33"/>
      <c r="B353" s="2"/>
      <c r="C353" s="2"/>
      <c r="D353" s="2"/>
      <c r="E353" s="2"/>
      <c r="F353" s="4"/>
      <c r="G353" s="2"/>
      <c r="H353" s="2"/>
      <c r="I353" s="2"/>
      <c r="J353" s="5"/>
      <c r="K353" s="2"/>
      <c r="L353" s="2"/>
      <c r="M353" s="2"/>
      <c r="N353" s="2"/>
      <c r="O353" s="2"/>
      <c r="P353" s="2"/>
      <c r="Q353" s="7"/>
      <c r="R353" s="224"/>
      <c r="S353" s="224"/>
      <c r="T353" s="224"/>
      <c r="U353" s="868"/>
      <c r="V353" s="865"/>
      <c r="W353" s="2"/>
      <c r="X353" s="2"/>
      <c r="Y353" s="2"/>
      <c r="Z353" s="2"/>
      <c r="AA353" s="2"/>
      <c r="AB353" s="2"/>
      <c r="AC353" s="2"/>
      <c r="AD353" s="2"/>
      <c r="AE353" s="2"/>
      <c r="AF353" s="2"/>
      <c r="AG353" s="2"/>
      <c r="AH353" s="2"/>
      <c r="AI353" s="2"/>
      <c r="AJ353" s="218"/>
      <c r="AK353" s="218"/>
      <c r="AL353" s="218"/>
      <c r="AM353" s="218"/>
    </row>
    <row r="354">
      <c r="A354" s="33"/>
      <c r="B354" s="2"/>
      <c r="C354" s="2"/>
      <c r="D354" s="2"/>
      <c r="E354" s="2"/>
      <c r="F354" s="4"/>
      <c r="G354" s="2"/>
      <c r="H354" s="2"/>
      <c r="I354" s="2"/>
      <c r="J354" s="5"/>
      <c r="K354" s="2"/>
      <c r="L354" s="2"/>
      <c r="M354" s="2"/>
      <c r="N354" s="2"/>
      <c r="O354" s="2"/>
      <c r="P354" s="2"/>
      <c r="Q354" s="7"/>
      <c r="R354" s="224"/>
      <c r="S354" s="224"/>
      <c r="T354" s="224"/>
      <c r="U354" s="868"/>
      <c r="V354" s="865"/>
      <c r="W354" s="2"/>
      <c r="X354" s="2"/>
      <c r="Y354" s="2"/>
      <c r="Z354" s="2"/>
      <c r="AA354" s="2"/>
      <c r="AB354" s="2"/>
      <c r="AC354" s="2"/>
      <c r="AD354" s="2"/>
      <c r="AE354" s="2"/>
      <c r="AF354" s="2"/>
      <c r="AG354" s="2"/>
      <c r="AH354" s="2"/>
      <c r="AI354" s="2"/>
      <c r="AJ354" s="218"/>
      <c r="AK354" s="218"/>
      <c r="AL354" s="218"/>
      <c r="AM354" s="218"/>
    </row>
    <row r="355">
      <c r="A355" s="33"/>
      <c r="B355" s="2"/>
      <c r="C355" s="2"/>
      <c r="D355" s="2"/>
      <c r="E355" s="2"/>
      <c r="F355" s="4"/>
      <c r="G355" s="2"/>
      <c r="H355" s="2"/>
      <c r="I355" s="2"/>
      <c r="J355" s="5"/>
      <c r="K355" s="2"/>
      <c r="L355" s="2"/>
      <c r="M355" s="2"/>
      <c r="N355" s="2"/>
      <c r="O355" s="2"/>
      <c r="P355" s="2"/>
      <c r="Q355" s="7"/>
      <c r="R355" s="224"/>
      <c r="S355" s="224"/>
      <c r="T355" s="224"/>
      <c r="U355" s="868"/>
      <c r="V355" s="865"/>
      <c r="W355" s="2"/>
      <c r="X355" s="2"/>
      <c r="Y355" s="2"/>
      <c r="Z355" s="2"/>
      <c r="AA355" s="2"/>
      <c r="AB355" s="2"/>
      <c r="AC355" s="2"/>
      <c r="AD355" s="2"/>
      <c r="AE355" s="2"/>
      <c r="AF355" s="2"/>
      <c r="AG355" s="2"/>
      <c r="AH355" s="2"/>
      <c r="AI355" s="2"/>
      <c r="AJ355" s="218"/>
      <c r="AK355" s="218"/>
      <c r="AL355" s="218"/>
      <c r="AM355" s="218"/>
    </row>
    <row r="356">
      <c r="A356" s="33"/>
      <c r="B356" s="2"/>
      <c r="C356" s="2"/>
      <c r="D356" s="2"/>
      <c r="E356" s="2"/>
      <c r="F356" s="4"/>
      <c r="G356" s="2"/>
      <c r="H356" s="2"/>
      <c r="I356" s="2"/>
      <c r="J356" s="5"/>
      <c r="K356" s="2"/>
      <c r="L356" s="2"/>
      <c r="M356" s="2"/>
      <c r="N356" s="2"/>
      <c r="O356" s="2"/>
      <c r="P356" s="2"/>
      <c r="Q356" s="7"/>
      <c r="R356" s="224"/>
      <c r="S356" s="224"/>
      <c r="T356" s="224"/>
      <c r="U356" s="868"/>
      <c r="V356" s="865"/>
      <c r="W356" s="2"/>
      <c r="X356" s="2"/>
      <c r="Y356" s="2"/>
      <c r="Z356" s="2"/>
      <c r="AA356" s="2"/>
      <c r="AB356" s="2"/>
      <c r="AC356" s="2"/>
      <c r="AD356" s="2"/>
      <c r="AE356" s="2"/>
      <c r="AF356" s="2"/>
      <c r="AG356" s="2"/>
      <c r="AH356" s="2"/>
      <c r="AI356" s="2"/>
      <c r="AJ356" s="218"/>
      <c r="AK356" s="218"/>
      <c r="AL356" s="218"/>
      <c r="AM356" s="218"/>
    </row>
    <row r="357">
      <c r="A357" s="33"/>
      <c r="B357" s="2"/>
      <c r="C357" s="2"/>
      <c r="D357" s="2"/>
      <c r="E357" s="2"/>
      <c r="F357" s="4"/>
      <c r="G357" s="2"/>
      <c r="H357" s="2"/>
      <c r="I357" s="2"/>
      <c r="J357" s="5"/>
      <c r="K357" s="2"/>
      <c r="L357" s="2"/>
      <c r="M357" s="2"/>
      <c r="N357" s="2"/>
      <c r="O357" s="2"/>
      <c r="P357" s="2"/>
      <c r="Q357" s="7"/>
      <c r="R357" s="224"/>
      <c r="S357" s="224"/>
      <c r="T357" s="224"/>
      <c r="U357" s="868"/>
      <c r="V357" s="865"/>
      <c r="W357" s="2"/>
      <c r="X357" s="2"/>
      <c r="Y357" s="2"/>
      <c r="Z357" s="2"/>
      <c r="AA357" s="2"/>
      <c r="AB357" s="2"/>
      <c r="AC357" s="2"/>
      <c r="AD357" s="2"/>
      <c r="AE357" s="2"/>
      <c r="AF357" s="2"/>
      <c r="AG357" s="2"/>
      <c r="AH357" s="2"/>
      <c r="AI357" s="2"/>
      <c r="AJ357" s="218"/>
      <c r="AK357" s="218"/>
      <c r="AL357" s="218"/>
      <c r="AM357" s="218"/>
    </row>
    <row r="358">
      <c r="A358" s="33"/>
      <c r="B358" s="2"/>
      <c r="C358" s="2"/>
      <c r="D358" s="2"/>
      <c r="E358" s="2"/>
      <c r="F358" s="4"/>
      <c r="G358" s="2"/>
      <c r="H358" s="2"/>
      <c r="I358" s="2"/>
      <c r="J358" s="5"/>
      <c r="K358" s="2"/>
      <c r="L358" s="2"/>
      <c r="M358" s="2"/>
      <c r="N358" s="2"/>
      <c r="O358" s="2"/>
      <c r="P358" s="2"/>
      <c r="Q358" s="7"/>
      <c r="R358" s="224"/>
      <c r="S358" s="224"/>
      <c r="T358" s="224"/>
      <c r="U358" s="868"/>
      <c r="V358" s="865"/>
      <c r="W358" s="2"/>
      <c r="X358" s="2"/>
      <c r="Y358" s="2"/>
      <c r="Z358" s="2"/>
      <c r="AA358" s="2"/>
      <c r="AB358" s="2"/>
      <c r="AC358" s="2"/>
      <c r="AD358" s="2"/>
      <c r="AE358" s="2"/>
      <c r="AF358" s="2"/>
      <c r="AG358" s="2"/>
      <c r="AH358" s="2"/>
      <c r="AI358" s="2"/>
      <c r="AJ358" s="218"/>
      <c r="AK358" s="218"/>
      <c r="AL358" s="218"/>
      <c r="AM358" s="218"/>
    </row>
    <row r="359">
      <c r="A359" s="33"/>
      <c r="B359" s="2"/>
      <c r="C359" s="2"/>
      <c r="D359" s="2"/>
      <c r="E359" s="2"/>
      <c r="F359" s="4"/>
      <c r="G359" s="2"/>
      <c r="H359" s="2"/>
      <c r="I359" s="2"/>
      <c r="J359" s="5"/>
      <c r="K359" s="2"/>
      <c r="L359" s="2"/>
      <c r="M359" s="2"/>
      <c r="N359" s="2"/>
      <c r="O359" s="2"/>
      <c r="P359" s="2"/>
      <c r="Q359" s="7"/>
      <c r="R359" s="224"/>
      <c r="S359" s="224"/>
      <c r="T359" s="224"/>
      <c r="U359" s="868"/>
      <c r="V359" s="865"/>
      <c r="W359" s="2"/>
      <c r="X359" s="2"/>
      <c r="Y359" s="2"/>
      <c r="Z359" s="2"/>
      <c r="AA359" s="2"/>
      <c r="AB359" s="2"/>
      <c r="AC359" s="2"/>
      <c r="AD359" s="2"/>
      <c r="AE359" s="2"/>
      <c r="AF359" s="2"/>
      <c r="AG359" s="2"/>
      <c r="AH359" s="2"/>
      <c r="AI359" s="2"/>
      <c r="AJ359" s="218"/>
      <c r="AK359" s="218"/>
      <c r="AL359" s="218"/>
      <c r="AM359" s="218"/>
    </row>
    <row r="360">
      <c r="A360" s="33"/>
      <c r="B360" s="2"/>
      <c r="C360" s="2"/>
      <c r="D360" s="2"/>
      <c r="E360" s="2"/>
      <c r="F360" s="4"/>
      <c r="G360" s="2"/>
      <c r="H360" s="2"/>
      <c r="I360" s="2"/>
      <c r="J360" s="5"/>
      <c r="K360" s="2"/>
      <c r="L360" s="2"/>
      <c r="M360" s="2"/>
      <c r="N360" s="2"/>
      <c r="O360" s="2"/>
      <c r="P360" s="2"/>
      <c r="Q360" s="7"/>
      <c r="R360" s="224"/>
      <c r="S360" s="224"/>
      <c r="T360" s="224"/>
      <c r="U360" s="868"/>
      <c r="V360" s="865"/>
      <c r="W360" s="2"/>
      <c r="X360" s="2"/>
      <c r="Y360" s="2"/>
      <c r="Z360" s="2"/>
      <c r="AA360" s="2"/>
      <c r="AB360" s="2"/>
      <c r="AC360" s="2"/>
      <c r="AD360" s="2"/>
      <c r="AE360" s="2"/>
      <c r="AF360" s="2"/>
      <c r="AG360" s="2"/>
      <c r="AH360" s="2"/>
      <c r="AI360" s="2"/>
      <c r="AJ360" s="218"/>
      <c r="AK360" s="218"/>
      <c r="AL360" s="218"/>
      <c r="AM360" s="218"/>
    </row>
    <row r="361">
      <c r="A361" s="33"/>
      <c r="B361" s="2"/>
      <c r="C361" s="2"/>
      <c r="D361" s="2"/>
      <c r="E361" s="2"/>
      <c r="F361" s="4"/>
      <c r="G361" s="2"/>
      <c r="H361" s="2"/>
      <c r="I361" s="2"/>
      <c r="J361" s="5"/>
      <c r="K361" s="2"/>
      <c r="L361" s="2"/>
      <c r="M361" s="2"/>
      <c r="N361" s="2"/>
      <c r="O361" s="2"/>
      <c r="P361" s="2"/>
      <c r="Q361" s="7"/>
      <c r="R361" s="224"/>
      <c r="S361" s="224"/>
      <c r="T361" s="224"/>
      <c r="U361" s="868"/>
      <c r="V361" s="865"/>
      <c r="W361" s="2"/>
      <c r="X361" s="2"/>
      <c r="Y361" s="2"/>
      <c r="Z361" s="2"/>
      <c r="AA361" s="2"/>
      <c r="AB361" s="2"/>
      <c r="AC361" s="2"/>
      <c r="AD361" s="2"/>
      <c r="AE361" s="2"/>
      <c r="AF361" s="2"/>
      <c r="AG361" s="2"/>
      <c r="AH361" s="2"/>
      <c r="AI361" s="2"/>
      <c r="AJ361" s="218"/>
      <c r="AK361" s="218"/>
      <c r="AL361" s="218"/>
      <c r="AM361" s="218"/>
    </row>
    <row r="362">
      <c r="A362" s="33"/>
      <c r="B362" s="2"/>
      <c r="C362" s="2"/>
      <c r="D362" s="2"/>
      <c r="E362" s="2"/>
      <c r="F362" s="4"/>
      <c r="G362" s="2"/>
      <c r="H362" s="2"/>
      <c r="I362" s="2"/>
      <c r="J362" s="5"/>
      <c r="K362" s="2"/>
      <c r="L362" s="2"/>
      <c r="M362" s="2"/>
      <c r="N362" s="2"/>
      <c r="O362" s="2"/>
      <c r="P362" s="2"/>
      <c r="Q362" s="7"/>
      <c r="R362" s="224"/>
      <c r="S362" s="224"/>
      <c r="T362" s="224"/>
      <c r="U362" s="868"/>
      <c r="V362" s="865"/>
      <c r="W362" s="2"/>
      <c r="X362" s="2"/>
      <c r="Y362" s="2"/>
      <c r="Z362" s="2"/>
      <c r="AA362" s="2"/>
      <c r="AB362" s="2"/>
      <c r="AC362" s="2"/>
      <c r="AD362" s="2"/>
      <c r="AE362" s="2"/>
      <c r="AF362" s="2"/>
      <c r="AG362" s="2"/>
      <c r="AH362" s="2"/>
      <c r="AI362" s="2"/>
      <c r="AJ362" s="218"/>
      <c r="AK362" s="218"/>
      <c r="AL362" s="218"/>
      <c r="AM362" s="218"/>
    </row>
    <row r="363">
      <c r="A363" s="33"/>
      <c r="B363" s="2"/>
      <c r="C363" s="2"/>
      <c r="D363" s="2"/>
      <c r="E363" s="2"/>
      <c r="F363" s="4"/>
      <c r="G363" s="2"/>
      <c r="H363" s="2"/>
      <c r="I363" s="2"/>
      <c r="J363" s="5"/>
      <c r="K363" s="2"/>
      <c r="L363" s="2"/>
      <c r="M363" s="2"/>
      <c r="N363" s="2"/>
      <c r="O363" s="2"/>
      <c r="P363" s="2"/>
      <c r="Q363" s="7"/>
      <c r="R363" s="224"/>
      <c r="S363" s="224"/>
      <c r="T363" s="224"/>
      <c r="U363" s="868"/>
      <c r="V363" s="865"/>
      <c r="W363" s="2"/>
      <c r="X363" s="2"/>
      <c r="Y363" s="2"/>
      <c r="Z363" s="2"/>
      <c r="AA363" s="2"/>
      <c r="AB363" s="2"/>
      <c r="AC363" s="2"/>
      <c r="AD363" s="2"/>
      <c r="AE363" s="2"/>
      <c r="AF363" s="2"/>
      <c r="AG363" s="2"/>
      <c r="AH363" s="2"/>
      <c r="AI363" s="2"/>
      <c r="AJ363" s="218"/>
      <c r="AK363" s="218"/>
      <c r="AL363" s="218"/>
      <c r="AM363" s="218"/>
    </row>
    <row r="364">
      <c r="A364" s="33"/>
      <c r="B364" s="2"/>
      <c r="C364" s="2"/>
      <c r="D364" s="2"/>
      <c r="E364" s="2"/>
      <c r="F364" s="4"/>
      <c r="G364" s="2"/>
      <c r="H364" s="2"/>
      <c r="I364" s="2"/>
      <c r="J364" s="5"/>
      <c r="K364" s="2"/>
      <c r="L364" s="2"/>
      <c r="M364" s="2"/>
      <c r="N364" s="2"/>
      <c r="O364" s="2"/>
      <c r="P364" s="2"/>
      <c r="Q364" s="7"/>
      <c r="R364" s="224"/>
      <c r="S364" s="224"/>
      <c r="T364" s="224"/>
      <c r="U364" s="868"/>
      <c r="V364" s="865"/>
      <c r="W364" s="2"/>
      <c r="X364" s="2"/>
      <c r="Y364" s="2"/>
      <c r="Z364" s="2"/>
      <c r="AA364" s="2"/>
      <c r="AB364" s="2"/>
      <c r="AC364" s="2"/>
      <c r="AD364" s="2"/>
      <c r="AE364" s="2"/>
      <c r="AF364" s="2"/>
      <c r="AG364" s="2"/>
      <c r="AH364" s="2"/>
      <c r="AI364" s="2"/>
      <c r="AJ364" s="218"/>
      <c r="AK364" s="218"/>
      <c r="AL364" s="218"/>
      <c r="AM364" s="218"/>
    </row>
    <row r="365">
      <c r="A365" s="33"/>
      <c r="B365" s="2"/>
      <c r="C365" s="2"/>
      <c r="D365" s="2"/>
      <c r="E365" s="2"/>
      <c r="F365" s="4"/>
      <c r="G365" s="2"/>
      <c r="H365" s="2"/>
      <c r="I365" s="2"/>
      <c r="J365" s="5"/>
      <c r="K365" s="2"/>
      <c r="L365" s="2"/>
      <c r="M365" s="2"/>
      <c r="N365" s="2"/>
      <c r="O365" s="2"/>
      <c r="P365" s="2"/>
      <c r="Q365" s="7"/>
      <c r="R365" s="224"/>
      <c r="S365" s="224"/>
      <c r="T365" s="224"/>
      <c r="U365" s="868"/>
      <c r="V365" s="865"/>
      <c r="W365" s="2"/>
      <c r="X365" s="2"/>
      <c r="Y365" s="2"/>
      <c r="Z365" s="2"/>
      <c r="AA365" s="2"/>
      <c r="AB365" s="2"/>
      <c r="AC365" s="2"/>
      <c r="AD365" s="2"/>
      <c r="AE365" s="2"/>
      <c r="AF365" s="2"/>
      <c r="AG365" s="2"/>
      <c r="AH365" s="2"/>
      <c r="AI365" s="2"/>
      <c r="AJ365" s="218"/>
      <c r="AK365" s="218"/>
      <c r="AL365" s="218"/>
      <c r="AM365" s="218"/>
    </row>
    <row r="366">
      <c r="A366" s="33"/>
      <c r="B366" s="2"/>
      <c r="C366" s="2"/>
      <c r="D366" s="2"/>
      <c r="E366" s="2"/>
      <c r="F366" s="4"/>
      <c r="G366" s="2"/>
      <c r="H366" s="2"/>
      <c r="I366" s="2"/>
      <c r="J366" s="5"/>
      <c r="K366" s="2"/>
      <c r="L366" s="2"/>
      <c r="M366" s="2"/>
      <c r="N366" s="2"/>
      <c r="O366" s="2"/>
      <c r="P366" s="2"/>
      <c r="Q366" s="7"/>
      <c r="R366" s="224"/>
      <c r="S366" s="224"/>
      <c r="T366" s="224"/>
      <c r="U366" s="868"/>
      <c r="V366" s="865"/>
      <c r="W366" s="2"/>
      <c r="X366" s="2"/>
      <c r="Y366" s="2"/>
      <c r="Z366" s="2"/>
      <c r="AA366" s="2"/>
      <c r="AB366" s="2"/>
      <c r="AC366" s="2"/>
      <c r="AD366" s="2"/>
      <c r="AE366" s="2"/>
      <c r="AF366" s="2"/>
      <c r="AG366" s="2"/>
      <c r="AH366" s="2"/>
      <c r="AI366" s="2"/>
      <c r="AJ366" s="218"/>
      <c r="AK366" s="218"/>
      <c r="AL366" s="218"/>
      <c r="AM366" s="218"/>
    </row>
    <row r="367">
      <c r="A367" s="33"/>
      <c r="B367" s="2"/>
      <c r="C367" s="2"/>
      <c r="D367" s="2"/>
      <c r="E367" s="2"/>
      <c r="F367" s="4"/>
      <c r="G367" s="2"/>
      <c r="H367" s="2"/>
      <c r="I367" s="2"/>
      <c r="J367" s="5"/>
      <c r="K367" s="2"/>
      <c r="L367" s="2"/>
      <c r="M367" s="2"/>
      <c r="N367" s="2"/>
      <c r="O367" s="2"/>
      <c r="P367" s="2"/>
      <c r="Q367" s="7"/>
      <c r="R367" s="224"/>
      <c r="S367" s="224"/>
      <c r="T367" s="224"/>
      <c r="U367" s="868"/>
      <c r="V367" s="865"/>
      <c r="W367" s="2"/>
      <c r="X367" s="2"/>
      <c r="Y367" s="2"/>
      <c r="Z367" s="2"/>
      <c r="AA367" s="2"/>
      <c r="AB367" s="2"/>
      <c r="AC367" s="2"/>
      <c r="AD367" s="2"/>
      <c r="AE367" s="2"/>
      <c r="AF367" s="2"/>
      <c r="AG367" s="2"/>
      <c r="AH367" s="2"/>
      <c r="AI367" s="2"/>
      <c r="AJ367" s="218"/>
      <c r="AK367" s="218"/>
      <c r="AL367" s="218"/>
      <c r="AM367" s="218"/>
    </row>
    <row r="368">
      <c r="A368" s="33"/>
      <c r="B368" s="2"/>
      <c r="C368" s="2"/>
      <c r="D368" s="2"/>
      <c r="E368" s="2"/>
      <c r="F368" s="4"/>
      <c r="G368" s="2"/>
      <c r="H368" s="2"/>
      <c r="I368" s="2"/>
      <c r="J368" s="5"/>
      <c r="K368" s="2"/>
      <c r="L368" s="2"/>
      <c r="M368" s="2"/>
      <c r="N368" s="2"/>
      <c r="O368" s="2"/>
      <c r="P368" s="2"/>
      <c r="Q368" s="7"/>
      <c r="R368" s="224"/>
      <c r="S368" s="224"/>
      <c r="T368" s="224"/>
      <c r="U368" s="868"/>
      <c r="V368" s="865"/>
      <c r="W368" s="2"/>
      <c r="X368" s="2"/>
      <c r="Y368" s="2"/>
      <c r="Z368" s="2"/>
      <c r="AA368" s="2"/>
      <c r="AB368" s="2"/>
      <c r="AC368" s="2"/>
      <c r="AD368" s="2"/>
      <c r="AE368" s="2"/>
      <c r="AF368" s="2"/>
      <c r="AG368" s="2"/>
      <c r="AH368" s="2"/>
      <c r="AI368" s="2"/>
      <c r="AJ368" s="218"/>
      <c r="AK368" s="218"/>
      <c r="AL368" s="218"/>
      <c r="AM368" s="218"/>
    </row>
    <row r="369">
      <c r="A369" s="33"/>
      <c r="B369" s="2"/>
      <c r="C369" s="2"/>
      <c r="D369" s="2"/>
      <c r="E369" s="2"/>
      <c r="F369" s="4"/>
      <c r="G369" s="2"/>
      <c r="H369" s="2"/>
      <c r="I369" s="2"/>
      <c r="J369" s="5"/>
      <c r="K369" s="2"/>
      <c r="L369" s="2"/>
      <c r="M369" s="2"/>
      <c r="N369" s="2"/>
      <c r="O369" s="2"/>
      <c r="P369" s="2"/>
      <c r="Q369" s="7"/>
      <c r="R369" s="224"/>
      <c r="S369" s="224"/>
      <c r="T369" s="224"/>
      <c r="U369" s="868"/>
      <c r="V369" s="865"/>
      <c r="W369" s="2"/>
      <c r="X369" s="2"/>
      <c r="Y369" s="2"/>
      <c r="Z369" s="2"/>
      <c r="AA369" s="2"/>
      <c r="AB369" s="2"/>
      <c r="AC369" s="2"/>
      <c r="AD369" s="2"/>
      <c r="AE369" s="2"/>
      <c r="AF369" s="2"/>
      <c r="AG369" s="2"/>
      <c r="AH369" s="2"/>
      <c r="AI369" s="2"/>
      <c r="AJ369" s="218"/>
      <c r="AK369" s="218"/>
      <c r="AL369" s="218"/>
      <c r="AM369" s="218"/>
    </row>
    <row r="370">
      <c r="A370" s="33"/>
      <c r="B370" s="2"/>
      <c r="C370" s="2"/>
      <c r="D370" s="2"/>
      <c r="E370" s="2"/>
      <c r="F370" s="4"/>
      <c r="G370" s="2"/>
      <c r="H370" s="2"/>
      <c r="I370" s="2"/>
      <c r="J370" s="5"/>
      <c r="K370" s="2"/>
      <c r="L370" s="2"/>
      <c r="M370" s="2"/>
      <c r="N370" s="2"/>
      <c r="O370" s="2"/>
      <c r="P370" s="2"/>
      <c r="Q370" s="7"/>
      <c r="R370" s="224"/>
      <c r="S370" s="224"/>
      <c r="T370" s="224"/>
      <c r="U370" s="868"/>
      <c r="V370" s="865"/>
      <c r="W370" s="2"/>
      <c r="X370" s="2"/>
      <c r="Y370" s="2"/>
      <c r="Z370" s="2"/>
      <c r="AA370" s="2"/>
      <c r="AB370" s="2"/>
      <c r="AC370" s="2"/>
      <c r="AD370" s="2"/>
      <c r="AE370" s="2"/>
      <c r="AF370" s="2"/>
      <c r="AG370" s="2"/>
      <c r="AH370" s="2"/>
      <c r="AI370" s="2"/>
      <c r="AJ370" s="218"/>
      <c r="AK370" s="218"/>
      <c r="AL370" s="218"/>
      <c r="AM370" s="218"/>
    </row>
    <row r="371">
      <c r="A371" s="33"/>
      <c r="B371" s="2"/>
      <c r="C371" s="2"/>
      <c r="D371" s="2"/>
      <c r="E371" s="2"/>
      <c r="F371" s="4"/>
      <c r="G371" s="2"/>
      <c r="H371" s="2"/>
      <c r="I371" s="2"/>
      <c r="J371" s="5"/>
      <c r="K371" s="2"/>
      <c r="L371" s="2"/>
      <c r="M371" s="2"/>
      <c r="N371" s="2"/>
      <c r="O371" s="2"/>
      <c r="P371" s="2"/>
      <c r="Q371" s="7"/>
      <c r="R371" s="224"/>
      <c r="S371" s="224"/>
      <c r="T371" s="224"/>
      <c r="U371" s="868"/>
      <c r="V371" s="865"/>
      <c r="W371" s="2"/>
      <c r="X371" s="2"/>
      <c r="Y371" s="2"/>
      <c r="Z371" s="2"/>
      <c r="AA371" s="2"/>
      <c r="AB371" s="2"/>
      <c r="AC371" s="2"/>
      <c r="AD371" s="2"/>
      <c r="AE371" s="2"/>
      <c r="AF371" s="2"/>
      <c r="AG371" s="2"/>
      <c r="AH371" s="2"/>
      <c r="AI371" s="2"/>
      <c r="AJ371" s="218"/>
      <c r="AK371" s="218"/>
      <c r="AL371" s="218"/>
      <c r="AM371" s="218"/>
    </row>
    <row r="372">
      <c r="A372" s="33"/>
      <c r="B372" s="2"/>
      <c r="C372" s="2"/>
      <c r="D372" s="2"/>
      <c r="E372" s="2"/>
      <c r="F372" s="4"/>
      <c r="G372" s="2"/>
      <c r="H372" s="2"/>
      <c r="I372" s="2"/>
      <c r="J372" s="5"/>
      <c r="K372" s="2"/>
      <c r="L372" s="2"/>
      <c r="M372" s="2"/>
      <c r="N372" s="2"/>
      <c r="O372" s="2"/>
      <c r="P372" s="2"/>
      <c r="Q372" s="7"/>
      <c r="R372" s="224"/>
      <c r="S372" s="224"/>
      <c r="T372" s="224"/>
      <c r="U372" s="868"/>
      <c r="V372" s="865"/>
      <c r="W372" s="2"/>
      <c r="X372" s="2"/>
      <c r="Y372" s="2"/>
      <c r="Z372" s="2"/>
      <c r="AA372" s="2"/>
      <c r="AB372" s="2"/>
      <c r="AC372" s="2"/>
      <c r="AD372" s="2"/>
      <c r="AE372" s="2"/>
      <c r="AF372" s="2"/>
      <c r="AG372" s="2"/>
      <c r="AH372" s="2"/>
      <c r="AI372" s="2"/>
      <c r="AJ372" s="218"/>
      <c r="AK372" s="218"/>
      <c r="AL372" s="218"/>
      <c r="AM372" s="218"/>
    </row>
    <row r="373">
      <c r="A373" s="33"/>
      <c r="B373" s="2"/>
      <c r="C373" s="2"/>
      <c r="D373" s="2"/>
      <c r="E373" s="2"/>
      <c r="F373" s="4"/>
      <c r="G373" s="2"/>
      <c r="H373" s="2"/>
      <c r="I373" s="2"/>
      <c r="J373" s="5"/>
      <c r="K373" s="2"/>
      <c r="L373" s="2"/>
      <c r="M373" s="2"/>
      <c r="N373" s="2"/>
      <c r="O373" s="2"/>
      <c r="P373" s="2"/>
      <c r="Q373" s="7"/>
      <c r="R373" s="224"/>
      <c r="S373" s="224"/>
      <c r="T373" s="224"/>
      <c r="U373" s="868"/>
      <c r="V373" s="865"/>
      <c r="W373" s="2"/>
      <c r="X373" s="2"/>
      <c r="Y373" s="2"/>
      <c r="Z373" s="2"/>
      <c r="AA373" s="2"/>
      <c r="AB373" s="2"/>
      <c r="AC373" s="2"/>
      <c r="AD373" s="2"/>
      <c r="AE373" s="2"/>
      <c r="AF373" s="2"/>
      <c r="AG373" s="2"/>
      <c r="AH373" s="2"/>
      <c r="AI373" s="2"/>
      <c r="AJ373" s="218"/>
      <c r="AK373" s="218"/>
      <c r="AL373" s="218"/>
      <c r="AM373" s="218"/>
    </row>
    <row r="374">
      <c r="A374" s="33"/>
      <c r="B374" s="2"/>
      <c r="C374" s="2"/>
      <c r="D374" s="2"/>
      <c r="E374" s="2"/>
      <c r="F374" s="4"/>
      <c r="G374" s="2"/>
      <c r="H374" s="2"/>
      <c r="I374" s="2"/>
      <c r="J374" s="5"/>
      <c r="K374" s="2"/>
      <c r="L374" s="2"/>
      <c r="M374" s="2"/>
      <c r="N374" s="2"/>
      <c r="O374" s="2"/>
      <c r="P374" s="2"/>
      <c r="Q374" s="7"/>
      <c r="R374" s="224"/>
      <c r="S374" s="224"/>
      <c r="T374" s="224"/>
      <c r="U374" s="868"/>
      <c r="V374" s="865"/>
      <c r="W374" s="2"/>
      <c r="X374" s="2"/>
      <c r="Y374" s="2"/>
      <c r="Z374" s="2"/>
      <c r="AA374" s="2"/>
      <c r="AB374" s="2"/>
      <c r="AC374" s="2"/>
      <c r="AD374" s="2"/>
      <c r="AE374" s="2"/>
      <c r="AF374" s="2"/>
      <c r="AG374" s="2"/>
      <c r="AH374" s="2"/>
      <c r="AI374" s="2"/>
      <c r="AJ374" s="218"/>
      <c r="AK374" s="218"/>
      <c r="AL374" s="218"/>
      <c r="AM374" s="218"/>
    </row>
    <row r="375">
      <c r="A375" s="33"/>
      <c r="B375" s="2"/>
      <c r="C375" s="2"/>
      <c r="D375" s="2"/>
      <c r="E375" s="2"/>
      <c r="F375" s="4"/>
      <c r="G375" s="2"/>
      <c r="H375" s="2"/>
      <c r="I375" s="2"/>
      <c r="J375" s="5"/>
      <c r="K375" s="2"/>
      <c r="L375" s="2"/>
      <c r="M375" s="2"/>
      <c r="N375" s="2"/>
      <c r="O375" s="2"/>
      <c r="P375" s="2"/>
      <c r="Q375" s="7"/>
      <c r="R375" s="224"/>
      <c r="S375" s="224"/>
      <c r="T375" s="224"/>
      <c r="U375" s="868"/>
      <c r="V375" s="865"/>
      <c r="W375" s="2"/>
      <c r="X375" s="2"/>
      <c r="Y375" s="2"/>
      <c r="Z375" s="2"/>
      <c r="AA375" s="2"/>
      <c r="AB375" s="2"/>
      <c r="AC375" s="2"/>
      <c r="AD375" s="2"/>
      <c r="AE375" s="2"/>
      <c r="AF375" s="2"/>
      <c r="AG375" s="2"/>
      <c r="AH375" s="2"/>
      <c r="AI375" s="2"/>
      <c r="AJ375" s="218"/>
      <c r="AK375" s="218"/>
      <c r="AL375" s="218"/>
      <c r="AM375" s="218"/>
    </row>
    <row r="376">
      <c r="A376" s="33"/>
      <c r="B376" s="2"/>
      <c r="C376" s="2"/>
      <c r="D376" s="2"/>
      <c r="E376" s="2"/>
      <c r="F376" s="4"/>
      <c r="G376" s="2"/>
      <c r="H376" s="2"/>
      <c r="I376" s="2"/>
      <c r="J376" s="5"/>
      <c r="K376" s="2"/>
      <c r="L376" s="2"/>
      <c r="M376" s="2"/>
      <c r="N376" s="2"/>
      <c r="O376" s="2"/>
      <c r="P376" s="2"/>
      <c r="Q376" s="7"/>
      <c r="R376" s="224"/>
      <c r="S376" s="224"/>
      <c r="T376" s="224"/>
      <c r="U376" s="868"/>
      <c r="V376" s="865"/>
      <c r="W376" s="2"/>
      <c r="X376" s="2"/>
      <c r="Y376" s="2"/>
      <c r="Z376" s="2"/>
      <c r="AA376" s="2"/>
      <c r="AB376" s="2"/>
      <c r="AC376" s="2"/>
      <c r="AD376" s="2"/>
      <c r="AE376" s="2"/>
      <c r="AF376" s="2"/>
      <c r="AG376" s="2"/>
      <c r="AH376" s="2"/>
      <c r="AI376" s="2"/>
      <c r="AJ376" s="218"/>
      <c r="AK376" s="218"/>
      <c r="AL376" s="218"/>
      <c r="AM376" s="218"/>
    </row>
    <row r="377">
      <c r="A377" s="33"/>
      <c r="B377" s="2"/>
      <c r="C377" s="2"/>
      <c r="D377" s="2"/>
      <c r="E377" s="2"/>
      <c r="F377" s="4"/>
      <c r="G377" s="2"/>
      <c r="H377" s="2"/>
      <c r="I377" s="2"/>
      <c r="J377" s="5"/>
      <c r="K377" s="2"/>
      <c r="L377" s="2"/>
      <c r="M377" s="2"/>
      <c r="N377" s="2"/>
      <c r="O377" s="2"/>
      <c r="P377" s="2"/>
      <c r="Q377" s="7"/>
      <c r="R377" s="224"/>
      <c r="S377" s="224"/>
      <c r="T377" s="224"/>
      <c r="U377" s="868"/>
      <c r="V377" s="865"/>
      <c r="W377" s="2"/>
      <c r="X377" s="2"/>
      <c r="Y377" s="2"/>
      <c r="Z377" s="2"/>
      <c r="AA377" s="2"/>
      <c r="AB377" s="2"/>
      <c r="AC377" s="2"/>
      <c r="AD377" s="2"/>
      <c r="AE377" s="2"/>
      <c r="AF377" s="2"/>
      <c r="AG377" s="2"/>
      <c r="AH377" s="2"/>
      <c r="AI377" s="2"/>
      <c r="AJ377" s="218"/>
      <c r="AK377" s="218"/>
      <c r="AL377" s="218"/>
      <c r="AM377" s="218"/>
    </row>
    <row r="378">
      <c r="A378" s="33"/>
      <c r="B378" s="2"/>
      <c r="C378" s="2"/>
      <c r="D378" s="2"/>
      <c r="E378" s="2"/>
      <c r="F378" s="4"/>
      <c r="G378" s="2"/>
      <c r="H378" s="2"/>
      <c r="I378" s="2"/>
      <c r="J378" s="5"/>
      <c r="K378" s="2"/>
      <c r="L378" s="2"/>
      <c r="M378" s="2"/>
      <c r="N378" s="2"/>
      <c r="O378" s="2"/>
      <c r="P378" s="2"/>
      <c r="Q378" s="7"/>
      <c r="R378" s="224"/>
      <c r="S378" s="224"/>
      <c r="T378" s="224"/>
      <c r="U378" s="868"/>
      <c r="V378" s="865"/>
      <c r="W378" s="2"/>
      <c r="X378" s="2"/>
      <c r="Y378" s="2"/>
      <c r="Z378" s="2"/>
      <c r="AA378" s="2"/>
      <c r="AB378" s="2"/>
      <c r="AC378" s="2"/>
      <c r="AD378" s="2"/>
      <c r="AE378" s="2"/>
      <c r="AF378" s="2"/>
      <c r="AG378" s="2"/>
      <c r="AH378" s="2"/>
      <c r="AI378" s="2"/>
      <c r="AJ378" s="218"/>
      <c r="AK378" s="218"/>
      <c r="AL378" s="218"/>
      <c r="AM378" s="218"/>
    </row>
    <row r="379">
      <c r="A379" s="33"/>
      <c r="B379" s="2"/>
      <c r="C379" s="2"/>
      <c r="D379" s="2"/>
      <c r="E379" s="2"/>
      <c r="F379" s="4"/>
      <c r="G379" s="2"/>
      <c r="H379" s="2"/>
      <c r="I379" s="2"/>
      <c r="J379" s="5"/>
      <c r="K379" s="2"/>
      <c r="L379" s="2"/>
      <c r="M379" s="2"/>
      <c r="N379" s="2"/>
      <c r="O379" s="2"/>
      <c r="P379" s="2"/>
      <c r="Q379" s="7"/>
      <c r="R379" s="224"/>
      <c r="S379" s="224"/>
      <c r="T379" s="224"/>
      <c r="U379" s="868"/>
      <c r="V379" s="865"/>
      <c r="W379" s="2"/>
      <c r="X379" s="2"/>
      <c r="Y379" s="2"/>
      <c r="Z379" s="2"/>
      <c r="AA379" s="2"/>
      <c r="AB379" s="2"/>
      <c r="AC379" s="2"/>
      <c r="AD379" s="2"/>
      <c r="AE379" s="2"/>
      <c r="AF379" s="2"/>
      <c r="AG379" s="2"/>
      <c r="AH379" s="2"/>
      <c r="AI379" s="2"/>
      <c r="AJ379" s="218"/>
      <c r="AK379" s="218"/>
      <c r="AL379" s="218"/>
      <c r="AM379" s="218"/>
    </row>
    <row r="380">
      <c r="A380" s="33"/>
      <c r="B380" s="2"/>
      <c r="C380" s="2"/>
      <c r="D380" s="2"/>
      <c r="E380" s="2"/>
      <c r="F380" s="4"/>
      <c r="G380" s="2"/>
      <c r="H380" s="2"/>
      <c r="I380" s="2"/>
      <c r="J380" s="5"/>
      <c r="K380" s="2"/>
      <c r="L380" s="2"/>
      <c r="M380" s="2"/>
      <c r="N380" s="2"/>
      <c r="O380" s="2"/>
      <c r="P380" s="2"/>
      <c r="Q380" s="7"/>
      <c r="R380" s="224"/>
      <c r="S380" s="224"/>
      <c r="T380" s="224"/>
      <c r="U380" s="868"/>
      <c r="V380" s="865"/>
      <c r="W380" s="2"/>
      <c r="X380" s="2"/>
      <c r="Y380" s="2"/>
      <c r="Z380" s="2"/>
      <c r="AA380" s="2"/>
      <c r="AB380" s="2"/>
      <c r="AC380" s="2"/>
      <c r="AD380" s="2"/>
      <c r="AE380" s="2"/>
      <c r="AF380" s="2"/>
      <c r="AG380" s="2"/>
      <c r="AH380" s="2"/>
      <c r="AI380" s="2"/>
      <c r="AJ380" s="218"/>
      <c r="AK380" s="218"/>
      <c r="AL380" s="218"/>
      <c r="AM380" s="218"/>
    </row>
    <row r="381">
      <c r="A381" s="33"/>
      <c r="B381" s="2"/>
      <c r="C381" s="2"/>
      <c r="D381" s="2"/>
      <c r="E381" s="2"/>
      <c r="F381" s="4"/>
      <c r="G381" s="2"/>
      <c r="H381" s="2"/>
      <c r="I381" s="2"/>
      <c r="J381" s="5"/>
      <c r="K381" s="2"/>
      <c r="L381" s="2"/>
      <c r="M381" s="2"/>
      <c r="N381" s="2"/>
      <c r="O381" s="2"/>
      <c r="P381" s="2"/>
      <c r="Q381" s="7"/>
      <c r="R381" s="224"/>
      <c r="S381" s="224"/>
      <c r="T381" s="224"/>
      <c r="U381" s="868"/>
      <c r="V381" s="865"/>
      <c r="W381" s="2"/>
      <c r="X381" s="2"/>
      <c r="Y381" s="2"/>
      <c r="Z381" s="2"/>
      <c r="AA381" s="2"/>
      <c r="AB381" s="2"/>
      <c r="AC381" s="2"/>
      <c r="AD381" s="2"/>
      <c r="AE381" s="2"/>
      <c r="AF381" s="2"/>
      <c r="AG381" s="2"/>
      <c r="AH381" s="2"/>
      <c r="AI381" s="2"/>
      <c r="AJ381" s="218"/>
      <c r="AK381" s="218"/>
      <c r="AL381" s="218"/>
      <c r="AM381" s="218"/>
    </row>
    <row r="382">
      <c r="A382" s="33"/>
      <c r="B382" s="2"/>
      <c r="C382" s="2"/>
      <c r="D382" s="2"/>
      <c r="E382" s="2"/>
      <c r="F382" s="4"/>
      <c r="G382" s="2"/>
      <c r="H382" s="2"/>
      <c r="I382" s="2"/>
      <c r="J382" s="5"/>
      <c r="K382" s="2"/>
      <c r="L382" s="2"/>
      <c r="M382" s="2"/>
      <c r="N382" s="2"/>
      <c r="O382" s="2"/>
      <c r="P382" s="2"/>
      <c r="Q382" s="7"/>
      <c r="R382" s="224"/>
      <c r="S382" s="224"/>
      <c r="T382" s="224"/>
      <c r="U382" s="868"/>
      <c r="V382" s="865"/>
      <c r="W382" s="2"/>
      <c r="X382" s="2"/>
      <c r="Y382" s="2"/>
      <c r="Z382" s="2"/>
      <c r="AA382" s="2"/>
      <c r="AB382" s="2"/>
      <c r="AC382" s="2"/>
      <c r="AD382" s="2"/>
      <c r="AE382" s="2"/>
      <c r="AF382" s="2"/>
      <c r="AG382" s="2"/>
      <c r="AH382" s="2"/>
      <c r="AI382" s="2"/>
      <c r="AJ382" s="218"/>
      <c r="AK382" s="218"/>
      <c r="AL382" s="218"/>
      <c r="AM382" s="218"/>
    </row>
    <row r="383">
      <c r="A383" s="33"/>
      <c r="B383" s="2"/>
      <c r="C383" s="2"/>
      <c r="D383" s="2"/>
      <c r="E383" s="2"/>
      <c r="F383" s="4"/>
      <c r="G383" s="2"/>
      <c r="H383" s="2"/>
      <c r="I383" s="2"/>
      <c r="J383" s="5"/>
      <c r="K383" s="2"/>
      <c r="L383" s="2"/>
      <c r="M383" s="2"/>
      <c r="N383" s="2"/>
      <c r="O383" s="2"/>
      <c r="P383" s="2"/>
      <c r="Q383" s="7"/>
      <c r="R383" s="224"/>
      <c r="S383" s="224"/>
      <c r="T383" s="224"/>
      <c r="U383" s="868"/>
      <c r="V383" s="865"/>
      <c r="W383" s="2"/>
      <c r="X383" s="2"/>
      <c r="Y383" s="2"/>
      <c r="Z383" s="2"/>
      <c r="AA383" s="2"/>
      <c r="AB383" s="2"/>
      <c r="AC383" s="2"/>
      <c r="AD383" s="2"/>
      <c r="AE383" s="2"/>
      <c r="AF383" s="2"/>
      <c r="AG383" s="2"/>
      <c r="AH383" s="2"/>
      <c r="AI383" s="2"/>
      <c r="AJ383" s="218"/>
      <c r="AK383" s="218"/>
      <c r="AL383" s="218"/>
      <c r="AM383" s="218"/>
    </row>
    <row r="384">
      <c r="A384" s="33"/>
      <c r="B384" s="2"/>
      <c r="C384" s="2"/>
      <c r="D384" s="2"/>
      <c r="E384" s="2"/>
      <c r="F384" s="4"/>
      <c r="G384" s="2"/>
      <c r="H384" s="2"/>
      <c r="I384" s="2"/>
      <c r="J384" s="5"/>
      <c r="K384" s="2"/>
      <c r="L384" s="2"/>
      <c r="M384" s="2"/>
      <c r="N384" s="2"/>
      <c r="O384" s="2"/>
      <c r="P384" s="2"/>
      <c r="Q384" s="7"/>
      <c r="R384" s="224"/>
      <c r="S384" s="224"/>
      <c r="T384" s="224"/>
      <c r="U384" s="868"/>
      <c r="V384" s="865"/>
      <c r="W384" s="2"/>
      <c r="X384" s="2"/>
      <c r="Y384" s="2"/>
      <c r="Z384" s="2"/>
      <c r="AA384" s="2"/>
      <c r="AB384" s="2"/>
      <c r="AC384" s="2"/>
      <c r="AD384" s="2"/>
      <c r="AE384" s="2"/>
      <c r="AF384" s="2"/>
      <c r="AG384" s="2"/>
      <c r="AH384" s="2"/>
      <c r="AI384" s="2"/>
      <c r="AJ384" s="218"/>
      <c r="AK384" s="218"/>
      <c r="AL384" s="218"/>
      <c r="AM384" s="218"/>
    </row>
    <row r="385">
      <c r="A385" s="33"/>
      <c r="B385" s="2"/>
      <c r="C385" s="2"/>
      <c r="D385" s="2"/>
      <c r="E385" s="2"/>
      <c r="F385" s="4"/>
      <c r="G385" s="2"/>
      <c r="H385" s="2"/>
      <c r="I385" s="2"/>
      <c r="J385" s="5"/>
      <c r="K385" s="2"/>
      <c r="L385" s="2"/>
      <c r="M385" s="2"/>
      <c r="N385" s="2"/>
      <c r="O385" s="2"/>
      <c r="P385" s="2"/>
      <c r="Q385" s="7"/>
      <c r="R385" s="224"/>
      <c r="S385" s="224"/>
      <c r="T385" s="224"/>
      <c r="U385" s="868"/>
      <c r="V385" s="865"/>
      <c r="W385" s="2"/>
      <c r="X385" s="2"/>
      <c r="Y385" s="2"/>
      <c r="Z385" s="2"/>
      <c r="AA385" s="2"/>
      <c r="AB385" s="2"/>
      <c r="AC385" s="2"/>
      <c r="AD385" s="2"/>
      <c r="AE385" s="2"/>
      <c r="AF385" s="2"/>
      <c r="AG385" s="2"/>
      <c r="AH385" s="2"/>
      <c r="AI385" s="2"/>
      <c r="AJ385" s="218"/>
      <c r="AK385" s="218"/>
      <c r="AL385" s="218"/>
      <c r="AM385" s="218"/>
    </row>
    <row r="386">
      <c r="A386" s="33"/>
      <c r="B386" s="2"/>
      <c r="C386" s="2"/>
      <c r="D386" s="2"/>
      <c r="E386" s="2"/>
      <c r="F386" s="4"/>
      <c r="G386" s="2"/>
      <c r="H386" s="2"/>
      <c r="I386" s="2"/>
      <c r="J386" s="5"/>
      <c r="K386" s="2"/>
      <c r="L386" s="2"/>
      <c r="M386" s="2"/>
      <c r="N386" s="2"/>
      <c r="O386" s="2"/>
      <c r="P386" s="2"/>
      <c r="Q386" s="7"/>
      <c r="R386" s="224"/>
      <c r="S386" s="224"/>
      <c r="T386" s="224"/>
      <c r="U386" s="868"/>
      <c r="V386" s="865"/>
      <c r="W386" s="2"/>
      <c r="X386" s="2"/>
      <c r="Y386" s="2"/>
      <c r="Z386" s="2"/>
      <c r="AA386" s="2"/>
      <c r="AB386" s="2"/>
      <c r="AC386" s="2"/>
      <c r="AD386" s="2"/>
      <c r="AE386" s="2"/>
      <c r="AF386" s="2"/>
      <c r="AG386" s="2"/>
      <c r="AH386" s="2"/>
      <c r="AI386" s="2"/>
      <c r="AJ386" s="218"/>
      <c r="AK386" s="218"/>
      <c r="AL386" s="218"/>
      <c r="AM386" s="218"/>
    </row>
    <row r="387">
      <c r="A387" s="33"/>
      <c r="B387" s="2"/>
      <c r="C387" s="2"/>
      <c r="D387" s="2"/>
      <c r="E387" s="2"/>
      <c r="F387" s="4"/>
      <c r="G387" s="2"/>
      <c r="H387" s="2"/>
      <c r="I387" s="2"/>
      <c r="J387" s="5"/>
      <c r="K387" s="2"/>
      <c r="L387" s="2"/>
      <c r="M387" s="2"/>
      <c r="N387" s="2"/>
      <c r="O387" s="2"/>
      <c r="P387" s="2"/>
      <c r="Q387" s="7"/>
      <c r="R387" s="224"/>
      <c r="S387" s="224"/>
      <c r="T387" s="224"/>
      <c r="U387" s="868"/>
      <c r="V387" s="865"/>
      <c r="W387" s="2"/>
      <c r="X387" s="2"/>
      <c r="Y387" s="2"/>
      <c r="Z387" s="2"/>
      <c r="AA387" s="2"/>
      <c r="AB387" s="2"/>
      <c r="AC387" s="2"/>
      <c r="AD387" s="2"/>
      <c r="AE387" s="2"/>
      <c r="AF387" s="2"/>
      <c r="AG387" s="2"/>
      <c r="AH387" s="2"/>
      <c r="AI387" s="2"/>
      <c r="AJ387" s="218"/>
      <c r="AK387" s="218"/>
      <c r="AL387" s="218"/>
      <c r="AM387" s="218"/>
    </row>
    <row r="388">
      <c r="A388" s="33"/>
      <c r="B388" s="2"/>
      <c r="C388" s="2"/>
      <c r="D388" s="2"/>
      <c r="E388" s="2"/>
      <c r="F388" s="4"/>
      <c r="G388" s="2"/>
      <c r="H388" s="2"/>
      <c r="I388" s="2"/>
      <c r="J388" s="5"/>
      <c r="K388" s="2"/>
      <c r="L388" s="2"/>
      <c r="M388" s="2"/>
      <c r="N388" s="2"/>
      <c r="O388" s="2"/>
      <c r="P388" s="2"/>
      <c r="Q388" s="7"/>
      <c r="R388" s="224"/>
      <c r="S388" s="224"/>
      <c r="T388" s="224"/>
      <c r="U388" s="868"/>
      <c r="V388" s="865"/>
      <c r="W388" s="2"/>
      <c r="X388" s="2"/>
      <c r="Y388" s="2"/>
      <c r="Z388" s="2"/>
      <c r="AA388" s="2"/>
      <c r="AB388" s="2"/>
      <c r="AC388" s="2"/>
      <c r="AD388" s="2"/>
      <c r="AE388" s="2"/>
      <c r="AF388" s="2"/>
      <c r="AG388" s="2"/>
      <c r="AH388" s="2"/>
      <c r="AI388" s="2"/>
      <c r="AJ388" s="218"/>
      <c r="AK388" s="218"/>
      <c r="AL388" s="218"/>
      <c r="AM388" s="218"/>
    </row>
    <row r="389">
      <c r="A389" s="33"/>
      <c r="B389" s="2"/>
      <c r="C389" s="2"/>
      <c r="D389" s="2"/>
      <c r="E389" s="2"/>
      <c r="F389" s="4"/>
      <c r="G389" s="2"/>
      <c r="H389" s="2"/>
      <c r="I389" s="2"/>
      <c r="J389" s="5"/>
      <c r="K389" s="2"/>
      <c r="L389" s="2"/>
      <c r="M389" s="2"/>
      <c r="N389" s="2"/>
      <c r="O389" s="2"/>
      <c r="P389" s="2"/>
      <c r="Q389" s="7"/>
      <c r="R389" s="224"/>
      <c r="S389" s="224"/>
      <c r="T389" s="224"/>
      <c r="U389" s="868"/>
      <c r="V389" s="865"/>
      <c r="W389" s="2"/>
      <c r="X389" s="2"/>
      <c r="Y389" s="2"/>
      <c r="Z389" s="2"/>
      <c r="AA389" s="2"/>
      <c r="AB389" s="2"/>
      <c r="AC389" s="2"/>
      <c r="AD389" s="2"/>
      <c r="AE389" s="2"/>
      <c r="AF389" s="2"/>
      <c r="AG389" s="2"/>
      <c r="AH389" s="2"/>
      <c r="AI389" s="2"/>
      <c r="AJ389" s="218"/>
      <c r="AK389" s="218"/>
      <c r="AL389" s="218"/>
      <c r="AM389" s="218"/>
    </row>
    <row r="390">
      <c r="A390" s="33"/>
      <c r="B390" s="2"/>
      <c r="C390" s="2"/>
      <c r="D390" s="2"/>
      <c r="E390" s="2"/>
      <c r="F390" s="4"/>
      <c r="G390" s="2"/>
      <c r="H390" s="2"/>
      <c r="I390" s="2"/>
      <c r="J390" s="5"/>
      <c r="K390" s="2"/>
      <c r="L390" s="2"/>
      <c r="M390" s="2"/>
      <c r="N390" s="2"/>
      <c r="O390" s="2"/>
      <c r="P390" s="2"/>
      <c r="Q390" s="7"/>
      <c r="R390" s="224"/>
      <c r="S390" s="224"/>
      <c r="T390" s="224"/>
      <c r="U390" s="868"/>
      <c r="V390" s="865"/>
      <c r="W390" s="2"/>
      <c r="X390" s="2"/>
      <c r="Y390" s="2"/>
      <c r="Z390" s="2"/>
      <c r="AA390" s="2"/>
      <c r="AB390" s="2"/>
      <c r="AC390" s="2"/>
      <c r="AD390" s="2"/>
      <c r="AE390" s="2"/>
      <c r="AF390" s="2"/>
      <c r="AG390" s="2"/>
      <c r="AH390" s="2"/>
      <c r="AI390" s="2"/>
      <c r="AJ390" s="218"/>
      <c r="AK390" s="218"/>
      <c r="AL390" s="218"/>
      <c r="AM390" s="218"/>
    </row>
    <row r="391">
      <c r="A391" s="33"/>
      <c r="B391" s="2"/>
      <c r="C391" s="2"/>
      <c r="D391" s="2"/>
      <c r="E391" s="2"/>
      <c r="F391" s="4"/>
      <c r="G391" s="2"/>
      <c r="H391" s="2"/>
      <c r="I391" s="2"/>
      <c r="J391" s="5"/>
      <c r="K391" s="2"/>
      <c r="L391" s="2"/>
      <c r="M391" s="2"/>
      <c r="N391" s="2"/>
      <c r="O391" s="2"/>
      <c r="P391" s="2"/>
      <c r="Q391" s="7"/>
      <c r="R391" s="224"/>
      <c r="S391" s="224"/>
      <c r="T391" s="224"/>
      <c r="U391" s="868"/>
      <c r="V391" s="865"/>
      <c r="W391" s="2"/>
      <c r="X391" s="2"/>
      <c r="Y391" s="2"/>
      <c r="Z391" s="2"/>
      <c r="AA391" s="2"/>
      <c r="AB391" s="2"/>
      <c r="AC391" s="2"/>
      <c r="AD391" s="2"/>
      <c r="AE391" s="2"/>
      <c r="AF391" s="2"/>
      <c r="AG391" s="2"/>
      <c r="AH391" s="2"/>
      <c r="AI391" s="2"/>
      <c r="AJ391" s="218"/>
      <c r="AK391" s="218"/>
      <c r="AL391" s="218"/>
      <c r="AM391" s="218"/>
    </row>
    <row r="392">
      <c r="A392" s="33"/>
      <c r="B392" s="2"/>
      <c r="C392" s="2"/>
      <c r="D392" s="2"/>
      <c r="E392" s="2"/>
      <c r="F392" s="4"/>
      <c r="G392" s="2"/>
      <c r="H392" s="2"/>
      <c r="I392" s="2"/>
      <c r="J392" s="5"/>
      <c r="K392" s="2"/>
      <c r="L392" s="2"/>
      <c r="M392" s="2"/>
      <c r="N392" s="2"/>
      <c r="O392" s="2"/>
      <c r="P392" s="2"/>
      <c r="Q392" s="7"/>
      <c r="R392" s="224"/>
      <c r="S392" s="224"/>
      <c r="T392" s="224"/>
      <c r="U392" s="868"/>
      <c r="V392" s="865"/>
      <c r="W392" s="2"/>
      <c r="X392" s="2"/>
      <c r="Y392" s="2"/>
      <c r="Z392" s="2"/>
      <c r="AA392" s="2"/>
      <c r="AB392" s="2"/>
      <c r="AC392" s="2"/>
      <c r="AD392" s="2"/>
      <c r="AE392" s="2"/>
      <c r="AF392" s="2"/>
      <c r="AG392" s="2"/>
      <c r="AH392" s="2"/>
      <c r="AI392" s="2"/>
      <c r="AJ392" s="218"/>
      <c r="AK392" s="218"/>
      <c r="AL392" s="218"/>
      <c r="AM392" s="218"/>
    </row>
    <row r="393">
      <c r="A393" s="33"/>
      <c r="B393" s="2"/>
      <c r="C393" s="2"/>
      <c r="D393" s="2"/>
      <c r="E393" s="2"/>
      <c r="F393" s="4"/>
      <c r="G393" s="2"/>
      <c r="H393" s="2"/>
      <c r="I393" s="2"/>
      <c r="J393" s="5"/>
      <c r="K393" s="2"/>
      <c r="L393" s="2"/>
      <c r="M393" s="2"/>
      <c r="N393" s="2"/>
      <c r="O393" s="2"/>
      <c r="P393" s="2"/>
      <c r="Q393" s="7"/>
      <c r="R393" s="224"/>
      <c r="S393" s="224"/>
      <c r="T393" s="224"/>
      <c r="U393" s="868"/>
      <c r="V393" s="865"/>
      <c r="W393" s="2"/>
      <c r="X393" s="2"/>
      <c r="Y393" s="2"/>
      <c r="Z393" s="2"/>
      <c r="AA393" s="2"/>
      <c r="AB393" s="2"/>
      <c r="AC393" s="2"/>
      <c r="AD393" s="2"/>
      <c r="AE393" s="2"/>
      <c r="AF393" s="2"/>
      <c r="AG393" s="2"/>
      <c r="AH393" s="2"/>
      <c r="AI393" s="2"/>
      <c r="AJ393" s="218"/>
      <c r="AK393" s="218"/>
      <c r="AL393" s="218"/>
      <c r="AM393" s="218"/>
    </row>
    <row r="394">
      <c r="A394" s="33"/>
      <c r="B394" s="2"/>
      <c r="C394" s="2"/>
      <c r="D394" s="2"/>
      <c r="E394" s="2"/>
      <c r="F394" s="4"/>
      <c r="G394" s="2"/>
      <c r="H394" s="2"/>
      <c r="I394" s="2"/>
      <c r="J394" s="5"/>
      <c r="K394" s="2"/>
      <c r="L394" s="2"/>
      <c r="M394" s="2"/>
      <c r="N394" s="2"/>
      <c r="O394" s="2"/>
      <c r="P394" s="2"/>
      <c r="Q394" s="7"/>
      <c r="R394" s="224"/>
      <c r="S394" s="224"/>
      <c r="T394" s="224"/>
      <c r="U394" s="868"/>
      <c r="V394" s="865"/>
      <c r="W394" s="2"/>
      <c r="X394" s="2"/>
      <c r="Y394" s="2"/>
      <c r="Z394" s="2"/>
      <c r="AA394" s="2"/>
      <c r="AB394" s="2"/>
      <c r="AC394" s="2"/>
      <c r="AD394" s="2"/>
      <c r="AE394" s="2"/>
      <c r="AF394" s="2"/>
      <c r="AG394" s="2"/>
      <c r="AH394" s="2"/>
      <c r="AI394" s="2"/>
      <c r="AJ394" s="218"/>
      <c r="AK394" s="218"/>
      <c r="AL394" s="218"/>
      <c r="AM394" s="218"/>
    </row>
    <row r="395">
      <c r="A395" s="33"/>
      <c r="B395" s="2"/>
      <c r="C395" s="2"/>
      <c r="D395" s="2"/>
      <c r="E395" s="2"/>
      <c r="F395" s="4"/>
      <c r="G395" s="2"/>
      <c r="H395" s="2"/>
      <c r="I395" s="2"/>
      <c r="J395" s="5"/>
      <c r="K395" s="2"/>
      <c r="L395" s="2"/>
      <c r="M395" s="2"/>
      <c r="N395" s="2"/>
      <c r="O395" s="2"/>
      <c r="P395" s="2"/>
      <c r="Q395" s="7"/>
      <c r="R395" s="224"/>
      <c r="S395" s="224"/>
      <c r="T395" s="224"/>
      <c r="U395" s="868"/>
      <c r="V395" s="865"/>
      <c r="W395" s="2"/>
      <c r="X395" s="2"/>
      <c r="Y395" s="2"/>
      <c r="Z395" s="2"/>
      <c r="AA395" s="2"/>
      <c r="AB395" s="2"/>
      <c r="AC395" s="2"/>
      <c r="AD395" s="2"/>
      <c r="AE395" s="2"/>
      <c r="AF395" s="2"/>
      <c r="AG395" s="2"/>
      <c r="AH395" s="2"/>
      <c r="AI395" s="2"/>
      <c r="AJ395" s="218"/>
      <c r="AK395" s="218"/>
      <c r="AL395" s="218"/>
      <c r="AM395" s="218"/>
    </row>
    <row r="396">
      <c r="A396" s="33"/>
      <c r="B396" s="2"/>
      <c r="C396" s="2"/>
      <c r="D396" s="2"/>
      <c r="E396" s="2"/>
      <c r="F396" s="4"/>
      <c r="G396" s="2"/>
      <c r="H396" s="2"/>
      <c r="I396" s="2"/>
      <c r="J396" s="5"/>
      <c r="K396" s="2"/>
      <c r="L396" s="2"/>
      <c r="M396" s="2"/>
      <c r="N396" s="2"/>
      <c r="O396" s="2"/>
      <c r="P396" s="2"/>
      <c r="Q396" s="7"/>
      <c r="R396" s="224"/>
      <c r="S396" s="224"/>
      <c r="T396" s="224"/>
      <c r="U396" s="868"/>
      <c r="V396" s="865"/>
      <c r="W396" s="2"/>
      <c r="X396" s="2"/>
      <c r="Y396" s="2"/>
      <c r="Z396" s="2"/>
      <c r="AA396" s="2"/>
      <c r="AB396" s="2"/>
      <c r="AC396" s="2"/>
      <c r="AD396" s="2"/>
      <c r="AE396" s="2"/>
      <c r="AF396" s="2"/>
      <c r="AG396" s="2"/>
      <c r="AH396" s="2"/>
      <c r="AI396" s="2"/>
      <c r="AJ396" s="218"/>
      <c r="AK396" s="218"/>
      <c r="AL396" s="218"/>
      <c r="AM396" s="218"/>
    </row>
    <row r="397">
      <c r="A397" s="33"/>
      <c r="B397" s="2"/>
      <c r="C397" s="2"/>
      <c r="D397" s="2"/>
      <c r="E397" s="2"/>
      <c r="F397" s="4"/>
      <c r="G397" s="2"/>
      <c r="H397" s="2"/>
      <c r="I397" s="2"/>
      <c r="J397" s="5"/>
      <c r="K397" s="2"/>
      <c r="L397" s="2"/>
      <c r="M397" s="2"/>
      <c r="N397" s="2"/>
      <c r="O397" s="2"/>
      <c r="P397" s="2"/>
      <c r="Q397" s="7"/>
      <c r="R397" s="224"/>
      <c r="S397" s="224"/>
      <c r="T397" s="224"/>
      <c r="U397" s="868"/>
      <c r="V397" s="865"/>
      <c r="W397" s="2"/>
      <c r="X397" s="2"/>
      <c r="Y397" s="2"/>
      <c r="Z397" s="2"/>
      <c r="AA397" s="2"/>
      <c r="AB397" s="2"/>
      <c r="AC397" s="2"/>
      <c r="AD397" s="2"/>
      <c r="AE397" s="2"/>
      <c r="AF397" s="2"/>
      <c r="AG397" s="2"/>
      <c r="AH397" s="2"/>
      <c r="AI397" s="2"/>
      <c r="AJ397" s="218"/>
      <c r="AK397" s="218"/>
      <c r="AL397" s="218"/>
      <c r="AM397" s="218"/>
    </row>
    <row r="398">
      <c r="A398" s="33"/>
      <c r="B398" s="2"/>
      <c r="C398" s="2"/>
      <c r="D398" s="2"/>
      <c r="E398" s="2"/>
      <c r="F398" s="4"/>
      <c r="G398" s="2"/>
      <c r="H398" s="2"/>
      <c r="I398" s="2"/>
      <c r="J398" s="5"/>
      <c r="K398" s="2"/>
      <c r="L398" s="2"/>
      <c r="M398" s="2"/>
      <c r="N398" s="2"/>
      <c r="O398" s="2"/>
      <c r="P398" s="2"/>
      <c r="Q398" s="7"/>
      <c r="R398" s="224"/>
      <c r="S398" s="224"/>
      <c r="T398" s="224"/>
      <c r="U398" s="868"/>
      <c r="V398" s="865"/>
      <c r="W398" s="2"/>
      <c r="X398" s="2"/>
      <c r="Y398" s="2"/>
      <c r="Z398" s="2"/>
      <c r="AA398" s="2"/>
      <c r="AB398" s="2"/>
      <c r="AC398" s="2"/>
      <c r="AD398" s="2"/>
      <c r="AE398" s="2"/>
      <c r="AF398" s="2"/>
      <c r="AG398" s="2"/>
      <c r="AH398" s="2"/>
      <c r="AI398" s="2"/>
      <c r="AJ398" s="218"/>
      <c r="AK398" s="218"/>
      <c r="AL398" s="218"/>
      <c r="AM398" s="218"/>
    </row>
    <row r="399">
      <c r="A399" s="33"/>
      <c r="B399" s="2"/>
      <c r="C399" s="2"/>
      <c r="D399" s="2"/>
      <c r="E399" s="2"/>
      <c r="F399" s="4"/>
      <c r="G399" s="2"/>
      <c r="H399" s="2"/>
      <c r="I399" s="2"/>
      <c r="J399" s="5"/>
      <c r="K399" s="2"/>
      <c r="L399" s="2"/>
      <c r="M399" s="2"/>
      <c r="N399" s="2"/>
      <c r="O399" s="2"/>
      <c r="P399" s="2"/>
      <c r="Q399" s="7"/>
      <c r="R399" s="224"/>
      <c r="S399" s="224"/>
      <c r="T399" s="224"/>
      <c r="U399" s="868"/>
      <c r="V399" s="865"/>
      <c r="W399" s="2"/>
      <c r="X399" s="2"/>
      <c r="Y399" s="2"/>
      <c r="Z399" s="2"/>
      <c r="AA399" s="2"/>
      <c r="AB399" s="2"/>
      <c r="AC399" s="2"/>
      <c r="AD399" s="2"/>
      <c r="AE399" s="2"/>
      <c r="AF399" s="2"/>
      <c r="AG399" s="2"/>
      <c r="AH399" s="2"/>
      <c r="AI399" s="2"/>
      <c r="AJ399" s="218"/>
      <c r="AK399" s="218"/>
      <c r="AL399" s="218"/>
      <c r="AM399" s="218"/>
    </row>
    <row r="400">
      <c r="A400" s="33"/>
      <c r="B400" s="2"/>
      <c r="C400" s="2"/>
      <c r="D400" s="2"/>
      <c r="E400" s="2"/>
      <c r="F400" s="4"/>
      <c r="G400" s="2"/>
      <c r="H400" s="2"/>
      <c r="I400" s="2"/>
      <c r="J400" s="5"/>
      <c r="K400" s="2"/>
      <c r="L400" s="2"/>
      <c r="M400" s="2"/>
      <c r="N400" s="2"/>
      <c r="O400" s="2"/>
      <c r="P400" s="2"/>
      <c r="Q400" s="7"/>
      <c r="R400" s="224"/>
      <c r="S400" s="224"/>
      <c r="T400" s="224"/>
      <c r="U400" s="868"/>
      <c r="V400" s="865"/>
      <c r="W400" s="2"/>
      <c r="X400" s="2"/>
      <c r="Y400" s="2"/>
      <c r="Z400" s="2"/>
      <c r="AA400" s="2"/>
      <c r="AB400" s="2"/>
      <c r="AC400" s="2"/>
      <c r="AD400" s="2"/>
      <c r="AE400" s="2"/>
      <c r="AF400" s="2"/>
      <c r="AG400" s="2"/>
      <c r="AH400" s="2"/>
      <c r="AI400" s="2"/>
      <c r="AJ400" s="218"/>
      <c r="AK400" s="218"/>
      <c r="AL400" s="218"/>
      <c r="AM400" s="218"/>
    </row>
    <row r="401">
      <c r="A401" s="33"/>
      <c r="B401" s="2"/>
      <c r="C401" s="2"/>
      <c r="D401" s="2"/>
      <c r="E401" s="2"/>
      <c r="F401" s="4"/>
      <c r="G401" s="2"/>
      <c r="H401" s="2"/>
      <c r="I401" s="2"/>
      <c r="J401" s="5"/>
      <c r="K401" s="2"/>
      <c r="L401" s="2"/>
      <c r="M401" s="2"/>
      <c r="N401" s="2"/>
      <c r="O401" s="2"/>
      <c r="P401" s="2"/>
      <c r="Q401" s="7"/>
      <c r="R401" s="224"/>
      <c r="S401" s="224"/>
      <c r="T401" s="224"/>
      <c r="U401" s="868"/>
      <c r="V401" s="865"/>
      <c r="W401" s="2"/>
      <c r="X401" s="2"/>
      <c r="Y401" s="2"/>
      <c r="Z401" s="2"/>
      <c r="AA401" s="2"/>
      <c r="AB401" s="2"/>
      <c r="AC401" s="2"/>
      <c r="AD401" s="2"/>
      <c r="AE401" s="2"/>
      <c r="AF401" s="2"/>
      <c r="AG401" s="2"/>
      <c r="AH401" s="2"/>
      <c r="AI401" s="2"/>
      <c r="AJ401" s="218"/>
      <c r="AK401" s="218"/>
      <c r="AL401" s="218"/>
      <c r="AM401" s="218"/>
    </row>
    <row r="402">
      <c r="A402" s="33"/>
      <c r="B402" s="2"/>
      <c r="C402" s="2"/>
      <c r="D402" s="2"/>
      <c r="E402" s="2"/>
      <c r="F402" s="4"/>
      <c r="G402" s="2"/>
      <c r="H402" s="2"/>
      <c r="I402" s="2"/>
      <c r="J402" s="5"/>
      <c r="K402" s="2"/>
      <c r="L402" s="2"/>
      <c r="M402" s="2"/>
      <c r="N402" s="2"/>
      <c r="O402" s="2"/>
      <c r="P402" s="2"/>
      <c r="Q402" s="7"/>
      <c r="R402" s="224"/>
      <c r="S402" s="224"/>
      <c r="T402" s="224"/>
      <c r="U402" s="868"/>
      <c r="V402" s="865"/>
      <c r="W402" s="2"/>
      <c r="X402" s="2"/>
      <c r="Y402" s="2"/>
      <c r="Z402" s="2"/>
      <c r="AA402" s="2"/>
      <c r="AB402" s="2"/>
      <c r="AC402" s="2"/>
      <c r="AD402" s="2"/>
      <c r="AE402" s="2"/>
      <c r="AF402" s="2"/>
      <c r="AG402" s="2"/>
      <c r="AH402" s="2"/>
      <c r="AI402" s="2"/>
      <c r="AJ402" s="218"/>
      <c r="AK402" s="218"/>
      <c r="AL402" s="218"/>
      <c r="AM402" s="218"/>
    </row>
    <row r="403">
      <c r="A403" s="33"/>
      <c r="B403" s="2"/>
      <c r="C403" s="2"/>
      <c r="D403" s="2"/>
      <c r="E403" s="2"/>
      <c r="F403" s="4"/>
      <c r="G403" s="2"/>
      <c r="H403" s="2"/>
      <c r="I403" s="2"/>
      <c r="J403" s="5"/>
      <c r="K403" s="2"/>
      <c r="L403" s="2"/>
      <c r="M403" s="2"/>
      <c r="N403" s="2"/>
      <c r="O403" s="2"/>
      <c r="P403" s="2"/>
      <c r="Q403" s="7"/>
      <c r="R403" s="224"/>
      <c r="S403" s="224"/>
      <c r="T403" s="224"/>
      <c r="U403" s="868"/>
      <c r="V403" s="865"/>
      <c r="W403" s="2"/>
      <c r="X403" s="2"/>
      <c r="Y403" s="2"/>
      <c r="Z403" s="2"/>
      <c r="AA403" s="2"/>
      <c r="AB403" s="2"/>
      <c r="AC403" s="2"/>
      <c r="AD403" s="2"/>
      <c r="AE403" s="2"/>
      <c r="AF403" s="2"/>
      <c r="AG403" s="2"/>
      <c r="AH403" s="2"/>
      <c r="AI403" s="2"/>
      <c r="AJ403" s="218"/>
      <c r="AK403" s="218"/>
      <c r="AL403" s="218"/>
      <c r="AM403" s="218"/>
    </row>
    <row r="404">
      <c r="A404" s="33"/>
      <c r="B404" s="2"/>
      <c r="C404" s="2"/>
      <c r="D404" s="2"/>
      <c r="E404" s="2"/>
      <c r="F404" s="4"/>
      <c r="G404" s="2"/>
      <c r="H404" s="2"/>
      <c r="I404" s="2"/>
      <c r="J404" s="5"/>
      <c r="K404" s="2"/>
      <c r="L404" s="2"/>
      <c r="M404" s="2"/>
      <c r="N404" s="2"/>
      <c r="O404" s="2"/>
      <c r="P404" s="2"/>
      <c r="Q404" s="7"/>
      <c r="R404" s="224"/>
      <c r="S404" s="224"/>
      <c r="T404" s="224"/>
      <c r="U404" s="868"/>
      <c r="V404" s="865"/>
      <c r="W404" s="2"/>
      <c r="X404" s="2"/>
      <c r="Y404" s="2"/>
      <c r="Z404" s="2"/>
      <c r="AA404" s="2"/>
      <c r="AB404" s="2"/>
      <c r="AC404" s="2"/>
      <c r="AD404" s="2"/>
      <c r="AE404" s="2"/>
      <c r="AF404" s="2"/>
      <c r="AG404" s="2"/>
      <c r="AH404" s="2"/>
      <c r="AI404" s="2"/>
      <c r="AJ404" s="218"/>
      <c r="AK404" s="218"/>
      <c r="AL404" s="218"/>
      <c r="AM404" s="218"/>
    </row>
    <row r="405">
      <c r="A405" s="33"/>
      <c r="B405" s="2"/>
      <c r="C405" s="2"/>
      <c r="D405" s="2"/>
      <c r="E405" s="2"/>
      <c r="F405" s="4"/>
      <c r="G405" s="2"/>
      <c r="H405" s="2"/>
      <c r="I405" s="2"/>
      <c r="J405" s="5"/>
      <c r="K405" s="2"/>
      <c r="L405" s="2"/>
      <c r="M405" s="2"/>
      <c r="N405" s="2"/>
      <c r="O405" s="2"/>
      <c r="P405" s="2"/>
      <c r="Q405" s="7"/>
      <c r="R405" s="224"/>
      <c r="S405" s="224"/>
      <c r="T405" s="224"/>
      <c r="U405" s="868"/>
      <c r="V405" s="865"/>
      <c r="W405" s="2"/>
      <c r="X405" s="2"/>
      <c r="Y405" s="2"/>
      <c r="Z405" s="2"/>
      <c r="AA405" s="2"/>
      <c r="AB405" s="2"/>
      <c r="AC405" s="2"/>
      <c r="AD405" s="2"/>
      <c r="AE405" s="2"/>
      <c r="AF405" s="2"/>
      <c r="AG405" s="2"/>
      <c r="AH405" s="2"/>
      <c r="AI405" s="2"/>
      <c r="AJ405" s="218"/>
      <c r="AK405" s="218"/>
      <c r="AL405" s="218"/>
      <c r="AM405" s="218"/>
    </row>
    <row r="406">
      <c r="A406" s="33"/>
      <c r="B406" s="2"/>
      <c r="C406" s="2"/>
      <c r="D406" s="2"/>
      <c r="E406" s="2"/>
      <c r="F406" s="4"/>
      <c r="G406" s="2"/>
      <c r="H406" s="2"/>
      <c r="I406" s="2"/>
      <c r="J406" s="5"/>
      <c r="K406" s="2"/>
      <c r="L406" s="2"/>
      <c r="M406" s="2"/>
      <c r="N406" s="2"/>
      <c r="O406" s="2"/>
      <c r="P406" s="2"/>
      <c r="Q406" s="7"/>
      <c r="R406" s="224"/>
      <c r="S406" s="224"/>
      <c r="T406" s="224"/>
      <c r="U406" s="868"/>
      <c r="V406" s="865"/>
      <c r="W406" s="2"/>
      <c r="X406" s="2"/>
      <c r="Y406" s="2"/>
      <c r="Z406" s="2"/>
      <c r="AA406" s="2"/>
      <c r="AB406" s="2"/>
      <c r="AC406" s="2"/>
      <c r="AD406" s="2"/>
      <c r="AE406" s="2"/>
      <c r="AF406" s="2"/>
      <c r="AG406" s="2"/>
      <c r="AH406" s="2"/>
      <c r="AI406" s="2"/>
      <c r="AJ406" s="218"/>
      <c r="AK406" s="218"/>
      <c r="AL406" s="218"/>
      <c r="AM406" s="218"/>
    </row>
    <row r="407">
      <c r="A407" s="33"/>
      <c r="B407" s="2"/>
      <c r="C407" s="2"/>
      <c r="D407" s="2"/>
      <c r="E407" s="2"/>
      <c r="F407" s="4"/>
      <c r="G407" s="2"/>
      <c r="H407" s="2"/>
      <c r="I407" s="2"/>
      <c r="J407" s="5"/>
      <c r="K407" s="2"/>
      <c r="L407" s="2"/>
      <c r="M407" s="2"/>
      <c r="N407" s="2"/>
      <c r="O407" s="2"/>
      <c r="P407" s="2"/>
      <c r="Q407" s="7"/>
      <c r="R407" s="224"/>
      <c r="S407" s="224"/>
      <c r="T407" s="224"/>
      <c r="U407" s="868"/>
      <c r="V407" s="865"/>
      <c r="W407" s="2"/>
      <c r="X407" s="2"/>
      <c r="Y407" s="2"/>
      <c r="Z407" s="2"/>
      <c r="AA407" s="2"/>
      <c r="AB407" s="2"/>
      <c r="AC407" s="2"/>
      <c r="AD407" s="2"/>
      <c r="AE407" s="2"/>
      <c r="AF407" s="2"/>
      <c r="AG407" s="2"/>
      <c r="AH407" s="2"/>
      <c r="AI407" s="2"/>
      <c r="AJ407" s="218"/>
      <c r="AK407" s="218"/>
      <c r="AL407" s="218"/>
      <c r="AM407" s="218"/>
    </row>
    <row r="408">
      <c r="A408" s="33"/>
      <c r="B408" s="2"/>
      <c r="C408" s="2"/>
      <c r="D408" s="2"/>
      <c r="E408" s="2"/>
      <c r="F408" s="4"/>
      <c r="G408" s="2"/>
      <c r="H408" s="2"/>
      <c r="I408" s="2"/>
      <c r="J408" s="5"/>
      <c r="K408" s="2"/>
      <c r="L408" s="2"/>
      <c r="M408" s="2"/>
      <c r="N408" s="2"/>
      <c r="O408" s="2"/>
      <c r="P408" s="2"/>
      <c r="Q408" s="7"/>
      <c r="R408" s="224"/>
      <c r="S408" s="224"/>
      <c r="T408" s="224"/>
      <c r="U408" s="868"/>
      <c r="V408" s="865"/>
      <c r="W408" s="2"/>
      <c r="X408" s="2"/>
      <c r="Y408" s="2"/>
      <c r="Z408" s="2"/>
      <c r="AA408" s="2"/>
      <c r="AB408" s="2"/>
      <c r="AC408" s="2"/>
      <c r="AD408" s="2"/>
      <c r="AE408" s="2"/>
      <c r="AF408" s="2"/>
      <c r="AG408" s="2"/>
      <c r="AH408" s="2"/>
      <c r="AI408" s="2"/>
      <c r="AJ408" s="218"/>
      <c r="AK408" s="218"/>
      <c r="AL408" s="218"/>
      <c r="AM408" s="218"/>
    </row>
    <row r="409">
      <c r="A409" s="33"/>
      <c r="B409" s="2"/>
      <c r="C409" s="2"/>
      <c r="D409" s="2"/>
      <c r="E409" s="2"/>
      <c r="F409" s="4"/>
      <c r="G409" s="2"/>
      <c r="H409" s="2"/>
      <c r="I409" s="2"/>
      <c r="J409" s="5"/>
      <c r="K409" s="2"/>
      <c r="L409" s="2"/>
      <c r="M409" s="2"/>
      <c r="N409" s="2"/>
      <c r="O409" s="2"/>
      <c r="P409" s="2"/>
      <c r="Q409" s="7"/>
      <c r="R409" s="224"/>
      <c r="S409" s="224"/>
      <c r="T409" s="224"/>
      <c r="U409" s="868"/>
      <c r="V409" s="865"/>
      <c r="W409" s="2"/>
      <c r="X409" s="2"/>
      <c r="Y409" s="2"/>
      <c r="Z409" s="2"/>
      <c r="AA409" s="2"/>
      <c r="AB409" s="2"/>
      <c r="AC409" s="2"/>
      <c r="AD409" s="2"/>
      <c r="AE409" s="2"/>
      <c r="AF409" s="2"/>
      <c r="AG409" s="2"/>
      <c r="AH409" s="2"/>
      <c r="AI409" s="2"/>
      <c r="AJ409" s="218"/>
      <c r="AK409" s="218"/>
      <c r="AL409" s="218"/>
      <c r="AM409" s="218"/>
    </row>
    <row r="410">
      <c r="A410" s="33"/>
      <c r="B410" s="2"/>
      <c r="C410" s="2"/>
      <c r="D410" s="2"/>
      <c r="E410" s="2"/>
      <c r="F410" s="4"/>
      <c r="G410" s="2"/>
      <c r="H410" s="2"/>
      <c r="I410" s="2"/>
      <c r="J410" s="5"/>
      <c r="K410" s="2"/>
      <c r="L410" s="2"/>
      <c r="M410" s="2"/>
      <c r="N410" s="2"/>
      <c r="O410" s="2"/>
      <c r="P410" s="2"/>
      <c r="Q410" s="7"/>
      <c r="R410" s="224"/>
      <c r="S410" s="224"/>
      <c r="T410" s="224"/>
      <c r="U410" s="868"/>
      <c r="V410" s="865"/>
      <c r="W410" s="2"/>
      <c r="X410" s="2"/>
      <c r="Y410" s="2"/>
      <c r="Z410" s="2"/>
      <c r="AA410" s="2"/>
      <c r="AB410" s="2"/>
      <c r="AC410" s="2"/>
      <c r="AD410" s="2"/>
      <c r="AE410" s="2"/>
      <c r="AF410" s="2"/>
      <c r="AG410" s="2"/>
      <c r="AH410" s="2"/>
      <c r="AI410" s="2"/>
      <c r="AJ410" s="218"/>
      <c r="AK410" s="218"/>
      <c r="AL410" s="218"/>
      <c r="AM410" s="218"/>
    </row>
    <row r="411">
      <c r="A411" s="33"/>
      <c r="B411" s="2"/>
      <c r="C411" s="2"/>
      <c r="D411" s="2"/>
      <c r="E411" s="2"/>
      <c r="F411" s="4"/>
      <c r="G411" s="2"/>
      <c r="H411" s="2"/>
      <c r="I411" s="2"/>
      <c r="J411" s="5"/>
      <c r="K411" s="2"/>
      <c r="L411" s="2"/>
      <c r="M411" s="2"/>
      <c r="N411" s="2"/>
      <c r="O411" s="2"/>
      <c r="P411" s="2"/>
      <c r="Q411" s="7"/>
      <c r="R411" s="224"/>
      <c r="S411" s="224"/>
      <c r="T411" s="224"/>
      <c r="U411" s="868"/>
      <c r="V411" s="865"/>
      <c r="W411" s="2"/>
      <c r="X411" s="2"/>
      <c r="Y411" s="2"/>
      <c r="Z411" s="2"/>
      <c r="AA411" s="2"/>
      <c r="AB411" s="2"/>
      <c r="AC411" s="2"/>
      <c r="AD411" s="2"/>
      <c r="AE411" s="2"/>
      <c r="AF411" s="2"/>
      <c r="AG411" s="2"/>
      <c r="AH411" s="2"/>
      <c r="AI411" s="2"/>
      <c r="AJ411" s="218"/>
      <c r="AK411" s="218"/>
      <c r="AL411" s="218"/>
      <c r="AM411" s="218"/>
    </row>
    <row r="412">
      <c r="A412" s="33"/>
      <c r="B412" s="2"/>
      <c r="C412" s="2"/>
      <c r="D412" s="2"/>
      <c r="E412" s="2"/>
      <c r="F412" s="4"/>
      <c r="G412" s="2"/>
      <c r="H412" s="2"/>
      <c r="I412" s="2"/>
      <c r="J412" s="5"/>
      <c r="K412" s="2"/>
      <c r="L412" s="2"/>
      <c r="M412" s="2"/>
      <c r="N412" s="2"/>
      <c r="O412" s="2"/>
      <c r="P412" s="2"/>
      <c r="Q412" s="7"/>
      <c r="R412" s="224"/>
      <c r="S412" s="224"/>
      <c r="T412" s="224"/>
      <c r="U412" s="868"/>
      <c r="V412" s="865"/>
      <c r="W412" s="2"/>
      <c r="X412" s="2"/>
      <c r="Y412" s="2"/>
      <c r="Z412" s="2"/>
      <c r="AA412" s="2"/>
      <c r="AB412" s="2"/>
      <c r="AC412" s="2"/>
      <c r="AD412" s="2"/>
      <c r="AE412" s="2"/>
      <c r="AF412" s="2"/>
      <c r="AG412" s="2"/>
      <c r="AH412" s="2"/>
      <c r="AI412" s="2"/>
      <c r="AJ412" s="218"/>
      <c r="AK412" s="218"/>
      <c r="AL412" s="218"/>
      <c r="AM412" s="218"/>
    </row>
    <row r="413">
      <c r="A413" s="33"/>
      <c r="B413" s="2"/>
      <c r="C413" s="2"/>
      <c r="D413" s="2"/>
      <c r="E413" s="2"/>
      <c r="F413" s="4"/>
      <c r="G413" s="2"/>
      <c r="H413" s="2"/>
      <c r="I413" s="2"/>
      <c r="J413" s="5"/>
      <c r="K413" s="2"/>
      <c r="L413" s="2"/>
      <c r="M413" s="2"/>
      <c r="N413" s="2"/>
      <c r="O413" s="2"/>
      <c r="P413" s="2"/>
      <c r="Q413" s="7"/>
      <c r="R413" s="224"/>
      <c r="S413" s="224"/>
      <c r="T413" s="224"/>
      <c r="U413" s="868"/>
      <c r="V413" s="865"/>
      <c r="W413" s="2"/>
      <c r="X413" s="2"/>
      <c r="Y413" s="2"/>
      <c r="Z413" s="2"/>
      <c r="AA413" s="2"/>
      <c r="AB413" s="2"/>
      <c r="AC413" s="2"/>
      <c r="AD413" s="2"/>
      <c r="AE413" s="2"/>
      <c r="AF413" s="2"/>
      <c r="AG413" s="2"/>
      <c r="AH413" s="2"/>
      <c r="AI413" s="2"/>
      <c r="AJ413" s="218"/>
      <c r="AK413" s="218"/>
      <c r="AL413" s="218"/>
      <c r="AM413" s="218"/>
    </row>
    <row r="414">
      <c r="A414" s="33"/>
      <c r="B414" s="2"/>
      <c r="C414" s="2"/>
      <c r="D414" s="2"/>
      <c r="E414" s="2"/>
      <c r="F414" s="4"/>
      <c r="G414" s="2"/>
      <c r="H414" s="2"/>
      <c r="I414" s="2"/>
      <c r="J414" s="5"/>
      <c r="K414" s="2"/>
      <c r="L414" s="2"/>
      <c r="M414" s="2"/>
      <c r="N414" s="2"/>
      <c r="O414" s="2"/>
      <c r="P414" s="2"/>
      <c r="Q414" s="7"/>
      <c r="R414" s="224"/>
      <c r="S414" s="224"/>
      <c r="T414" s="224"/>
      <c r="U414" s="868"/>
      <c r="V414" s="865"/>
      <c r="W414" s="2"/>
      <c r="X414" s="2"/>
      <c r="Y414" s="2"/>
      <c r="Z414" s="2"/>
      <c r="AA414" s="2"/>
      <c r="AB414" s="2"/>
      <c r="AC414" s="2"/>
      <c r="AD414" s="2"/>
      <c r="AE414" s="2"/>
      <c r="AF414" s="2"/>
      <c r="AG414" s="2"/>
      <c r="AH414" s="2"/>
      <c r="AI414" s="2"/>
      <c r="AJ414" s="218"/>
      <c r="AK414" s="218"/>
      <c r="AL414" s="218"/>
      <c r="AM414" s="218"/>
    </row>
    <row r="415">
      <c r="A415" s="33"/>
      <c r="B415" s="2"/>
      <c r="C415" s="2"/>
      <c r="D415" s="2"/>
      <c r="E415" s="2"/>
      <c r="F415" s="4"/>
      <c r="G415" s="2"/>
      <c r="H415" s="2"/>
      <c r="I415" s="2"/>
      <c r="J415" s="5"/>
      <c r="K415" s="2"/>
      <c r="L415" s="2"/>
      <c r="M415" s="2"/>
      <c r="N415" s="2"/>
      <c r="O415" s="2"/>
      <c r="P415" s="2"/>
      <c r="Q415" s="7"/>
      <c r="R415" s="224"/>
      <c r="S415" s="224"/>
      <c r="T415" s="224"/>
      <c r="U415" s="868"/>
      <c r="V415" s="865"/>
      <c r="W415" s="2"/>
      <c r="X415" s="2"/>
      <c r="Y415" s="2"/>
      <c r="Z415" s="2"/>
      <c r="AA415" s="2"/>
      <c r="AB415" s="2"/>
      <c r="AC415" s="2"/>
      <c r="AD415" s="2"/>
      <c r="AE415" s="2"/>
      <c r="AF415" s="2"/>
      <c r="AG415" s="2"/>
      <c r="AH415" s="2"/>
      <c r="AI415" s="2"/>
      <c r="AJ415" s="218"/>
      <c r="AK415" s="218"/>
      <c r="AL415" s="218"/>
      <c r="AM415" s="218"/>
    </row>
    <row r="416">
      <c r="A416" s="33"/>
      <c r="B416" s="2"/>
      <c r="C416" s="2"/>
      <c r="D416" s="2"/>
      <c r="E416" s="2"/>
      <c r="F416" s="4"/>
      <c r="G416" s="2"/>
      <c r="H416" s="2"/>
      <c r="I416" s="2"/>
      <c r="J416" s="5"/>
      <c r="K416" s="2"/>
      <c r="L416" s="2"/>
      <c r="M416" s="2"/>
      <c r="N416" s="2"/>
      <c r="O416" s="2"/>
      <c r="P416" s="2"/>
      <c r="Q416" s="7"/>
      <c r="R416" s="224"/>
      <c r="S416" s="224"/>
      <c r="T416" s="224"/>
      <c r="U416" s="868"/>
      <c r="V416" s="865"/>
      <c r="W416" s="2"/>
      <c r="X416" s="2"/>
      <c r="Y416" s="2"/>
      <c r="Z416" s="2"/>
      <c r="AA416" s="2"/>
      <c r="AB416" s="2"/>
      <c r="AC416" s="2"/>
      <c r="AD416" s="2"/>
      <c r="AE416" s="2"/>
      <c r="AF416" s="2"/>
      <c r="AG416" s="2"/>
      <c r="AH416" s="2"/>
      <c r="AI416" s="2"/>
      <c r="AJ416" s="218"/>
      <c r="AK416" s="218"/>
      <c r="AL416" s="218"/>
      <c r="AM416" s="218"/>
    </row>
    <row r="417">
      <c r="A417" s="33"/>
      <c r="B417" s="2"/>
      <c r="C417" s="2"/>
      <c r="D417" s="2"/>
      <c r="E417" s="2"/>
      <c r="F417" s="4"/>
      <c r="G417" s="2"/>
      <c r="H417" s="2"/>
      <c r="I417" s="2"/>
      <c r="J417" s="5"/>
      <c r="K417" s="2"/>
      <c r="L417" s="2"/>
      <c r="M417" s="2"/>
      <c r="N417" s="2"/>
      <c r="O417" s="2"/>
      <c r="P417" s="2"/>
      <c r="Q417" s="7"/>
      <c r="R417" s="224"/>
      <c r="S417" s="224"/>
      <c r="T417" s="224"/>
      <c r="U417" s="868"/>
      <c r="V417" s="865"/>
      <c r="W417" s="2"/>
      <c r="X417" s="2"/>
      <c r="Y417" s="2"/>
      <c r="Z417" s="2"/>
      <c r="AA417" s="2"/>
      <c r="AB417" s="2"/>
      <c r="AC417" s="2"/>
      <c r="AD417" s="2"/>
      <c r="AE417" s="2"/>
      <c r="AF417" s="2"/>
      <c r="AG417" s="2"/>
      <c r="AH417" s="2"/>
      <c r="AI417" s="2"/>
      <c r="AJ417" s="218"/>
      <c r="AK417" s="218"/>
      <c r="AL417" s="218"/>
      <c r="AM417" s="218"/>
    </row>
    <row r="418">
      <c r="A418" s="33"/>
      <c r="B418" s="2"/>
      <c r="C418" s="2"/>
      <c r="D418" s="2"/>
      <c r="E418" s="2"/>
      <c r="F418" s="4"/>
      <c r="G418" s="2"/>
      <c r="H418" s="2"/>
      <c r="I418" s="2"/>
      <c r="J418" s="5"/>
      <c r="K418" s="2"/>
      <c r="L418" s="2"/>
      <c r="M418" s="2"/>
      <c r="N418" s="2"/>
      <c r="O418" s="2"/>
      <c r="P418" s="2"/>
      <c r="Q418" s="7"/>
      <c r="R418" s="224"/>
      <c r="S418" s="224"/>
      <c r="T418" s="224"/>
      <c r="U418" s="868"/>
      <c r="V418" s="865"/>
      <c r="W418" s="2"/>
      <c r="X418" s="2"/>
      <c r="Y418" s="2"/>
      <c r="Z418" s="2"/>
      <c r="AA418" s="2"/>
      <c r="AB418" s="2"/>
      <c r="AC418" s="2"/>
      <c r="AD418" s="2"/>
      <c r="AE418" s="2"/>
      <c r="AF418" s="2"/>
      <c r="AG418" s="2"/>
      <c r="AH418" s="2"/>
      <c r="AI418" s="2"/>
      <c r="AJ418" s="218"/>
      <c r="AK418" s="218"/>
      <c r="AL418" s="218"/>
      <c r="AM418" s="218"/>
    </row>
    <row r="419">
      <c r="A419" s="33"/>
      <c r="B419" s="2"/>
      <c r="C419" s="2"/>
      <c r="D419" s="2"/>
      <c r="E419" s="2"/>
      <c r="F419" s="4"/>
      <c r="G419" s="2"/>
      <c r="H419" s="2"/>
      <c r="I419" s="2"/>
      <c r="J419" s="5"/>
      <c r="K419" s="2"/>
      <c r="L419" s="2"/>
      <c r="M419" s="2"/>
      <c r="N419" s="2"/>
      <c r="O419" s="2"/>
      <c r="P419" s="2"/>
      <c r="Q419" s="7"/>
      <c r="R419" s="224"/>
      <c r="S419" s="224"/>
      <c r="T419" s="224"/>
      <c r="U419" s="868"/>
      <c r="V419" s="865"/>
      <c r="W419" s="2"/>
      <c r="X419" s="2"/>
      <c r="Y419" s="2"/>
      <c r="Z419" s="2"/>
      <c r="AA419" s="2"/>
      <c r="AB419" s="2"/>
      <c r="AC419" s="2"/>
      <c r="AD419" s="2"/>
      <c r="AE419" s="2"/>
      <c r="AF419" s="2"/>
      <c r="AG419" s="2"/>
      <c r="AH419" s="2"/>
      <c r="AI419" s="2"/>
      <c r="AJ419" s="218"/>
      <c r="AK419" s="218"/>
      <c r="AL419" s="218"/>
      <c r="AM419" s="218"/>
    </row>
    <row r="420">
      <c r="A420" s="33"/>
      <c r="B420" s="2"/>
      <c r="C420" s="2"/>
      <c r="D420" s="2"/>
      <c r="E420" s="2"/>
      <c r="F420" s="4"/>
      <c r="G420" s="2"/>
      <c r="H420" s="2"/>
      <c r="I420" s="2"/>
      <c r="J420" s="5"/>
      <c r="K420" s="2"/>
      <c r="L420" s="2"/>
      <c r="M420" s="2"/>
      <c r="N420" s="2"/>
      <c r="O420" s="2"/>
      <c r="P420" s="2"/>
      <c r="Q420" s="7"/>
      <c r="R420" s="224"/>
      <c r="S420" s="224"/>
      <c r="T420" s="224"/>
      <c r="U420" s="868"/>
      <c r="V420" s="865"/>
      <c r="W420" s="2"/>
      <c r="X420" s="2"/>
      <c r="Y420" s="2"/>
      <c r="Z420" s="2"/>
      <c r="AA420" s="2"/>
      <c r="AB420" s="2"/>
      <c r="AC420" s="2"/>
      <c r="AD420" s="2"/>
      <c r="AE420" s="2"/>
      <c r="AF420" s="2"/>
      <c r="AG420" s="2"/>
      <c r="AH420" s="2"/>
      <c r="AI420" s="2"/>
      <c r="AJ420" s="218"/>
      <c r="AK420" s="218"/>
      <c r="AL420" s="218"/>
      <c r="AM420" s="218"/>
    </row>
    <row r="421">
      <c r="A421" s="33"/>
      <c r="B421" s="2"/>
      <c r="C421" s="2"/>
      <c r="D421" s="2"/>
      <c r="E421" s="2"/>
      <c r="F421" s="4"/>
      <c r="G421" s="2"/>
      <c r="H421" s="2"/>
      <c r="I421" s="2"/>
      <c r="J421" s="5"/>
      <c r="K421" s="2"/>
      <c r="L421" s="2"/>
      <c r="M421" s="2"/>
      <c r="N421" s="2"/>
      <c r="O421" s="2"/>
      <c r="P421" s="2"/>
      <c r="Q421" s="7"/>
      <c r="R421" s="224"/>
      <c r="S421" s="224"/>
      <c r="T421" s="224"/>
      <c r="U421" s="868"/>
      <c r="V421" s="865"/>
      <c r="W421" s="2"/>
      <c r="X421" s="2"/>
      <c r="Y421" s="2"/>
      <c r="Z421" s="2"/>
      <c r="AA421" s="2"/>
      <c r="AB421" s="2"/>
      <c r="AC421" s="2"/>
      <c r="AD421" s="2"/>
      <c r="AE421" s="2"/>
      <c r="AF421" s="2"/>
      <c r="AG421" s="2"/>
      <c r="AH421" s="2"/>
      <c r="AI421" s="2"/>
      <c r="AJ421" s="218"/>
      <c r="AK421" s="218"/>
      <c r="AL421" s="218"/>
      <c r="AM421" s="218"/>
    </row>
    <row r="422">
      <c r="A422" s="33"/>
      <c r="B422" s="2"/>
      <c r="C422" s="2"/>
      <c r="D422" s="2"/>
      <c r="E422" s="2"/>
      <c r="F422" s="4"/>
      <c r="G422" s="2"/>
      <c r="H422" s="2"/>
      <c r="I422" s="2"/>
      <c r="J422" s="5"/>
      <c r="K422" s="2"/>
      <c r="L422" s="2"/>
      <c r="M422" s="2"/>
      <c r="N422" s="2"/>
      <c r="O422" s="2"/>
      <c r="P422" s="2"/>
      <c r="Q422" s="7"/>
      <c r="R422" s="224"/>
      <c r="S422" s="224"/>
      <c r="T422" s="224"/>
      <c r="U422" s="868"/>
      <c r="V422" s="865"/>
      <c r="W422" s="2"/>
      <c r="X422" s="2"/>
      <c r="Y422" s="2"/>
      <c r="Z422" s="2"/>
      <c r="AA422" s="2"/>
      <c r="AB422" s="2"/>
      <c r="AC422" s="2"/>
      <c r="AD422" s="2"/>
      <c r="AE422" s="2"/>
      <c r="AF422" s="2"/>
      <c r="AG422" s="2"/>
      <c r="AH422" s="2"/>
      <c r="AI422" s="2"/>
      <c r="AJ422" s="218"/>
      <c r="AK422" s="218"/>
      <c r="AL422" s="218"/>
      <c r="AM422" s="218"/>
    </row>
    <row r="423">
      <c r="A423" s="33"/>
      <c r="B423" s="2"/>
      <c r="C423" s="2"/>
      <c r="D423" s="2"/>
      <c r="E423" s="2"/>
      <c r="F423" s="4"/>
      <c r="G423" s="2"/>
      <c r="H423" s="2"/>
      <c r="I423" s="2"/>
      <c r="J423" s="5"/>
      <c r="K423" s="2"/>
      <c r="L423" s="2"/>
      <c r="M423" s="2"/>
      <c r="N423" s="2"/>
      <c r="O423" s="2"/>
      <c r="P423" s="2"/>
      <c r="Q423" s="7"/>
      <c r="R423" s="224"/>
      <c r="S423" s="224"/>
      <c r="T423" s="224"/>
      <c r="U423" s="868"/>
      <c r="V423" s="865"/>
      <c r="W423" s="2"/>
      <c r="X423" s="2"/>
      <c r="Y423" s="2"/>
      <c r="Z423" s="2"/>
      <c r="AA423" s="2"/>
      <c r="AB423" s="2"/>
      <c r="AC423" s="2"/>
      <c r="AD423" s="2"/>
      <c r="AE423" s="2"/>
      <c r="AF423" s="2"/>
      <c r="AG423" s="2"/>
      <c r="AH423" s="2"/>
      <c r="AI423" s="2"/>
      <c r="AJ423" s="218"/>
      <c r="AK423" s="218"/>
      <c r="AL423" s="218"/>
      <c r="AM423" s="218"/>
    </row>
    <row r="424">
      <c r="A424" s="33"/>
      <c r="B424" s="2"/>
      <c r="C424" s="2"/>
      <c r="D424" s="2"/>
      <c r="E424" s="2"/>
      <c r="F424" s="4"/>
      <c r="G424" s="2"/>
      <c r="H424" s="2"/>
      <c r="I424" s="2"/>
      <c r="J424" s="5"/>
      <c r="K424" s="2"/>
      <c r="L424" s="2"/>
      <c r="M424" s="2"/>
      <c r="N424" s="2"/>
      <c r="O424" s="2"/>
      <c r="P424" s="2"/>
      <c r="Q424" s="7"/>
      <c r="R424" s="224"/>
      <c r="S424" s="224"/>
      <c r="T424" s="224"/>
      <c r="U424" s="868"/>
      <c r="V424" s="865"/>
      <c r="W424" s="2"/>
      <c r="X424" s="2"/>
      <c r="Y424" s="2"/>
      <c r="Z424" s="2"/>
      <c r="AA424" s="2"/>
      <c r="AB424" s="2"/>
      <c r="AC424" s="2"/>
      <c r="AD424" s="2"/>
      <c r="AE424" s="2"/>
      <c r="AF424" s="2"/>
      <c r="AG424" s="2"/>
      <c r="AH424" s="2"/>
      <c r="AI424" s="2"/>
      <c r="AJ424" s="218"/>
      <c r="AK424" s="218"/>
      <c r="AL424" s="218"/>
      <c r="AM424" s="218"/>
    </row>
    <row r="425">
      <c r="A425" s="33"/>
      <c r="B425" s="2"/>
      <c r="C425" s="2"/>
      <c r="D425" s="2"/>
      <c r="E425" s="2"/>
      <c r="F425" s="4"/>
      <c r="G425" s="2"/>
      <c r="H425" s="2"/>
      <c r="I425" s="2"/>
      <c r="J425" s="5"/>
      <c r="K425" s="2"/>
      <c r="L425" s="2"/>
      <c r="M425" s="2"/>
      <c r="N425" s="2"/>
      <c r="O425" s="2"/>
      <c r="P425" s="2"/>
      <c r="Q425" s="7"/>
      <c r="R425" s="224"/>
      <c r="S425" s="224"/>
      <c r="T425" s="224"/>
      <c r="U425" s="868"/>
      <c r="V425" s="865"/>
      <c r="W425" s="2"/>
      <c r="X425" s="2"/>
      <c r="Y425" s="2"/>
      <c r="Z425" s="2"/>
      <c r="AA425" s="2"/>
      <c r="AB425" s="2"/>
      <c r="AC425" s="2"/>
      <c r="AD425" s="2"/>
      <c r="AE425" s="2"/>
      <c r="AF425" s="2"/>
      <c r="AG425" s="2"/>
      <c r="AH425" s="2"/>
      <c r="AI425" s="2"/>
      <c r="AJ425" s="218"/>
      <c r="AK425" s="218"/>
      <c r="AL425" s="218"/>
      <c r="AM425" s="218"/>
    </row>
    <row r="426">
      <c r="A426" s="33"/>
      <c r="B426" s="2"/>
      <c r="C426" s="2"/>
      <c r="D426" s="2"/>
      <c r="E426" s="2"/>
      <c r="F426" s="4"/>
      <c r="G426" s="2"/>
      <c r="H426" s="2"/>
      <c r="I426" s="2"/>
      <c r="J426" s="5"/>
      <c r="K426" s="2"/>
      <c r="L426" s="2"/>
      <c r="M426" s="2"/>
      <c r="N426" s="2"/>
      <c r="O426" s="2"/>
      <c r="P426" s="2"/>
      <c r="Q426" s="7"/>
      <c r="R426" s="224"/>
      <c r="S426" s="224"/>
      <c r="T426" s="224"/>
      <c r="U426" s="868"/>
      <c r="V426" s="865"/>
      <c r="W426" s="2"/>
      <c r="X426" s="2"/>
      <c r="Y426" s="2"/>
      <c r="Z426" s="2"/>
      <c r="AA426" s="2"/>
      <c r="AB426" s="2"/>
      <c r="AC426" s="2"/>
      <c r="AD426" s="2"/>
      <c r="AE426" s="2"/>
      <c r="AF426" s="2"/>
      <c r="AG426" s="2"/>
      <c r="AH426" s="2"/>
      <c r="AI426" s="2"/>
      <c r="AJ426" s="218"/>
      <c r="AK426" s="218"/>
      <c r="AL426" s="218"/>
      <c r="AM426" s="218"/>
    </row>
    <row r="427">
      <c r="A427" s="33"/>
      <c r="B427" s="2"/>
      <c r="C427" s="2"/>
      <c r="D427" s="2"/>
      <c r="E427" s="2"/>
      <c r="F427" s="4"/>
      <c r="G427" s="2"/>
      <c r="H427" s="2"/>
      <c r="I427" s="2"/>
      <c r="J427" s="5"/>
      <c r="K427" s="2"/>
      <c r="L427" s="2"/>
      <c r="M427" s="2"/>
      <c r="N427" s="2"/>
      <c r="O427" s="2"/>
      <c r="P427" s="2"/>
      <c r="Q427" s="7"/>
      <c r="R427" s="224"/>
      <c r="S427" s="224"/>
      <c r="T427" s="224"/>
      <c r="U427" s="868"/>
      <c r="V427" s="865"/>
      <c r="W427" s="2"/>
      <c r="X427" s="2"/>
      <c r="Y427" s="2"/>
      <c r="Z427" s="2"/>
      <c r="AA427" s="2"/>
      <c r="AB427" s="2"/>
      <c r="AC427" s="2"/>
      <c r="AD427" s="2"/>
      <c r="AE427" s="2"/>
      <c r="AF427" s="2"/>
      <c r="AG427" s="2"/>
      <c r="AH427" s="2"/>
      <c r="AI427" s="2"/>
      <c r="AJ427" s="218"/>
      <c r="AK427" s="218"/>
      <c r="AL427" s="218"/>
      <c r="AM427" s="218"/>
    </row>
    <row r="428">
      <c r="A428" s="33"/>
      <c r="B428" s="2"/>
      <c r="C428" s="2"/>
      <c r="D428" s="2"/>
      <c r="E428" s="2"/>
      <c r="F428" s="4"/>
      <c r="G428" s="2"/>
      <c r="H428" s="2"/>
      <c r="I428" s="2"/>
      <c r="J428" s="5"/>
      <c r="K428" s="2"/>
      <c r="L428" s="2"/>
      <c r="M428" s="2"/>
      <c r="N428" s="2"/>
      <c r="O428" s="2"/>
      <c r="P428" s="2"/>
      <c r="Q428" s="7"/>
      <c r="R428" s="224"/>
      <c r="S428" s="224"/>
      <c r="T428" s="224"/>
      <c r="U428" s="868"/>
      <c r="V428" s="865"/>
      <c r="W428" s="2"/>
      <c r="X428" s="2"/>
      <c r="Y428" s="2"/>
      <c r="Z428" s="2"/>
      <c r="AA428" s="2"/>
      <c r="AB428" s="2"/>
      <c r="AC428" s="2"/>
      <c r="AD428" s="2"/>
      <c r="AE428" s="2"/>
      <c r="AF428" s="2"/>
      <c r="AG428" s="2"/>
      <c r="AH428" s="2"/>
      <c r="AI428" s="2"/>
      <c r="AJ428" s="218"/>
      <c r="AK428" s="218"/>
      <c r="AL428" s="218"/>
      <c r="AM428" s="218"/>
    </row>
    <row r="429">
      <c r="A429" s="33"/>
      <c r="B429" s="2"/>
      <c r="C429" s="2"/>
      <c r="D429" s="2"/>
      <c r="E429" s="2"/>
      <c r="F429" s="4"/>
      <c r="G429" s="2"/>
      <c r="H429" s="2"/>
      <c r="I429" s="2"/>
      <c r="J429" s="5"/>
      <c r="K429" s="2"/>
      <c r="L429" s="2"/>
      <c r="M429" s="2"/>
      <c r="N429" s="2"/>
      <c r="O429" s="2"/>
      <c r="P429" s="2"/>
      <c r="Q429" s="7"/>
      <c r="R429" s="224"/>
      <c r="S429" s="224"/>
      <c r="T429" s="224"/>
      <c r="U429" s="868"/>
      <c r="V429" s="865"/>
      <c r="W429" s="2"/>
      <c r="X429" s="2"/>
      <c r="Y429" s="2"/>
      <c r="Z429" s="2"/>
      <c r="AA429" s="2"/>
      <c r="AB429" s="2"/>
      <c r="AC429" s="2"/>
      <c r="AD429" s="2"/>
      <c r="AE429" s="2"/>
      <c r="AF429" s="2"/>
      <c r="AG429" s="2"/>
      <c r="AH429" s="2"/>
      <c r="AI429" s="2"/>
      <c r="AJ429" s="218"/>
      <c r="AK429" s="218"/>
      <c r="AL429" s="218"/>
      <c r="AM429" s="218"/>
    </row>
    <row r="430">
      <c r="A430" s="33"/>
      <c r="B430" s="2"/>
      <c r="C430" s="2"/>
      <c r="D430" s="2"/>
      <c r="E430" s="2"/>
      <c r="F430" s="4"/>
      <c r="G430" s="2"/>
      <c r="H430" s="2"/>
      <c r="I430" s="2"/>
      <c r="J430" s="5"/>
      <c r="K430" s="2"/>
      <c r="L430" s="2"/>
      <c r="M430" s="2"/>
      <c r="N430" s="2"/>
      <c r="O430" s="2"/>
      <c r="P430" s="2"/>
      <c r="Q430" s="7"/>
      <c r="R430" s="224"/>
      <c r="S430" s="224"/>
      <c r="T430" s="224"/>
      <c r="U430" s="868"/>
      <c r="V430" s="865"/>
      <c r="W430" s="2"/>
      <c r="X430" s="2"/>
      <c r="Y430" s="2"/>
      <c r="Z430" s="2"/>
      <c r="AA430" s="2"/>
      <c r="AB430" s="2"/>
      <c r="AC430" s="2"/>
      <c r="AD430" s="2"/>
      <c r="AE430" s="2"/>
      <c r="AF430" s="2"/>
      <c r="AG430" s="2"/>
      <c r="AH430" s="2"/>
      <c r="AI430" s="2"/>
      <c r="AJ430" s="218"/>
      <c r="AK430" s="218"/>
      <c r="AL430" s="218"/>
      <c r="AM430" s="218"/>
    </row>
    <row r="431">
      <c r="A431" s="33"/>
      <c r="B431" s="2"/>
      <c r="C431" s="2"/>
      <c r="D431" s="2"/>
      <c r="E431" s="2"/>
      <c r="F431" s="4"/>
      <c r="G431" s="2"/>
      <c r="H431" s="2"/>
      <c r="I431" s="2"/>
      <c r="J431" s="5"/>
      <c r="K431" s="2"/>
      <c r="L431" s="2"/>
      <c r="M431" s="2"/>
      <c r="N431" s="2"/>
      <c r="O431" s="2"/>
      <c r="P431" s="2"/>
      <c r="Q431" s="7"/>
      <c r="R431" s="224"/>
      <c r="S431" s="224"/>
      <c r="T431" s="224"/>
      <c r="U431" s="868"/>
      <c r="V431" s="865"/>
      <c r="W431" s="2"/>
      <c r="X431" s="2"/>
      <c r="Y431" s="2"/>
      <c r="Z431" s="2"/>
      <c r="AA431" s="2"/>
      <c r="AB431" s="2"/>
      <c r="AC431" s="2"/>
      <c r="AD431" s="2"/>
      <c r="AE431" s="2"/>
      <c r="AF431" s="2"/>
      <c r="AG431" s="2"/>
      <c r="AH431" s="2"/>
      <c r="AI431" s="2"/>
      <c r="AJ431" s="218"/>
      <c r="AK431" s="218"/>
      <c r="AL431" s="218"/>
      <c r="AM431" s="218"/>
    </row>
    <row r="432">
      <c r="A432" s="33"/>
      <c r="B432" s="2"/>
      <c r="C432" s="2"/>
      <c r="D432" s="2"/>
      <c r="E432" s="2"/>
      <c r="F432" s="4"/>
      <c r="G432" s="2"/>
      <c r="H432" s="2"/>
      <c r="I432" s="2"/>
      <c r="J432" s="5"/>
      <c r="K432" s="2"/>
      <c r="L432" s="2"/>
      <c r="M432" s="2"/>
      <c r="N432" s="2"/>
      <c r="O432" s="2"/>
      <c r="P432" s="2"/>
      <c r="Q432" s="7"/>
      <c r="R432" s="224"/>
      <c r="S432" s="224"/>
      <c r="T432" s="224"/>
      <c r="U432" s="868"/>
      <c r="V432" s="865"/>
      <c r="W432" s="2"/>
      <c r="X432" s="2"/>
      <c r="Y432" s="2"/>
      <c r="Z432" s="2"/>
      <c r="AA432" s="2"/>
      <c r="AB432" s="2"/>
      <c r="AC432" s="2"/>
      <c r="AD432" s="2"/>
      <c r="AE432" s="2"/>
      <c r="AF432" s="2"/>
      <c r="AG432" s="2"/>
      <c r="AH432" s="2"/>
      <c r="AI432" s="2"/>
      <c r="AJ432" s="218"/>
      <c r="AK432" s="218"/>
      <c r="AL432" s="218"/>
      <c r="AM432" s="218"/>
    </row>
    <row r="433">
      <c r="A433" s="33"/>
      <c r="B433" s="2"/>
      <c r="C433" s="2"/>
      <c r="D433" s="2"/>
      <c r="E433" s="2"/>
      <c r="F433" s="4"/>
      <c r="G433" s="2"/>
      <c r="H433" s="2"/>
      <c r="I433" s="2"/>
      <c r="J433" s="5"/>
      <c r="K433" s="2"/>
      <c r="L433" s="2"/>
      <c r="M433" s="2"/>
      <c r="N433" s="2"/>
      <c r="O433" s="2"/>
      <c r="P433" s="2"/>
      <c r="Q433" s="7"/>
      <c r="R433" s="224"/>
      <c r="S433" s="224"/>
      <c r="T433" s="224"/>
      <c r="U433" s="868"/>
      <c r="V433" s="865"/>
      <c r="W433" s="2"/>
      <c r="X433" s="2"/>
      <c r="Y433" s="2"/>
      <c r="Z433" s="2"/>
      <c r="AA433" s="2"/>
      <c r="AB433" s="2"/>
      <c r="AC433" s="2"/>
      <c r="AD433" s="2"/>
      <c r="AE433" s="2"/>
      <c r="AF433" s="2"/>
      <c r="AG433" s="2"/>
      <c r="AH433" s="2"/>
      <c r="AI433" s="2"/>
      <c r="AJ433" s="218"/>
      <c r="AK433" s="218"/>
      <c r="AL433" s="218"/>
      <c r="AM433" s="218"/>
    </row>
    <row r="434">
      <c r="A434" s="33"/>
      <c r="B434" s="2"/>
      <c r="C434" s="2"/>
      <c r="D434" s="2"/>
      <c r="E434" s="2"/>
      <c r="F434" s="4"/>
      <c r="G434" s="2"/>
      <c r="H434" s="2"/>
      <c r="I434" s="2"/>
      <c r="J434" s="5"/>
      <c r="K434" s="2"/>
      <c r="L434" s="2"/>
      <c r="M434" s="2"/>
      <c r="N434" s="2"/>
      <c r="O434" s="2"/>
      <c r="P434" s="2"/>
      <c r="Q434" s="7"/>
      <c r="R434" s="224"/>
      <c r="S434" s="224"/>
      <c r="T434" s="224"/>
      <c r="U434" s="868"/>
      <c r="V434" s="865"/>
      <c r="W434" s="2"/>
      <c r="X434" s="2"/>
      <c r="Y434" s="2"/>
      <c r="Z434" s="2"/>
      <c r="AA434" s="2"/>
      <c r="AB434" s="2"/>
      <c r="AC434" s="2"/>
      <c r="AD434" s="2"/>
      <c r="AE434" s="2"/>
      <c r="AF434" s="2"/>
      <c r="AG434" s="2"/>
      <c r="AH434" s="2"/>
      <c r="AI434" s="2"/>
      <c r="AJ434" s="218"/>
      <c r="AK434" s="218"/>
      <c r="AL434" s="218"/>
      <c r="AM434" s="218"/>
    </row>
    <row r="435">
      <c r="A435" s="33"/>
      <c r="B435" s="2"/>
      <c r="C435" s="2"/>
      <c r="D435" s="2"/>
      <c r="E435" s="2"/>
      <c r="F435" s="4"/>
      <c r="G435" s="2"/>
      <c r="H435" s="2"/>
      <c r="I435" s="2"/>
      <c r="J435" s="5"/>
      <c r="K435" s="2"/>
      <c r="L435" s="2"/>
      <c r="M435" s="2"/>
      <c r="N435" s="2"/>
      <c r="O435" s="2"/>
      <c r="P435" s="2"/>
      <c r="Q435" s="7"/>
      <c r="R435" s="224"/>
      <c r="S435" s="224"/>
      <c r="T435" s="224"/>
      <c r="U435" s="868"/>
      <c r="V435" s="865"/>
      <c r="W435" s="2"/>
      <c r="X435" s="2"/>
      <c r="Y435" s="2"/>
      <c r="Z435" s="2"/>
      <c r="AA435" s="2"/>
      <c r="AB435" s="2"/>
      <c r="AC435" s="2"/>
      <c r="AD435" s="2"/>
      <c r="AE435" s="2"/>
      <c r="AF435" s="2"/>
      <c r="AG435" s="2"/>
      <c r="AH435" s="2"/>
      <c r="AI435" s="2"/>
      <c r="AJ435" s="218"/>
      <c r="AK435" s="218"/>
      <c r="AL435" s="218"/>
      <c r="AM435" s="218"/>
    </row>
    <row r="436">
      <c r="A436" s="33"/>
      <c r="B436" s="2"/>
      <c r="C436" s="2"/>
      <c r="D436" s="2"/>
      <c r="E436" s="2"/>
      <c r="F436" s="4"/>
      <c r="G436" s="2"/>
      <c r="H436" s="2"/>
      <c r="I436" s="2"/>
      <c r="J436" s="5"/>
      <c r="K436" s="2"/>
      <c r="L436" s="2"/>
      <c r="M436" s="2"/>
      <c r="N436" s="2"/>
      <c r="O436" s="2"/>
      <c r="P436" s="2"/>
      <c r="Q436" s="7"/>
      <c r="R436" s="224"/>
      <c r="S436" s="224"/>
      <c r="T436" s="224"/>
      <c r="U436" s="868"/>
      <c r="V436" s="865"/>
      <c r="W436" s="2"/>
      <c r="X436" s="2"/>
      <c r="Y436" s="2"/>
      <c r="Z436" s="2"/>
      <c r="AA436" s="2"/>
      <c r="AB436" s="2"/>
      <c r="AC436" s="2"/>
      <c r="AD436" s="2"/>
      <c r="AE436" s="2"/>
      <c r="AF436" s="2"/>
      <c r="AG436" s="2"/>
      <c r="AH436" s="2"/>
      <c r="AI436" s="2"/>
      <c r="AJ436" s="218"/>
      <c r="AK436" s="218"/>
      <c r="AL436" s="218"/>
      <c r="AM436" s="218"/>
    </row>
    <row r="437">
      <c r="A437" s="33"/>
      <c r="B437" s="2"/>
      <c r="C437" s="2"/>
      <c r="D437" s="2"/>
      <c r="E437" s="2"/>
      <c r="F437" s="4"/>
      <c r="G437" s="2"/>
      <c r="H437" s="2"/>
      <c r="I437" s="2"/>
      <c r="J437" s="5"/>
      <c r="K437" s="2"/>
      <c r="L437" s="2"/>
      <c r="M437" s="2"/>
      <c r="N437" s="2"/>
      <c r="O437" s="2"/>
      <c r="P437" s="2"/>
      <c r="Q437" s="7"/>
      <c r="R437" s="224"/>
      <c r="S437" s="224"/>
      <c r="T437" s="224"/>
      <c r="U437" s="868"/>
      <c r="V437" s="865"/>
      <c r="W437" s="2"/>
      <c r="X437" s="2"/>
      <c r="Y437" s="2"/>
      <c r="Z437" s="2"/>
      <c r="AA437" s="2"/>
      <c r="AB437" s="2"/>
      <c r="AC437" s="2"/>
      <c r="AD437" s="2"/>
      <c r="AE437" s="2"/>
      <c r="AF437" s="2"/>
      <c r="AG437" s="2"/>
      <c r="AH437" s="2"/>
      <c r="AI437" s="2"/>
      <c r="AJ437" s="218"/>
      <c r="AK437" s="218"/>
      <c r="AL437" s="218"/>
      <c r="AM437" s="218"/>
    </row>
    <row r="438">
      <c r="A438" s="33"/>
      <c r="B438" s="2"/>
      <c r="C438" s="2"/>
      <c r="D438" s="2"/>
      <c r="E438" s="2"/>
      <c r="F438" s="4"/>
      <c r="G438" s="2"/>
      <c r="H438" s="2"/>
      <c r="I438" s="2"/>
      <c r="J438" s="5"/>
      <c r="K438" s="2"/>
      <c r="L438" s="2"/>
      <c r="M438" s="2"/>
      <c r="N438" s="2"/>
      <c r="O438" s="2"/>
      <c r="P438" s="2"/>
      <c r="Q438" s="7"/>
      <c r="R438" s="224"/>
      <c r="S438" s="224"/>
      <c r="T438" s="224"/>
      <c r="U438" s="868"/>
      <c r="V438" s="865"/>
      <c r="W438" s="2"/>
      <c r="X438" s="2"/>
      <c r="Y438" s="2"/>
      <c r="Z438" s="2"/>
      <c r="AA438" s="2"/>
      <c r="AB438" s="2"/>
      <c r="AC438" s="2"/>
      <c r="AD438" s="2"/>
      <c r="AE438" s="2"/>
      <c r="AF438" s="2"/>
      <c r="AG438" s="2"/>
      <c r="AH438" s="2"/>
      <c r="AI438" s="2"/>
      <c r="AJ438" s="218"/>
      <c r="AK438" s="218"/>
      <c r="AL438" s="218"/>
      <c r="AM438" s="218"/>
    </row>
    <row r="439">
      <c r="A439" s="33"/>
      <c r="B439" s="2"/>
      <c r="C439" s="2"/>
      <c r="D439" s="2"/>
      <c r="E439" s="2"/>
      <c r="F439" s="4"/>
      <c r="G439" s="2"/>
      <c r="H439" s="2"/>
      <c r="I439" s="2"/>
      <c r="J439" s="5"/>
      <c r="K439" s="2"/>
      <c r="L439" s="2"/>
      <c r="M439" s="2"/>
      <c r="N439" s="2"/>
      <c r="O439" s="2"/>
      <c r="P439" s="2"/>
      <c r="Q439" s="7"/>
      <c r="R439" s="224"/>
      <c r="S439" s="224"/>
      <c r="T439" s="224"/>
      <c r="U439" s="868"/>
      <c r="V439" s="865"/>
      <c r="W439" s="2"/>
      <c r="X439" s="2"/>
      <c r="Y439" s="2"/>
      <c r="Z439" s="2"/>
      <c r="AA439" s="2"/>
      <c r="AB439" s="2"/>
      <c r="AC439" s="2"/>
      <c r="AD439" s="2"/>
      <c r="AE439" s="2"/>
      <c r="AF439" s="2"/>
      <c r="AG439" s="2"/>
      <c r="AH439" s="2"/>
      <c r="AI439" s="2"/>
      <c r="AJ439" s="218"/>
      <c r="AK439" s="218"/>
      <c r="AL439" s="218"/>
      <c r="AM439" s="218"/>
    </row>
    <row r="440">
      <c r="A440" s="33"/>
      <c r="B440" s="2"/>
      <c r="C440" s="2"/>
      <c r="D440" s="2"/>
      <c r="E440" s="2"/>
      <c r="F440" s="4"/>
      <c r="G440" s="2"/>
      <c r="H440" s="2"/>
      <c r="I440" s="2"/>
      <c r="J440" s="5"/>
      <c r="K440" s="2"/>
      <c r="L440" s="2"/>
      <c r="M440" s="2"/>
      <c r="N440" s="2"/>
      <c r="O440" s="2"/>
      <c r="P440" s="2"/>
      <c r="Q440" s="7"/>
      <c r="R440" s="224"/>
      <c r="S440" s="224"/>
      <c r="T440" s="224"/>
      <c r="U440" s="868"/>
      <c r="V440" s="865"/>
      <c r="W440" s="2"/>
      <c r="X440" s="2"/>
      <c r="Y440" s="2"/>
      <c r="Z440" s="2"/>
      <c r="AA440" s="2"/>
      <c r="AB440" s="2"/>
      <c r="AC440" s="2"/>
      <c r="AD440" s="2"/>
      <c r="AE440" s="2"/>
      <c r="AF440" s="2"/>
      <c r="AG440" s="2"/>
      <c r="AH440" s="2"/>
      <c r="AI440" s="2"/>
      <c r="AJ440" s="218"/>
      <c r="AK440" s="218"/>
      <c r="AL440" s="218"/>
      <c r="AM440" s="218"/>
    </row>
    <row r="441">
      <c r="A441" s="33"/>
      <c r="B441" s="2"/>
      <c r="C441" s="2"/>
      <c r="D441" s="2"/>
      <c r="E441" s="2"/>
      <c r="F441" s="4"/>
      <c r="G441" s="2"/>
      <c r="H441" s="2"/>
      <c r="I441" s="2"/>
      <c r="J441" s="5"/>
      <c r="K441" s="2"/>
      <c r="L441" s="2"/>
      <c r="M441" s="2"/>
      <c r="N441" s="2"/>
      <c r="O441" s="2"/>
      <c r="P441" s="2"/>
      <c r="Q441" s="7"/>
      <c r="R441" s="224"/>
      <c r="S441" s="224"/>
      <c r="T441" s="224"/>
      <c r="U441" s="868"/>
      <c r="V441" s="865"/>
      <c r="W441" s="2"/>
      <c r="X441" s="2"/>
      <c r="Y441" s="2"/>
      <c r="Z441" s="2"/>
      <c r="AA441" s="2"/>
      <c r="AB441" s="2"/>
      <c r="AC441" s="2"/>
      <c r="AD441" s="2"/>
      <c r="AE441" s="2"/>
      <c r="AF441" s="2"/>
      <c r="AG441" s="2"/>
      <c r="AH441" s="2"/>
      <c r="AI441" s="2"/>
      <c r="AJ441" s="218"/>
      <c r="AK441" s="218"/>
      <c r="AL441" s="218"/>
      <c r="AM441" s="218"/>
    </row>
    <row r="442">
      <c r="A442" s="33"/>
      <c r="B442" s="2"/>
      <c r="C442" s="2"/>
      <c r="D442" s="2"/>
      <c r="E442" s="2"/>
      <c r="F442" s="4"/>
      <c r="G442" s="2"/>
      <c r="H442" s="2"/>
      <c r="I442" s="2"/>
      <c r="J442" s="5"/>
      <c r="K442" s="2"/>
      <c r="L442" s="2"/>
      <c r="M442" s="2"/>
      <c r="N442" s="2"/>
      <c r="O442" s="2"/>
      <c r="P442" s="2"/>
      <c r="Q442" s="7"/>
      <c r="R442" s="224"/>
      <c r="S442" s="224"/>
      <c r="T442" s="224"/>
      <c r="U442" s="868"/>
      <c r="V442" s="865"/>
      <c r="W442" s="2"/>
      <c r="X442" s="2"/>
      <c r="Y442" s="2"/>
      <c r="Z442" s="2"/>
      <c r="AA442" s="2"/>
      <c r="AB442" s="2"/>
      <c r="AC442" s="2"/>
      <c r="AD442" s="2"/>
      <c r="AE442" s="2"/>
      <c r="AF442" s="2"/>
      <c r="AG442" s="2"/>
      <c r="AH442" s="2"/>
      <c r="AI442" s="2"/>
      <c r="AJ442" s="218"/>
      <c r="AK442" s="218"/>
      <c r="AL442" s="218"/>
      <c r="AM442" s="218"/>
    </row>
    <row r="443">
      <c r="A443" s="33"/>
      <c r="B443" s="2"/>
      <c r="C443" s="2"/>
      <c r="D443" s="2"/>
      <c r="E443" s="2"/>
      <c r="F443" s="4"/>
      <c r="G443" s="2"/>
      <c r="H443" s="2"/>
      <c r="I443" s="2"/>
      <c r="J443" s="5"/>
      <c r="K443" s="2"/>
      <c r="L443" s="2"/>
      <c r="M443" s="2"/>
      <c r="N443" s="2"/>
      <c r="O443" s="2"/>
      <c r="P443" s="2"/>
      <c r="Q443" s="7"/>
      <c r="R443" s="224"/>
      <c r="S443" s="224"/>
      <c r="T443" s="224"/>
      <c r="U443" s="868"/>
      <c r="V443" s="865"/>
      <c r="W443" s="2"/>
      <c r="X443" s="2"/>
      <c r="Y443" s="2"/>
      <c r="Z443" s="2"/>
      <c r="AA443" s="2"/>
      <c r="AB443" s="2"/>
      <c r="AC443" s="2"/>
      <c r="AD443" s="2"/>
      <c r="AE443" s="2"/>
      <c r="AF443" s="2"/>
      <c r="AG443" s="2"/>
      <c r="AH443" s="2"/>
      <c r="AI443" s="2"/>
      <c r="AJ443" s="218"/>
      <c r="AK443" s="218"/>
      <c r="AL443" s="218"/>
      <c r="AM443" s="218"/>
    </row>
    <row r="444">
      <c r="A444" s="33"/>
      <c r="B444" s="2"/>
      <c r="C444" s="2"/>
      <c r="D444" s="2"/>
      <c r="E444" s="2"/>
      <c r="F444" s="4"/>
      <c r="G444" s="2"/>
      <c r="H444" s="2"/>
      <c r="I444" s="2"/>
      <c r="J444" s="5"/>
      <c r="K444" s="2"/>
      <c r="L444" s="2"/>
      <c r="M444" s="2"/>
      <c r="N444" s="2"/>
      <c r="O444" s="2"/>
      <c r="P444" s="2"/>
      <c r="Q444" s="7"/>
      <c r="R444" s="224"/>
      <c r="S444" s="224"/>
      <c r="T444" s="224"/>
      <c r="U444" s="868"/>
      <c r="V444" s="865"/>
      <c r="W444" s="2"/>
      <c r="X444" s="2"/>
      <c r="Y444" s="2"/>
      <c r="Z444" s="2"/>
      <c r="AA444" s="2"/>
      <c r="AB444" s="2"/>
      <c r="AC444" s="2"/>
      <c r="AD444" s="2"/>
      <c r="AE444" s="2"/>
      <c r="AF444" s="2"/>
      <c r="AG444" s="2"/>
      <c r="AH444" s="2"/>
      <c r="AI444" s="2"/>
      <c r="AJ444" s="218"/>
      <c r="AK444" s="218"/>
      <c r="AL444" s="218"/>
      <c r="AM444" s="218"/>
    </row>
    <row r="445">
      <c r="A445" s="33"/>
      <c r="B445" s="2"/>
      <c r="C445" s="2"/>
      <c r="D445" s="2"/>
      <c r="E445" s="2"/>
      <c r="F445" s="4"/>
      <c r="G445" s="2"/>
      <c r="H445" s="2"/>
      <c r="I445" s="2"/>
      <c r="J445" s="5"/>
      <c r="K445" s="2"/>
      <c r="L445" s="2"/>
      <c r="M445" s="2"/>
      <c r="N445" s="2"/>
      <c r="O445" s="2"/>
      <c r="P445" s="2"/>
      <c r="Q445" s="7"/>
      <c r="R445" s="224"/>
      <c r="S445" s="224"/>
      <c r="T445" s="224"/>
      <c r="U445" s="868"/>
      <c r="V445" s="865"/>
      <c r="W445" s="2"/>
      <c r="X445" s="2"/>
      <c r="Y445" s="2"/>
      <c r="Z445" s="2"/>
      <c r="AA445" s="2"/>
      <c r="AB445" s="2"/>
      <c r="AC445" s="2"/>
      <c r="AD445" s="2"/>
      <c r="AE445" s="2"/>
      <c r="AF445" s="2"/>
      <c r="AG445" s="2"/>
      <c r="AH445" s="2"/>
      <c r="AI445" s="2"/>
      <c r="AJ445" s="218"/>
      <c r="AK445" s="218"/>
      <c r="AL445" s="218"/>
      <c r="AM445" s="218"/>
    </row>
    <row r="446">
      <c r="A446" s="33"/>
      <c r="B446" s="2"/>
      <c r="C446" s="2"/>
      <c r="D446" s="2"/>
      <c r="E446" s="2"/>
      <c r="F446" s="4"/>
      <c r="G446" s="2"/>
      <c r="H446" s="2"/>
      <c r="I446" s="2"/>
      <c r="J446" s="5"/>
      <c r="K446" s="2"/>
      <c r="L446" s="2"/>
      <c r="M446" s="2"/>
      <c r="N446" s="2"/>
      <c r="O446" s="2"/>
      <c r="P446" s="2"/>
      <c r="Q446" s="7"/>
      <c r="R446" s="224"/>
      <c r="S446" s="224"/>
      <c r="T446" s="224"/>
      <c r="U446" s="868"/>
      <c r="V446" s="865"/>
      <c r="W446" s="2"/>
      <c r="X446" s="2"/>
      <c r="Y446" s="2"/>
      <c r="Z446" s="2"/>
      <c r="AA446" s="2"/>
      <c r="AB446" s="2"/>
      <c r="AC446" s="2"/>
      <c r="AD446" s="2"/>
      <c r="AE446" s="2"/>
      <c r="AF446" s="2"/>
      <c r="AG446" s="2"/>
      <c r="AH446" s="2"/>
      <c r="AI446" s="2"/>
      <c r="AJ446" s="218"/>
      <c r="AK446" s="218"/>
      <c r="AL446" s="218"/>
      <c r="AM446" s="218"/>
    </row>
    <row r="447">
      <c r="A447" s="33"/>
      <c r="B447" s="2"/>
      <c r="C447" s="2"/>
      <c r="D447" s="2"/>
      <c r="E447" s="2"/>
      <c r="F447" s="4"/>
      <c r="G447" s="2"/>
      <c r="H447" s="2"/>
      <c r="I447" s="2"/>
      <c r="J447" s="5"/>
      <c r="K447" s="2"/>
      <c r="L447" s="2"/>
      <c r="M447" s="2"/>
      <c r="N447" s="2"/>
      <c r="O447" s="2"/>
      <c r="P447" s="2"/>
      <c r="Q447" s="7"/>
      <c r="R447" s="224"/>
      <c r="S447" s="224"/>
      <c r="T447" s="224"/>
      <c r="U447" s="868"/>
      <c r="V447" s="865"/>
      <c r="W447" s="2"/>
      <c r="X447" s="2"/>
      <c r="Y447" s="2"/>
      <c r="Z447" s="2"/>
      <c r="AA447" s="2"/>
      <c r="AB447" s="2"/>
      <c r="AC447" s="2"/>
      <c r="AD447" s="2"/>
      <c r="AE447" s="2"/>
      <c r="AF447" s="2"/>
      <c r="AG447" s="2"/>
      <c r="AH447" s="2"/>
      <c r="AI447" s="2"/>
      <c r="AJ447" s="218"/>
      <c r="AK447" s="218"/>
      <c r="AL447" s="218"/>
      <c r="AM447" s="218"/>
    </row>
    <row r="448">
      <c r="A448" s="33"/>
      <c r="B448" s="2"/>
      <c r="C448" s="2"/>
      <c r="D448" s="2"/>
      <c r="E448" s="2"/>
      <c r="F448" s="4"/>
      <c r="G448" s="2"/>
      <c r="H448" s="2"/>
      <c r="I448" s="2"/>
      <c r="J448" s="5"/>
      <c r="K448" s="2"/>
      <c r="L448" s="2"/>
      <c r="M448" s="2"/>
      <c r="N448" s="2"/>
      <c r="O448" s="2"/>
      <c r="P448" s="2"/>
      <c r="Q448" s="7"/>
      <c r="R448" s="224"/>
      <c r="S448" s="224"/>
      <c r="T448" s="224"/>
      <c r="U448" s="868"/>
      <c r="V448" s="865"/>
      <c r="W448" s="2"/>
      <c r="X448" s="2"/>
      <c r="Y448" s="2"/>
      <c r="Z448" s="2"/>
      <c r="AA448" s="2"/>
      <c r="AB448" s="2"/>
      <c r="AC448" s="2"/>
      <c r="AD448" s="2"/>
      <c r="AE448" s="2"/>
      <c r="AF448" s="2"/>
      <c r="AG448" s="2"/>
      <c r="AH448" s="2"/>
      <c r="AI448" s="2"/>
      <c r="AJ448" s="218"/>
      <c r="AK448" s="218"/>
      <c r="AL448" s="218"/>
      <c r="AM448" s="218"/>
    </row>
    <row r="449">
      <c r="A449" s="33"/>
      <c r="B449" s="2"/>
      <c r="C449" s="2"/>
      <c r="D449" s="2"/>
      <c r="E449" s="2"/>
      <c r="F449" s="4"/>
      <c r="G449" s="2"/>
      <c r="H449" s="2"/>
      <c r="I449" s="2"/>
      <c r="J449" s="5"/>
      <c r="K449" s="2"/>
      <c r="L449" s="2"/>
      <c r="M449" s="2"/>
      <c r="N449" s="2"/>
      <c r="O449" s="2"/>
      <c r="P449" s="2"/>
      <c r="Q449" s="7"/>
      <c r="R449" s="224"/>
      <c r="S449" s="224"/>
      <c r="T449" s="224"/>
      <c r="U449" s="868"/>
      <c r="V449" s="865"/>
      <c r="W449" s="2"/>
      <c r="X449" s="2"/>
      <c r="Y449" s="2"/>
      <c r="Z449" s="2"/>
      <c r="AA449" s="2"/>
      <c r="AB449" s="2"/>
      <c r="AC449" s="2"/>
      <c r="AD449" s="2"/>
      <c r="AE449" s="2"/>
      <c r="AF449" s="2"/>
      <c r="AG449" s="2"/>
      <c r="AH449" s="2"/>
      <c r="AI449" s="2"/>
      <c r="AJ449" s="218"/>
      <c r="AK449" s="218"/>
      <c r="AL449" s="218"/>
      <c r="AM449" s="218"/>
    </row>
    <row r="450">
      <c r="A450" s="33"/>
      <c r="B450" s="2"/>
      <c r="C450" s="2"/>
      <c r="D450" s="2"/>
      <c r="E450" s="2"/>
      <c r="F450" s="4"/>
      <c r="G450" s="2"/>
      <c r="H450" s="2"/>
      <c r="I450" s="2"/>
      <c r="J450" s="5"/>
      <c r="K450" s="2"/>
      <c r="L450" s="2"/>
      <c r="M450" s="2"/>
      <c r="N450" s="2"/>
      <c r="O450" s="2"/>
      <c r="P450" s="2"/>
      <c r="Q450" s="7"/>
      <c r="R450" s="224"/>
      <c r="S450" s="224"/>
      <c r="T450" s="224"/>
      <c r="U450" s="868"/>
      <c r="V450" s="865"/>
      <c r="W450" s="2"/>
      <c r="X450" s="2"/>
      <c r="Y450" s="2"/>
      <c r="Z450" s="2"/>
      <c r="AA450" s="2"/>
      <c r="AB450" s="2"/>
      <c r="AC450" s="2"/>
      <c r="AD450" s="2"/>
      <c r="AE450" s="2"/>
      <c r="AF450" s="2"/>
      <c r="AG450" s="2"/>
      <c r="AH450" s="2"/>
      <c r="AI450" s="2"/>
      <c r="AJ450" s="218"/>
      <c r="AK450" s="218"/>
      <c r="AL450" s="218"/>
      <c r="AM450" s="218"/>
    </row>
    <row r="451">
      <c r="A451" s="33"/>
      <c r="B451" s="2"/>
      <c r="C451" s="2"/>
      <c r="D451" s="2"/>
      <c r="E451" s="2"/>
      <c r="F451" s="4"/>
      <c r="G451" s="2"/>
      <c r="H451" s="2"/>
      <c r="I451" s="2"/>
      <c r="J451" s="5"/>
      <c r="K451" s="2"/>
      <c r="L451" s="2"/>
      <c r="M451" s="2"/>
      <c r="N451" s="2"/>
      <c r="O451" s="2"/>
      <c r="P451" s="2"/>
      <c r="Q451" s="7"/>
      <c r="R451" s="224"/>
      <c r="S451" s="224"/>
      <c r="T451" s="224"/>
      <c r="U451" s="868"/>
      <c r="V451" s="865"/>
      <c r="W451" s="2"/>
      <c r="X451" s="2"/>
      <c r="Y451" s="2"/>
      <c r="Z451" s="2"/>
      <c r="AA451" s="2"/>
      <c r="AB451" s="2"/>
      <c r="AC451" s="2"/>
      <c r="AD451" s="2"/>
      <c r="AE451" s="2"/>
      <c r="AF451" s="2"/>
      <c r="AG451" s="2"/>
      <c r="AH451" s="2"/>
      <c r="AI451" s="2"/>
      <c r="AJ451" s="218"/>
      <c r="AK451" s="218"/>
      <c r="AL451" s="218"/>
      <c r="AM451" s="218"/>
    </row>
    <row r="452">
      <c r="A452" s="33"/>
      <c r="B452" s="2"/>
      <c r="C452" s="2"/>
      <c r="D452" s="2"/>
      <c r="E452" s="2"/>
      <c r="F452" s="4"/>
      <c r="G452" s="2"/>
      <c r="H452" s="2"/>
      <c r="I452" s="2"/>
      <c r="J452" s="5"/>
      <c r="K452" s="2"/>
      <c r="L452" s="2"/>
      <c r="M452" s="2"/>
      <c r="N452" s="2"/>
      <c r="O452" s="2"/>
      <c r="P452" s="2"/>
      <c r="Q452" s="7"/>
      <c r="R452" s="224"/>
      <c r="S452" s="224"/>
      <c r="T452" s="224"/>
      <c r="U452" s="868"/>
      <c r="V452" s="865"/>
      <c r="W452" s="2"/>
      <c r="X452" s="2"/>
      <c r="Y452" s="2"/>
      <c r="Z452" s="2"/>
      <c r="AA452" s="2"/>
      <c r="AB452" s="2"/>
      <c r="AC452" s="2"/>
      <c r="AD452" s="2"/>
      <c r="AE452" s="2"/>
      <c r="AF452" s="2"/>
      <c r="AG452" s="2"/>
      <c r="AH452" s="2"/>
      <c r="AI452" s="2"/>
      <c r="AJ452" s="218"/>
      <c r="AK452" s="218"/>
      <c r="AL452" s="218"/>
      <c r="AM452" s="218"/>
    </row>
    <row r="453">
      <c r="A453" s="33"/>
      <c r="B453" s="2"/>
      <c r="C453" s="2"/>
      <c r="D453" s="2"/>
      <c r="E453" s="2"/>
      <c r="F453" s="4"/>
      <c r="G453" s="2"/>
      <c r="H453" s="2"/>
      <c r="I453" s="2"/>
      <c r="J453" s="5"/>
      <c r="K453" s="2"/>
      <c r="L453" s="2"/>
      <c r="M453" s="2"/>
      <c r="N453" s="2"/>
      <c r="O453" s="2"/>
      <c r="P453" s="2"/>
      <c r="Q453" s="7"/>
      <c r="R453" s="224"/>
      <c r="S453" s="224"/>
      <c r="T453" s="224"/>
      <c r="U453" s="868"/>
      <c r="V453" s="865"/>
      <c r="W453" s="2"/>
      <c r="X453" s="2"/>
      <c r="Y453" s="2"/>
      <c r="Z453" s="2"/>
      <c r="AA453" s="2"/>
      <c r="AB453" s="2"/>
      <c r="AC453" s="2"/>
      <c r="AD453" s="2"/>
      <c r="AE453" s="2"/>
      <c r="AF453" s="2"/>
      <c r="AG453" s="2"/>
      <c r="AH453" s="2"/>
      <c r="AI453" s="2"/>
      <c r="AJ453" s="218"/>
      <c r="AK453" s="218"/>
      <c r="AL453" s="218"/>
      <c r="AM453" s="218"/>
    </row>
    <row r="454">
      <c r="A454" s="33"/>
      <c r="B454" s="2"/>
      <c r="C454" s="2"/>
      <c r="D454" s="2"/>
      <c r="E454" s="2"/>
      <c r="F454" s="4"/>
      <c r="G454" s="2"/>
      <c r="H454" s="2"/>
      <c r="I454" s="2"/>
      <c r="J454" s="5"/>
      <c r="K454" s="2"/>
      <c r="L454" s="2"/>
      <c r="M454" s="2"/>
      <c r="N454" s="2"/>
      <c r="O454" s="2"/>
      <c r="P454" s="2"/>
      <c r="Q454" s="7"/>
      <c r="R454" s="224"/>
      <c r="S454" s="224"/>
      <c r="T454" s="224"/>
      <c r="U454" s="868"/>
      <c r="V454" s="865"/>
      <c r="W454" s="2"/>
      <c r="X454" s="2"/>
      <c r="Y454" s="2"/>
      <c r="Z454" s="2"/>
      <c r="AA454" s="2"/>
      <c r="AB454" s="2"/>
      <c r="AC454" s="2"/>
      <c r="AD454" s="2"/>
      <c r="AE454" s="2"/>
      <c r="AF454" s="2"/>
      <c r="AG454" s="2"/>
      <c r="AH454" s="2"/>
      <c r="AI454" s="2"/>
      <c r="AJ454" s="218"/>
      <c r="AK454" s="218"/>
      <c r="AL454" s="218"/>
      <c r="AM454" s="218"/>
    </row>
    <row r="455">
      <c r="A455" s="33"/>
      <c r="B455" s="2"/>
      <c r="C455" s="2"/>
      <c r="D455" s="2"/>
      <c r="E455" s="2"/>
      <c r="F455" s="4"/>
      <c r="G455" s="2"/>
      <c r="H455" s="2"/>
      <c r="I455" s="2"/>
      <c r="J455" s="5"/>
      <c r="K455" s="2"/>
      <c r="L455" s="2"/>
      <c r="M455" s="2"/>
      <c r="N455" s="2"/>
      <c r="O455" s="2"/>
      <c r="P455" s="2"/>
      <c r="Q455" s="7"/>
      <c r="R455" s="224"/>
      <c r="S455" s="224"/>
      <c r="T455" s="224"/>
      <c r="U455" s="868"/>
      <c r="V455" s="865"/>
      <c r="W455" s="2"/>
      <c r="X455" s="2"/>
      <c r="Y455" s="2"/>
      <c r="Z455" s="2"/>
      <c r="AA455" s="2"/>
      <c r="AB455" s="2"/>
      <c r="AC455" s="2"/>
      <c r="AD455" s="2"/>
      <c r="AE455" s="2"/>
      <c r="AF455" s="2"/>
      <c r="AG455" s="2"/>
      <c r="AH455" s="2"/>
      <c r="AI455" s="2"/>
      <c r="AJ455" s="218"/>
      <c r="AK455" s="218"/>
      <c r="AL455" s="218"/>
      <c r="AM455" s="218"/>
    </row>
    <row r="456">
      <c r="A456" s="33"/>
      <c r="B456" s="2"/>
      <c r="C456" s="2"/>
      <c r="D456" s="2"/>
      <c r="E456" s="2"/>
      <c r="F456" s="4"/>
      <c r="G456" s="2"/>
      <c r="H456" s="2"/>
      <c r="I456" s="2"/>
      <c r="J456" s="5"/>
      <c r="K456" s="2"/>
      <c r="L456" s="2"/>
      <c r="M456" s="2"/>
      <c r="N456" s="2"/>
      <c r="O456" s="2"/>
      <c r="P456" s="2"/>
      <c r="Q456" s="7"/>
      <c r="R456" s="224"/>
      <c r="S456" s="224"/>
      <c r="T456" s="224"/>
      <c r="U456" s="868"/>
      <c r="V456" s="865"/>
      <c r="W456" s="2"/>
      <c r="X456" s="2"/>
      <c r="Y456" s="2"/>
      <c r="Z456" s="2"/>
      <c r="AA456" s="2"/>
      <c r="AB456" s="2"/>
      <c r="AC456" s="2"/>
      <c r="AD456" s="2"/>
      <c r="AE456" s="2"/>
      <c r="AF456" s="2"/>
      <c r="AG456" s="2"/>
      <c r="AH456" s="2"/>
      <c r="AI456" s="2"/>
      <c r="AJ456" s="218"/>
      <c r="AK456" s="218"/>
      <c r="AL456" s="218"/>
      <c r="AM456" s="218"/>
    </row>
    <row r="457">
      <c r="A457" s="33"/>
      <c r="B457" s="2"/>
      <c r="C457" s="2"/>
      <c r="D457" s="2"/>
      <c r="E457" s="2"/>
      <c r="F457" s="4"/>
      <c r="G457" s="2"/>
      <c r="H457" s="2"/>
      <c r="I457" s="2"/>
      <c r="J457" s="5"/>
      <c r="K457" s="2"/>
      <c r="L457" s="2"/>
      <c r="M457" s="2"/>
      <c r="N457" s="2"/>
      <c r="O457" s="2"/>
      <c r="P457" s="2"/>
      <c r="Q457" s="7"/>
      <c r="R457" s="224"/>
      <c r="S457" s="224"/>
      <c r="T457" s="224"/>
      <c r="U457" s="868"/>
      <c r="V457" s="865"/>
      <c r="W457" s="2"/>
      <c r="X457" s="2"/>
      <c r="Y457" s="2"/>
      <c r="Z457" s="2"/>
      <c r="AA457" s="2"/>
      <c r="AB457" s="2"/>
      <c r="AC457" s="2"/>
      <c r="AD457" s="2"/>
      <c r="AE457" s="2"/>
      <c r="AF457" s="2"/>
      <c r="AG457" s="2"/>
      <c r="AH457" s="2"/>
      <c r="AI457" s="2"/>
      <c r="AJ457" s="218"/>
      <c r="AK457" s="218"/>
      <c r="AL457" s="218"/>
      <c r="AM457" s="218"/>
    </row>
    <row r="458">
      <c r="A458" s="33"/>
      <c r="B458" s="2"/>
      <c r="C458" s="2"/>
      <c r="D458" s="2"/>
      <c r="E458" s="2"/>
      <c r="F458" s="4"/>
      <c r="G458" s="2"/>
      <c r="H458" s="2"/>
      <c r="I458" s="2"/>
      <c r="J458" s="5"/>
      <c r="K458" s="2"/>
      <c r="L458" s="2"/>
      <c r="M458" s="2"/>
      <c r="N458" s="2"/>
      <c r="O458" s="2"/>
      <c r="P458" s="2"/>
      <c r="Q458" s="7"/>
      <c r="R458" s="224"/>
      <c r="S458" s="224"/>
      <c r="T458" s="224"/>
      <c r="U458" s="868"/>
      <c r="V458" s="865"/>
      <c r="W458" s="2"/>
      <c r="X458" s="2"/>
      <c r="Y458" s="2"/>
      <c r="Z458" s="2"/>
      <c r="AA458" s="2"/>
      <c r="AB458" s="2"/>
      <c r="AC458" s="2"/>
      <c r="AD458" s="2"/>
      <c r="AE458" s="2"/>
      <c r="AF458" s="2"/>
      <c r="AG458" s="2"/>
      <c r="AH458" s="2"/>
      <c r="AI458" s="2"/>
      <c r="AJ458" s="218"/>
      <c r="AK458" s="218"/>
      <c r="AL458" s="218"/>
      <c r="AM458" s="218"/>
    </row>
    <row r="459">
      <c r="A459" s="33"/>
      <c r="B459" s="2"/>
      <c r="C459" s="2"/>
      <c r="D459" s="2"/>
      <c r="E459" s="2"/>
      <c r="F459" s="4"/>
      <c r="G459" s="2"/>
      <c r="H459" s="2"/>
      <c r="I459" s="2"/>
      <c r="J459" s="5"/>
      <c r="K459" s="2"/>
      <c r="L459" s="2"/>
      <c r="M459" s="2"/>
      <c r="N459" s="2"/>
      <c r="O459" s="2"/>
      <c r="P459" s="2"/>
      <c r="Q459" s="7"/>
      <c r="R459" s="224"/>
      <c r="S459" s="224"/>
      <c r="T459" s="224"/>
      <c r="U459" s="868"/>
      <c r="V459" s="865"/>
      <c r="W459" s="2"/>
      <c r="X459" s="2"/>
      <c r="Y459" s="2"/>
      <c r="Z459" s="2"/>
      <c r="AA459" s="2"/>
      <c r="AB459" s="2"/>
      <c r="AC459" s="2"/>
      <c r="AD459" s="2"/>
      <c r="AE459" s="2"/>
      <c r="AF459" s="2"/>
      <c r="AG459" s="2"/>
      <c r="AH459" s="2"/>
      <c r="AI459" s="2"/>
      <c r="AJ459" s="218"/>
      <c r="AK459" s="218"/>
      <c r="AL459" s="218"/>
      <c r="AM459" s="218"/>
    </row>
    <row r="460">
      <c r="A460" s="33"/>
      <c r="B460" s="2"/>
      <c r="C460" s="2"/>
      <c r="D460" s="2"/>
      <c r="E460" s="2"/>
      <c r="F460" s="4"/>
      <c r="G460" s="2"/>
      <c r="H460" s="2"/>
      <c r="I460" s="2"/>
      <c r="J460" s="5"/>
      <c r="K460" s="2"/>
      <c r="L460" s="2"/>
      <c r="M460" s="2"/>
      <c r="N460" s="2"/>
      <c r="O460" s="2"/>
      <c r="P460" s="2"/>
      <c r="Q460" s="7"/>
      <c r="R460" s="224"/>
      <c r="S460" s="224"/>
      <c r="T460" s="224"/>
      <c r="U460" s="868"/>
      <c r="V460" s="865"/>
      <c r="W460" s="2"/>
      <c r="X460" s="2"/>
      <c r="Y460" s="2"/>
      <c r="Z460" s="2"/>
      <c r="AA460" s="2"/>
      <c r="AB460" s="2"/>
      <c r="AC460" s="2"/>
      <c r="AD460" s="2"/>
      <c r="AE460" s="2"/>
      <c r="AF460" s="2"/>
      <c r="AG460" s="2"/>
      <c r="AH460" s="2"/>
      <c r="AI460" s="2"/>
      <c r="AJ460" s="218"/>
      <c r="AK460" s="218"/>
      <c r="AL460" s="218"/>
      <c r="AM460" s="218"/>
    </row>
    <row r="461">
      <c r="A461" s="33"/>
      <c r="B461" s="2"/>
      <c r="C461" s="2"/>
      <c r="D461" s="2"/>
      <c r="E461" s="2"/>
      <c r="F461" s="4"/>
      <c r="G461" s="2"/>
      <c r="H461" s="2"/>
      <c r="I461" s="2"/>
      <c r="J461" s="5"/>
      <c r="K461" s="2"/>
      <c r="L461" s="2"/>
      <c r="M461" s="2"/>
      <c r="N461" s="2"/>
      <c r="O461" s="2"/>
      <c r="P461" s="2"/>
      <c r="Q461" s="7"/>
      <c r="R461" s="224"/>
      <c r="S461" s="224"/>
      <c r="T461" s="224"/>
      <c r="U461" s="868"/>
      <c r="V461" s="865"/>
      <c r="W461" s="2"/>
      <c r="X461" s="2"/>
      <c r="Y461" s="2"/>
      <c r="Z461" s="2"/>
      <c r="AA461" s="2"/>
      <c r="AB461" s="2"/>
      <c r="AC461" s="2"/>
      <c r="AD461" s="2"/>
      <c r="AE461" s="2"/>
      <c r="AF461" s="2"/>
      <c r="AG461" s="2"/>
      <c r="AH461" s="2"/>
      <c r="AI461" s="2"/>
      <c r="AJ461" s="218"/>
      <c r="AK461" s="218"/>
      <c r="AL461" s="218"/>
      <c r="AM461" s="218"/>
    </row>
    <row r="462">
      <c r="A462" s="33"/>
      <c r="B462" s="2"/>
      <c r="C462" s="2"/>
      <c r="D462" s="2"/>
      <c r="E462" s="2"/>
      <c r="F462" s="4"/>
      <c r="G462" s="2"/>
      <c r="H462" s="2"/>
      <c r="I462" s="2"/>
      <c r="J462" s="5"/>
      <c r="K462" s="2"/>
      <c r="L462" s="2"/>
      <c r="M462" s="2"/>
      <c r="N462" s="2"/>
      <c r="O462" s="2"/>
      <c r="P462" s="2"/>
      <c r="Q462" s="7"/>
      <c r="R462" s="224"/>
      <c r="S462" s="224"/>
      <c r="T462" s="224"/>
      <c r="U462" s="868"/>
      <c r="V462" s="865"/>
      <c r="W462" s="2"/>
      <c r="X462" s="2"/>
      <c r="Y462" s="2"/>
      <c r="Z462" s="2"/>
      <c r="AA462" s="2"/>
      <c r="AB462" s="2"/>
      <c r="AC462" s="2"/>
      <c r="AD462" s="2"/>
      <c r="AE462" s="2"/>
      <c r="AF462" s="2"/>
      <c r="AG462" s="2"/>
      <c r="AH462" s="2"/>
      <c r="AI462" s="2"/>
      <c r="AJ462" s="218"/>
      <c r="AK462" s="218"/>
      <c r="AL462" s="218"/>
      <c r="AM462" s="218"/>
    </row>
    <row r="463">
      <c r="A463" s="33"/>
      <c r="B463" s="2"/>
      <c r="C463" s="2"/>
      <c r="D463" s="2"/>
      <c r="E463" s="2"/>
      <c r="F463" s="4"/>
      <c r="G463" s="2"/>
      <c r="H463" s="2"/>
      <c r="I463" s="2"/>
      <c r="J463" s="5"/>
      <c r="K463" s="2"/>
      <c r="L463" s="2"/>
      <c r="M463" s="2"/>
      <c r="N463" s="2"/>
      <c r="O463" s="2"/>
      <c r="P463" s="2"/>
      <c r="Q463" s="7"/>
      <c r="R463" s="224"/>
      <c r="S463" s="224"/>
      <c r="T463" s="224"/>
      <c r="U463" s="868"/>
      <c r="V463" s="865"/>
      <c r="W463" s="2"/>
      <c r="X463" s="2"/>
      <c r="Y463" s="2"/>
      <c r="Z463" s="2"/>
      <c r="AA463" s="2"/>
      <c r="AB463" s="2"/>
      <c r="AC463" s="2"/>
      <c r="AD463" s="2"/>
      <c r="AE463" s="2"/>
      <c r="AF463" s="2"/>
      <c r="AG463" s="2"/>
      <c r="AH463" s="2"/>
      <c r="AI463" s="2"/>
      <c r="AJ463" s="218"/>
      <c r="AK463" s="218"/>
      <c r="AL463" s="218"/>
      <c r="AM463" s="218"/>
    </row>
    <row r="464">
      <c r="A464" s="33"/>
      <c r="B464" s="2"/>
      <c r="C464" s="2"/>
      <c r="D464" s="2"/>
      <c r="E464" s="2"/>
      <c r="F464" s="4"/>
      <c r="G464" s="2"/>
      <c r="H464" s="2"/>
      <c r="I464" s="2"/>
      <c r="J464" s="5"/>
      <c r="K464" s="2"/>
      <c r="L464" s="2"/>
      <c r="M464" s="2"/>
      <c r="N464" s="2"/>
      <c r="O464" s="2"/>
      <c r="P464" s="2"/>
      <c r="Q464" s="7"/>
      <c r="R464" s="224"/>
      <c r="S464" s="224"/>
      <c r="T464" s="224"/>
      <c r="U464" s="868"/>
      <c r="V464" s="865"/>
      <c r="W464" s="2"/>
      <c r="X464" s="2"/>
      <c r="Y464" s="2"/>
      <c r="Z464" s="2"/>
      <c r="AA464" s="2"/>
      <c r="AB464" s="2"/>
      <c r="AC464" s="2"/>
      <c r="AD464" s="2"/>
      <c r="AE464" s="2"/>
      <c r="AF464" s="2"/>
      <c r="AG464" s="2"/>
      <c r="AH464" s="2"/>
      <c r="AI464" s="2"/>
      <c r="AJ464" s="218"/>
      <c r="AK464" s="218"/>
      <c r="AL464" s="218"/>
      <c r="AM464" s="218"/>
    </row>
    <row r="465">
      <c r="A465" s="33"/>
      <c r="B465" s="2"/>
      <c r="C465" s="2"/>
      <c r="D465" s="2"/>
      <c r="E465" s="2"/>
      <c r="F465" s="4"/>
      <c r="G465" s="2"/>
      <c r="H465" s="2"/>
      <c r="I465" s="2"/>
      <c r="J465" s="5"/>
      <c r="K465" s="2"/>
      <c r="L465" s="2"/>
      <c r="M465" s="2"/>
      <c r="N465" s="2"/>
      <c r="O465" s="2"/>
      <c r="P465" s="2"/>
      <c r="Q465" s="7"/>
      <c r="R465" s="224"/>
      <c r="S465" s="224"/>
      <c r="T465" s="224"/>
      <c r="U465" s="868"/>
      <c r="V465" s="865"/>
      <c r="W465" s="2"/>
      <c r="X465" s="2"/>
      <c r="Y465" s="2"/>
      <c r="Z465" s="2"/>
      <c r="AA465" s="2"/>
      <c r="AB465" s="2"/>
      <c r="AC465" s="2"/>
      <c r="AD465" s="2"/>
      <c r="AE465" s="2"/>
      <c r="AF465" s="2"/>
      <c r="AG465" s="2"/>
      <c r="AH465" s="2"/>
      <c r="AI465" s="2"/>
      <c r="AJ465" s="218"/>
      <c r="AK465" s="218"/>
      <c r="AL465" s="218"/>
      <c r="AM465" s="218"/>
    </row>
    <row r="466">
      <c r="A466" s="33"/>
      <c r="B466" s="2"/>
      <c r="C466" s="2"/>
      <c r="D466" s="2"/>
      <c r="E466" s="2"/>
      <c r="F466" s="4"/>
      <c r="G466" s="2"/>
      <c r="H466" s="2"/>
      <c r="I466" s="2"/>
      <c r="J466" s="5"/>
      <c r="K466" s="2"/>
      <c r="L466" s="2"/>
      <c r="M466" s="2"/>
      <c r="N466" s="2"/>
      <c r="O466" s="2"/>
      <c r="P466" s="2"/>
      <c r="Q466" s="7"/>
      <c r="R466" s="224"/>
      <c r="S466" s="224"/>
      <c r="T466" s="224"/>
      <c r="U466" s="868"/>
      <c r="V466" s="865"/>
      <c r="W466" s="2"/>
      <c r="X466" s="2"/>
      <c r="Y466" s="2"/>
      <c r="Z466" s="2"/>
      <c r="AA466" s="2"/>
      <c r="AB466" s="2"/>
      <c r="AC466" s="2"/>
      <c r="AD466" s="2"/>
      <c r="AE466" s="2"/>
      <c r="AF466" s="2"/>
      <c r="AG466" s="2"/>
      <c r="AH466" s="2"/>
      <c r="AI466" s="2"/>
      <c r="AJ466" s="218"/>
      <c r="AK466" s="218"/>
      <c r="AL466" s="218"/>
      <c r="AM466" s="218"/>
    </row>
    <row r="467">
      <c r="A467" s="33"/>
      <c r="B467" s="2"/>
      <c r="C467" s="2"/>
      <c r="D467" s="2"/>
      <c r="E467" s="2"/>
      <c r="F467" s="4"/>
      <c r="G467" s="2"/>
      <c r="H467" s="2"/>
      <c r="I467" s="2"/>
      <c r="J467" s="5"/>
      <c r="K467" s="2"/>
      <c r="L467" s="2"/>
      <c r="M467" s="2"/>
      <c r="N467" s="2"/>
      <c r="O467" s="2"/>
      <c r="P467" s="2"/>
      <c r="Q467" s="7"/>
      <c r="R467" s="224"/>
      <c r="S467" s="224"/>
      <c r="T467" s="224"/>
      <c r="U467" s="868"/>
      <c r="V467" s="865"/>
      <c r="W467" s="2"/>
      <c r="X467" s="2"/>
      <c r="Y467" s="2"/>
      <c r="Z467" s="2"/>
      <c r="AA467" s="2"/>
      <c r="AB467" s="2"/>
      <c r="AC467" s="2"/>
      <c r="AD467" s="2"/>
      <c r="AE467" s="2"/>
      <c r="AF467" s="2"/>
      <c r="AG467" s="2"/>
      <c r="AH467" s="2"/>
      <c r="AI467" s="2"/>
      <c r="AJ467" s="218"/>
      <c r="AK467" s="218"/>
      <c r="AL467" s="218"/>
      <c r="AM467" s="218"/>
    </row>
    <row r="468">
      <c r="A468" s="33"/>
      <c r="B468" s="2"/>
      <c r="C468" s="2"/>
      <c r="D468" s="2"/>
      <c r="E468" s="2"/>
      <c r="F468" s="4"/>
      <c r="G468" s="2"/>
      <c r="H468" s="2"/>
      <c r="I468" s="2"/>
      <c r="J468" s="5"/>
      <c r="K468" s="2"/>
      <c r="L468" s="2"/>
      <c r="M468" s="2"/>
      <c r="N468" s="2"/>
      <c r="O468" s="2"/>
      <c r="P468" s="2"/>
      <c r="Q468" s="7"/>
      <c r="R468" s="224"/>
      <c r="S468" s="224"/>
      <c r="T468" s="224"/>
      <c r="U468" s="868"/>
      <c r="V468" s="865"/>
      <c r="W468" s="2"/>
      <c r="X468" s="2"/>
      <c r="Y468" s="2"/>
      <c r="Z468" s="2"/>
      <c r="AA468" s="2"/>
      <c r="AB468" s="2"/>
      <c r="AC468" s="2"/>
      <c r="AD468" s="2"/>
      <c r="AE468" s="2"/>
      <c r="AF468" s="2"/>
      <c r="AG468" s="2"/>
      <c r="AH468" s="2"/>
      <c r="AI468" s="2"/>
      <c r="AJ468" s="218"/>
      <c r="AK468" s="218"/>
      <c r="AL468" s="218"/>
      <c r="AM468" s="218"/>
    </row>
    <row r="469">
      <c r="A469" s="33"/>
      <c r="B469" s="2"/>
      <c r="C469" s="2"/>
      <c r="D469" s="2"/>
      <c r="E469" s="2"/>
      <c r="F469" s="4"/>
      <c r="G469" s="2"/>
      <c r="H469" s="2"/>
      <c r="I469" s="2"/>
      <c r="J469" s="5"/>
      <c r="K469" s="2"/>
      <c r="L469" s="2"/>
      <c r="M469" s="2"/>
      <c r="N469" s="2"/>
      <c r="O469" s="2"/>
      <c r="P469" s="2"/>
      <c r="Q469" s="7"/>
      <c r="R469" s="224"/>
      <c r="S469" s="224"/>
      <c r="T469" s="224"/>
      <c r="U469" s="868"/>
      <c r="V469" s="865"/>
      <c r="W469" s="2"/>
      <c r="X469" s="2"/>
      <c r="Y469" s="2"/>
      <c r="Z469" s="2"/>
      <c r="AA469" s="2"/>
      <c r="AB469" s="2"/>
      <c r="AC469" s="2"/>
      <c r="AD469" s="2"/>
      <c r="AE469" s="2"/>
      <c r="AF469" s="2"/>
      <c r="AG469" s="2"/>
      <c r="AH469" s="2"/>
      <c r="AI469" s="2"/>
      <c r="AJ469" s="218"/>
      <c r="AK469" s="218"/>
      <c r="AL469" s="218"/>
      <c r="AM469" s="218"/>
    </row>
    <row r="470">
      <c r="A470" s="33"/>
      <c r="B470" s="2"/>
      <c r="C470" s="2"/>
      <c r="D470" s="2"/>
      <c r="E470" s="2"/>
      <c r="F470" s="4"/>
      <c r="G470" s="2"/>
      <c r="H470" s="2"/>
      <c r="I470" s="2"/>
      <c r="J470" s="5"/>
      <c r="K470" s="2"/>
      <c r="L470" s="2"/>
      <c r="M470" s="2"/>
      <c r="N470" s="2"/>
      <c r="O470" s="2"/>
      <c r="P470" s="2"/>
      <c r="Q470" s="7"/>
      <c r="R470" s="224"/>
      <c r="S470" s="224"/>
      <c r="T470" s="224"/>
      <c r="U470" s="868"/>
      <c r="V470" s="865"/>
      <c r="W470" s="2"/>
      <c r="X470" s="2"/>
      <c r="Y470" s="2"/>
      <c r="Z470" s="2"/>
      <c r="AA470" s="2"/>
      <c r="AB470" s="2"/>
      <c r="AC470" s="2"/>
      <c r="AD470" s="2"/>
      <c r="AE470" s="2"/>
      <c r="AF470" s="2"/>
      <c r="AG470" s="2"/>
      <c r="AH470" s="2"/>
      <c r="AI470" s="2"/>
      <c r="AJ470" s="218"/>
      <c r="AK470" s="218"/>
      <c r="AL470" s="218"/>
      <c r="AM470" s="218"/>
    </row>
    <row r="471">
      <c r="A471" s="33"/>
      <c r="B471" s="2"/>
      <c r="C471" s="2"/>
      <c r="D471" s="2"/>
      <c r="E471" s="2"/>
      <c r="F471" s="4"/>
      <c r="G471" s="2"/>
      <c r="H471" s="2"/>
      <c r="I471" s="2"/>
      <c r="J471" s="5"/>
      <c r="K471" s="2"/>
      <c r="L471" s="2"/>
      <c r="M471" s="2"/>
      <c r="N471" s="2"/>
      <c r="O471" s="2"/>
      <c r="P471" s="2"/>
      <c r="Q471" s="7"/>
      <c r="R471" s="224"/>
      <c r="S471" s="224"/>
      <c r="T471" s="224"/>
      <c r="U471" s="868"/>
      <c r="V471" s="865"/>
      <c r="W471" s="2"/>
      <c r="X471" s="2"/>
      <c r="Y471" s="2"/>
      <c r="Z471" s="2"/>
      <c r="AA471" s="2"/>
      <c r="AB471" s="2"/>
      <c r="AC471" s="2"/>
      <c r="AD471" s="2"/>
      <c r="AE471" s="2"/>
      <c r="AF471" s="2"/>
      <c r="AG471" s="2"/>
      <c r="AH471" s="2"/>
      <c r="AI471" s="2"/>
      <c r="AJ471" s="218"/>
      <c r="AK471" s="218"/>
      <c r="AL471" s="218"/>
      <c r="AM471" s="218"/>
    </row>
    <row r="472">
      <c r="A472" s="33"/>
      <c r="B472" s="2"/>
      <c r="C472" s="2"/>
      <c r="D472" s="2"/>
      <c r="E472" s="2"/>
      <c r="F472" s="4"/>
      <c r="G472" s="2"/>
      <c r="H472" s="2"/>
      <c r="I472" s="2"/>
      <c r="J472" s="5"/>
      <c r="K472" s="2"/>
      <c r="L472" s="2"/>
      <c r="M472" s="2"/>
      <c r="N472" s="2"/>
      <c r="O472" s="2"/>
      <c r="P472" s="2"/>
      <c r="Q472" s="7"/>
      <c r="R472" s="224"/>
      <c r="S472" s="224"/>
      <c r="T472" s="224"/>
      <c r="U472" s="868"/>
      <c r="V472" s="865"/>
      <c r="W472" s="2"/>
      <c r="X472" s="2"/>
      <c r="Y472" s="2"/>
      <c r="Z472" s="2"/>
      <c r="AA472" s="2"/>
      <c r="AB472" s="2"/>
      <c r="AC472" s="2"/>
      <c r="AD472" s="2"/>
      <c r="AE472" s="2"/>
      <c r="AF472" s="2"/>
      <c r="AG472" s="2"/>
      <c r="AH472" s="2"/>
      <c r="AI472" s="2"/>
      <c r="AJ472" s="218"/>
      <c r="AK472" s="218"/>
      <c r="AL472" s="218"/>
      <c r="AM472" s="218"/>
    </row>
    <row r="473">
      <c r="A473" s="33"/>
      <c r="B473" s="2"/>
      <c r="C473" s="2"/>
      <c r="D473" s="2"/>
      <c r="E473" s="2"/>
      <c r="F473" s="4"/>
      <c r="G473" s="2"/>
      <c r="H473" s="2"/>
      <c r="I473" s="2"/>
      <c r="J473" s="5"/>
      <c r="K473" s="2"/>
      <c r="L473" s="2"/>
      <c r="M473" s="2"/>
      <c r="N473" s="2"/>
      <c r="O473" s="2"/>
      <c r="P473" s="2"/>
      <c r="Q473" s="7"/>
      <c r="R473" s="224"/>
      <c r="S473" s="224"/>
      <c r="T473" s="224"/>
      <c r="U473" s="868"/>
      <c r="V473" s="865"/>
      <c r="W473" s="2"/>
      <c r="X473" s="2"/>
      <c r="Y473" s="2"/>
      <c r="Z473" s="2"/>
      <c r="AA473" s="2"/>
      <c r="AB473" s="2"/>
      <c r="AC473" s="2"/>
      <c r="AD473" s="2"/>
      <c r="AE473" s="2"/>
      <c r="AF473" s="2"/>
      <c r="AG473" s="2"/>
      <c r="AH473" s="2"/>
      <c r="AI473" s="2"/>
      <c r="AJ473" s="218"/>
      <c r="AK473" s="218"/>
      <c r="AL473" s="218"/>
      <c r="AM473" s="218"/>
    </row>
    <row r="474">
      <c r="A474" s="33"/>
      <c r="B474" s="2"/>
      <c r="C474" s="2"/>
      <c r="D474" s="2"/>
      <c r="E474" s="2"/>
      <c r="F474" s="4"/>
      <c r="G474" s="2"/>
      <c r="H474" s="2"/>
      <c r="I474" s="2"/>
      <c r="J474" s="5"/>
      <c r="K474" s="2"/>
      <c r="L474" s="2"/>
      <c r="M474" s="2"/>
      <c r="N474" s="2"/>
      <c r="O474" s="2"/>
      <c r="P474" s="2"/>
      <c r="Q474" s="7"/>
      <c r="R474" s="224"/>
      <c r="S474" s="224"/>
      <c r="T474" s="224"/>
      <c r="U474" s="868"/>
      <c r="V474" s="865"/>
      <c r="W474" s="2"/>
      <c r="X474" s="2"/>
      <c r="Y474" s="2"/>
      <c r="Z474" s="2"/>
      <c r="AA474" s="2"/>
      <c r="AB474" s="2"/>
      <c r="AC474" s="2"/>
      <c r="AD474" s="2"/>
      <c r="AE474" s="2"/>
      <c r="AF474" s="2"/>
      <c r="AG474" s="2"/>
      <c r="AH474" s="2"/>
      <c r="AI474" s="2"/>
      <c r="AJ474" s="218"/>
      <c r="AK474" s="218"/>
      <c r="AL474" s="218"/>
      <c r="AM474" s="218"/>
    </row>
    <row r="475">
      <c r="A475" s="33"/>
      <c r="B475" s="2"/>
      <c r="C475" s="2"/>
      <c r="D475" s="2"/>
      <c r="E475" s="2"/>
      <c r="F475" s="4"/>
      <c r="G475" s="2"/>
      <c r="H475" s="2"/>
      <c r="I475" s="2"/>
      <c r="J475" s="5"/>
      <c r="K475" s="2"/>
      <c r="L475" s="2"/>
      <c r="M475" s="2"/>
      <c r="N475" s="2"/>
      <c r="O475" s="2"/>
      <c r="P475" s="2"/>
      <c r="Q475" s="7"/>
      <c r="R475" s="224"/>
      <c r="S475" s="224"/>
      <c r="T475" s="224"/>
      <c r="U475" s="868"/>
      <c r="V475" s="865"/>
      <c r="W475" s="2"/>
      <c r="X475" s="2"/>
      <c r="Y475" s="2"/>
      <c r="Z475" s="2"/>
      <c r="AA475" s="2"/>
      <c r="AB475" s="2"/>
      <c r="AC475" s="2"/>
      <c r="AD475" s="2"/>
      <c r="AE475" s="2"/>
      <c r="AF475" s="2"/>
      <c r="AG475" s="2"/>
      <c r="AH475" s="2"/>
      <c r="AI475" s="2"/>
      <c r="AJ475" s="218"/>
      <c r="AK475" s="218"/>
      <c r="AL475" s="218"/>
      <c r="AM475" s="218"/>
    </row>
    <row r="476">
      <c r="A476" s="33"/>
      <c r="B476" s="2"/>
      <c r="C476" s="2"/>
      <c r="D476" s="2"/>
      <c r="E476" s="2"/>
      <c r="F476" s="4"/>
      <c r="G476" s="2"/>
      <c r="H476" s="2"/>
      <c r="I476" s="2"/>
      <c r="J476" s="5"/>
      <c r="K476" s="2"/>
      <c r="L476" s="2"/>
      <c r="M476" s="2"/>
      <c r="N476" s="2"/>
      <c r="O476" s="2"/>
      <c r="P476" s="2"/>
      <c r="Q476" s="7"/>
      <c r="R476" s="224"/>
      <c r="S476" s="224"/>
      <c r="T476" s="224"/>
      <c r="U476" s="868"/>
      <c r="V476" s="865"/>
      <c r="W476" s="2"/>
      <c r="X476" s="2"/>
      <c r="Y476" s="2"/>
      <c r="Z476" s="2"/>
      <c r="AA476" s="2"/>
      <c r="AB476" s="2"/>
      <c r="AC476" s="2"/>
      <c r="AD476" s="2"/>
      <c r="AE476" s="2"/>
      <c r="AF476" s="2"/>
      <c r="AG476" s="2"/>
      <c r="AH476" s="2"/>
      <c r="AI476" s="2"/>
      <c r="AJ476" s="218"/>
      <c r="AK476" s="218"/>
      <c r="AL476" s="218"/>
      <c r="AM476" s="218"/>
    </row>
    <row r="477">
      <c r="A477" s="33"/>
      <c r="B477" s="2"/>
      <c r="C477" s="2"/>
      <c r="D477" s="2"/>
      <c r="E477" s="2"/>
      <c r="F477" s="4"/>
      <c r="G477" s="2"/>
      <c r="H477" s="2"/>
      <c r="I477" s="2"/>
      <c r="J477" s="5"/>
      <c r="K477" s="2"/>
      <c r="L477" s="2"/>
      <c r="M477" s="2"/>
      <c r="N477" s="2"/>
      <c r="O477" s="2"/>
      <c r="P477" s="2"/>
      <c r="Q477" s="7"/>
      <c r="R477" s="224"/>
      <c r="S477" s="224"/>
      <c r="T477" s="224"/>
      <c r="U477" s="868"/>
      <c r="V477" s="865"/>
      <c r="W477" s="2"/>
      <c r="X477" s="2"/>
      <c r="Y477" s="2"/>
      <c r="Z477" s="2"/>
      <c r="AA477" s="2"/>
      <c r="AB477" s="2"/>
      <c r="AC477" s="2"/>
      <c r="AD477" s="2"/>
      <c r="AE477" s="2"/>
      <c r="AF477" s="2"/>
      <c r="AG477" s="2"/>
      <c r="AH477" s="2"/>
      <c r="AI477" s="2"/>
      <c r="AJ477" s="218"/>
      <c r="AK477" s="218"/>
      <c r="AL477" s="218"/>
      <c r="AM477" s="218"/>
    </row>
    <row r="478">
      <c r="A478" s="33"/>
      <c r="B478" s="2"/>
      <c r="C478" s="2"/>
      <c r="D478" s="2"/>
      <c r="E478" s="2"/>
      <c r="F478" s="4"/>
      <c r="G478" s="2"/>
      <c r="H478" s="2"/>
      <c r="I478" s="2"/>
      <c r="J478" s="5"/>
      <c r="K478" s="2"/>
      <c r="L478" s="2"/>
      <c r="M478" s="2"/>
      <c r="N478" s="2"/>
      <c r="O478" s="2"/>
      <c r="P478" s="2"/>
      <c r="Q478" s="7"/>
      <c r="R478" s="224"/>
      <c r="S478" s="224"/>
      <c r="T478" s="224"/>
      <c r="U478" s="868"/>
      <c r="V478" s="865"/>
      <c r="W478" s="2"/>
      <c r="X478" s="2"/>
      <c r="Y478" s="2"/>
      <c r="Z478" s="2"/>
      <c r="AA478" s="2"/>
      <c r="AB478" s="2"/>
      <c r="AC478" s="2"/>
      <c r="AD478" s="2"/>
      <c r="AE478" s="2"/>
      <c r="AF478" s="2"/>
      <c r="AG478" s="2"/>
      <c r="AH478" s="2"/>
      <c r="AI478" s="2"/>
      <c r="AJ478" s="218"/>
      <c r="AK478" s="218"/>
      <c r="AL478" s="218"/>
      <c r="AM478" s="218"/>
    </row>
    <row r="479">
      <c r="A479" s="33"/>
      <c r="B479" s="2"/>
      <c r="C479" s="2"/>
      <c r="D479" s="2"/>
      <c r="E479" s="2"/>
      <c r="F479" s="4"/>
      <c r="G479" s="2"/>
      <c r="H479" s="2"/>
      <c r="I479" s="2"/>
      <c r="J479" s="5"/>
      <c r="K479" s="2"/>
      <c r="L479" s="2"/>
      <c r="M479" s="2"/>
      <c r="N479" s="2"/>
      <c r="O479" s="2"/>
      <c r="P479" s="2"/>
      <c r="Q479" s="7"/>
      <c r="R479" s="224"/>
      <c r="S479" s="224"/>
      <c r="T479" s="224"/>
      <c r="U479" s="868"/>
      <c r="V479" s="865"/>
      <c r="W479" s="2"/>
      <c r="X479" s="2"/>
      <c r="Y479" s="2"/>
      <c r="Z479" s="2"/>
      <c r="AA479" s="2"/>
      <c r="AB479" s="2"/>
      <c r="AC479" s="2"/>
      <c r="AD479" s="2"/>
      <c r="AE479" s="2"/>
      <c r="AF479" s="2"/>
      <c r="AG479" s="2"/>
      <c r="AH479" s="2"/>
      <c r="AI479" s="2"/>
      <c r="AJ479" s="218"/>
      <c r="AK479" s="218"/>
      <c r="AL479" s="218"/>
      <c r="AM479" s="218"/>
    </row>
    <row r="480">
      <c r="A480" s="33"/>
      <c r="B480" s="2"/>
      <c r="C480" s="2"/>
      <c r="D480" s="2"/>
      <c r="E480" s="2"/>
      <c r="F480" s="4"/>
      <c r="G480" s="2"/>
      <c r="H480" s="2"/>
      <c r="I480" s="2"/>
      <c r="J480" s="5"/>
      <c r="K480" s="2"/>
      <c r="L480" s="2"/>
      <c r="M480" s="2"/>
      <c r="N480" s="2"/>
      <c r="O480" s="2"/>
      <c r="P480" s="2"/>
      <c r="Q480" s="7"/>
      <c r="R480" s="224"/>
      <c r="S480" s="224"/>
      <c r="T480" s="224"/>
      <c r="U480" s="868"/>
      <c r="V480" s="865"/>
      <c r="W480" s="2"/>
      <c r="X480" s="2"/>
      <c r="Y480" s="2"/>
      <c r="Z480" s="2"/>
      <c r="AA480" s="2"/>
      <c r="AB480" s="2"/>
      <c r="AC480" s="2"/>
      <c r="AD480" s="2"/>
      <c r="AE480" s="2"/>
      <c r="AF480" s="2"/>
      <c r="AG480" s="2"/>
      <c r="AH480" s="2"/>
      <c r="AI480" s="2"/>
      <c r="AJ480" s="218"/>
      <c r="AK480" s="218"/>
      <c r="AL480" s="218"/>
      <c r="AM480" s="218"/>
    </row>
    <row r="481">
      <c r="A481" s="33"/>
      <c r="B481" s="2"/>
      <c r="C481" s="2"/>
      <c r="D481" s="2"/>
      <c r="E481" s="2"/>
      <c r="F481" s="4"/>
      <c r="G481" s="2"/>
      <c r="H481" s="2"/>
      <c r="I481" s="2"/>
      <c r="J481" s="5"/>
      <c r="K481" s="2"/>
      <c r="L481" s="2"/>
      <c r="M481" s="2"/>
      <c r="N481" s="2"/>
      <c r="O481" s="2"/>
      <c r="P481" s="2"/>
      <c r="Q481" s="7"/>
      <c r="R481" s="224"/>
      <c r="S481" s="224"/>
      <c r="T481" s="224"/>
      <c r="U481" s="868"/>
      <c r="V481" s="865"/>
      <c r="W481" s="2"/>
      <c r="X481" s="2"/>
      <c r="Y481" s="2"/>
      <c r="Z481" s="2"/>
      <c r="AA481" s="2"/>
      <c r="AB481" s="2"/>
      <c r="AC481" s="2"/>
      <c r="AD481" s="2"/>
      <c r="AE481" s="2"/>
      <c r="AF481" s="2"/>
      <c r="AG481" s="2"/>
      <c r="AH481" s="2"/>
      <c r="AI481" s="2"/>
      <c r="AJ481" s="218"/>
      <c r="AK481" s="218"/>
      <c r="AL481" s="218"/>
      <c r="AM481" s="218"/>
    </row>
    <row r="482">
      <c r="A482" s="33"/>
      <c r="B482" s="2"/>
      <c r="C482" s="2"/>
      <c r="D482" s="2"/>
      <c r="E482" s="2"/>
      <c r="F482" s="4"/>
      <c r="G482" s="2"/>
      <c r="H482" s="2"/>
      <c r="I482" s="2"/>
      <c r="J482" s="5"/>
      <c r="K482" s="2"/>
      <c r="L482" s="2"/>
      <c r="M482" s="2"/>
      <c r="N482" s="2"/>
      <c r="O482" s="2"/>
      <c r="P482" s="2"/>
      <c r="Q482" s="7"/>
      <c r="R482" s="224"/>
      <c r="S482" s="224"/>
      <c r="T482" s="224"/>
      <c r="U482" s="868"/>
      <c r="V482" s="865"/>
      <c r="W482" s="2"/>
      <c r="X482" s="2"/>
      <c r="Y482" s="2"/>
      <c r="Z482" s="2"/>
      <c r="AA482" s="2"/>
      <c r="AB482" s="2"/>
      <c r="AC482" s="2"/>
      <c r="AD482" s="2"/>
      <c r="AE482" s="2"/>
      <c r="AF482" s="2"/>
      <c r="AG482" s="2"/>
      <c r="AH482" s="2"/>
      <c r="AI482" s="2"/>
      <c r="AJ482" s="218"/>
      <c r="AK482" s="218"/>
      <c r="AL482" s="218"/>
      <c r="AM482" s="218"/>
    </row>
    <row r="483">
      <c r="A483" s="33"/>
      <c r="B483" s="2"/>
      <c r="C483" s="2"/>
      <c r="D483" s="2"/>
      <c r="E483" s="2"/>
      <c r="F483" s="4"/>
      <c r="G483" s="2"/>
      <c r="H483" s="2"/>
      <c r="I483" s="2"/>
      <c r="J483" s="5"/>
      <c r="K483" s="2"/>
      <c r="L483" s="2"/>
      <c r="M483" s="2"/>
      <c r="N483" s="2"/>
      <c r="O483" s="2"/>
      <c r="P483" s="2"/>
      <c r="Q483" s="7"/>
      <c r="R483" s="224"/>
      <c r="S483" s="224"/>
      <c r="T483" s="224"/>
      <c r="U483" s="868"/>
      <c r="V483" s="865"/>
      <c r="W483" s="2"/>
      <c r="X483" s="2"/>
      <c r="Y483" s="2"/>
      <c r="Z483" s="2"/>
      <c r="AA483" s="2"/>
      <c r="AB483" s="2"/>
      <c r="AC483" s="2"/>
      <c r="AD483" s="2"/>
      <c r="AE483" s="2"/>
      <c r="AF483" s="2"/>
      <c r="AG483" s="2"/>
      <c r="AH483" s="2"/>
      <c r="AI483" s="2"/>
      <c r="AJ483" s="218"/>
      <c r="AK483" s="218"/>
      <c r="AL483" s="218"/>
      <c r="AM483" s="218"/>
    </row>
    <row r="484">
      <c r="A484" s="33"/>
      <c r="B484" s="2"/>
      <c r="C484" s="2"/>
      <c r="D484" s="2"/>
      <c r="E484" s="2"/>
      <c r="F484" s="4"/>
      <c r="G484" s="2"/>
      <c r="H484" s="2"/>
      <c r="I484" s="2"/>
      <c r="J484" s="5"/>
      <c r="K484" s="2"/>
      <c r="L484" s="2"/>
      <c r="M484" s="2"/>
      <c r="N484" s="2"/>
      <c r="O484" s="2"/>
      <c r="P484" s="2"/>
      <c r="Q484" s="7"/>
      <c r="R484" s="224"/>
      <c r="S484" s="224"/>
      <c r="T484" s="224"/>
      <c r="U484" s="868"/>
      <c r="V484" s="865"/>
      <c r="W484" s="2"/>
      <c r="X484" s="2"/>
      <c r="Y484" s="2"/>
      <c r="Z484" s="2"/>
      <c r="AA484" s="2"/>
      <c r="AB484" s="2"/>
      <c r="AC484" s="2"/>
      <c r="AD484" s="2"/>
      <c r="AE484" s="2"/>
      <c r="AF484" s="2"/>
      <c r="AG484" s="2"/>
      <c r="AH484" s="2"/>
      <c r="AI484" s="2"/>
      <c r="AJ484" s="218"/>
      <c r="AK484" s="218"/>
      <c r="AL484" s="218"/>
      <c r="AM484" s="218"/>
    </row>
    <row r="485">
      <c r="A485" s="33"/>
      <c r="B485" s="2"/>
      <c r="C485" s="2"/>
      <c r="D485" s="2"/>
      <c r="E485" s="2"/>
      <c r="F485" s="4"/>
      <c r="G485" s="2"/>
      <c r="H485" s="2"/>
      <c r="I485" s="2"/>
      <c r="J485" s="5"/>
      <c r="K485" s="2"/>
      <c r="L485" s="2"/>
      <c r="M485" s="2"/>
      <c r="N485" s="2"/>
      <c r="O485" s="2"/>
      <c r="P485" s="2"/>
      <c r="Q485" s="7"/>
      <c r="R485" s="224"/>
      <c r="S485" s="224"/>
      <c r="T485" s="224"/>
      <c r="U485" s="868"/>
      <c r="V485" s="865"/>
      <c r="W485" s="2"/>
      <c r="X485" s="2"/>
      <c r="Y485" s="2"/>
      <c r="Z485" s="2"/>
      <c r="AA485" s="2"/>
      <c r="AB485" s="2"/>
      <c r="AC485" s="2"/>
      <c r="AD485" s="2"/>
      <c r="AE485" s="2"/>
      <c r="AF485" s="2"/>
      <c r="AG485" s="2"/>
      <c r="AH485" s="2"/>
      <c r="AI485" s="2"/>
      <c r="AJ485" s="218"/>
      <c r="AK485" s="218"/>
      <c r="AL485" s="218"/>
      <c r="AM485" s="218"/>
    </row>
    <row r="486">
      <c r="A486" s="33"/>
      <c r="B486" s="2"/>
      <c r="C486" s="2"/>
      <c r="D486" s="2"/>
      <c r="E486" s="2"/>
      <c r="F486" s="4"/>
      <c r="G486" s="2"/>
      <c r="H486" s="2"/>
      <c r="I486" s="2"/>
      <c r="J486" s="5"/>
      <c r="K486" s="2"/>
      <c r="L486" s="2"/>
      <c r="M486" s="2"/>
      <c r="N486" s="2"/>
      <c r="O486" s="2"/>
      <c r="P486" s="2"/>
      <c r="Q486" s="7"/>
      <c r="R486" s="224"/>
      <c r="S486" s="224"/>
      <c r="T486" s="224"/>
      <c r="U486" s="868"/>
      <c r="V486" s="865"/>
      <c r="W486" s="2"/>
      <c r="X486" s="2"/>
      <c r="Y486" s="2"/>
      <c r="Z486" s="2"/>
      <c r="AA486" s="2"/>
      <c r="AB486" s="2"/>
      <c r="AC486" s="2"/>
      <c r="AD486" s="2"/>
      <c r="AE486" s="2"/>
      <c r="AF486" s="2"/>
      <c r="AG486" s="2"/>
      <c r="AH486" s="2"/>
      <c r="AI486" s="2"/>
      <c r="AJ486" s="218"/>
      <c r="AK486" s="218"/>
      <c r="AL486" s="218"/>
      <c r="AM486" s="218"/>
    </row>
    <row r="487">
      <c r="A487" s="33"/>
      <c r="B487" s="2"/>
      <c r="C487" s="2"/>
      <c r="D487" s="2"/>
      <c r="E487" s="2"/>
      <c r="F487" s="4"/>
      <c r="G487" s="2"/>
      <c r="H487" s="2"/>
      <c r="I487" s="2"/>
      <c r="J487" s="5"/>
      <c r="K487" s="2"/>
      <c r="L487" s="2"/>
      <c r="M487" s="2"/>
      <c r="N487" s="2"/>
      <c r="O487" s="2"/>
      <c r="P487" s="2"/>
      <c r="Q487" s="7"/>
      <c r="R487" s="224"/>
      <c r="S487" s="224"/>
      <c r="T487" s="224"/>
      <c r="U487" s="868"/>
      <c r="V487" s="865"/>
      <c r="W487" s="2"/>
      <c r="X487" s="2"/>
      <c r="Y487" s="2"/>
      <c r="Z487" s="2"/>
      <c r="AA487" s="2"/>
      <c r="AB487" s="2"/>
      <c r="AC487" s="2"/>
      <c r="AD487" s="2"/>
      <c r="AE487" s="2"/>
      <c r="AF487" s="2"/>
      <c r="AG487" s="2"/>
      <c r="AH487" s="2"/>
      <c r="AI487" s="2"/>
      <c r="AJ487" s="218"/>
      <c r="AK487" s="218"/>
      <c r="AL487" s="218"/>
      <c r="AM487" s="218"/>
    </row>
    <row r="488">
      <c r="A488" s="33"/>
      <c r="B488" s="2"/>
      <c r="C488" s="2"/>
      <c r="D488" s="2"/>
      <c r="E488" s="2"/>
      <c r="F488" s="4"/>
      <c r="G488" s="2"/>
      <c r="H488" s="2"/>
      <c r="I488" s="2"/>
      <c r="J488" s="5"/>
      <c r="K488" s="2"/>
      <c r="L488" s="2"/>
      <c r="M488" s="2"/>
      <c r="N488" s="2"/>
      <c r="O488" s="2"/>
      <c r="P488" s="2"/>
      <c r="Q488" s="7"/>
      <c r="R488" s="224"/>
      <c r="S488" s="224"/>
      <c r="T488" s="224"/>
      <c r="U488" s="868"/>
      <c r="V488" s="865"/>
      <c r="W488" s="2"/>
      <c r="X488" s="2"/>
      <c r="Y488" s="2"/>
      <c r="Z488" s="2"/>
      <c r="AA488" s="2"/>
      <c r="AB488" s="2"/>
      <c r="AC488" s="2"/>
      <c r="AD488" s="2"/>
      <c r="AE488" s="2"/>
      <c r="AF488" s="2"/>
      <c r="AG488" s="2"/>
      <c r="AH488" s="2"/>
      <c r="AI488" s="2"/>
      <c r="AJ488" s="218"/>
      <c r="AK488" s="218"/>
      <c r="AL488" s="218"/>
      <c r="AM488" s="218"/>
    </row>
    <row r="489">
      <c r="A489" s="33"/>
      <c r="B489" s="2"/>
      <c r="C489" s="2"/>
      <c r="D489" s="2"/>
      <c r="E489" s="2"/>
      <c r="F489" s="4"/>
      <c r="G489" s="2"/>
      <c r="H489" s="2"/>
      <c r="I489" s="2"/>
      <c r="J489" s="5"/>
      <c r="K489" s="2"/>
      <c r="L489" s="2"/>
      <c r="M489" s="2"/>
      <c r="N489" s="2"/>
      <c r="O489" s="2"/>
      <c r="P489" s="2"/>
      <c r="Q489" s="7"/>
      <c r="R489" s="224"/>
      <c r="S489" s="224"/>
      <c r="T489" s="224"/>
      <c r="U489" s="868"/>
      <c r="V489" s="865"/>
      <c r="W489" s="2"/>
      <c r="X489" s="2"/>
      <c r="Y489" s="2"/>
      <c r="Z489" s="2"/>
      <c r="AA489" s="2"/>
      <c r="AB489" s="2"/>
      <c r="AC489" s="2"/>
      <c r="AD489" s="2"/>
      <c r="AE489" s="2"/>
      <c r="AF489" s="2"/>
      <c r="AG489" s="2"/>
      <c r="AH489" s="2"/>
      <c r="AI489" s="2"/>
      <c r="AJ489" s="218"/>
      <c r="AK489" s="218"/>
      <c r="AL489" s="218"/>
      <c r="AM489" s="218"/>
    </row>
    <row r="490">
      <c r="A490" s="33"/>
      <c r="B490" s="2"/>
      <c r="C490" s="2"/>
      <c r="D490" s="2"/>
      <c r="E490" s="2"/>
      <c r="F490" s="4"/>
      <c r="G490" s="2"/>
      <c r="H490" s="2"/>
      <c r="I490" s="2"/>
      <c r="J490" s="5"/>
      <c r="K490" s="2"/>
      <c r="L490" s="2"/>
      <c r="M490" s="2"/>
      <c r="N490" s="2"/>
      <c r="O490" s="2"/>
      <c r="P490" s="2"/>
      <c r="Q490" s="7"/>
      <c r="R490" s="224"/>
      <c r="S490" s="224"/>
      <c r="T490" s="224"/>
      <c r="U490" s="868"/>
      <c r="V490" s="865"/>
      <c r="W490" s="2"/>
      <c r="X490" s="2"/>
      <c r="Y490" s="2"/>
      <c r="Z490" s="2"/>
      <c r="AA490" s="2"/>
      <c r="AB490" s="2"/>
      <c r="AC490" s="2"/>
      <c r="AD490" s="2"/>
      <c r="AE490" s="2"/>
      <c r="AF490" s="2"/>
      <c r="AG490" s="2"/>
      <c r="AH490" s="2"/>
      <c r="AI490" s="2"/>
      <c r="AJ490" s="218"/>
      <c r="AK490" s="218"/>
      <c r="AL490" s="218"/>
      <c r="AM490" s="218"/>
    </row>
    <row r="491">
      <c r="A491" s="33"/>
      <c r="B491" s="2"/>
      <c r="C491" s="2"/>
      <c r="D491" s="2"/>
      <c r="E491" s="2"/>
      <c r="F491" s="4"/>
      <c r="G491" s="2"/>
      <c r="H491" s="2"/>
      <c r="I491" s="2"/>
      <c r="J491" s="5"/>
      <c r="K491" s="2"/>
      <c r="L491" s="2"/>
      <c r="M491" s="2"/>
      <c r="N491" s="2"/>
      <c r="O491" s="2"/>
      <c r="P491" s="2"/>
      <c r="Q491" s="7"/>
      <c r="R491" s="224"/>
      <c r="S491" s="224"/>
      <c r="T491" s="224"/>
      <c r="U491" s="868"/>
      <c r="V491" s="865"/>
      <c r="W491" s="2"/>
      <c r="X491" s="2"/>
      <c r="Y491" s="2"/>
      <c r="Z491" s="2"/>
      <c r="AA491" s="2"/>
      <c r="AB491" s="2"/>
      <c r="AC491" s="2"/>
      <c r="AD491" s="2"/>
      <c r="AE491" s="2"/>
      <c r="AF491" s="2"/>
      <c r="AG491" s="2"/>
      <c r="AH491" s="2"/>
      <c r="AI491" s="2"/>
      <c r="AJ491" s="218"/>
      <c r="AK491" s="218"/>
      <c r="AL491" s="218"/>
      <c r="AM491" s="218"/>
    </row>
    <row r="492">
      <c r="A492" s="33"/>
      <c r="B492" s="2"/>
      <c r="C492" s="2"/>
      <c r="D492" s="2"/>
      <c r="E492" s="2"/>
      <c r="F492" s="4"/>
      <c r="G492" s="2"/>
      <c r="H492" s="2"/>
      <c r="I492" s="2"/>
      <c r="J492" s="5"/>
      <c r="K492" s="2"/>
      <c r="L492" s="2"/>
      <c r="M492" s="2"/>
      <c r="N492" s="2"/>
      <c r="O492" s="2"/>
      <c r="P492" s="2"/>
      <c r="Q492" s="7"/>
      <c r="R492" s="224"/>
      <c r="S492" s="224"/>
      <c r="T492" s="224"/>
      <c r="U492" s="868"/>
      <c r="V492" s="865"/>
      <c r="W492" s="2"/>
      <c r="X492" s="2"/>
      <c r="Y492" s="2"/>
      <c r="Z492" s="2"/>
      <c r="AA492" s="2"/>
      <c r="AB492" s="2"/>
      <c r="AC492" s="2"/>
      <c r="AD492" s="2"/>
      <c r="AE492" s="2"/>
      <c r="AF492" s="2"/>
      <c r="AG492" s="2"/>
      <c r="AH492" s="2"/>
      <c r="AI492" s="2"/>
      <c r="AJ492" s="218"/>
      <c r="AK492" s="218"/>
      <c r="AL492" s="218"/>
      <c r="AM492" s="218"/>
    </row>
    <row r="493">
      <c r="A493" s="33"/>
      <c r="B493" s="2"/>
      <c r="C493" s="2"/>
      <c r="D493" s="2"/>
      <c r="E493" s="2"/>
      <c r="F493" s="4"/>
      <c r="G493" s="2"/>
      <c r="H493" s="2"/>
      <c r="I493" s="2"/>
      <c r="J493" s="5"/>
      <c r="K493" s="2"/>
      <c r="L493" s="2"/>
      <c r="M493" s="2"/>
      <c r="N493" s="2"/>
      <c r="O493" s="2"/>
      <c r="P493" s="2"/>
      <c r="Q493" s="7"/>
      <c r="R493" s="224"/>
      <c r="S493" s="224"/>
      <c r="T493" s="224"/>
      <c r="U493" s="868"/>
      <c r="V493" s="865"/>
      <c r="W493" s="2"/>
      <c r="X493" s="2"/>
      <c r="Y493" s="2"/>
      <c r="Z493" s="2"/>
      <c r="AA493" s="2"/>
      <c r="AB493" s="2"/>
      <c r="AC493" s="2"/>
      <c r="AD493" s="2"/>
      <c r="AE493" s="2"/>
      <c r="AF493" s="2"/>
      <c r="AG493" s="2"/>
      <c r="AH493" s="2"/>
      <c r="AI493" s="2"/>
      <c r="AJ493" s="218"/>
      <c r="AK493" s="218"/>
      <c r="AL493" s="218"/>
      <c r="AM493" s="218"/>
    </row>
    <row r="494">
      <c r="A494" s="33"/>
      <c r="B494" s="2"/>
      <c r="C494" s="2"/>
      <c r="D494" s="2"/>
      <c r="E494" s="2"/>
      <c r="F494" s="4"/>
      <c r="G494" s="2"/>
      <c r="H494" s="2"/>
      <c r="I494" s="2"/>
      <c r="J494" s="5"/>
      <c r="K494" s="2"/>
      <c r="L494" s="2"/>
      <c r="M494" s="2"/>
      <c r="N494" s="2"/>
      <c r="O494" s="2"/>
      <c r="P494" s="2"/>
      <c r="Q494" s="7"/>
      <c r="R494" s="224"/>
      <c r="S494" s="224"/>
      <c r="T494" s="224"/>
      <c r="U494" s="868"/>
      <c r="V494" s="865"/>
      <c r="W494" s="2"/>
      <c r="X494" s="2"/>
      <c r="Y494" s="2"/>
      <c r="Z494" s="2"/>
      <c r="AA494" s="2"/>
      <c r="AB494" s="2"/>
      <c r="AC494" s="2"/>
      <c r="AD494" s="2"/>
      <c r="AE494" s="2"/>
      <c r="AF494" s="2"/>
      <c r="AG494" s="2"/>
      <c r="AH494" s="2"/>
      <c r="AI494" s="2"/>
      <c r="AJ494" s="218"/>
      <c r="AK494" s="218"/>
      <c r="AL494" s="218"/>
      <c r="AM494" s="218"/>
    </row>
    <row r="495">
      <c r="A495" s="33"/>
      <c r="B495" s="2"/>
      <c r="C495" s="2"/>
      <c r="D495" s="2"/>
      <c r="E495" s="2"/>
      <c r="F495" s="4"/>
      <c r="G495" s="2"/>
      <c r="H495" s="2"/>
      <c r="I495" s="2"/>
      <c r="J495" s="5"/>
      <c r="K495" s="2"/>
      <c r="L495" s="2"/>
      <c r="M495" s="2"/>
      <c r="N495" s="2"/>
      <c r="O495" s="2"/>
      <c r="P495" s="2"/>
      <c r="Q495" s="7"/>
      <c r="R495" s="224"/>
      <c r="S495" s="224"/>
      <c r="T495" s="224"/>
      <c r="U495" s="868"/>
      <c r="V495" s="865"/>
      <c r="W495" s="2"/>
      <c r="X495" s="2"/>
      <c r="Y495" s="2"/>
      <c r="Z495" s="2"/>
      <c r="AA495" s="2"/>
      <c r="AB495" s="2"/>
      <c r="AC495" s="2"/>
      <c r="AD495" s="2"/>
      <c r="AE495" s="2"/>
      <c r="AF495" s="2"/>
      <c r="AG495" s="2"/>
      <c r="AH495" s="2"/>
      <c r="AI495" s="2"/>
      <c r="AJ495" s="218"/>
      <c r="AK495" s="218"/>
      <c r="AL495" s="218"/>
      <c r="AM495" s="218"/>
    </row>
    <row r="496">
      <c r="A496" s="33"/>
      <c r="B496" s="2"/>
      <c r="C496" s="2"/>
      <c r="D496" s="2"/>
      <c r="E496" s="2"/>
      <c r="F496" s="4"/>
      <c r="G496" s="2"/>
      <c r="H496" s="2"/>
      <c r="I496" s="2"/>
      <c r="J496" s="5"/>
      <c r="K496" s="2"/>
      <c r="L496" s="2"/>
      <c r="M496" s="2"/>
      <c r="N496" s="2"/>
      <c r="O496" s="2"/>
      <c r="P496" s="2"/>
      <c r="Q496" s="7"/>
      <c r="R496" s="224"/>
      <c r="S496" s="224"/>
      <c r="T496" s="224"/>
      <c r="U496" s="868"/>
      <c r="V496" s="865"/>
      <c r="W496" s="2"/>
      <c r="X496" s="2"/>
      <c r="Y496" s="2"/>
      <c r="Z496" s="2"/>
      <c r="AA496" s="2"/>
      <c r="AB496" s="2"/>
      <c r="AC496" s="2"/>
      <c r="AD496" s="2"/>
      <c r="AE496" s="2"/>
      <c r="AF496" s="2"/>
      <c r="AG496" s="2"/>
      <c r="AH496" s="2"/>
      <c r="AI496" s="2"/>
      <c r="AJ496" s="218"/>
      <c r="AK496" s="218"/>
      <c r="AL496" s="218"/>
      <c r="AM496" s="218"/>
    </row>
    <row r="497">
      <c r="A497" s="33"/>
      <c r="B497" s="2"/>
      <c r="C497" s="2"/>
      <c r="D497" s="2"/>
      <c r="E497" s="2"/>
      <c r="F497" s="4"/>
      <c r="G497" s="2"/>
      <c r="H497" s="2"/>
      <c r="I497" s="2"/>
      <c r="J497" s="5"/>
      <c r="K497" s="2"/>
      <c r="L497" s="2"/>
      <c r="M497" s="2"/>
      <c r="N497" s="2"/>
      <c r="O497" s="2"/>
      <c r="P497" s="2"/>
      <c r="Q497" s="7"/>
      <c r="R497" s="224"/>
      <c r="S497" s="224"/>
      <c r="T497" s="224"/>
      <c r="U497" s="868"/>
      <c r="V497" s="865"/>
      <c r="W497" s="2"/>
      <c r="X497" s="2"/>
      <c r="Y497" s="2"/>
      <c r="Z497" s="2"/>
      <c r="AA497" s="2"/>
      <c r="AB497" s="2"/>
      <c r="AC497" s="2"/>
      <c r="AD497" s="2"/>
      <c r="AE497" s="2"/>
      <c r="AF497" s="2"/>
      <c r="AG497" s="2"/>
      <c r="AH497" s="2"/>
      <c r="AI497" s="2"/>
      <c r="AJ497" s="218"/>
      <c r="AK497" s="218"/>
      <c r="AL497" s="218"/>
      <c r="AM497" s="218"/>
    </row>
    <row r="498">
      <c r="A498" s="33"/>
      <c r="B498" s="2"/>
      <c r="C498" s="2"/>
      <c r="D498" s="2"/>
      <c r="E498" s="2"/>
      <c r="F498" s="4"/>
      <c r="G498" s="2"/>
      <c r="H498" s="2"/>
      <c r="I498" s="2"/>
      <c r="J498" s="5"/>
      <c r="K498" s="2"/>
      <c r="L498" s="2"/>
      <c r="M498" s="2"/>
      <c r="N498" s="2"/>
      <c r="O498" s="2"/>
      <c r="P498" s="2"/>
      <c r="Q498" s="7"/>
      <c r="R498" s="224"/>
      <c r="S498" s="224"/>
      <c r="T498" s="224"/>
      <c r="U498" s="868"/>
      <c r="V498" s="865"/>
      <c r="W498" s="2"/>
      <c r="X498" s="2"/>
      <c r="Y498" s="2"/>
      <c r="Z498" s="2"/>
      <c r="AA498" s="2"/>
      <c r="AB498" s="2"/>
      <c r="AC498" s="2"/>
      <c r="AD498" s="2"/>
      <c r="AE498" s="2"/>
      <c r="AF498" s="2"/>
      <c r="AG498" s="2"/>
      <c r="AH498" s="2"/>
      <c r="AI498" s="2"/>
      <c r="AJ498" s="218"/>
      <c r="AK498" s="218"/>
      <c r="AL498" s="218"/>
      <c r="AM498" s="218"/>
    </row>
    <row r="499">
      <c r="A499" s="33"/>
      <c r="B499" s="2"/>
      <c r="C499" s="2"/>
      <c r="D499" s="2"/>
      <c r="E499" s="2"/>
      <c r="F499" s="4"/>
      <c r="G499" s="2"/>
      <c r="H499" s="2"/>
      <c r="I499" s="2"/>
      <c r="J499" s="5"/>
      <c r="K499" s="2"/>
      <c r="L499" s="2"/>
      <c r="M499" s="2"/>
      <c r="N499" s="2"/>
      <c r="O499" s="2"/>
      <c r="P499" s="2"/>
      <c r="Q499" s="7"/>
      <c r="R499" s="224"/>
      <c r="S499" s="224"/>
      <c r="T499" s="224"/>
      <c r="U499" s="868"/>
      <c r="V499" s="865"/>
      <c r="W499" s="2"/>
      <c r="X499" s="2"/>
      <c r="Y499" s="2"/>
      <c r="Z499" s="2"/>
      <c r="AA499" s="2"/>
      <c r="AB499" s="2"/>
      <c r="AC499" s="2"/>
      <c r="AD499" s="2"/>
      <c r="AE499" s="2"/>
      <c r="AF499" s="2"/>
      <c r="AG499" s="2"/>
      <c r="AH499" s="2"/>
      <c r="AI499" s="2"/>
      <c r="AJ499" s="218"/>
      <c r="AK499" s="218"/>
      <c r="AL499" s="218"/>
      <c r="AM499" s="218"/>
    </row>
    <row r="500">
      <c r="A500" s="33"/>
      <c r="B500" s="2"/>
      <c r="C500" s="2"/>
      <c r="D500" s="2"/>
      <c r="E500" s="2"/>
      <c r="F500" s="4"/>
      <c r="G500" s="2"/>
      <c r="H500" s="2"/>
      <c r="I500" s="2"/>
      <c r="J500" s="5"/>
      <c r="K500" s="2"/>
      <c r="L500" s="2"/>
      <c r="M500" s="2"/>
      <c r="N500" s="2"/>
      <c r="O500" s="2"/>
      <c r="P500" s="2"/>
      <c r="Q500" s="7"/>
      <c r="R500" s="224"/>
      <c r="S500" s="224"/>
      <c r="T500" s="224"/>
      <c r="U500" s="868"/>
      <c r="V500" s="865"/>
      <c r="W500" s="2"/>
      <c r="X500" s="2"/>
      <c r="Y500" s="2"/>
      <c r="Z500" s="2"/>
      <c r="AA500" s="2"/>
      <c r="AB500" s="2"/>
      <c r="AC500" s="2"/>
      <c r="AD500" s="2"/>
      <c r="AE500" s="2"/>
      <c r="AF500" s="2"/>
      <c r="AG500" s="2"/>
      <c r="AH500" s="2"/>
      <c r="AI500" s="2"/>
      <c r="AJ500" s="218"/>
      <c r="AK500" s="218"/>
      <c r="AL500" s="218"/>
      <c r="AM500" s="218"/>
    </row>
    <row r="501">
      <c r="A501" s="33"/>
      <c r="B501" s="2"/>
      <c r="C501" s="2"/>
      <c r="D501" s="2"/>
      <c r="E501" s="2"/>
      <c r="F501" s="4"/>
      <c r="G501" s="2"/>
      <c r="H501" s="2"/>
      <c r="I501" s="2"/>
      <c r="J501" s="5"/>
      <c r="K501" s="2"/>
      <c r="L501" s="2"/>
      <c r="M501" s="2"/>
      <c r="N501" s="2"/>
      <c r="O501" s="2"/>
      <c r="P501" s="2"/>
      <c r="Q501" s="7"/>
      <c r="R501" s="224"/>
      <c r="S501" s="224"/>
      <c r="T501" s="224"/>
      <c r="U501" s="868"/>
      <c r="V501" s="865"/>
      <c r="W501" s="2"/>
      <c r="X501" s="2"/>
      <c r="Y501" s="2"/>
      <c r="Z501" s="2"/>
      <c r="AA501" s="2"/>
      <c r="AB501" s="2"/>
      <c r="AC501" s="2"/>
      <c r="AD501" s="2"/>
      <c r="AE501" s="2"/>
      <c r="AF501" s="2"/>
      <c r="AG501" s="2"/>
      <c r="AH501" s="2"/>
      <c r="AI501" s="2"/>
      <c r="AJ501" s="218"/>
      <c r="AK501" s="218"/>
      <c r="AL501" s="218"/>
      <c r="AM501" s="218"/>
    </row>
    <row r="502">
      <c r="A502" s="33"/>
      <c r="B502" s="2"/>
      <c r="C502" s="2"/>
      <c r="D502" s="2"/>
      <c r="E502" s="2"/>
      <c r="F502" s="4"/>
      <c r="G502" s="2"/>
      <c r="H502" s="2"/>
      <c r="I502" s="2"/>
      <c r="J502" s="5"/>
      <c r="K502" s="2"/>
      <c r="L502" s="2"/>
      <c r="M502" s="2"/>
      <c r="N502" s="2"/>
      <c r="O502" s="2"/>
      <c r="P502" s="2"/>
      <c r="Q502" s="7"/>
      <c r="R502" s="224"/>
      <c r="S502" s="224"/>
      <c r="T502" s="224"/>
      <c r="U502" s="868"/>
      <c r="V502" s="865"/>
      <c r="W502" s="2"/>
      <c r="X502" s="2"/>
      <c r="Y502" s="2"/>
      <c r="Z502" s="2"/>
      <c r="AA502" s="2"/>
      <c r="AB502" s="2"/>
      <c r="AC502" s="2"/>
      <c r="AD502" s="2"/>
      <c r="AE502" s="2"/>
      <c r="AF502" s="2"/>
      <c r="AG502" s="2"/>
      <c r="AH502" s="2"/>
      <c r="AI502" s="2"/>
      <c r="AJ502" s="218"/>
      <c r="AK502" s="218"/>
      <c r="AL502" s="218"/>
      <c r="AM502" s="218"/>
    </row>
    <row r="503">
      <c r="A503" s="33"/>
      <c r="B503" s="2"/>
      <c r="C503" s="2"/>
      <c r="D503" s="2"/>
      <c r="E503" s="2"/>
      <c r="F503" s="4"/>
      <c r="G503" s="2"/>
      <c r="H503" s="2"/>
      <c r="I503" s="2"/>
      <c r="J503" s="5"/>
      <c r="K503" s="2"/>
      <c r="L503" s="2"/>
      <c r="M503" s="2"/>
      <c r="N503" s="2"/>
      <c r="O503" s="2"/>
      <c r="P503" s="2"/>
      <c r="Q503" s="7"/>
      <c r="R503" s="224"/>
      <c r="S503" s="224"/>
      <c r="T503" s="224"/>
      <c r="U503" s="868"/>
      <c r="V503" s="865"/>
      <c r="W503" s="2"/>
      <c r="X503" s="2"/>
      <c r="Y503" s="2"/>
      <c r="Z503" s="2"/>
      <c r="AA503" s="2"/>
      <c r="AB503" s="2"/>
      <c r="AC503" s="2"/>
      <c r="AD503" s="2"/>
      <c r="AE503" s="2"/>
      <c r="AF503" s="2"/>
      <c r="AG503" s="2"/>
      <c r="AH503" s="2"/>
      <c r="AI503" s="2"/>
      <c r="AJ503" s="218"/>
      <c r="AK503" s="218"/>
      <c r="AL503" s="218"/>
      <c r="AM503" s="218"/>
    </row>
    <row r="504">
      <c r="A504" s="33"/>
      <c r="B504" s="2"/>
      <c r="C504" s="2"/>
      <c r="D504" s="2"/>
      <c r="E504" s="2"/>
      <c r="F504" s="4"/>
      <c r="G504" s="2"/>
      <c r="H504" s="2"/>
      <c r="I504" s="2"/>
      <c r="J504" s="5"/>
      <c r="K504" s="2"/>
      <c r="L504" s="2"/>
      <c r="M504" s="2"/>
      <c r="N504" s="2"/>
      <c r="O504" s="2"/>
      <c r="P504" s="2"/>
      <c r="Q504" s="7"/>
      <c r="R504" s="224"/>
      <c r="S504" s="224"/>
      <c r="T504" s="224"/>
      <c r="U504" s="868"/>
      <c r="V504" s="865"/>
      <c r="W504" s="2"/>
      <c r="X504" s="2"/>
      <c r="Y504" s="2"/>
      <c r="Z504" s="2"/>
      <c r="AA504" s="2"/>
      <c r="AB504" s="2"/>
      <c r="AC504" s="2"/>
      <c r="AD504" s="2"/>
      <c r="AE504" s="2"/>
      <c r="AF504" s="2"/>
      <c r="AG504" s="2"/>
      <c r="AH504" s="2"/>
      <c r="AI504" s="2"/>
      <c r="AJ504" s="218"/>
      <c r="AK504" s="218"/>
      <c r="AL504" s="218"/>
      <c r="AM504" s="218"/>
    </row>
    <row r="505">
      <c r="A505" s="33"/>
      <c r="B505" s="2"/>
      <c r="C505" s="2"/>
      <c r="D505" s="2"/>
      <c r="E505" s="2"/>
      <c r="F505" s="4"/>
      <c r="G505" s="2"/>
      <c r="H505" s="2"/>
      <c r="I505" s="2"/>
      <c r="J505" s="5"/>
      <c r="K505" s="2"/>
      <c r="L505" s="2"/>
      <c r="M505" s="2"/>
      <c r="N505" s="2"/>
      <c r="O505" s="2"/>
      <c r="P505" s="2"/>
      <c r="Q505" s="7"/>
      <c r="R505" s="224"/>
      <c r="S505" s="224"/>
      <c r="T505" s="224"/>
      <c r="U505" s="868"/>
      <c r="V505" s="865"/>
      <c r="W505" s="2"/>
      <c r="X505" s="2"/>
      <c r="Y505" s="2"/>
      <c r="Z505" s="2"/>
      <c r="AA505" s="2"/>
      <c r="AB505" s="2"/>
      <c r="AC505" s="2"/>
      <c r="AD505" s="2"/>
      <c r="AE505" s="2"/>
      <c r="AF505" s="2"/>
      <c r="AG505" s="2"/>
      <c r="AH505" s="2"/>
      <c r="AI505" s="2"/>
      <c r="AJ505" s="218"/>
      <c r="AK505" s="218"/>
      <c r="AL505" s="218"/>
      <c r="AM505" s="218"/>
    </row>
    <row r="506">
      <c r="A506" s="33"/>
      <c r="B506" s="2"/>
      <c r="C506" s="2"/>
      <c r="D506" s="2"/>
      <c r="E506" s="2"/>
      <c r="F506" s="4"/>
      <c r="G506" s="2"/>
      <c r="H506" s="2"/>
      <c r="I506" s="2"/>
      <c r="J506" s="5"/>
      <c r="K506" s="2"/>
      <c r="L506" s="2"/>
      <c r="M506" s="2"/>
      <c r="N506" s="2"/>
      <c r="O506" s="2"/>
      <c r="P506" s="2"/>
      <c r="Q506" s="7"/>
      <c r="R506" s="224"/>
      <c r="S506" s="224"/>
      <c r="T506" s="224"/>
      <c r="U506" s="868"/>
      <c r="V506" s="865"/>
      <c r="W506" s="2"/>
      <c r="X506" s="2"/>
      <c r="Y506" s="2"/>
      <c r="Z506" s="2"/>
      <c r="AA506" s="2"/>
      <c r="AB506" s="2"/>
      <c r="AC506" s="2"/>
      <c r="AD506" s="2"/>
      <c r="AE506" s="2"/>
      <c r="AF506" s="2"/>
      <c r="AG506" s="2"/>
      <c r="AH506" s="2"/>
      <c r="AI506" s="2"/>
      <c r="AJ506" s="218"/>
      <c r="AK506" s="218"/>
      <c r="AL506" s="218"/>
      <c r="AM506" s="218"/>
    </row>
    <row r="507">
      <c r="A507" s="33"/>
      <c r="B507" s="2"/>
      <c r="C507" s="2"/>
      <c r="D507" s="2"/>
      <c r="E507" s="2"/>
      <c r="F507" s="4"/>
      <c r="G507" s="2"/>
      <c r="H507" s="2"/>
      <c r="I507" s="2"/>
      <c r="J507" s="5"/>
      <c r="K507" s="2"/>
      <c r="L507" s="2"/>
      <c r="M507" s="2"/>
      <c r="N507" s="2"/>
      <c r="O507" s="2"/>
      <c r="P507" s="2"/>
      <c r="Q507" s="7"/>
      <c r="R507" s="224"/>
      <c r="S507" s="224"/>
      <c r="T507" s="224"/>
      <c r="U507" s="868"/>
      <c r="V507" s="865"/>
      <c r="W507" s="2"/>
      <c r="X507" s="2"/>
      <c r="Y507" s="2"/>
      <c r="Z507" s="2"/>
      <c r="AA507" s="2"/>
      <c r="AB507" s="2"/>
      <c r="AC507" s="2"/>
      <c r="AD507" s="2"/>
      <c r="AE507" s="2"/>
      <c r="AF507" s="2"/>
      <c r="AG507" s="2"/>
      <c r="AH507" s="2"/>
      <c r="AI507" s="2"/>
      <c r="AJ507" s="218"/>
      <c r="AK507" s="218"/>
      <c r="AL507" s="218"/>
      <c r="AM507" s="218"/>
    </row>
    <row r="508">
      <c r="A508" s="33"/>
      <c r="B508" s="2"/>
      <c r="C508" s="2"/>
      <c r="D508" s="2"/>
      <c r="E508" s="2"/>
      <c r="F508" s="4"/>
      <c r="G508" s="2"/>
      <c r="H508" s="2"/>
      <c r="I508" s="2"/>
      <c r="J508" s="5"/>
      <c r="K508" s="2"/>
      <c r="L508" s="2"/>
      <c r="M508" s="2"/>
      <c r="N508" s="2"/>
      <c r="O508" s="2"/>
      <c r="P508" s="2"/>
      <c r="Q508" s="7"/>
      <c r="R508" s="224"/>
      <c r="S508" s="224"/>
      <c r="T508" s="224"/>
      <c r="U508" s="868"/>
      <c r="V508" s="865"/>
      <c r="W508" s="2"/>
      <c r="X508" s="2"/>
      <c r="Y508" s="2"/>
      <c r="Z508" s="2"/>
      <c r="AA508" s="2"/>
      <c r="AB508" s="2"/>
      <c r="AC508" s="2"/>
      <c r="AD508" s="2"/>
      <c r="AE508" s="2"/>
      <c r="AF508" s="2"/>
      <c r="AG508" s="2"/>
      <c r="AH508" s="2"/>
      <c r="AI508" s="2"/>
      <c r="AJ508" s="218"/>
      <c r="AK508" s="218"/>
      <c r="AL508" s="218"/>
      <c r="AM508" s="218"/>
    </row>
    <row r="509">
      <c r="A509" s="33"/>
      <c r="B509" s="2"/>
      <c r="C509" s="2"/>
      <c r="D509" s="2"/>
      <c r="E509" s="2"/>
      <c r="F509" s="4"/>
      <c r="G509" s="2"/>
      <c r="H509" s="2"/>
      <c r="I509" s="2"/>
      <c r="J509" s="5"/>
      <c r="K509" s="2"/>
      <c r="L509" s="2"/>
      <c r="M509" s="2"/>
      <c r="N509" s="2"/>
      <c r="O509" s="2"/>
      <c r="P509" s="2"/>
      <c r="Q509" s="7"/>
      <c r="R509" s="224"/>
      <c r="S509" s="224"/>
      <c r="T509" s="224"/>
      <c r="U509" s="868"/>
      <c r="V509" s="865"/>
      <c r="W509" s="2"/>
      <c r="X509" s="2"/>
      <c r="Y509" s="2"/>
      <c r="Z509" s="2"/>
      <c r="AA509" s="2"/>
      <c r="AB509" s="2"/>
      <c r="AC509" s="2"/>
      <c r="AD509" s="2"/>
      <c r="AE509" s="2"/>
      <c r="AF509" s="2"/>
      <c r="AG509" s="2"/>
      <c r="AH509" s="2"/>
      <c r="AI509" s="2"/>
      <c r="AJ509" s="218"/>
      <c r="AK509" s="218"/>
      <c r="AL509" s="218"/>
      <c r="AM509" s="218"/>
    </row>
    <row r="510">
      <c r="A510" s="33"/>
      <c r="B510" s="2"/>
      <c r="C510" s="2"/>
      <c r="D510" s="2"/>
      <c r="E510" s="2"/>
      <c r="F510" s="4"/>
      <c r="G510" s="2"/>
      <c r="H510" s="2"/>
      <c r="I510" s="2"/>
      <c r="J510" s="5"/>
      <c r="K510" s="2"/>
      <c r="L510" s="2"/>
      <c r="M510" s="2"/>
      <c r="N510" s="2"/>
      <c r="O510" s="2"/>
      <c r="P510" s="2"/>
      <c r="Q510" s="7"/>
      <c r="R510" s="224"/>
      <c r="S510" s="224"/>
      <c r="T510" s="224"/>
      <c r="U510" s="868"/>
      <c r="V510" s="865"/>
      <c r="W510" s="2"/>
      <c r="X510" s="2"/>
      <c r="Y510" s="2"/>
      <c r="Z510" s="2"/>
      <c r="AA510" s="2"/>
      <c r="AB510" s="2"/>
      <c r="AC510" s="2"/>
      <c r="AD510" s="2"/>
      <c r="AE510" s="2"/>
      <c r="AF510" s="2"/>
      <c r="AG510" s="2"/>
      <c r="AH510" s="2"/>
      <c r="AI510" s="2"/>
      <c r="AJ510" s="218"/>
      <c r="AK510" s="218"/>
      <c r="AL510" s="218"/>
      <c r="AM510" s="218"/>
    </row>
    <row r="511">
      <c r="A511" s="33"/>
      <c r="B511" s="2"/>
      <c r="C511" s="2"/>
      <c r="D511" s="2"/>
      <c r="E511" s="2"/>
      <c r="F511" s="4"/>
      <c r="G511" s="2"/>
      <c r="H511" s="2"/>
      <c r="I511" s="2"/>
      <c r="J511" s="5"/>
      <c r="K511" s="2"/>
      <c r="L511" s="2"/>
      <c r="M511" s="2"/>
      <c r="N511" s="2"/>
      <c r="O511" s="2"/>
      <c r="P511" s="2"/>
      <c r="Q511" s="7"/>
      <c r="R511" s="224"/>
      <c r="S511" s="224"/>
      <c r="T511" s="224"/>
      <c r="U511" s="868"/>
      <c r="V511" s="865"/>
      <c r="W511" s="2"/>
      <c r="X511" s="2"/>
      <c r="Y511" s="2"/>
      <c r="Z511" s="2"/>
      <c r="AA511" s="2"/>
      <c r="AB511" s="2"/>
      <c r="AC511" s="2"/>
      <c r="AD511" s="2"/>
      <c r="AE511" s="2"/>
      <c r="AF511" s="2"/>
      <c r="AG511" s="2"/>
      <c r="AH511" s="2"/>
      <c r="AI511" s="2"/>
      <c r="AJ511" s="218"/>
      <c r="AK511" s="218"/>
      <c r="AL511" s="218"/>
      <c r="AM511" s="218"/>
    </row>
    <row r="512">
      <c r="A512" s="33"/>
      <c r="B512" s="2"/>
      <c r="C512" s="2"/>
      <c r="D512" s="2"/>
      <c r="E512" s="2"/>
      <c r="F512" s="4"/>
      <c r="G512" s="2"/>
      <c r="H512" s="2"/>
      <c r="I512" s="2"/>
      <c r="J512" s="5"/>
      <c r="K512" s="2"/>
      <c r="L512" s="2"/>
      <c r="M512" s="2"/>
      <c r="N512" s="2"/>
      <c r="O512" s="2"/>
      <c r="P512" s="2"/>
      <c r="Q512" s="7"/>
      <c r="R512" s="224"/>
      <c r="S512" s="224"/>
      <c r="T512" s="224"/>
      <c r="U512" s="868"/>
      <c r="V512" s="865"/>
      <c r="W512" s="2"/>
      <c r="X512" s="2"/>
      <c r="Y512" s="2"/>
      <c r="Z512" s="2"/>
      <c r="AA512" s="2"/>
      <c r="AB512" s="2"/>
      <c r="AC512" s="2"/>
      <c r="AD512" s="2"/>
      <c r="AE512" s="2"/>
      <c r="AF512" s="2"/>
      <c r="AG512" s="2"/>
      <c r="AH512" s="2"/>
      <c r="AI512" s="2"/>
      <c r="AJ512" s="218"/>
      <c r="AK512" s="218"/>
      <c r="AL512" s="218"/>
      <c r="AM512" s="218"/>
    </row>
    <row r="513">
      <c r="A513" s="33"/>
      <c r="B513" s="2"/>
      <c r="C513" s="2"/>
      <c r="D513" s="2"/>
      <c r="E513" s="2"/>
      <c r="F513" s="4"/>
      <c r="G513" s="2"/>
      <c r="H513" s="2"/>
      <c r="I513" s="2"/>
      <c r="J513" s="5"/>
      <c r="K513" s="2"/>
      <c r="L513" s="2"/>
      <c r="M513" s="2"/>
      <c r="N513" s="2"/>
      <c r="O513" s="2"/>
      <c r="P513" s="2"/>
      <c r="Q513" s="7"/>
      <c r="R513" s="224"/>
      <c r="S513" s="224"/>
      <c r="T513" s="224"/>
      <c r="U513" s="868"/>
      <c r="V513" s="865"/>
      <c r="W513" s="2"/>
      <c r="X513" s="2"/>
      <c r="Y513" s="2"/>
      <c r="Z513" s="2"/>
      <c r="AA513" s="2"/>
      <c r="AB513" s="2"/>
      <c r="AC513" s="2"/>
      <c r="AD513" s="2"/>
      <c r="AE513" s="2"/>
      <c r="AF513" s="2"/>
      <c r="AG513" s="2"/>
      <c r="AH513" s="2"/>
      <c r="AI513" s="2"/>
      <c r="AJ513" s="218"/>
      <c r="AK513" s="218"/>
      <c r="AL513" s="218"/>
      <c r="AM513" s="218"/>
    </row>
    <row r="514">
      <c r="A514" s="33"/>
      <c r="B514" s="2"/>
      <c r="C514" s="2"/>
      <c r="D514" s="2"/>
      <c r="E514" s="2"/>
      <c r="F514" s="4"/>
      <c r="G514" s="2"/>
      <c r="H514" s="2"/>
      <c r="I514" s="2"/>
      <c r="J514" s="5"/>
      <c r="K514" s="2"/>
      <c r="L514" s="2"/>
      <c r="M514" s="2"/>
      <c r="N514" s="2"/>
      <c r="O514" s="2"/>
      <c r="P514" s="2"/>
      <c r="Q514" s="7"/>
      <c r="R514" s="224"/>
      <c r="S514" s="224"/>
      <c r="T514" s="224"/>
      <c r="U514" s="868"/>
      <c r="V514" s="865"/>
      <c r="W514" s="2"/>
      <c r="X514" s="2"/>
      <c r="Y514" s="2"/>
      <c r="Z514" s="2"/>
      <c r="AA514" s="2"/>
      <c r="AB514" s="2"/>
      <c r="AC514" s="2"/>
      <c r="AD514" s="2"/>
      <c r="AE514" s="2"/>
      <c r="AF514" s="2"/>
      <c r="AG514" s="2"/>
      <c r="AH514" s="2"/>
      <c r="AI514" s="2"/>
      <c r="AJ514" s="218"/>
      <c r="AK514" s="218"/>
      <c r="AL514" s="218"/>
      <c r="AM514" s="218"/>
    </row>
    <row r="515">
      <c r="A515" s="33"/>
      <c r="B515" s="2"/>
      <c r="C515" s="2"/>
      <c r="D515" s="2"/>
      <c r="E515" s="2"/>
      <c r="F515" s="4"/>
      <c r="G515" s="2"/>
      <c r="H515" s="2"/>
      <c r="I515" s="2"/>
      <c r="J515" s="5"/>
      <c r="K515" s="2"/>
      <c r="L515" s="2"/>
      <c r="M515" s="2"/>
      <c r="N515" s="2"/>
      <c r="O515" s="2"/>
      <c r="P515" s="2"/>
      <c r="Q515" s="7"/>
      <c r="R515" s="224"/>
      <c r="S515" s="224"/>
      <c r="T515" s="224"/>
      <c r="U515" s="868"/>
      <c r="V515" s="865"/>
      <c r="W515" s="2"/>
      <c r="X515" s="2"/>
      <c r="Y515" s="2"/>
      <c r="Z515" s="2"/>
      <c r="AA515" s="2"/>
      <c r="AB515" s="2"/>
      <c r="AC515" s="2"/>
      <c r="AD515" s="2"/>
      <c r="AE515" s="2"/>
      <c r="AF515" s="2"/>
      <c r="AG515" s="2"/>
      <c r="AH515" s="2"/>
      <c r="AI515" s="2"/>
      <c r="AJ515" s="218"/>
      <c r="AK515" s="218"/>
      <c r="AL515" s="218"/>
      <c r="AM515" s="218"/>
    </row>
    <row r="516">
      <c r="A516" s="33"/>
      <c r="B516" s="2"/>
      <c r="C516" s="2"/>
      <c r="D516" s="2"/>
      <c r="E516" s="2"/>
      <c r="F516" s="4"/>
      <c r="G516" s="2"/>
      <c r="H516" s="2"/>
      <c r="I516" s="2"/>
      <c r="J516" s="5"/>
      <c r="K516" s="2"/>
      <c r="L516" s="2"/>
      <c r="M516" s="2"/>
      <c r="N516" s="2"/>
      <c r="O516" s="2"/>
      <c r="P516" s="2"/>
      <c r="Q516" s="7"/>
      <c r="R516" s="224"/>
      <c r="S516" s="224"/>
      <c r="T516" s="224"/>
      <c r="U516" s="868"/>
      <c r="V516" s="865"/>
      <c r="W516" s="2"/>
      <c r="X516" s="2"/>
      <c r="Y516" s="2"/>
      <c r="Z516" s="2"/>
      <c r="AA516" s="2"/>
      <c r="AB516" s="2"/>
      <c r="AC516" s="2"/>
      <c r="AD516" s="2"/>
      <c r="AE516" s="2"/>
      <c r="AF516" s="2"/>
      <c r="AG516" s="2"/>
      <c r="AH516" s="2"/>
      <c r="AI516" s="2"/>
      <c r="AJ516" s="218"/>
      <c r="AK516" s="218"/>
      <c r="AL516" s="218"/>
      <c r="AM516" s="218"/>
    </row>
    <row r="517">
      <c r="A517" s="33"/>
      <c r="B517" s="2"/>
      <c r="C517" s="2"/>
      <c r="D517" s="2"/>
      <c r="E517" s="2"/>
      <c r="F517" s="4"/>
      <c r="G517" s="2"/>
      <c r="H517" s="2"/>
      <c r="I517" s="2"/>
      <c r="J517" s="5"/>
      <c r="K517" s="2"/>
      <c r="L517" s="2"/>
      <c r="M517" s="2"/>
      <c r="N517" s="2"/>
      <c r="O517" s="2"/>
      <c r="P517" s="2"/>
      <c r="Q517" s="7"/>
      <c r="R517" s="224"/>
      <c r="S517" s="224"/>
      <c r="T517" s="224"/>
      <c r="U517" s="868"/>
      <c r="V517" s="865"/>
      <c r="W517" s="2"/>
      <c r="X517" s="2"/>
      <c r="Y517" s="2"/>
      <c r="Z517" s="2"/>
      <c r="AA517" s="2"/>
      <c r="AB517" s="2"/>
      <c r="AC517" s="2"/>
      <c r="AD517" s="2"/>
      <c r="AE517" s="2"/>
      <c r="AF517" s="2"/>
      <c r="AG517" s="2"/>
      <c r="AH517" s="2"/>
      <c r="AI517" s="2"/>
      <c r="AJ517" s="218"/>
      <c r="AK517" s="218"/>
      <c r="AL517" s="218"/>
      <c r="AM517" s="218"/>
    </row>
    <row r="518">
      <c r="A518" s="33"/>
      <c r="B518" s="2"/>
      <c r="C518" s="2"/>
      <c r="D518" s="2"/>
      <c r="E518" s="2"/>
      <c r="F518" s="4"/>
      <c r="G518" s="2"/>
      <c r="H518" s="2"/>
      <c r="I518" s="2"/>
      <c r="J518" s="5"/>
      <c r="K518" s="2"/>
      <c r="L518" s="2"/>
      <c r="M518" s="2"/>
      <c r="N518" s="2"/>
      <c r="O518" s="2"/>
      <c r="P518" s="2"/>
      <c r="Q518" s="7"/>
      <c r="R518" s="224"/>
      <c r="S518" s="224"/>
      <c r="T518" s="224"/>
      <c r="U518" s="868"/>
      <c r="V518" s="865"/>
      <c r="W518" s="2"/>
      <c r="X518" s="2"/>
      <c r="Y518" s="2"/>
      <c r="Z518" s="2"/>
      <c r="AA518" s="2"/>
      <c r="AB518" s="2"/>
      <c r="AC518" s="2"/>
      <c r="AD518" s="2"/>
      <c r="AE518" s="2"/>
      <c r="AF518" s="2"/>
      <c r="AG518" s="2"/>
      <c r="AH518" s="2"/>
      <c r="AI518" s="2"/>
      <c r="AJ518" s="218"/>
      <c r="AK518" s="218"/>
      <c r="AL518" s="218"/>
      <c r="AM518" s="218"/>
    </row>
    <row r="519">
      <c r="A519" s="33"/>
      <c r="B519" s="2"/>
      <c r="C519" s="2"/>
      <c r="D519" s="2"/>
      <c r="E519" s="2"/>
      <c r="F519" s="4"/>
      <c r="G519" s="2"/>
      <c r="H519" s="2"/>
      <c r="I519" s="2"/>
      <c r="J519" s="5"/>
      <c r="K519" s="2"/>
      <c r="L519" s="2"/>
      <c r="M519" s="2"/>
      <c r="N519" s="2"/>
      <c r="O519" s="2"/>
      <c r="P519" s="2"/>
      <c r="Q519" s="7"/>
      <c r="R519" s="224"/>
      <c r="S519" s="224"/>
      <c r="T519" s="224"/>
      <c r="U519" s="868"/>
      <c r="V519" s="865"/>
      <c r="W519" s="2"/>
      <c r="X519" s="2"/>
      <c r="Y519" s="2"/>
      <c r="Z519" s="2"/>
      <c r="AA519" s="2"/>
      <c r="AB519" s="2"/>
      <c r="AC519" s="2"/>
      <c r="AD519" s="2"/>
      <c r="AE519" s="2"/>
      <c r="AF519" s="2"/>
      <c r="AG519" s="2"/>
      <c r="AH519" s="2"/>
      <c r="AI519" s="2"/>
      <c r="AJ519" s="218"/>
      <c r="AK519" s="218"/>
      <c r="AL519" s="218"/>
      <c r="AM519" s="218"/>
    </row>
    <row r="520">
      <c r="A520" s="33"/>
      <c r="B520" s="2"/>
      <c r="C520" s="2"/>
      <c r="D520" s="2"/>
      <c r="E520" s="2"/>
      <c r="F520" s="4"/>
      <c r="G520" s="2"/>
      <c r="H520" s="2"/>
      <c r="I520" s="2"/>
      <c r="J520" s="5"/>
      <c r="K520" s="2"/>
      <c r="L520" s="2"/>
      <c r="M520" s="2"/>
      <c r="N520" s="2"/>
      <c r="O520" s="2"/>
      <c r="P520" s="2"/>
      <c r="Q520" s="7"/>
      <c r="R520" s="224"/>
      <c r="S520" s="224"/>
      <c r="T520" s="224"/>
      <c r="U520" s="868"/>
      <c r="V520" s="865"/>
      <c r="W520" s="2"/>
      <c r="X520" s="2"/>
      <c r="Y520" s="2"/>
      <c r="Z520" s="2"/>
      <c r="AA520" s="2"/>
      <c r="AB520" s="2"/>
      <c r="AC520" s="2"/>
      <c r="AD520" s="2"/>
      <c r="AE520" s="2"/>
      <c r="AF520" s="2"/>
      <c r="AG520" s="2"/>
      <c r="AH520" s="2"/>
      <c r="AI520" s="2"/>
      <c r="AJ520" s="218"/>
      <c r="AK520" s="218"/>
      <c r="AL520" s="218"/>
      <c r="AM520" s="218"/>
    </row>
    <row r="521">
      <c r="A521" s="33"/>
      <c r="B521" s="2"/>
      <c r="C521" s="2"/>
      <c r="D521" s="2"/>
      <c r="E521" s="2"/>
      <c r="F521" s="4"/>
      <c r="G521" s="2"/>
      <c r="H521" s="2"/>
      <c r="I521" s="2"/>
      <c r="J521" s="5"/>
      <c r="K521" s="2"/>
      <c r="L521" s="2"/>
      <c r="M521" s="2"/>
      <c r="N521" s="2"/>
      <c r="O521" s="2"/>
      <c r="P521" s="2"/>
      <c r="Q521" s="7"/>
      <c r="R521" s="224"/>
      <c r="S521" s="224"/>
      <c r="T521" s="224"/>
      <c r="U521" s="868"/>
      <c r="V521" s="865"/>
      <c r="W521" s="2"/>
      <c r="X521" s="2"/>
      <c r="Y521" s="2"/>
      <c r="Z521" s="2"/>
      <c r="AA521" s="2"/>
      <c r="AB521" s="2"/>
      <c r="AC521" s="2"/>
      <c r="AD521" s="2"/>
      <c r="AE521" s="2"/>
      <c r="AF521" s="2"/>
      <c r="AG521" s="2"/>
      <c r="AH521" s="2"/>
      <c r="AI521" s="2"/>
      <c r="AJ521" s="218"/>
      <c r="AK521" s="218"/>
      <c r="AL521" s="218"/>
      <c r="AM521" s="218"/>
    </row>
    <row r="522">
      <c r="A522" s="33"/>
      <c r="B522" s="2"/>
      <c r="C522" s="2"/>
      <c r="D522" s="2"/>
      <c r="E522" s="2"/>
      <c r="F522" s="4"/>
      <c r="G522" s="2"/>
      <c r="H522" s="2"/>
      <c r="I522" s="2"/>
      <c r="J522" s="5"/>
      <c r="K522" s="2"/>
      <c r="L522" s="2"/>
      <c r="M522" s="2"/>
      <c r="N522" s="2"/>
      <c r="O522" s="2"/>
      <c r="P522" s="2"/>
      <c r="Q522" s="7"/>
      <c r="R522" s="224"/>
      <c r="S522" s="224"/>
      <c r="T522" s="224"/>
      <c r="U522" s="868"/>
      <c r="V522" s="865"/>
      <c r="W522" s="2"/>
      <c r="X522" s="2"/>
      <c r="Y522" s="2"/>
      <c r="Z522" s="2"/>
      <c r="AA522" s="2"/>
      <c r="AB522" s="2"/>
      <c r="AC522" s="2"/>
      <c r="AD522" s="2"/>
      <c r="AE522" s="2"/>
      <c r="AF522" s="2"/>
      <c r="AG522" s="2"/>
      <c r="AH522" s="2"/>
      <c r="AI522" s="2"/>
      <c r="AJ522" s="218"/>
      <c r="AK522" s="218"/>
      <c r="AL522" s="218"/>
      <c r="AM522" s="218"/>
    </row>
    <row r="523">
      <c r="A523" s="33"/>
      <c r="B523" s="2"/>
      <c r="C523" s="2"/>
      <c r="D523" s="2"/>
      <c r="E523" s="2"/>
      <c r="F523" s="4"/>
      <c r="G523" s="2"/>
      <c r="H523" s="2"/>
      <c r="I523" s="2"/>
      <c r="J523" s="5"/>
      <c r="K523" s="2"/>
      <c r="L523" s="2"/>
      <c r="M523" s="2"/>
      <c r="N523" s="2"/>
      <c r="O523" s="2"/>
      <c r="P523" s="2"/>
      <c r="Q523" s="7"/>
      <c r="R523" s="224"/>
      <c r="S523" s="224"/>
      <c r="T523" s="224"/>
      <c r="U523" s="868"/>
      <c r="V523" s="865"/>
      <c r="W523" s="2"/>
      <c r="X523" s="2"/>
      <c r="Y523" s="2"/>
      <c r="Z523" s="2"/>
      <c r="AA523" s="2"/>
      <c r="AB523" s="2"/>
      <c r="AC523" s="2"/>
      <c r="AD523" s="2"/>
      <c r="AE523" s="2"/>
      <c r="AF523" s="2"/>
      <c r="AG523" s="2"/>
      <c r="AH523" s="2"/>
      <c r="AI523" s="2"/>
      <c r="AJ523" s="218"/>
      <c r="AK523" s="218"/>
      <c r="AL523" s="218"/>
      <c r="AM523" s="218"/>
    </row>
    <row r="524">
      <c r="A524" s="33"/>
      <c r="B524" s="2"/>
      <c r="C524" s="2"/>
      <c r="D524" s="2"/>
      <c r="E524" s="2"/>
      <c r="F524" s="4"/>
      <c r="G524" s="2"/>
      <c r="H524" s="2"/>
      <c r="I524" s="2"/>
      <c r="J524" s="5"/>
      <c r="K524" s="2"/>
      <c r="L524" s="2"/>
      <c r="M524" s="2"/>
      <c r="N524" s="2"/>
      <c r="O524" s="2"/>
      <c r="P524" s="2"/>
      <c r="Q524" s="7"/>
      <c r="R524" s="224"/>
      <c r="S524" s="224"/>
      <c r="T524" s="224"/>
      <c r="U524" s="868"/>
      <c r="V524" s="865"/>
      <c r="W524" s="2"/>
      <c r="X524" s="2"/>
      <c r="Y524" s="2"/>
      <c r="Z524" s="2"/>
      <c r="AA524" s="2"/>
      <c r="AB524" s="2"/>
      <c r="AC524" s="2"/>
      <c r="AD524" s="2"/>
      <c r="AE524" s="2"/>
      <c r="AF524" s="2"/>
      <c r="AG524" s="2"/>
      <c r="AH524" s="2"/>
      <c r="AI524" s="2"/>
      <c r="AJ524" s="218"/>
      <c r="AK524" s="218"/>
      <c r="AL524" s="218"/>
      <c r="AM524" s="218"/>
    </row>
    <row r="525">
      <c r="A525" s="33"/>
      <c r="B525" s="2"/>
      <c r="C525" s="2"/>
      <c r="D525" s="2"/>
      <c r="E525" s="2"/>
      <c r="F525" s="4"/>
      <c r="G525" s="2"/>
      <c r="H525" s="2"/>
      <c r="I525" s="2"/>
      <c r="J525" s="5"/>
      <c r="K525" s="2"/>
      <c r="L525" s="2"/>
      <c r="M525" s="2"/>
      <c r="N525" s="2"/>
      <c r="O525" s="2"/>
      <c r="P525" s="2"/>
      <c r="Q525" s="7"/>
      <c r="R525" s="224"/>
      <c r="S525" s="224"/>
      <c r="T525" s="224"/>
      <c r="U525" s="868"/>
      <c r="V525" s="865"/>
      <c r="W525" s="2"/>
      <c r="X525" s="2"/>
      <c r="Y525" s="2"/>
      <c r="Z525" s="2"/>
      <c r="AA525" s="2"/>
      <c r="AB525" s="2"/>
      <c r="AC525" s="2"/>
      <c r="AD525" s="2"/>
      <c r="AE525" s="2"/>
      <c r="AF525" s="2"/>
      <c r="AG525" s="2"/>
      <c r="AH525" s="2"/>
      <c r="AI525" s="2"/>
      <c r="AJ525" s="218"/>
      <c r="AK525" s="218"/>
      <c r="AL525" s="218"/>
      <c r="AM525" s="218"/>
    </row>
    <row r="526">
      <c r="A526" s="33"/>
      <c r="B526" s="2"/>
      <c r="C526" s="2"/>
      <c r="D526" s="2"/>
      <c r="E526" s="2"/>
      <c r="F526" s="4"/>
      <c r="G526" s="2"/>
      <c r="H526" s="2"/>
      <c r="I526" s="2"/>
      <c r="J526" s="5"/>
      <c r="K526" s="2"/>
      <c r="L526" s="2"/>
      <c r="M526" s="2"/>
      <c r="N526" s="2"/>
      <c r="O526" s="2"/>
      <c r="P526" s="2"/>
      <c r="Q526" s="7"/>
      <c r="R526" s="224"/>
      <c r="S526" s="224"/>
      <c r="T526" s="224"/>
      <c r="U526" s="868"/>
      <c r="V526" s="865"/>
      <c r="W526" s="2"/>
      <c r="X526" s="2"/>
      <c r="Y526" s="2"/>
      <c r="Z526" s="2"/>
      <c r="AA526" s="2"/>
      <c r="AB526" s="2"/>
      <c r="AC526" s="2"/>
      <c r="AD526" s="2"/>
      <c r="AE526" s="2"/>
      <c r="AF526" s="2"/>
      <c r="AG526" s="2"/>
      <c r="AH526" s="2"/>
      <c r="AI526" s="2"/>
      <c r="AJ526" s="218"/>
      <c r="AK526" s="218"/>
      <c r="AL526" s="218"/>
      <c r="AM526" s="218"/>
    </row>
    <row r="527">
      <c r="A527" s="33"/>
      <c r="B527" s="2"/>
      <c r="C527" s="2"/>
      <c r="D527" s="2"/>
      <c r="E527" s="2"/>
      <c r="F527" s="4"/>
      <c r="G527" s="2"/>
      <c r="H527" s="2"/>
      <c r="I527" s="2"/>
      <c r="J527" s="5"/>
      <c r="K527" s="2"/>
      <c r="L527" s="2"/>
      <c r="M527" s="2"/>
      <c r="N527" s="2"/>
      <c r="O527" s="2"/>
      <c r="P527" s="2"/>
      <c r="Q527" s="7"/>
      <c r="R527" s="224"/>
      <c r="S527" s="224"/>
      <c r="T527" s="224"/>
      <c r="U527" s="868"/>
      <c r="V527" s="865"/>
      <c r="W527" s="2"/>
      <c r="X527" s="2"/>
      <c r="Y527" s="2"/>
      <c r="Z527" s="2"/>
      <c r="AA527" s="2"/>
      <c r="AB527" s="2"/>
      <c r="AC527" s="2"/>
      <c r="AD527" s="2"/>
      <c r="AE527" s="2"/>
      <c r="AF527" s="2"/>
      <c r="AG527" s="2"/>
      <c r="AH527" s="2"/>
      <c r="AI527" s="2"/>
      <c r="AJ527" s="218"/>
      <c r="AK527" s="218"/>
      <c r="AL527" s="218"/>
      <c r="AM527" s="218"/>
    </row>
    <row r="528">
      <c r="A528" s="33"/>
      <c r="B528" s="2"/>
      <c r="C528" s="2"/>
      <c r="D528" s="2"/>
      <c r="E528" s="2"/>
      <c r="F528" s="4"/>
      <c r="G528" s="2"/>
      <c r="H528" s="2"/>
      <c r="I528" s="2"/>
      <c r="J528" s="5"/>
      <c r="K528" s="2"/>
      <c r="L528" s="2"/>
      <c r="M528" s="2"/>
      <c r="N528" s="2"/>
      <c r="O528" s="2"/>
      <c r="P528" s="2"/>
      <c r="Q528" s="7"/>
      <c r="R528" s="224"/>
      <c r="S528" s="224"/>
      <c r="T528" s="224"/>
      <c r="U528" s="868"/>
      <c r="V528" s="865"/>
      <c r="W528" s="2"/>
      <c r="X528" s="2"/>
      <c r="Y528" s="2"/>
      <c r="Z528" s="2"/>
      <c r="AA528" s="2"/>
      <c r="AB528" s="2"/>
      <c r="AC528" s="2"/>
      <c r="AD528" s="2"/>
      <c r="AE528" s="2"/>
      <c r="AF528" s="2"/>
      <c r="AG528" s="2"/>
      <c r="AH528" s="2"/>
      <c r="AI528" s="2"/>
      <c r="AJ528" s="218"/>
      <c r="AK528" s="218"/>
      <c r="AL528" s="218"/>
      <c r="AM528" s="218"/>
    </row>
    <row r="529">
      <c r="A529" s="33"/>
      <c r="B529" s="2"/>
      <c r="C529" s="2"/>
      <c r="D529" s="2"/>
      <c r="E529" s="2"/>
      <c r="F529" s="4"/>
      <c r="G529" s="2"/>
      <c r="H529" s="2"/>
      <c r="I529" s="2"/>
      <c r="J529" s="5"/>
      <c r="K529" s="2"/>
      <c r="L529" s="2"/>
      <c r="M529" s="2"/>
      <c r="N529" s="2"/>
      <c r="O529" s="2"/>
      <c r="P529" s="2"/>
      <c r="Q529" s="7"/>
      <c r="R529" s="224"/>
      <c r="S529" s="224"/>
      <c r="T529" s="224"/>
      <c r="U529" s="868"/>
      <c r="V529" s="865"/>
      <c r="W529" s="2"/>
      <c r="X529" s="2"/>
      <c r="Y529" s="2"/>
      <c r="Z529" s="2"/>
      <c r="AA529" s="2"/>
      <c r="AB529" s="2"/>
      <c r="AC529" s="2"/>
      <c r="AD529" s="2"/>
      <c r="AE529" s="2"/>
      <c r="AF529" s="2"/>
      <c r="AG529" s="2"/>
      <c r="AH529" s="2"/>
      <c r="AI529" s="2"/>
      <c r="AJ529" s="218"/>
      <c r="AK529" s="218"/>
      <c r="AL529" s="218"/>
      <c r="AM529" s="218"/>
    </row>
    <row r="530">
      <c r="A530" s="33"/>
      <c r="B530" s="2"/>
      <c r="C530" s="2"/>
      <c r="D530" s="2"/>
      <c r="E530" s="2"/>
      <c r="F530" s="4"/>
      <c r="G530" s="2"/>
      <c r="H530" s="2"/>
      <c r="I530" s="2"/>
      <c r="J530" s="5"/>
      <c r="K530" s="2"/>
      <c r="L530" s="2"/>
      <c r="M530" s="2"/>
      <c r="N530" s="2"/>
      <c r="O530" s="2"/>
      <c r="P530" s="2"/>
      <c r="Q530" s="7"/>
      <c r="R530" s="224"/>
      <c r="S530" s="224"/>
      <c r="T530" s="224"/>
      <c r="U530" s="868"/>
      <c r="V530" s="865"/>
      <c r="W530" s="2"/>
      <c r="X530" s="2"/>
      <c r="Y530" s="2"/>
      <c r="Z530" s="2"/>
      <c r="AA530" s="2"/>
      <c r="AB530" s="2"/>
      <c r="AC530" s="2"/>
      <c r="AD530" s="2"/>
      <c r="AE530" s="2"/>
      <c r="AF530" s="2"/>
      <c r="AG530" s="2"/>
      <c r="AH530" s="2"/>
      <c r="AI530" s="2"/>
      <c r="AJ530" s="218"/>
      <c r="AK530" s="218"/>
      <c r="AL530" s="218"/>
      <c r="AM530" s="218"/>
    </row>
    <row r="531">
      <c r="A531" s="33"/>
      <c r="B531" s="2"/>
      <c r="C531" s="2"/>
      <c r="D531" s="2"/>
      <c r="E531" s="2"/>
      <c r="F531" s="4"/>
      <c r="G531" s="2"/>
      <c r="H531" s="2"/>
      <c r="I531" s="2"/>
      <c r="J531" s="5"/>
      <c r="K531" s="2"/>
      <c r="L531" s="2"/>
      <c r="M531" s="2"/>
      <c r="N531" s="2"/>
      <c r="O531" s="2"/>
      <c r="P531" s="2"/>
      <c r="Q531" s="7"/>
      <c r="R531" s="224"/>
      <c r="S531" s="224"/>
      <c r="T531" s="224"/>
      <c r="U531" s="868"/>
      <c r="V531" s="865"/>
      <c r="W531" s="2"/>
      <c r="X531" s="2"/>
      <c r="Y531" s="2"/>
      <c r="Z531" s="2"/>
      <c r="AA531" s="2"/>
      <c r="AB531" s="2"/>
      <c r="AC531" s="2"/>
      <c r="AD531" s="2"/>
      <c r="AE531" s="2"/>
      <c r="AF531" s="2"/>
      <c r="AG531" s="2"/>
      <c r="AH531" s="2"/>
      <c r="AI531" s="2"/>
      <c r="AJ531" s="218"/>
      <c r="AK531" s="218"/>
      <c r="AL531" s="218"/>
      <c r="AM531" s="218"/>
    </row>
    <row r="532">
      <c r="A532" s="33"/>
      <c r="B532" s="2"/>
      <c r="C532" s="2"/>
      <c r="D532" s="2"/>
      <c r="E532" s="2"/>
      <c r="F532" s="4"/>
      <c r="G532" s="2"/>
      <c r="H532" s="2"/>
      <c r="I532" s="2"/>
      <c r="J532" s="5"/>
      <c r="K532" s="2"/>
      <c r="L532" s="2"/>
      <c r="M532" s="2"/>
      <c r="N532" s="2"/>
      <c r="O532" s="2"/>
      <c r="P532" s="2"/>
      <c r="Q532" s="7"/>
      <c r="R532" s="224"/>
      <c r="S532" s="224"/>
      <c r="T532" s="224"/>
      <c r="U532" s="868"/>
      <c r="V532" s="865"/>
      <c r="W532" s="2"/>
      <c r="X532" s="2"/>
      <c r="Y532" s="2"/>
      <c r="Z532" s="2"/>
      <c r="AA532" s="2"/>
      <c r="AB532" s="2"/>
      <c r="AC532" s="2"/>
      <c r="AD532" s="2"/>
      <c r="AE532" s="2"/>
      <c r="AF532" s="2"/>
      <c r="AG532" s="2"/>
      <c r="AH532" s="2"/>
      <c r="AI532" s="2"/>
      <c r="AJ532" s="218"/>
      <c r="AK532" s="218"/>
      <c r="AL532" s="218"/>
      <c r="AM532" s="218"/>
    </row>
    <row r="533">
      <c r="A533" s="33"/>
      <c r="B533" s="2"/>
      <c r="C533" s="2"/>
      <c r="D533" s="2"/>
      <c r="E533" s="2"/>
      <c r="F533" s="4"/>
      <c r="G533" s="2"/>
      <c r="H533" s="2"/>
      <c r="I533" s="2"/>
      <c r="J533" s="5"/>
      <c r="K533" s="2"/>
      <c r="L533" s="2"/>
      <c r="M533" s="2"/>
      <c r="N533" s="2"/>
      <c r="O533" s="2"/>
      <c r="P533" s="2"/>
      <c r="Q533" s="7"/>
      <c r="R533" s="224"/>
      <c r="S533" s="224"/>
      <c r="T533" s="224"/>
      <c r="U533" s="868"/>
      <c r="V533" s="865"/>
      <c r="W533" s="2"/>
      <c r="X533" s="2"/>
      <c r="Y533" s="2"/>
      <c r="Z533" s="2"/>
      <c r="AA533" s="2"/>
      <c r="AB533" s="2"/>
      <c r="AC533" s="2"/>
      <c r="AD533" s="2"/>
      <c r="AE533" s="2"/>
      <c r="AF533" s="2"/>
      <c r="AG533" s="2"/>
      <c r="AH533" s="2"/>
      <c r="AI533" s="2"/>
      <c r="AJ533" s="218"/>
      <c r="AK533" s="218"/>
      <c r="AL533" s="218"/>
      <c r="AM533" s="218"/>
    </row>
    <row r="534">
      <c r="A534" s="33"/>
      <c r="B534" s="2"/>
      <c r="C534" s="2"/>
      <c r="D534" s="2"/>
      <c r="E534" s="2"/>
      <c r="F534" s="4"/>
      <c r="G534" s="2"/>
      <c r="H534" s="2"/>
      <c r="I534" s="2"/>
      <c r="J534" s="5"/>
      <c r="K534" s="2"/>
      <c r="L534" s="2"/>
      <c r="M534" s="2"/>
      <c r="N534" s="2"/>
      <c r="O534" s="2"/>
      <c r="P534" s="2"/>
      <c r="Q534" s="7"/>
      <c r="R534" s="224"/>
      <c r="S534" s="224"/>
      <c r="T534" s="224"/>
      <c r="U534" s="868"/>
      <c r="V534" s="865"/>
      <c r="W534" s="2"/>
      <c r="X534" s="2"/>
      <c r="Y534" s="2"/>
      <c r="Z534" s="2"/>
      <c r="AA534" s="2"/>
      <c r="AB534" s="2"/>
      <c r="AC534" s="2"/>
      <c r="AD534" s="2"/>
      <c r="AE534" s="2"/>
      <c r="AF534" s="2"/>
      <c r="AG534" s="2"/>
      <c r="AH534" s="2"/>
      <c r="AI534" s="2"/>
      <c r="AJ534" s="218"/>
      <c r="AK534" s="218"/>
      <c r="AL534" s="218"/>
      <c r="AM534" s="218"/>
    </row>
    <row r="535">
      <c r="A535" s="33"/>
      <c r="B535" s="2"/>
      <c r="C535" s="2"/>
      <c r="D535" s="2"/>
      <c r="E535" s="2"/>
      <c r="F535" s="4"/>
      <c r="G535" s="2"/>
      <c r="H535" s="2"/>
      <c r="I535" s="2"/>
      <c r="J535" s="5"/>
      <c r="K535" s="2"/>
      <c r="L535" s="2"/>
      <c r="M535" s="2"/>
      <c r="N535" s="2"/>
      <c r="O535" s="2"/>
      <c r="P535" s="2"/>
      <c r="Q535" s="7"/>
      <c r="R535" s="224"/>
      <c r="S535" s="224"/>
      <c r="T535" s="224"/>
      <c r="U535" s="868"/>
      <c r="V535" s="865"/>
      <c r="W535" s="2"/>
      <c r="X535" s="2"/>
      <c r="Y535" s="2"/>
      <c r="Z535" s="2"/>
      <c r="AA535" s="2"/>
      <c r="AB535" s="2"/>
      <c r="AC535" s="2"/>
      <c r="AD535" s="2"/>
      <c r="AE535" s="2"/>
      <c r="AF535" s="2"/>
      <c r="AG535" s="2"/>
      <c r="AH535" s="2"/>
      <c r="AI535" s="2"/>
      <c r="AJ535" s="218"/>
      <c r="AK535" s="218"/>
      <c r="AL535" s="218"/>
      <c r="AM535" s="218"/>
    </row>
    <row r="536">
      <c r="A536" s="33"/>
      <c r="B536" s="2"/>
      <c r="C536" s="2"/>
      <c r="D536" s="2"/>
      <c r="E536" s="2"/>
      <c r="F536" s="4"/>
      <c r="G536" s="2"/>
      <c r="H536" s="2"/>
      <c r="I536" s="2"/>
      <c r="J536" s="5"/>
      <c r="K536" s="2"/>
      <c r="L536" s="2"/>
      <c r="M536" s="2"/>
      <c r="N536" s="2"/>
      <c r="O536" s="2"/>
      <c r="P536" s="2"/>
      <c r="Q536" s="7"/>
      <c r="R536" s="224"/>
      <c r="S536" s="224"/>
      <c r="T536" s="224"/>
      <c r="U536" s="868"/>
      <c r="V536" s="865"/>
      <c r="W536" s="2"/>
      <c r="X536" s="2"/>
      <c r="Y536" s="2"/>
      <c r="Z536" s="2"/>
      <c r="AA536" s="2"/>
      <c r="AB536" s="2"/>
      <c r="AC536" s="2"/>
      <c r="AD536" s="2"/>
      <c r="AE536" s="2"/>
      <c r="AF536" s="2"/>
      <c r="AG536" s="2"/>
      <c r="AH536" s="2"/>
      <c r="AI536" s="2"/>
      <c r="AJ536" s="218"/>
      <c r="AK536" s="218"/>
      <c r="AL536" s="218"/>
      <c r="AM536" s="218"/>
    </row>
    <row r="537">
      <c r="A537" s="33"/>
      <c r="B537" s="2"/>
      <c r="C537" s="2"/>
      <c r="D537" s="2"/>
      <c r="E537" s="2"/>
      <c r="F537" s="4"/>
      <c r="G537" s="2"/>
      <c r="H537" s="2"/>
      <c r="I537" s="2"/>
      <c r="J537" s="5"/>
      <c r="K537" s="2"/>
      <c r="L537" s="2"/>
      <c r="M537" s="2"/>
      <c r="N537" s="2"/>
      <c r="O537" s="2"/>
      <c r="P537" s="2"/>
      <c r="Q537" s="7"/>
      <c r="R537" s="224"/>
      <c r="S537" s="224"/>
      <c r="T537" s="224"/>
      <c r="U537" s="868"/>
      <c r="V537" s="865"/>
      <c r="W537" s="2"/>
      <c r="X537" s="2"/>
      <c r="Y537" s="2"/>
      <c r="Z537" s="2"/>
      <c r="AA537" s="2"/>
      <c r="AB537" s="2"/>
      <c r="AC537" s="2"/>
      <c r="AD537" s="2"/>
      <c r="AE537" s="2"/>
      <c r="AF537" s="2"/>
      <c r="AG537" s="2"/>
      <c r="AH537" s="2"/>
      <c r="AI537" s="2"/>
      <c r="AJ537" s="218"/>
      <c r="AK537" s="218"/>
      <c r="AL537" s="218"/>
      <c r="AM537" s="218"/>
    </row>
    <row r="538">
      <c r="A538" s="33"/>
      <c r="B538" s="2"/>
      <c r="C538" s="2"/>
      <c r="D538" s="2"/>
      <c r="E538" s="2"/>
      <c r="F538" s="4"/>
      <c r="G538" s="2"/>
      <c r="H538" s="2"/>
      <c r="I538" s="2"/>
      <c r="J538" s="5"/>
      <c r="K538" s="2"/>
      <c r="L538" s="2"/>
      <c r="M538" s="2"/>
      <c r="N538" s="2"/>
      <c r="O538" s="2"/>
      <c r="P538" s="2"/>
      <c r="Q538" s="7"/>
      <c r="R538" s="224"/>
      <c r="S538" s="224"/>
      <c r="T538" s="224"/>
      <c r="U538" s="868"/>
      <c r="V538" s="865"/>
      <c r="W538" s="2"/>
      <c r="X538" s="2"/>
      <c r="Y538" s="2"/>
      <c r="Z538" s="2"/>
      <c r="AA538" s="2"/>
      <c r="AB538" s="2"/>
      <c r="AC538" s="2"/>
      <c r="AD538" s="2"/>
      <c r="AE538" s="2"/>
      <c r="AF538" s="2"/>
      <c r="AG538" s="2"/>
      <c r="AH538" s="2"/>
      <c r="AI538" s="2"/>
      <c r="AJ538" s="218"/>
      <c r="AK538" s="218"/>
      <c r="AL538" s="218"/>
      <c r="AM538" s="218"/>
    </row>
    <row r="539">
      <c r="A539" s="33"/>
      <c r="B539" s="2"/>
      <c r="C539" s="2"/>
      <c r="D539" s="2"/>
      <c r="E539" s="2"/>
      <c r="F539" s="4"/>
      <c r="G539" s="2"/>
      <c r="H539" s="2"/>
      <c r="I539" s="2"/>
      <c r="J539" s="5"/>
      <c r="K539" s="2"/>
      <c r="L539" s="2"/>
      <c r="M539" s="2"/>
      <c r="N539" s="2"/>
      <c r="O539" s="2"/>
      <c r="P539" s="2"/>
      <c r="Q539" s="7"/>
      <c r="R539" s="224"/>
      <c r="S539" s="224"/>
      <c r="T539" s="224"/>
      <c r="U539" s="868"/>
      <c r="V539" s="865"/>
      <c r="W539" s="2"/>
      <c r="X539" s="2"/>
      <c r="Y539" s="2"/>
      <c r="Z539" s="2"/>
      <c r="AA539" s="2"/>
      <c r="AB539" s="2"/>
      <c r="AC539" s="2"/>
      <c r="AD539" s="2"/>
      <c r="AE539" s="2"/>
      <c r="AF539" s="2"/>
      <c r="AG539" s="2"/>
      <c r="AH539" s="2"/>
      <c r="AI539" s="2"/>
      <c r="AJ539" s="218"/>
      <c r="AK539" s="218"/>
      <c r="AL539" s="218"/>
      <c r="AM539" s="218"/>
    </row>
    <row r="540">
      <c r="A540" s="33"/>
      <c r="B540" s="2"/>
      <c r="C540" s="2"/>
      <c r="D540" s="2"/>
      <c r="E540" s="2"/>
      <c r="F540" s="4"/>
      <c r="G540" s="2"/>
      <c r="H540" s="2"/>
      <c r="I540" s="2"/>
      <c r="J540" s="5"/>
      <c r="K540" s="2"/>
      <c r="L540" s="2"/>
      <c r="M540" s="2"/>
      <c r="N540" s="2"/>
      <c r="O540" s="2"/>
      <c r="P540" s="2"/>
      <c r="Q540" s="7"/>
      <c r="R540" s="224"/>
      <c r="S540" s="224"/>
      <c r="T540" s="224"/>
      <c r="U540" s="868"/>
      <c r="V540" s="865"/>
      <c r="W540" s="2"/>
      <c r="X540" s="2"/>
      <c r="Y540" s="2"/>
      <c r="Z540" s="2"/>
      <c r="AA540" s="2"/>
      <c r="AB540" s="2"/>
      <c r="AC540" s="2"/>
      <c r="AD540" s="2"/>
      <c r="AE540" s="2"/>
      <c r="AF540" s="2"/>
      <c r="AG540" s="2"/>
      <c r="AH540" s="2"/>
      <c r="AI540" s="2"/>
      <c r="AJ540" s="218"/>
      <c r="AK540" s="218"/>
      <c r="AL540" s="218"/>
      <c r="AM540" s="218"/>
    </row>
    <row r="541">
      <c r="A541" s="33"/>
      <c r="B541" s="2"/>
      <c r="C541" s="2"/>
      <c r="D541" s="2"/>
      <c r="E541" s="2"/>
      <c r="F541" s="4"/>
      <c r="G541" s="2"/>
      <c r="H541" s="2"/>
      <c r="I541" s="2"/>
      <c r="J541" s="5"/>
      <c r="K541" s="2"/>
      <c r="L541" s="2"/>
      <c r="M541" s="2"/>
      <c r="N541" s="2"/>
      <c r="O541" s="2"/>
      <c r="P541" s="2"/>
      <c r="Q541" s="7"/>
      <c r="R541" s="224"/>
      <c r="S541" s="224"/>
      <c r="T541" s="224"/>
      <c r="U541" s="868"/>
      <c r="V541" s="865"/>
      <c r="W541" s="2"/>
      <c r="X541" s="2"/>
      <c r="Y541" s="2"/>
      <c r="Z541" s="2"/>
      <c r="AA541" s="2"/>
      <c r="AB541" s="2"/>
      <c r="AC541" s="2"/>
      <c r="AD541" s="2"/>
      <c r="AE541" s="2"/>
      <c r="AF541" s="2"/>
      <c r="AG541" s="2"/>
      <c r="AH541" s="2"/>
      <c r="AI541" s="2"/>
      <c r="AJ541" s="218"/>
      <c r="AK541" s="218"/>
      <c r="AL541" s="218"/>
      <c r="AM541" s="218"/>
    </row>
    <row r="542">
      <c r="A542" s="33"/>
      <c r="B542" s="2"/>
      <c r="C542" s="2"/>
      <c r="D542" s="2"/>
      <c r="E542" s="2"/>
      <c r="F542" s="4"/>
      <c r="G542" s="2"/>
      <c r="H542" s="2"/>
      <c r="I542" s="2"/>
      <c r="J542" s="5"/>
      <c r="K542" s="2"/>
      <c r="L542" s="2"/>
      <c r="M542" s="2"/>
      <c r="N542" s="2"/>
      <c r="O542" s="2"/>
      <c r="P542" s="2"/>
      <c r="Q542" s="7"/>
      <c r="R542" s="224"/>
      <c r="S542" s="224"/>
      <c r="T542" s="224"/>
      <c r="U542" s="868"/>
      <c r="V542" s="865"/>
      <c r="W542" s="2"/>
      <c r="X542" s="2"/>
      <c r="Y542" s="2"/>
      <c r="Z542" s="2"/>
      <c r="AA542" s="2"/>
      <c r="AB542" s="2"/>
      <c r="AC542" s="2"/>
      <c r="AD542" s="2"/>
      <c r="AE542" s="2"/>
      <c r="AF542" s="2"/>
      <c r="AG542" s="2"/>
      <c r="AH542" s="2"/>
      <c r="AI542" s="2"/>
      <c r="AJ542" s="218"/>
      <c r="AK542" s="218"/>
      <c r="AL542" s="218"/>
      <c r="AM542" s="218"/>
    </row>
    <row r="543">
      <c r="A543" s="33"/>
      <c r="B543" s="2"/>
      <c r="C543" s="2"/>
      <c r="D543" s="2"/>
      <c r="E543" s="2"/>
      <c r="F543" s="4"/>
      <c r="G543" s="2"/>
      <c r="H543" s="2"/>
      <c r="I543" s="2"/>
      <c r="J543" s="5"/>
      <c r="K543" s="2"/>
      <c r="L543" s="2"/>
      <c r="M543" s="2"/>
      <c r="N543" s="2"/>
      <c r="O543" s="2"/>
      <c r="P543" s="2"/>
      <c r="Q543" s="7"/>
      <c r="R543" s="224"/>
      <c r="S543" s="224"/>
      <c r="T543" s="224"/>
      <c r="U543" s="868"/>
      <c r="V543" s="865"/>
      <c r="W543" s="2"/>
      <c r="X543" s="2"/>
      <c r="Y543" s="2"/>
      <c r="Z543" s="2"/>
      <c r="AA543" s="2"/>
      <c r="AB543" s="2"/>
      <c r="AC543" s="2"/>
      <c r="AD543" s="2"/>
      <c r="AE543" s="2"/>
      <c r="AF543" s="2"/>
      <c r="AG543" s="2"/>
      <c r="AH543" s="2"/>
      <c r="AI543" s="2"/>
      <c r="AJ543" s="218"/>
      <c r="AK543" s="218"/>
      <c r="AL543" s="218"/>
      <c r="AM543" s="218"/>
    </row>
    <row r="544">
      <c r="A544" s="33"/>
      <c r="B544" s="2"/>
      <c r="C544" s="2"/>
      <c r="D544" s="2"/>
      <c r="E544" s="2"/>
      <c r="F544" s="4"/>
      <c r="G544" s="2"/>
      <c r="H544" s="2"/>
      <c r="I544" s="2"/>
      <c r="J544" s="5"/>
      <c r="K544" s="2"/>
      <c r="L544" s="2"/>
      <c r="M544" s="2"/>
      <c r="N544" s="2"/>
      <c r="O544" s="2"/>
      <c r="P544" s="2"/>
      <c r="Q544" s="7"/>
      <c r="R544" s="224"/>
      <c r="S544" s="224"/>
      <c r="T544" s="224"/>
      <c r="U544" s="868"/>
      <c r="V544" s="865"/>
      <c r="W544" s="2"/>
      <c r="X544" s="2"/>
      <c r="Y544" s="2"/>
      <c r="Z544" s="2"/>
      <c r="AA544" s="2"/>
      <c r="AB544" s="2"/>
      <c r="AC544" s="2"/>
      <c r="AD544" s="2"/>
      <c r="AE544" s="2"/>
      <c r="AF544" s="2"/>
      <c r="AG544" s="2"/>
      <c r="AH544" s="2"/>
      <c r="AI544" s="2"/>
      <c r="AJ544" s="218"/>
      <c r="AK544" s="218"/>
      <c r="AL544" s="218"/>
      <c r="AM544" s="218"/>
    </row>
    <row r="545">
      <c r="A545" s="33"/>
      <c r="B545" s="2"/>
      <c r="C545" s="2"/>
      <c r="D545" s="2"/>
      <c r="E545" s="2"/>
      <c r="F545" s="4"/>
      <c r="G545" s="2"/>
      <c r="H545" s="2"/>
      <c r="I545" s="2"/>
      <c r="J545" s="5"/>
      <c r="K545" s="2"/>
      <c r="L545" s="2"/>
      <c r="M545" s="2"/>
      <c r="N545" s="2"/>
      <c r="O545" s="2"/>
      <c r="P545" s="2"/>
      <c r="Q545" s="7"/>
      <c r="R545" s="224"/>
      <c r="S545" s="224"/>
      <c r="T545" s="224"/>
      <c r="U545" s="868"/>
      <c r="V545" s="865"/>
      <c r="W545" s="2"/>
      <c r="X545" s="2"/>
      <c r="Y545" s="2"/>
      <c r="Z545" s="2"/>
      <c r="AA545" s="2"/>
      <c r="AB545" s="2"/>
      <c r="AC545" s="2"/>
      <c r="AD545" s="2"/>
      <c r="AE545" s="2"/>
      <c r="AF545" s="2"/>
      <c r="AG545" s="2"/>
      <c r="AH545" s="2"/>
      <c r="AI545" s="2"/>
      <c r="AJ545" s="218"/>
      <c r="AK545" s="218"/>
      <c r="AL545" s="218"/>
      <c r="AM545" s="218"/>
    </row>
    <row r="546">
      <c r="A546" s="33"/>
      <c r="B546" s="2"/>
      <c r="C546" s="2"/>
      <c r="D546" s="2"/>
      <c r="E546" s="2"/>
      <c r="F546" s="4"/>
      <c r="G546" s="2"/>
      <c r="H546" s="2"/>
      <c r="I546" s="2"/>
      <c r="J546" s="5"/>
      <c r="K546" s="2"/>
      <c r="L546" s="2"/>
      <c r="M546" s="2"/>
      <c r="N546" s="2"/>
      <c r="O546" s="2"/>
      <c r="P546" s="2"/>
      <c r="Q546" s="7"/>
      <c r="R546" s="224"/>
      <c r="S546" s="224"/>
      <c r="T546" s="224"/>
      <c r="U546" s="868"/>
      <c r="V546" s="865"/>
      <c r="W546" s="2"/>
      <c r="X546" s="2"/>
      <c r="Y546" s="2"/>
      <c r="Z546" s="2"/>
      <c r="AA546" s="2"/>
      <c r="AB546" s="2"/>
      <c r="AC546" s="2"/>
      <c r="AD546" s="2"/>
      <c r="AE546" s="2"/>
      <c r="AF546" s="2"/>
      <c r="AG546" s="2"/>
      <c r="AH546" s="2"/>
      <c r="AI546" s="2"/>
      <c r="AJ546" s="218"/>
      <c r="AK546" s="218"/>
      <c r="AL546" s="218"/>
      <c r="AM546" s="218"/>
    </row>
    <row r="547">
      <c r="A547" s="33"/>
      <c r="B547" s="2"/>
      <c r="C547" s="2"/>
      <c r="D547" s="2"/>
      <c r="E547" s="2"/>
      <c r="F547" s="4"/>
      <c r="G547" s="2"/>
      <c r="H547" s="2"/>
      <c r="I547" s="2"/>
      <c r="J547" s="5"/>
      <c r="K547" s="2"/>
      <c r="L547" s="2"/>
      <c r="M547" s="2"/>
      <c r="N547" s="2"/>
      <c r="O547" s="2"/>
      <c r="P547" s="2"/>
      <c r="Q547" s="7"/>
      <c r="R547" s="224"/>
      <c r="S547" s="224"/>
      <c r="T547" s="224"/>
      <c r="U547" s="868"/>
      <c r="V547" s="865"/>
      <c r="W547" s="2"/>
      <c r="X547" s="2"/>
      <c r="Y547" s="2"/>
      <c r="Z547" s="2"/>
      <c r="AA547" s="2"/>
      <c r="AB547" s="2"/>
      <c r="AC547" s="2"/>
      <c r="AD547" s="2"/>
      <c r="AE547" s="2"/>
      <c r="AF547" s="2"/>
      <c r="AG547" s="2"/>
      <c r="AH547" s="2"/>
      <c r="AI547" s="2"/>
      <c r="AJ547" s="218"/>
      <c r="AK547" s="218"/>
      <c r="AL547" s="218"/>
      <c r="AM547" s="218"/>
    </row>
    <row r="548">
      <c r="A548" s="33"/>
      <c r="B548" s="2"/>
      <c r="C548" s="2"/>
      <c r="D548" s="2"/>
      <c r="E548" s="2"/>
      <c r="F548" s="4"/>
      <c r="G548" s="2"/>
      <c r="H548" s="2"/>
      <c r="I548" s="2"/>
      <c r="J548" s="5"/>
      <c r="K548" s="2"/>
      <c r="L548" s="2"/>
      <c r="M548" s="2"/>
      <c r="N548" s="2"/>
      <c r="O548" s="2"/>
      <c r="P548" s="2"/>
      <c r="Q548" s="7"/>
      <c r="R548" s="224"/>
      <c r="S548" s="224"/>
      <c r="T548" s="224"/>
      <c r="U548" s="868"/>
      <c r="V548" s="865"/>
      <c r="W548" s="2"/>
      <c r="X548" s="2"/>
      <c r="Y548" s="2"/>
      <c r="Z548" s="2"/>
      <c r="AA548" s="2"/>
      <c r="AB548" s="2"/>
      <c r="AC548" s="2"/>
      <c r="AD548" s="2"/>
      <c r="AE548" s="2"/>
      <c r="AF548" s="2"/>
      <c r="AG548" s="2"/>
      <c r="AH548" s="2"/>
      <c r="AI548" s="2"/>
      <c r="AJ548" s="218"/>
      <c r="AK548" s="218"/>
      <c r="AL548" s="218"/>
      <c r="AM548" s="218"/>
    </row>
    <row r="549">
      <c r="A549" s="33"/>
      <c r="B549" s="2"/>
      <c r="C549" s="2"/>
      <c r="D549" s="2"/>
      <c r="E549" s="2"/>
      <c r="F549" s="4"/>
      <c r="G549" s="2"/>
      <c r="H549" s="2"/>
      <c r="I549" s="2"/>
      <c r="J549" s="5"/>
      <c r="K549" s="2"/>
      <c r="L549" s="2"/>
      <c r="M549" s="2"/>
      <c r="N549" s="2"/>
      <c r="O549" s="2"/>
      <c r="P549" s="2"/>
      <c r="Q549" s="7"/>
      <c r="R549" s="224"/>
      <c r="S549" s="224"/>
      <c r="T549" s="224"/>
      <c r="U549" s="868"/>
      <c r="V549" s="865"/>
      <c r="W549" s="2"/>
      <c r="X549" s="2"/>
      <c r="Y549" s="2"/>
      <c r="Z549" s="2"/>
      <c r="AA549" s="2"/>
      <c r="AB549" s="2"/>
      <c r="AC549" s="2"/>
      <c r="AD549" s="2"/>
      <c r="AE549" s="2"/>
      <c r="AF549" s="2"/>
      <c r="AG549" s="2"/>
      <c r="AH549" s="2"/>
      <c r="AI549" s="2"/>
      <c r="AJ549" s="218"/>
      <c r="AK549" s="218"/>
      <c r="AL549" s="218"/>
      <c r="AM549" s="218"/>
    </row>
    <row r="550">
      <c r="A550" s="33"/>
      <c r="B550" s="2"/>
      <c r="C550" s="2"/>
      <c r="D550" s="2"/>
      <c r="E550" s="2"/>
      <c r="F550" s="4"/>
      <c r="G550" s="2"/>
      <c r="H550" s="2"/>
      <c r="I550" s="2"/>
      <c r="J550" s="5"/>
      <c r="K550" s="2"/>
      <c r="L550" s="2"/>
      <c r="M550" s="2"/>
      <c r="N550" s="2"/>
      <c r="O550" s="2"/>
      <c r="P550" s="2"/>
      <c r="Q550" s="7"/>
      <c r="R550" s="224"/>
      <c r="S550" s="224"/>
      <c r="T550" s="224"/>
      <c r="U550" s="868"/>
      <c r="V550" s="865"/>
      <c r="W550" s="2"/>
      <c r="X550" s="2"/>
      <c r="Y550" s="2"/>
      <c r="Z550" s="2"/>
      <c r="AA550" s="2"/>
      <c r="AB550" s="2"/>
      <c r="AC550" s="2"/>
      <c r="AD550" s="2"/>
      <c r="AE550" s="2"/>
      <c r="AF550" s="2"/>
      <c r="AG550" s="2"/>
      <c r="AH550" s="2"/>
      <c r="AI550" s="2"/>
      <c r="AJ550" s="218"/>
      <c r="AK550" s="218"/>
      <c r="AL550" s="218"/>
      <c r="AM550" s="218"/>
    </row>
    <row r="551">
      <c r="A551" s="33"/>
      <c r="B551" s="2"/>
      <c r="C551" s="2"/>
      <c r="D551" s="2"/>
      <c r="E551" s="2"/>
      <c r="F551" s="4"/>
      <c r="G551" s="2"/>
      <c r="H551" s="2"/>
      <c r="I551" s="2"/>
      <c r="J551" s="5"/>
      <c r="K551" s="2"/>
      <c r="L551" s="2"/>
      <c r="M551" s="2"/>
      <c r="N551" s="2"/>
      <c r="O551" s="2"/>
      <c r="P551" s="2"/>
      <c r="Q551" s="7"/>
      <c r="R551" s="224"/>
      <c r="S551" s="224"/>
      <c r="T551" s="224"/>
      <c r="U551" s="868"/>
      <c r="V551" s="865"/>
      <c r="W551" s="2"/>
      <c r="X551" s="2"/>
      <c r="Y551" s="2"/>
      <c r="Z551" s="2"/>
      <c r="AA551" s="2"/>
      <c r="AB551" s="2"/>
      <c r="AC551" s="2"/>
      <c r="AD551" s="2"/>
      <c r="AE551" s="2"/>
      <c r="AF551" s="2"/>
      <c r="AG551" s="2"/>
      <c r="AH551" s="2"/>
      <c r="AI551" s="2"/>
      <c r="AJ551" s="218"/>
      <c r="AK551" s="218"/>
      <c r="AL551" s="218"/>
      <c r="AM551" s="218"/>
    </row>
    <row r="552">
      <c r="A552" s="33"/>
      <c r="B552" s="2"/>
      <c r="C552" s="2"/>
      <c r="D552" s="2"/>
      <c r="E552" s="2"/>
      <c r="F552" s="4"/>
      <c r="G552" s="2"/>
      <c r="H552" s="2"/>
      <c r="I552" s="2"/>
      <c r="J552" s="5"/>
      <c r="K552" s="2"/>
      <c r="L552" s="2"/>
      <c r="M552" s="2"/>
      <c r="N552" s="2"/>
      <c r="O552" s="2"/>
      <c r="P552" s="2"/>
      <c r="Q552" s="7"/>
      <c r="R552" s="224"/>
      <c r="S552" s="224"/>
      <c r="T552" s="224"/>
      <c r="U552" s="868"/>
      <c r="V552" s="865"/>
      <c r="W552" s="2"/>
      <c r="X552" s="2"/>
      <c r="Y552" s="2"/>
      <c r="Z552" s="2"/>
      <c r="AA552" s="2"/>
      <c r="AB552" s="2"/>
      <c r="AC552" s="2"/>
      <c r="AD552" s="2"/>
      <c r="AE552" s="2"/>
      <c r="AF552" s="2"/>
      <c r="AG552" s="2"/>
      <c r="AH552" s="2"/>
      <c r="AI552" s="2"/>
      <c r="AJ552" s="218"/>
      <c r="AK552" s="218"/>
      <c r="AL552" s="218"/>
      <c r="AM552" s="218"/>
    </row>
    <row r="553">
      <c r="A553" s="33"/>
      <c r="B553" s="2"/>
      <c r="C553" s="2"/>
      <c r="D553" s="2"/>
      <c r="E553" s="2"/>
      <c r="F553" s="4"/>
      <c r="G553" s="2"/>
      <c r="H553" s="2"/>
      <c r="I553" s="2"/>
      <c r="J553" s="5"/>
      <c r="K553" s="2"/>
      <c r="L553" s="2"/>
      <c r="M553" s="2"/>
      <c r="N553" s="2"/>
      <c r="O553" s="2"/>
      <c r="P553" s="2"/>
      <c r="Q553" s="7"/>
      <c r="R553" s="224"/>
      <c r="S553" s="224"/>
      <c r="T553" s="224"/>
      <c r="U553" s="868"/>
      <c r="V553" s="865"/>
      <c r="W553" s="2"/>
      <c r="X553" s="2"/>
      <c r="Y553" s="2"/>
      <c r="Z553" s="2"/>
      <c r="AA553" s="2"/>
      <c r="AB553" s="2"/>
      <c r="AC553" s="2"/>
      <c r="AD553" s="2"/>
      <c r="AE553" s="2"/>
      <c r="AF553" s="2"/>
      <c r="AG553" s="2"/>
      <c r="AH553" s="2"/>
      <c r="AI553" s="2"/>
      <c r="AJ553" s="218"/>
      <c r="AK553" s="218"/>
      <c r="AL553" s="218"/>
      <c r="AM553" s="218"/>
    </row>
    <row r="554">
      <c r="A554" s="33"/>
      <c r="B554" s="2"/>
      <c r="C554" s="2"/>
      <c r="D554" s="2"/>
      <c r="E554" s="2"/>
      <c r="F554" s="4"/>
      <c r="G554" s="2"/>
      <c r="H554" s="2"/>
      <c r="I554" s="2"/>
      <c r="J554" s="5"/>
      <c r="K554" s="2"/>
      <c r="L554" s="2"/>
      <c r="M554" s="2"/>
      <c r="N554" s="2"/>
      <c r="O554" s="2"/>
      <c r="P554" s="2"/>
      <c r="Q554" s="7"/>
      <c r="R554" s="224"/>
      <c r="S554" s="224"/>
      <c r="T554" s="224"/>
      <c r="U554" s="868"/>
      <c r="V554" s="865"/>
      <c r="W554" s="2"/>
      <c r="X554" s="2"/>
      <c r="Y554" s="2"/>
      <c r="Z554" s="2"/>
      <c r="AA554" s="2"/>
      <c r="AB554" s="2"/>
      <c r="AC554" s="2"/>
      <c r="AD554" s="2"/>
      <c r="AE554" s="2"/>
      <c r="AF554" s="2"/>
      <c r="AG554" s="2"/>
      <c r="AH554" s="2"/>
      <c r="AI554" s="2"/>
      <c r="AJ554" s="218"/>
      <c r="AK554" s="218"/>
      <c r="AL554" s="218"/>
      <c r="AM554" s="218"/>
    </row>
    <row r="555">
      <c r="A555" s="33"/>
      <c r="B555" s="2"/>
      <c r="C555" s="2"/>
      <c r="D555" s="2"/>
      <c r="E555" s="2"/>
      <c r="F555" s="4"/>
      <c r="G555" s="2"/>
      <c r="H555" s="2"/>
      <c r="I555" s="2"/>
      <c r="J555" s="5"/>
      <c r="K555" s="2"/>
      <c r="L555" s="2"/>
      <c r="M555" s="2"/>
      <c r="N555" s="2"/>
      <c r="O555" s="2"/>
      <c r="P555" s="2"/>
      <c r="Q555" s="7"/>
      <c r="R555" s="224"/>
      <c r="S555" s="224"/>
      <c r="T555" s="224"/>
      <c r="U555" s="868"/>
      <c r="V555" s="865"/>
      <c r="W555" s="2"/>
      <c r="X555" s="2"/>
      <c r="Y555" s="2"/>
      <c r="Z555" s="2"/>
      <c r="AA555" s="2"/>
      <c r="AB555" s="2"/>
      <c r="AC555" s="2"/>
      <c r="AD555" s="2"/>
      <c r="AE555" s="2"/>
      <c r="AF555" s="2"/>
      <c r="AG555" s="2"/>
      <c r="AH555" s="2"/>
      <c r="AI555" s="2"/>
      <c r="AJ555" s="218"/>
      <c r="AK555" s="218"/>
      <c r="AL555" s="218"/>
      <c r="AM555" s="218"/>
    </row>
    <row r="556">
      <c r="A556" s="33"/>
      <c r="B556" s="2"/>
      <c r="C556" s="2"/>
      <c r="D556" s="2"/>
      <c r="E556" s="2"/>
      <c r="F556" s="4"/>
      <c r="G556" s="2"/>
      <c r="H556" s="2"/>
      <c r="I556" s="2"/>
      <c r="J556" s="5"/>
      <c r="K556" s="2"/>
      <c r="L556" s="2"/>
      <c r="M556" s="2"/>
      <c r="N556" s="2"/>
      <c r="O556" s="2"/>
      <c r="P556" s="2"/>
      <c r="Q556" s="7"/>
      <c r="R556" s="224"/>
      <c r="S556" s="224"/>
      <c r="T556" s="224"/>
      <c r="U556" s="868"/>
      <c r="V556" s="865"/>
      <c r="W556" s="2"/>
      <c r="X556" s="2"/>
      <c r="Y556" s="2"/>
      <c r="Z556" s="2"/>
      <c r="AA556" s="2"/>
      <c r="AB556" s="2"/>
      <c r="AC556" s="2"/>
      <c r="AD556" s="2"/>
      <c r="AE556" s="2"/>
      <c r="AF556" s="2"/>
      <c r="AG556" s="2"/>
      <c r="AH556" s="2"/>
      <c r="AI556" s="2"/>
      <c r="AJ556" s="218"/>
      <c r="AK556" s="218"/>
      <c r="AL556" s="218"/>
      <c r="AM556" s="218"/>
    </row>
    <row r="557">
      <c r="A557" s="33"/>
      <c r="B557" s="2"/>
      <c r="C557" s="2"/>
      <c r="D557" s="2"/>
      <c r="E557" s="2"/>
      <c r="F557" s="4"/>
      <c r="G557" s="2"/>
      <c r="H557" s="2"/>
      <c r="I557" s="2"/>
      <c r="J557" s="5"/>
      <c r="K557" s="2"/>
      <c r="L557" s="2"/>
      <c r="M557" s="2"/>
      <c r="N557" s="2"/>
      <c r="O557" s="2"/>
      <c r="P557" s="2"/>
      <c r="Q557" s="7"/>
      <c r="R557" s="224"/>
      <c r="S557" s="224"/>
      <c r="T557" s="224"/>
      <c r="U557" s="868"/>
      <c r="V557" s="865"/>
      <c r="W557" s="2"/>
      <c r="X557" s="2"/>
      <c r="Y557" s="2"/>
      <c r="Z557" s="2"/>
      <c r="AA557" s="2"/>
      <c r="AB557" s="2"/>
      <c r="AC557" s="2"/>
      <c r="AD557" s="2"/>
      <c r="AE557" s="2"/>
      <c r="AF557" s="2"/>
      <c r="AG557" s="2"/>
      <c r="AH557" s="2"/>
      <c r="AI557" s="2"/>
      <c r="AJ557" s="218"/>
      <c r="AK557" s="218"/>
      <c r="AL557" s="218"/>
      <c r="AM557" s="218"/>
    </row>
    <row r="558">
      <c r="A558" s="33"/>
      <c r="B558" s="2"/>
      <c r="C558" s="2"/>
      <c r="D558" s="2"/>
      <c r="E558" s="2"/>
      <c r="F558" s="4"/>
      <c r="G558" s="2"/>
      <c r="H558" s="2"/>
      <c r="I558" s="2"/>
      <c r="J558" s="5"/>
      <c r="K558" s="2"/>
      <c r="L558" s="2"/>
      <c r="M558" s="2"/>
      <c r="N558" s="2"/>
      <c r="O558" s="2"/>
      <c r="P558" s="2"/>
      <c r="Q558" s="7"/>
      <c r="R558" s="224"/>
      <c r="S558" s="224"/>
      <c r="T558" s="224"/>
      <c r="U558" s="868"/>
      <c r="V558" s="865"/>
      <c r="W558" s="2"/>
      <c r="X558" s="2"/>
      <c r="Y558" s="2"/>
      <c r="Z558" s="2"/>
      <c r="AA558" s="2"/>
      <c r="AB558" s="2"/>
      <c r="AC558" s="2"/>
      <c r="AD558" s="2"/>
      <c r="AE558" s="2"/>
      <c r="AF558" s="2"/>
      <c r="AG558" s="2"/>
      <c r="AH558" s="2"/>
      <c r="AI558" s="2"/>
      <c r="AJ558" s="218"/>
      <c r="AK558" s="218"/>
      <c r="AL558" s="218"/>
      <c r="AM558" s="218"/>
    </row>
    <row r="559">
      <c r="A559" s="33"/>
      <c r="B559" s="2"/>
      <c r="C559" s="2"/>
      <c r="D559" s="2"/>
      <c r="E559" s="2"/>
      <c r="F559" s="4"/>
      <c r="G559" s="2"/>
      <c r="H559" s="2"/>
      <c r="I559" s="2"/>
      <c r="J559" s="5"/>
      <c r="K559" s="2"/>
      <c r="L559" s="2"/>
      <c r="M559" s="2"/>
      <c r="N559" s="2"/>
      <c r="O559" s="2"/>
      <c r="P559" s="2"/>
      <c r="Q559" s="7"/>
      <c r="R559" s="224"/>
      <c r="S559" s="224"/>
      <c r="T559" s="224"/>
      <c r="U559" s="868"/>
      <c r="V559" s="865"/>
      <c r="W559" s="2"/>
      <c r="X559" s="2"/>
      <c r="Y559" s="2"/>
      <c r="Z559" s="2"/>
      <c r="AA559" s="2"/>
      <c r="AB559" s="2"/>
      <c r="AC559" s="2"/>
      <c r="AD559" s="2"/>
      <c r="AE559" s="2"/>
      <c r="AF559" s="2"/>
      <c r="AG559" s="2"/>
      <c r="AH559" s="2"/>
      <c r="AI559" s="2"/>
      <c r="AJ559" s="218"/>
      <c r="AK559" s="218"/>
      <c r="AL559" s="218"/>
      <c r="AM559" s="218"/>
    </row>
    <row r="560">
      <c r="A560" s="33"/>
      <c r="B560" s="2"/>
      <c r="C560" s="2"/>
      <c r="D560" s="2"/>
      <c r="E560" s="2"/>
      <c r="F560" s="4"/>
      <c r="G560" s="2"/>
      <c r="H560" s="2"/>
      <c r="I560" s="2"/>
      <c r="J560" s="5"/>
      <c r="K560" s="2"/>
      <c r="L560" s="2"/>
      <c r="M560" s="2"/>
      <c r="N560" s="2"/>
      <c r="O560" s="2"/>
      <c r="P560" s="2"/>
      <c r="Q560" s="7"/>
      <c r="R560" s="224"/>
      <c r="S560" s="224"/>
      <c r="T560" s="224"/>
      <c r="U560" s="868"/>
      <c r="V560" s="865"/>
      <c r="W560" s="2"/>
      <c r="X560" s="2"/>
      <c r="Y560" s="2"/>
      <c r="Z560" s="2"/>
      <c r="AA560" s="2"/>
      <c r="AB560" s="2"/>
      <c r="AC560" s="2"/>
      <c r="AD560" s="2"/>
      <c r="AE560" s="2"/>
      <c r="AF560" s="2"/>
      <c r="AG560" s="2"/>
      <c r="AH560" s="2"/>
      <c r="AI560" s="2"/>
      <c r="AJ560" s="218"/>
      <c r="AK560" s="218"/>
      <c r="AL560" s="218"/>
      <c r="AM560" s="218"/>
    </row>
    <row r="561">
      <c r="A561" s="33"/>
      <c r="B561" s="2"/>
      <c r="C561" s="2"/>
      <c r="D561" s="2"/>
      <c r="E561" s="2"/>
      <c r="F561" s="4"/>
      <c r="G561" s="2"/>
      <c r="H561" s="2"/>
      <c r="I561" s="2"/>
      <c r="J561" s="5"/>
      <c r="K561" s="2"/>
      <c r="L561" s="2"/>
      <c r="M561" s="2"/>
      <c r="N561" s="2"/>
      <c r="O561" s="2"/>
      <c r="P561" s="2"/>
      <c r="Q561" s="7"/>
      <c r="R561" s="224"/>
      <c r="S561" s="224"/>
      <c r="T561" s="224"/>
      <c r="U561" s="868"/>
      <c r="V561" s="865"/>
      <c r="W561" s="2"/>
      <c r="X561" s="2"/>
      <c r="Y561" s="2"/>
      <c r="Z561" s="2"/>
      <c r="AA561" s="2"/>
      <c r="AB561" s="2"/>
      <c r="AC561" s="2"/>
      <c r="AD561" s="2"/>
      <c r="AE561" s="2"/>
      <c r="AF561" s="2"/>
      <c r="AG561" s="2"/>
      <c r="AH561" s="2"/>
      <c r="AI561" s="2"/>
      <c r="AJ561" s="218"/>
      <c r="AK561" s="218"/>
      <c r="AL561" s="218"/>
      <c r="AM561" s="218"/>
    </row>
    <row r="562">
      <c r="A562" s="33"/>
      <c r="B562" s="2"/>
      <c r="C562" s="2"/>
      <c r="D562" s="2"/>
      <c r="E562" s="2"/>
      <c r="F562" s="4"/>
      <c r="G562" s="2"/>
      <c r="H562" s="2"/>
      <c r="I562" s="2"/>
      <c r="J562" s="5"/>
      <c r="K562" s="2"/>
      <c r="L562" s="2"/>
      <c r="M562" s="2"/>
      <c r="N562" s="2"/>
      <c r="O562" s="2"/>
      <c r="P562" s="2"/>
      <c r="Q562" s="7"/>
      <c r="R562" s="224"/>
      <c r="S562" s="224"/>
      <c r="T562" s="224"/>
      <c r="U562" s="868"/>
      <c r="V562" s="865"/>
      <c r="W562" s="2"/>
      <c r="X562" s="2"/>
      <c r="Y562" s="2"/>
      <c r="Z562" s="2"/>
      <c r="AA562" s="2"/>
      <c r="AB562" s="2"/>
      <c r="AC562" s="2"/>
      <c r="AD562" s="2"/>
      <c r="AE562" s="2"/>
      <c r="AF562" s="2"/>
      <c r="AG562" s="2"/>
      <c r="AH562" s="2"/>
      <c r="AI562" s="2"/>
      <c r="AJ562" s="218"/>
      <c r="AK562" s="218"/>
      <c r="AL562" s="218"/>
      <c r="AM562" s="218"/>
    </row>
    <row r="563">
      <c r="A563" s="33"/>
      <c r="B563" s="2"/>
      <c r="C563" s="2"/>
      <c r="D563" s="2"/>
      <c r="E563" s="2"/>
      <c r="F563" s="4"/>
      <c r="G563" s="2"/>
      <c r="H563" s="2"/>
      <c r="I563" s="2"/>
      <c r="J563" s="5"/>
      <c r="K563" s="2"/>
      <c r="L563" s="2"/>
      <c r="M563" s="2"/>
      <c r="N563" s="2"/>
      <c r="O563" s="2"/>
      <c r="P563" s="2"/>
      <c r="Q563" s="7"/>
      <c r="R563" s="224"/>
      <c r="S563" s="224"/>
      <c r="T563" s="224"/>
      <c r="U563" s="868"/>
      <c r="V563" s="865"/>
      <c r="W563" s="2"/>
      <c r="X563" s="2"/>
      <c r="Y563" s="2"/>
      <c r="Z563" s="2"/>
      <c r="AA563" s="2"/>
      <c r="AB563" s="2"/>
      <c r="AC563" s="2"/>
      <c r="AD563" s="2"/>
      <c r="AE563" s="2"/>
      <c r="AF563" s="2"/>
      <c r="AG563" s="2"/>
      <c r="AH563" s="2"/>
      <c r="AI563" s="2"/>
      <c r="AJ563" s="218"/>
      <c r="AK563" s="218"/>
      <c r="AL563" s="218"/>
      <c r="AM563" s="218"/>
    </row>
    <row r="564">
      <c r="A564" s="33"/>
      <c r="B564" s="2"/>
      <c r="C564" s="2"/>
      <c r="D564" s="2"/>
      <c r="E564" s="2"/>
      <c r="F564" s="4"/>
      <c r="G564" s="2"/>
      <c r="H564" s="2"/>
      <c r="I564" s="2"/>
      <c r="J564" s="5"/>
      <c r="K564" s="2"/>
      <c r="L564" s="2"/>
      <c r="M564" s="2"/>
      <c r="N564" s="2"/>
      <c r="O564" s="2"/>
      <c r="P564" s="2"/>
      <c r="Q564" s="7"/>
      <c r="R564" s="224"/>
      <c r="S564" s="224"/>
      <c r="T564" s="224"/>
      <c r="U564" s="868"/>
      <c r="V564" s="865"/>
      <c r="W564" s="2"/>
      <c r="X564" s="2"/>
      <c r="Y564" s="2"/>
      <c r="Z564" s="2"/>
      <c r="AA564" s="2"/>
      <c r="AB564" s="2"/>
      <c r="AC564" s="2"/>
      <c r="AD564" s="2"/>
      <c r="AE564" s="2"/>
      <c r="AF564" s="2"/>
      <c r="AG564" s="2"/>
      <c r="AH564" s="2"/>
      <c r="AI564" s="2"/>
      <c r="AJ564" s="218"/>
      <c r="AK564" s="218"/>
      <c r="AL564" s="218"/>
      <c r="AM564" s="218"/>
    </row>
    <row r="565">
      <c r="A565" s="33"/>
      <c r="B565" s="2"/>
      <c r="C565" s="2"/>
      <c r="D565" s="2"/>
      <c r="E565" s="2"/>
      <c r="F565" s="4"/>
      <c r="G565" s="2"/>
      <c r="H565" s="2"/>
      <c r="I565" s="2"/>
      <c r="J565" s="5"/>
      <c r="K565" s="2"/>
      <c r="L565" s="2"/>
      <c r="M565" s="2"/>
      <c r="N565" s="2"/>
      <c r="O565" s="2"/>
      <c r="P565" s="2"/>
      <c r="Q565" s="7"/>
      <c r="R565" s="224"/>
      <c r="S565" s="224"/>
      <c r="T565" s="224"/>
      <c r="U565" s="868"/>
      <c r="V565" s="865"/>
      <c r="W565" s="2"/>
      <c r="X565" s="2"/>
      <c r="Y565" s="2"/>
      <c r="Z565" s="2"/>
      <c r="AA565" s="2"/>
      <c r="AB565" s="2"/>
      <c r="AC565" s="2"/>
      <c r="AD565" s="2"/>
      <c r="AE565" s="2"/>
      <c r="AF565" s="2"/>
      <c r="AG565" s="2"/>
      <c r="AH565" s="2"/>
      <c r="AI565" s="2"/>
      <c r="AJ565" s="218"/>
      <c r="AK565" s="218"/>
      <c r="AL565" s="218"/>
      <c r="AM565" s="218"/>
    </row>
    <row r="566">
      <c r="A566" s="33"/>
      <c r="B566" s="2"/>
      <c r="C566" s="2"/>
      <c r="D566" s="2"/>
      <c r="E566" s="2"/>
      <c r="F566" s="4"/>
      <c r="G566" s="2"/>
      <c r="H566" s="2"/>
      <c r="I566" s="2"/>
      <c r="J566" s="5"/>
      <c r="K566" s="2"/>
      <c r="L566" s="2"/>
      <c r="M566" s="2"/>
      <c r="N566" s="2"/>
      <c r="O566" s="2"/>
      <c r="P566" s="2"/>
      <c r="Q566" s="7"/>
      <c r="R566" s="224"/>
      <c r="S566" s="224"/>
      <c r="T566" s="224"/>
      <c r="U566" s="868"/>
      <c r="V566" s="865"/>
      <c r="W566" s="2"/>
      <c r="X566" s="2"/>
      <c r="Y566" s="2"/>
      <c r="Z566" s="2"/>
      <c r="AA566" s="2"/>
      <c r="AB566" s="2"/>
      <c r="AC566" s="2"/>
      <c r="AD566" s="2"/>
      <c r="AE566" s="2"/>
      <c r="AF566" s="2"/>
      <c r="AG566" s="2"/>
      <c r="AH566" s="2"/>
      <c r="AI566" s="2"/>
      <c r="AJ566" s="218"/>
      <c r="AK566" s="218"/>
      <c r="AL566" s="218"/>
      <c r="AM566" s="218"/>
    </row>
    <row r="567">
      <c r="A567" s="33"/>
      <c r="B567" s="2"/>
      <c r="C567" s="2"/>
      <c r="D567" s="2"/>
      <c r="E567" s="2"/>
      <c r="F567" s="4"/>
      <c r="G567" s="2"/>
      <c r="H567" s="2"/>
      <c r="I567" s="2"/>
      <c r="J567" s="5"/>
      <c r="K567" s="2"/>
      <c r="L567" s="2"/>
      <c r="M567" s="2"/>
      <c r="N567" s="2"/>
      <c r="O567" s="2"/>
      <c r="P567" s="2"/>
      <c r="Q567" s="7"/>
      <c r="R567" s="224"/>
      <c r="S567" s="224"/>
      <c r="T567" s="224"/>
      <c r="U567" s="868"/>
      <c r="V567" s="865"/>
      <c r="W567" s="2"/>
      <c r="X567" s="2"/>
      <c r="Y567" s="2"/>
      <c r="Z567" s="2"/>
      <c r="AA567" s="2"/>
      <c r="AB567" s="2"/>
      <c r="AC567" s="2"/>
      <c r="AD567" s="2"/>
      <c r="AE567" s="2"/>
      <c r="AF567" s="2"/>
      <c r="AG567" s="2"/>
      <c r="AH567" s="2"/>
      <c r="AI567" s="2"/>
      <c r="AJ567" s="218"/>
      <c r="AK567" s="218"/>
      <c r="AL567" s="218"/>
      <c r="AM567" s="218"/>
    </row>
    <row r="568">
      <c r="A568" s="33"/>
      <c r="B568" s="2"/>
      <c r="C568" s="2"/>
      <c r="D568" s="2"/>
      <c r="E568" s="2"/>
      <c r="F568" s="4"/>
      <c r="G568" s="2"/>
      <c r="H568" s="2"/>
      <c r="I568" s="2"/>
      <c r="J568" s="5"/>
      <c r="K568" s="2"/>
      <c r="L568" s="2"/>
      <c r="M568" s="2"/>
      <c r="N568" s="2"/>
      <c r="O568" s="2"/>
      <c r="P568" s="2"/>
      <c r="Q568" s="7"/>
      <c r="R568" s="224"/>
      <c r="S568" s="224"/>
      <c r="T568" s="224"/>
      <c r="U568" s="868"/>
      <c r="V568" s="865"/>
      <c r="W568" s="2"/>
      <c r="X568" s="2"/>
      <c r="Y568" s="2"/>
      <c r="Z568" s="2"/>
      <c r="AA568" s="2"/>
      <c r="AB568" s="2"/>
      <c r="AC568" s="2"/>
      <c r="AD568" s="2"/>
      <c r="AE568" s="2"/>
      <c r="AF568" s="2"/>
      <c r="AG568" s="2"/>
      <c r="AH568" s="2"/>
      <c r="AI568" s="2"/>
      <c r="AJ568" s="218"/>
      <c r="AK568" s="218"/>
      <c r="AL568" s="218"/>
      <c r="AM568" s="218"/>
    </row>
    <row r="569">
      <c r="A569" s="33"/>
      <c r="B569" s="2"/>
      <c r="C569" s="2"/>
      <c r="D569" s="2"/>
      <c r="E569" s="2"/>
      <c r="F569" s="4"/>
      <c r="G569" s="2"/>
      <c r="H569" s="2"/>
      <c r="I569" s="2"/>
      <c r="J569" s="5"/>
      <c r="K569" s="2"/>
      <c r="L569" s="2"/>
      <c r="M569" s="2"/>
      <c r="N569" s="2"/>
      <c r="O569" s="2"/>
      <c r="P569" s="2"/>
      <c r="Q569" s="7"/>
      <c r="R569" s="224"/>
      <c r="S569" s="224"/>
      <c r="T569" s="224"/>
      <c r="U569" s="868"/>
      <c r="V569" s="865"/>
      <c r="W569" s="2"/>
      <c r="X569" s="2"/>
      <c r="Y569" s="2"/>
      <c r="Z569" s="2"/>
      <c r="AA569" s="2"/>
      <c r="AB569" s="2"/>
      <c r="AC569" s="2"/>
      <c r="AD569" s="2"/>
      <c r="AE569" s="2"/>
      <c r="AF569" s="2"/>
      <c r="AG569" s="2"/>
      <c r="AH569" s="2"/>
      <c r="AI569" s="2"/>
      <c r="AJ569" s="218"/>
      <c r="AK569" s="218"/>
      <c r="AL569" s="218"/>
      <c r="AM569" s="218"/>
    </row>
    <row r="570">
      <c r="A570" s="33"/>
      <c r="B570" s="2"/>
      <c r="C570" s="2"/>
      <c r="D570" s="2"/>
      <c r="E570" s="2"/>
      <c r="F570" s="4"/>
      <c r="G570" s="2"/>
      <c r="H570" s="2"/>
      <c r="I570" s="2"/>
      <c r="J570" s="5"/>
      <c r="K570" s="2"/>
      <c r="L570" s="2"/>
      <c r="M570" s="2"/>
      <c r="N570" s="2"/>
      <c r="O570" s="2"/>
      <c r="P570" s="2"/>
      <c r="Q570" s="7"/>
      <c r="R570" s="224"/>
      <c r="S570" s="224"/>
      <c r="T570" s="224"/>
      <c r="U570" s="868"/>
      <c r="V570" s="865"/>
      <c r="W570" s="2"/>
      <c r="X570" s="2"/>
      <c r="Y570" s="2"/>
      <c r="Z570" s="2"/>
      <c r="AA570" s="2"/>
      <c r="AB570" s="2"/>
      <c r="AC570" s="2"/>
      <c r="AD570" s="2"/>
      <c r="AE570" s="2"/>
      <c r="AF570" s="2"/>
      <c r="AG570" s="2"/>
      <c r="AH570" s="2"/>
      <c r="AI570" s="2"/>
      <c r="AJ570" s="218"/>
      <c r="AK570" s="218"/>
      <c r="AL570" s="218"/>
      <c r="AM570" s="218"/>
    </row>
    <row r="571">
      <c r="A571" s="33"/>
      <c r="B571" s="2"/>
      <c r="C571" s="2"/>
      <c r="D571" s="2"/>
      <c r="E571" s="2"/>
      <c r="F571" s="4"/>
      <c r="G571" s="2"/>
      <c r="H571" s="2"/>
      <c r="I571" s="2"/>
      <c r="J571" s="5"/>
      <c r="K571" s="2"/>
      <c r="L571" s="2"/>
      <c r="M571" s="2"/>
      <c r="N571" s="2"/>
      <c r="O571" s="2"/>
      <c r="P571" s="2"/>
      <c r="Q571" s="7"/>
      <c r="R571" s="224"/>
      <c r="S571" s="224"/>
      <c r="T571" s="224"/>
      <c r="U571" s="868"/>
      <c r="V571" s="865"/>
      <c r="W571" s="2"/>
      <c r="X571" s="2"/>
      <c r="Y571" s="2"/>
      <c r="Z571" s="2"/>
      <c r="AA571" s="2"/>
      <c r="AB571" s="2"/>
      <c r="AC571" s="2"/>
      <c r="AD571" s="2"/>
      <c r="AE571" s="2"/>
      <c r="AF571" s="2"/>
      <c r="AG571" s="2"/>
      <c r="AH571" s="2"/>
      <c r="AI571" s="2"/>
      <c r="AJ571" s="218"/>
      <c r="AK571" s="218"/>
      <c r="AL571" s="218"/>
      <c r="AM571" s="218"/>
    </row>
    <row r="572">
      <c r="A572" s="33"/>
      <c r="B572" s="2"/>
      <c r="C572" s="2"/>
      <c r="D572" s="2"/>
      <c r="E572" s="2"/>
      <c r="F572" s="4"/>
      <c r="G572" s="2"/>
      <c r="H572" s="2"/>
      <c r="I572" s="2"/>
      <c r="J572" s="5"/>
      <c r="K572" s="2"/>
      <c r="L572" s="2"/>
      <c r="M572" s="2"/>
      <c r="N572" s="2"/>
      <c r="O572" s="2"/>
      <c r="P572" s="2"/>
      <c r="Q572" s="7"/>
      <c r="R572" s="224"/>
      <c r="S572" s="224"/>
      <c r="T572" s="224"/>
      <c r="U572" s="868"/>
      <c r="V572" s="865"/>
      <c r="W572" s="2"/>
      <c r="X572" s="2"/>
      <c r="Y572" s="2"/>
      <c r="Z572" s="2"/>
      <c r="AA572" s="2"/>
      <c r="AB572" s="2"/>
      <c r="AC572" s="2"/>
      <c r="AD572" s="2"/>
      <c r="AE572" s="2"/>
      <c r="AF572" s="2"/>
      <c r="AG572" s="2"/>
      <c r="AH572" s="2"/>
      <c r="AI572" s="2"/>
      <c r="AJ572" s="218"/>
      <c r="AK572" s="218"/>
      <c r="AL572" s="218"/>
      <c r="AM572" s="218"/>
    </row>
    <row r="573">
      <c r="A573" s="33"/>
      <c r="B573" s="2"/>
      <c r="C573" s="2"/>
      <c r="D573" s="2"/>
      <c r="E573" s="2"/>
      <c r="F573" s="4"/>
      <c r="G573" s="2"/>
      <c r="H573" s="2"/>
      <c r="I573" s="2"/>
      <c r="J573" s="5"/>
      <c r="K573" s="2"/>
      <c r="L573" s="2"/>
      <c r="M573" s="2"/>
      <c r="N573" s="2"/>
      <c r="O573" s="2"/>
      <c r="P573" s="2"/>
      <c r="Q573" s="7"/>
      <c r="R573" s="224"/>
      <c r="S573" s="224"/>
      <c r="T573" s="224"/>
      <c r="U573" s="868"/>
      <c r="V573" s="865"/>
      <c r="W573" s="2"/>
      <c r="X573" s="2"/>
      <c r="Y573" s="2"/>
      <c r="Z573" s="2"/>
      <c r="AA573" s="2"/>
      <c r="AB573" s="2"/>
      <c r="AC573" s="2"/>
      <c r="AD573" s="2"/>
      <c r="AE573" s="2"/>
      <c r="AF573" s="2"/>
      <c r="AG573" s="2"/>
      <c r="AH573" s="2"/>
      <c r="AI573" s="2"/>
      <c r="AJ573" s="218"/>
      <c r="AK573" s="218"/>
      <c r="AL573" s="218"/>
      <c r="AM573" s="218"/>
    </row>
    <row r="574">
      <c r="A574" s="33"/>
      <c r="B574" s="2"/>
      <c r="C574" s="2"/>
      <c r="D574" s="2"/>
      <c r="E574" s="2"/>
      <c r="F574" s="4"/>
      <c r="G574" s="2"/>
      <c r="H574" s="2"/>
      <c r="I574" s="2"/>
      <c r="J574" s="5"/>
      <c r="K574" s="2"/>
      <c r="L574" s="2"/>
      <c r="M574" s="2"/>
      <c r="N574" s="2"/>
      <c r="O574" s="2"/>
      <c r="P574" s="2"/>
      <c r="Q574" s="7"/>
      <c r="R574" s="224"/>
      <c r="S574" s="224"/>
      <c r="T574" s="224"/>
      <c r="U574" s="868"/>
      <c r="V574" s="865"/>
      <c r="W574" s="2"/>
      <c r="X574" s="2"/>
      <c r="Y574" s="2"/>
      <c r="Z574" s="2"/>
      <c r="AA574" s="2"/>
      <c r="AB574" s="2"/>
      <c r="AC574" s="2"/>
      <c r="AD574" s="2"/>
      <c r="AE574" s="2"/>
      <c r="AF574" s="2"/>
      <c r="AG574" s="2"/>
      <c r="AH574" s="2"/>
      <c r="AI574" s="2"/>
      <c r="AJ574" s="218"/>
      <c r="AK574" s="218"/>
      <c r="AL574" s="218"/>
      <c r="AM574" s="218"/>
    </row>
    <row r="575">
      <c r="A575" s="33"/>
      <c r="B575" s="2"/>
      <c r="C575" s="2"/>
      <c r="D575" s="2"/>
      <c r="E575" s="2"/>
      <c r="F575" s="4"/>
      <c r="G575" s="2"/>
      <c r="H575" s="2"/>
      <c r="I575" s="2"/>
      <c r="J575" s="5"/>
      <c r="K575" s="2"/>
      <c r="L575" s="2"/>
      <c r="M575" s="2"/>
      <c r="N575" s="2"/>
      <c r="O575" s="2"/>
      <c r="P575" s="2"/>
      <c r="Q575" s="7"/>
      <c r="R575" s="224"/>
      <c r="S575" s="224"/>
      <c r="T575" s="224"/>
      <c r="U575" s="868"/>
      <c r="V575" s="865"/>
      <c r="W575" s="2"/>
      <c r="X575" s="2"/>
      <c r="Y575" s="2"/>
      <c r="Z575" s="2"/>
      <c r="AA575" s="2"/>
      <c r="AB575" s="2"/>
      <c r="AC575" s="2"/>
      <c r="AD575" s="2"/>
      <c r="AE575" s="2"/>
      <c r="AF575" s="2"/>
      <c r="AG575" s="2"/>
      <c r="AH575" s="2"/>
      <c r="AI575" s="2"/>
      <c r="AJ575" s="218"/>
      <c r="AK575" s="218"/>
      <c r="AL575" s="218"/>
      <c r="AM575" s="218"/>
    </row>
    <row r="576">
      <c r="A576" s="33"/>
      <c r="B576" s="2"/>
      <c r="C576" s="2"/>
      <c r="D576" s="2"/>
      <c r="E576" s="2"/>
      <c r="F576" s="4"/>
      <c r="G576" s="2"/>
      <c r="H576" s="2"/>
      <c r="I576" s="2"/>
      <c r="J576" s="5"/>
      <c r="K576" s="2"/>
      <c r="L576" s="2"/>
      <c r="M576" s="2"/>
      <c r="N576" s="2"/>
      <c r="O576" s="2"/>
      <c r="P576" s="2"/>
      <c r="Q576" s="7"/>
      <c r="R576" s="224"/>
      <c r="S576" s="224"/>
      <c r="T576" s="224"/>
      <c r="U576" s="868"/>
      <c r="V576" s="865"/>
      <c r="W576" s="2"/>
      <c r="X576" s="2"/>
      <c r="Y576" s="2"/>
      <c r="Z576" s="2"/>
      <c r="AA576" s="2"/>
      <c r="AB576" s="2"/>
      <c r="AC576" s="2"/>
      <c r="AD576" s="2"/>
      <c r="AE576" s="2"/>
      <c r="AF576" s="2"/>
      <c r="AG576" s="2"/>
      <c r="AH576" s="2"/>
      <c r="AI576" s="2"/>
      <c r="AJ576" s="218"/>
      <c r="AK576" s="218"/>
      <c r="AL576" s="218"/>
      <c r="AM576" s="218"/>
    </row>
    <row r="577">
      <c r="A577" s="33"/>
      <c r="B577" s="2"/>
      <c r="C577" s="2"/>
      <c r="D577" s="2"/>
      <c r="E577" s="2"/>
      <c r="F577" s="4"/>
      <c r="G577" s="2"/>
      <c r="H577" s="2"/>
      <c r="I577" s="2"/>
      <c r="J577" s="5"/>
      <c r="K577" s="2"/>
      <c r="L577" s="2"/>
      <c r="M577" s="2"/>
      <c r="N577" s="2"/>
      <c r="O577" s="2"/>
      <c r="P577" s="2"/>
      <c r="Q577" s="7"/>
      <c r="R577" s="224"/>
      <c r="S577" s="224"/>
      <c r="T577" s="224"/>
      <c r="U577" s="868"/>
      <c r="V577" s="865"/>
      <c r="W577" s="2"/>
      <c r="X577" s="2"/>
      <c r="Y577" s="2"/>
      <c r="Z577" s="2"/>
      <c r="AA577" s="2"/>
      <c r="AB577" s="2"/>
      <c r="AC577" s="2"/>
      <c r="AD577" s="2"/>
      <c r="AE577" s="2"/>
      <c r="AF577" s="2"/>
      <c r="AG577" s="2"/>
      <c r="AH577" s="2"/>
      <c r="AI577" s="2"/>
      <c r="AJ577" s="218"/>
      <c r="AK577" s="218"/>
      <c r="AL577" s="218"/>
      <c r="AM577" s="218"/>
    </row>
    <row r="578">
      <c r="A578" s="33"/>
      <c r="B578" s="2"/>
      <c r="C578" s="2"/>
      <c r="D578" s="2"/>
      <c r="E578" s="2"/>
      <c r="F578" s="4"/>
      <c r="G578" s="2"/>
      <c r="H578" s="2"/>
      <c r="I578" s="2"/>
      <c r="J578" s="5"/>
      <c r="K578" s="2"/>
      <c r="L578" s="2"/>
      <c r="M578" s="2"/>
      <c r="N578" s="2"/>
      <c r="O578" s="2"/>
      <c r="P578" s="2"/>
      <c r="Q578" s="7"/>
      <c r="R578" s="224"/>
      <c r="S578" s="224"/>
      <c r="T578" s="224"/>
      <c r="U578" s="868"/>
      <c r="V578" s="865"/>
      <c r="W578" s="2"/>
      <c r="X578" s="2"/>
      <c r="Y578" s="2"/>
      <c r="Z578" s="2"/>
      <c r="AA578" s="2"/>
      <c r="AB578" s="2"/>
      <c r="AC578" s="2"/>
      <c r="AD578" s="2"/>
      <c r="AE578" s="2"/>
      <c r="AF578" s="2"/>
      <c r="AG578" s="2"/>
      <c r="AH578" s="2"/>
      <c r="AI578" s="2"/>
      <c r="AJ578" s="218"/>
      <c r="AK578" s="218"/>
      <c r="AL578" s="218"/>
      <c r="AM578" s="218"/>
    </row>
    <row r="579">
      <c r="A579" s="33"/>
      <c r="B579" s="2"/>
      <c r="C579" s="2"/>
      <c r="D579" s="2"/>
      <c r="E579" s="2"/>
      <c r="F579" s="4"/>
      <c r="G579" s="2"/>
      <c r="H579" s="2"/>
      <c r="I579" s="2"/>
      <c r="J579" s="5"/>
      <c r="K579" s="2"/>
      <c r="L579" s="2"/>
      <c r="M579" s="2"/>
      <c r="N579" s="2"/>
      <c r="O579" s="2"/>
      <c r="P579" s="2"/>
      <c r="Q579" s="7"/>
      <c r="R579" s="224"/>
      <c r="S579" s="224"/>
      <c r="T579" s="224"/>
      <c r="U579" s="868"/>
      <c r="V579" s="865"/>
      <c r="W579" s="2"/>
      <c r="X579" s="2"/>
      <c r="Y579" s="2"/>
      <c r="Z579" s="2"/>
      <c r="AA579" s="2"/>
      <c r="AB579" s="2"/>
      <c r="AC579" s="2"/>
      <c r="AD579" s="2"/>
      <c r="AE579" s="2"/>
      <c r="AF579" s="2"/>
      <c r="AG579" s="2"/>
      <c r="AH579" s="2"/>
      <c r="AI579" s="2"/>
      <c r="AJ579" s="218"/>
      <c r="AK579" s="218"/>
      <c r="AL579" s="218"/>
      <c r="AM579" s="218"/>
    </row>
    <row r="580">
      <c r="A580" s="33"/>
      <c r="B580" s="2"/>
      <c r="C580" s="2"/>
      <c r="D580" s="2"/>
      <c r="E580" s="2"/>
      <c r="F580" s="4"/>
      <c r="G580" s="2"/>
      <c r="H580" s="2"/>
      <c r="I580" s="2"/>
      <c r="J580" s="5"/>
      <c r="K580" s="2"/>
      <c r="L580" s="2"/>
      <c r="M580" s="2"/>
      <c r="N580" s="2"/>
      <c r="O580" s="2"/>
      <c r="P580" s="2"/>
      <c r="Q580" s="7"/>
      <c r="R580" s="224"/>
      <c r="S580" s="224"/>
      <c r="T580" s="224"/>
      <c r="U580" s="868"/>
      <c r="V580" s="865"/>
      <c r="W580" s="2"/>
      <c r="X580" s="2"/>
      <c r="Y580" s="2"/>
      <c r="Z580" s="2"/>
      <c r="AA580" s="2"/>
      <c r="AB580" s="2"/>
      <c r="AC580" s="2"/>
      <c r="AD580" s="2"/>
      <c r="AE580" s="2"/>
      <c r="AF580" s="2"/>
      <c r="AG580" s="2"/>
      <c r="AH580" s="2"/>
      <c r="AI580" s="2"/>
      <c r="AJ580" s="218"/>
      <c r="AK580" s="218"/>
      <c r="AL580" s="218"/>
      <c r="AM580" s="218"/>
    </row>
    <row r="581">
      <c r="A581" s="33"/>
      <c r="B581" s="2"/>
      <c r="C581" s="2"/>
      <c r="D581" s="2"/>
      <c r="E581" s="2"/>
      <c r="F581" s="4"/>
      <c r="G581" s="2"/>
      <c r="H581" s="2"/>
      <c r="I581" s="2"/>
      <c r="J581" s="5"/>
      <c r="K581" s="2"/>
      <c r="L581" s="2"/>
      <c r="M581" s="2"/>
      <c r="N581" s="2"/>
      <c r="O581" s="2"/>
      <c r="P581" s="2"/>
      <c r="Q581" s="7"/>
      <c r="R581" s="224"/>
      <c r="S581" s="224"/>
      <c r="T581" s="224"/>
      <c r="U581" s="868"/>
      <c r="V581" s="865"/>
      <c r="W581" s="2"/>
      <c r="X581" s="2"/>
      <c r="Y581" s="2"/>
      <c r="Z581" s="2"/>
      <c r="AA581" s="2"/>
      <c r="AB581" s="2"/>
      <c r="AC581" s="2"/>
      <c r="AD581" s="2"/>
      <c r="AE581" s="2"/>
      <c r="AF581" s="2"/>
      <c r="AG581" s="2"/>
      <c r="AH581" s="2"/>
      <c r="AI581" s="2"/>
      <c r="AJ581" s="218"/>
      <c r="AK581" s="218"/>
      <c r="AL581" s="218"/>
      <c r="AM581" s="218"/>
    </row>
    <row r="582">
      <c r="A582" s="33"/>
      <c r="B582" s="2"/>
      <c r="C582" s="2"/>
      <c r="D582" s="2"/>
      <c r="E582" s="2"/>
      <c r="F582" s="4"/>
      <c r="G582" s="2"/>
      <c r="H582" s="2"/>
      <c r="I582" s="2"/>
      <c r="J582" s="5"/>
      <c r="K582" s="2"/>
      <c r="L582" s="2"/>
      <c r="M582" s="2"/>
      <c r="N582" s="2"/>
      <c r="O582" s="2"/>
      <c r="P582" s="2"/>
      <c r="Q582" s="7"/>
      <c r="R582" s="224"/>
      <c r="S582" s="224"/>
      <c r="T582" s="224"/>
      <c r="U582" s="868"/>
      <c r="V582" s="865"/>
      <c r="W582" s="2"/>
      <c r="X582" s="2"/>
      <c r="Y582" s="2"/>
      <c r="Z582" s="2"/>
      <c r="AA582" s="2"/>
      <c r="AB582" s="2"/>
      <c r="AC582" s="2"/>
      <c r="AD582" s="2"/>
      <c r="AE582" s="2"/>
      <c r="AF582" s="2"/>
      <c r="AG582" s="2"/>
      <c r="AH582" s="2"/>
      <c r="AI582" s="2"/>
      <c r="AJ582" s="218"/>
      <c r="AK582" s="218"/>
      <c r="AL582" s="218"/>
      <c r="AM582" s="218"/>
    </row>
    <row r="583">
      <c r="A583" s="33"/>
      <c r="B583" s="2"/>
      <c r="C583" s="2"/>
      <c r="D583" s="2"/>
      <c r="E583" s="2"/>
      <c r="F583" s="4"/>
      <c r="G583" s="2"/>
      <c r="H583" s="2"/>
      <c r="I583" s="2"/>
      <c r="J583" s="5"/>
      <c r="K583" s="2"/>
      <c r="L583" s="2"/>
      <c r="M583" s="2"/>
      <c r="N583" s="2"/>
      <c r="O583" s="2"/>
      <c r="P583" s="2"/>
      <c r="Q583" s="7"/>
      <c r="R583" s="224"/>
      <c r="S583" s="224"/>
      <c r="T583" s="224"/>
      <c r="U583" s="868"/>
      <c r="V583" s="865"/>
      <c r="W583" s="2"/>
      <c r="X583" s="2"/>
      <c r="Y583" s="2"/>
      <c r="Z583" s="2"/>
      <c r="AA583" s="2"/>
      <c r="AB583" s="2"/>
      <c r="AC583" s="2"/>
      <c r="AD583" s="2"/>
      <c r="AE583" s="2"/>
      <c r="AF583" s="2"/>
      <c r="AG583" s="2"/>
      <c r="AH583" s="2"/>
      <c r="AI583" s="2"/>
      <c r="AJ583" s="218"/>
      <c r="AK583" s="218"/>
      <c r="AL583" s="218"/>
      <c r="AM583" s="218"/>
    </row>
    <row r="584">
      <c r="A584" s="33"/>
      <c r="B584" s="2"/>
      <c r="C584" s="2"/>
      <c r="D584" s="2"/>
      <c r="E584" s="2"/>
      <c r="F584" s="4"/>
      <c r="G584" s="2"/>
      <c r="H584" s="2"/>
      <c r="I584" s="2"/>
      <c r="J584" s="5"/>
      <c r="K584" s="2"/>
      <c r="L584" s="2"/>
      <c r="M584" s="2"/>
      <c r="N584" s="2"/>
      <c r="O584" s="2"/>
      <c r="P584" s="2"/>
      <c r="Q584" s="7"/>
      <c r="R584" s="224"/>
      <c r="S584" s="224"/>
      <c r="T584" s="224"/>
      <c r="U584" s="868"/>
      <c r="V584" s="865"/>
      <c r="W584" s="2"/>
      <c r="X584" s="2"/>
      <c r="Y584" s="2"/>
      <c r="Z584" s="2"/>
      <c r="AA584" s="2"/>
      <c r="AB584" s="2"/>
      <c r="AC584" s="2"/>
      <c r="AD584" s="2"/>
      <c r="AE584" s="2"/>
      <c r="AF584" s="2"/>
      <c r="AG584" s="2"/>
      <c r="AH584" s="2"/>
      <c r="AI584" s="2"/>
      <c r="AJ584" s="218"/>
      <c r="AK584" s="218"/>
      <c r="AL584" s="218"/>
      <c r="AM584" s="218"/>
    </row>
    <row r="585">
      <c r="A585" s="33"/>
      <c r="B585" s="2"/>
      <c r="C585" s="2"/>
      <c r="D585" s="2"/>
      <c r="E585" s="2"/>
      <c r="F585" s="4"/>
      <c r="G585" s="2"/>
      <c r="H585" s="2"/>
      <c r="I585" s="2"/>
      <c r="J585" s="5"/>
      <c r="K585" s="2"/>
      <c r="L585" s="2"/>
      <c r="M585" s="2"/>
      <c r="N585" s="2"/>
      <c r="O585" s="2"/>
      <c r="P585" s="2"/>
      <c r="Q585" s="7"/>
      <c r="R585" s="224"/>
      <c r="S585" s="224"/>
      <c r="T585" s="224"/>
      <c r="U585" s="868"/>
      <c r="V585" s="865"/>
      <c r="W585" s="2"/>
      <c r="X585" s="2"/>
      <c r="Y585" s="2"/>
      <c r="Z585" s="2"/>
      <c r="AA585" s="2"/>
      <c r="AB585" s="2"/>
      <c r="AC585" s="2"/>
      <c r="AD585" s="2"/>
      <c r="AE585" s="2"/>
      <c r="AF585" s="2"/>
      <c r="AG585" s="2"/>
      <c r="AH585" s="2"/>
      <c r="AI585" s="2"/>
      <c r="AJ585" s="218"/>
      <c r="AK585" s="218"/>
      <c r="AL585" s="218"/>
      <c r="AM585" s="218"/>
    </row>
    <row r="586">
      <c r="A586" s="33"/>
      <c r="B586" s="2"/>
      <c r="C586" s="2"/>
      <c r="D586" s="2"/>
      <c r="E586" s="2"/>
      <c r="F586" s="4"/>
      <c r="G586" s="2"/>
      <c r="H586" s="2"/>
      <c r="I586" s="2"/>
      <c r="J586" s="5"/>
      <c r="K586" s="2"/>
      <c r="L586" s="2"/>
      <c r="M586" s="2"/>
      <c r="N586" s="2"/>
      <c r="O586" s="2"/>
      <c r="P586" s="2"/>
      <c r="Q586" s="7"/>
      <c r="R586" s="224"/>
      <c r="S586" s="224"/>
      <c r="T586" s="224"/>
      <c r="U586" s="868"/>
      <c r="V586" s="865"/>
      <c r="W586" s="2"/>
      <c r="X586" s="2"/>
      <c r="Y586" s="2"/>
      <c r="Z586" s="2"/>
      <c r="AA586" s="2"/>
      <c r="AB586" s="2"/>
      <c r="AC586" s="2"/>
      <c r="AD586" s="2"/>
      <c r="AE586" s="2"/>
      <c r="AF586" s="2"/>
      <c r="AG586" s="2"/>
      <c r="AH586" s="2"/>
      <c r="AI586" s="2"/>
      <c r="AJ586" s="218"/>
      <c r="AK586" s="218"/>
      <c r="AL586" s="218"/>
      <c r="AM586" s="218"/>
    </row>
    <row r="587">
      <c r="A587" s="33"/>
      <c r="B587" s="2"/>
      <c r="C587" s="2"/>
      <c r="D587" s="2"/>
      <c r="E587" s="2"/>
      <c r="F587" s="4"/>
      <c r="G587" s="2"/>
      <c r="H587" s="2"/>
      <c r="I587" s="2"/>
      <c r="J587" s="5"/>
      <c r="K587" s="2"/>
      <c r="L587" s="2"/>
      <c r="M587" s="2"/>
      <c r="N587" s="2"/>
      <c r="O587" s="2"/>
      <c r="P587" s="2"/>
      <c r="Q587" s="7"/>
      <c r="R587" s="224"/>
      <c r="S587" s="224"/>
      <c r="T587" s="224"/>
      <c r="U587" s="868"/>
      <c r="V587" s="865"/>
      <c r="W587" s="2"/>
      <c r="X587" s="2"/>
      <c r="Y587" s="2"/>
      <c r="Z587" s="2"/>
      <c r="AA587" s="2"/>
      <c r="AB587" s="2"/>
      <c r="AC587" s="2"/>
      <c r="AD587" s="2"/>
      <c r="AE587" s="2"/>
      <c r="AF587" s="2"/>
      <c r="AG587" s="2"/>
      <c r="AH587" s="2"/>
      <c r="AI587" s="2"/>
      <c r="AJ587" s="218"/>
      <c r="AK587" s="218"/>
      <c r="AL587" s="218"/>
      <c r="AM587" s="218"/>
    </row>
    <row r="588">
      <c r="A588" s="33"/>
      <c r="B588" s="2"/>
      <c r="C588" s="2"/>
      <c r="D588" s="2"/>
      <c r="E588" s="2"/>
      <c r="F588" s="4"/>
      <c r="G588" s="2"/>
      <c r="H588" s="2"/>
      <c r="I588" s="2"/>
      <c r="J588" s="5"/>
      <c r="K588" s="2"/>
      <c r="L588" s="2"/>
      <c r="M588" s="2"/>
      <c r="N588" s="2"/>
      <c r="O588" s="2"/>
      <c r="P588" s="2"/>
      <c r="Q588" s="7"/>
      <c r="R588" s="224"/>
      <c r="S588" s="224"/>
      <c r="T588" s="224"/>
      <c r="U588" s="868"/>
      <c r="V588" s="865"/>
      <c r="W588" s="2"/>
      <c r="X588" s="2"/>
      <c r="Y588" s="2"/>
      <c r="Z588" s="2"/>
      <c r="AA588" s="2"/>
      <c r="AB588" s="2"/>
      <c r="AC588" s="2"/>
      <c r="AD588" s="2"/>
      <c r="AE588" s="2"/>
      <c r="AF588" s="2"/>
      <c r="AG588" s="2"/>
      <c r="AH588" s="2"/>
      <c r="AI588" s="2"/>
      <c r="AJ588" s="218"/>
      <c r="AK588" s="218"/>
      <c r="AL588" s="218"/>
      <c r="AM588" s="218"/>
    </row>
    <row r="589">
      <c r="A589" s="33"/>
      <c r="B589" s="2"/>
      <c r="C589" s="2"/>
      <c r="D589" s="2"/>
      <c r="E589" s="2"/>
      <c r="F589" s="4"/>
      <c r="G589" s="2"/>
      <c r="H589" s="2"/>
      <c r="I589" s="2"/>
      <c r="J589" s="5"/>
      <c r="K589" s="2"/>
      <c r="L589" s="2"/>
      <c r="M589" s="2"/>
      <c r="N589" s="2"/>
      <c r="O589" s="2"/>
      <c r="P589" s="2"/>
      <c r="Q589" s="7"/>
      <c r="R589" s="224"/>
      <c r="S589" s="224"/>
      <c r="T589" s="224"/>
      <c r="U589" s="868"/>
      <c r="V589" s="865"/>
      <c r="W589" s="2"/>
      <c r="X589" s="2"/>
      <c r="Y589" s="2"/>
      <c r="Z589" s="2"/>
      <c r="AA589" s="2"/>
      <c r="AB589" s="2"/>
      <c r="AC589" s="2"/>
      <c r="AD589" s="2"/>
      <c r="AE589" s="2"/>
      <c r="AF589" s="2"/>
      <c r="AG589" s="2"/>
      <c r="AH589" s="2"/>
      <c r="AI589" s="2"/>
      <c r="AJ589" s="218"/>
      <c r="AK589" s="218"/>
      <c r="AL589" s="218"/>
      <c r="AM589" s="218"/>
    </row>
    <row r="590">
      <c r="A590" s="33"/>
      <c r="B590" s="2"/>
      <c r="C590" s="2"/>
      <c r="D590" s="2"/>
      <c r="E590" s="2"/>
      <c r="F590" s="4"/>
      <c r="G590" s="2"/>
      <c r="H590" s="2"/>
      <c r="I590" s="2"/>
      <c r="J590" s="5"/>
      <c r="K590" s="2"/>
      <c r="L590" s="2"/>
      <c r="M590" s="2"/>
      <c r="N590" s="2"/>
      <c r="O590" s="2"/>
      <c r="P590" s="2"/>
      <c r="Q590" s="7"/>
      <c r="R590" s="224"/>
      <c r="S590" s="224"/>
      <c r="T590" s="224"/>
      <c r="U590" s="868"/>
      <c r="V590" s="865"/>
      <c r="W590" s="2"/>
      <c r="X590" s="2"/>
      <c r="Y590" s="2"/>
      <c r="Z590" s="2"/>
      <c r="AA590" s="2"/>
      <c r="AB590" s="2"/>
      <c r="AC590" s="2"/>
      <c r="AD590" s="2"/>
      <c r="AE590" s="2"/>
      <c r="AF590" s="2"/>
      <c r="AG590" s="2"/>
      <c r="AH590" s="2"/>
      <c r="AI590" s="2"/>
      <c r="AJ590" s="218"/>
      <c r="AK590" s="218"/>
      <c r="AL590" s="218"/>
      <c r="AM590" s="218"/>
    </row>
    <row r="591">
      <c r="A591" s="33"/>
      <c r="B591" s="2"/>
      <c r="C591" s="2"/>
      <c r="D591" s="2"/>
      <c r="E591" s="2"/>
      <c r="F591" s="4"/>
      <c r="G591" s="2"/>
      <c r="H591" s="2"/>
      <c r="I591" s="2"/>
      <c r="J591" s="5"/>
      <c r="K591" s="2"/>
      <c r="L591" s="2"/>
      <c r="M591" s="2"/>
      <c r="N591" s="2"/>
      <c r="O591" s="2"/>
      <c r="P591" s="2"/>
      <c r="Q591" s="7"/>
      <c r="R591" s="224"/>
      <c r="S591" s="224"/>
      <c r="T591" s="224"/>
      <c r="U591" s="868"/>
      <c r="V591" s="865"/>
      <c r="W591" s="2"/>
      <c r="X591" s="2"/>
      <c r="Y591" s="2"/>
      <c r="Z591" s="2"/>
      <c r="AA591" s="2"/>
      <c r="AB591" s="2"/>
      <c r="AC591" s="2"/>
      <c r="AD591" s="2"/>
      <c r="AE591" s="2"/>
      <c r="AF591" s="2"/>
      <c r="AG591" s="2"/>
      <c r="AH591" s="2"/>
      <c r="AI591" s="2"/>
      <c r="AJ591" s="218"/>
      <c r="AK591" s="218"/>
      <c r="AL591" s="218"/>
      <c r="AM591" s="218"/>
    </row>
    <row r="592">
      <c r="A592" s="33"/>
      <c r="B592" s="2"/>
      <c r="C592" s="2"/>
      <c r="D592" s="2"/>
      <c r="E592" s="2"/>
      <c r="F592" s="4"/>
      <c r="G592" s="2"/>
      <c r="H592" s="2"/>
      <c r="I592" s="2"/>
      <c r="J592" s="5"/>
      <c r="K592" s="2"/>
      <c r="L592" s="2"/>
      <c r="M592" s="2"/>
      <c r="N592" s="2"/>
      <c r="O592" s="2"/>
      <c r="P592" s="2"/>
      <c r="Q592" s="7"/>
      <c r="R592" s="224"/>
      <c r="S592" s="224"/>
      <c r="T592" s="224"/>
      <c r="U592" s="868"/>
      <c r="V592" s="865"/>
      <c r="W592" s="2"/>
      <c r="X592" s="2"/>
      <c r="Y592" s="2"/>
      <c r="Z592" s="2"/>
      <c r="AA592" s="2"/>
      <c r="AB592" s="2"/>
      <c r="AC592" s="2"/>
      <c r="AD592" s="2"/>
      <c r="AE592" s="2"/>
      <c r="AF592" s="2"/>
      <c r="AG592" s="2"/>
      <c r="AH592" s="2"/>
      <c r="AI592" s="2"/>
      <c r="AJ592" s="218"/>
      <c r="AK592" s="218"/>
      <c r="AL592" s="218"/>
      <c r="AM592" s="218"/>
    </row>
    <row r="593">
      <c r="A593" s="33"/>
      <c r="B593" s="2"/>
      <c r="C593" s="2"/>
      <c r="D593" s="2"/>
      <c r="E593" s="2"/>
      <c r="F593" s="4"/>
      <c r="G593" s="2"/>
      <c r="H593" s="2"/>
      <c r="I593" s="2"/>
      <c r="J593" s="5"/>
      <c r="K593" s="2"/>
      <c r="L593" s="2"/>
      <c r="M593" s="2"/>
      <c r="N593" s="2"/>
      <c r="O593" s="2"/>
      <c r="P593" s="2"/>
      <c r="Q593" s="7"/>
      <c r="R593" s="224"/>
      <c r="S593" s="224"/>
      <c r="T593" s="224"/>
      <c r="U593" s="868"/>
      <c r="V593" s="865"/>
      <c r="W593" s="2"/>
      <c r="X593" s="2"/>
      <c r="Y593" s="2"/>
      <c r="Z593" s="2"/>
      <c r="AA593" s="2"/>
      <c r="AB593" s="2"/>
      <c r="AC593" s="2"/>
      <c r="AD593" s="2"/>
      <c r="AE593" s="2"/>
      <c r="AF593" s="2"/>
      <c r="AG593" s="2"/>
      <c r="AH593" s="2"/>
      <c r="AI593" s="2"/>
      <c r="AJ593" s="218"/>
      <c r="AK593" s="218"/>
      <c r="AL593" s="218"/>
      <c r="AM593" s="218"/>
    </row>
    <row r="594">
      <c r="A594" s="33"/>
      <c r="B594" s="2"/>
      <c r="C594" s="2"/>
      <c r="D594" s="2"/>
      <c r="E594" s="2"/>
      <c r="F594" s="4"/>
      <c r="G594" s="2"/>
      <c r="H594" s="2"/>
      <c r="I594" s="2"/>
      <c r="J594" s="5"/>
      <c r="K594" s="2"/>
      <c r="L594" s="2"/>
      <c r="M594" s="2"/>
      <c r="N594" s="2"/>
      <c r="O594" s="2"/>
      <c r="P594" s="2"/>
      <c r="Q594" s="7"/>
      <c r="R594" s="224"/>
      <c r="S594" s="224"/>
      <c r="T594" s="224"/>
      <c r="U594" s="868"/>
      <c r="V594" s="865"/>
      <c r="W594" s="2"/>
      <c r="X594" s="2"/>
      <c r="Y594" s="2"/>
      <c r="Z594" s="2"/>
      <c r="AA594" s="2"/>
      <c r="AB594" s="2"/>
      <c r="AC594" s="2"/>
      <c r="AD594" s="2"/>
      <c r="AE594" s="2"/>
      <c r="AF594" s="2"/>
      <c r="AG594" s="2"/>
      <c r="AH594" s="2"/>
      <c r="AI594" s="2"/>
      <c r="AJ594" s="218"/>
      <c r="AK594" s="218"/>
      <c r="AL594" s="218"/>
      <c r="AM594" s="218"/>
    </row>
    <row r="595">
      <c r="A595" s="33"/>
      <c r="B595" s="2"/>
      <c r="C595" s="2"/>
      <c r="D595" s="2"/>
      <c r="E595" s="2"/>
      <c r="F595" s="4"/>
      <c r="G595" s="2"/>
      <c r="H595" s="2"/>
      <c r="I595" s="2"/>
      <c r="J595" s="5"/>
      <c r="K595" s="2"/>
      <c r="L595" s="2"/>
      <c r="M595" s="2"/>
      <c r="N595" s="2"/>
      <c r="O595" s="2"/>
      <c r="P595" s="2"/>
      <c r="Q595" s="7"/>
      <c r="R595" s="224"/>
      <c r="S595" s="224"/>
      <c r="T595" s="224"/>
      <c r="U595" s="868"/>
      <c r="V595" s="865"/>
      <c r="W595" s="2"/>
      <c r="X595" s="2"/>
      <c r="Y595" s="2"/>
      <c r="Z595" s="2"/>
      <c r="AA595" s="2"/>
      <c r="AB595" s="2"/>
      <c r="AC595" s="2"/>
      <c r="AD595" s="2"/>
      <c r="AE595" s="2"/>
      <c r="AF595" s="2"/>
      <c r="AG595" s="2"/>
      <c r="AH595" s="2"/>
      <c r="AI595" s="2"/>
      <c r="AJ595" s="218"/>
      <c r="AK595" s="218"/>
      <c r="AL595" s="218"/>
      <c r="AM595" s="218"/>
    </row>
    <row r="596">
      <c r="A596" s="33"/>
      <c r="B596" s="2"/>
      <c r="C596" s="2"/>
      <c r="D596" s="2"/>
      <c r="E596" s="2"/>
      <c r="F596" s="4"/>
      <c r="G596" s="2"/>
      <c r="H596" s="2"/>
      <c r="I596" s="2"/>
      <c r="J596" s="5"/>
      <c r="K596" s="2"/>
      <c r="L596" s="2"/>
      <c r="M596" s="2"/>
      <c r="N596" s="2"/>
      <c r="O596" s="2"/>
      <c r="P596" s="2"/>
      <c r="Q596" s="7"/>
      <c r="R596" s="224"/>
      <c r="S596" s="224"/>
      <c r="T596" s="224"/>
      <c r="U596" s="868"/>
      <c r="V596" s="865"/>
      <c r="W596" s="2"/>
      <c r="X596" s="2"/>
      <c r="Y596" s="2"/>
      <c r="Z596" s="2"/>
      <c r="AA596" s="2"/>
      <c r="AB596" s="2"/>
      <c r="AC596" s="2"/>
      <c r="AD596" s="2"/>
      <c r="AE596" s="2"/>
      <c r="AF596" s="2"/>
      <c r="AG596" s="2"/>
      <c r="AH596" s="2"/>
      <c r="AI596" s="2"/>
      <c r="AJ596" s="218"/>
      <c r="AK596" s="218"/>
      <c r="AL596" s="218"/>
      <c r="AM596" s="218"/>
    </row>
    <row r="597">
      <c r="A597" s="33"/>
      <c r="B597" s="2"/>
      <c r="C597" s="2"/>
      <c r="D597" s="2"/>
      <c r="E597" s="2"/>
      <c r="F597" s="4"/>
      <c r="G597" s="2"/>
      <c r="H597" s="2"/>
      <c r="I597" s="2"/>
      <c r="J597" s="5"/>
      <c r="K597" s="2"/>
      <c r="L597" s="2"/>
      <c r="M597" s="2"/>
      <c r="N597" s="2"/>
      <c r="O597" s="2"/>
      <c r="P597" s="2"/>
      <c r="Q597" s="7"/>
      <c r="R597" s="224"/>
      <c r="S597" s="224"/>
      <c r="T597" s="224"/>
      <c r="U597" s="868"/>
      <c r="V597" s="865"/>
      <c r="W597" s="2"/>
      <c r="X597" s="2"/>
      <c r="Y597" s="2"/>
      <c r="Z597" s="2"/>
      <c r="AA597" s="2"/>
      <c r="AB597" s="2"/>
      <c r="AC597" s="2"/>
      <c r="AD597" s="2"/>
      <c r="AE597" s="2"/>
      <c r="AF597" s="2"/>
      <c r="AG597" s="2"/>
      <c r="AH597" s="2"/>
      <c r="AI597" s="2"/>
      <c r="AJ597" s="218"/>
      <c r="AK597" s="218"/>
      <c r="AL597" s="218"/>
      <c r="AM597" s="218"/>
    </row>
    <row r="598">
      <c r="A598" s="33"/>
      <c r="B598" s="2"/>
      <c r="C598" s="2"/>
      <c r="D598" s="2"/>
      <c r="E598" s="2"/>
      <c r="F598" s="4"/>
      <c r="G598" s="2"/>
      <c r="H598" s="2"/>
      <c r="I598" s="2"/>
      <c r="J598" s="5"/>
      <c r="K598" s="2"/>
      <c r="L598" s="2"/>
      <c r="M598" s="2"/>
      <c r="N598" s="2"/>
      <c r="O598" s="2"/>
      <c r="P598" s="2"/>
      <c r="Q598" s="7"/>
      <c r="R598" s="224"/>
      <c r="S598" s="224"/>
      <c r="T598" s="224"/>
      <c r="U598" s="868"/>
      <c r="V598" s="865"/>
      <c r="W598" s="2"/>
      <c r="X598" s="2"/>
      <c r="Y598" s="2"/>
      <c r="Z598" s="2"/>
      <c r="AA598" s="2"/>
      <c r="AB598" s="2"/>
      <c r="AC598" s="2"/>
      <c r="AD598" s="2"/>
      <c r="AE598" s="2"/>
      <c r="AF598" s="2"/>
      <c r="AG598" s="2"/>
      <c r="AH598" s="2"/>
      <c r="AI598" s="2"/>
      <c r="AJ598" s="218"/>
      <c r="AK598" s="218"/>
      <c r="AL598" s="218"/>
      <c r="AM598" s="218"/>
    </row>
    <row r="599">
      <c r="A599" s="33"/>
      <c r="B599" s="2"/>
      <c r="C599" s="2"/>
      <c r="D599" s="2"/>
      <c r="E599" s="2"/>
      <c r="F599" s="4"/>
      <c r="G599" s="2"/>
      <c r="H599" s="2"/>
      <c r="I599" s="2"/>
      <c r="J599" s="5"/>
      <c r="K599" s="2"/>
      <c r="L599" s="2"/>
      <c r="M599" s="2"/>
      <c r="N599" s="2"/>
      <c r="O599" s="2"/>
      <c r="P599" s="2"/>
      <c r="Q599" s="7"/>
      <c r="R599" s="224"/>
      <c r="S599" s="224"/>
      <c r="T599" s="224"/>
      <c r="U599" s="868"/>
      <c r="V599" s="865"/>
      <c r="W599" s="2"/>
      <c r="X599" s="2"/>
      <c r="Y599" s="2"/>
      <c r="Z599" s="2"/>
      <c r="AA599" s="2"/>
      <c r="AB599" s="2"/>
      <c r="AC599" s="2"/>
      <c r="AD599" s="2"/>
      <c r="AE599" s="2"/>
      <c r="AF599" s="2"/>
      <c r="AG599" s="2"/>
      <c r="AH599" s="2"/>
      <c r="AI599" s="2"/>
      <c r="AJ599" s="218"/>
      <c r="AK599" s="218"/>
      <c r="AL599" s="218"/>
      <c r="AM599" s="218"/>
    </row>
    <row r="600">
      <c r="A600" s="33"/>
      <c r="B600" s="2"/>
      <c r="C600" s="2"/>
      <c r="D600" s="2"/>
      <c r="E600" s="2"/>
      <c r="F600" s="4"/>
      <c r="G600" s="2"/>
      <c r="H600" s="2"/>
      <c r="I600" s="2"/>
      <c r="J600" s="5"/>
      <c r="K600" s="2"/>
      <c r="L600" s="2"/>
      <c r="M600" s="2"/>
      <c r="N600" s="2"/>
      <c r="O600" s="2"/>
      <c r="P600" s="2"/>
      <c r="Q600" s="7"/>
      <c r="R600" s="224"/>
      <c r="S600" s="224"/>
      <c r="T600" s="224"/>
      <c r="U600" s="868"/>
      <c r="V600" s="865"/>
      <c r="W600" s="2"/>
      <c r="X600" s="2"/>
      <c r="Y600" s="2"/>
      <c r="Z600" s="2"/>
      <c r="AA600" s="2"/>
      <c r="AB600" s="2"/>
      <c r="AC600" s="2"/>
      <c r="AD600" s="2"/>
      <c r="AE600" s="2"/>
      <c r="AF600" s="2"/>
      <c r="AG600" s="2"/>
      <c r="AH600" s="2"/>
      <c r="AI600" s="2"/>
      <c r="AJ600" s="218"/>
      <c r="AK600" s="218"/>
      <c r="AL600" s="218"/>
      <c r="AM600" s="218"/>
    </row>
    <row r="601">
      <c r="A601" s="33"/>
      <c r="B601" s="2"/>
      <c r="C601" s="2"/>
      <c r="D601" s="2"/>
      <c r="E601" s="2"/>
      <c r="F601" s="4"/>
      <c r="G601" s="2"/>
      <c r="H601" s="2"/>
      <c r="I601" s="2"/>
      <c r="J601" s="5"/>
      <c r="K601" s="2"/>
      <c r="L601" s="2"/>
      <c r="M601" s="2"/>
      <c r="N601" s="2"/>
      <c r="O601" s="2"/>
      <c r="P601" s="2"/>
      <c r="Q601" s="7"/>
      <c r="R601" s="224"/>
      <c r="S601" s="224"/>
      <c r="T601" s="224"/>
      <c r="U601" s="868"/>
      <c r="V601" s="865"/>
      <c r="W601" s="2"/>
      <c r="X601" s="2"/>
      <c r="Y601" s="2"/>
      <c r="Z601" s="2"/>
      <c r="AA601" s="2"/>
      <c r="AB601" s="2"/>
      <c r="AC601" s="2"/>
      <c r="AD601" s="2"/>
      <c r="AE601" s="2"/>
      <c r="AF601" s="2"/>
      <c r="AG601" s="2"/>
      <c r="AH601" s="2"/>
      <c r="AI601" s="2"/>
      <c r="AJ601" s="218"/>
      <c r="AK601" s="218"/>
      <c r="AL601" s="218"/>
      <c r="AM601" s="218"/>
    </row>
    <row r="602">
      <c r="A602" s="33"/>
      <c r="B602" s="2"/>
      <c r="C602" s="2"/>
      <c r="D602" s="2"/>
      <c r="E602" s="2"/>
      <c r="F602" s="4"/>
      <c r="G602" s="2"/>
      <c r="H602" s="2"/>
      <c r="I602" s="2"/>
      <c r="J602" s="5"/>
      <c r="K602" s="2"/>
      <c r="L602" s="2"/>
      <c r="M602" s="2"/>
      <c r="N602" s="2"/>
      <c r="O602" s="2"/>
      <c r="P602" s="2"/>
      <c r="Q602" s="7"/>
      <c r="R602" s="224"/>
      <c r="S602" s="224"/>
      <c r="T602" s="224"/>
      <c r="U602" s="868"/>
      <c r="V602" s="865"/>
      <c r="W602" s="2"/>
      <c r="X602" s="2"/>
      <c r="Y602" s="2"/>
      <c r="Z602" s="2"/>
      <c r="AA602" s="2"/>
      <c r="AB602" s="2"/>
      <c r="AC602" s="2"/>
      <c r="AD602" s="2"/>
      <c r="AE602" s="2"/>
      <c r="AF602" s="2"/>
      <c r="AG602" s="2"/>
      <c r="AH602" s="2"/>
      <c r="AI602" s="2"/>
      <c r="AJ602" s="218"/>
      <c r="AK602" s="218"/>
      <c r="AL602" s="218"/>
      <c r="AM602" s="218"/>
    </row>
    <row r="603">
      <c r="A603" s="33"/>
      <c r="B603" s="2"/>
      <c r="C603" s="2"/>
      <c r="D603" s="2"/>
      <c r="E603" s="2"/>
      <c r="F603" s="4"/>
      <c r="G603" s="2"/>
      <c r="H603" s="2"/>
      <c r="I603" s="2"/>
      <c r="J603" s="5"/>
      <c r="K603" s="2"/>
      <c r="L603" s="2"/>
      <c r="M603" s="2"/>
      <c r="N603" s="2"/>
      <c r="O603" s="2"/>
      <c r="P603" s="2"/>
      <c r="Q603" s="7"/>
      <c r="R603" s="224"/>
      <c r="S603" s="224"/>
      <c r="T603" s="224"/>
      <c r="U603" s="868"/>
      <c r="V603" s="865"/>
      <c r="W603" s="2"/>
      <c r="X603" s="2"/>
      <c r="Y603" s="2"/>
      <c r="Z603" s="2"/>
      <c r="AA603" s="2"/>
      <c r="AB603" s="2"/>
      <c r="AC603" s="2"/>
      <c r="AD603" s="2"/>
      <c r="AE603" s="2"/>
      <c r="AF603" s="2"/>
      <c r="AG603" s="2"/>
      <c r="AH603" s="2"/>
      <c r="AI603" s="2"/>
      <c r="AJ603" s="218"/>
      <c r="AK603" s="218"/>
      <c r="AL603" s="218"/>
      <c r="AM603" s="218"/>
    </row>
    <row r="604">
      <c r="A604" s="33"/>
      <c r="B604" s="2"/>
      <c r="C604" s="2"/>
      <c r="D604" s="2"/>
      <c r="E604" s="2"/>
      <c r="F604" s="4"/>
      <c r="G604" s="2"/>
      <c r="H604" s="2"/>
      <c r="I604" s="2"/>
      <c r="J604" s="5"/>
      <c r="K604" s="2"/>
      <c r="L604" s="2"/>
      <c r="M604" s="2"/>
      <c r="N604" s="2"/>
      <c r="O604" s="2"/>
      <c r="P604" s="2"/>
      <c r="Q604" s="7"/>
      <c r="R604" s="224"/>
      <c r="S604" s="224"/>
      <c r="T604" s="224"/>
      <c r="U604" s="868"/>
      <c r="V604" s="865"/>
      <c r="W604" s="2"/>
      <c r="X604" s="2"/>
      <c r="Y604" s="2"/>
      <c r="Z604" s="2"/>
      <c r="AA604" s="2"/>
      <c r="AB604" s="2"/>
      <c r="AC604" s="2"/>
      <c r="AD604" s="2"/>
      <c r="AE604" s="2"/>
      <c r="AF604" s="2"/>
      <c r="AG604" s="2"/>
      <c r="AH604" s="2"/>
      <c r="AI604" s="2"/>
      <c r="AJ604" s="218"/>
      <c r="AK604" s="218"/>
      <c r="AL604" s="218"/>
      <c r="AM604" s="218"/>
    </row>
    <row r="605">
      <c r="A605" s="33"/>
      <c r="B605" s="2"/>
      <c r="C605" s="2"/>
      <c r="D605" s="2"/>
      <c r="E605" s="2"/>
      <c r="F605" s="4"/>
      <c r="G605" s="2"/>
      <c r="H605" s="2"/>
      <c r="I605" s="2"/>
      <c r="J605" s="5"/>
      <c r="K605" s="2"/>
      <c r="L605" s="2"/>
      <c r="M605" s="2"/>
      <c r="N605" s="2"/>
      <c r="O605" s="2"/>
      <c r="P605" s="2"/>
      <c r="Q605" s="7"/>
      <c r="R605" s="224"/>
      <c r="S605" s="224"/>
      <c r="T605" s="224"/>
      <c r="U605" s="868"/>
      <c r="V605" s="865"/>
      <c r="W605" s="2"/>
      <c r="X605" s="2"/>
      <c r="Y605" s="2"/>
      <c r="Z605" s="2"/>
      <c r="AA605" s="2"/>
      <c r="AB605" s="2"/>
      <c r="AC605" s="2"/>
      <c r="AD605" s="2"/>
      <c r="AE605" s="2"/>
      <c r="AF605" s="2"/>
      <c r="AG605" s="2"/>
      <c r="AH605" s="2"/>
      <c r="AI605" s="2"/>
      <c r="AJ605" s="218"/>
      <c r="AK605" s="218"/>
      <c r="AL605" s="218"/>
      <c r="AM605" s="218"/>
    </row>
    <row r="606">
      <c r="A606" s="33"/>
      <c r="B606" s="2"/>
      <c r="C606" s="2"/>
      <c r="D606" s="2"/>
      <c r="E606" s="2"/>
      <c r="F606" s="4"/>
      <c r="G606" s="2"/>
      <c r="H606" s="2"/>
      <c r="I606" s="2"/>
      <c r="J606" s="5"/>
      <c r="K606" s="2"/>
      <c r="L606" s="2"/>
      <c r="M606" s="2"/>
      <c r="N606" s="2"/>
      <c r="O606" s="2"/>
      <c r="P606" s="2"/>
      <c r="Q606" s="7"/>
      <c r="R606" s="224"/>
      <c r="S606" s="224"/>
      <c r="T606" s="224"/>
      <c r="U606" s="868"/>
      <c r="V606" s="865"/>
      <c r="W606" s="2"/>
      <c r="X606" s="2"/>
      <c r="Y606" s="2"/>
      <c r="Z606" s="2"/>
      <c r="AA606" s="2"/>
      <c r="AB606" s="2"/>
      <c r="AC606" s="2"/>
      <c r="AD606" s="2"/>
      <c r="AE606" s="2"/>
      <c r="AF606" s="2"/>
      <c r="AG606" s="2"/>
      <c r="AH606" s="2"/>
      <c r="AI606" s="2"/>
      <c r="AJ606" s="218"/>
      <c r="AK606" s="218"/>
      <c r="AL606" s="218"/>
      <c r="AM606" s="218"/>
    </row>
    <row r="607">
      <c r="A607" s="33"/>
      <c r="B607" s="2"/>
      <c r="C607" s="2"/>
      <c r="D607" s="2"/>
      <c r="E607" s="2"/>
      <c r="F607" s="4"/>
      <c r="G607" s="2"/>
      <c r="H607" s="2"/>
      <c r="I607" s="2"/>
      <c r="J607" s="5"/>
      <c r="K607" s="2"/>
      <c r="L607" s="2"/>
      <c r="M607" s="2"/>
      <c r="N607" s="2"/>
      <c r="O607" s="2"/>
      <c r="P607" s="2"/>
      <c r="Q607" s="7"/>
      <c r="R607" s="224"/>
      <c r="S607" s="224"/>
      <c r="T607" s="224"/>
      <c r="U607" s="868"/>
      <c r="V607" s="865"/>
      <c r="W607" s="2"/>
      <c r="X607" s="2"/>
      <c r="Y607" s="2"/>
      <c r="Z607" s="2"/>
      <c r="AA607" s="2"/>
      <c r="AB607" s="2"/>
      <c r="AC607" s="2"/>
      <c r="AD607" s="2"/>
      <c r="AE607" s="2"/>
      <c r="AF607" s="2"/>
      <c r="AG607" s="2"/>
      <c r="AH607" s="2"/>
      <c r="AI607" s="2"/>
      <c r="AJ607" s="218"/>
      <c r="AK607" s="218"/>
      <c r="AL607" s="218"/>
      <c r="AM607" s="218"/>
    </row>
    <row r="608">
      <c r="A608" s="33"/>
      <c r="B608" s="2"/>
      <c r="C608" s="2"/>
      <c r="D608" s="2"/>
      <c r="E608" s="2"/>
      <c r="F608" s="4"/>
      <c r="G608" s="2"/>
      <c r="H608" s="2"/>
      <c r="I608" s="2"/>
      <c r="J608" s="5"/>
      <c r="K608" s="2"/>
      <c r="L608" s="2"/>
      <c r="M608" s="2"/>
      <c r="N608" s="2"/>
      <c r="O608" s="2"/>
      <c r="P608" s="2"/>
      <c r="Q608" s="7"/>
      <c r="R608" s="224"/>
      <c r="S608" s="224"/>
      <c r="T608" s="224"/>
      <c r="U608" s="868"/>
      <c r="V608" s="865"/>
      <c r="W608" s="2"/>
      <c r="X608" s="2"/>
      <c r="Y608" s="2"/>
      <c r="Z608" s="2"/>
      <c r="AA608" s="2"/>
      <c r="AB608" s="2"/>
      <c r="AC608" s="2"/>
      <c r="AD608" s="2"/>
      <c r="AE608" s="2"/>
      <c r="AF608" s="2"/>
      <c r="AG608" s="2"/>
      <c r="AH608" s="2"/>
      <c r="AI608" s="2"/>
      <c r="AJ608" s="218"/>
      <c r="AK608" s="218"/>
      <c r="AL608" s="218"/>
      <c r="AM608" s="218"/>
    </row>
    <row r="609">
      <c r="A609" s="33"/>
      <c r="B609" s="2"/>
      <c r="C609" s="2"/>
      <c r="D609" s="2"/>
      <c r="E609" s="2"/>
      <c r="F609" s="4"/>
      <c r="G609" s="2"/>
      <c r="H609" s="2"/>
      <c r="I609" s="2"/>
      <c r="J609" s="5"/>
      <c r="K609" s="2"/>
      <c r="L609" s="2"/>
      <c r="M609" s="2"/>
      <c r="N609" s="2"/>
      <c r="O609" s="2"/>
      <c r="P609" s="2"/>
      <c r="Q609" s="7"/>
      <c r="R609" s="224"/>
      <c r="S609" s="224"/>
      <c r="T609" s="224"/>
      <c r="U609" s="868"/>
      <c r="V609" s="865"/>
      <c r="W609" s="2"/>
      <c r="X609" s="2"/>
      <c r="Y609" s="2"/>
      <c r="Z609" s="2"/>
      <c r="AA609" s="2"/>
      <c r="AB609" s="2"/>
      <c r="AC609" s="2"/>
      <c r="AD609" s="2"/>
      <c r="AE609" s="2"/>
      <c r="AF609" s="2"/>
      <c r="AG609" s="2"/>
      <c r="AH609" s="2"/>
      <c r="AI609" s="2"/>
      <c r="AJ609" s="218"/>
      <c r="AK609" s="218"/>
      <c r="AL609" s="218"/>
      <c r="AM609" s="218"/>
    </row>
    <row r="610">
      <c r="A610" s="33"/>
      <c r="B610" s="2"/>
      <c r="C610" s="2"/>
      <c r="D610" s="2"/>
      <c r="E610" s="2"/>
      <c r="F610" s="4"/>
      <c r="G610" s="2"/>
      <c r="H610" s="2"/>
      <c r="I610" s="2"/>
      <c r="J610" s="5"/>
      <c r="K610" s="2"/>
      <c r="L610" s="2"/>
      <c r="M610" s="2"/>
      <c r="N610" s="2"/>
      <c r="O610" s="2"/>
      <c r="P610" s="2"/>
      <c r="Q610" s="7"/>
      <c r="R610" s="224"/>
      <c r="S610" s="224"/>
      <c r="T610" s="224"/>
      <c r="U610" s="868"/>
      <c r="V610" s="865"/>
      <c r="W610" s="2"/>
      <c r="X610" s="2"/>
      <c r="Y610" s="2"/>
      <c r="Z610" s="2"/>
      <c r="AA610" s="2"/>
      <c r="AB610" s="2"/>
      <c r="AC610" s="2"/>
      <c r="AD610" s="2"/>
      <c r="AE610" s="2"/>
      <c r="AF610" s="2"/>
      <c r="AG610" s="2"/>
      <c r="AH610" s="2"/>
      <c r="AI610" s="2"/>
      <c r="AJ610" s="218"/>
      <c r="AK610" s="218"/>
      <c r="AL610" s="218"/>
      <c r="AM610" s="218"/>
    </row>
    <row r="611">
      <c r="A611" s="33"/>
      <c r="B611" s="2"/>
      <c r="C611" s="2"/>
      <c r="D611" s="2"/>
      <c r="E611" s="2"/>
      <c r="F611" s="4"/>
      <c r="G611" s="2"/>
      <c r="H611" s="2"/>
      <c r="I611" s="2"/>
      <c r="J611" s="5"/>
      <c r="K611" s="2"/>
      <c r="L611" s="2"/>
      <c r="M611" s="2"/>
      <c r="N611" s="2"/>
      <c r="O611" s="2"/>
      <c r="P611" s="2"/>
      <c r="Q611" s="7"/>
      <c r="R611" s="224"/>
      <c r="S611" s="224"/>
      <c r="T611" s="224"/>
      <c r="U611" s="868"/>
      <c r="V611" s="865"/>
      <c r="W611" s="2"/>
      <c r="X611" s="2"/>
      <c r="Y611" s="2"/>
      <c r="Z611" s="2"/>
      <c r="AA611" s="2"/>
      <c r="AB611" s="2"/>
      <c r="AC611" s="2"/>
      <c r="AD611" s="2"/>
      <c r="AE611" s="2"/>
      <c r="AF611" s="2"/>
      <c r="AG611" s="2"/>
      <c r="AH611" s="2"/>
      <c r="AI611" s="2"/>
      <c r="AJ611" s="218"/>
      <c r="AK611" s="218"/>
      <c r="AL611" s="218"/>
      <c r="AM611" s="218"/>
    </row>
    <row r="612">
      <c r="A612" s="33"/>
      <c r="B612" s="2"/>
      <c r="C612" s="2"/>
      <c r="D612" s="2"/>
      <c r="E612" s="2"/>
      <c r="F612" s="4"/>
      <c r="G612" s="2"/>
      <c r="H612" s="2"/>
      <c r="I612" s="2"/>
      <c r="J612" s="5"/>
      <c r="K612" s="2"/>
      <c r="L612" s="2"/>
      <c r="M612" s="2"/>
      <c r="N612" s="2"/>
      <c r="O612" s="2"/>
      <c r="P612" s="2"/>
      <c r="Q612" s="7"/>
      <c r="R612" s="224"/>
      <c r="S612" s="224"/>
      <c r="T612" s="224"/>
      <c r="U612" s="868"/>
      <c r="V612" s="865"/>
      <c r="W612" s="2"/>
      <c r="X612" s="2"/>
      <c r="Y612" s="2"/>
      <c r="Z612" s="2"/>
      <c r="AA612" s="2"/>
      <c r="AB612" s="2"/>
      <c r="AC612" s="2"/>
      <c r="AD612" s="2"/>
      <c r="AE612" s="2"/>
      <c r="AF612" s="2"/>
      <c r="AG612" s="2"/>
      <c r="AH612" s="2"/>
      <c r="AI612" s="2"/>
      <c r="AJ612" s="218"/>
      <c r="AK612" s="218"/>
      <c r="AL612" s="218"/>
      <c r="AM612" s="218"/>
    </row>
    <row r="613">
      <c r="A613" s="33"/>
      <c r="B613" s="2"/>
      <c r="C613" s="2"/>
      <c r="D613" s="2"/>
      <c r="E613" s="2"/>
      <c r="F613" s="4"/>
      <c r="G613" s="2"/>
      <c r="H613" s="2"/>
      <c r="I613" s="2"/>
      <c r="J613" s="5"/>
      <c r="K613" s="2"/>
      <c r="L613" s="2"/>
      <c r="M613" s="2"/>
      <c r="N613" s="2"/>
      <c r="O613" s="2"/>
      <c r="P613" s="2"/>
      <c r="Q613" s="7"/>
      <c r="R613" s="224"/>
      <c r="S613" s="224"/>
      <c r="T613" s="224"/>
      <c r="U613" s="868"/>
      <c r="V613" s="865"/>
      <c r="W613" s="2"/>
      <c r="X613" s="2"/>
      <c r="Y613" s="2"/>
      <c r="Z613" s="2"/>
      <c r="AA613" s="2"/>
      <c r="AB613" s="2"/>
      <c r="AC613" s="2"/>
      <c r="AD613" s="2"/>
      <c r="AE613" s="2"/>
      <c r="AF613" s="2"/>
      <c r="AG613" s="2"/>
      <c r="AH613" s="2"/>
      <c r="AI613" s="2"/>
      <c r="AJ613" s="218"/>
      <c r="AK613" s="218"/>
      <c r="AL613" s="218"/>
      <c r="AM613" s="218"/>
    </row>
    <row r="614">
      <c r="A614" s="33"/>
      <c r="B614" s="2"/>
      <c r="C614" s="2"/>
      <c r="D614" s="2"/>
      <c r="E614" s="2"/>
      <c r="F614" s="4"/>
      <c r="G614" s="2"/>
      <c r="H614" s="2"/>
      <c r="I614" s="2"/>
      <c r="J614" s="5"/>
      <c r="K614" s="2"/>
      <c r="L614" s="2"/>
      <c r="M614" s="2"/>
      <c r="N614" s="2"/>
      <c r="O614" s="2"/>
      <c r="P614" s="2"/>
      <c r="Q614" s="7"/>
      <c r="R614" s="224"/>
      <c r="S614" s="224"/>
      <c r="T614" s="224"/>
      <c r="U614" s="868"/>
      <c r="V614" s="865"/>
      <c r="W614" s="2"/>
      <c r="X614" s="2"/>
      <c r="Y614" s="2"/>
      <c r="Z614" s="2"/>
      <c r="AA614" s="2"/>
      <c r="AB614" s="2"/>
      <c r="AC614" s="2"/>
      <c r="AD614" s="2"/>
      <c r="AE614" s="2"/>
      <c r="AF614" s="2"/>
      <c r="AG614" s="2"/>
      <c r="AH614" s="2"/>
      <c r="AI614" s="2"/>
      <c r="AJ614" s="218"/>
      <c r="AK614" s="218"/>
      <c r="AL614" s="218"/>
      <c r="AM614" s="218"/>
    </row>
    <row r="615">
      <c r="A615" s="33"/>
      <c r="B615" s="2"/>
      <c r="C615" s="2"/>
      <c r="D615" s="2"/>
      <c r="E615" s="2"/>
      <c r="F615" s="4"/>
      <c r="G615" s="2"/>
      <c r="H615" s="2"/>
      <c r="I615" s="2"/>
      <c r="J615" s="5"/>
      <c r="K615" s="2"/>
      <c r="L615" s="2"/>
      <c r="M615" s="2"/>
      <c r="N615" s="2"/>
      <c r="O615" s="2"/>
      <c r="P615" s="2"/>
      <c r="Q615" s="7"/>
      <c r="R615" s="224"/>
      <c r="S615" s="224"/>
      <c r="T615" s="224"/>
      <c r="U615" s="868"/>
      <c r="V615" s="865"/>
      <c r="W615" s="2"/>
      <c r="X615" s="2"/>
      <c r="Y615" s="2"/>
      <c r="Z615" s="2"/>
      <c r="AA615" s="2"/>
      <c r="AB615" s="2"/>
      <c r="AC615" s="2"/>
      <c r="AD615" s="2"/>
      <c r="AE615" s="2"/>
      <c r="AF615" s="2"/>
      <c r="AG615" s="2"/>
      <c r="AH615" s="2"/>
      <c r="AI615" s="2"/>
      <c r="AJ615" s="218"/>
      <c r="AK615" s="218"/>
      <c r="AL615" s="218"/>
      <c r="AM615" s="218"/>
    </row>
    <row r="616">
      <c r="A616" s="33"/>
      <c r="B616" s="2"/>
      <c r="C616" s="2"/>
      <c r="D616" s="2"/>
      <c r="E616" s="2"/>
      <c r="F616" s="4"/>
      <c r="G616" s="2"/>
      <c r="H616" s="2"/>
      <c r="I616" s="2"/>
      <c r="J616" s="5"/>
      <c r="K616" s="2"/>
      <c r="L616" s="2"/>
      <c r="M616" s="2"/>
      <c r="N616" s="2"/>
      <c r="O616" s="2"/>
      <c r="P616" s="2"/>
      <c r="Q616" s="7"/>
      <c r="R616" s="224"/>
      <c r="S616" s="224"/>
      <c r="T616" s="224"/>
      <c r="U616" s="868"/>
      <c r="V616" s="865"/>
      <c r="W616" s="2"/>
      <c r="X616" s="2"/>
      <c r="Y616" s="2"/>
      <c r="Z616" s="2"/>
      <c r="AA616" s="2"/>
      <c r="AB616" s="2"/>
      <c r="AC616" s="2"/>
      <c r="AD616" s="2"/>
      <c r="AE616" s="2"/>
      <c r="AF616" s="2"/>
      <c r="AG616" s="2"/>
      <c r="AH616" s="2"/>
      <c r="AI616" s="2"/>
      <c r="AJ616" s="218"/>
      <c r="AK616" s="218"/>
      <c r="AL616" s="218"/>
      <c r="AM616" s="218"/>
    </row>
    <row r="617">
      <c r="A617" s="33"/>
      <c r="B617" s="2"/>
      <c r="C617" s="2"/>
      <c r="D617" s="2"/>
      <c r="E617" s="2"/>
      <c r="F617" s="4"/>
      <c r="G617" s="2"/>
      <c r="H617" s="2"/>
      <c r="I617" s="2"/>
      <c r="J617" s="5"/>
      <c r="K617" s="2"/>
      <c r="L617" s="2"/>
      <c r="M617" s="2"/>
      <c r="N617" s="2"/>
      <c r="O617" s="2"/>
      <c r="P617" s="2"/>
      <c r="Q617" s="7"/>
      <c r="R617" s="224"/>
      <c r="S617" s="224"/>
      <c r="T617" s="224"/>
      <c r="U617" s="868"/>
      <c r="V617" s="865"/>
      <c r="W617" s="2"/>
      <c r="X617" s="2"/>
      <c r="Y617" s="2"/>
      <c r="Z617" s="2"/>
      <c r="AA617" s="2"/>
      <c r="AB617" s="2"/>
      <c r="AC617" s="2"/>
      <c r="AD617" s="2"/>
      <c r="AE617" s="2"/>
      <c r="AF617" s="2"/>
      <c r="AG617" s="2"/>
      <c r="AH617" s="2"/>
      <c r="AI617" s="2"/>
      <c r="AJ617" s="218"/>
      <c r="AK617" s="218"/>
      <c r="AL617" s="218"/>
      <c r="AM617" s="218"/>
    </row>
    <row r="618">
      <c r="A618" s="33"/>
      <c r="B618" s="2"/>
      <c r="C618" s="2"/>
      <c r="D618" s="2"/>
      <c r="E618" s="2"/>
      <c r="F618" s="4"/>
      <c r="G618" s="2"/>
      <c r="H618" s="2"/>
      <c r="I618" s="2"/>
      <c r="J618" s="5"/>
      <c r="K618" s="2"/>
      <c r="L618" s="2"/>
      <c r="M618" s="2"/>
      <c r="N618" s="2"/>
      <c r="O618" s="2"/>
      <c r="P618" s="2"/>
      <c r="Q618" s="7"/>
      <c r="R618" s="224"/>
      <c r="S618" s="224"/>
      <c r="T618" s="224"/>
      <c r="U618" s="868"/>
      <c r="V618" s="865"/>
      <c r="W618" s="2"/>
      <c r="X618" s="2"/>
      <c r="Y618" s="2"/>
      <c r="Z618" s="2"/>
      <c r="AA618" s="2"/>
      <c r="AB618" s="2"/>
      <c r="AC618" s="2"/>
      <c r="AD618" s="2"/>
      <c r="AE618" s="2"/>
      <c r="AF618" s="2"/>
      <c r="AG618" s="2"/>
      <c r="AH618" s="2"/>
      <c r="AI618" s="2"/>
      <c r="AJ618" s="218"/>
      <c r="AK618" s="218"/>
      <c r="AL618" s="218"/>
      <c r="AM618" s="218"/>
    </row>
    <row r="619">
      <c r="A619" s="33"/>
      <c r="B619" s="2"/>
      <c r="C619" s="2"/>
      <c r="D619" s="2"/>
      <c r="E619" s="2"/>
      <c r="F619" s="4"/>
      <c r="G619" s="2"/>
      <c r="H619" s="2"/>
      <c r="I619" s="2"/>
      <c r="J619" s="5"/>
      <c r="K619" s="2"/>
      <c r="L619" s="2"/>
      <c r="M619" s="2"/>
      <c r="N619" s="2"/>
      <c r="O619" s="2"/>
      <c r="P619" s="2"/>
      <c r="Q619" s="7"/>
      <c r="R619" s="224"/>
      <c r="S619" s="224"/>
      <c r="T619" s="224"/>
      <c r="U619" s="868"/>
      <c r="V619" s="865"/>
      <c r="W619" s="2"/>
      <c r="X619" s="2"/>
      <c r="Y619" s="2"/>
      <c r="Z619" s="2"/>
      <c r="AA619" s="2"/>
      <c r="AB619" s="2"/>
      <c r="AC619" s="2"/>
      <c r="AD619" s="2"/>
      <c r="AE619" s="2"/>
      <c r="AF619" s="2"/>
      <c r="AG619" s="2"/>
      <c r="AH619" s="2"/>
      <c r="AI619" s="2"/>
      <c r="AJ619" s="218"/>
      <c r="AK619" s="218"/>
      <c r="AL619" s="218"/>
      <c r="AM619" s="218"/>
    </row>
    <row r="620">
      <c r="A620" s="33"/>
      <c r="B620" s="2"/>
      <c r="C620" s="2"/>
      <c r="D620" s="2"/>
      <c r="E620" s="2"/>
      <c r="F620" s="4"/>
      <c r="G620" s="2"/>
      <c r="H620" s="2"/>
      <c r="I620" s="2"/>
      <c r="J620" s="5"/>
      <c r="K620" s="2"/>
      <c r="L620" s="2"/>
      <c r="M620" s="2"/>
      <c r="N620" s="2"/>
      <c r="O620" s="2"/>
      <c r="P620" s="2"/>
      <c r="Q620" s="7"/>
      <c r="R620" s="224"/>
      <c r="S620" s="224"/>
      <c r="T620" s="224"/>
      <c r="U620" s="868"/>
      <c r="V620" s="865"/>
      <c r="W620" s="2"/>
      <c r="X620" s="2"/>
      <c r="Y620" s="2"/>
      <c r="Z620" s="2"/>
      <c r="AA620" s="2"/>
      <c r="AB620" s="2"/>
      <c r="AC620" s="2"/>
      <c r="AD620" s="2"/>
      <c r="AE620" s="2"/>
      <c r="AF620" s="2"/>
      <c r="AG620" s="2"/>
      <c r="AH620" s="2"/>
      <c r="AI620" s="2"/>
      <c r="AJ620" s="218"/>
      <c r="AK620" s="218"/>
      <c r="AL620" s="218"/>
      <c r="AM620" s="218"/>
    </row>
    <row r="621">
      <c r="A621" s="33"/>
      <c r="B621" s="2"/>
      <c r="C621" s="2"/>
      <c r="D621" s="2"/>
      <c r="E621" s="2"/>
      <c r="F621" s="4"/>
      <c r="G621" s="2"/>
      <c r="H621" s="2"/>
      <c r="I621" s="2"/>
      <c r="J621" s="5"/>
      <c r="K621" s="2"/>
      <c r="L621" s="2"/>
      <c r="M621" s="2"/>
      <c r="N621" s="2"/>
      <c r="O621" s="2"/>
      <c r="P621" s="2"/>
      <c r="Q621" s="7"/>
      <c r="R621" s="224"/>
      <c r="S621" s="224"/>
      <c r="T621" s="224"/>
      <c r="U621" s="868"/>
      <c r="V621" s="865"/>
      <c r="W621" s="2"/>
      <c r="X621" s="2"/>
      <c r="Y621" s="2"/>
      <c r="Z621" s="2"/>
      <c r="AA621" s="2"/>
      <c r="AB621" s="2"/>
      <c r="AC621" s="2"/>
      <c r="AD621" s="2"/>
      <c r="AE621" s="2"/>
      <c r="AF621" s="2"/>
      <c r="AG621" s="2"/>
      <c r="AH621" s="2"/>
      <c r="AI621" s="2"/>
      <c r="AJ621" s="218"/>
      <c r="AK621" s="218"/>
      <c r="AL621" s="218"/>
      <c r="AM621" s="218"/>
    </row>
    <row r="622">
      <c r="A622" s="33"/>
      <c r="B622" s="2"/>
      <c r="C622" s="2"/>
      <c r="D622" s="2"/>
      <c r="E622" s="2"/>
      <c r="F622" s="4"/>
      <c r="G622" s="2"/>
      <c r="H622" s="2"/>
      <c r="I622" s="2"/>
      <c r="J622" s="5"/>
      <c r="K622" s="2"/>
      <c r="L622" s="2"/>
      <c r="M622" s="2"/>
      <c r="N622" s="2"/>
      <c r="O622" s="2"/>
      <c r="P622" s="2"/>
      <c r="Q622" s="7"/>
      <c r="R622" s="224"/>
      <c r="S622" s="224"/>
      <c r="T622" s="224"/>
      <c r="U622" s="868"/>
      <c r="V622" s="865"/>
      <c r="W622" s="2"/>
      <c r="X622" s="2"/>
      <c r="Y622" s="2"/>
      <c r="Z622" s="2"/>
      <c r="AA622" s="2"/>
      <c r="AB622" s="2"/>
      <c r="AC622" s="2"/>
      <c r="AD622" s="2"/>
      <c r="AE622" s="2"/>
      <c r="AF622" s="2"/>
      <c r="AG622" s="2"/>
      <c r="AH622" s="2"/>
      <c r="AI622" s="2"/>
      <c r="AJ622" s="218"/>
      <c r="AK622" s="218"/>
      <c r="AL622" s="218"/>
      <c r="AM622" s="218"/>
    </row>
    <row r="623">
      <c r="A623" s="33"/>
      <c r="B623" s="2"/>
      <c r="C623" s="2"/>
      <c r="D623" s="2"/>
      <c r="E623" s="2"/>
      <c r="F623" s="4"/>
      <c r="G623" s="2"/>
      <c r="H623" s="2"/>
      <c r="I623" s="2"/>
      <c r="J623" s="5"/>
      <c r="K623" s="2"/>
      <c r="L623" s="2"/>
      <c r="M623" s="2"/>
      <c r="N623" s="2"/>
      <c r="O623" s="2"/>
      <c r="P623" s="2"/>
      <c r="Q623" s="7"/>
      <c r="R623" s="224"/>
      <c r="S623" s="224"/>
      <c r="T623" s="224"/>
      <c r="U623" s="868"/>
      <c r="V623" s="865"/>
      <c r="W623" s="2"/>
      <c r="X623" s="2"/>
      <c r="Y623" s="2"/>
      <c r="Z623" s="2"/>
      <c r="AA623" s="2"/>
      <c r="AB623" s="2"/>
      <c r="AC623" s="2"/>
      <c r="AD623" s="2"/>
      <c r="AE623" s="2"/>
      <c r="AF623" s="2"/>
      <c r="AG623" s="2"/>
      <c r="AH623" s="2"/>
      <c r="AI623" s="2"/>
      <c r="AJ623" s="218"/>
      <c r="AK623" s="218"/>
      <c r="AL623" s="218"/>
      <c r="AM623" s="218"/>
    </row>
    <row r="624">
      <c r="A624" s="33"/>
      <c r="B624" s="2"/>
      <c r="C624" s="2"/>
      <c r="D624" s="2"/>
      <c r="E624" s="2"/>
      <c r="F624" s="4"/>
      <c r="G624" s="2"/>
      <c r="H624" s="2"/>
      <c r="I624" s="2"/>
      <c r="J624" s="5"/>
      <c r="K624" s="2"/>
      <c r="L624" s="2"/>
      <c r="M624" s="2"/>
      <c r="N624" s="2"/>
      <c r="O624" s="2"/>
      <c r="P624" s="2"/>
      <c r="Q624" s="7"/>
      <c r="R624" s="224"/>
      <c r="S624" s="224"/>
      <c r="T624" s="224"/>
      <c r="U624" s="868"/>
      <c r="V624" s="865"/>
      <c r="W624" s="2"/>
      <c r="X624" s="2"/>
      <c r="Y624" s="2"/>
      <c r="Z624" s="2"/>
      <c r="AA624" s="2"/>
      <c r="AB624" s="2"/>
      <c r="AC624" s="2"/>
      <c r="AD624" s="2"/>
      <c r="AE624" s="2"/>
      <c r="AF624" s="2"/>
      <c r="AG624" s="2"/>
      <c r="AH624" s="2"/>
      <c r="AI624" s="2"/>
      <c r="AJ624" s="218"/>
      <c r="AK624" s="218"/>
      <c r="AL624" s="218"/>
      <c r="AM624" s="218"/>
    </row>
    <row r="625">
      <c r="A625" s="33"/>
      <c r="B625" s="2"/>
      <c r="C625" s="2"/>
      <c r="D625" s="2"/>
      <c r="E625" s="2"/>
      <c r="F625" s="4"/>
      <c r="G625" s="2"/>
      <c r="H625" s="2"/>
      <c r="I625" s="2"/>
      <c r="J625" s="5"/>
      <c r="K625" s="2"/>
      <c r="L625" s="2"/>
      <c r="M625" s="2"/>
      <c r="N625" s="2"/>
      <c r="O625" s="2"/>
      <c r="P625" s="2"/>
      <c r="Q625" s="7"/>
      <c r="R625" s="224"/>
      <c r="S625" s="224"/>
      <c r="T625" s="224"/>
      <c r="U625" s="868"/>
      <c r="V625" s="865"/>
      <c r="W625" s="2"/>
      <c r="X625" s="2"/>
      <c r="Y625" s="2"/>
      <c r="Z625" s="2"/>
      <c r="AA625" s="2"/>
      <c r="AB625" s="2"/>
      <c r="AC625" s="2"/>
      <c r="AD625" s="2"/>
      <c r="AE625" s="2"/>
      <c r="AF625" s="2"/>
      <c r="AG625" s="2"/>
      <c r="AH625" s="2"/>
      <c r="AI625" s="2"/>
      <c r="AJ625" s="218"/>
      <c r="AK625" s="218"/>
      <c r="AL625" s="218"/>
      <c r="AM625" s="218"/>
    </row>
    <row r="626">
      <c r="A626" s="33"/>
      <c r="B626" s="2"/>
      <c r="C626" s="2"/>
      <c r="D626" s="2"/>
      <c r="E626" s="2"/>
      <c r="F626" s="4"/>
      <c r="G626" s="2"/>
      <c r="H626" s="2"/>
      <c r="I626" s="2"/>
      <c r="J626" s="5"/>
      <c r="K626" s="2"/>
      <c r="L626" s="2"/>
      <c r="M626" s="2"/>
      <c r="N626" s="2"/>
      <c r="O626" s="2"/>
      <c r="P626" s="2"/>
      <c r="Q626" s="7"/>
      <c r="R626" s="224"/>
      <c r="S626" s="224"/>
      <c r="T626" s="224"/>
      <c r="U626" s="868"/>
      <c r="V626" s="865"/>
      <c r="W626" s="2"/>
      <c r="X626" s="2"/>
      <c r="Y626" s="2"/>
      <c r="Z626" s="2"/>
      <c r="AA626" s="2"/>
      <c r="AB626" s="2"/>
      <c r="AC626" s="2"/>
      <c r="AD626" s="2"/>
      <c r="AE626" s="2"/>
      <c r="AF626" s="2"/>
      <c r="AG626" s="2"/>
      <c r="AH626" s="2"/>
      <c r="AI626" s="2"/>
      <c r="AJ626" s="218"/>
      <c r="AK626" s="218"/>
      <c r="AL626" s="218"/>
      <c r="AM626" s="218"/>
    </row>
    <row r="627">
      <c r="A627" s="33"/>
      <c r="B627" s="2"/>
      <c r="C627" s="2"/>
      <c r="D627" s="2"/>
      <c r="E627" s="2"/>
      <c r="F627" s="4"/>
      <c r="G627" s="2"/>
      <c r="H627" s="2"/>
      <c r="I627" s="2"/>
      <c r="J627" s="5"/>
      <c r="K627" s="2"/>
      <c r="L627" s="2"/>
      <c r="M627" s="2"/>
      <c r="N627" s="2"/>
      <c r="O627" s="2"/>
      <c r="P627" s="2"/>
      <c r="Q627" s="7"/>
      <c r="R627" s="224"/>
      <c r="S627" s="224"/>
      <c r="T627" s="224"/>
      <c r="U627" s="868"/>
      <c r="V627" s="865"/>
      <c r="W627" s="2"/>
      <c r="X627" s="2"/>
      <c r="Y627" s="2"/>
      <c r="Z627" s="2"/>
      <c r="AA627" s="2"/>
      <c r="AB627" s="2"/>
      <c r="AC627" s="2"/>
      <c r="AD627" s="2"/>
      <c r="AE627" s="2"/>
      <c r="AF627" s="2"/>
      <c r="AG627" s="2"/>
      <c r="AH627" s="2"/>
      <c r="AI627" s="2"/>
      <c r="AJ627" s="218"/>
      <c r="AK627" s="218"/>
      <c r="AL627" s="218"/>
      <c r="AM627" s="218"/>
    </row>
    <row r="628">
      <c r="A628" s="33"/>
      <c r="B628" s="2"/>
      <c r="C628" s="2"/>
      <c r="D628" s="2"/>
      <c r="E628" s="2"/>
      <c r="F628" s="4"/>
      <c r="G628" s="2"/>
      <c r="H628" s="2"/>
      <c r="I628" s="2"/>
      <c r="J628" s="5"/>
      <c r="K628" s="2"/>
      <c r="L628" s="2"/>
      <c r="M628" s="2"/>
      <c r="N628" s="2"/>
      <c r="O628" s="2"/>
      <c r="P628" s="2"/>
      <c r="Q628" s="7"/>
      <c r="R628" s="224"/>
      <c r="S628" s="224"/>
      <c r="T628" s="224"/>
      <c r="U628" s="868"/>
      <c r="V628" s="865"/>
      <c r="W628" s="2"/>
      <c r="X628" s="2"/>
      <c r="Y628" s="2"/>
      <c r="Z628" s="2"/>
      <c r="AA628" s="2"/>
      <c r="AB628" s="2"/>
      <c r="AC628" s="2"/>
      <c r="AD628" s="2"/>
      <c r="AE628" s="2"/>
      <c r="AF628" s="2"/>
      <c r="AG628" s="2"/>
      <c r="AH628" s="2"/>
      <c r="AI628" s="2"/>
      <c r="AJ628" s="218"/>
      <c r="AK628" s="218"/>
      <c r="AL628" s="218"/>
      <c r="AM628" s="218"/>
    </row>
    <row r="629">
      <c r="A629" s="33"/>
      <c r="B629" s="2"/>
      <c r="C629" s="2"/>
      <c r="D629" s="2"/>
      <c r="E629" s="2"/>
      <c r="F629" s="4"/>
      <c r="G629" s="2"/>
      <c r="H629" s="2"/>
      <c r="I629" s="2"/>
      <c r="J629" s="5"/>
      <c r="K629" s="2"/>
      <c r="L629" s="2"/>
      <c r="M629" s="2"/>
      <c r="N629" s="2"/>
      <c r="O629" s="2"/>
      <c r="P629" s="2"/>
      <c r="Q629" s="7"/>
      <c r="R629" s="224"/>
      <c r="S629" s="224"/>
      <c r="T629" s="224"/>
      <c r="U629" s="868"/>
      <c r="V629" s="865"/>
      <c r="W629" s="2"/>
      <c r="X629" s="2"/>
      <c r="Y629" s="2"/>
      <c r="Z629" s="2"/>
      <c r="AA629" s="2"/>
      <c r="AB629" s="2"/>
      <c r="AC629" s="2"/>
      <c r="AD629" s="2"/>
      <c r="AE629" s="2"/>
      <c r="AF629" s="2"/>
      <c r="AG629" s="2"/>
      <c r="AH629" s="2"/>
      <c r="AI629" s="2"/>
      <c r="AJ629" s="218"/>
      <c r="AK629" s="218"/>
      <c r="AL629" s="218"/>
      <c r="AM629" s="218"/>
    </row>
    <row r="630">
      <c r="A630" s="33"/>
      <c r="B630" s="2"/>
      <c r="C630" s="2"/>
      <c r="D630" s="2"/>
      <c r="E630" s="2"/>
      <c r="F630" s="4"/>
      <c r="G630" s="2"/>
      <c r="H630" s="2"/>
      <c r="I630" s="2"/>
      <c r="J630" s="5"/>
      <c r="K630" s="2"/>
      <c r="L630" s="2"/>
      <c r="M630" s="2"/>
      <c r="N630" s="2"/>
      <c r="O630" s="2"/>
      <c r="P630" s="2"/>
      <c r="Q630" s="7"/>
      <c r="R630" s="224"/>
      <c r="S630" s="224"/>
      <c r="T630" s="224"/>
      <c r="U630" s="868"/>
      <c r="V630" s="865"/>
      <c r="W630" s="2"/>
      <c r="X630" s="2"/>
      <c r="Y630" s="2"/>
      <c r="Z630" s="2"/>
      <c r="AA630" s="2"/>
      <c r="AB630" s="2"/>
      <c r="AC630" s="2"/>
      <c r="AD630" s="2"/>
      <c r="AE630" s="2"/>
      <c r="AF630" s="2"/>
      <c r="AG630" s="2"/>
      <c r="AH630" s="2"/>
      <c r="AI630" s="2"/>
      <c r="AJ630" s="218"/>
      <c r="AK630" s="218"/>
      <c r="AL630" s="218"/>
      <c r="AM630" s="218"/>
    </row>
    <row r="631">
      <c r="A631" s="33"/>
      <c r="B631" s="2"/>
      <c r="C631" s="2"/>
      <c r="D631" s="2"/>
      <c r="E631" s="2"/>
      <c r="F631" s="4"/>
      <c r="G631" s="2"/>
      <c r="H631" s="2"/>
      <c r="I631" s="2"/>
      <c r="J631" s="5"/>
      <c r="K631" s="2"/>
      <c r="L631" s="2"/>
      <c r="M631" s="2"/>
      <c r="N631" s="2"/>
      <c r="O631" s="2"/>
      <c r="P631" s="2"/>
      <c r="Q631" s="7"/>
      <c r="R631" s="224"/>
      <c r="S631" s="224"/>
      <c r="T631" s="224"/>
      <c r="U631" s="868"/>
      <c r="V631" s="865"/>
      <c r="W631" s="2"/>
      <c r="X631" s="2"/>
      <c r="Y631" s="2"/>
      <c r="Z631" s="2"/>
      <c r="AA631" s="2"/>
      <c r="AB631" s="2"/>
      <c r="AC631" s="2"/>
      <c r="AD631" s="2"/>
      <c r="AE631" s="2"/>
      <c r="AF631" s="2"/>
      <c r="AG631" s="2"/>
      <c r="AH631" s="2"/>
      <c r="AI631" s="2"/>
      <c r="AJ631" s="218"/>
      <c r="AK631" s="218"/>
      <c r="AL631" s="218"/>
      <c r="AM631" s="218"/>
    </row>
    <row r="632">
      <c r="A632" s="33"/>
      <c r="B632" s="2"/>
      <c r="C632" s="2"/>
      <c r="D632" s="2"/>
      <c r="E632" s="2"/>
      <c r="F632" s="4"/>
      <c r="G632" s="2"/>
      <c r="H632" s="2"/>
      <c r="I632" s="2"/>
      <c r="J632" s="5"/>
      <c r="K632" s="2"/>
      <c r="L632" s="2"/>
      <c r="M632" s="2"/>
      <c r="N632" s="2"/>
      <c r="O632" s="2"/>
      <c r="P632" s="2"/>
      <c r="Q632" s="7"/>
      <c r="R632" s="224"/>
      <c r="S632" s="224"/>
      <c r="T632" s="224"/>
      <c r="U632" s="868"/>
      <c r="V632" s="865"/>
      <c r="W632" s="2"/>
      <c r="X632" s="2"/>
      <c r="Y632" s="2"/>
      <c r="Z632" s="2"/>
      <c r="AA632" s="2"/>
      <c r="AB632" s="2"/>
      <c r="AC632" s="2"/>
      <c r="AD632" s="2"/>
      <c r="AE632" s="2"/>
      <c r="AF632" s="2"/>
      <c r="AG632" s="2"/>
      <c r="AH632" s="2"/>
      <c r="AI632" s="2"/>
      <c r="AJ632" s="218"/>
      <c r="AK632" s="218"/>
      <c r="AL632" s="218"/>
      <c r="AM632" s="218"/>
    </row>
    <row r="633">
      <c r="A633" s="33"/>
      <c r="B633" s="2"/>
      <c r="C633" s="2"/>
      <c r="D633" s="2"/>
      <c r="E633" s="2"/>
      <c r="F633" s="4"/>
      <c r="G633" s="2"/>
      <c r="H633" s="2"/>
      <c r="I633" s="2"/>
      <c r="J633" s="5"/>
      <c r="K633" s="2"/>
      <c r="L633" s="2"/>
      <c r="M633" s="2"/>
      <c r="N633" s="2"/>
      <c r="O633" s="2"/>
      <c r="P633" s="2"/>
      <c r="Q633" s="7"/>
      <c r="R633" s="224"/>
      <c r="S633" s="224"/>
      <c r="T633" s="224"/>
      <c r="U633" s="868"/>
      <c r="V633" s="865"/>
      <c r="W633" s="2"/>
      <c r="X633" s="2"/>
      <c r="Y633" s="2"/>
      <c r="Z633" s="2"/>
      <c r="AA633" s="2"/>
      <c r="AB633" s="2"/>
      <c r="AC633" s="2"/>
      <c r="AD633" s="2"/>
      <c r="AE633" s="2"/>
      <c r="AF633" s="2"/>
      <c r="AG633" s="2"/>
      <c r="AH633" s="2"/>
      <c r="AI633" s="2"/>
      <c r="AJ633" s="218"/>
      <c r="AK633" s="218"/>
      <c r="AL633" s="218"/>
      <c r="AM633" s="218"/>
    </row>
    <row r="634">
      <c r="A634" s="33"/>
      <c r="B634" s="2"/>
      <c r="C634" s="2"/>
      <c r="D634" s="2"/>
      <c r="E634" s="2"/>
      <c r="F634" s="4"/>
      <c r="G634" s="2"/>
      <c r="H634" s="2"/>
      <c r="I634" s="2"/>
      <c r="J634" s="5"/>
      <c r="K634" s="2"/>
      <c r="L634" s="2"/>
      <c r="M634" s="2"/>
      <c r="N634" s="2"/>
      <c r="O634" s="2"/>
      <c r="P634" s="2"/>
      <c r="Q634" s="7"/>
      <c r="R634" s="224"/>
      <c r="S634" s="224"/>
      <c r="T634" s="224"/>
      <c r="U634" s="868"/>
      <c r="V634" s="865"/>
      <c r="W634" s="2"/>
      <c r="X634" s="2"/>
      <c r="Y634" s="2"/>
      <c r="Z634" s="2"/>
      <c r="AA634" s="2"/>
      <c r="AB634" s="2"/>
      <c r="AC634" s="2"/>
      <c r="AD634" s="2"/>
      <c r="AE634" s="2"/>
      <c r="AF634" s="2"/>
      <c r="AG634" s="2"/>
      <c r="AH634" s="2"/>
      <c r="AI634" s="2"/>
      <c r="AJ634" s="218"/>
      <c r="AK634" s="218"/>
      <c r="AL634" s="218"/>
      <c r="AM634" s="218"/>
    </row>
    <row r="635">
      <c r="A635" s="33"/>
      <c r="B635" s="2"/>
      <c r="C635" s="2"/>
      <c r="D635" s="2"/>
      <c r="E635" s="2"/>
      <c r="F635" s="4"/>
      <c r="G635" s="2"/>
      <c r="H635" s="2"/>
      <c r="I635" s="2"/>
      <c r="J635" s="5"/>
      <c r="K635" s="2"/>
      <c r="L635" s="2"/>
      <c r="M635" s="2"/>
      <c r="N635" s="2"/>
      <c r="O635" s="2"/>
      <c r="P635" s="2"/>
      <c r="Q635" s="7"/>
      <c r="R635" s="224"/>
      <c r="S635" s="224"/>
      <c r="T635" s="224"/>
      <c r="U635" s="868"/>
      <c r="V635" s="865"/>
      <c r="W635" s="2"/>
      <c r="X635" s="2"/>
      <c r="Y635" s="2"/>
      <c r="Z635" s="2"/>
      <c r="AA635" s="2"/>
      <c r="AB635" s="2"/>
      <c r="AC635" s="2"/>
      <c r="AD635" s="2"/>
      <c r="AE635" s="2"/>
      <c r="AF635" s="2"/>
      <c r="AG635" s="2"/>
      <c r="AH635" s="2"/>
      <c r="AI635" s="2"/>
      <c r="AJ635" s="218"/>
      <c r="AK635" s="218"/>
      <c r="AL635" s="218"/>
      <c r="AM635" s="218"/>
    </row>
    <row r="636">
      <c r="A636" s="33"/>
      <c r="B636" s="2"/>
      <c r="C636" s="2"/>
      <c r="D636" s="2"/>
      <c r="E636" s="2"/>
      <c r="F636" s="4"/>
      <c r="G636" s="2"/>
      <c r="H636" s="2"/>
      <c r="I636" s="2"/>
      <c r="J636" s="5"/>
      <c r="K636" s="2"/>
      <c r="L636" s="2"/>
      <c r="M636" s="2"/>
      <c r="N636" s="2"/>
      <c r="O636" s="2"/>
      <c r="P636" s="2"/>
      <c r="Q636" s="7"/>
      <c r="R636" s="224"/>
      <c r="S636" s="224"/>
      <c r="T636" s="224"/>
      <c r="U636" s="868"/>
      <c r="V636" s="865"/>
      <c r="W636" s="2"/>
      <c r="X636" s="2"/>
      <c r="Y636" s="2"/>
      <c r="Z636" s="2"/>
      <c r="AA636" s="2"/>
      <c r="AB636" s="2"/>
      <c r="AC636" s="2"/>
      <c r="AD636" s="2"/>
      <c r="AE636" s="2"/>
      <c r="AF636" s="2"/>
      <c r="AG636" s="2"/>
      <c r="AH636" s="2"/>
      <c r="AI636" s="2"/>
      <c r="AJ636" s="218"/>
      <c r="AK636" s="218"/>
      <c r="AL636" s="218"/>
      <c r="AM636" s="218"/>
    </row>
    <row r="637">
      <c r="A637" s="33"/>
      <c r="B637" s="2"/>
      <c r="C637" s="2"/>
      <c r="D637" s="2"/>
      <c r="E637" s="2"/>
      <c r="F637" s="4"/>
      <c r="G637" s="2"/>
      <c r="H637" s="2"/>
      <c r="I637" s="2"/>
      <c r="J637" s="5"/>
      <c r="K637" s="2"/>
      <c r="L637" s="2"/>
      <c r="M637" s="2"/>
      <c r="N637" s="2"/>
      <c r="O637" s="2"/>
      <c r="P637" s="2"/>
      <c r="Q637" s="7"/>
      <c r="R637" s="224"/>
      <c r="S637" s="224"/>
      <c r="T637" s="224"/>
      <c r="U637" s="868"/>
      <c r="V637" s="865"/>
      <c r="W637" s="2"/>
      <c r="X637" s="2"/>
      <c r="Y637" s="2"/>
      <c r="Z637" s="2"/>
      <c r="AA637" s="2"/>
      <c r="AB637" s="2"/>
      <c r="AC637" s="2"/>
      <c r="AD637" s="2"/>
      <c r="AE637" s="2"/>
      <c r="AF637" s="2"/>
      <c r="AG637" s="2"/>
      <c r="AH637" s="2"/>
      <c r="AI637" s="2"/>
      <c r="AJ637" s="218"/>
      <c r="AK637" s="218"/>
      <c r="AL637" s="218"/>
      <c r="AM637" s="218"/>
    </row>
    <row r="638">
      <c r="A638" s="33"/>
      <c r="B638" s="2"/>
      <c r="C638" s="2"/>
      <c r="D638" s="2"/>
      <c r="E638" s="2"/>
      <c r="F638" s="4"/>
      <c r="G638" s="2"/>
      <c r="H638" s="2"/>
      <c r="I638" s="2"/>
      <c r="J638" s="5"/>
      <c r="K638" s="2"/>
      <c r="L638" s="2"/>
      <c r="M638" s="2"/>
      <c r="N638" s="2"/>
      <c r="O638" s="2"/>
      <c r="P638" s="2"/>
      <c r="Q638" s="7"/>
      <c r="R638" s="224"/>
      <c r="S638" s="224"/>
      <c r="T638" s="224"/>
      <c r="U638" s="868"/>
      <c r="V638" s="865"/>
      <c r="W638" s="2"/>
      <c r="X638" s="2"/>
      <c r="Y638" s="2"/>
      <c r="Z638" s="2"/>
      <c r="AA638" s="2"/>
      <c r="AB638" s="2"/>
      <c r="AC638" s="2"/>
      <c r="AD638" s="2"/>
      <c r="AE638" s="2"/>
      <c r="AF638" s="2"/>
      <c r="AG638" s="2"/>
      <c r="AH638" s="2"/>
      <c r="AI638" s="2"/>
      <c r="AJ638" s="218"/>
      <c r="AK638" s="218"/>
      <c r="AL638" s="218"/>
      <c r="AM638" s="218"/>
    </row>
    <row r="639">
      <c r="A639" s="33"/>
      <c r="B639" s="2"/>
      <c r="C639" s="2"/>
      <c r="D639" s="2"/>
      <c r="E639" s="2"/>
      <c r="F639" s="4"/>
      <c r="G639" s="2"/>
      <c r="H639" s="2"/>
      <c r="I639" s="2"/>
      <c r="J639" s="5"/>
      <c r="K639" s="2"/>
      <c r="L639" s="2"/>
      <c r="M639" s="2"/>
      <c r="N639" s="2"/>
      <c r="O639" s="2"/>
      <c r="P639" s="2"/>
      <c r="Q639" s="7"/>
      <c r="R639" s="224"/>
      <c r="S639" s="224"/>
      <c r="T639" s="224"/>
      <c r="U639" s="868"/>
      <c r="V639" s="865"/>
      <c r="W639" s="2"/>
      <c r="X639" s="2"/>
      <c r="Y639" s="2"/>
      <c r="Z639" s="2"/>
      <c r="AA639" s="2"/>
      <c r="AB639" s="2"/>
      <c r="AC639" s="2"/>
      <c r="AD639" s="2"/>
      <c r="AE639" s="2"/>
      <c r="AF639" s="2"/>
      <c r="AG639" s="2"/>
      <c r="AH639" s="2"/>
      <c r="AI639" s="2"/>
      <c r="AJ639" s="218"/>
      <c r="AK639" s="218"/>
      <c r="AL639" s="218"/>
      <c r="AM639" s="218"/>
    </row>
    <row r="640">
      <c r="A640" s="33"/>
      <c r="B640" s="2"/>
      <c r="C640" s="2"/>
      <c r="D640" s="2"/>
      <c r="E640" s="2"/>
      <c r="F640" s="4"/>
      <c r="G640" s="2"/>
      <c r="H640" s="2"/>
      <c r="I640" s="2"/>
      <c r="J640" s="5"/>
      <c r="K640" s="2"/>
      <c r="L640" s="2"/>
      <c r="M640" s="2"/>
      <c r="N640" s="2"/>
      <c r="O640" s="2"/>
      <c r="P640" s="2"/>
      <c r="Q640" s="7"/>
      <c r="R640" s="224"/>
      <c r="S640" s="224"/>
      <c r="T640" s="224"/>
      <c r="U640" s="868"/>
      <c r="V640" s="865"/>
      <c r="W640" s="2"/>
      <c r="X640" s="2"/>
      <c r="Y640" s="2"/>
      <c r="Z640" s="2"/>
      <c r="AA640" s="2"/>
      <c r="AB640" s="2"/>
      <c r="AC640" s="2"/>
      <c r="AD640" s="2"/>
      <c r="AE640" s="2"/>
      <c r="AF640" s="2"/>
      <c r="AG640" s="2"/>
      <c r="AH640" s="2"/>
      <c r="AI640" s="2"/>
      <c r="AJ640" s="218"/>
      <c r="AK640" s="218"/>
      <c r="AL640" s="218"/>
      <c r="AM640" s="218"/>
    </row>
    <row r="641">
      <c r="A641" s="33"/>
      <c r="B641" s="2"/>
      <c r="C641" s="2"/>
      <c r="D641" s="2"/>
      <c r="E641" s="2"/>
      <c r="F641" s="4"/>
      <c r="G641" s="2"/>
      <c r="H641" s="2"/>
      <c r="I641" s="2"/>
      <c r="J641" s="5"/>
      <c r="K641" s="2"/>
      <c r="L641" s="2"/>
      <c r="M641" s="2"/>
      <c r="N641" s="2"/>
      <c r="O641" s="2"/>
      <c r="P641" s="2"/>
      <c r="Q641" s="7"/>
      <c r="R641" s="224"/>
      <c r="S641" s="224"/>
      <c r="T641" s="224"/>
      <c r="U641" s="868"/>
      <c r="V641" s="865"/>
      <c r="W641" s="2"/>
      <c r="X641" s="2"/>
      <c r="Y641" s="2"/>
      <c r="Z641" s="2"/>
      <c r="AA641" s="2"/>
      <c r="AB641" s="2"/>
      <c r="AC641" s="2"/>
      <c r="AD641" s="2"/>
      <c r="AE641" s="2"/>
      <c r="AF641" s="2"/>
      <c r="AG641" s="2"/>
      <c r="AH641" s="2"/>
      <c r="AI641" s="2"/>
      <c r="AJ641" s="218"/>
      <c r="AK641" s="218"/>
      <c r="AL641" s="218"/>
      <c r="AM641" s="218"/>
    </row>
    <row r="642">
      <c r="A642" s="33"/>
      <c r="B642" s="2"/>
      <c r="C642" s="2"/>
      <c r="D642" s="2"/>
      <c r="E642" s="2"/>
      <c r="F642" s="4"/>
      <c r="G642" s="2"/>
      <c r="H642" s="2"/>
      <c r="I642" s="2"/>
      <c r="J642" s="5"/>
      <c r="K642" s="2"/>
      <c r="L642" s="2"/>
      <c r="M642" s="2"/>
      <c r="N642" s="2"/>
      <c r="O642" s="2"/>
      <c r="P642" s="2"/>
      <c r="Q642" s="7"/>
      <c r="R642" s="224"/>
      <c r="S642" s="224"/>
      <c r="T642" s="224"/>
      <c r="U642" s="868"/>
      <c r="V642" s="865"/>
      <c r="W642" s="2"/>
      <c r="X642" s="2"/>
      <c r="Y642" s="2"/>
      <c r="Z642" s="2"/>
      <c r="AA642" s="2"/>
      <c r="AB642" s="2"/>
      <c r="AC642" s="2"/>
      <c r="AD642" s="2"/>
      <c r="AE642" s="2"/>
      <c r="AF642" s="2"/>
      <c r="AG642" s="2"/>
      <c r="AH642" s="2"/>
      <c r="AI642" s="2"/>
      <c r="AJ642" s="218"/>
      <c r="AK642" s="218"/>
      <c r="AL642" s="218"/>
      <c r="AM642" s="218"/>
    </row>
    <row r="643">
      <c r="A643" s="33"/>
      <c r="B643" s="2"/>
      <c r="C643" s="2"/>
      <c r="D643" s="2"/>
      <c r="E643" s="2"/>
      <c r="F643" s="4"/>
      <c r="G643" s="2"/>
      <c r="H643" s="2"/>
      <c r="I643" s="2"/>
      <c r="J643" s="5"/>
      <c r="K643" s="2"/>
      <c r="L643" s="2"/>
      <c r="M643" s="2"/>
      <c r="N643" s="2"/>
      <c r="O643" s="2"/>
      <c r="P643" s="2"/>
      <c r="Q643" s="7"/>
      <c r="R643" s="224"/>
      <c r="S643" s="224"/>
      <c r="T643" s="224"/>
      <c r="U643" s="868"/>
      <c r="V643" s="865"/>
      <c r="W643" s="2"/>
      <c r="X643" s="2"/>
      <c r="Y643" s="2"/>
      <c r="Z643" s="2"/>
      <c r="AA643" s="2"/>
      <c r="AB643" s="2"/>
      <c r="AC643" s="2"/>
      <c r="AD643" s="2"/>
      <c r="AE643" s="2"/>
      <c r="AF643" s="2"/>
      <c r="AG643" s="2"/>
      <c r="AH643" s="2"/>
      <c r="AI643" s="2"/>
      <c r="AJ643" s="218"/>
      <c r="AK643" s="218"/>
      <c r="AL643" s="218"/>
      <c r="AM643" s="218"/>
    </row>
    <row r="644">
      <c r="A644" s="33"/>
      <c r="B644" s="2"/>
      <c r="C644" s="2"/>
      <c r="D644" s="2"/>
      <c r="E644" s="2"/>
      <c r="F644" s="4"/>
      <c r="G644" s="2"/>
      <c r="H644" s="2"/>
      <c r="I644" s="2"/>
      <c r="J644" s="5"/>
      <c r="K644" s="2"/>
      <c r="L644" s="2"/>
      <c r="M644" s="2"/>
      <c r="N644" s="2"/>
      <c r="O644" s="2"/>
      <c r="P644" s="2"/>
      <c r="Q644" s="7"/>
      <c r="R644" s="224"/>
      <c r="S644" s="224"/>
      <c r="T644" s="224"/>
      <c r="U644" s="868"/>
      <c r="V644" s="865"/>
      <c r="W644" s="2"/>
      <c r="X644" s="2"/>
      <c r="Y644" s="2"/>
      <c r="Z644" s="2"/>
      <c r="AA644" s="2"/>
      <c r="AB644" s="2"/>
      <c r="AC644" s="2"/>
      <c r="AD644" s="2"/>
      <c r="AE644" s="2"/>
      <c r="AF644" s="2"/>
      <c r="AG644" s="2"/>
      <c r="AH644" s="2"/>
      <c r="AI644" s="2"/>
      <c r="AJ644" s="218"/>
      <c r="AK644" s="218"/>
      <c r="AL644" s="218"/>
      <c r="AM644" s="218"/>
    </row>
    <row r="645">
      <c r="A645" s="33"/>
      <c r="B645" s="2"/>
      <c r="C645" s="2"/>
      <c r="D645" s="2"/>
      <c r="E645" s="2"/>
      <c r="F645" s="4"/>
      <c r="G645" s="2"/>
      <c r="H645" s="2"/>
      <c r="I645" s="2"/>
      <c r="J645" s="5"/>
      <c r="K645" s="2"/>
      <c r="L645" s="2"/>
      <c r="M645" s="2"/>
      <c r="N645" s="2"/>
      <c r="O645" s="2"/>
      <c r="P645" s="2"/>
      <c r="Q645" s="7"/>
      <c r="R645" s="224"/>
      <c r="S645" s="224"/>
      <c r="T645" s="224"/>
      <c r="U645" s="868"/>
      <c r="V645" s="865"/>
      <c r="W645" s="2"/>
      <c r="X645" s="2"/>
      <c r="Y645" s="2"/>
      <c r="Z645" s="2"/>
      <c r="AA645" s="2"/>
      <c r="AB645" s="2"/>
      <c r="AC645" s="2"/>
      <c r="AD645" s="2"/>
      <c r="AE645" s="2"/>
      <c r="AF645" s="2"/>
      <c r="AG645" s="2"/>
      <c r="AH645" s="2"/>
      <c r="AI645" s="2"/>
      <c r="AJ645" s="218"/>
      <c r="AK645" s="218"/>
      <c r="AL645" s="218"/>
      <c r="AM645" s="218"/>
    </row>
    <row r="646">
      <c r="A646" s="33"/>
      <c r="B646" s="2"/>
      <c r="C646" s="2"/>
      <c r="D646" s="2"/>
      <c r="E646" s="2"/>
      <c r="F646" s="4"/>
      <c r="G646" s="2"/>
      <c r="H646" s="2"/>
      <c r="I646" s="2"/>
      <c r="J646" s="5"/>
      <c r="K646" s="2"/>
      <c r="L646" s="2"/>
      <c r="M646" s="2"/>
      <c r="N646" s="2"/>
      <c r="O646" s="2"/>
      <c r="P646" s="2"/>
      <c r="Q646" s="7"/>
      <c r="R646" s="224"/>
      <c r="S646" s="224"/>
      <c r="T646" s="224"/>
      <c r="U646" s="868"/>
      <c r="V646" s="865"/>
      <c r="W646" s="2"/>
      <c r="X646" s="2"/>
      <c r="Y646" s="2"/>
      <c r="Z646" s="2"/>
      <c r="AA646" s="2"/>
      <c r="AB646" s="2"/>
      <c r="AC646" s="2"/>
      <c r="AD646" s="2"/>
      <c r="AE646" s="2"/>
      <c r="AF646" s="2"/>
      <c r="AG646" s="2"/>
      <c r="AH646" s="2"/>
      <c r="AI646" s="2"/>
      <c r="AJ646" s="218"/>
      <c r="AK646" s="218"/>
      <c r="AL646" s="218"/>
      <c r="AM646" s="218"/>
    </row>
    <row r="647">
      <c r="A647" s="33"/>
      <c r="B647" s="2"/>
      <c r="C647" s="2"/>
      <c r="D647" s="2"/>
      <c r="E647" s="2"/>
      <c r="F647" s="4"/>
      <c r="G647" s="2"/>
      <c r="H647" s="2"/>
      <c r="I647" s="2"/>
      <c r="J647" s="5"/>
      <c r="K647" s="2"/>
      <c r="L647" s="2"/>
      <c r="M647" s="2"/>
      <c r="N647" s="2"/>
      <c r="O647" s="2"/>
      <c r="P647" s="2"/>
      <c r="Q647" s="7"/>
      <c r="R647" s="224"/>
      <c r="S647" s="224"/>
      <c r="T647" s="224"/>
      <c r="U647" s="868"/>
      <c r="V647" s="865"/>
      <c r="W647" s="2"/>
      <c r="X647" s="2"/>
      <c r="Y647" s="2"/>
      <c r="Z647" s="2"/>
      <c r="AA647" s="2"/>
      <c r="AB647" s="2"/>
      <c r="AC647" s="2"/>
      <c r="AD647" s="2"/>
      <c r="AE647" s="2"/>
      <c r="AF647" s="2"/>
      <c r="AG647" s="2"/>
      <c r="AH647" s="2"/>
      <c r="AI647" s="2"/>
      <c r="AJ647" s="218"/>
      <c r="AK647" s="218"/>
      <c r="AL647" s="218"/>
      <c r="AM647" s="218"/>
    </row>
    <row r="648">
      <c r="A648" s="33"/>
      <c r="B648" s="2"/>
      <c r="C648" s="2"/>
      <c r="D648" s="2"/>
      <c r="E648" s="2"/>
      <c r="F648" s="4"/>
      <c r="G648" s="2"/>
      <c r="H648" s="2"/>
      <c r="I648" s="2"/>
      <c r="J648" s="5"/>
      <c r="K648" s="2"/>
      <c r="L648" s="2"/>
      <c r="M648" s="2"/>
      <c r="N648" s="2"/>
      <c r="O648" s="2"/>
      <c r="P648" s="2"/>
      <c r="Q648" s="7"/>
      <c r="R648" s="224"/>
      <c r="S648" s="224"/>
      <c r="T648" s="224"/>
      <c r="U648" s="868"/>
      <c r="V648" s="865"/>
      <c r="W648" s="2"/>
      <c r="X648" s="2"/>
      <c r="Y648" s="2"/>
      <c r="Z648" s="2"/>
      <c r="AA648" s="2"/>
      <c r="AB648" s="2"/>
      <c r="AC648" s="2"/>
      <c r="AD648" s="2"/>
      <c r="AE648" s="2"/>
      <c r="AF648" s="2"/>
      <c r="AG648" s="2"/>
      <c r="AH648" s="2"/>
      <c r="AI648" s="2"/>
      <c r="AJ648" s="218"/>
      <c r="AK648" s="218"/>
      <c r="AL648" s="218"/>
      <c r="AM648" s="218"/>
    </row>
    <row r="649">
      <c r="A649" s="33"/>
      <c r="B649" s="2"/>
      <c r="C649" s="2"/>
      <c r="D649" s="2"/>
      <c r="E649" s="2"/>
      <c r="F649" s="4"/>
      <c r="G649" s="2"/>
      <c r="H649" s="2"/>
      <c r="I649" s="2"/>
      <c r="J649" s="5"/>
      <c r="K649" s="2"/>
      <c r="L649" s="2"/>
      <c r="M649" s="2"/>
      <c r="N649" s="2"/>
      <c r="O649" s="2"/>
      <c r="P649" s="2"/>
      <c r="Q649" s="7"/>
      <c r="R649" s="224"/>
      <c r="S649" s="224"/>
      <c r="T649" s="224"/>
      <c r="U649" s="868"/>
      <c r="V649" s="865"/>
      <c r="W649" s="2"/>
      <c r="X649" s="2"/>
      <c r="Y649" s="2"/>
      <c r="Z649" s="2"/>
      <c r="AA649" s="2"/>
      <c r="AB649" s="2"/>
      <c r="AC649" s="2"/>
      <c r="AD649" s="2"/>
      <c r="AE649" s="2"/>
      <c r="AF649" s="2"/>
      <c r="AG649" s="2"/>
      <c r="AH649" s="2"/>
      <c r="AI649" s="2"/>
      <c r="AJ649" s="218"/>
      <c r="AK649" s="218"/>
      <c r="AL649" s="218"/>
      <c r="AM649" s="218"/>
    </row>
    <row r="650">
      <c r="A650" s="33"/>
      <c r="B650" s="2"/>
      <c r="C650" s="2"/>
      <c r="D650" s="2"/>
      <c r="E650" s="2"/>
      <c r="F650" s="4"/>
      <c r="G650" s="2"/>
      <c r="H650" s="2"/>
      <c r="I650" s="2"/>
      <c r="J650" s="5"/>
      <c r="K650" s="2"/>
      <c r="L650" s="2"/>
      <c r="M650" s="2"/>
      <c r="N650" s="2"/>
      <c r="O650" s="2"/>
      <c r="P650" s="2"/>
      <c r="Q650" s="7"/>
      <c r="R650" s="224"/>
      <c r="S650" s="224"/>
      <c r="T650" s="224"/>
      <c r="U650" s="868"/>
      <c r="V650" s="865"/>
      <c r="W650" s="2"/>
      <c r="X650" s="2"/>
      <c r="Y650" s="2"/>
      <c r="Z650" s="2"/>
      <c r="AA650" s="2"/>
      <c r="AB650" s="2"/>
      <c r="AC650" s="2"/>
      <c r="AD650" s="2"/>
      <c r="AE650" s="2"/>
      <c r="AF650" s="2"/>
      <c r="AG650" s="2"/>
      <c r="AH650" s="2"/>
      <c r="AI650" s="2"/>
      <c r="AJ650" s="218"/>
      <c r="AK650" s="218"/>
      <c r="AL650" s="218"/>
      <c r="AM650" s="218"/>
    </row>
    <row r="651">
      <c r="A651" s="33"/>
      <c r="B651" s="2"/>
      <c r="C651" s="2"/>
      <c r="D651" s="2"/>
      <c r="E651" s="2"/>
      <c r="F651" s="4"/>
      <c r="G651" s="2"/>
      <c r="H651" s="2"/>
      <c r="I651" s="2"/>
      <c r="J651" s="5"/>
      <c r="K651" s="2"/>
      <c r="L651" s="2"/>
      <c r="M651" s="2"/>
      <c r="N651" s="2"/>
      <c r="O651" s="2"/>
      <c r="P651" s="2"/>
      <c r="Q651" s="7"/>
      <c r="R651" s="224"/>
      <c r="S651" s="224"/>
      <c r="T651" s="224"/>
      <c r="U651" s="868"/>
      <c r="V651" s="865"/>
      <c r="W651" s="2"/>
      <c r="X651" s="2"/>
      <c r="Y651" s="2"/>
      <c r="Z651" s="2"/>
      <c r="AA651" s="2"/>
      <c r="AB651" s="2"/>
      <c r="AC651" s="2"/>
      <c r="AD651" s="2"/>
      <c r="AE651" s="2"/>
      <c r="AF651" s="2"/>
      <c r="AG651" s="2"/>
      <c r="AH651" s="2"/>
      <c r="AI651" s="2"/>
      <c r="AJ651" s="218"/>
      <c r="AK651" s="218"/>
      <c r="AL651" s="218"/>
      <c r="AM651" s="218"/>
    </row>
    <row r="652">
      <c r="A652" s="33"/>
      <c r="B652" s="2"/>
      <c r="C652" s="2"/>
      <c r="D652" s="2"/>
      <c r="E652" s="2"/>
      <c r="F652" s="4"/>
      <c r="G652" s="2"/>
      <c r="H652" s="2"/>
      <c r="I652" s="2"/>
      <c r="J652" s="5"/>
      <c r="K652" s="2"/>
      <c r="L652" s="2"/>
      <c r="M652" s="2"/>
      <c r="N652" s="2"/>
      <c r="O652" s="2"/>
      <c r="P652" s="2"/>
      <c r="Q652" s="7"/>
      <c r="R652" s="224"/>
      <c r="S652" s="224"/>
      <c r="T652" s="224"/>
      <c r="U652" s="868"/>
      <c r="V652" s="865"/>
      <c r="W652" s="2"/>
      <c r="X652" s="2"/>
      <c r="Y652" s="2"/>
      <c r="Z652" s="2"/>
      <c r="AA652" s="2"/>
      <c r="AB652" s="2"/>
      <c r="AC652" s="2"/>
      <c r="AD652" s="2"/>
      <c r="AE652" s="2"/>
      <c r="AF652" s="2"/>
      <c r="AG652" s="2"/>
      <c r="AH652" s="2"/>
      <c r="AI652" s="2"/>
      <c r="AJ652" s="218"/>
      <c r="AK652" s="218"/>
      <c r="AL652" s="218"/>
      <c r="AM652" s="218"/>
    </row>
    <row r="653">
      <c r="A653" s="33"/>
      <c r="B653" s="2"/>
      <c r="C653" s="2"/>
      <c r="D653" s="2"/>
      <c r="E653" s="2"/>
      <c r="F653" s="4"/>
      <c r="G653" s="2"/>
      <c r="H653" s="2"/>
      <c r="I653" s="2"/>
      <c r="J653" s="5"/>
      <c r="K653" s="2"/>
      <c r="L653" s="2"/>
      <c r="M653" s="2"/>
      <c r="N653" s="2"/>
      <c r="O653" s="2"/>
      <c r="P653" s="2"/>
      <c r="Q653" s="7"/>
      <c r="R653" s="224"/>
      <c r="S653" s="224"/>
      <c r="T653" s="224"/>
      <c r="U653" s="868"/>
      <c r="V653" s="865"/>
      <c r="W653" s="2"/>
      <c r="X653" s="2"/>
      <c r="Y653" s="2"/>
      <c r="Z653" s="2"/>
      <c r="AA653" s="2"/>
      <c r="AB653" s="2"/>
      <c r="AC653" s="2"/>
      <c r="AD653" s="2"/>
      <c r="AE653" s="2"/>
      <c r="AF653" s="2"/>
      <c r="AG653" s="2"/>
      <c r="AH653" s="2"/>
      <c r="AI653" s="2"/>
      <c r="AJ653" s="218"/>
      <c r="AK653" s="218"/>
      <c r="AL653" s="218"/>
      <c r="AM653" s="218"/>
    </row>
    <row r="654">
      <c r="A654" s="33"/>
      <c r="B654" s="2"/>
      <c r="C654" s="2"/>
      <c r="D654" s="2"/>
      <c r="E654" s="2"/>
      <c r="F654" s="4"/>
      <c r="G654" s="2"/>
      <c r="H654" s="2"/>
      <c r="I654" s="2"/>
      <c r="J654" s="5"/>
      <c r="K654" s="2"/>
      <c r="L654" s="2"/>
      <c r="M654" s="2"/>
      <c r="N654" s="2"/>
      <c r="O654" s="2"/>
      <c r="P654" s="2"/>
      <c r="Q654" s="7"/>
      <c r="R654" s="224"/>
      <c r="S654" s="224"/>
      <c r="T654" s="224"/>
      <c r="U654" s="868"/>
      <c r="V654" s="865"/>
      <c r="W654" s="2"/>
      <c r="X654" s="2"/>
      <c r="Y654" s="2"/>
      <c r="Z654" s="2"/>
      <c r="AA654" s="2"/>
      <c r="AB654" s="2"/>
      <c r="AC654" s="2"/>
      <c r="AD654" s="2"/>
      <c r="AE654" s="2"/>
      <c r="AF654" s="2"/>
      <c r="AG654" s="2"/>
      <c r="AH654" s="2"/>
      <c r="AI654" s="2"/>
      <c r="AJ654" s="218"/>
      <c r="AK654" s="218"/>
      <c r="AL654" s="218"/>
      <c r="AM654" s="218"/>
    </row>
    <row r="655">
      <c r="A655" s="33"/>
      <c r="B655" s="2"/>
      <c r="C655" s="2"/>
      <c r="D655" s="2"/>
      <c r="E655" s="2"/>
      <c r="F655" s="4"/>
      <c r="G655" s="2"/>
      <c r="H655" s="2"/>
      <c r="I655" s="2"/>
      <c r="J655" s="5"/>
      <c r="K655" s="2"/>
      <c r="L655" s="2"/>
      <c r="M655" s="2"/>
      <c r="N655" s="2"/>
      <c r="O655" s="2"/>
      <c r="P655" s="2"/>
      <c r="Q655" s="7"/>
      <c r="R655" s="224"/>
      <c r="S655" s="224"/>
      <c r="T655" s="224"/>
      <c r="U655" s="868"/>
      <c r="V655" s="865"/>
      <c r="W655" s="2"/>
      <c r="X655" s="2"/>
      <c r="Y655" s="2"/>
      <c r="Z655" s="2"/>
      <c r="AA655" s="2"/>
      <c r="AB655" s="2"/>
      <c r="AC655" s="2"/>
      <c r="AD655" s="2"/>
      <c r="AE655" s="2"/>
      <c r="AF655" s="2"/>
      <c r="AG655" s="2"/>
      <c r="AH655" s="2"/>
      <c r="AI655" s="2"/>
      <c r="AJ655" s="218"/>
      <c r="AK655" s="218"/>
      <c r="AL655" s="218"/>
      <c r="AM655" s="218"/>
    </row>
    <row r="656">
      <c r="A656" s="33"/>
      <c r="B656" s="2"/>
      <c r="C656" s="2"/>
      <c r="D656" s="2"/>
      <c r="E656" s="2"/>
      <c r="F656" s="4"/>
      <c r="G656" s="2"/>
      <c r="H656" s="2"/>
      <c r="I656" s="2"/>
      <c r="J656" s="5"/>
      <c r="K656" s="2"/>
      <c r="L656" s="2"/>
      <c r="M656" s="2"/>
      <c r="N656" s="2"/>
      <c r="O656" s="2"/>
      <c r="P656" s="2"/>
      <c r="Q656" s="7"/>
      <c r="R656" s="224"/>
      <c r="S656" s="224"/>
      <c r="T656" s="224"/>
      <c r="U656" s="868"/>
      <c r="V656" s="865"/>
      <c r="W656" s="2"/>
      <c r="X656" s="2"/>
      <c r="Y656" s="2"/>
      <c r="Z656" s="2"/>
      <c r="AA656" s="2"/>
      <c r="AB656" s="2"/>
      <c r="AC656" s="2"/>
      <c r="AD656" s="2"/>
      <c r="AE656" s="2"/>
      <c r="AF656" s="2"/>
      <c r="AG656" s="2"/>
      <c r="AH656" s="2"/>
      <c r="AI656" s="2"/>
      <c r="AJ656" s="218"/>
      <c r="AK656" s="218"/>
      <c r="AL656" s="218"/>
      <c r="AM656" s="218"/>
    </row>
    <row r="657">
      <c r="A657" s="33"/>
      <c r="B657" s="2"/>
      <c r="C657" s="2"/>
      <c r="D657" s="2"/>
      <c r="E657" s="2"/>
      <c r="F657" s="4"/>
      <c r="G657" s="2"/>
      <c r="H657" s="2"/>
      <c r="I657" s="2"/>
      <c r="J657" s="5"/>
      <c r="K657" s="2"/>
      <c r="L657" s="2"/>
      <c r="M657" s="2"/>
      <c r="N657" s="2"/>
      <c r="O657" s="2"/>
      <c r="P657" s="2"/>
      <c r="Q657" s="7"/>
      <c r="R657" s="224"/>
      <c r="S657" s="224"/>
      <c r="T657" s="224"/>
      <c r="U657" s="868"/>
      <c r="V657" s="865"/>
      <c r="W657" s="2"/>
      <c r="X657" s="2"/>
      <c r="Y657" s="2"/>
      <c r="Z657" s="2"/>
      <c r="AA657" s="2"/>
      <c r="AB657" s="2"/>
      <c r="AC657" s="2"/>
      <c r="AD657" s="2"/>
      <c r="AE657" s="2"/>
      <c r="AF657" s="2"/>
      <c r="AG657" s="2"/>
      <c r="AH657" s="2"/>
      <c r="AI657" s="2"/>
      <c r="AJ657" s="218"/>
      <c r="AK657" s="218"/>
      <c r="AL657" s="218"/>
      <c r="AM657" s="218"/>
    </row>
    <row r="658">
      <c r="A658" s="33"/>
      <c r="B658" s="2"/>
      <c r="C658" s="2"/>
      <c r="D658" s="2"/>
      <c r="E658" s="2"/>
      <c r="F658" s="4"/>
      <c r="G658" s="2"/>
      <c r="H658" s="2"/>
      <c r="I658" s="2"/>
      <c r="J658" s="5"/>
      <c r="K658" s="2"/>
      <c r="L658" s="2"/>
      <c r="M658" s="2"/>
      <c r="N658" s="2"/>
      <c r="O658" s="2"/>
      <c r="P658" s="2"/>
      <c r="Q658" s="7"/>
      <c r="R658" s="224"/>
      <c r="S658" s="224"/>
      <c r="T658" s="224"/>
      <c r="U658" s="868"/>
      <c r="V658" s="865"/>
      <c r="W658" s="2"/>
      <c r="X658" s="2"/>
      <c r="Y658" s="2"/>
      <c r="Z658" s="2"/>
      <c r="AA658" s="2"/>
      <c r="AB658" s="2"/>
      <c r="AC658" s="2"/>
      <c r="AD658" s="2"/>
      <c r="AE658" s="2"/>
      <c r="AF658" s="2"/>
      <c r="AG658" s="2"/>
      <c r="AH658" s="2"/>
      <c r="AI658" s="2"/>
      <c r="AJ658" s="218"/>
      <c r="AK658" s="218"/>
      <c r="AL658" s="218"/>
      <c r="AM658" s="218"/>
    </row>
    <row r="659">
      <c r="A659" s="33"/>
      <c r="B659" s="2"/>
      <c r="C659" s="2"/>
      <c r="D659" s="2"/>
      <c r="E659" s="2"/>
      <c r="F659" s="4"/>
      <c r="G659" s="2"/>
      <c r="H659" s="2"/>
      <c r="I659" s="2"/>
      <c r="J659" s="5"/>
      <c r="K659" s="2"/>
      <c r="L659" s="2"/>
      <c r="M659" s="2"/>
      <c r="N659" s="2"/>
      <c r="O659" s="2"/>
      <c r="P659" s="2"/>
      <c r="Q659" s="7"/>
      <c r="R659" s="224"/>
      <c r="S659" s="224"/>
      <c r="T659" s="224"/>
      <c r="U659" s="868"/>
      <c r="V659" s="865"/>
      <c r="W659" s="2"/>
      <c r="X659" s="2"/>
      <c r="Y659" s="2"/>
      <c r="Z659" s="2"/>
      <c r="AA659" s="2"/>
      <c r="AB659" s="2"/>
      <c r="AC659" s="2"/>
      <c r="AD659" s="2"/>
      <c r="AE659" s="2"/>
      <c r="AF659" s="2"/>
      <c r="AG659" s="2"/>
      <c r="AH659" s="2"/>
      <c r="AI659" s="2"/>
      <c r="AJ659" s="218"/>
      <c r="AK659" s="218"/>
      <c r="AL659" s="218"/>
      <c r="AM659" s="218"/>
    </row>
    <row r="660">
      <c r="A660" s="33"/>
      <c r="B660" s="2"/>
      <c r="C660" s="2"/>
      <c r="D660" s="2"/>
      <c r="E660" s="2"/>
      <c r="F660" s="4"/>
      <c r="G660" s="2"/>
      <c r="H660" s="2"/>
      <c r="I660" s="2"/>
      <c r="J660" s="5"/>
      <c r="K660" s="2"/>
      <c r="L660" s="2"/>
      <c r="M660" s="2"/>
      <c r="N660" s="2"/>
      <c r="O660" s="2"/>
      <c r="P660" s="2"/>
      <c r="Q660" s="7"/>
      <c r="R660" s="224"/>
      <c r="S660" s="224"/>
      <c r="T660" s="224"/>
      <c r="U660" s="868"/>
      <c r="V660" s="865"/>
      <c r="W660" s="2"/>
      <c r="X660" s="2"/>
      <c r="Y660" s="2"/>
      <c r="Z660" s="2"/>
      <c r="AA660" s="2"/>
      <c r="AB660" s="2"/>
      <c r="AC660" s="2"/>
      <c r="AD660" s="2"/>
      <c r="AE660" s="2"/>
      <c r="AF660" s="2"/>
      <c r="AG660" s="2"/>
      <c r="AH660" s="2"/>
      <c r="AI660" s="2"/>
      <c r="AJ660" s="218"/>
      <c r="AK660" s="218"/>
      <c r="AL660" s="218"/>
      <c r="AM660" s="218"/>
    </row>
    <row r="661">
      <c r="A661" s="33"/>
      <c r="B661" s="2"/>
      <c r="C661" s="2"/>
      <c r="D661" s="2"/>
      <c r="E661" s="2"/>
      <c r="F661" s="4"/>
      <c r="G661" s="2"/>
      <c r="H661" s="2"/>
      <c r="I661" s="2"/>
      <c r="J661" s="5"/>
      <c r="K661" s="2"/>
      <c r="L661" s="2"/>
      <c r="M661" s="2"/>
      <c r="N661" s="2"/>
      <c r="O661" s="2"/>
      <c r="P661" s="2"/>
      <c r="Q661" s="7"/>
      <c r="R661" s="224"/>
      <c r="S661" s="224"/>
      <c r="T661" s="224"/>
      <c r="U661" s="868"/>
      <c r="V661" s="865"/>
      <c r="W661" s="2"/>
      <c r="X661" s="2"/>
      <c r="Y661" s="2"/>
      <c r="Z661" s="2"/>
      <c r="AA661" s="2"/>
      <c r="AB661" s="2"/>
      <c r="AC661" s="2"/>
      <c r="AD661" s="2"/>
      <c r="AE661" s="2"/>
      <c r="AF661" s="2"/>
      <c r="AG661" s="2"/>
      <c r="AH661" s="2"/>
      <c r="AI661" s="2"/>
      <c r="AJ661" s="218"/>
      <c r="AK661" s="218"/>
      <c r="AL661" s="218"/>
      <c r="AM661" s="218"/>
    </row>
    <row r="662">
      <c r="A662" s="33"/>
      <c r="B662" s="2"/>
      <c r="C662" s="2"/>
      <c r="D662" s="2"/>
      <c r="E662" s="2"/>
      <c r="F662" s="4"/>
      <c r="G662" s="2"/>
      <c r="H662" s="2"/>
      <c r="I662" s="2"/>
      <c r="J662" s="5"/>
      <c r="K662" s="2"/>
      <c r="L662" s="2"/>
      <c r="M662" s="2"/>
      <c r="N662" s="2"/>
      <c r="O662" s="2"/>
      <c r="P662" s="2"/>
      <c r="Q662" s="7"/>
      <c r="R662" s="224"/>
      <c r="S662" s="224"/>
      <c r="T662" s="224"/>
      <c r="U662" s="868"/>
      <c r="V662" s="865"/>
      <c r="W662" s="2"/>
      <c r="X662" s="2"/>
      <c r="Y662" s="2"/>
      <c r="Z662" s="2"/>
      <c r="AA662" s="2"/>
      <c r="AB662" s="2"/>
      <c r="AC662" s="2"/>
      <c r="AD662" s="2"/>
      <c r="AE662" s="2"/>
      <c r="AF662" s="2"/>
      <c r="AG662" s="2"/>
      <c r="AH662" s="2"/>
      <c r="AI662" s="2"/>
      <c r="AJ662" s="218"/>
      <c r="AK662" s="218"/>
      <c r="AL662" s="218"/>
      <c r="AM662" s="218"/>
    </row>
    <row r="663">
      <c r="A663" s="33"/>
      <c r="B663" s="2"/>
      <c r="C663" s="2"/>
      <c r="D663" s="2"/>
      <c r="E663" s="2"/>
      <c r="F663" s="4"/>
      <c r="G663" s="2"/>
      <c r="H663" s="2"/>
      <c r="I663" s="2"/>
      <c r="J663" s="5"/>
      <c r="K663" s="2"/>
      <c r="L663" s="2"/>
      <c r="M663" s="2"/>
      <c r="N663" s="2"/>
      <c r="O663" s="2"/>
      <c r="P663" s="2"/>
      <c r="Q663" s="7"/>
      <c r="R663" s="224"/>
      <c r="S663" s="224"/>
      <c r="T663" s="224"/>
      <c r="U663" s="868"/>
      <c r="V663" s="865"/>
      <c r="W663" s="2"/>
      <c r="X663" s="2"/>
      <c r="Y663" s="2"/>
      <c r="Z663" s="2"/>
      <c r="AA663" s="2"/>
      <c r="AB663" s="2"/>
      <c r="AC663" s="2"/>
      <c r="AD663" s="2"/>
      <c r="AE663" s="2"/>
      <c r="AF663" s="2"/>
      <c r="AG663" s="2"/>
      <c r="AH663" s="2"/>
      <c r="AI663" s="2"/>
      <c r="AJ663" s="218"/>
      <c r="AK663" s="218"/>
      <c r="AL663" s="218"/>
      <c r="AM663" s="218"/>
    </row>
    <row r="664">
      <c r="A664" s="33"/>
      <c r="B664" s="2"/>
      <c r="C664" s="2"/>
      <c r="D664" s="2"/>
      <c r="E664" s="2"/>
      <c r="F664" s="4"/>
      <c r="G664" s="2"/>
      <c r="H664" s="2"/>
      <c r="I664" s="2"/>
      <c r="J664" s="5"/>
      <c r="K664" s="2"/>
      <c r="L664" s="2"/>
      <c r="M664" s="2"/>
      <c r="N664" s="2"/>
      <c r="O664" s="2"/>
      <c r="P664" s="2"/>
      <c r="Q664" s="7"/>
      <c r="R664" s="224"/>
      <c r="S664" s="224"/>
      <c r="T664" s="224"/>
      <c r="U664" s="868"/>
      <c r="V664" s="865"/>
      <c r="W664" s="2"/>
      <c r="X664" s="2"/>
      <c r="Y664" s="2"/>
      <c r="Z664" s="2"/>
      <c r="AA664" s="2"/>
      <c r="AB664" s="2"/>
      <c r="AC664" s="2"/>
      <c r="AD664" s="2"/>
      <c r="AE664" s="2"/>
      <c r="AF664" s="2"/>
      <c r="AG664" s="2"/>
      <c r="AH664" s="2"/>
      <c r="AI664" s="2"/>
      <c r="AJ664" s="218"/>
      <c r="AK664" s="218"/>
      <c r="AL664" s="218"/>
      <c r="AM664" s="218"/>
    </row>
    <row r="665">
      <c r="A665" s="33"/>
      <c r="B665" s="2"/>
      <c r="C665" s="2"/>
      <c r="D665" s="2"/>
      <c r="E665" s="2"/>
      <c r="F665" s="4"/>
      <c r="G665" s="2"/>
      <c r="H665" s="2"/>
      <c r="I665" s="2"/>
      <c r="J665" s="5"/>
      <c r="K665" s="2"/>
      <c r="L665" s="2"/>
      <c r="M665" s="2"/>
      <c r="N665" s="2"/>
      <c r="O665" s="2"/>
      <c r="P665" s="2"/>
      <c r="Q665" s="7"/>
      <c r="R665" s="224"/>
      <c r="S665" s="224"/>
      <c r="T665" s="224"/>
      <c r="U665" s="868"/>
      <c r="V665" s="865"/>
      <c r="W665" s="2"/>
      <c r="X665" s="2"/>
      <c r="Y665" s="2"/>
      <c r="Z665" s="2"/>
      <c r="AA665" s="2"/>
      <c r="AB665" s="2"/>
      <c r="AC665" s="2"/>
      <c r="AD665" s="2"/>
      <c r="AE665" s="2"/>
      <c r="AF665" s="2"/>
      <c r="AG665" s="2"/>
      <c r="AH665" s="2"/>
      <c r="AI665" s="2"/>
      <c r="AJ665" s="218"/>
      <c r="AK665" s="218"/>
      <c r="AL665" s="218"/>
      <c r="AM665" s="218"/>
    </row>
    <row r="666">
      <c r="A666" s="33"/>
      <c r="B666" s="2"/>
      <c r="C666" s="2"/>
      <c r="D666" s="2"/>
      <c r="E666" s="2"/>
      <c r="F666" s="4"/>
      <c r="G666" s="2"/>
      <c r="H666" s="2"/>
      <c r="I666" s="2"/>
      <c r="J666" s="5"/>
      <c r="K666" s="2"/>
      <c r="L666" s="2"/>
      <c r="M666" s="2"/>
      <c r="N666" s="2"/>
      <c r="O666" s="2"/>
      <c r="P666" s="2"/>
      <c r="Q666" s="7"/>
      <c r="R666" s="224"/>
      <c r="S666" s="224"/>
      <c r="T666" s="224"/>
      <c r="U666" s="868"/>
      <c r="V666" s="865"/>
      <c r="W666" s="2"/>
      <c r="X666" s="2"/>
      <c r="Y666" s="2"/>
      <c r="Z666" s="2"/>
      <c r="AA666" s="2"/>
      <c r="AB666" s="2"/>
      <c r="AC666" s="2"/>
      <c r="AD666" s="2"/>
      <c r="AE666" s="2"/>
      <c r="AF666" s="2"/>
      <c r="AG666" s="2"/>
      <c r="AH666" s="2"/>
      <c r="AI666" s="2"/>
      <c r="AJ666" s="218"/>
      <c r="AK666" s="218"/>
      <c r="AL666" s="218"/>
      <c r="AM666" s="218"/>
    </row>
    <row r="667">
      <c r="A667" s="33"/>
      <c r="B667" s="2"/>
      <c r="C667" s="2"/>
      <c r="D667" s="2"/>
      <c r="E667" s="2"/>
      <c r="F667" s="4"/>
      <c r="G667" s="2"/>
      <c r="H667" s="2"/>
      <c r="I667" s="2"/>
      <c r="J667" s="5"/>
      <c r="K667" s="2"/>
      <c r="L667" s="2"/>
      <c r="M667" s="2"/>
      <c r="N667" s="2"/>
      <c r="O667" s="2"/>
      <c r="P667" s="2"/>
      <c r="Q667" s="7"/>
      <c r="R667" s="224"/>
      <c r="S667" s="224"/>
      <c r="T667" s="224"/>
      <c r="U667" s="868"/>
      <c r="V667" s="865"/>
      <c r="W667" s="2"/>
      <c r="X667" s="2"/>
      <c r="Y667" s="2"/>
      <c r="Z667" s="2"/>
      <c r="AA667" s="2"/>
      <c r="AB667" s="2"/>
      <c r="AC667" s="2"/>
      <c r="AD667" s="2"/>
      <c r="AE667" s="2"/>
      <c r="AF667" s="2"/>
      <c r="AG667" s="2"/>
      <c r="AH667" s="2"/>
      <c r="AI667" s="2"/>
      <c r="AJ667" s="218"/>
      <c r="AK667" s="218"/>
      <c r="AL667" s="218"/>
      <c r="AM667" s="218"/>
    </row>
    <row r="668">
      <c r="A668" s="33"/>
      <c r="B668" s="2"/>
      <c r="C668" s="2"/>
      <c r="D668" s="2"/>
      <c r="E668" s="2"/>
      <c r="F668" s="4"/>
      <c r="G668" s="2"/>
      <c r="H668" s="2"/>
      <c r="I668" s="2"/>
      <c r="J668" s="5"/>
      <c r="K668" s="2"/>
      <c r="L668" s="2"/>
      <c r="M668" s="2"/>
      <c r="N668" s="2"/>
      <c r="O668" s="2"/>
      <c r="P668" s="2"/>
      <c r="Q668" s="7"/>
      <c r="R668" s="224"/>
      <c r="S668" s="224"/>
      <c r="T668" s="224"/>
      <c r="U668" s="868"/>
      <c r="V668" s="865"/>
      <c r="W668" s="2"/>
      <c r="X668" s="2"/>
      <c r="Y668" s="2"/>
      <c r="Z668" s="2"/>
      <c r="AA668" s="2"/>
      <c r="AB668" s="2"/>
      <c r="AC668" s="2"/>
      <c r="AD668" s="2"/>
      <c r="AE668" s="2"/>
      <c r="AF668" s="2"/>
      <c r="AG668" s="2"/>
      <c r="AH668" s="2"/>
      <c r="AI668" s="2"/>
      <c r="AJ668" s="218"/>
      <c r="AK668" s="218"/>
      <c r="AL668" s="218"/>
      <c r="AM668" s="218"/>
    </row>
    <row r="669">
      <c r="A669" s="33"/>
      <c r="B669" s="2"/>
      <c r="C669" s="2"/>
      <c r="D669" s="2"/>
      <c r="E669" s="2"/>
      <c r="F669" s="4"/>
      <c r="G669" s="2"/>
      <c r="H669" s="2"/>
      <c r="I669" s="2"/>
      <c r="J669" s="5"/>
      <c r="K669" s="2"/>
      <c r="L669" s="2"/>
      <c r="M669" s="2"/>
      <c r="N669" s="2"/>
      <c r="O669" s="2"/>
      <c r="P669" s="2"/>
      <c r="Q669" s="7"/>
      <c r="R669" s="224"/>
      <c r="S669" s="224"/>
      <c r="T669" s="224"/>
      <c r="U669" s="868"/>
      <c r="V669" s="865"/>
      <c r="W669" s="2"/>
      <c r="X669" s="2"/>
      <c r="Y669" s="2"/>
      <c r="Z669" s="2"/>
      <c r="AA669" s="2"/>
      <c r="AB669" s="2"/>
      <c r="AC669" s="2"/>
      <c r="AD669" s="2"/>
      <c r="AE669" s="2"/>
      <c r="AF669" s="2"/>
      <c r="AG669" s="2"/>
      <c r="AH669" s="2"/>
      <c r="AI669" s="2"/>
      <c r="AJ669" s="218"/>
      <c r="AK669" s="218"/>
      <c r="AL669" s="218"/>
      <c r="AM669" s="218"/>
    </row>
    <row r="670">
      <c r="A670" s="33"/>
      <c r="B670" s="2"/>
      <c r="C670" s="2"/>
      <c r="D670" s="2"/>
      <c r="E670" s="2"/>
      <c r="F670" s="4"/>
      <c r="G670" s="2"/>
      <c r="H670" s="2"/>
      <c r="I670" s="2"/>
      <c r="J670" s="5"/>
      <c r="K670" s="2"/>
      <c r="L670" s="2"/>
      <c r="M670" s="2"/>
      <c r="N670" s="2"/>
      <c r="O670" s="2"/>
      <c r="P670" s="2"/>
      <c r="Q670" s="7"/>
      <c r="R670" s="224"/>
      <c r="S670" s="224"/>
      <c r="T670" s="224"/>
      <c r="U670" s="868"/>
      <c r="V670" s="865"/>
      <c r="W670" s="2"/>
      <c r="X670" s="2"/>
      <c r="Y670" s="2"/>
      <c r="Z670" s="2"/>
      <c r="AA670" s="2"/>
      <c r="AB670" s="2"/>
      <c r="AC670" s="2"/>
      <c r="AD670" s="2"/>
      <c r="AE670" s="2"/>
      <c r="AF670" s="2"/>
      <c r="AG670" s="2"/>
      <c r="AH670" s="2"/>
      <c r="AI670" s="2"/>
      <c r="AJ670" s="218"/>
      <c r="AK670" s="218"/>
      <c r="AL670" s="218"/>
      <c r="AM670" s="218"/>
    </row>
    <row r="671">
      <c r="A671" s="33"/>
      <c r="B671" s="2"/>
      <c r="C671" s="2"/>
      <c r="D671" s="2"/>
      <c r="E671" s="2"/>
      <c r="F671" s="4"/>
      <c r="G671" s="2"/>
      <c r="H671" s="2"/>
      <c r="I671" s="2"/>
      <c r="J671" s="5"/>
      <c r="K671" s="2"/>
      <c r="L671" s="2"/>
      <c r="M671" s="2"/>
      <c r="N671" s="2"/>
      <c r="O671" s="2"/>
      <c r="P671" s="2"/>
      <c r="Q671" s="7"/>
      <c r="R671" s="224"/>
      <c r="S671" s="224"/>
      <c r="T671" s="224"/>
      <c r="U671" s="868"/>
      <c r="V671" s="865"/>
      <c r="W671" s="2"/>
      <c r="X671" s="2"/>
      <c r="Y671" s="2"/>
      <c r="Z671" s="2"/>
      <c r="AA671" s="2"/>
      <c r="AB671" s="2"/>
      <c r="AC671" s="2"/>
      <c r="AD671" s="2"/>
      <c r="AE671" s="2"/>
      <c r="AF671" s="2"/>
      <c r="AG671" s="2"/>
      <c r="AH671" s="2"/>
      <c r="AI671" s="2"/>
      <c r="AJ671" s="218"/>
      <c r="AK671" s="218"/>
      <c r="AL671" s="218"/>
      <c r="AM671" s="218"/>
    </row>
    <row r="672">
      <c r="A672" s="33"/>
      <c r="B672" s="2"/>
      <c r="C672" s="2"/>
      <c r="D672" s="2"/>
      <c r="E672" s="2"/>
      <c r="F672" s="4"/>
      <c r="G672" s="2"/>
      <c r="H672" s="2"/>
      <c r="I672" s="2"/>
      <c r="J672" s="5"/>
      <c r="K672" s="2"/>
      <c r="L672" s="2"/>
      <c r="M672" s="2"/>
      <c r="N672" s="2"/>
      <c r="O672" s="2"/>
      <c r="P672" s="2"/>
      <c r="Q672" s="7"/>
      <c r="R672" s="224"/>
      <c r="S672" s="224"/>
      <c r="T672" s="224"/>
      <c r="U672" s="868"/>
      <c r="V672" s="865"/>
      <c r="W672" s="2"/>
      <c r="X672" s="2"/>
      <c r="Y672" s="2"/>
      <c r="Z672" s="2"/>
      <c r="AA672" s="2"/>
      <c r="AB672" s="2"/>
      <c r="AC672" s="2"/>
      <c r="AD672" s="2"/>
      <c r="AE672" s="2"/>
      <c r="AF672" s="2"/>
      <c r="AG672" s="2"/>
      <c r="AH672" s="2"/>
      <c r="AI672" s="2"/>
      <c r="AJ672" s="218"/>
      <c r="AK672" s="218"/>
      <c r="AL672" s="218"/>
      <c r="AM672" s="218"/>
    </row>
    <row r="673">
      <c r="A673" s="33"/>
      <c r="B673" s="2"/>
      <c r="C673" s="2"/>
      <c r="D673" s="2"/>
      <c r="E673" s="2"/>
      <c r="F673" s="4"/>
      <c r="G673" s="2"/>
      <c r="H673" s="2"/>
      <c r="I673" s="2"/>
      <c r="J673" s="5"/>
      <c r="K673" s="2"/>
      <c r="L673" s="2"/>
      <c r="M673" s="2"/>
      <c r="N673" s="2"/>
      <c r="O673" s="2"/>
      <c r="P673" s="2"/>
      <c r="Q673" s="7"/>
      <c r="R673" s="224"/>
      <c r="S673" s="224"/>
      <c r="T673" s="224"/>
      <c r="U673" s="868"/>
      <c r="V673" s="865"/>
      <c r="W673" s="2"/>
      <c r="X673" s="2"/>
      <c r="Y673" s="2"/>
      <c r="Z673" s="2"/>
      <c r="AA673" s="2"/>
      <c r="AB673" s="2"/>
      <c r="AC673" s="2"/>
      <c r="AD673" s="2"/>
      <c r="AE673" s="2"/>
      <c r="AF673" s="2"/>
      <c r="AG673" s="2"/>
      <c r="AH673" s="2"/>
      <c r="AI673" s="2"/>
      <c r="AJ673" s="218"/>
      <c r="AK673" s="218"/>
      <c r="AL673" s="218"/>
      <c r="AM673" s="218"/>
    </row>
    <row r="674">
      <c r="A674" s="33"/>
      <c r="B674" s="2"/>
      <c r="C674" s="2"/>
      <c r="D674" s="2"/>
      <c r="E674" s="2"/>
      <c r="F674" s="4"/>
      <c r="G674" s="2"/>
      <c r="H674" s="2"/>
      <c r="I674" s="2"/>
      <c r="J674" s="5"/>
      <c r="K674" s="2"/>
      <c r="L674" s="2"/>
      <c r="M674" s="2"/>
      <c r="N674" s="2"/>
      <c r="O674" s="2"/>
      <c r="P674" s="2"/>
      <c r="Q674" s="7"/>
      <c r="R674" s="224"/>
      <c r="S674" s="224"/>
      <c r="T674" s="224"/>
      <c r="U674" s="868"/>
      <c r="V674" s="865"/>
      <c r="W674" s="2"/>
      <c r="X674" s="2"/>
      <c r="Y674" s="2"/>
      <c r="Z674" s="2"/>
      <c r="AA674" s="2"/>
      <c r="AB674" s="2"/>
      <c r="AC674" s="2"/>
      <c r="AD674" s="2"/>
      <c r="AE674" s="2"/>
      <c r="AF674" s="2"/>
      <c r="AG674" s="2"/>
      <c r="AH674" s="2"/>
      <c r="AI674" s="2"/>
      <c r="AJ674" s="218"/>
      <c r="AK674" s="218"/>
      <c r="AL674" s="218"/>
      <c r="AM674" s="218"/>
    </row>
    <row r="675">
      <c r="A675" s="33"/>
      <c r="B675" s="2"/>
      <c r="C675" s="2"/>
      <c r="D675" s="2"/>
      <c r="E675" s="2"/>
      <c r="F675" s="4"/>
      <c r="G675" s="2"/>
      <c r="H675" s="2"/>
      <c r="I675" s="2"/>
      <c r="J675" s="5"/>
      <c r="K675" s="2"/>
      <c r="L675" s="2"/>
      <c r="M675" s="2"/>
      <c r="N675" s="2"/>
      <c r="O675" s="2"/>
      <c r="P675" s="2"/>
      <c r="Q675" s="7"/>
      <c r="R675" s="224"/>
      <c r="S675" s="224"/>
      <c r="T675" s="224"/>
      <c r="U675" s="868"/>
      <c r="V675" s="865"/>
      <c r="W675" s="2"/>
      <c r="X675" s="2"/>
      <c r="Y675" s="2"/>
      <c r="Z675" s="2"/>
      <c r="AA675" s="2"/>
      <c r="AB675" s="2"/>
      <c r="AC675" s="2"/>
      <c r="AD675" s="2"/>
      <c r="AE675" s="2"/>
      <c r="AF675" s="2"/>
      <c r="AG675" s="2"/>
      <c r="AH675" s="2"/>
      <c r="AI675" s="2"/>
      <c r="AJ675" s="218"/>
      <c r="AK675" s="218"/>
      <c r="AL675" s="218"/>
      <c r="AM675" s="218"/>
    </row>
    <row r="676">
      <c r="A676" s="33"/>
      <c r="B676" s="2"/>
      <c r="C676" s="2"/>
      <c r="D676" s="2"/>
      <c r="E676" s="2"/>
      <c r="F676" s="4"/>
      <c r="G676" s="2"/>
      <c r="H676" s="2"/>
      <c r="I676" s="2"/>
      <c r="J676" s="5"/>
      <c r="K676" s="2"/>
      <c r="L676" s="2"/>
      <c r="M676" s="2"/>
      <c r="N676" s="2"/>
      <c r="O676" s="2"/>
      <c r="P676" s="2"/>
      <c r="Q676" s="7"/>
      <c r="R676" s="224"/>
      <c r="S676" s="224"/>
      <c r="T676" s="224"/>
      <c r="U676" s="868"/>
      <c r="V676" s="865"/>
      <c r="W676" s="2"/>
      <c r="X676" s="2"/>
      <c r="Y676" s="2"/>
      <c r="Z676" s="2"/>
      <c r="AA676" s="2"/>
      <c r="AB676" s="2"/>
      <c r="AC676" s="2"/>
      <c r="AD676" s="2"/>
      <c r="AE676" s="2"/>
      <c r="AF676" s="2"/>
      <c r="AG676" s="2"/>
      <c r="AH676" s="2"/>
      <c r="AI676" s="2"/>
      <c r="AJ676" s="218"/>
      <c r="AK676" s="218"/>
      <c r="AL676" s="218"/>
      <c r="AM676" s="218"/>
    </row>
    <row r="677">
      <c r="A677" s="33"/>
      <c r="B677" s="2"/>
      <c r="C677" s="2"/>
      <c r="D677" s="2"/>
      <c r="E677" s="2"/>
      <c r="F677" s="4"/>
      <c r="G677" s="2"/>
      <c r="H677" s="2"/>
      <c r="I677" s="2"/>
      <c r="J677" s="5"/>
      <c r="K677" s="2"/>
      <c r="L677" s="2"/>
      <c r="M677" s="2"/>
      <c r="N677" s="2"/>
      <c r="O677" s="2"/>
      <c r="P677" s="2"/>
      <c r="Q677" s="7"/>
      <c r="R677" s="224"/>
      <c r="S677" s="224"/>
      <c r="T677" s="224"/>
      <c r="U677" s="868"/>
      <c r="V677" s="865"/>
      <c r="W677" s="2"/>
      <c r="X677" s="2"/>
      <c r="Y677" s="2"/>
      <c r="Z677" s="2"/>
      <c r="AA677" s="2"/>
      <c r="AB677" s="2"/>
      <c r="AC677" s="2"/>
      <c r="AD677" s="2"/>
      <c r="AE677" s="2"/>
      <c r="AF677" s="2"/>
      <c r="AG677" s="2"/>
      <c r="AH677" s="2"/>
      <c r="AI677" s="2"/>
      <c r="AJ677" s="218"/>
      <c r="AK677" s="218"/>
      <c r="AL677" s="218"/>
      <c r="AM677" s="218"/>
    </row>
    <row r="678">
      <c r="A678" s="33"/>
      <c r="B678" s="2"/>
      <c r="C678" s="2"/>
      <c r="D678" s="2"/>
      <c r="E678" s="2"/>
      <c r="F678" s="4"/>
      <c r="G678" s="2"/>
      <c r="H678" s="2"/>
      <c r="I678" s="2"/>
      <c r="J678" s="5"/>
      <c r="K678" s="2"/>
      <c r="L678" s="2"/>
      <c r="M678" s="2"/>
      <c r="N678" s="2"/>
      <c r="O678" s="2"/>
      <c r="P678" s="2"/>
      <c r="Q678" s="7"/>
      <c r="R678" s="224"/>
      <c r="S678" s="224"/>
      <c r="T678" s="224"/>
      <c r="U678" s="868"/>
      <c r="V678" s="865"/>
      <c r="W678" s="2"/>
      <c r="X678" s="2"/>
      <c r="Y678" s="2"/>
      <c r="Z678" s="2"/>
      <c r="AA678" s="2"/>
      <c r="AB678" s="2"/>
      <c r="AC678" s="2"/>
      <c r="AD678" s="2"/>
      <c r="AE678" s="2"/>
      <c r="AF678" s="2"/>
      <c r="AG678" s="2"/>
      <c r="AH678" s="2"/>
      <c r="AI678" s="2"/>
      <c r="AJ678" s="218"/>
      <c r="AK678" s="218"/>
      <c r="AL678" s="218"/>
      <c r="AM678" s="218"/>
    </row>
    <row r="679">
      <c r="A679" s="33"/>
      <c r="B679" s="2"/>
      <c r="C679" s="2"/>
      <c r="D679" s="2"/>
      <c r="E679" s="2"/>
      <c r="F679" s="4"/>
      <c r="G679" s="2"/>
      <c r="H679" s="2"/>
      <c r="I679" s="2"/>
      <c r="J679" s="5"/>
      <c r="K679" s="2"/>
      <c r="L679" s="2"/>
      <c r="M679" s="2"/>
      <c r="N679" s="2"/>
      <c r="O679" s="2"/>
      <c r="P679" s="2"/>
      <c r="Q679" s="7"/>
      <c r="R679" s="224"/>
      <c r="S679" s="224"/>
      <c r="T679" s="224"/>
      <c r="U679" s="868"/>
      <c r="V679" s="865"/>
      <c r="W679" s="2"/>
      <c r="X679" s="2"/>
      <c r="Y679" s="2"/>
      <c r="Z679" s="2"/>
      <c r="AA679" s="2"/>
      <c r="AB679" s="2"/>
      <c r="AC679" s="2"/>
      <c r="AD679" s="2"/>
      <c r="AE679" s="2"/>
      <c r="AF679" s="2"/>
      <c r="AG679" s="2"/>
      <c r="AH679" s="2"/>
      <c r="AI679" s="2"/>
      <c r="AJ679" s="218"/>
      <c r="AK679" s="218"/>
      <c r="AL679" s="218"/>
      <c r="AM679" s="218"/>
    </row>
    <row r="680">
      <c r="A680" s="33"/>
      <c r="B680" s="2"/>
      <c r="C680" s="2"/>
      <c r="D680" s="2"/>
      <c r="E680" s="2"/>
      <c r="F680" s="4"/>
      <c r="G680" s="2"/>
      <c r="H680" s="2"/>
      <c r="I680" s="2"/>
      <c r="J680" s="5"/>
      <c r="K680" s="2"/>
      <c r="L680" s="2"/>
      <c r="M680" s="2"/>
      <c r="N680" s="2"/>
      <c r="O680" s="2"/>
      <c r="P680" s="2"/>
      <c r="Q680" s="7"/>
      <c r="R680" s="224"/>
      <c r="S680" s="224"/>
      <c r="T680" s="224"/>
      <c r="U680" s="868"/>
      <c r="V680" s="865"/>
      <c r="W680" s="2"/>
      <c r="X680" s="2"/>
      <c r="Y680" s="2"/>
      <c r="Z680" s="2"/>
      <c r="AA680" s="2"/>
      <c r="AB680" s="2"/>
      <c r="AC680" s="2"/>
      <c r="AD680" s="2"/>
      <c r="AE680" s="2"/>
      <c r="AF680" s="2"/>
      <c r="AG680" s="2"/>
      <c r="AH680" s="2"/>
      <c r="AI680" s="2"/>
      <c r="AJ680" s="218"/>
      <c r="AK680" s="218"/>
      <c r="AL680" s="218"/>
      <c r="AM680" s="218"/>
    </row>
    <row r="681">
      <c r="A681" s="33"/>
      <c r="B681" s="2"/>
      <c r="C681" s="2"/>
      <c r="D681" s="2"/>
      <c r="E681" s="2"/>
      <c r="F681" s="4"/>
      <c r="G681" s="2"/>
      <c r="H681" s="2"/>
      <c r="I681" s="2"/>
      <c r="J681" s="5"/>
      <c r="K681" s="2"/>
      <c r="L681" s="2"/>
      <c r="M681" s="2"/>
      <c r="N681" s="2"/>
      <c r="O681" s="2"/>
      <c r="P681" s="2"/>
      <c r="Q681" s="7"/>
      <c r="R681" s="224"/>
      <c r="S681" s="224"/>
      <c r="T681" s="224"/>
      <c r="U681" s="868"/>
      <c r="V681" s="865"/>
      <c r="W681" s="2"/>
      <c r="X681" s="2"/>
      <c r="Y681" s="2"/>
      <c r="Z681" s="2"/>
      <c r="AA681" s="2"/>
      <c r="AB681" s="2"/>
      <c r="AC681" s="2"/>
      <c r="AD681" s="2"/>
      <c r="AE681" s="2"/>
      <c r="AF681" s="2"/>
      <c r="AG681" s="2"/>
      <c r="AH681" s="2"/>
      <c r="AI681" s="2"/>
      <c r="AJ681" s="218"/>
      <c r="AK681" s="218"/>
      <c r="AL681" s="218"/>
      <c r="AM681" s="218"/>
    </row>
    <row r="682">
      <c r="A682" s="33"/>
      <c r="B682" s="2"/>
      <c r="C682" s="2"/>
      <c r="D682" s="2"/>
      <c r="E682" s="2"/>
      <c r="F682" s="4"/>
      <c r="G682" s="2"/>
      <c r="H682" s="2"/>
      <c r="I682" s="2"/>
      <c r="J682" s="5"/>
      <c r="K682" s="2"/>
      <c r="L682" s="2"/>
      <c r="M682" s="2"/>
      <c r="N682" s="2"/>
      <c r="O682" s="2"/>
      <c r="P682" s="2"/>
      <c r="Q682" s="7"/>
      <c r="R682" s="224"/>
      <c r="S682" s="224"/>
      <c r="T682" s="224"/>
      <c r="U682" s="868"/>
      <c r="V682" s="865"/>
      <c r="W682" s="2"/>
      <c r="X682" s="2"/>
      <c r="Y682" s="2"/>
      <c r="Z682" s="2"/>
      <c r="AA682" s="2"/>
      <c r="AB682" s="2"/>
      <c r="AC682" s="2"/>
      <c r="AD682" s="2"/>
      <c r="AE682" s="2"/>
      <c r="AF682" s="2"/>
      <c r="AG682" s="2"/>
      <c r="AH682" s="2"/>
      <c r="AI682" s="2"/>
      <c r="AJ682" s="218"/>
      <c r="AK682" s="218"/>
      <c r="AL682" s="218"/>
      <c r="AM682" s="218"/>
    </row>
    <row r="683">
      <c r="A683" s="33"/>
      <c r="B683" s="2"/>
      <c r="C683" s="2"/>
      <c r="D683" s="2"/>
      <c r="E683" s="2"/>
      <c r="F683" s="4"/>
      <c r="G683" s="2"/>
      <c r="H683" s="2"/>
      <c r="I683" s="2"/>
      <c r="J683" s="5"/>
      <c r="K683" s="2"/>
      <c r="L683" s="2"/>
      <c r="M683" s="2"/>
      <c r="N683" s="2"/>
      <c r="O683" s="2"/>
      <c r="P683" s="2"/>
      <c r="Q683" s="7"/>
      <c r="R683" s="224"/>
      <c r="S683" s="224"/>
      <c r="T683" s="224"/>
      <c r="U683" s="868"/>
      <c r="V683" s="865"/>
      <c r="W683" s="2"/>
      <c r="X683" s="2"/>
      <c r="Y683" s="2"/>
      <c r="Z683" s="2"/>
      <c r="AA683" s="2"/>
      <c r="AB683" s="2"/>
      <c r="AC683" s="2"/>
      <c r="AD683" s="2"/>
      <c r="AE683" s="2"/>
      <c r="AF683" s="2"/>
      <c r="AG683" s="2"/>
      <c r="AH683" s="2"/>
      <c r="AI683" s="2"/>
      <c r="AJ683" s="218"/>
      <c r="AK683" s="218"/>
      <c r="AL683" s="218"/>
      <c r="AM683" s="218"/>
    </row>
    <row r="684">
      <c r="A684" s="33"/>
      <c r="B684" s="2"/>
      <c r="C684" s="2"/>
      <c r="D684" s="2"/>
      <c r="E684" s="2"/>
      <c r="F684" s="4"/>
      <c r="G684" s="2"/>
      <c r="H684" s="2"/>
      <c r="I684" s="2"/>
      <c r="J684" s="5"/>
      <c r="K684" s="2"/>
      <c r="L684" s="2"/>
      <c r="M684" s="2"/>
      <c r="N684" s="2"/>
      <c r="O684" s="2"/>
      <c r="P684" s="2"/>
      <c r="Q684" s="7"/>
      <c r="R684" s="224"/>
      <c r="S684" s="224"/>
      <c r="T684" s="224"/>
      <c r="U684" s="868"/>
      <c r="V684" s="865"/>
      <c r="W684" s="2"/>
      <c r="X684" s="2"/>
      <c r="Y684" s="2"/>
      <c r="Z684" s="2"/>
      <c r="AA684" s="2"/>
      <c r="AB684" s="2"/>
      <c r="AC684" s="2"/>
      <c r="AD684" s="2"/>
      <c r="AE684" s="2"/>
      <c r="AF684" s="2"/>
      <c r="AG684" s="2"/>
      <c r="AH684" s="2"/>
      <c r="AI684" s="2"/>
      <c r="AJ684" s="218"/>
      <c r="AK684" s="218"/>
      <c r="AL684" s="218"/>
      <c r="AM684" s="218"/>
    </row>
    <row r="685">
      <c r="A685" s="33"/>
      <c r="B685" s="2"/>
      <c r="C685" s="2"/>
      <c r="D685" s="2"/>
      <c r="E685" s="2"/>
      <c r="F685" s="4"/>
      <c r="G685" s="2"/>
      <c r="H685" s="2"/>
      <c r="I685" s="2"/>
      <c r="J685" s="5"/>
      <c r="K685" s="2"/>
      <c r="L685" s="2"/>
      <c r="M685" s="2"/>
      <c r="N685" s="2"/>
      <c r="O685" s="2"/>
      <c r="P685" s="2"/>
      <c r="Q685" s="7"/>
      <c r="R685" s="224"/>
      <c r="S685" s="224"/>
      <c r="T685" s="224"/>
      <c r="U685" s="868"/>
      <c r="V685" s="865"/>
      <c r="W685" s="2"/>
      <c r="X685" s="2"/>
      <c r="Y685" s="2"/>
      <c r="Z685" s="2"/>
      <c r="AA685" s="2"/>
      <c r="AB685" s="2"/>
      <c r="AC685" s="2"/>
      <c r="AD685" s="2"/>
      <c r="AE685" s="2"/>
      <c r="AF685" s="2"/>
      <c r="AG685" s="2"/>
      <c r="AH685" s="2"/>
      <c r="AI685" s="2"/>
      <c r="AJ685" s="218"/>
      <c r="AK685" s="218"/>
      <c r="AL685" s="218"/>
      <c r="AM685" s="218"/>
    </row>
    <row r="686">
      <c r="A686" s="33"/>
      <c r="B686" s="2"/>
      <c r="C686" s="2"/>
      <c r="D686" s="2"/>
      <c r="E686" s="2"/>
      <c r="F686" s="4"/>
      <c r="G686" s="2"/>
      <c r="H686" s="2"/>
      <c r="I686" s="2"/>
      <c r="J686" s="5"/>
      <c r="K686" s="2"/>
      <c r="L686" s="2"/>
      <c r="M686" s="2"/>
      <c r="N686" s="2"/>
      <c r="O686" s="2"/>
      <c r="P686" s="2"/>
      <c r="Q686" s="7"/>
      <c r="R686" s="224"/>
      <c r="S686" s="224"/>
      <c r="T686" s="224"/>
      <c r="U686" s="868"/>
      <c r="V686" s="865"/>
      <c r="W686" s="2"/>
      <c r="X686" s="2"/>
      <c r="Y686" s="2"/>
      <c r="Z686" s="2"/>
      <c r="AA686" s="2"/>
      <c r="AB686" s="2"/>
      <c r="AC686" s="2"/>
      <c r="AD686" s="2"/>
      <c r="AE686" s="2"/>
      <c r="AF686" s="2"/>
      <c r="AG686" s="2"/>
      <c r="AH686" s="2"/>
      <c r="AI686" s="2"/>
      <c r="AJ686" s="218"/>
      <c r="AK686" s="218"/>
      <c r="AL686" s="218"/>
      <c r="AM686" s="218"/>
    </row>
    <row r="687">
      <c r="A687" s="33"/>
      <c r="B687" s="2"/>
      <c r="C687" s="2"/>
      <c r="D687" s="2"/>
      <c r="E687" s="2"/>
      <c r="F687" s="4"/>
      <c r="G687" s="2"/>
      <c r="H687" s="2"/>
      <c r="I687" s="2"/>
      <c r="J687" s="5"/>
      <c r="K687" s="2"/>
      <c r="L687" s="2"/>
      <c r="M687" s="2"/>
      <c r="N687" s="2"/>
      <c r="O687" s="2"/>
      <c r="P687" s="2"/>
      <c r="Q687" s="7"/>
      <c r="R687" s="224"/>
      <c r="S687" s="224"/>
      <c r="T687" s="224"/>
      <c r="U687" s="868"/>
      <c r="V687" s="865"/>
      <c r="W687" s="2"/>
      <c r="X687" s="2"/>
      <c r="Y687" s="2"/>
      <c r="Z687" s="2"/>
      <c r="AA687" s="2"/>
      <c r="AB687" s="2"/>
      <c r="AC687" s="2"/>
      <c r="AD687" s="2"/>
      <c r="AE687" s="2"/>
      <c r="AF687" s="2"/>
      <c r="AG687" s="2"/>
      <c r="AH687" s="2"/>
      <c r="AI687" s="2"/>
      <c r="AJ687" s="218"/>
      <c r="AK687" s="218"/>
      <c r="AL687" s="218"/>
      <c r="AM687" s="218"/>
    </row>
    <row r="688">
      <c r="A688" s="33"/>
      <c r="B688" s="2"/>
      <c r="C688" s="2"/>
      <c r="D688" s="2"/>
      <c r="E688" s="2"/>
      <c r="F688" s="4"/>
      <c r="G688" s="2"/>
      <c r="H688" s="2"/>
      <c r="I688" s="2"/>
      <c r="J688" s="5"/>
      <c r="K688" s="2"/>
      <c r="L688" s="2"/>
      <c r="M688" s="2"/>
      <c r="N688" s="2"/>
      <c r="O688" s="2"/>
      <c r="P688" s="2"/>
      <c r="Q688" s="7"/>
      <c r="R688" s="224"/>
      <c r="S688" s="224"/>
      <c r="T688" s="224"/>
      <c r="U688" s="868"/>
      <c r="V688" s="865"/>
      <c r="W688" s="2"/>
      <c r="X688" s="2"/>
      <c r="Y688" s="2"/>
      <c r="Z688" s="2"/>
      <c r="AA688" s="2"/>
      <c r="AB688" s="2"/>
      <c r="AC688" s="2"/>
      <c r="AD688" s="2"/>
      <c r="AE688" s="2"/>
      <c r="AF688" s="2"/>
      <c r="AG688" s="2"/>
      <c r="AH688" s="2"/>
      <c r="AI688" s="2"/>
      <c r="AJ688" s="218"/>
      <c r="AK688" s="218"/>
      <c r="AL688" s="218"/>
      <c r="AM688" s="218"/>
    </row>
    <row r="689">
      <c r="A689" s="33"/>
      <c r="B689" s="2"/>
      <c r="C689" s="2"/>
      <c r="D689" s="2"/>
      <c r="E689" s="2"/>
      <c r="F689" s="4"/>
      <c r="G689" s="2"/>
      <c r="H689" s="2"/>
      <c r="I689" s="2"/>
      <c r="J689" s="5"/>
      <c r="K689" s="2"/>
      <c r="L689" s="2"/>
      <c r="M689" s="2"/>
      <c r="N689" s="2"/>
      <c r="O689" s="2"/>
      <c r="P689" s="2"/>
      <c r="Q689" s="7"/>
      <c r="R689" s="224"/>
      <c r="S689" s="224"/>
      <c r="T689" s="224"/>
      <c r="U689" s="868"/>
      <c r="V689" s="865"/>
      <c r="W689" s="2"/>
      <c r="X689" s="2"/>
      <c r="Y689" s="2"/>
      <c r="Z689" s="2"/>
      <c r="AA689" s="2"/>
      <c r="AB689" s="2"/>
      <c r="AC689" s="2"/>
      <c r="AD689" s="2"/>
      <c r="AE689" s="2"/>
      <c r="AF689" s="2"/>
      <c r="AG689" s="2"/>
      <c r="AH689" s="2"/>
      <c r="AI689" s="2"/>
      <c r="AJ689" s="218"/>
      <c r="AK689" s="218"/>
      <c r="AL689" s="218"/>
      <c r="AM689" s="218"/>
    </row>
    <row r="690">
      <c r="A690" s="33"/>
      <c r="B690" s="2"/>
      <c r="C690" s="2"/>
      <c r="D690" s="2"/>
      <c r="E690" s="2"/>
      <c r="F690" s="4"/>
      <c r="G690" s="2"/>
      <c r="H690" s="2"/>
      <c r="I690" s="2"/>
      <c r="J690" s="5"/>
      <c r="K690" s="2"/>
      <c r="L690" s="2"/>
      <c r="M690" s="2"/>
      <c r="N690" s="2"/>
      <c r="O690" s="2"/>
      <c r="P690" s="2"/>
      <c r="Q690" s="7"/>
      <c r="R690" s="224"/>
      <c r="S690" s="224"/>
      <c r="T690" s="224"/>
      <c r="U690" s="868"/>
      <c r="V690" s="865"/>
      <c r="W690" s="2"/>
      <c r="X690" s="2"/>
      <c r="Y690" s="2"/>
      <c r="Z690" s="2"/>
      <c r="AA690" s="2"/>
      <c r="AB690" s="2"/>
      <c r="AC690" s="2"/>
      <c r="AD690" s="2"/>
      <c r="AE690" s="2"/>
      <c r="AF690" s="2"/>
      <c r="AG690" s="2"/>
      <c r="AH690" s="2"/>
      <c r="AI690" s="2"/>
      <c r="AJ690" s="218"/>
      <c r="AK690" s="218"/>
      <c r="AL690" s="218"/>
      <c r="AM690" s="218"/>
    </row>
    <row r="691">
      <c r="A691" s="33"/>
      <c r="B691" s="2"/>
      <c r="C691" s="2"/>
      <c r="D691" s="2"/>
      <c r="E691" s="2"/>
      <c r="F691" s="4"/>
      <c r="G691" s="2"/>
      <c r="H691" s="2"/>
      <c r="I691" s="2"/>
      <c r="J691" s="5"/>
      <c r="K691" s="2"/>
      <c r="L691" s="2"/>
      <c r="M691" s="2"/>
      <c r="N691" s="2"/>
      <c r="O691" s="2"/>
      <c r="P691" s="2"/>
      <c r="Q691" s="7"/>
      <c r="R691" s="224"/>
      <c r="S691" s="224"/>
      <c r="T691" s="224"/>
      <c r="U691" s="868"/>
      <c r="V691" s="865"/>
      <c r="W691" s="2"/>
      <c r="X691" s="2"/>
      <c r="Y691" s="2"/>
      <c r="Z691" s="2"/>
      <c r="AA691" s="2"/>
      <c r="AB691" s="2"/>
      <c r="AC691" s="2"/>
      <c r="AD691" s="2"/>
      <c r="AE691" s="2"/>
      <c r="AF691" s="2"/>
      <c r="AG691" s="2"/>
      <c r="AH691" s="2"/>
      <c r="AI691" s="2"/>
      <c r="AJ691" s="218"/>
      <c r="AK691" s="218"/>
      <c r="AL691" s="218"/>
      <c r="AM691" s="218"/>
    </row>
    <row r="692">
      <c r="A692" s="33"/>
      <c r="B692" s="2"/>
      <c r="C692" s="2"/>
      <c r="D692" s="2"/>
      <c r="E692" s="2"/>
      <c r="F692" s="4"/>
      <c r="G692" s="2"/>
      <c r="H692" s="2"/>
      <c r="I692" s="2"/>
      <c r="J692" s="5"/>
      <c r="K692" s="2"/>
      <c r="L692" s="2"/>
      <c r="M692" s="2"/>
      <c r="N692" s="2"/>
      <c r="O692" s="2"/>
      <c r="P692" s="2"/>
      <c r="Q692" s="7"/>
      <c r="R692" s="224"/>
      <c r="S692" s="224"/>
      <c r="T692" s="224"/>
      <c r="U692" s="868"/>
      <c r="V692" s="865"/>
      <c r="W692" s="2"/>
      <c r="X692" s="2"/>
      <c r="Y692" s="2"/>
      <c r="Z692" s="2"/>
      <c r="AA692" s="2"/>
      <c r="AB692" s="2"/>
      <c r="AC692" s="2"/>
      <c r="AD692" s="2"/>
      <c r="AE692" s="2"/>
      <c r="AF692" s="2"/>
      <c r="AG692" s="2"/>
      <c r="AH692" s="2"/>
      <c r="AI692" s="2"/>
      <c r="AJ692" s="218"/>
      <c r="AK692" s="218"/>
      <c r="AL692" s="218"/>
      <c r="AM692" s="218"/>
    </row>
    <row r="693">
      <c r="A693" s="33"/>
      <c r="B693" s="2"/>
      <c r="C693" s="2"/>
      <c r="D693" s="2"/>
      <c r="E693" s="2"/>
      <c r="F693" s="4"/>
      <c r="G693" s="2"/>
      <c r="H693" s="2"/>
      <c r="I693" s="2"/>
      <c r="J693" s="5"/>
      <c r="K693" s="2"/>
      <c r="L693" s="2"/>
      <c r="M693" s="2"/>
      <c r="N693" s="2"/>
      <c r="O693" s="2"/>
      <c r="P693" s="2"/>
      <c r="Q693" s="7"/>
      <c r="R693" s="224"/>
      <c r="S693" s="224"/>
      <c r="T693" s="224"/>
      <c r="U693" s="868"/>
      <c r="V693" s="865"/>
      <c r="W693" s="2"/>
      <c r="X693" s="2"/>
      <c r="Y693" s="2"/>
      <c r="Z693" s="2"/>
      <c r="AA693" s="2"/>
      <c r="AB693" s="2"/>
      <c r="AC693" s="2"/>
      <c r="AD693" s="2"/>
      <c r="AE693" s="2"/>
      <c r="AF693" s="2"/>
      <c r="AG693" s="2"/>
      <c r="AH693" s="2"/>
      <c r="AI693" s="2"/>
      <c r="AJ693" s="218"/>
      <c r="AK693" s="218"/>
      <c r="AL693" s="218"/>
      <c r="AM693" s="218"/>
    </row>
    <row r="694">
      <c r="A694" s="33"/>
      <c r="B694" s="2"/>
      <c r="C694" s="2"/>
      <c r="D694" s="2"/>
      <c r="E694" s="2"/>
      <c r="F694" s="4"/>
      <c r="G694" s="2"/>
      <c r="H694" s="2"/>
      <c r="I694" s="2"/>
      <c r="J694" s="5"/>
      <c r="K694" s="2"/>
      <c r="L694" s="2"/>
      <c r="M694" s="2"/>
      <c r="N694" s="2"/>
      <c r="O694" s="2"/>
      <c r="P694" s="2"/>
      <c r="Q694" s="7"/>
      <c r="R694" s="224"/>
      <c r="S694" s="224"/>
      <c r="T694" s="224"/>
      <c r="U694" s="868"/>
      <c r="V694" s="865"/>
      <c r="W694" s="2"/>
      <c r="X694" s="2"/>
      <c r="Y694" s="2"/>
      <c r="Z694" s="2"/>
      <c r="AA694" s="2"/>
      <c r="AB694" s="2"/>
      <c r="AC694" s="2"/>
      <c r="AD694" s="2"/>
      <c r="AE694" s="2"/>
      <c r="AF694" s="2"/>
      <c r="AG694" s="2"/>
      <c r="AH694" s="2"/>
      <c r="AI694" s="2"/>
      <c r="AJ694" s="218"/>
      <c r="AK694" s="218"/>
      <c r="AL694" s="218"/>
      <c r="AM694" s="218"/>
    </row>
    <row r="695">
      <c r="A695" s="33"/>
      <c r="B695" s="2"/>
      <c r="C695" s="2"/>
      <c r="D695" s="2"/>
      <c r="E695" s="2"/>
      <c r="F695" s="4"/>
      <c r="G695" s="2"/>
      <c r="H695" s="2"/>
      <c r="I695" s="2"/>
      <c r="J695" s="5"/>
      <c r="K695" s="2"/>
      <c r="L695" s="2"/>
      <c r="M695" s="2"/>
      <c r="N695" s="2"/>
      <c r="O695" s="2"/>
      <c r="P695" s="2"/>
      <c r="Q695" s="7"/>
      <c r="R695" s="224"/>
      <c r="S695" s="224"/>
      <c r="T695" s="224"/>
      <c r="U695" s="868"/>
      <c r="V695" s="865"/>
      <c r="W695" s="2"/>
      <c r="X695" s="2"/>
      <c r="Y695" s="2"/>
      <c r="Z695" s="2"/>
      <c r="AA695" s="2"/>
      <c r="AB695" s="2"/>
      <c r="AC695" s="2"/>
      <c r="AD695" s="2"/>
      <c r="AE695" s="2"/>
      <c r="AF695" s="2"/>
      <c r="AG695" s="2"/>
      <c r="AH695" s="2"/>
      <c r="AI695" s="2"/>
      <c r="AJ695" s="218"/>
      <c r="AK695" s="218"/>
      <c r="AL695" s="218"/>
      <c r="AM695" s="218"/>
    </row>
    <row r="696">
      <c r="A696" s="33"/>
      <c r="B696" s="2"/>
      <c r="C696" s="2"/>
      <c r="D696" s="2"/>
      <c r="E696" s="2"/>
      <c r="F696" s="4"/>
      <c r="G696" s="2"/>
      <c r="H696" s="2"/>
      <c r="I696" s="2"/>
      <c r="J696" s="5"/>
      <c r="K696" s="2"/>
      <c r="L696" s="2"/>
      <c r="M696" s="2"/>
      <c r="N696" s="2"/>
      <c r="O696" s="2"/>
      <c r="P696" s="2"/>
      <c r="Q696" s="7"/>
      <c r="R696" s="224"/>
      <c r="S696" s="224"/>
      <c r="T696" s="224"/>
      <c r="U696" s="868"/>
      <c r="V696" s="865"/>
      <c r="W696" s="2"/>
      <c r="X696" s="2"/>
      <c r="Y696" s="2"/>
      <c r="Z696" s="2"/>
      <c r="AA696" s="2"/>
      <c r="AB696" s="2"/>
      <c r="AC696" s="2"/>
      <c r="AD696" s="2"/>
      <c r="AE696" s="2"/>
      <c r="AF696" s="2"/>
      <c r="AG696" s="2"/>
      <c r="AH696" s="2"/>
      <c r="AI696" s="2"/>
      <c r="AJ696" s="218"/>
      <c r="AK696" s="218"/>
      <c r="AL696" s="218"/>
      <c r="AM696" s="218"/>
    </row>
    <row r="697">
      <c r="A697" s="33"/>
      <c r="B697" s="2"/>
      <c r="C697" s="2"/>
      <c r="D697" s="2"/>
      <c r="E697" s="2"/>
      <c r="F697" s="4"/>
      <c r="G697" s="2"/>
      <c r="H697" s="2"/>
      <c r="I697" s="2"/>
      <c r="J697" s="5"/>
      <c r="K697" s="2"/>
      <c r="L697" s="2"/>
      <c r="M697" s="2"/>
      <c r="N697" s="2"/>
      <c r="O697" s="2"/>
      <c r="P697" s="2"/>
      <c r="Q697" s="7"/>
      <c r="R697" s="224"/>
      <c r="S697" s="224"/>
      <c r="T697" s="224"/>
      <c r="U697" s="868"/>
      <c r="V697" s="865"/>
      <c r="W697" s="2"/>
      <c r="X697" s="2"/>
      <c r="Y697" s="2"/>
      <c r="Z697" s="2"/>
      <c r="AA697" s="2"/>
      <c r="AB697" s="2"/>
      <c r="AC697" s="2"/>
      <c r="AD697" s="2"/>
      <c r="AE697" s="2"/>
      <c r="AF697" s="2"/>
      <c r="AG697" s="2"/>
      <c r="AH697" s="2"/>
      <c r="AI697" s="2"/>
      <c r="AJ697" s="218"/>
      <c r="AK697" s="218"/>
      <c r="AL697" s="218"/>
      <c r="AM697" s="218"/>
    </row>
    <row r="698">
      <c r="A698" s="33"/>
      <c r="B698" s="2"/>
      <c r="C698" s="2"/>
      <c r="D698" s="2"/>
      <c r="E698" s="2"/>
      <c r="F698" s="4"/>
      <c r="G698" s="2"/>
      <c r="H698" s="2"/>
      <c r="I698" s="2"/>
      <c r="J698" s="5"/>
      <c r="K698" s="2"/>
      <c r="L698" s="2"/>
      <c r="M698" s="2"/>
      <c r="N698" s="2"/>
      <c r="O698" s="2"/>
      <c r="P698" s="2"/>
      <c r="Q698" s="7"/>
      <c r="R698" s="224"/>
      <c r="S698" s="224"/>
      <c r="T698" s="224"/>
      <c r="U698" s="868"/>
      <c r="V698" s="865"/>
      <c r="W698" s="2"/>
      <c r="X698" s="2"/>
      <c r="Y698" s="2"/>
      <c r="Z698" s="2"/>
      <c r="AA698" s="2"/>
      <c r="AB698" s="2"/>
      <c r="AC698" s="2"/>
      <c r="AD698" s="2"/>
      <c r="AE698" s="2"/>
      <c r="AF698" s="2"/>
      <c r="AG698" s="2"/>
      <c r="AH698" s="2"/>
      <c r="AI698" s="2"/>
      <c r="AJ698" s="218"/>
      <c r="AK698" s="218"/>
      <c r="AL698" s="218"/>
      <c r="AM698" s="218"/>
    </row>
    <row r="699">
      <c r="A699" s="33"/>
      <c r="B699" s="2"/>
      <c r="C699" s="2"/>
      <c r="D699" s="2"/>
      <c r="E699" s="2"/>
      <c r="F699" s="4"/>
      <c r="G699" s="2"/>
      <c r="H699" s="2"/>
      <c r="I699" s="2"/>
      <c r="J699" s="5"/>
      <c r="K699" s="2"/>
      <c r="L699" s="2"/>
      <c r="M699" s="2"/>
      <c r="N699" s="2"/>
      <c r="O699" s="2"/>
      <c r="P699" s="2"/>
      <c r="Q699" s="7"/>
      <c r="R699" s="224"/>
      <c r="S699" s="224"/>
      <c r="T699" s="224"/>
      <c r="U699" s="868"/>
      <c r="V699" s="865"/>
      <c r="W699" s="2"/>
      <c r="X699" s="2"/>
      <c r="Y699" s="2"/>
      <c r="Z699" s="2"/>
      <c r="AA699" s="2"/>
      <c r="AB699" s="2"/>
      <c r="AC699" s="2"/>
      <c r="AD699" s="2"/>
      <c r="AE699" s="2"/>
      <c r="AF699" s="2"/>
      <c r="AG699" s="2"/>
      <c r="AH699" s="2"/>
      <c r="AI699" s="2"/>
      <c r="AJ699" s="218"/>
      <c r="AK699" s="218"/>
      <c r="AL699" s="218"/>
      <c r="AM699" s="218"/>
    </row>
    <row r="700">
      <c r="A700" s="33"/>
      <c r="B700" s="2"/>
      <c r="C700" s="2"/>
      <c r="D700" s="2"/>
      <c r="E700" s="2"/>
      <c r="F700" s="4"/>
      <c r="G700" s="2"/>
      <c r="H700" s="2"/>
      <c r="I700" s="2"/>
      <c r="J700" s="5"/>
      <c r="K700" s="2"/>
      <c r="L700" s="2"/>
      <c r="M700" s="2"/>
      <c r="N700" s="2"/>
      <c r="O700" s="2"/>
      <c r="P700" s="2"/>
      <c r="Q700" s="7"/>
      <c r="R700" s="224"/>
      <c r="S700" s="224"/>
      <c r="T700" s="224"/>
      <c r="U700" s="868"/>
      <c r="V700" s="865"/>
      <c r="W700" s="2"/>
      <c r="X700" s="2"/>
      <c r="Y700" s="2"/>
      <c r="Z700" s="2"/>
      <c r="AA700" s="2"/>
      <c r="AB700" s="2"/>
      <c r="AC700" s="2"/>
      <c r="AD700" s="2"/>
      <c r="AE700" s="2"/>
      <c r="AF700" s="2"/>
      <c r="AG700" s="2"/>
      <c r="AH700" s="2"/>
      <c r="AI700" s="2"/>
      <c r="AJ700" s="218"/>
      <c r="AK700" s="218"/>
      <c r="AL700" s="218"/>
      <c r="AM700" s="218"/>
    </row>
    <row r="701">
      <c r="A701" s="33"/>
      <c r="B701" s="2"/>
      <c r="C701" s="2"/>
      <c r="D701" s="2"/>
      <c r="E701" s="2"/>
      <c r="F701" s="4"/>
      <c r="G701" s="2"/>
      <c r="H701" s="2"/>
      <c r="I701" s="2"/>
      <c r="J701" s="5"/>
      <c r="K701" s="2"/>
      <c r="L701" s="2"/>
      <c r="M701" s="2"/>
      <c r="N701" s="2"/>
      <c r="O701" s="2"/>
      <c r="P701" s="2"/>
      <c r="Q701" s="7"/>
      <c r="R701" s="224"/>
      <c r="S701" s="224"/>
      <c r="T701" s="224"/>
      <c r="U701" s="868"/>
      <c r="V701" s="865"/>
      <c r="W701" s="2"/>
      <c r="X701" s="2"/>
      <c r="Y701" s="2"/>
      <c r="Z701" s="2"/>
      <c r="AA701" s="2"/>
      <c r="AB701" s="2"/>
      <c r="AC701" s="2"/>
      <c r="AD701" s="2"/>
      <c r="AE701" s="2"/>
      <c r="AF701" s="2"/>
      <c r="AG701" s="2"/>
      <c r="AH701" s="2"/>
      <c r="AI701" s="2"/>
      <c r="AJ701" s="218"/>
      <c r="AK701" s="218"/>
      <c r="AL701" s="218"/>
      <c r="AM701" s="218"/>
    </row>
    <row r="702">
      <c r="A702" s="33"/>
      <c r="B702" s="2"/>
      <c r="C702" s="2"/>
      <c r="D702" s="2"/>
      <c r="E702" s="2"/>
      <c r="F702" s="4"/>
      <c r="G702" s="2"/>
      <c r="H702" s="2"/>
      <c r="I702" s="2"/>
      <c r="J702" s="5"/>
      <c r="K702" s="2"/>
      <c r="L702" s="2"/>
      <c r="M702" s="2"/>
      <c r="N702" s="2"/>
      <c r="O702" s="2"/>
      <c r="P702" s="2"/>
      <c r="Q702" s="7"/>
      <c r="R702" s="224"/>
      <c r="S702" s="224"/>
      <c r="T702" s="224"/>
      <c r="U702" s="868"/>
      <c r="V702" s="865"/>
      <c r="W702" s="2"/>
      <c r="X702" s="2"/>
      <c r="Y702" s="2"/>
      <c r="Z702" s="2"/>
      <c r="AA702" s="2"/>
      <c r="AB702" s="2"/>
      <c r="AC702" s="2"/>
      <c r="AD702" s="2"/>
      <c r="AE702" s="2"/>
      <c r="AF702" s="2"/>
      <c r="AG702" s="2"/>
      <c r="AH702" s="2"/>
      <c r="AI702" s="2"/>
      <c r="AJ702" s="218"/>
      <c r="AK702" s="218"/>
      <c r="AL702" s="218"/>
      <c r="AM702" s="218"/>
    </row>
    <row r="703">
      <c r="A703" s="33"/>
      <c r="B703" s="2"/>
      <c r="C703" s="2"/>
      <c r="D703" s="2"/>
      <c r="E703" s="2"/>
      <c r="F703" s="4"/>
      <c r="G703" s="2"/>
      <c r="H703" s="2"/>
      <c r="I703" s="2"/>
      <c r="J703" s="5"/>
      <c r="K703" s="2"/>
      <c r="L703" s="2"/>
      <c r="M703" s="2"/>
      <c r="N703" s="2"/>
      <c r="O703" s="2"/>
      <c r="P703" s="2"/>
      <c r="Q703" s="7"/>
      <c r="R703" s="224"/>
      <c r="S703" s="224"/>
      <c r="T703" s="224"/>
      <c r="U703" s="868"/>
      <c r="V703" s="865"/>
      <c r="W703" s="2"/>
      <c r="X703" s="2"/>
      <c r="Y703" s="2"/>
      <c r="Z703" s="2"/>
      <c r="AA703" s="2"/>
      <c r="AB703" s="2"/>
      <c r="AC703" s="2"/>
      <c r="AD703" s="2"/>
      <c r="AE703" s="2"/>
      <c r="AF703" s="2"/>
      <c r="AG703" s="2"/>
      <c r="AH703" s="2"/>
      <c r="AI703" s="2"/>
      <c r="AJ703" s="218"/>
      <c r="AK703" s="218"/>
      <c r="AL703" s="218"/>
      <c r="AM703" s="218"/>
    </row>
    <row r="704">
      <c r="A704" s="33"/>
      <c r="B704" s="2"/>
      <c r="C704" s="2"/>
      <c r="D704" s="2"/>
      <c r="E704" s="2"/>
      <c r="F704" s="4"/>
      <c r="G704" s="2"/>
      <c r="H704" s="2"/>
      <c r="I704" s="2"/>
      <c r="J704" s="5"/>
      <c r="K704" s="2"/>
      <c r="L704" s="2"/>
      <c r="M704" s="2"/>
      <c r="N704" s="2"/>
      <c r="O704" s="2"/>
      <c r="P704" s="2"/>
      <c r="Q704" s="7"/>
      <c r="R704" s="224"/>
      <c r="S704" s="224"/>
      <c r="T704" s="224"/>
      <c r="U704" s="868"/>
      <c r="V704" s="865"/>
      <c r="W704" s="2"/>
      <c r="X704" s="2"/>
      <c r="Y704" s="2"/>
      <c r="Z704" s="2"/>
      <c r="AA704" s="2"/>
      <c r="AB704" s="2"/>
      <c r="AC704" s="2"/>
      <c r="AD704" s="2"/>
      <c r="AE704" s="2"/>
      <c r="AF704" s="2"/>
      <c r="AG704" s="2"/>
      <c r="AH704" s="2"/>
      <c r="AI704" s="2"/>
      <c r="AJ704" s="218"/>
      <c r="AK704" s="218"/>
      <c r="AL704" s="218"/>
      <c r="AM704" s="218"/>
    </row>
    <row r="705">
      <c r="A705" s="33"/>
      <c r="B705" s="2"/>
      <c r="C705" s="2"/>
      <c r="D705" s="2"/>
      <c r="E705" s="2"/>
      <c r="F705" s="4"/>
      <c r="G705" s="2"/>
      <c r="H705" s="2"/>
      <c r="I705" s="2"/>
      <c r="J705" s="5"/>
      <c r="K705" s="2"/>
      <c r="L705" s="2"/>
      <c r="M705" s="2"/>
      <c r="N705" s="2"/>
      <c r="O705" s="2"/>
      <c r="P705" s="2"/>
      <c r="Q705" s="7"/>
      <c r="R705" s="224"/>
      <c r="S705" s="224"/>
      <c r="T705" s="224"/>
      <c r="U705" s="868"/>
      <c r="V705" s="865"/>
      <c r="W705" s="2"/>
      <c r="X705" s="2"/>
      <c r="Y705" s="2"/>
      <c r="Z705" s="2"/>
      <c r="AA705" s="2"/>
      <c r="AB705" s="2"/>
      <c r="AC705" s="2"/>
      <c r="AD705" s="2"/>
      <c r="AE705" s="2"/>
      <c r="AF705" s="2"/>
      <c r="AG705" s="2"/>
      <c r="AH705" s="2"/>
      <c r="AI705" s="2"/>
      <c r="AJ705" s="218"/>
      <c r="AK705" s="218"/>
      <c r="AL705" s="218"/>
      <c r="AM705" s="218"/>
    </row>
    <row r="706">
      <c r="A706" s="33"/>
      <c r="B706" s="2"/>
      <c r="C706" s="2"/>
      <c r="D706" s="2"/>
      <c r="E706" s="2"/>
      <c r="F706" s="4"/>
      <c r="G706" s="2"/>
      <c r="H706" s="2"/>
      <c r="I706" s="2"/>
      <c r="J706" s="5"/>
      <c r="K706" s="2"/>
      <c r="L706" s="2"/>
      <c r="M706" s="2"/>
      <c r="N706" s="2"/>
      <c r="O706" s="2"/>
      <c r="P706" s="2"/>
      <c r="Q706" s="7"/>
      <c r="R706" s="224"/>
      <c r="S706" s="224"/>
      <c r="T706" s="224"/>
      <c r="U706" s="868"/>
      <c r="V706" s="865"/>
      <c r="W706" s="2"/>
      <c r="X706" s="2"/>
      <c r="Y706" s="2"/>
      <c r="Z706" s="2"/>
      <c r="AA706" s="2"/>
      <c r="AB706" s="2"/>
      <c r="AC706" s="2"/>
      <c r="AD706" s="2"/>
      <c r="AE706" s="2"/>
      <c r="AF706" s="2"/>
      <c r="AG706" s="2"/>
      <c r="AH706" s="2"/>
      <c r="AI706" s="2"/>
      <c r="AJ706" s="218"/>
      <c r="AK706" s="218"/>
      <c r="AL706" s="218"/>
      <c r="AM706" s="218"/>
    </row>
    <row r="707">
      <c r="A707" s="33"/>
      <c r="B707" s="2"/>
      <c r="C707" s="2"/>
      <c r="D707" s="2"/>
      <c r="E707" s="2"/>
      <c r="F707" s="4"/>
      <c r="G707" s="2"/>
      <c r="H707" s="2"/>
      <c r="I707" s="2"/>
      <c r="J707" s="5"/>
      <c r="K707" s="2"/>
      <c r="L707" s="2"/>
      <c r="M707" s="2"/>
      <c r="N707" s="2"/>
      <c r="O707" s="2"/>
      <c r="P707" s="2"/>
      <c r="Q707" s="7"/>
      <c r="R707" s="224"/>
      <c r="S707" s="224"/>
      <c r="T707" s="224"/>
      <c r="U707" s="868"/>
      <c r="V707" s="865"/>
      <c r="W707" s="2"/>
      <c r="X707" s="2"/>
      <c r="Y707" s="2"/>
      <c r="Z707" s="2"/>
      <c r="AA707" s="2"/>
      <c r="AB707" s="2"/>
      <c r="AC707" s="2"/>
      <c r="AD707" s="2"/>
      <c r="AE707" s="2"/>
      <c r="AF707" s="2"/>
      <c r="AG707" s="2"/>
      <c r="AH707" s="2"/>
      <c r="AI707" s="2"/>
      <c r="AJ707" s="218"/>
      <c r="AK707" s="218"/>
      <c r="AL707" s="218"/>
      <c r="AM707" s="218"/>
    </row>
    <row r="708">
      <c r="A708" s="33"/>
      <c r="B708" s="2"/>
      <c r="C708" s="2"/>
      <c r="D708" s="2"/>
      <c r="E708" s="2"/>
      <c r="F708" s="4"/>
      <c r="G708" s="2"/>
      <c r="H708" s="2"/>
      <c r="I708" s="2"/>
      <c r="J708" s="5"/>
      <c r="K708" s="2"/>
      <c r="L708" s="2"/>
      <c r="M708" s="2"/>
      <c r="N708" s="2"/>
      <c r="O708" s="2"/>
      <c r="P708" s="2"/>
      <c r="Q708" s="7"/>
      <c r="R708" s="224"/>
      <c r="S708" s="224"/>
      <c r="T708" s="224"/>
      <c r="U708" s="868"/>
      <c r="V708" s="865"/>
      <c r="W708" s="2"/>
      <c r="X708" s="2"/>
      <c r="Y708" s="2"/>
      <c r="Z708" s="2"/>
      <c r="AA708" s="2"/>
      <c r="AB708" s="2"/>
      <c r="AC708" s="2"/>
      <c r="AD708" s="2"/>
      <c r="AE708" s="2"/>
      <c r="AF708" s="2"/>
      <c r="AG708" s="2"/>
      <c r="AH708" s="2"/>
      <c r="AI708" s="2"/>
      <c r="AJ708" s="218"/>
      <c r="AK708" s="218"/>
      <c r="AL708" s="218"/>
      <c r="AM708" s="218"/>
    </row>
    <row r="709">
      <c r="A709" s="33"/>
      <c r="B709" s="2"/>
      <c r="C709" s="2"/>
      <c r="D709" s="2"/>
      <c r="E709" s="2"/>
      <c r="F709" s="4"/>
      <c r="G709" s="2"/>
      <c r="H709" s="2"/>
      <c r="I709" s="2"/>
      <c r="J709" s="5"/>
      <c r="K709" s="2"/>
      <c r="L709" s="2"/>
      <c r="M709" s="2"/>
      <c r="N709" s="2"/>
      <c r="O709" s="2"/>
      <c r="P709" s="2"/>
      <c r="Q709" s="7"/>
      <c r="R709" s="224"/>
      <c r="S709" s="224"/>
      <c r="T709" s="224"/>
      <c r="U709" s="868"/>
      <c r="V709" s="865"/>
      <c r="W709" s="2"/>
      <c r="X709" s="2"/>
      <c r="Y709" s="2"/>
      <c r="Z709" s="2"/>
      <c r="AA709" s="2"/>
      <c r="AB709" s="2"/>
      <c r="AC709" s="2"/>
      <c r="AD709" s="2"/>
      <c r="AE709" s="2"/>
      <c r="AF709" s="2"/>
      <c r="AG709" s="2"/>
      <c r="AH709" s="2"/>
      <c r="AI709" s="2"/>
      <c r="AJ709" s="218"/>
      <c r="AK709" s="218"/>
      <c r="AL709" s="218"/>
      <c r="AM709" s="218"/>
    </row>
    <row r="710">
      <c r="A710" s="33"/>
      <c r="B710" s="2"/>
      <c r="C710" s="2"/>
      <c r="D710" s="2"/>
      <c r="E710" s="2"/>
      <c r="F710" s="4"/>
      <c r="G710" s="2"/>
      <c r="H710" s="2"/>
      <c r="I710" s="2"/>
      <c r="J710" s="5"/>
      <c r="K710" s="2"/>
      <c r="L710" s="2"/>
      <c r="M710" s="2"/>
      <c r="N710" s="2"/>
      <c r="O710" s="2"/>
      <c r="P710" s="2"/>
      <c r="Q710" s="7"/>
      <c r="R710" s="224"/>
      <c r="S710" s="224"/>
      <c r="T710" s="224"/>
      <c r="U710" s="868"/>
      <c r="V710" s="865"/>
      <c r="W710" s="2"/>
      <c r="X710" s="2"/>
      <c r="Y710" s="2"/>
      <c r="Z710" s="2"/>
      <c r="AA710" s="2"/>
      <c r="AB710" s="2"/>
      <c r="AC710" s="2"/>
      <c r="AD710" s="2"/>
      <c r="AE710" s="2"/>
      <c r="AF710" s="2"/>
      <c r="AG710" s="2"/>
      <c r="AH710" s="2"/>
      <c r="AI710" s="2"/>
      <c r="AJ710" s="218"/>
      <c r="AK710" s="218"/>
      <c r="AL710" s="218"/>
      <c r="AM710" s="218"/>
    </row>
    <row r="711">
      <c r="A711" s="33"/>
      <c r="B711" s="2"/>
      <c r="C711" s="2"/>
      <c r="D711" s="2"/>
      <c r="E711" s="2"/>
      <c r="F711" s="4"/>
      <c r="G711" s="2"/>
      <c r="H711" s="2"/>
      <c r="I711" s="2"/>
      <c r="J711" s="5"/>
      <c r="K711" s="2"/>
      <c r="L711" s="2"/>
      <c r="M711" s="2"/>
      <c r="N711" s="2"/>
      <c r="O711" s="2"/>
      <c r="P711" s="2"/>
      <c r="Q711" s="7"/>
      <c r="R711" s="224"/>
      <c r="S711" s="224"/>
      <c r="T711" s="224"/>
      <c r="U711" s="868"/>
      <c r="V711" s="865"/>
      <c r="W711" s="2"/>
      <c r="X711" s="2"/>
      <c r="Y711" s="2"/>
      <c r="Z711" s="2"/>
      <c r="AA711" s="2"/>
      <c r="AB711" s="2"/>
      <c r="AC711" s="2"/>
      <c r="AD711" s="2"/>
      <c r="AE711" s="2"/>
      <c r="AF711" s="2"/>
      <c r="AG711" s="2"/>
      <c r="AH711" s="2"/>
      <c r="AI711" s="2"/>
      <c r="AJ711" s="218"/>
      <c r="AK711" s="218"/>
      <c r="AL711" s="218"/>
      <c r="AM711" s="218"/>
    </row>
    <row r="712">
      <c r="A712" s="33"/>
      <c r="B712" s="2"/>
      <c r="C712" s="2"/>
      <c r="D712" s="2"/>
      <c r="E712" s="2"/>
      <c r="F712" s="4"/>
      <c r="G712" s="2"/>
      <c r="H712" s="2"/>
      <c r="I712" s="2"/>
      <c r="J712" s="5"/>
      <c r="K712" s="2"/>
      <c r="L712" s="2"/>
      <c r="M712" s="2"/>
      <c r="N712" s="2"/>
      <c r="O712" s="2"/>
      <c r="P712" s="2"/>
      <c r="Q712" s="7"/>
      <c r="R712" s="224"/>
      <c r="S712" s="224"/>
      <c r="T712" s="224"/>
      <c r="U712" s="868"/>
      <c r="V712" s="865"/>
      <c r="W712" s="2"/>
      <c r="X712" s="2"/>
      <c r="Y712" s="2"/>
      <c r="Z712" s="2"/>
      <c r="AA712" s="2"/>
      <c r="AB712" s="2"/>
      <c r="AC712" s="2"/>
      <c r="AD712" s="2"/>
      <c r="AE712" s="2"/>
      <c r="AF712" s="2"/>
      <c r="AG712" s="2"/>
      <c r="AH712" s="2"/>
      <c r="AI712" s="2"/>
      <c r="AJ712" s="218"/>
      <c r="AK712" s="218"/>
      <c r="AL712" s="218"/>
      <c r="AM712" s="218"/>
    </row>
    <row r="713">
      <c r="A713" s="33"/>
      <c r="B713" s="2"/>
      <c r="C713" s="2"/>
      <c r="D713" s="2"/>
      <c r="E713" s="2"/>
      <c r="F713" s="4"/>
      <c r="G713" s="2"/>
      <c r="H713" s="2"/>
      <c r="I713" s="2"/>
      <c r="J713" s="5"/>
      <c r="K713" s="2"/>
      <c r="L713" s="2"/>
      <c r="M713" s="2"/>
      <c r="N713" s="2"/>
      <c r="O713" s="2"/>
      <c r="P713" s="2"/>
      <c r="Q713" s="7"/>
      <c r="R713" s="224"/>
      <c r="S713" s="224"/>
      <c r="T713" s="224"/>
      <c r="U713" s="868"/>
      <c r="V713" s="865"/>
      <c r="W713" s="2"/>
      <c r="X713" s="2"/>
      <c r="Y713" s="2"/>
      <c r="Z713" s="2"/>
      <c r="AA713" s="2"/>
      <c r="AB713" s="2"/>
      <c r="AC713" s="2"/>
      <c r="AD713" s="2"/>
      <c r="AE713" s="2"/>
      <c r="AF713" s="2"/>
      <c r="AG713" s="2"/>
      <c r="AH713" s="2"/>
      <c r="AI713" s="2"/>
      <c r="AJ713" s="218"/>
      <c r="AK713" s="218"/>
      <c r="AL713" s="218"/>
      <c r="AM713" s="218"/>
    </row>
    <row r="714">
      <c r="A714" s="33"/>
      <c r="B714" s="2"/>
      <c r="C714" s="2"/>
      <c r="D714" s="2"/>
      <c r="E714" s="2"/>
      <c r="F714" s="4"/>
      <c r="G714" s="2"/>
      <c r="H714" s="2"/>
      <c r="I714" s="2"/>
      <c r="J714" s="5"/>
      <c r="K714" s="2"/>
      <c r="L714" s="2"/>
      <c r="M714" s="2"/>
      <c r="N714" s="2"/>
      <c r="O714" s="2"/>
      <c r="P714" s="2"/>
      <c r="Q714" s="7"/>
      <c r="R714" s="224"/>
      <c r="S714" s="224"/>
      <c r="T714" s="224"/>
      <c r="U714" s="868"/>
      <c r="V714" s="865"/>
      <c r="W714" s="2"/>
      <c r="X714" s="2"/>
      <c r="Y714" s="2"/>
      <c r="Z714" s="2"/>
      <c r="AA714" s="2"/>
      <c r="AB714" s="2"/>
      <c r="AC714" s="2"/>
      <c r="AD714" s="2"/>
      <c r="AE714" s="2"/>
      <c r="AF714" s="2"/>
      <c r="AG714" s="2"/>
      <c r="AH714" s="2"/>
      <c r="AI714" s="2"/>
      <c r="AJ714" s="218"/>
      <c r="AK714" s="218"/>
      <c r="AL714" s="218"/>
      <c r="AM714" s="218"/>
    </row>
    <row r="715">
      <c r="A715" s="33"/>
      <c r="B715" s="2"/>
      <c r="C715" s="2"/>
      <c r="D715" s="2"/>
      <c r="E715" s="2"/>
      <c r="F715" s="4"/>
      <c r="G715" s="2"/>
      <c r="H715" s="2"/>
      <c r="I715" s="2"/>
      <c r="J715" s="5"/>
      <c r="K715" s="2"/>
      <c r="L715" s="2"/>
      <c r="M715" s="2"/>
      <c r="N715" s="2"/>
      <c r="O715" s="2"/>
      <c r="P715" s="2"/>
      <c r="Q715" s="7"/>
      <c r="R715" s="224"/>
      <c r="S715" s="224"/>
      <c r="T715" s="224"/>
      <c r="U715" s="868"/>
      <c r="V715" s="865"/>
      <c r="W715" s="2"/>
      <c r="X715" s="2"/>
      <c r="Y715" s="2"/>
      <c r="Z715" s="2"/>
      <c r="AA715" s="2"/>
      <c r="AB715" s="2"/>
      <c r="AC715" s="2"/>
      <c r="AD715" s="2"/>
      <c r="AE715" s="2"/>
      <c r="AF715" s="2"/>
      <c r="AG715" s="2"/>
      <c r="AH715" s="2"/>
      <c r="AI715" s="2"/>
      <c r="AJ715" s="218"/>
      <c r="AK715" s="218"/>
      <c r="AL715" s="218"/>
      <c r="AM715" s="218"/>
    </row>
    <row r="716">
      <c r="A716" s="33"/>
      <c r="B716" s="2"/>
      <c r="C716" s="2"/>
      <c r="D716" s="2"/>
      <c r="E716" s="2"/>
      <c r="F716" s="4"/>
      <c r="G716" s="2"/>
      <c r="H716" s="2"/>
      <c r="I716" s="2"/>
      <c r="J716" s="5"/>
      <c r="K716" s="2"/>
      <c r="L716" s="2"/>
      <c r="M716" s="2"/>
      <c r="N716" s="2"/>
      <c r="O716" s="2"/>
      <c r="P716" s="2"/>
      <c r="Q716" s="7"/>
      <c r="R716" s="224"/>
      <c r="S716" s="224"/>
      <c r="T716" s="224"/>
      <c r="U716" s="868"/>
      <c r="V716" s="865"/>
      <c r="W716" s="2"/>
      <c r="X716" s="2"/>
      <c r="Y716" s="2"/>
      <c r="Z716" s="2"/>
      <c r="AA716" s="2"/>
      <c r="AB716" s="2"/>
      <c r="AC716" s="2"/>
      <c r="AD716" s="2"/>
      <c r="AE716" s="2"/>
      <c r="AF716" s="2"/>
      <c r="AG716" s="2"/>
      <c r="AH716" s="2"/>
      <c r="AI716" s="2"/>
      <c r="AJ716" s="218"/>
      <c r="AK716" s="218"/>
      <c r="AL716" s="218"/>
      <c r="AM716" s="218"/>
    </row>
    <row r="717">
      <c r="A717" s="33"/>
      <c r="B717" s="2"/>
      <c r="C717" s="2"/>
      <c r="D717" s="2"/>
      <c r="E717" s="2"/>
      <c r="F717" s="4"/>
      <c r="G717" s="2"/>
      <c r="H717" s="2"/>
      <c r="I717" s="2"/>
      <c r="J717" s="5"/>
      <c r="K717" s="2"/>
      <c r="L717" s="2"/>
      <c r="M717" s="2"/>
      <c r="N717" s="2"/>
      <c r="O717" s="2"/>
      <c r="P717" s="2"/>
      <c r="Q717" s="7"/>
      <c r="R717" s="224"/>
      <c r="S717" s="224"/>
      <c r="T717" s="224"/>
      <c r="U717" s="868"/>
      <c r="V717" s="865"/>
      <c r="W717" s="2"/>
      <c r="X717" s="2"/>
      <c r="Y717" s="2"/>
      <c r="Z717" s="2"/>
      <c r="AA717" s="2"/>
      <c r="AB717" s="2"/>
      <c r="AC717" s="2"/>
      <c r="AD717" s="2"/>
      <c r="AE717" s="2"/>
      <c r="AF717" s="2"/>
      <c r="AG717" s="2"/>
      <c r="AH717" s="2"/>
      <c r="AI717" s="2"/>
      <c r="AJ717" s="218"/>
      <c r="AK717" s="218"/>
      <c r="AL717" s="218"/>
      <c r="AM717" s="218"/>
    </row>
    <row r="718">
      <c r="A718" s="33"/>
      <c r="B718" s="2"/>
      <c r="C718" s="2"/>
      <c r="D718" s="2"/>
      <c r="E718" s="2"/>
      <c r="F718" s="4"/>
      <c r="G718" s="2"/>
      <c r="H718" s="2"/>
      <c r="I718" s="2"/>
      <c r="J718" s="5"/>
      <c r="K718" s="2"/>
      <c r="L718" s="2"/>
      <c r="M718" s="2"/>
      <c r="N718" s="2"/>
      <c r="O718" s="2"/>
      <c r="P718" s="2"/>
      <c r="Q718" s="7"/>
      <c r="R718" s="224"/>
      <c r="S718" s="224"/>
      <c r="T718" s="224"/>
      <c r="U718" s="868"/>
      <c r="V718" s="865"/>
      <c r="W718" s="2"/>
      <c r="X718" s="2"/>
      <c r="Y718" s="2"/>
      <c r="Z718" s="2"/>
      <c r="AA718" s="2"/>
      <c r="AB718" s="2"/>
      <c r="AC718" s="2"/>
      <c r="AD718" s="2"/>
      <c r="AE718" s="2"/>
      <c r="AF718" s="2"/>
      <c r="AG718" s="2"/>
      <c r="AH718" s="2"/>
      <c r="AI718" s="2"/>
      <c r="AJ718" s="218"/>
      <c r="AK718" s="218"/>
      <c r="AL718" s="218"/>
      <c r="AM718" s="218"/>
    </row>
    <row r="719">
      <c r="A719" s="33"/>
      <c r="B719" s="2"/>
      <c r="C719" s="2"/>
      <c r="D719" s="2"/>
      <c r="E719" s="2"/>
      <c r="F719" s="4"/>
      <c r="G719" s="2"/>
      <c r="H719" s="2"/>
      <c r="I719" s="2"/>
      <c r="J719" s="5"/>
      <c r="K719" s="2"/>
      <c r="L719" s="2"/>
      <c r="M719" s="2"/>
      <c r="N719" s="2"/>
      <c r="O719" s="2"/>
      <c r="P719" s="2"/>
      <c r="Q719" s="7"/>
      <c r="R719" s="224"/>
      <c r="S719" s="224"/>
      <c r="T719" s="224"/>
      <c r="U719" s="868"/>
      <c r="V719" s="865"/>
      <c r="W719" s="2"/>
      <c r="X719" s="2"/>
      <c r="Y719" s="2"/>
      <c r="Z719" s="2"/>
      <c r="AA719" s="2"/>
      <c r="AB719" s="2"/>
      <c r="AC719" s="2"/>
      <c r="AD719" s="2"/>
      <c r="AE719" s="2"/>
      <c r="AF719" s="2"/>
      <c r="AG719" s="2"/>
      <c r="AH719" s="2"/>
      <c r="AI719" s="2"/>
      <c r="AJ719" s="218"/>
      <c r="AK719" s="218"/>
      <c r="AL719" s="218"/>
      <c r="AM719" s="218"/>
    </row>
    <row r="720">
      <c r="A720" s="33"/>
      <c r="B720" s="2"/>
      <c r="C720" s="2"/>
      <c r="D720" s="2"/>
      <c r="E720" s="2"/>
      <c r="F720" s="4"/>
      <c r="G720" s="2"/>
      <c r="H720" s="2"/>
      <c r="I720" s="2"/>
      <c r="J720" s="5"/>
      <c r="K720" s="2"/>
      <c r="L720" s="2"/>
      <c r="M720" s="2"/>
      <c r="N720" s="2"/>
      <c r="O720" s="2"/>
      <c r="P720" s="2"/>
      <c r="Q720" s="7"/>
      <c r="R720" s="224"/>
      <c r="S720" s="224"/>
      <c r="T720" s="224"/>
      <c r="U720" s="868"/>
      <c r="V720" s="865"/>
      <c r="W720" s="2"/>
      <c r="X720" s="2"/>
      <c r="Y720" s="2"/>
      <c r="Z720" s="2"/>
      <c r="AA720" s="2"/>
      <c r="AB720" s="2"/>
      <c r="AC720" s="2"/>
      <c r="AD720" s="2"/>
      <c r="AE720" s="2"/>
      <c r="AF720" s="2"/>
      <c r="AG720" s="2"/>
      <c r="AH720" s="2"/>
      <c r="AI720" s="2"/>
      <c r="AJ720" s="218"/>
      <c r="AK720" s="218"/>
      <c r="AL720" s="218"/>
      <c r="AM720" s="218"/>
    </row>
    <row r="721">
      <c r="A721" s="33"/>
      <c r="B721" s="2"/>
      <c r="C721" s="2"/>
      <c r="D721" s="2"/>
      <c r="E721" s="2"/>
      <c r="F721" s="4"/>
      <c r="G721" s="2"/>
      <c r="H721" s="2"/>
      <c r="I721" s="2"/>
      <c r="J721" s="5"/>
      <c r="K721" s="2"/>
      <c r="L721" s="2"/>
      <c r="M721" s="2"/>
      <c r="N721" s="2"/>
      <c r="O721" s="2"/>
      <c r="P721" s="2"/>
      <c r="Q721" s="7"/>
      <c r="R721" s="224"/>
      <c r="S721" s="224"/>
      <c r="T721" s="224"/>
      <c r="U721" s="868"/>
      <c r="V721" s="865"/>
      <c r="W721" s="2"/>
      <c r="X721" s="2"/>
      <c r="Y721" s="2"/>
      <c r="Z721" s="2"/>
      <c r="AA721" s="2"/>
      <c r="AB721" s="2"/>
      <c r="AC721" s="2"/>
      <c r="AD721" s="2"/>
      <c r="AE721" s="2"/>
      <c r="AF721" s="2"/>
      <c r="AG721" s="2"/>
      <c r="AH721" s="2"/>
      <c r="AI721" s="2"/>
      <c r="AJ721" s="218"/>
      <c r="AK721" s="218"/>
      <c r="AL721" s="218"/>
      <c r="AM721" s="218"/>
    </row>
    <row r="722">
      <c r="A722" s="33"/>
      <c r="B722" s="2"/>
      <c r="C722" s="2"/>
      <c r="D722" s="2"/>
      <c r="E722" s="2"/>
      <c r="F722" s="4"/>
      <c r="G722" s="2"/>
      <c r="H722" s="2"/>
      <c r="I722" s="2"/>
      <c r="J722" s="5"/>
      <c r="K722" s="2"/>
      <c r="L722" s="2"/>
      <c r="M722" s="2"/>
      <c r="N722" s="2"/>
      <c r="O722" s="2"/>
      <c r="P722" s="2"/>
      <c r="Q722" s="7"/>
      <c r="R722" s="224"/>
      <c r="S722" s="224"/>
      <c r="T722" s="224"/>
      <c r="U722" s="868"/>
      <c r="V722" s="865"/>
      <c r="W722" s="2"/>
      <c r="X722" s="2"/>
      <c r="Y722" s="2"/>
      <c r="Z722" s="2"/>
      <c r="AA722" s="2"/>
      <c r="AB722" s="2"/>
      <c r="AC722" s="2"/>
      <c r="AD722" s="2"/>
      <c r="AE722" s="2"/>
      <c r="AF722" s="2"/>
      <c r="AG722" s="2"/>
      <c r="AH722" s="2"/>
      <c r="AI722" s="2"/>
      <c r="AJ722" s="218"/>
      <c r="AK722" s="218"/>
      <c r="AL722" s="218"/>
      <c r="AM722" s="218"/>
    </row>
    <row r="723">
      <c r="A723" s="33"/>
      <c r="B723" s="2"/>
      <c r="C723" s="2"/>
      <c r="D723" s="2"/>
      <c r="E723" s="2"/>
      <c r="F723" s="4"/>
      <c r="G723" s="2"/>
      <c r="H723" s="2"/>
      <c r="I723" s="2"/>
      <c r="J723" s="5"/>
      <c r="K723" s="2"/>
      <c r="L723" s="2"/>
      <c r="M723" s="2"/>
      <c r="N723" s="2"/>
      <c r="O723" s="2"/>
      <c r="P723" s="2"/>
      <c r="Q723" s="7"/>
      <c r="R723" s="224"/>
      <c r="S723" s="224"/>
      <c r="T723" s="224"/>
      <c r="U723" s="868"/>
      <c r="V723" s="865"/>
      <c r="W723" s="2"/>
      <c r="X723" s="2"/>
      <c r="Y723" s="2"/>
      <c r="Z723" s="2"/>
      <c r="AA723" s="2"/>
      <c r="AB723" s="2"/>
      <c r="AC723" s="2"/>
      <c r="AD723" s="2"/>
      <c r="AE723" s="2"/>
      <c r="AF723" s="2"/>
      <c r="AG723" s="2"/>
      <c r="AH723" s="2"/>
      <c r="AI723" s="2"/>
      <c r="AJ723" s="218"/>
      <c r="AK723" s="218"/>
      <c r="AL723" s="218"/>
      <c r="AM723" s="218"/>
    </row>
    <row r="724">
      <c r="A724" s="33"/>
      <c r="B724" s="2"/>
      <c r="C724" s="2"/>
      <c r="D724" s="2"/>
      <c r="E724" s="2"/>
      <c r="F724" s="4"/>
      <c r="G724" s="2"/>
      <c r="H724" s="2"/>
      <c r="I724" s="2"/>
      <c r="J724" s="5"/>
      <c r="K724" s="2"/>
      <c r="L724" s="2"/>
      <c r="M724" s="2"/>
      <c r="N724" s="2"/>
      <c r="O724" s="2"/>
      <c r="P724" s="2"/>
      <c r="Q724" s="7"/>
      <c r="R724" s="224"/>
      <c r="S724" s="224"/>
      <c r="T724" s="224"/>
      <c r="U724" s="868"/>
      <c r="V724" s="865"/>
      <c r="W724" s="2"/>
      <c r="X724" s="2"/>
      <c r="Y724" s="2"/>
      <c r="Z724" s="2"/>
      <c r="AA724" s="2"/>
      <c r="AB724" s="2"/>
      <c r="AC724" s="2"/>
      <c r="AD724" s="2"/>
      <c r="AE724" s="2"/>
      <c r="AF724" s="2"/>
      <c r="AG724" s="2"/>
      <c r="AH724" s="2"/>
      <c r="AI724" s="2"/>
      <c r="AJ724" s="218"/>
      <c r="AK724" s="218"/>
      <c r="AL724" s="218"/>
      <c r="AM724" s="218"/>
    </row>
    <row r="725">
      <c r="A725" s="33"/>
      <c r="B725" s="2"/>
      <c r="C725" s="2"/>
      <c r="D725" s="2"/>
      <c r="E725" s="2"/>
      <c r="F725" s="4"/>
      <c r="G725" s="2"/>
      <c r="H725" s="2"/>
      <c r="I725" s="2"/>
      <c r="J725" s="5"/>
      <c r="K725" s="2"/>
      <c r="L725" s="2"/>
      <c r="M725" s="2"/>
      <c r="N725" s="2"/>
      <c r="O725" s="2"/>
      <c r="P725" s="2"/>
      <c r="Q725" s="7"/>
      <c r="R725" s="224"/>
      <c r="S725" s="224"/>
      <c r="T725" s="224"/>
      <c r="U725" s="868"/>
      <c r="V725" s="865"/>
      <c r="W725" s="2"/>
      <c r="X725" s="2"/>
      <c r="Y725" s="2"/>
      <c r="Z725" s="2"/>
      <c r="AA725" s="2"/>
      <c r="AB725" s="2"/>
      <c r="AC725" s="2"/>
      <c r="AD725" s="2"/>
      <c r="AE725" s="2"/>
      <c r="AF725" s="2"/>
      <c r="AG725" s="2"/>
      <c r="AH725" s="2"/>
      <c r="AI725" s="2"/>
      <c r="AJ725" s="218"/>
      <c r="AK725" s="218"/>
      <c r="AL725" s="218"/>
      <c r="AM725" s="218"/>
    </row>
    <row r="726">
      <c r="A726" s="33"/>
      <c r="B726" s="2"/>
      <c r="C726" s="2"/>
      <c r="D726" s="2"/>
      <c r="E726" s="2"/>
      <c r="F726" s="4"/>
      <c r="G726" s="2"/>
      <c r="H726" s="2"/>
      <c r="I726" s="2"/>
      <c r="J726" s="5"/>
      <c r="K726" s="2"/>
      <c r="L726" s="2"/>
      <c r="M726" s="2"/>
      <c r="N726" s="2"/>
      <c r="O726" s="2"/>
      <c r="P726" s="2"/>
      <c r="Q726" s="7"/>
      <c r="R726" s="224"/>
      <c r="S726" s="224"/>
      <c r="T726" s="224"/>
      <c r="U726" s="868"/>
      <c r="V726" s="865"/>
      <c r="W726" s="2"/>
      <c r="X726" s="2"/>
      <c r="Y726" s="2"/>
      <c r="Z726" s="2"/>
      <c r="AA726" s="2"/>
      <c r="AB726" s="2"/>
      <c r="AC726" s="2"/>
      <c r="AD726" s="2"/>
      <c r="AE726" s="2"/>
      <c r="AF726" s="2"/>
      <c r="AG726" s="2"/>
      <c r="AH726" s="2"/>
      <c r="AI726" s="2"/>
      <c r="AJ726" s="218"/>
      <c r="AK726" s="218"/>
      <c r="AL726" s="218"/>
      <c r="AM726" s="218"/>
    </row>
    <row r="727">
      <c r="A727" s="33"/>
      <c r="B727" s="2"/>
      <c r="C727" s="2"/>
      <c r="D727" s="2"/>
      <c r="E727" s="2"/>
      <c r="F727" s="4"/>
      <c r="G727" s="2"/>
      <c r="H727" s="2"/>
      <c r="I727" s="2"/>
      <c r="J727" s="5"/>
      <c r="K727" s="2"/>
      <c r="L727" s="2"/>
      <c r="M727" s="2"/>
      <c r="N727" s="2"/>
      <c r="O727" s="2"/>
      <c r="P727" s="2"/>
      <c r="Q727" s="7"/>
      <c r="R727" s="224"/>
      <c r="S727" s="224"/>
      <c r="T727" s="224"/>
      <c r="U727" s="868"/>
      <c r="V727" s="865"/>
      <c r="W727" s="2"/>
      <c r="X727" s="2"/>
      <c r="Y727" s="2"/>
      <c r="Z727" s="2"/>
      <c r="AA727" s="2"/>
      <c r="AB727" s="2"/>
      <c r="AC727" s="2"/>
      <c r="AD727" s="2"/>
      <c r="AE727" s="2"/>
      <c r="AF727" s="2"/>
      <c r="AG727" s="2"/>
      <c r="AH727" s="2"/>
      <c r="AI727" s="2"/>
      <c r="AJ727" s="218"/>
      <c r="AK727" s="218"/>
      <c r="AL727" s="218"/>
      <c r="AM727" s="218"/>
    </row>
    <row r="728">
      <c r="A728" s="33"/>
      <c r="B728" s="2"/>
      <c r="C728" s="2"/>
      <c r="D728" s="2"/>
      <c r="E728" s="2"/>
      <c r="F728" s="4"/>
      <c r="G728" s="2"/>
      <c r="H728" s="2"/>
      <c r="I728" s="2"/>
      <c r="J728" s="5"/>
      <c r="K728" s="2"/>
      <c r="L728" s="2"/>
      <c r="M728" s="2"/>
      <c r="N728" s="2"/>
      <c r="O728" s="2"/>
      <c r="P728" s="2"/>
      <c r="Q728" s="7"/>
      <c r="R728" s="224"/>
      <c r="S728" s="224"/>
      <c r="T728" s="224"/>
      <c r="U728" s="868"/>
      <c r="V728" s="865"/>
      <c r="W728" s="2"/>
      <c r="X728" s="2"/>
      <c r="Y728" s="2"/>
      <c r="Z728" s="2"/>
      <c r="AA728" s="2"/>
      <c r="AB728" s="2"/>
      <c r="AC728" s="2"/>
      <c r="AD728" s="2"/>
      <c r="AE728" s="2"/>
      <c r="AF728" s="2"/>
      <c r="AG728" s="2"/>
      <c r="AH728" s="2"/>
      <c r="AI728" s="2"/>
      <c r="AJ728" s="218"/>
      <c r="AK728" s="218"/>
      <c r="AL728" s="218"/>
      <c r="AM728" s="218"/>
    </row>
    <row r="729">
      <c r="A729" s="33"/>
      <c r="B729" s="2"/>
      <c r="C729" s="2"/>
      <c r="D729" s="2"/>
      <c r="E729" s="2"/>
      <c r="F729" s="4"/>
      <c r="G729" s="2"/>
      <c r="H729" s="2"/>
      <c r="I729" s="2"/>
      <c r="J729" s="5"/>
      <c r="K729" s="2"/>
      <c r="L729" s="2"/>
      <c r="M729" s="2"/>
      <c r="N729" s="2"/>
      <c r="O729" s="2"/>
      <c r="P729" s="2"/>
      <c r="Q729" s="7"/>
      <c r="R729" s="224"/>
      <c r="S729" s="224"/>
      <c r="T729" s="224"/>
      <c r="U729" s="868"/>
      <c r="V729" s="865"/>
      <c r="W729" s="2"/>
      <c r="X729" s="2"/>
      <c r="Y729" s="2"/>
      <c r="Z729" s="2"/>
      <c r="AA729" s="2"/>
      <c r="AB729" s="2"/>
      <c r="AC729" s="2"/>
      <c r="AD729" s="2"/>
      <c r="AE729" s="2"/>
      <c r="AF729" s="2"/>
      <c r="AG729" s="2"/>
      <c r="AH729" s="2"/>
      <c r="AI729" s="2"/>
      <c r="AJ729" s="218"/>
      <c r="AK729" s="218"/>
      <c r="AL729" s="218"/>
      <c r="AM729" s="218"/>
    </row>
    <row r="730">
      <c r="A730" s="33"/>
      <c r="B730" s="2"/>
      <c r="C730" s="2"/>
      <c r="D730" s="2"/>
      <c r="E730" s="2"/>
      <c r="F730" s="4"/>
      <c r="G730" s="2"/>
      <c r="H730" s="2"/>
      <c r="I730" s="2"/>
      <c r="J730" s="5"/>
      <c r="K730" s="2"/>
      <c r="L730" s="2"/>
      <c r="M730" s="2"/>
      <c r="N730" s="2"/>
      <c r="O730" s="2"/>
      <c r="P730" s="2"/>
      <c r="Q730" s="7"/>
      <c r="R730" s="224"/>
      <c r="S730" s="224"/>
      <c r="T730" s="224"/>
      <c r="U730" s="868"/>
      <c r="V730" s="865"/>
      <c r="W730" s="2"/>
      <c r="X730" s="2"/>
      <c r="Y730" s="2"/>
      <c r="Z730" s="2"/>
      <c r="AA730" s="2"/>
      <c r="AB730" s="2"/>
      <c r="AC730" s="2"/>
      <c r="AD730" s="2"/>
      <c r="AE730" s="2"/>
      <c r="AF730" s="2"/>
      <c r="AG730" s="2"/>
      <c r="AH730" s="2"/>
      <c r="AI730" s="2"/>
      <c r="AJ730" s="218"/>
      <c r="AK730" s="218"/>
      <c r="AL730" s="218"/>
      <c r="AM730" s="218"/>
    </row>
    <row r="731">
      <c r="A731" s="33"/>
      <c r="B731" s="2"/>
      <c r="C731" s="2"/>
      <c r="D731" s="2"/>
      <c r="E731" s="2"/>
      <c r="F731" s="4"/>
      <c r="G731" s="2"/>
      <c r="H731" s="2"/>
      <c r="I731" s="2"/>
      <c r="J731" s="5"/>
      <c r="K731" s="2"/>
      <c r="L731" s="2"/>
      <c r="M731" s="2"/>
      <c r="N731" s="2"/>
      <c r="O731" s="2"/>
      <c r="P731" s="2"/>
      <c r="Q731" s="7"/>
      <c r="R731" s="224"/>
      <c r="S731" s="224"/>
      <c r="T731" s="224"/>
      <c r="U731" s="868"/>
      <c r="V731" s="865"/>
      <c r="W731" s="2"/>
      <c r="X731" s="2"/>
      <c r="Y731" s="2"/>
      <c r="Z731" s="2"/>
      <c r="AA731" s="2"/>
      <c r="AB731" s="2"/>
      <c r="AC731" s="2"/>
      <c r="AD731" s="2"/>
      <c r="AE731" s="2"/>
      <c r="AF731" s="2"/>
      <c r="AG731" s="2"/>
      <c r="AH731" s="2"/>
      <c r="AI731" s="2"/>
      <c r="AJ731" s="218"/>
      <c r="AK731" s="218"/>
      <c r="AL731" s="218"/>
      <c r="AM731" s="218"/>
    </row>
    <row r="732">
      <c r="A732" s="33"/>
      <c r="B732" s="2"/>
      <c r="C732" s="2"/>
      <c r="D732" s="2"/>
      <c r="E732" s="2"/>
      <c r="F732" s="4"/>
      <c r="G732" s="2"/>
      <c r="H732" s="2"/>
      <c r="I732" s="2"/>
      <c r="J732" s="5"/>
      <c r="K732" s="2"/>
      <c r="L732" s="2"/>
      <c r="M732" s="2"/>
      <c r="N732" s="2"/>
      <c r="O732" s="2"/>
      <c r="P732" s="2"/>
      <c r="Q732" s="7"/>
      <c r="R732" s="224"/>
      <c r="S732" s="224"/>
      <c r="T732" s="224"/>
      <c r="U732" s="868"/>
      <c r="V732" s="865"/>
      <c r="W732" s="2"/>
      <c r="X732" s="2"/>
      <c r="Y732" s="2"/>
      <c r="Z732" s="2"/>
      <c r="AA732" s="2"/>
      <c r="AB732" s="2"/>
      <c r="AC732" s="2"/>
      <c r="AD732" s="2"/>
      <c r="AE732" s="2"/>
      <c r="AF732" s="2"/>
      <c r="AG732" s="2"/>
      <c r="AH732" s="2"/>
      <c r="AI732" s="2"/>
      <c r="AJ732" s="218"/>
      <c r="AK732" s="218"/>
      <c r="AL732" s="218"/>
      <c r="AM732" s="218"/>
    </row>
    <row r="733">
      <c r="A733" s="33"/>
      <c r="B733" s="2"/>
      <c r="C733" s="2"/>
      <c r="D733" s="2"/>
      <c r="E733" s="2"/>
      <c r="F733" s="4"/>
      <c r="G733" s="2"/>
      <c r="H733" s="2"/>
      <c r="I733" s="2"/>
      <c r="J733" s="5"/>
      <c r="K733" s="2"/>
      <c r="L733" s="2"/>
      <c r="M733" s="2"/>
      <c r="N733" s="2"/>
      <c r="O733" s="2"/>
      <c r="P733" s="2"/>
      <c r="Q733" s="7"/>
      <c r="R733" s="224"/>
      <c r="S733" s="224"/>
      <c r="T733" s="224"/>
      <c r="U733" s="868"/>
      <c r="V733" s="865"/>
      <c r="W733" s="2"/>
      <c r="X733" s="2"/>
      <c r="Y733" s="2"/>
      <c r="Z733" s="2"/>
      <c r="AA733" s="2"/>
      <c r="AB733" s="2"/>
      <c r="AC733" s="2"/>
      <c r="AD733" s="2"/>
      <c r="AE733" s="2"/>
      <c r="AF733" s="2"/>
      <c r="AG733" s="2"/>
      <c r="AH733" s="2"/>
      <c r="AI733" s="2"/>
      <c r="AJ733" s="218"/>
      <c r="AK733" s="218"/>
      <c r="AL733" s="218"/>
      <c r="AM733" s="218"/>
    </row>
    <row r="734">
      <c r="A734" s="33"/>
      <c r="B734" s="2"/>
      <c r="C734" s="2"/>
      <c r="D734" s="2"/>
      <c r="E734" s="2"/>
      <c r="F734" s="4"/>
      <c r="G734" s="2"/>
      <c r="H734" s="2"/>
      <c r="I734" s="2"/>
      <c r="J734" s="5"/>
      <c r="K734" s="2"/>
      <c r="L734" s="2"/>
      <c r="M734" s="2"/>
      <c r="N734" s="2"/>
      <c r="O734" s="2"/>
      <c r="P734" s="2"/>
      <c r="Q734" s="7"/>
      <c r="R734" s="224"/>
      <c r="S734" s="224"/>
      <c r="T734" s="224"/>
      <c r="U734" s="868"/>
      <c r="V734" s="865"/>
      <c r="W734" s="2"/>
      <c r="X734" s="2"/>
      <c r="Y734" s="2"/>
      <c r="Z734" s="2"/>
      <c r="AA734" s="2"/>
      <c r="AB734" s="2"/>
      <c r="AC734" s="2"/>
      <c r="AD734" s="2"/>
      <c r="AE734" s="2"/>
      <c r="AF734" s="2"/>
      <c r="AG734" s="2"/>
      <c r="AH734" s="2"/>
      <c r="AI734" s="2"/>
      <c r="AJ734" s="218"/>
      <c r="AK734" s="218"/>
      <c r="AL734" s="218"/>
      <c r="AM734" s="218"/>
    </row>
    <row r="735">
      <c r="A735" s="33"/>
      <c r="B735" s="2"/>
      <c r="C735" s="2"/>
      <c r="D735" s="2"/>
      <c r="E735" s="2"/>
      <c r="F735" s="4"/>
      <c r="G735" s="2"/>
      <c r="H735" s="2"/>
      <c r="I735" s="2"/>
      <c r="J735" s="5"/>
      <c r="K735" s="2"/>
      <c r="L735" s="2"/>
      <c r="M735" s="2"/>
      <c r="N735" s="2"/>
      <c r="O735" s="2"/>
      <c r="P735" s="2"/>
      <c r="Q735" s="7"/>
      <c r="R735" s="224"/>
      <c r="S735" s="224"/>
      <c r="T735" s="224"/>
      <c r="U735" s="868"/>
      <c r="V735" s="865"/>
      <c r="W735" s="2"/>
      <c r="X735" s="2"/>
      <c r="Y735" s="2"/>
      <c r="Z735" s="2"/>
      <c r="AA735" s="2"/>
      <c r="AB735" s="2"/>
      <c r="AC735" s="2"/>
      <c r="AD735" s="2"/>
      <c r="AE735" s="2"/>
      <c r="AF735" s="2"/>
      <c r="AG735" s="2"/>
      <c r="AH735" s="2"/>
      <c r="AI735" s="2"/>
      <c r="AJ735" s="218"/>
      <c r="AK735" s="218"/>
      <c r="AL735" s="218"/>
      <c r="AM735" s="218"/>
    </row>
    <row r="736">
      <c r="A736" s="33"/>
      <c r="B736" s="2"/>
      <c r="C736" s="2"/>
      <c r="D736" s="2"/>
      <c r="E736" s="2"/>
      <c r="F736" s="4"/>
      <c r="G736" s="2"/>
      <c r="H736" s="2"/>
      <c r="I736" s="2"/>
      <c r="J736" s="5"/>
      <c r="K736" s="2"/>
      <c r="L736" s="2"/>
      <c r="M736" s="2"/>
      <c r="N736" s="2"/>
      <c r="O736" s="2"/>
      <c r="P736" s="2"/>
      <c r="Q736" s="7"/>
      <c r="R736" s="224"/>
      <c r="S736" s="224"/>
      <c r="T736" s="224"/>
      <c r="U736" s="868"/>
      <c r="V736" s="865"/>
      <c r="W736" s="2"/>
      <c r="X736" s="2"/>
      <c r="Y736" s="2"/>
      <c r="Z736" s="2"/>
      <c r="AA736" s="2"/>
      <c r="AB736" s="2"/>
      <c r="AC736" s="2"/>
      <c r="AD736" s="2"/>
      <c r="AE736" s="2"/>
      <c r="AF736" s="2"/>
      <c r="AG736" s="2"/>
      <c r="AH736" s="2"/>
      <c r="AI736" s="2"/>
      <c r="AJ736" s="218"/>
      <c r="AK736" s="218"/>
      <c r="AL736" s="218"/>
      <c r="AM736" s="218"/>
    </row>
    <row r="737">
      <c r="A737" s="33"/>
      <c r="B737" s="2"/>
      <c r="C737" s="2"/>
      <c r="D737" s="2"/>
      <c r="E737" s="2"/>
      <c r="F737" s="4"/>
      <c r="G737" s="2"/>
      <c r="H737" s="2"/>
      <c r="I737" s="2"/>
      <c r="J737" s="5"/>
      <c r="K737" s="2"/>
      <c r="L737" s="2"/>
      <c r="M737" s="2"/>
      <c r="N737" s="2"/>
      <c r="O737" s="2"/>
      <c r="P737" s="2"/>
      <c r="Q737" s="7"/>
      <c r="R737" s="224"/>
      <c r="S737" s="224"/>
      <c r="T737" s="224"/>
      <c r="U737" s="868"/>
      <c r="V737" s="865"/>
      <c r="W737" s="2"/>
      <c r="X737" s="2"/>
      <c r="Y737" s="2"/>
      <c r="Z737" s="2"/>
      <c r="AA737" s="2"/>
      <c r="AB737" s="2"/>
      <c r="AC737" s="2"/>
      <c r="AD737" s="2"/>
      <c r="AE737" s="2"/>
      <c r="AF737" s="2"/>
      <c r="AG737" s="2"/>
      <c r="AH737" s="2"/>
      <c r="AI737" s="2"/>
      <c r="AJ737" s="218"/>
      <c r="AK737" s="218"/>
      <c r="AL737" s="218"/>
      <c r="AM737" s="218"/>
    </row>
    <row r="738">
      <c r="A738" s="33"/>
      <c r="B738" s="2"/>
      <c r="C738" s="2"/>
      <c r="D738" s="2"/>
      <c r="E738" s="2"/>
      <c r="F738" s="4"/>
      <c r="G738" s="2"/>
      <c r="H738" s="2"/>
      <c r="I738" s="2"/>
      <c r="J738" s="5"/>
      <c r="K738" s="2"/>
      <c r="L738" s="2"/>
      <c r="M738" s="2"/>
      <c r="N738" s="2"/>
      <c r="O738" s="2"/>
      <c r="P738" s="2"/>
      <c r="Q738" s="7"/>
      <c r="R738" s="224"/>
      <c r="S738" s="224"/>
      <c r="T738" s="224"/>
      <c r="U738" s="868"/>
      <c r="V738" s="865"/>
      <c r="W738" s="2"/>
      <c r="X738" s="2"/>
      <c r="Y738" s="2"/>
      <c r="Z738" s="2"/>
      <c r="AA738" s="2"/>
      <c r="AB738" s="2"/>
      <c r="AC738" s="2"/>
      <c r="AD738" s="2"/>
      <c r="AE738" s="2"/>
      <c r="AF738" s="2"/>
      <c r="AG738" s="2"/>
      <c r="AH738" s="2"/>
      <c r="AI738" s="2"/>
      <c r="AJ738" s="218"/>
      <c r="AK738" s="218"/>
      <c r="AL738" s="218"/>
      <c r="AM738" s="218"/>
    </row>
    <row r="739">
      <c r="A739" s="33"/>
      <c r="B739" s="2"/>
      <c r="C739" s="2"/>
      <c r="D739" s="2"/>
      <c r="E739" s="2"/>
      <c r="F739" s="4"/>
      <c r="G739" s="2"/>
      <c r="H739" s="2"/>
      <c r="I739" s="2"/>
      <c r="J739" s="5"/>
      <c r="K739" s="2"/>
      <c r="L739" s="2"/>
      <c r="M739" s="2"/>
      <c r="N739" s="2"/>
      <c r="O739" s="2"/>
      <c r="P739" s="2"/>
      <c r="Q739" s="7"/>
      <c r="R739" s="224"/>
      <c r="S739" s="224"/>
      <c r="T739" s="224"/>
      <c r="U739" s="868"/>
      <c r="V739" s="865"/>
      <c r="W739" s="2"/>
      <c r="X739" s="2"/>
      <c r="Y739" s="2"/>
      <c r="Z739" s="2"/>
      <c r="AA739" s="2"/>
      <c r="AB739" s="2"/>
      <c r="AC739" s="2"/>
      <c r="AD739" s="2"/>
      <c r="AE739" s="2"/>
      <c r="AF739" s="2"/>
      <c r="AG739" s="2"/>
      <c r="AH739" s="2"/>
      <c r="AI739" s="2"/>
      <c r="AJ739" s="218"/>
      <c r="AK739" s="218"/>
      <c r="AL739" s="218"/>
      <c r="AM739" s="218"/>
    </row>
    <row r="740">
      <c r="A740" s="33"/>
      <c r="B740" s="2"/>
      <c r="C740" s="2"/>
      <c r="D740" s="2"/>
      <c r="E740" s="2"/>
      <c r="F740" s="4"/>
      <c r="G740" s="2"/>
      <c r="H740" s="2"/>
      <c r="I740" s="2"/>
      <c r="J740" s="5"/>
      <c r="K740" s="2"/>
      <c r="L740" s="2"/>
      <c r="M740" s="2"/>
      <c r="N740" s="2"/>
      <c r="O740" s="2"/>
      <c r="P740" s="2"/>
      <c r="Q740" s="7"/>
      <c r="R740" s="224"/>
      <c r="S740" s="224"/>
      <c r="T740" s="224"/>
      <c r="U740" s="868"/>
      <c r="V740" s="865"/>
      <c r="W740" s="2"/>
      <c r="X740" s="2"/>
      <c r="Y740" s="2"/>
      <c r="Z740" s="2"/>
      <c r="AA740" s="2"/>
      <c r="AB740" s="2"/>
      <c r="AC740" s="2"/>
      <c r="AD740" s="2"/>
      <c r="AE740" s="2"/>
      <c r="AF740" s="2"/>
      <c r="AG740" s="2"/>
      <c r="AH740" s="2"/>
      <c r="AI740" s="2"/>
      <c r="AJ740" s="218"/>
      <c r="AK740" s="218"/>
      <c r="AL740" s="218"/>
      <c r="AM740" s="218"/>
    </row>
    <row r="741">
      <c r="A741" s="33"/>
      <c r="B741" s="2"/>
      <c r="C741" s="2"/>
      <c r="D741" s="2"/>
      <c r="E741" s="2"/>
      <c r="F741" s="4"/>
      <c r="G741" s="2"/>
      <c r="H741" s="2"/>
      <c r="I741" s="2"/>
      <c r="J741" s="5"/>
      <c r="K741" s="2"/>
      <c r="L741" s="2"/>
      <c r="M741" s="2"/>
      <c r="N741" s="2"/>
      <c r="O741" s="2"/>
      <c r="P741" s="2"/>
      <c r="Q741" s="7"/>
      <c r="R741" s="224"/>
      <c r="S741" s="224"/>
      <c r="T741" s="224"/>
      <c r="U741" s="868"/>
      <c r="V741" s="865"/>
      <c r="W741" s="2"/>
      <c r="X741" s="2"/>
      <c r="Y741" s="2"/>
      <c r="Z741" s="2"/>
      <c r="AA741" s="2"/>
      <c r="AB741" s="2"/>
      <c r="AC741" s="2"/>
      <c r="AD741" s="2"/>
      <c r="AE741" s="2"/>
      <c r="AF741" s="2"/>
      <c r="AG741" s="2"/>
      <c r="AH741" s="2"/>
      <c r="AI741" s="2"/>
      <c r="AJ741" s="218"/>
      <c r="AK741" s="218"/>
      <c r="AL741" s="218"/>
      <c r="AM741" s="218"/>
    </row>
    <row r="742">
      <c r="A742" s="33"/>
      <c r="B742" s="2"/>
      <c r="C742" s="2"/>
      <c r="D742" s="2"/>
      <c r="E742" s="2"/>
      <c r="F742" s="4"/>
      <c r="G742" s="2"/>
      <c r="H742" s="2"/>
      <c r="I742" s="2"/>
      <c r="J742" s="5"/>
      <c r="K742" s="2"/>
      <c r="L742" s="2"/>
      <c r="M742" s="2"/>
      <c r="N742" s="2"/>
      <c r="O742" s="2"/>
      <c r="P742" s="2"/>
      <c r="Q742" s="7"/>
      <c r="R742" s="224"/>
      <c r="S742" s="224"/>
      <c r="T742" s="224"/>
      <c r="U742" s="868"/>
      <c r="V742" s="865"/>
      <c r="W742" s="2"/>
      <c r="X742" s="2"/>
      <c r="Y742" s="2"/>
      <c r="Z742" s="2"/>
      <c r="AA742" s="2"/>
      <c r="AB742" s="2"/>
      <c r="AC742" s="2"/>
      <c r="AD742" s="2"/>
      <c r="AE742" s="2"/>
      <c r="AF742" s="2"/>
      <c r="AG742" s="2"/>
      <c r="AH742" s="2"/>
      <c r="AI742" s="2"/>
      <c r="AJ742" s="218"/>
      <c r="AK742" s="218"/>
      <c r="AL742" s="218"/>
      <c r="AM742" s="218"/>
    </row>
    <row r="743">
      <c r="A743" s="33"/>
      <c r="B743" s="2"/>
      <c r="C743" s="2"/>
      <c r="D743" s="2"/>
      <c r="E743" s="2"/>
      <c r="F743" s="4"/>
      <c r="G743" s="2"/>
      <c r="H743" s="2"/>
      <c r="I743" s="2"/>
      <c r="J743" s="5"/>
      <c r="K743" s="2"/>
      <c r="L743" s="2"/>
      <c r="M743" s="2"/>
      <c r="N743" s="2"/>
      <c r="O743" s="2"/>
      <c r="P743" s="2"/>
      <c r="Q743" s="7"/>
      <c r="R743" s="224"/>
      <c r="S743" s="224"/>
      <c r="T743" s="224"/>
      <c r="U743" s="868"/>
      <c r="V743" s="865"/>
      <c r="W743" s="2"/>
      <c r="X743" s="2"/>
      <c r="Y743" s="2"/>
      <c r="Z743" s="2"/>
      <c r="AA743" s="2"/>
      <c r="AB743" s="2"/>
      <c r="AC743" s="2"/>
      <c r="AD743" s="2"/>
      <c r="AE743" s="2"/>
      <c r="AF743" s="2"/>
      <c r="AG743" s="2"/>
      <c r="AH743" s="2"/>
      <c r="AI743" s="2"/>
      <c r="AJ743" s="218"/>
      <c r="AK743" s="218"/>
      <c r="AL743" s="218"/>
      <c r="AM743" s="218"/>
    </row>
    <row r="744">
      <c r="A744" s="33"/>
      <c r="B744" s="2"/>
      <c r="C744" s="2"/>
      <c r="D744" s="2"/>
      <c r="E744" s="2"/>
      <c r="F744" s="4"/>
      <c r="G744" s="2"/>
      <c r="H744" s="2"/>
      <c r="I744" s="2"/>
      <c r="J744" s="5"/>
      <c r="K744" s="2"/>
      <c r="L744" s="2"/>
      <c r="M744" s="2"/>
      <c r="N744" s="2"/>
      <c r="O744" s="2"/>
      <c r="P744" s="2"/>
      <c r="Q744" s="7"/>
      <c r="R744" s="224"/>
      <c r="S744" s="224"/>
      <c r="T744" s="224"/>
      <c r="U744" s="868"/>
      <c r="V744" s="865"/>
      <c r="W744" s="2"/>
      <c r="X744" s="2"/>
      <c r="Y744" s="2"/>
      <c r="Z744" s="2"/>
      <c r="AA744" s="2"/>
      <c r="AB744" s="2"/>
      <c r="AC744" s="2"/>
      <c r="AD744" s="2"/>
      <c r="AE744" s="2"/>
      <c r="AF744" s="2"/>
      <c r="AG744" s="2"/>
      <c r="AH744" s="2"/>
      <c r="AI744" s="2"/>
      <c r="AJ744" s="218"/>
      <c r="AK744" s="218"/>
      <c r="AL744" s="218"/>
      <c r="AM744" s="218"/>
    </row>
    <row r="745">
      <c r="A745" s="33"/>
      <c r="B745" s="2"/>
      <c r="C745" s="2"/>
      <c r="D745" s="2"/>
      <c r="E745" s="2"/>
      <c r="F745" s="4"/>
      <c r="G745" s="2"/>
      <c r="H745" s="2"/>
      <c r="I745" s="2"/>
      <c r="J745" s="5"/>
      <c r="K745" s="2"/>
      <c r="L745" s="2"/>
      <c r="M745" s="2"/>
      <c r="N745" s="2"/>
      <c r="O745" s="2"/>
      <c r="P745" s="2"/>
      <c r="Q745" s="7"/>
      <c r="R745" s="224"/>
      <c r="S745" s="224"/>
      <c r="T745" s="224"/>
      <c r="U745" s="868"/>
      <c r="V745" s="865"/>
      <c r="W745" s="2"/>
      <c r="X745" s="2"/>
      <c r="Y745" s="2"/>
      <c r="Z745" s="2"/>
      <c r="AA745" s="2"/>
      <c r="AB745" s="2"/>
      <c r="AC745" s="2"/>
      <c r="AD745" s="2"/>
      <c r="AE745" s="2"/>
      <c r="AF745" s="2"/>
      <c r="AG745" s="2"/>
      <c r="AH745" s="2"/>
      <c r="AI745" s="2"/>
      <c r="AJ745" s="218"/>
      <c r="AK745" s="218"/>
      <c r="AL745" s="218"/>
      <c r="AM745" s="218"/>
    </row>
    <row r="746">
      <c r="A746" s="33"/>
      <c r="B746" s="2"/>
      <c r="C746" s="2"/>
      <c r="D746" s="2"/>
      <c r="E746" s="2"/>
      <c r="F746" s="4"/>
      <c r="G746" s="2"/>
      <c r="H746" s="2"/>
      <c r="I746" s="2"/>
      <c r="J746" s="5"/>
      <c r="K746" s="2"/>
      <c r="L746" s="2"/>
      <c r="M746" s="2"/>
      <c r="N746" s="2"/>
      <c r="O746" s="2"/>
      <c r="P746" s="2"/>
      <c r="Q746" s="7"/>
      <c r="R746" s="224"/>
      <c r="S746" s="224"/>
      <c r="T746" s="224"/>
      <c r="U746" s="868"/>
      <c r="V746" s="865"/>
      <c r="W746" s="2"/>
      <c r="X746" s="2"/>
      <c r="Y746" s="2"/>
      <c r="Z746" s="2"/>
      <c r="AA746" s="2"/>
      <c r="AB746" s="2"/>
      <c r="AC746" s="2"/>
      <c r="AD746" s="2"/>
      <c r="AE746" s="2"/>
      <c r="AF746" s="2"/>
      <c r="AG746" s="2"/>
      <c r="AH746" s="2"/>
      <c r="AI746" s="2"/>
      <c r="AJ746" s="218"/>
      <c r="AK746" s="218"/>
      <c r="AL746" s="218"/>
      <c r="AM746" s="218"/>
    </row>
    <row r="747">
      <c r="A747" s="33"/>
      <c r="B747" s="2"/>
      <c r="C747" s="2"/>
      <c r="D747" s="2"/>
      <c r="E747" s="2"/>
      <c r="F747" s="4"/>
      <c r="G747" s="2"/>
      <c r="H747" s="2"/>
      <c r="I747" s="2"/>
      <c r="J747" s="5"/>
      <c r="K747" s="2"/>
      <c r="L747" s="2"/>
      <c r="M747" s="2"/>
      <c r="N747" s="2"/>
      <c r="O747" s="2"/>
      <c r="P747" s="2"/>
      <c r="Q747" s="7"/>
      <c r="R747" s="224"/>
      <c r="S747" s="224"/>
      <c r="T747" s="224"/>
      <c r="U747" s="868"/>
      <c r="V747" s="865"/>
      <c r="W747" s="2"/>
      <c r="X747" s="2"/>
      <c r="Y747" s="2"/>
      <c r="Z747" s="2"/>
      <c r="AA747" s="2"/>
      <c r="AB747" s="2"/>
      <c r="AC747" s="2"/>
      <c r="AD747" s="2"/>
      <c r="AE747" s="2"/>
      <c r="AF747" s="2"/>
      <c r="AG747" s="2"/>
      <c r="AH747" s="2"/>
      <c r="AI747" s="2"/>
      <c r="AJ747" s="218"/>
      <c r="AK747" s="218"/>
      <c r="AL747" s="218"/>
      <c r="AM747" s="218"/>
    </row>
    <row r="748">
      <c r="A748" s="33"/>
      <c r="B748" s="2"/>
      <c r="C748" s="2"/>
      <c r="D748" s="2"/>
      <c r="E748" s="2"/>
      <c r="F748" s="4"/>
      <c r="G748" s="2"/>
      <c r="H748" s="2"/>
      <c r="I748" s="2"/>
      <c r="J748" s="5"/>
      <c r="K748" s="2"/>
      <c r="L748" s="2"/>
      <c r="M748" s="2"/>
      <c r="N748" s="2"/>
      <c r="O748" s="2"/>
      <c r="P748" s="2"/>
      <c r="Q748" s="7"/>
      <c r="R748" s="224"/>
      <c r="S748" s="224"/>
      <c r="T748" s="224"/>
      <c r="U748" s="868"/>
      <c r="V748" s="865"/>
      <c r="W748" s="2"/>
      <c r="X748" s="2"/>
      <c r="Y748" s="2"/>
      <c r="Z748" s="2"/>
      <c r="AA748" s="2"/>
      <c r="AB748" s="2"/>
      <c r="AC748" s="2"/>
      <c r="AD748" s="2"/>
      <c r="AE748" s="2"/>
      <c r="AF748" s="2"/>
      <c r="AG748" s="2"/>
      <c r="AH748" s="2"/>
      <c r="AI748" s="2"/>
      <c r="AJ748" s="218"/>
      <c r="AK748" s="218"/>
      <c r="AL748" s="218"/>
      <c r="AM748" s="218"/>
    </row>
    <row r="749">
      <c r="A749" s="33"/>
      <c r="B749" s="2"/>
      <c r="C749" s="2"/>
      <c r="D749" s="2"/>
      <c r="E749" s="2"/>
      <c r="F749" s="4"/>
      <c r="G749" s="2"/>
      <c r="H749" s="2"/>
      <c r="I749" s="2"/>
      <c r="J749" s="5"/>
      <c r="K749" s="2"/>
      <c r="L749" s="2"/>
      <c r="M749" s="2"/>
      <c r="N749" s="2"/>
      <c r="O749" s="2"/>
      <c r="P749" s="2"/>
      <c r="Q749" s="7"/>
      <c r="R749" s="224"/>
      <c r="S749" s="224"/>
      <c r="T749" s="224"/>
      <c r="U749" s="868"/>
      <c r="V749" s="865"/>
      <c r="W749" s="2"/>
      <c r="X749" s="2"/>
      <c r="Y749" s="2"/>
      <c r="Z749" s="2"/>
      <c r="AA749" s="2"/>
      <c r="AB749" s="2"/>
      <c r="AC749" s="2"/>
      <c r="AD749" s="2"/>
      <c r="AE749" s="2"/>
      <c r="AF749" s="2"/>
      <c r="AG749" s="2"/>
      <c r="AH749" s="2"/>
      <c r="AI749" s="2"/>
      <c r="AJ749" s="218"/>
      <c r="AK749" s="218"/>
      <c r="AL749" s="218"/>
      <c r="AM749" s="218"/>
    </row>
    <row r="750">
      <c r="A750" s="33"/>
      <c r="B750" s="2"/>
      <c r="C750" s="2"/>
      <c r="D750" s="2"/>
      <c r="E750" s="2"/>
      <c r="F750" s="4"/>
      <c r="G750" s="2"/>
      <c r="H750" s="2"/>
      <c r="I750" s="2"/>
      <c r="J750" s="5"/>
      <c r="K750" s="2"/>
      <c r="L750" s="2"/>
      <c r="M750" s="2"/>
      <c r="N750" s="2"/>
      <c r="O750" s="2"/>
      <c r="P750" s="2"/>
      <c r="Q750" s="7"/>
      <c r="R750" s="224"/>
      <c r="S750" s="224"/>
      <c r="T750" s="224"/>
      <c r="U750" s="868"/>
      <c r="V750" s="865"/>
      <c r="W750" s="2"/>
      <c r="X750" s="2"/>
      <c r="Y750" s="2"/>
      <c r="Z750" s="2"/>
      <c r="AA750" s="2"/>
      <c r="AB750" s="2"/>
      <c r="AC750" s="2"/>
      <c r="AD750" s="2"/>
      <c r="AE750" s="2"/>
      <c r="AF750" s="2"/>
      <c r="AG750" s="2"/>
      <c r="AH750" s="2"/>
      <c r="AI750" s="2"/>
      <c r="AJ750" s="218"/>
      <c r="AK750" s="218"/>
      <c r="AL750" s="218"/>
      <c r="AM750" s="218"/>
    </row>
    <row r="751">
      <c r="A751" s="33"/>
      <c r="B751" s="2"/>
      <c r="C751" s="2"/>
      <c r="D751" s="2"/>
      <c r="E751" s="2"/>
      <c r="F751" s="4"/>
      <c r="G751" s="2"/>
      <c r="H751" s="2"/>
      <c r="I751" s="2"/>
      <c r="J751" s="5"/>
      <c r="K751" s="2"/>
      <c r="L751" s="2"/>
      <c r="M751" s="2"/>
      <c r="N751" s="2"/>
      <c r="O751" s="2"/>
      <c r="P751" s="2"/>
      <c r="Q751" s="7"/>
      <c r="R751" s="224"/>
      <c r="S751" s="224"/>
      <c r="T751" s="224"/>
      <c r="U751" s="868"/>
      <c r="V751" s="865"/>
      <c r="W751" s="2"/>
      <c r="X751" s="2"/>
      <c r="Y751" s="2"/>
      <c r="Z751" s="2"/>
      <c r="AA751" s="2"/>
      <c r="AB751" s="2"/>
      <c r="AC751" s="2"/>
      <c r="AD751" s="2"/>
      <c r="AE751" s="2"/>
      <c r="AF751" s="2"/>
      <c r="AG751" s="2"/>
      <c r="AH751" s="2"/>
      <c r="AI751" s="2"/>
      <c r="AJ751" s="218"/>
      <c r="AK751" s="218"/>
      <c r="AL751" s="218"/>
      <c r="AM751" s="218"/>
    </row>
    <row r="752">
      <c r="A752" s="33"/>
      <c r="B752" s="2"/>
      <c r="C752" s="2"/>
      <c r="D752" s="2"/>
      <c r="E752" s="2"/>
      <c r="F752" s="4"/>
      <c r="G752" s="2"/>
      <c r="H752" s="2"/>
      <c r="I752" s="2"/>
      <c r="J752" s="5"/>
      <c r="K752" s="2"/>
      <c r="L752" s="2"/>
      <c r="M752" s="2"/>
      <c r="N752" s="2"/>
      <c r="O752" s="2"/>
      <c r="P752" s="2"/>
      <c r="Q752" s="7"/>
      <c r="R752" s="224"/>
      <c r="S752" s="224"/>
      <c r="T752" s="224"/>
      <c r="U752" s="868"/>
      <c r="V752" s="865"/>
      <c r="W752" s="2"/>
      <c r="X752" s="2"/>
      <c r="Y752" s="2"/>
      <c r="Z752" s="2"/>
      <c r="AA752" s="2"/>
      <c r="AB752" s="2"/>
      <c r="AC752" s="2"/>
      <c r="AD752" s="2"/>
      <c r="AE752" s="2"/>
      <c r="AF752" s="2"/>
      <c r="AG752" s="2"/>
      <c r="AH752" s="2"/>
      <c r="AI752" s="2"/>
      <c r="AJ752" s="218"/>
      <c r="AK752" s="218"/>
      <c r="AL752" s="218"/>
      <c r="AM752" s="218"/>
    </row>
    <row r="753">
      <c r="A753" s="33"/>
      <c r="B753" s="2"/>
      <c r="C753" s="2"/>
      <c r="D753" s="2"/>
      <c r="E753" s="2"/>
      <c r="F753" s="4"/>
      <c r="G753" s="2"/>
      <c r="H753" s="2"/>
      <c r="I753" s="2"/>
      <c r="J753" s="5"/>
      <c r="K753" s="2"/>
      <c r="L753" s="2"/>
      <c r="M753" s="2"/>
      <c r="N753" s="2"/>
      <c r="O753" s="2"/>
      <c r="P753" s="2"/>
      <c r="Q753" s="7"/>
      <c r="R753" s="224"/>
      <c r="S753" s="224"/>
      <c r="T753" s="224"/>
      <c r="U753" s="868"/>
      <c r="V753" s="865"/>
      <c r="W753" s="2"/>
      <c r="X753" s="2"/>
      <c r="Y753" s="2"/>
      <c r="Z753" s="2"/>
      <c r="AA753" s="2"/>
      <c r="AB753" s="2"/>
      <c r="AC753" s="2"/>
      <c r="AD753" s="2"/>
      <c r="AE753" s="2"/>
      <c r="AF753" s="2"/>
      <c r="AG753" s="2"/>
      <c r="AH753" s="2"/>
      <c r="AI753" s="2"/>
      <c r="AJ753" s="218"/>
      <c r="AK753" s="218"/>
      <c r="AL753" s="218"/>
      <c r="AM753" s="218"/>
    </row>
    <row r="754">
      <c r="A754" s="33"/>
      <c r="B754" s="2"/>
      <c r="C754" s="2"/>
      <c r="D754" s="2"/>
      <c r="E754" s="2"/>
      <c r="F754" s="4"/>
      <c r="G754" s="2"/>
      <c r="H754" s="2"/>
      <c r="I754" s="2"/>
      <c r="J754" s="5"/>
      <c r="K754" s="2"/>
      <c r="L754" s="2"/>
      <c r="M754" s="2"/>
      <c r="N754" s="2"/>
      <c r="O754" s="2"/>
      <c r="P754" s="2"/>
      <c r="Q754" s="7"/>
      <c r="R754" s="224"/>
      <c r="S754" s="224"/>
      <c r="T754" s="224"/>
      <c r="U754" s="868"/>
      <c r="V754" s="865"/>
      <c r="W754" s="2"/>
      <c r="X754" s="2"/>
      <c r="Y754" s="2"/>
      <c r="Z754" s="2"/>
      <c r="AA754" s="2"/>
      <c r="AB754" s="2"/>
      <c r="AC754" s="2"/>
      <c r="AD754" s="2"/>
      <c r="AE754" s="2"/>
      <c r="AF754" s="2"/>
      <c r="AG754" s="2"/>
      <c r="AH754" s="2"/>
      <c r="AI754" s="2"/>
      <c r="AJ754" s="218"/>
      <c r="AK754" s="218"/>
      <c r="AL754" s="218"/>
      <c r="AM754" s="218"/>
    </row>
    <row r="755">
      <c r="A755" s="33"/>
      <c r="B755" s="2"/>
      <c r="C755" s="2"/>
      <c r="D755" s="2"/>
      <c r="E755" s="2"/>
      <c r="F755" s="4"/>
      <c r="G755" s="2"/>
      <c r="H755" s="2"/>
      <c r="I755" s="2"/>
      <c r="J755" s="5"/>
      <c r="K755" s="2"/>
      <c r="L755" s="2"/>
      <c r="M755" s="2"/>
      <c r="N755" s="2"/>
      <c r="O755" s="2"/>
      <c r="P755" s="2"/>
      <c r="Q755" s="7"/>
      <c r="R755" s="224"/>
      <c r="S755" s="224"/>
      <c r="T755" s="224"/>
      <c r="U755" s="868"/>
      <c r="V755" s="865"/>
      <c r="W755" s="2"/>
      <c r="X755" s="2"/>
      <c r="Y755" s="2"/>
      <c r="Z755" s="2"/>
      <c r="AA755" s="2"/>
      <c r="AB755" s="2"/>
      <c r="AC755" s="2"/>
      <c r="AD755" s="2"/>
      <c r="AE755" s="2"/>
      <c r="AF755" s="2"/>
      <c r="AG755" s="2"/>
      <c r="AH755" s="2"/>
      <c r="AI755" s="2"/>
      <c r="AJ755" s="218"/>
      <c r="AK755" s="218"/>
      <c r="AL755" s="218"/>
      <c r="AM755" s="218"/>
    </row>
    <row r="756">
      <c r="A756" s="33"/>
      <c r="B756" s="2"/>
      <c r="C756" s="2"/>
      <c r="D756" s="2"/>
      <c r="E756" s="2"/>
      <c r="F756" s="4"/>
      <c r="G756" s="2"/>
      <c r="H756" s="2"/>
      <c r="I756" s="2"/>
      <c r="J756" s="5"/>
      <c r="K756" s="2"/>
      <c r="L756" s="2"/>
      <c r="M756" s="2"/>
      <c r="N756" s="2"/>
      <c r="O756" s="2"/>
      <c r="P756" s="2"/>
      <c r="Q756" s="7"/>
      <c r="R756" s="224"/>
      <c r="S756" s="224"/>
      <c r="T756" s="224"/>
      <c r="U756" s="868"/>
      <c r="V756" s="865"/>
      <c r="W756" s="2"/>
      <c r="X756" s="2"/>
      <c r="Y756" s="2"/>
      <c r="Z756" s="2"/>
      <c r="AA756" s="2"/>
      <c r="AB756" s="2"/>
      <c r="AC756" s="2"/>
      <c r="AD756" s="2"/>
      <c r="AE756" s="2"/>
      <c r="AF756" s="2"/>
      <c r="AG756" s="2"/>
      <c r="AH756" s="2"/>
      <c r="AI756" s="2"/>
      <c r="AJ756" s="218"/>
      <c r="AK756" s="218"/>
      <c r="AL756" s="218"/>
      <c r="AM756" s="218"/>
    </row>
    <row r="757">
      <c r="A757" s="33"/>
      <c r="B757" s="2"/>
      <c r="C757" s="2"/>
      <c r="D757" s="2"/>
      <c r="E757" s="2"/>
      <c r="F757" s="4"/>
      <c r="G757" s="2"/>
      <c r="H757" s="2"/>
      <c r="I757" s="2"/>
      <c r="J757" s="5"/>
      <c r="K757" s="2"/>
      <c r="L757" s="2"/>
      <c r="M757" s="2"/>
      <c r="N757" s="2"/>
      <c r="O757" s="2"/>
      <c r="P757" s="2"/>
      <c r="Q757" s="7"/>
      <c r="R757" s="224"/>
      <c r="S757" s="224"/>
      <c r="T757" s="224"/>
      <c r="U757" s="868"/>
      <c r="V757" s="865"/>
      <c r="W757" s="2"/>
      <c r="X757" s="2"/>
      <c r="Y757" s="2"/>
      <c r="Z757" s="2"/>
      <c r="AA757" s="2"/>
      <c r="AB757" s="2"/>
      <c r="AC757" s="2"/>
      <c r="AD757" s="2"/>
      <c r="AE757" s="2"/>
      <c r="AF757" s="2"/>
      <c r="AG757" s="2"/>
      <c r="AH757" s="2"/>
      <c r="AI757" s="2"/>
      <c r="AJ757" s="218"/>
      <c r="AK757" s="218"/>
      <c r="AL757" s="218"/>
      <c r="AM757" s="218"/>
    </row>
    <row r="758">
      <c r="A758" s="33"/>
      <c r="B758" s="2"/>
      <c r="C758" s="2"/>
      <c r="D758" s="2"/>
      <c r="E758" s="2"/>
      <c r="F758" s="4"/>
      <c r="G758" s="2"/>
      <c r="H758" s="2"/>
      <c r="I758" s="2"/>
      <c r="J758" s="5"/>
      <c r="K758" s="2"/>
      <c r="L758" s="2"/>
      <c r="M758" s="2"/>
      <c r="N758" s="2"/>
      <c r="O758" s="2"/>
      <c r="P758" s="2"/>
      <c r="Q758" s="7"/>
      <c r="R758" s="224"/>
      <c r="S758" s="224"/>
      <c r="T758" s="224"/>
      <c r="U758" s="868"/>
      <c r="V758" s="865"/>
      <c r="W758" s="2"/>
      <c r="X758" s="2"/>
      <c r="Y758" s="2"/>
      <c r="Z758" s="2"/>
      <c r="AA758" s="2"/>
      <c r="AB758" s="2"/>
      <c r="AC758" s="2"/>
      <c r="AD758" s="2"/>
      <c r="AE758" s="2"/>
      <c r="AF758" s="2"/>
      <c r="AG758" s="2"/>
      <c r="AH758" s="2"/>
      <c r="AI758" s="2"/>
      <c r="AJ758" s="218"/>
      <c r="AK758" s="218"/>
      <c r="AL758" s="218"/>
      <c r="AM758" s="218"/>
    </row>
    <row r="759">
      <c r="A759" s="33"/>
      <c r="B759" s="2"/>
      <c r="C759" s="2"/>
      <c r="D759" s="2"/>
      <c r="E759" s="2"/>
      <c r="F759" s="4"/>
      <c r="G759" s="2"/>
      <c r="H759" s="2"/>
      <c r="I759" s="2"/>
      <c r="J759" s="5"/>
      <c r="K759" s="2"/>
      <c r="L759" s="2"/>
      <c r="M759" s="2"/>
      <c r="N759" s="2"/>
      <c r="O759" s="2"/>
      <c r="P759" s="2"/>
      <c r="Q759" s="7"/>
      <c r="R759" s="224"/>
      <c r="S759" s="224"/>
      <c r="T759" s="224"/>
      <c r="U759" s="868"/>
      <c r="V759" s="865"/>
      <c r="W759" s="2"/>
      <c r="X759" s="2"/>
      <c r="Y759" s="2"/>
      <c r="Z759" s="2"/>
      <c r="AA759" s="2"/>
      <c r="AB759" s="2"/>
      <c r="AC759" s="2"/>
      <c r="AD759" s="2"/>
      <c r="AE759" s="2"/>
      <c r="AF759" s="2"/>
      <c r="AG759" s="2"/>
      <c r="AH759" s="2"/>
      <c r="AI759" s="2"/>
      <c r="AJ759" s="218"/>
      <c r="AK759" s="218"/>
      <c r="AL759" s="218"/>
      <c r="AM759" s="218"/>
    </row>
    <row r="760">
      <c r="A760" s="33"/>
      <c r="B760" s="2"/>
      <c r="C760" s="2"/>
      <c r="D760" s="2"/>
      <c r="E760" s="2"/>
      <c r="F760" s="4"/>
      <c r="G760" s="2"/>
      <c r="H760" s="2"/>
      <c r="I760" s="2"/>
      <c r="J760" s="5"/>
      <c r="K760" s="2"/>
      <c r="L760" s="2"/>
      <c r="M760" s="2"/>
      <c r="N760" s="2"/>
      <c r="O760" s="2"/>
      <c r="P760" s="2"/>
      <c r="Q760" s="7"/>
      <c r="R760" s="224"/>
      <c r="S760" s="224"/>
      <c r="T760" s="224"/>
      <c r="U760" s="868"/>
      <c r="V760" s="865"/>
      <c r="W760" s="2"/>
      <c r="X760" s="2"/>
      <c r="Y760" s="2"/>
      <c r="Z760" s="2"/>
      <c r="AA760" s="2"/>
      <c r="AB760" s="2"/>
      <c r="AC760" s="2"/>
      <c r="AD760" s="2"/>
      <c r="AE760" s="2"/>
      <c r="AF760" s="2"/>
      <c r="AG760" s="2"/>
      <c r="AH760" s="2"/>
      <c r="AI760" s="2"/>
      <c r="AJ760" s="218"/>
      <c r="AK760" s="218"/>
      <c r="AL760" s="218"/>
      <c r="AM760" s="218"/>
    </row>
    <row r="761">
      <c r="A761" s="33"/>
      <c r="B761" s="2"/>
      <c r="C761" s="2"/>
      <c r="D761" s="2"/>
      <c r="E761" s="2"/>
      <c r="F761" s="4"/>
      <c r="G761" s="2"/>
      <c r="H761" s="2"/>
      <c r="I761" s="2"/>
      <c r="J761" s="5"/>
      <c r="K761" s="2"/>
      <c r="L761" s="2"/>
      <c r="M761" s="2"/>
      <c r="N761" s="2"/>
      <c r="O761" s="2"/>
      <c r="P761" s="2"/>
      <c r="Q761" s="7"/>
      <c r="R761" s="224"/>
      <c r="S761" s="224"/>
      <c r="T761" s="224"/>
      <c r="U761" s="868"/>
      <c r="V761" s="865"/>
      <c r="W761" s="2"/>
      <c r="X761" s="2"/>
      <c r="Y761" s="2"/>
      <c r="Z761" s="2"/>
      <c r="AA761" s="2"/>
      <c r="AB761" s="2"/>
      <c r="AC761" s="2"/>
      <c r="AD761" s="2"/>
      <c r="AE761" s="2"/>
      <c r="AF761" s="2"/>
      <c r="AG761" s="2"/>
      <c r="AH761" s="2"/>
      <c r="AI761" s="2"/>
      <c r="AJ761" s="218"/>
      <c r="AK761" s="218"/>
      <c r="AL761" s="218"/>
      <c r="AM761" s="218"/>
    </row>
    <row r="762">
      <c r="A762" s="33"/>
      <c r="B762" s="2"/>
      <c r="C762" s="2"/>
      <c r="D762" s="2"/>
      <c r="E762" s="2"/>
      <c r="F762" s="4"/>
      <c r="G762" s="2"/>
      <c r="H762" s="2"/>
      <c r="I762" s="2"/>
      <c r="J762" s="5"/>
      <c r="K762" s="2"/>
      <c r="L762" s="2"/>
      <c r="M762" s="2"/>
      <c r="N762" s="2"/>
      <c r="O762" s="2"/>
      <c r="P762" s="2"/>
      <c r="Q762" s="7"/>
      <c r="R762" s="224"/>
      <c r="S762" s="224"/>
      <c r="T762" s="224"/>
      <c r="U762" s="868"/>
      <c r="V762" s="865"/>
      <c r="W762" s="2"/>
      <c r="X762" s="2"/>
      <c r="Y762" s="2"/>
      <c r="Z762" s="2"/>
      <c r="AA762" s="2"/>
      <c r="AB762" s="2"/>
      <c r="AC762" s="2"/>
      <c r="AD762" s="2"/>
      <c r="AE762" s="2"/>
      <c r="AF762" s="2"/>
      <c r="AG762" s="2"/>
      <c r="AH762" s="2"/>
      <c r="AI762" s="2"/>
      <c r="AJ762" s="218"/>
      <c r="AK762" s="218"/>
      <c r="AL762" s="218"/>
      <c r="AM762" s="218"/>
    </row>
    <row r="763">
      <c r="A763" s="33"/>
      <c r="B763" s="2"/>
      <c r="C763" s="2"/>
      <c r="D763" s="2"/>
      <c r="E763" s="2"/>
      <c r="F763" s="4"/>
      <c r="G763" s="2"/>
      <c r="H763" s="2"/>
      <c r="I763" s="2"/>
      <c r="J763" s="5"/>
      <c r="K763" s="2"/>
      <c r="L763" s="2"/>
      <c r="M763" s="2"/>
      <c r="N763" s="2"/>
      <c r="O763" s="2"/>
      <c r="P763" s="2"/>
      <c r="Q763" s="7"/>
      <c r="R763" s="224"/>
      <c r="S763" s="224"/>
      <c r="T763" s="224"/>
      <c r="U763" s="868"/>
      <c r="V763" s="865"/>
      <c r="W763" s="2"/>
      <c r="X763" s="2"/>
      <c r="Y763" s="2"/>
      <c r="Z763" s="2"/>
      <c r="AA763" s="2"/>
      <c r="AB763" s="2"/>
      <c r="AC763" s="2"/>
      <c r="AD763" s="2"/>
      <c r="AE763" s="2"/>
      <c r="AF763" s="2"/>
      <c r="AG763" s="2"/>
      <c r="AH763" s="2"/>
      <c r="AI763" s="2"/>
      <c r="AJ763" s="218"/>
      <c r="AK763" s="218"/>
      <c r="AL763" s="218"/>
      <c r="AM763" s="218"/>
    </row>
    <row r="764">
      <c r="A764" s="33"/>
      <c r="B764" s="2"/>
      <c r="C764" s="2"/>
      <c r="D764" s="2"/>
      <c r="E764" s="2"/>
      <c r="F764" s="4"/>
      <c r="G764" s="2"/>
      <c r="H764" s="2"/>
      <c r="I764" s="2"/>
      <c r="J764" s="5"/>
      <c r="K764" s="2"/>
      <c r="L764" s="2"/>
      <c r="M764" s="2"/>
      <c r="N764" s="2"/>
      <c r="O764" s="2"/>
      <c r="P764" s="2"/>
      <c r="Q764" s="7"/>
      <c r="R764" s="224"/>
      <c r="S764" s="224"/>
      <c r="T764" s="224"/>
      <c r="U764" s="868"/>
      <c r="V764" s="865"/>
      <c r="W764" s="2"/>
      <c r="X764" s="2"/>
      <c r="Y764" s="2"/>
      <c r="Z764" s="2"/>
      <c r="AA764" s="2"/>
      <c r="AB764" s="2"/>
      <c r="AC764" s="2"/>
      <c r="AD764" s="2"/>
      <c r="AE764" s="2"/>
      <c r="AF764" s="2"/>
      <c r="AG764" s="2"/>
      <c r="AH764" s="2"/>
      <c r="AI764" s="2"/>
      <c r="AJ764" s="218"/>
      <c r="AK764" s="218"/>
      <c r="AL764" s="218"/>
      <c r="AM764" s="218"/>
    </row>
    <row r="765">
      <c r="A765" s="33"/>
      <c r="B765" s="2"/>
      <c r="C765" s="2"/>
      <c r="D765" s="2"/>
      <c r="E765" s="2"/>
      <c r="F765" s="4"/>
      <c r="G765" s="2"/>
      <c r="H765" s="2"/>
      <c r="I765" s="2"/>
      <c r="J765" s="5"/>
      <c r="K765" s="2"/>
      <c r="L765" s="2"/>
      <c r="M765" s="2"/>
      <c r="N765" s="2"/>
      <c r="O765" s="2"/>
      <c r="P765" s="2"/>
      <c r="Q765" s="7"/>
      <c r="R765" s="224"/>
      <c r="S765" s="224"/>
      <c r="T765" s="224"/>
      <c r="U765" s="868"/>
      <c r="V765" s="865"/>
      <c r="W765" s="2"/>
      <c r="X765" s="2"/>
      <c r="Y765" s="2"/>
      <c r="Z765" s="2"/>
      <c r="AA765" s="2"/>
      <c r="AB765" s="2"/>
      <c r="AC765" s="2"/>
      <c r="AD765" s="2"/>
      <c r="AE765" s="2"/>
      <c r="AF765" s="2"/>
      <c r="AG765" s="2"/>
      <c r="AH765" s="2"/>
      <c r="AI765" s="2"/>
      <c r="AJ765" s="218"/>
      <c r="AK765" s="218"/>
      <c r="AL765" s="218"/>
      <c r="AM765" s="218"/>
    </row>
    <row r="766">
      <c r="A766" s="33"/>
      <c r="B766" s="2"/>
      <c r="C766" s="2"/>
      <c r="D766" s="2"/>
      <c r="E766" s="2"/>
      <c r="F766" s="4"/>
      <c r="G766" s="2"/>
      <c r="H766" s="2"/>
      <c r="I766" s="2"/>
      <c r="J766" s="5"/>
      <c r="K766" s="2"/>
      <c r="L766" s="2"/>
      <c r="M766" s="2"/>
      <c r="N766" s="2"/>
      <c r="O766" s="2"/>
      <c r="P766" s="2"/>
      <c r="Q766" s="7"/>
      <c r="R766" s="224"/>
      <c r="S766" s="224"/>
      <c r="T766" s="224"/>
      <c r="U766" s="868"/>
      <c r="V766" s="865"/>
      <c r="W766" s="2"/>
      <c r="X766" s="2"/>
      <c r="Y766" s="2"/>
      <c r="Z766" s="2"/>
      <c r="AA766" s="2"/>
      <c r="AB766" s="2"/>
      <c r="AC766" s="2"/>
      <c r="AD766" s="2"/>
      <c r="AE766" s="2"/>
      <c r="AF766" s="2"/>
      <c r="AG766" s="2"/>
      <c r="AH766" s="2"/>
      <c r="AI766" s="2"/>
      <c r="AJ766" s="218"/>
      <c r="AK766" s="218"/>
      <c r="AL766" s="218"/>
      <c r="AM766" s="218"/>
    </row>
    <row r="767">
      <c r="A767" s="33"/>
      <c r="B767" s="2"/>
      <c r="C767" s="2"/>
      <c r="D767" s="2"/>
      <c r="E767" s="2"/>
      <c r="F767" s="4"/>
      <c r="G767" s="2"/>
      <c r="H767" s="2"/>
      <c r="I767" s="2"/>
      <c r="J767" s="5"/>
      <c r="K767" s="2"/>
      <c r="L767" s="2"/>
      <c r="M767" s="2"/>
      <c r="N767" s="2"/>
      <c r="O767" s="2"/>
      <c r="P767" s="2"/>
      <c r="Q767" s="7"/>
      <c r="R767" s="224"/>
      <c r="S767" s="224"/>
      <c r="T767" s="224"/>
      <c r="U767" s="868"/>
      <c r="V767" s="865"/>
      <c r="W767" s="2"/>
      <c r="X767" s="2"/>
      <c r="Y767" s="2"/>
      <c r="Z767" s="2"/>
      <c r="AA767" s="2"/>
      <c r="AB767" s="2"/>
      <c r="AC767" s="2"/>
      <c r="AD767" s="2"/>
      <c r="AE767" s="2"/>
      <c r="AF767" s="2"/>
      <c r="AG767" s="2"/>
      <c r="AH767" s="2"/>
      <c r="AI767" s="2"/>
      <c r="AJ767" s="218"/>
      <c r="AK767" s="218"/>
      <c r="AL767" s="218"/>
      <c r="AM767" s="218"/>
    </row>
    <row r="768">
      <c r="A768" s="33"/>
      <c r="B768" s="2"/>
      <c r="C768" s="2"/>
      <c r="D768" s="2"/>
      <c r="E768" s="2"/>
      <c r="F768" s="4"/>
      <c r="G768" s="2"/>
      <c r="H768" s="2"/>
      <c r="I768" s="2"/>
      <c r="J768" s="5"/>
      <c r="K768" s="2"/>
      <c r="L768" s="2"/>
      <c r="M768" s="2"/>
      <c r="N768" s="2"/>
      <c r="O768" s="2"/>
      <c r="P768" s="2"/>
      <c r="Q768" s="7"/>
      <c r="R768" s="224"/>
      <c r="S768" s="224"/>
      <c r="T768" s="224"/>
      <c r="U768" s="868"/>
      <c r="V768" s="865"/>
      <c r="W768" s="2"/>
      <c r="X768" s="2"/>
      <c r="Y768" s="2"/>
      <c r="Z768" s="2"/>
      <c r="AA768" s="2"/>
      <c r="AB768" s="2"/>
      <c r="AC768" s="2"/>
      <c r="AD768" s="2"/>
      <c r="AE768" s="2"/>
      <c r="AF768" s="2"/>
      <c r="AG768" s="2"/>
      <c r="AH768" s="2"/>
      <c r="AI768" s="2"/>
      <c r="AJ768" s="218"/>
      <c r="AK768" s="218"/>
      <c r="AL768" s="218"/>
      <c r="AM768" s="218"/>
    </row>
    <row r="769">
      <c r="A769" s="33"/>
      <c r="B769" s="2"/>
      <c r="C769" s="2"/>
      <c r="D769" s="2"/>
      <c r="E769" s="2"/>
      <c r="F769" s="4"/>
      <c r="G769" s="2"/>
      <c r="H769" s="2"/>
      <c r="I769" s="2"/>
      <c r="J769" s="5"/>
      <c r="K769" s="2"/>
      <c r="L769" s="2"/>
      <c r="M769" s="2"/>
      <c r="N769" s="2"/>
      <c r="O769" s="2"/>
      <c r="P769" s="2"/>
      <c r="Q769" s="7"/>
      <c r="R769" s="224"/>
      <c r="S769" s="224"/>
      <c r="T769" s="224"/>
      <c r="U769" s="868"/>
      <c r="V769" s="865"/>
      <c r="W769" s="2"/>
      <c r="X769" s="2"/>
      <c r="Y769" s="2"/>
      <c r="Z769" s="2"/>
      <c r="AA769" s="2"/>
      <c r="AB769" s="2"/>
      <c r="AC769" s="2"/>
      <c r="AD769" s="2"/>
      <c r="AE769" s="2"/>
      <c r="AF769" s="2"/>
      <c r="AG769" s="2"/>
      <c r="AH769" s="2"/>
      <c r="AI769" s="2"/>
      <c r="AJ769" s="218"/>
      <c r="AK769" s="218"/>
      <c r="AL769" s="218"/>
      <c r="AM769" s="218"/>
    </row>
    <row r="770">
      <c r="A770" s="33"/>
      <c r="B770" s="2"/>
      <c r="C770" s="2"/>
      <c r="D770" s="2"/>
      <c r="E770" s="2"/>
      <c r="F770" s="4"/>
      <c r="G770" s="2"/>
      <c r="H770" s="2"/>
      <c r="I770" s="2"/>
      <c r="J770" s="5"/>
      <c r="K770" s="2"/>
      <c r="L770" s="2"/>
      <c r="M770" s="2"/>
      <c r="N770" s="2"/>
      <c r="O770" s="2"/>
      <c r="P770" s="2"/>
      <c r="Q770" s="7"/>
      <c r="R770" s="224"/>
      <c r="S770" s="224"/>
      <c r="T770" s="224"/>
      <c r="U770" s="868"/>
      <c r="V770" s="865"/>
      <c r="W770" s="2"/>
      <c r="X770" s="2"/>
      <c r="Y770" s="2"/>
      <c r="Z770" s="2"/>
      <c r="AA770" s="2"/>
      <c r="AB770" s="2"/>
      <c r="AC770" s="2"/>
      <c r="AD770" s="2"/>
      <c r="AE770" s="2"/>
      <c r="AF770" s="2"/>
      <c r="AG770" s="2"/>
      <c r="AH770" s="2"/>
      <c r="AI770" s="2"/>
      <c r="AJ770" s="218"/>
      <c r="AK770" s="218"/>
      <c r="AL770" s="218"/>
      <c r="AM770" s="218"/>
    </row>
    <row r="771">
      <c r="A771" s="33"/>
      <c r="B771" s="2"/>
      <c r="C771" s="2"/>
      <c r="D771" s="2"/>
      <c r="E771" s="2"/>
      <c r="F771" s="4"/>
      <c r="G771" s="2"/>
      <c r="H771" s="2"/>
      <c r="I771" s="2"/>
      <c r="J771" s="5"/>
      <c r="K771" s="2"/>
      <c r="L771" s="2"/>
      <c r="M771" s="2"/>
      <c r="N771" s="2"/>
      <c r="O771" s="2"/>
      <c r="P771" s="2"/>
      <c r="Q771" s="7"/>
      <c r="R771" s="224"/>
      <c r="S771" s="224"/>
      <c r="T771" s="224"/>
      <c r="U771" s="868"/>
      <c r="V771" s="865"/>
      <c r="W771" s="2"/>
      <c r="X771" s="2"/>
      <c r="Y771" s="2"/>
      <c r="Z771" s="2"/>
      <c r="AA771" s="2"/>
      <c r="AB771" s="2"/>
      <c r="AC771" s="2"/>
      <c r="AD771" s="2"/>
      <c r="AE771" s="2"/>
      <c r="AF771" s="2"/>
      <c r="AG771" s="2"/>
      <c r="AH771" s="2"/>
      <c r="AI771" s="2"/>
      <c r="AJ771" s="218"/>
      <c r="AK771" s="218"/>
      <c r="AL771" s="218"/>
      <c r="AM771" s="218"/>
    </row>
    <row r="772">
      <c r="A772" s="33"/>
      <c r="B772" s="2"/>
      <c r="C772" s="2"/>
      <c r="D772" s="2"/>
      <c r="E772" s="2"/>
      <c r="F772" s="4"/>
      <c r="G772" s="2"/>
      <c r="H772" s="2"/>
      <c r="I772" s="2"/>
      <c r="J772" s="5"/>
      <c r="K772" s="2"/>
      <c r="L772" s="2"/>
      <c r="M772" s="2"/>
      <c r="N772" s="2"/>
      <c r="O772" s="2"/>
      <c r="P772" s="2"/>
      <c r="Q772" s="7"/>
      <c r="R772" s="224"/>
      <c r="S772" s="224"/>
      <c r="T772" s="224"/>
      <c r="U772" s="868"/>
      <c r="V772" s="865"/>
      <c r="W772" s="2"/>
      <c r="X772" s="2"/>
      <c r="Y772" s="2"/>
      <c r="Z772" s="2"/>
      <c r="AA772" s="2"/>
      <c r="AB772" s="2"/>
      <c r="AC772" s="2"/>
      <c r="AD772" s="2"/>
      <c r="AE772" s="2"/>
      <c r="AF772" s="2"/>
      <c r="AG772" s="2"/>
      <c r="AH772" s="2"/>
      <c r="AI772" s="2"/>
      <c r="AJ772" s="218"/>
      <c r="AK772" s="218"/>
      <c r="AL772" s="218"/>
      <c r="AM772" s="218"/>
    </row>
    <row r="773">
      <c r="A773" s="33"/>
      <c r="B773" s="2"/>
      <c r="C773" s="2"/>
      <c r="D773" s="2"/>
      <c r="E773" s="2"/>
      <c r="F773" s="4"/>
      <c r="G773" s="2"/>
      <c r="H773" s="2"/>
      <c r="I773" s="2"/>
      <c r="J773" s="5"/>
      <c r="K773" s="2"/>
      <c r="L773" s="2"/>
      <c r="M773" s="2"/>
      <c r="N773" s="2"/>
      <c r="O773" s="2"/>
      <c r="P773" s="2"/>
      <c r="Q773" s="7"/>
      <c r="R773" s="224"/>
      <c r="S773" s="224"/>
      <c r="T773" s="224"/>
      <c r="U773" s="868"/>
      <c r="V773" s="865"/>
      <c r="W773" s="2"/>
      <c r="X773" s="2"/>
      <c r="Y773" s="2"/>
      <c r="Z773" s="2"/>
      <c r="AA773" s="2"/>
      <c r="AB773" s="2"/>
      <c r="AC773" s="2"/>
      <c r="AD773" s="2"/>
      <c r="AE773" s="2"/>
      <c r="AF773" s="2"/>
      <c r="AG773" s="2"/>
      <c r="AH773" s="2"/>
      <c r="AI773" s="2"/>
      <c r="AJ773" s="218"/>
      <c r="AK773" s="218"/>
      <c r="AL773" s="218"/>
      <c r="AM773" s="218"/>
    </row>
    <row r="774">
      <c r="A774" s="33"/>
      <c r="B774" s="2"/>
      <c r="C774" s="2"/>
      <c r="D774" s="2"/>
      <c r="E774" s="2"/>
      <c r="F774" s="4"/>
      <c r="G774" s="2"/>
      <c r="H774" s="2"/>
      <c r="I774" s="2"/>
      <c r="J774" s="5"/>
      <c r="K774" s="2"/>
      <c r="L774" s="2"/>
      <c r="M774" s="2"/>
      <c r="N774" s="2"/>
      <c r="O774" s="2"/>
      <c r="P774" s="2"/>
      <c r="Q774" s="7"/>
      <c r="R774" s="224"/>
      <c r="S774" s="224"/>
      <c r="T774" s="224"/>
      <c r="U774" s="868"/>
      <c r="V774" s="865"/>
      <c r="W774" s="2"/>
      <c r="X774" s="2"/>
      <c r="Y774" s="2"/>
      <c r="Z774" s="2"/>
      <c r="AA774" s="2"/>
      <c r="AB774" s="2"/>
      <c r="AC774" s="2"/>
      <c r="AD774" s="2"/>
      <c r="AE774" s="2"/>
      <c r="AF774" s="2"/>
      <c r="AG774" s="2"/>
      <c r="AH774" s="2"/>
      <c r="AI774" s="2"/>
      <c r="AJ774" s="218"/>
      <c r="AK774" s="218"/>
      <c r="AL774" s="218"/>
      <c r="AM774" s="218"/>
    </row>
    <row r="775">
      <c r="A775" s="33"/>
      <c r="B775" s="2"/>
      <c r="C775" s="2"/>
      <c r="D775" s="2"/>
      <c r="E775" s="2"/>
      <c r="F775" s="4"/>
      <c r="G775" s="2"/>
      <c r="H775" s="2"/>
      <c r="I775" s="2"/>
      <c r="J775" s="5"/>
      <c r="K775" s="2"/>
      <c r="L775" s="2"/>
      <c r="M775" s="2"/>
      <c r="N775" s="2"/>
      <c r="O775" s="2"/>
      <c r="P775" s="2"/>
      <c r="Q775" s="7"/>
      <c r="R775" s="224"/>
      <c r="S775" s="224"/>
      <c r="T775" s="224"/>
      <c r="U775" s="868"/>
      <c r="V775" s="865"/>
      <c r="W775" s="2"/>
      <c r="X775" s="2"/>
      <c r="Y775" s="2"/>
      <c r="Z775" s="2"/>
      <c r="AA775" s="2"/>
      <c r="AB775" s="2"/>
      <c r="AC775" s="2"/>
      <c r="AD775" s="2"/>
      <c r="AE775" s="2"/>
      <c r="AF775" s="2"/>
      <c r="AG775" s="2"/>
      <c r="AH775" s="2"/>
      <c r="AI775" s="2"/>
      <c r="AJ775" s="218"/>
      <c r="AK775" s="218"/>
      <c r="AL775" s="218"/>
      <c r="AM775" s="218"/>
    </row>
    <row r="776">
      <c r="A776" s="33"/>
      <c r="B776" s="2"/>
      <c r="C776" s="2"/>
      <c r="D776" s="2"/>
      <c r="E776" s="2"/>
      <c r="F776" s="4"/>
      <c r="G776" s="2"/>
      <c r="H776" s="2"/>
      <c r="I776" s="2"/>
      <c r="J776" s="5"/>
      <c r="K776" s="2"/>
      <c r="L776" s="2"/>
      <c r="M776" s="2"/>
      <c r="N776" s="2"/>
      <c r="O776" s="2"/>
      <c r="P776" s="2"/>
      <c r="Q776" s="7"/>
      <c r="R776" s="224"/>
      <c r="S776" s="224"/>
      <c r="T776" s="224"/>
      <c r="U776" s="868"/>
      <c r="V776" s="865"/>
      <c r="W776" s="2"/>
      <c r="X776" s="2"/>
      <c r="Y776" s="2"/>
      <c r="Z776" s="2"/>
      <c r="AA776" s="2"/>
      <c r="AB776" s="2"/>
      <c r="AC776" s="2"/>
      <c r="AD776" s="2"/>
      <c r="AE776" s="2"/>
      <c r="AF776" s="2"/>
      <c r="AG776" s="2"/>
      <c r="AH776" s="2"/>
      <c r="AI776" s="2"/>
      <c r="AJ776" s="218"/>
      <c r="AK776" s="218"/>
      <c r="AL776" s="218"/>
      <c r="AM776" s="218"/>
    </row>
    <row r="777">
      <c r="A777" s="33"/>
      <c r="B777" s="2"/>
      <c r="C777" s="2"/>
      <c r="D777" s="2"/>
      <c r="E777" s="2"/>
      <c r="F777" s="4"/>
      <c r="G777" s="2"/>
      <c r="H777" s="2"/>
      <c r="I777" s="2"/>
      <c r="J777" s="5"/>
      <c r="K777" s="2"/>
      <c r="L777" s="2"/>
      <c r="M777" s="2"/>
      <c r="N777" s="2"/>
      <c r="O777" s="2"/>
      <c r="P777" s="2"/>
      <c r="Q777" s="7"/>
      <c r="R777" s="224"/>
      <c r="S777" s="224"/>
      <c r="T777" s="224"/>
      <c r="U777" s="868"/>
      <c r="V777" s="865"/>
      <c r="W777" s="2"/>
      <c r="X777" s="2"/>
      <c r="Y777" s="2"/>
      <c r="Z777" s="2"/>
      <c r="AA777" s="2"/>
      <c r="AB777" s="2"/>
      <c r="AC777" s="2"/>
      <c r="AD777" s="2"/>
      <c r="AE777" s="2"/>
      <c r="AF777" s="2"/>
      <c r="AG777" s="2"/>
      <c r="AH777" s="2"/>
      <c r="AI777" s="2"/>
      <c r="AJ777" s="218"/>
      <c r="AK777" s="218"/>
      <c r="AL777" s="218"/>
      <c r="AM777" s="218"/>
    </row>
    <row r="778">
      <c r="A778" s="33"/>
      <c r="B778" s="2"/>
      <c r="C778" s="2"/>
      <c r="D778" s="2"/>
      <c r="E778" s="2"/>
      <c r="F778" s="4"/>
      <c r="G778" s="2"/>
      <c r="H778" s="2"/>
      <c r="I778" s="2"/>
      <c r="J778" s="5"/>
      <c r="K778" s="2"/>
      <c r="L778" s="2"/>
      <c r="M778" s="2"/>
      <c r="N778" s="2"/>
      <c r="O778" s="2"/>
      <c r="P778" s="2"/>
      <c r="Q778" s="7"/>
      <c r="R778" s="224"/>
      <c r="S778" s="224"/>
      <c r="T778" s="224"/>
      <c r="U778" s="868"/>
      <c r="V778" s="865"/>
      <c r="W778" s="2"/>
      <c r="X778" s="2"/>
      <c r="Y778" s="2"/>
      <c r="Z778" s="2"/>
      <c r="AA778" s="2"/>
      <c r="AB778" s="2"/>
      <c r="AC778" s="2"/>
      <c r="AD778" s="2"/>
      <c r="AE778" s="2"/>
      <c r="AF778" s="2"/>
      <c r="AG778" s="2"/>
      <c r="AH778" s="2"/>
      <c r="AI778" s="2"/>
      <c r="AJ778" s="218"/>
      <c r="AK778" s="218"/>
      <c r="AL778" s="218"/>
      <c r="AM778" s="218"/>
    </row>
    <row r="779">
      <c r="A779" s="33"/>
      <c r="B779" s="2"/>
      <c r="C779" s="2"/>
      <c r="D779" s="2"/>
      <c r="E779" s="2"/>
      <c r="F779" s="4"/>
      <c r="G779" s="2"/>
      <c r="H779" s="2"/>
      <c r="I779" s="2"/>
      <c r="J779" s="5"/>
      <c r="K779" s="2"/>
      <c r="L779" s="2"/>
      <c r="M779" s="2"/>
      <c r="N779" s="2"/>
      <c r="O779" s="2"/>
      <c r="P779" s="2"/>
      <c r="Q779" s="7"/>
      <c r="R779" s="224"/>
      <c r="S779" s="224"/>
      <c r="T779" s="224"/>
      <c r="U779" s="868"/>
      <c r="V779" s="865"/>
      <c r="W779" s="2"/>
      <c r="X779" s="2"/>
      <c r="Y779" s="2"/>
      <c r="Z779" s="2"/>
      <c r="AA779" s="2"/>
      <c r="AB779" s="2"/>
      <c r="AC779" s="2"/>
      <c r="AD779" s="2"/>
      <c r="AE779" s="2"/>
      <c r="AF779" s="2"/>
      <c r="AG779" s="2"/>
      <c r="AH779" s="2"/>
      <c r="AI779" s="2"/>
      <c r="AJ779" s="218"/>
      <c r="AK779" s="218"/>
      <c r="AL779" s="218"/>
      <c r="AM779" s="218"/>
    </row>
    <row r="780">
      <c r="A780" s="33"/>
      <c r="B780" s="2"/>
      <c r="C780" s="2"/>
      <c r="D780" s="2"/>
      <c r="E780" s="2"/>
      <c r="F780" s="4"/>
      <c r="G780" s="2"/>
      <c r="H780" s="2"/>
      <c r="I780" s="2"/>
      <c r="J780" s="5"/>
      <c r="K780" s="2"/>
      <c r="L780" s="2"/>
      <c r="M780" s="2"/>
      <c r="N780" s="2"/>
      <c r="O780" s="2"/>
      <c r="P780" s="2"/>
      <c r="Q780" s="7"/>
      <c r="R780" s="224"/>
      <c r="S780" s="224"/>
      <c r="T780" s="224"/>
      <c r="U780" s="868"/>
      <c r="V780" s="865"/>
      <c r="W780" s="2"/>
      <c r="X780" s="2"/>
      <c r="Y780" s="2"/>
      <c r="Z780" s="2"/>
      <c r="AA780" s="2"/>
      <c r="AB780" s="2"/>
      <c r="AC780" s="2"/>
      <c r="AD780" s="2"/>
      <c r="AE780" s="2"/>
      <c r="AF780" s="2"/>
      <c r="AG780" s="2"/>
      <c r="AH780" s="2"/>
      <c r="AI780" s="2"/>
      <c r="AJ780" s="218"/>
      <c r="AK780" s="218"/>
      <c r="AL780" s="218"/>
      <c r="AM780" s="218"/>
    </row>
    <row r="781">
      <c r="A781" s="33"/>
      <c r="B781" s="2"/>
      <c r="C781" s="2"/>
      <c r="D781" s="2"/>
      <c r="E781" s="2"/>
      <c r="F781" s="4"/>
      <c r="G781" s="2"/>
      <c r="H781" s="2"/>
      <c r="I781" s="2"/>
      <c r="J781" s="5"/>
      <c r="K781" s="2"/>
      <c r="L781" s="2"/>
      <c r="M781" s="2"/>
      <c r="N781" s="2"/>
      <c r="O781" s="2"/>
      <c r="P781" s="2"/>
      <c r="Q781" s="7"/>
      <c r="R781" s="224"/>
      <c r="S781" s="224"/>
      <c r="T781" s="224"/>
      <c r="U781" s="868"/>
      <c r="V781" s="865"/>
      <c r="W781" s="2"/>
      <c r="X781" s="2"/>
      <c r="Y781" s="2"/>
      <c r="Z781" s="2"/>
      <c r="AA781" s="2"/>
      <c r="AB781" s="2"/>
      <c r="AC781" s="2"/>
      <c r="AD781" s="2"/>
      <c r="AE781" s="2"/>
      <c r="AF781" s="2"/>
      <c r="AG781" s="2"/>
      <c r="AH781" s="2"/>
      <c r="AI781" s="2"/>
      <c r="AJ781" s="218"/>
      <c r="AK781" s="218"/>
      <c r="AL781" s="218"/>
      <c r="AM781" s="218"/>
    </row>
    <row r="782">
      <c r="A782" s="33"/>
      <c r="B782" s="2"/>
      <c r="C782" s="2"/>
      <c r="D782" s="2"/>
      <c r="E782" s="2"/>
      <c r="F782" s="4"/>
      <c r="G782" s="2"/>
      <c r="H782" s="2"/>
      <c r="I782" s="2"/>
      <c r="J782" s="5"/>
      <c r="K782" s="2"/>
      <c r="L782" s="2"/>
      <c r="M782" s="2"/>
      <c r="N782" s="2"/>
      <c r="O782" s="2"/>
      <c r="P782" s="2"/>
      <c r="Q782" s="7"/>
      <c r="R782" s="224"/>
      <c r="S782" s="224"/>
      <c r="T782" s="224"/>
      <c r="U782" s="868"/>
      <c r="V782" s="865"/>
      <c r="W782" s="2"/>
      <c r="X782" s="2"/>
      <c r="Y782" s="2"/>
      <c r="Z782" s="2"/>
      <c r="AA782" s="2"/>
      <c r="AB782" s="2"/>
      <c r="AC782" s="2"/>
      <c r="AD782" s="2"/>
      <c r="AE782" s="2"/>
      <c r="AF782" s="2"/>
      <c r="AG782" s="2"/>
      <c r="AH782" s="2"/>
      <c r="AI782" s="2"/>
      <c r="AJ782" s="218"/>
      <c r="AK782" s="218"/>
      <c r="AL782" s="218"/>
      <c r="AM782" s="218"/>
    </row>
    <row r="783">
      <c r="A783" s="33"/>
      <c r="B783" s="2"/>
      <c r="C783" s="2"/>
      <c r="D783" s="2"/>
      <c r="E783" s="2"/>
      <c r="F783" s="4"/>
      <c r="G783" s="2"/>
      <c r="H783" s="2"/>
      <c r="I783" s="2"/>
      <c r="J783" s="5"/>
      <c r="K783" s="2"/>
      <c r="L783" s="2"/>
      <c r="M783" s="2"/>
      <c r="N783" s="2"/>
      <c r="O783" s="2"/>
      <c r="P783" s="2"/>
      <c r="Q783" s="7"/>
      <c r="R783" s="224"/>
      <c r="S783" s="224"/>
      <c r="T783" s="224"/>
      <c r="U783" s="868"/>
      <c r="V783" s="865"/>
      <c r="W783" s="2"/>
      <c r="X783" s="2"/>
      <c r="Y783" s="2"/>
      <c r="Z783" s="2"/>
      <c r="AA783" s="2"/>
      <c r="AB783" s="2"/>
      <c r="AC783" s="2"/>
      <c r="AD783" s="2"/>
      <c r="AE783" s="2"/>
      <c r="AF783" s="2"/>
      <c r="AG783" s="2"/>
      <c r="AH783" s="2"/>
      <c r="AI783" s="2"/>
      <c r="AJ783" s="218"/>
      <c r="AK783" s="218"/>
      <c r="AL783" s="218"/>
      <c r="AM783" s="218"/>
    </row>
    <row r="784">
      <c r="A784" s="33"/>
      <c r="B784" s="2"/>
      <c r="C784" s="2"/>
      <c r="D784" s="2"/>
      <c r="E784" s="2"/>
      <c r="F784" s="4"/>
      <c r="G784" s="2"/>
      <c r="H784" s="2"/>
      <c r="I784" s="2"/>
      <c r="J784" s="5"/>
      <c r="K784" s="2"/>
      <c r="L784" s="2"/>
      <c r="M784" s="2"/>
      <c r="N784" s="2"/>
      <c r="O784" s="2"/>
      <c r="P784" s="2"/>
      <c r="Q784" s="7"/>
      <c r="R784" s="224"/>
      <c r="S784" s="224"/>
      <c r="T784" s="224"/>
      <c r="U784" s="868"/>
      <c r="V784" s="865"/>
      <c r="W784" s="2"/>
      <c r="X784" s="2"/>
      <c r="Y784" s="2"/>
      <c r="Z784" s="2"/>
      <c r="AA784" s="2"/>
      <c r="AB784" s="2"/>
      <c r="AC784" s="2"/>
      <c r="AD784" s="2"/>
      <c r="AE784" s="2"/>
      <c r="AF784" s="2"/>
      <c r="AG784" s="2"/>
      <c r="AH784" s="2"/>
      <c r="AI784" s="2"/>
      <c r="AJ784" s="218"/>
      <c r="AK784" s="218"/>
      <c r="AL784" s="218"/>
      <c r="AM784" s="218"/>
    </row>
    <row r="785">
      <c r="A785" s="33"/>
      <c r="B785" s="2"/>
      <c r="C785" s="2"/>
      <c r="D785" s="2"/>
      <c r="E785" s="2"/>
      <c r="F785" s="4"/>
      <c r="G785" s="2"/>
      <c r="H785" s="2"/>
      <c r="I785" s="2"/>
      <c r="J785" s="5"/>
      <c r="K785" s="2"/>
      <c r="L785" s="2"/>
      <c r="M785" s="2"/>
      <c r="N785" s="2"/>
      <c r="O785" s="2"/>
      <c r="P785" s="2"/>
      <c r="Q785" s="7"/>
      <c r="R785" s="224"/>
      <c r="S785" s="224"/>
      <c r="T785" s="224"/>
      <c r="U785" s="868"/>
      <c r="V785" s="865"/>
      <c r="W785" s="2"/>
      <c r="X785" s="2"/>
      <c r="Y785" s="2"/>
      <c r="Z785" s="2"/>
      <c r="AA785" s="2"/>
      <c r="AB785" s="2"/>
      <c r="AC785" s="2"/>
      <c r="AD785" s="2"/>
      <c r="AE785" s="2"/>
      <c r="AF785" s="2"/>
      <c r="AG785" s="2"/>
      <c r="AH785" s="2"/>
      <c r="AI785" s="2"/>
      <c r="AJ785" s="218"/>
      <c r="AK785" s="218"/>
      <c r="AL785" s="218"/>
      <c r="AM785" s="218"/>
    </row>
    <row r="786">
      <c r="A786" s="33"/>
      <c r="B786" s="2"/>
      <c r="C786" s="2"/>
      <c r="D786" s="2"/>
      <c r="E786" s="2"/>
      <c r="F786" s="4"/>
      <c r="G786" s="2"/>
      <c r="H786" s="2"/>
      <c r="I786" s="2"/>
      <c r="J786" s="5"/>
      <c r="K786" s="2"/>
      <c r="L786" s="2"/>
      <c r="M786" s="2"/>
      <c r="N786" s="2"/>
      <c r="O786" s="2"/>
      <c r="P786" s="2"/>
      <c r="Q786" s="7"/>
      <c r="R786" s="224"/>
      <c r="S786" s="224"/>
      <c r="T786" s="224"/>
      <c r="U786" s="868"/>
      <c r="V786" s="865"/>
      <c r="W786" s="2"/>
      <c r="X786" s="2"/>
      <c r="Y786" s="2"/>
      <c r="Z786" s="2"/>
      <c r="AA786" s="2"/>
      <c r="AB786" s="2"/>
      <c r="AC786" s="2"/>
      <c r="AD786" s="2"/>
      <c r="AE786" s="2"/>
      <c r="AF786" s="2"/>
      <c r="AG786" s="2"/>
      <c r="AH786" s="2"/>
      <c r="AI786" s="2"/>
      <c r="AJ786" s="218"/>
      <c r="AK786" s="218"/>
      <c r="AL786" s="218"/>
      <c r="AM786" s="218"/>
    </row>
    <row r="787">
      <c r="A787" s="33"/>
      <c r="B787" s="2"/>
      <c r="C787" s="2"/>
      <c r="D787" s="2"/>
      <c r="E787" s="2"/>
      <c r="F787" s="4"/>
      <c r="G787" s="2"/>
      <c r="H787" s="2"/>
      <c r="I787" s="2"/>
      <c r="J787" s="5"/>
      <c r="K787" s="2"/>
      <c r="L787" s="2"/>
      <c r="M787" s="2"/>
      <c r="N787" s="2"/>
      <c r="O787" s="2"/>
      <c r="P787" s="2"/>
      <c r="Q787" s="7"/>
      <c r="R787" s="224"/>
      <c r="S787" s="224"/>
      <c r="T787" s="224"/>
      <c r="U787" s="868"/>
      <c r="V787" s="865"/>
      <c r="W787" s="2"/>
      <c r="X787" s="2"/>
      <c r="Y787" s="2"/>
      <c r="Z787" s="2"/>
      <c r="AA787" s="2"/>
      <c r="AB787" s="2"/>
      <c r="AC787" s="2"/>
      <c r="AD787" s="2"/>
      <c r="AE787" s="2"/>
      <c r="AF787" s="2"/>
      <c r="AG787" s="2"/>
      <c r="AH787" s="2"/>
      <c r="AI787" s="2"/>
      <c r="AJ787" s="218"/>
      <c r="AK787" s="218"/>
      <c r="AL787" s="218"/>
      <c r="AM787" s="218"/>
    </row>
    <row r="788">
      <c r="A788" s="33"/>
      <c r="B788" s="2"/>
      <c r="C788" s="2"/>
      <c r="D788" s="2"/>
      <c r="E788" s="2"/>
      <c r="F788" s="4"/>
      <c r="G788" s="2"/>
      <c r="H788" s="2"/>
      <c r="I788" s="2"/>
      <c r="J788" s="5"/>
      <c r="K788" s="2"/>
      <c r="L788" s="2"/>
      <c r="M788" s="2"/>
      <c r="N788" s="2"/>
      <c r="O788" s="2"/>
      <c r="P788" s="2"/>
      <c r="Q788" s="7"/>
      <c r="R788" s="224"/>
      <c r="S788" s="224"/>
      <c r="T788" s="224"/>
      <c r="U788" s="868"/>
      <c r="V788" s="865"/>
      <c r="W788" s="2"/>
      <c r="X788" s="2"/>
      <c r="Y788" s="2"/>
      <c r="Z788" s="2"/>
      <c r="AA788" s="2"/>
      <c r="AB788" s="2"/>
      <c r="AC788" s="2"/>
      <c r="AD788" s="2"/>
      <c r="AE788" s="2"/>
      <c r="AF788" s="2"/>
      <c r="AG788" s="2"/>
      <c r="AH788" s="2"/>
      <c r="AI788" s="2"/>
      <c r="AJ788" s="218"/>
      <c r="AK788" s="218"/>
      <c r="AL788" s="218"/>
      <c r="AM788" s="218"/>
    </row>
    <row r="789">
      <c r="A789" s="33"/>
      <c r="B789" s="2"/>
      <c r="C789" s="2"/>
      <c r="D789" s="2"/>
      <c r="E789" s="2"/>
      <c r="F789" s="4"/>
      <c r="G789" s="2"/>
      <c r="H789" s="2"/>
      <c r="I789" s="2"/>
      <c r="J789" s="5"/>
      <c r="K789" s="2"/>
      <c r="L789" s="2"/>
      <c r="M789" s="2"/>
      <c r="N789" s="2"/>
      <c r="O789" s="2"/>
      <c r="P789" s="2"/>
      <c r="Q789" s="7"/>
      <c r="R789" s="224"/>
      <c r="S789" s="224"/>
      <c r="T789" s="224"/>
      <c r="U789" s="868"/>
      <c r="V789" s="865"/>
      <c r="W789" s="2"/>
      <c r="X789" s="2"/>
      <c r="Y789" s="2"/>
      <c r="Z789" s="2"/>
      <c r="AA789" s="2"/>
      <c r="AB789" s="2"/>
      <c r="AC789" s="2"/>
      <c r="AD789" s="2"/>
      <c r="AE789" s="2"/>
      <c r="AF789" s="2"/>
      <c r="AG789" s="2"/>
      <c r="AH789" s="2"/>
      <c r="AI789" s="2"/>
      <c r="AJ789" s="218"/>
      <c r="AK789" s="218"/>
      <c r="AL789" s="218"/>
      <c r="AM789" s="218"/>
    </row>
    <row r="790">
      <c r="A790" s="33"/>
      <c r="B790" s="2"/>
      <c r="C790" s="2"/>
      <c r="D790" s="2"/>
      <c r="E790" s="2"/>
      <c r="F790" s="4"/>
      <c r="G790" s="2"/>
      <c r="H790" s="2"/>
      <c r="I790" s="2"/>
      <c r="J790" s="5"/>
      <c r="K790" s="2"/>
      <c r="L790" s="2"/>
      <c r="M790" s="2"/>
      <c r="N790" s="2"/>
      <c r="O790" s="2"/>
      <c r="P790" s="2"/>
      <c r="Q790" s="7"/>
      <c r="R790" s="224"/>
      <c r="S790" s="224"/>
      <c r="T790" s="224"/>
      <c r="U790" s="868"/>
      <c r="V790" s="865"/>
      <c r="W790" s="2"/>
      <c r="X790" s="2"/>
      <c r="Y790" s="2"/>
      <c r="Z790" s="2"/>
      <c r="AA790" s="2"/>
      <c r="AB790" s="2"/>
      <c r="AC790" s="2"/>
      <c r="AD790" s="2"/>
      <c r="AE790" s="2"/>
      <c r="AF790" s="2"/>
      <c r="AG790" s="2"/>
      <c r="AH790" s="2"/>
      <c r="AI790" s="2"/>
      <c r="AJ790" s="218"/>
      <c r="AK790" s="218"/>
      <c r="AL790" s="218"/>
      <c r="AM790" s="218"/>
    </row>
    <row r="791">
      <c r="A791" s="33"/>
      <c r="B791" s="2"/>
      <c r="C791" s="2"/>
      <c r="D791" s="2"/>
      <c r="E791" s="2"/>
      <c r="F791" s="4"/>
      <c r="G791" s="2"/>
      <c r="H791" s="2"/>
      <c r="I791" s="2"/>
      <c r="J791" s="5"/>
      <c r="K791" s="2"/>
      <c r="L791" s="2"/>
      <c r="M791" s="2"/>
      <c r="N791" s="2"/>
      <c r="O791" s="2"/>
      <c r="P791" s="2"/>
      <c r="Q791" s="7"/>
      <c r="R791" s="224"/>
      <c r="S791" s="224"/>
      <c r="T791" s="224"/>
      <c r="U791" s="868"/>
      <c r="V791" s="865"/>
      <c r="W791" s="2"/>
      <c r="X791" s="2"/>
      <c r="Y791" s="2"/>
      <c r="Z791" s="2"/>
      <c r="AA791" s="2"/>
      <c r="AB791" s="2"/>
      <c r="AC791" s="2"/>
      <c r="AD791" s="2"/>
      <c r="AE791" s="2"/>
      <c r="AF791" s="2"/>
      <c r="AG791" s="2"/>
      <c r="AH791" s="2"/>
      <c r="AI791" s="2"/>
      <c r="AJ791" s="218"/>
      <c r="AK791" s="218"/>
      <c r="AL791" s="218"/>
      <c r="AM791" s="218"/>
    </row>
    <row r="792">
      <c r="A792" s="33"/>
      <c r="B792" s="2"/>
      <c r="C792" s="2"/>
      <c r="D792" s="2"/>
      <c r="E792" s="2"/>
      <c r="F792" s="4"/>
      <c r="G792" s="2"/>
      <c r="H792" s="2"/>
      <c r="I792" s="2"/>
      <c r="J792" s="5"/>
      <c r="K792" s="2"/>
      <c r="L792" s="2"/>
      <c r="M792" s="2"/>
      <c r="N792" s="2"/>
      <c r="O792" s="2"/>
      <c r="P792" s="2"/>
      <c r="Q792" s="7"/>
      <c r="R792" s="224"/>
      <c r="S792" s="224"/>
      <c r="T792" s="224"/>
      <c r="U792" s="868"/>
      <c r="V792" s="865"/>
      <c r="W792" s="2"/>
      <c r="X792" s="2"/>
      <c r="Y792" s="2"/>
      <c r="Z792" s="2"/>
      <c r="AA792" s="2"/>
      <c r="AB792" s="2"/>
      <c r="AC792" s="2"/>
      <c r="AD792" s="2"/>
      <c r="AE792" s="2"/>
      <c r="AF792" s="2"/>
      <c r="AG792" s="2"/>
      <c r="AH792" s="2"/>
      <c r="AI792" s="2"/>
      <c r="AJ792" s="218"/>
      <c r="AK792" s="218"/>
      <c r="AL792" s="218"/>
      <c r="AM792" s="218"/>
    </row>
    <row r="793">
      <c r="A793" s="33"/>
      <c r="B793" s="2"/>
      <c r="C793" s="2"/>
      <c r="D793" s="2"/>
      <c r="E793" s="2"/>
      <c r="F793" s="4"/>
      <c r="G793" s="2"/>
      <c r="H793" s="2"/>
      <c r="I793" s="2"/>
      <c r="J793" s="5"/>
      <c r="K793" s="2"/>
      <c r="L793" s="2"/>
      <c r="M793" s="2"/>
      <c r="N793" s="2"/>
      <c r="O793" s="2"/>
      <c r="P793" s="2"/>
      <c r="Q793" s="7"/>
      <c r="R793" s="224"/>
      <c r="S793" s="224"/>
      <c r="T793" s="224"/>
      <c r="U793" s="868"/>
      <c r="V793" s="865"/>
      <c r="W793" s="2"/>
      <c r="X793" s="2"/>
      <c r="Y793" s="2"/>
      <c r="Z793" s="2"/>
      <c r="AA793" s="2"/>
      <c r="AB793" s="2"/>
      <c r="AC793" s="2"/>
      <c r="AD793" s="2"/>
      <c r="AE793" s="2"/>
      <c r="AF793" s="2"/>
      <c r="AG793" s="2"/>
      <c r="AH793" s="2"/>
      <c r="AI793" s="2"/>
      <c r="AJ793" s="218"/>
      <c r="AK793" s="218"/>
      <c r="AL793" s="218"/>
      <c r="AM793" s="218"/>
    </row>
    <row r="794">
      <c r="A794" s="33"/>
      <c r="B794" s="2"/>
      <c r="C794" s="2"/>
      <c r="D794" s="2"/>
      <c r="E794" s="2"/>
      <c r="F794" s="4"/>
      <c r="G794" s="2"/>
      <c r="H794" s="2"/>
      <c r="I794" s="2"/>
      <c r="J794" s="5"/>
      <c r="K794" s="2"/>
      <c r="L794" s="2"/>
      <c r="M794" s="2"/>
      <c r="N794" s="2"/>
      <c r="O794" s="2"/>
      <c r="P794" s="2"/>
      <c r="Q794" s="7"/>
      <c r="R794" s="224"/>
      <c r="S794" s="224"/>
      <c r="T794" s="224"/>
      <c r="U794" s="868"/>
      <c r="V794" s="865"/>
      <c r="W794" s="2"/>
      <c r="X794" s="2"/>
      <c r="Y794" s="2"/>
      <c r="Z794" s="2"/>
      <c r="AA794" s="2"/>
      <c r="AB794" s="2"/>
      <c r="AC794" s="2"/>
      <c r="AD794" s="2"/>
      <c r="AE794" s="2"/>
      <c r="AF794" s="2"/>
      <c r="AG794" s="2"/>
      <c r="AH794" s="2"/>
      <c r="AI794" s="2"/>
      <c r="AJ794" s="218"/>
      <c r="AK794" s="218"/>
      <c r="AL794" s="218"/>
      <c r="AM794" s="218"/>
    </row>
    <row r="795">
      <c r="A795" s="33"/>
      <c r="B795" s="2"/>
      <c r="C795" s="2"/>
      <c r="D795" s="2"/>
      <c r="E795" s="2"/>
      <c r="F795" s="4"/>
      <c r="G795" s="2"/>
      <c r="H795" s="2"/>
      <c r="I795" s="2"/>
      <c r="J795" s="5"/>
      <c r="K795" s="2"/>
      <c r="L795" s="2"/>
      <c r="M795" s="2"/>
      <c r="N795" s="2"/>
      <c r="O795" s="2"/>
      <c r="P795" s="2"/>
      <c r="Q795" s="7"/>
      <c r="R795" s="224"/>
      <c r="S795" s="224"/>
      <c r="T795" s="224"/>
      <c r="U795" s="868"/>
      <c r="V795" s="865"/>
      <c r="W795" s="2"/>
      <c r="X795" s="2"/>
      <c r="Y795" s="2"/>
      <c r="Z795" s="2"/>
      <c r="AA795" s="2"/>
      <c r="AB795" s="2"/>
      <c r="AC795" s="2"/>
      <c r="AD795" s="2"/>
      <c r="AE795" s="2"/>
      <c r="AF795" s="2"/>
      <c r="AG795" s="2"/>
      <c r="AH795" s="2"/>
      <c r="AI795" s="2"/>
      <c r="AJ795" s="218"/>
      <c r="AK795" s="218"/>
      <c r="AL795" s="218"/>
      <c r="AM795" s="218"/>
    </row>
    <row r="796">
      <c r="A796" s="33"/>
      <c r="B796" s="2"/>
      <c r="C796" s="2"/>
      <c r="D796" s="2"/>
      <c r="E796" s="2"/>
      <c r="F796" s="4"/>
      <c r="G796" s="2"/>
      <c r="H796" s="2"/>
      <c r="I796" s="2"/>
      <c r="J796" s="5"/>
      <c r="K796" s="2"/>
      <c r="L796" s="2"/>
      <c r="M796" s="2"/>
      <c r="N796" s="2"/>
      <c r="O796" s="2"/>
      <c r="P796" s="2"/>
      <c r="Q796" s="7"/>
      <c r="R796" s="224"/>
      <c r="S796" s="224"/>
      <c r="T796" s="224"/>
      <c r="U796" s="868"/>
      <c r="V796" s="865"/>
      <c r="W796" s="2"/>
      <c r="X796" s="2"/>
      <c r="Y796" s="2"/>
      <c r="Z796" s="2"/>
      <c r="AA796" s="2"/>
      <c r="AB796" s="2"/>
      <c r="AC796" s="2"/>
      <c r="AD796" s="2"/>
      <c r="AE796" s="2"/>
      <c r="AF796" s="2"/>
      <c r="AG796" s="2"/>
      <c r="AH796" s="2"/>
      <c r="AI796" s="2"/>
      <c r="AJ796" s="218"/>
      <c r="AK796" s="218"/>
      <c r="AL796" s="218"/>
      <c r="AM796" s="218"/>
    </row>
    <row r="797">
      <c r="A797" s="33"/>
      <c r="B797" s="2"/>
      <c r="C797" s="2"/>
      <c r="D797" s="2"/>
      <c r="E797" s="2"/>
      <c r="F797" s="4"/>
      <c r="G797" s="2"/>
      <c r="H797" s="2"/>
      <c r="I797" s="2"/>
      <c r="J797" s="5"/>
      <c r="K797" s="2"/>
      <c r="L797" s="2"/>
      <c r="M797" s="2"/>
      <c r="N797" s="2"/>
      <c r="O797" s="2"/>
      <c r="P797" s="2"/>
      <c r="Q797" s="7"/>
      <c r="R797" s="224"/>
      <c r="S797" s="224"/>
      <c r="T797" s="224"/>
      <c r="U797" s="868"/>
      <c r="V797" s="865"/>
      <c r="W797" s="2"/>
      <c r="X797" s="2"/>
      <c r="Y797" s="2"/>
      <c r="Z797" s="2"/>
      <c r="AA797" s="2"/>
      <c r="AB797" s="2"/>
      <c r="AC797" s="2"/>
      <c r="AD797" s="2"/>
      <c r="AE797" s="2"/>
      <c r="AF797" s="2"/>
      <c r="AG797" s="2"/>
      <c r="AH797" s="2"/>
      <c r="AI797" s="2"/>
      <c r="AJ797" s="218"/>
      <c r="AK797" s="218"/>
      <c r="AL797" s="218"/>
      <c r="AM797" s="218"/>
    </row>
    <row r="798">
      <c r="A798" s="33"/>
      <c r="B798" s="2"/>
      <c r="C798" s="2"/>
      <c r="D798" s="2"/>
      <c r="E798" s="2"/>
      <c r="F798" s="4"/>
      <c r="G798" s="2"/>
      <c r="H798" s="2"/>
      <c r="I798" s="2"/>
      <c r="J798" s="5"/>
      <c r="K798" s="2"/>
      <c r="L798" s="2"/>
      <c r="M798" s="2"/>
      <c r="N798" s="2"/>
      <c r="O798" s="2"/>
      <c r="P798" s="2"/>
      <c r="Q798" s="7"/>
      <c r="R798" s="224"/>
      <c r="S798" s="224"/>
      <c r="T798" s="224"/>
      <c r="U798" s="868"/>
      <c r="V798" s="865"/>
      <c r="W798" s="2"/>
      <c r="X798" s="2"/>
      <c r="Y798" s="2"/>
      <c r="Z798" s="2"/>
      <c r="AA798" s="2"/>
      <c r="AB798" s="2"/>
      <c r="AC798" s="2"/>
      <c r="AD798" s="2"/>
      <c r="AE798" s="2"/>
      <c r="AF798" s="2"/>
      <c r="AG798" s="2"/>
      <c r="AH798" s="2"/>
      <c r="AI798" s="2"/>
      <c r="AJ798" s="218"/>
      <c r="AK798" s="218"/>
      <c r="AL798" s="218"/>
      <c r="AM798" s="218"/>
    </row>
    <row r="799">
      <c r="A799" s="33"/>
      <c r="B799" s="2"/>
      <c r="C799" s="2"/>
      <c r="D799" s="2"/>
      <c r="E799" s="2"/>
      <c r="F799" s="4"/>
      <c r="G799" s="2"/>
      <c r="H799" s="2"/>
      <c r="I799" s="2"/>
      <c r="J799" s="5"/>
      <c r="K799" s="2"/>
      <c r="L799" s="2"/>
      <c r="M799" s="2"/>
      <c r="N799" s="2"/>
      <c r="O799" s="2"/>
      <c r="P799" s="2"/>
      <c r="Q799" s="7"/>
      <c r="R799" s="224"/>
      <c r="S799" s="224"/>
      <c r="T799" s="224"/>
      <c r="U799" s="868"/>
      <c r="V799" s="865"/>
      <c r="W799" s="2"/>
      <c r="X799" s="2"/>
      <c r="Y799" s="2"/>
      <c r="Z799" s="2"/>
      <c r="AA799" s="2"/>
      <c r="AB799" s="2"/>
      <c r="AC799" s="2"/>
      <c r="AD799" s="2"/>
      <c r="AE799" s="2"/>
      <c r="AF799" s="2"/>
      <c r="AG799" s="2"/>
      <c r="AH799" s="2"/>
      <c r="AI799" s="2"/>
      <c r="AJ799" s="218"/>
      <c r="AK799" s="218"/>
      <c r="AL799" s="218"/>
      <c r="AM799" s="218"/>
    </row>
    <row r="800">
      <c r="A800" s="33"/>
      <c r="B800" s="2"/>
      <c r="C800" s="2"/>
      <c r="D800" s="2"/>
      <c r="E800" s="2"/>
      <c r="F800" s="4"/>
      <c r="G800" s="2"/>
      <c r="H800" s="2"/>
      <c r="I800" s="2"/>
      <c r="J800" s="5"/>
      <c r="K800" s="2"/>
      <c r="L800" s="2"/>
      <c r="M800" s="2"/>
      <c r="N800" s="2"/>
      <c r="O800" s="2"/>
      <c r="P800" s="2"/>
      <c r="Q800" s="7"/>
      <c r="R800" s="224"/>
      <c r="S800" s="224"/>
      <c r="T800" s="224"/>
      <c r="U800" s="868"/>
      <c r="V800" s="865"/>
      <c r="W800" s="2"/>
      <c r="X800" s="2"/>
      <c r="Y800" s="2"/>
      <c r="Z800" s="2"/>
      <c r="AA800" s="2"/>
      <c r="AB800" s="2"/>
      <c r="AC800" s="2"/>
      <c r="AD800" s="2"/>
      <c r="AE800" s="2"/>
      <c r="AF800" s="2"/>
      <c r="AG800" s="2"/>
      <c r="AH800" s="2"/>
      <c r="AI800" s="2"/>
      <c r="AJ800" s="218"/>
      <c r="AK800" s="218"/>
      <c r="AL800" s="218"/>
      <c r="AM800" s="218"/>
    </row>
    <row r="801">
      <c r="A801" s="33"/>
      <c r="B801" s="2"/>
      <c r="C801" s="2"/>
      <c r="D801" s="2"/>
      <c r="E801" s="2"/>
      <c r="F801" s="4"/>
      <c r="G801" s="2"/>
      <c r="H801" s="2"/>
      <c r="I801" s="2"/>
      <c r="J801" s="5"/>
      <c r="K801" s="2"/>
      <c r="L801" s="2"/>
      <c r="M801" s="2"/>
      <c r="N801" s="2"/>
      <c r="O801" s="2"/>
      <c r="P801" s="2"/>
      <c r="Q801" s="7"/>
      <c r="R801" s="224"/>
      <c r="S801" s="224"/>
      <c r="T801" s="224"/>
      <c r="U801" s="868"/>
      <c r="V801" s="865"/>
      <c r="W801" s="2"/>
      <c r="X801" s="2"/>
      <c r="Y801" s="2"/>
      <c r="Z801" s="2"/>
      <c r="AA801" s="2"/>
      <c r="AB801" s="2"/>
      <c r="AC801" s="2"/>
      <c r="AD801" s="2"/>
      <c r="AE801" s="2"/>
      <c r="AF801" s="2"/>
      <c r="AG801" s="2"/>
      <c r="AH801" s="2"/>
      <c r="AI801" s="2"/>
      <c r="AJ801" s="218"/>
      <c r="AK801" s="218"/>
      <c r="AL801" s="218"/>
      <c r="AM801" s="218"/>
    </row>
    <row r="802">
      <c r="A802" s="33"/>
      <c r="B802" s="2"/>
      <c r="C802" s="2"/>
      <c r="D802" s="2"/>
      <c r="E802" s="2"/>
      <c r="F802" s="4"/>
      <c r="G802" s="2"/>
      <c r="H802" s="2"/>
      <c r="I802" s="2"/>
      <c r="J802" s="5"/>
      <c r="K802" s="2"/>
      <c r="L802" s="2"/>
      <c r="M802" s="2"/>
      <c r="N802" s="2"/>
      <c r="O802" s="2"/>
      <c r="P802" s="2"/>
      <c r="Q802" s="7"/>
      <c r="R802" s="224"/>
      <c r="S802" s="224"/>
      <c r="T802" s="224"/>
      <c r="U802" s="868"/>
      <c r="V802" s="865"/>
      <c r="W802" s="2"/>
      <c r="X802" s="2"/>
      <c r="Y802" s="2"/>
      <c r="Z802" s="2"/>
      <c r="AA802" s="2"/>
      <c r="AB802" s="2"/>
      <c r="AC802" s="2"/>
      <c r="AD802" s="2"/>
      <c r="AE802" s="2"/>
      <c r="AF802" s="2"/>
      <c r="AG802" s="2"/>
      <c r="AH802" s="2"/>
      <c r="AI802" s="2"/>
      <c r="AJ802" s="218"/>
      <c r="AK802" s="218"/>
      <c r="AL802" s="218"/>
      <c r="AM802" s="218"/>
    </row>
    <row r="803">
      <c r="A803" s="33"/>
      <c r="B803" s="2"/>
      <c r="C803" s="2"/>
      <c r="D803" s="2"/>
      <c r="E803" s="2"/>
      <c r="F803" s="4"/>
      <c r="G803" s="2"/>
      <c r="H803" s="2"/>
      <c r="I803" s="2"/>
      <c r="J803" s="5"/>
      <c r="K803" s="2"/>
      <c r="L803" s="2"/>
      <c r="M803" s="2"/>
      <c r="N803" s="2"/>
      <c r="O803" s="2"/>
      <c r="P803" s="2"/>
      <c r="Q803" s="7"/>
      <c r="R803" s="224"/>
      <c r="S803" s="224"/>
      <c r="T803" s="224"/>
      <c r="U803" s="868"/>
      <c r="V803" s="865"/>
      <c r="W803" s="2"/>
      <c r="X803" s="2"/>
      <c r="Y803" s="2"/>
      <c r="Z803" s="2"/>
      <c r="AA803" s="2"/>
      <c r="AB803" s="2"/>
      <c r="AC803" s="2"/>
      <c r="AD803" s="2"/>
      <c r="AE803" s="2"/>
      <c r="AF803" s="2"/>
      <c r="AG803" s="2"/>
      <c r="AH803" s="2"/>
      <c r="AI803" s="2"/>
      <c r="AJ803" s="218"/>
      <c r="AK803" s="218"/>
      <c r="AL803" s="218"/>
      <c r="AM803" s="218"/>
    </row>
    <row r="804">
      <c r="A804" s="33"/>
      <c r="B804" s="2"/>
      <c r="C804" s="2"/>
      <c r="D804" s="2"/>
      <c r="E804" s="2"/>
      <c r="F804" s="4"/>
      <c r="G804" s="2"/>
      <c r="H804" s="2"/>
      <c r="I804" s="2"/>
      <c r="J804" s="5"/>
      <c r="K804" s="2"/>
      <c r="L804" s="2"/>
      <c r="M804" s="2"/>
      <c r="N804" s="2"/>
      <c r="O804" s="2"/>
      <c r="P804" s="2"/>
      <c r="Q804" s="7"/>
      <c r="R804" s="224"/>
      <c r="S804" s="224"/>
      <c r="T804" s="224"/>
      <c r="U804" s="868"/>
      <c r="V804" s="865"/>
      <c r="W804" s="2"/>
      <c r="X804" s="2"/>
      <c r="Y804" s="2"/>
      <c r="Z804" s="2"/>
      <c r="AA804" s="2"/>
      <c r="AB804" s="2"/>
      <c r="AC804" s="2"/>
      <c r="AD804" s="2"/>
      <c r="AE804" s="2"/>
      <c r="AF804" s="2"/>
      <c r="AG804" s="2"/>
      <c r="AH804" s="2"/>
      <c r="AI804" s="2"/>
      <c r="AJ804" s="218"/>
      <c r="AK804" s="218"/>
      <c r="AL804" s="218"/>
      <c r="AM804" s="218"/>
    </row>
    <row r="805">
      <c r="A805" s="33"/>
      <c r="B805" s="2"/>
      <c r="C805" s="2"/>
      <c r="D805" s="2"/>
      <c r="E805" s="2"/>
      <c r="F805" s="4"/>
      <c r="G805" s="2"/>
      <c r="H805" s="2"/>
      <c r="I805" s="2"/>
      <c r="J805" s="5"/>
      <c r="K805" s="2"/>
      <c r="L805" s="2"/>
      <c r="M805" s="2"/>
      <c r="N805" s="2"/>
      <c r="O805" s="2"/>
      <c r="P805" s="2"/>
      <c r="Q805" s="7"/>
      <c r="R805" s="224"/>
      <c r="S805" s="224"/>
      <c r="T805" s="224"/>
      <c r="U805" s="868"/>
      <c r="V805" s="865"/>
      <c r="W805" s="2"/>
      <c r="X805" s="2"/>
      <c r="Y805" s="2"/>
      <c r="Z805" s="2"/>
      <c r="AA805" s="2"/>
      <c r="AB805" s="2"/>
      <c r="AC805" s="2"/>
      <c r="AD805" s="2"/>
      <c r="AE805" s="2"/>
      <c r="AF805" s="2"/>
      <c r="AG805" s="2"/>
      <c r="AH805" s="2"/>
      <c r="AI805" s="2"/>
      <c r="AJ805" s="218"/>
      <c r="AK805" s="218"/>
      <c r="AL805" s="218"/>
      <c r="AM805" s="218"/>
    </row>
    <row r="806">
      <c r="A806" s="33"/>
      <c r="B806" s="2"/>
      <c r="C806" s="2"/>
      <c r="D806" s="2"/>
      <c r="E806" s="2"/>
      <c r="F806" s="4"/>
      <c r="G806" s="2"/>
      <c r="H806" s="2"/>
      <c r="I806" s="2"/>
      <c r="J806" s="5"/>
      <c r="K806" s="2"/>
      <c r="L806" s="2"/>
      <c r="M806" s="2"/>
      <c r="N806" s="2"/>
      <c r="O806" s="2"/>
      <c r="P806" s="2"/>
      <c r="Q806" s="7"/>
      <c r="R806" s="224"/>
      <c r="S806" s="224"/>
      <c r="T806" s="224"/>
      <c r="U806" s="868"/>
      <c r="V806" s="865"/>
      <c r="W806" s="2"/>
      <c r="X806" s="2"/>
      <c r="Y806" s="2"/>
      <c r="Z806" s="2"/>
      <c r="AA806" s="2"/>
      <c r="AB806" s="2"/>
      <c r="AC806" s="2"/>
      <c r="AD806" s="2"/>
      <c r="AE806" s="2"/>
      <c r="AF806" s="2"/>
      <c r="AG806" s="2"/>
      <c r="AH806" s="2"/>
      <c r="AI806" s="2"/>
      <c r="AJ806" s="218"/>
      <c r="AK806" s="218"/>
      <c r="AL806" s="218"/>
      <c r="AM806" s="218"/>
    </row>
    <row r="807">
      <c r="A807" s="33"/>
      <c r="B807" s="2"/>
      <c r="C807" s="2"/>
      <c r="D807" s="2"/>
      <c r="E807" s="2"/>
      <c r="F807" s="4"/>
      <c r="G807" s="2"/>
      <c r="H807" s="2"/>
      <c r="I807" s="2"/>
      <c r="J807" s="5"/>
      <c r="K807" s="2"/>
      <c r="L807" s="2"/>
      <c r="M807" s="2"/>
      <c r="N807" s="2"/>
      <c r="O807" s="2"/>
      <c r="P807" s="2"/>
      <c r="Q807" s="7"/>
      <c r="R807" s="224"/>
      <c r="S807" s="224"/>
      <c r="T807" s="224"/>
      <c r="U807" s="868"/>
      <c r="V807" s="865"/>
      <c r="W807" s="2"/>
      <c r="X807" s="2"/>
      <c r="Y807" s="2"/>
      <c r="Z807" s="2"/>
      <c r="AA807" s="2"/>
      <c r="AB807" s="2"/>
      <c r="AC807" s="2"/>
      <c r="AD807" s="2"/>
      <c r="AE807" s="2"/>
      <c r="AF807" s="2"/>
      <c r="AG807" s="2"/>
      <c r="AH807" s="2"/>
      <c r="AI807" s="2"/>
      <c r="AJ807" s="218"/>
      <c r="AK807" s="218"/>
      <c r="AL807" s="218"/>
      <c r="AM807" s="218"/>
    </row>
    <row r="808">
      <c r="A808" s="33"/>
      <c r="B808" s="2"/>
      <c r="C808" s="2"/>
      <c r="D808" s="2"/>
      <c r="E808" s="2"/>
      <c r="F808" s="4"/>
      <c r="G808" s="2"/>
      <c r="H808" s="2"/>
      <c r="I808" s="2"/>
      <c r="J808" s="5"/>
      <c r="K808" s="2"/>
      <c r="L808" s="2"/>
      <c r="M808" s="2"/>
      <c r="N808" s="2"/>
      <c r="O808" s="2"/>
      <c r="P808" s="2"/>
      <c r="Q808" s="7"/>
      <c r="R808" s="224"/>
      <c r="S808" s="224"/>
      <c r="T808" s="224"/>
      <c r="U808" s="868"/>
      <c r="V808" s="865"/>
      <c r="W808" s="2"/>
      <c r="X808" s="2"/>
      <c r="Y808" s="2"/>
      <c r="Z808" s="2"/>
      <c r="AA808" s="2"/>
      <c r="AB808" s="2"/>
      <c r="AC808" s="2"/>
      <c r="AD808" s="2"/>
      <c r="AE808" s="2"/>
      <c r="AF808" s="2"/>
      <c r="AG808" s="2"/>
      <c r="AH808" s="2"/>
      <c r="AI808" s="2"/>
      <c r="AJ808" s="218"/>
      <c r="AK808" s="218"/>
      <c r="AL808" s="218"/>
      <c r="AM808" s="218"/>
    </row>
    <row r="809">
      <c r="A809" s="33"/>
      <c r="B809" s="2"/>
      <c r="C809" s="2"/>
      <c r="D809" s="2"/>
      <c r="E809" s="2"/>
      <c r="F809" s="4"/>
      <c r="G809" s="2"/>
      <c r="H809" s="2"/>
      <c r="I809" s="2"/>
      <c r="J809" s="5"/>
      <c r="K809" s="2"/>
      <c r="L809" s="2"/>
      <c r="M809" s="2"/>
      <c r="N809" s="2"/>
      <c r="O809" s="2"/>
      <c r="P809" s="2"/>
      <c r="Q809" s="7"/>
      <c r="R809" s="224"/>
      <c r="S809" s="224"/>
      <c r="T809" s="224"/>
      <c r="U809" s="868"/>
      <c r="V809" s="865"/>
      <c r="W809" s="2"/>
      <c r="X809" s="2"/>
      <c r="Y809" s="2"/>
      <c r="Z809" s="2"/>
      <c r="AA809" s="2"/>
      <c r="AB809" s="2"/>
      <c r="AC809" s="2"/>
      <c r="AD809" s="2"/>
      <c r="AE809" s="2"/>
      <c r="AF809" s="2"/>
      <c r="AG809" s="2"/>
      <c r="AH809" s="2"/>
      <c r="AI809" s="2"/>
      <c r="AJ809" s="218"/>
      <c r="AK809" s="218"/>
      <c r="AL809" s="218"/>
      <c r="AM809" s="218"/>
    </row>
    <row r="810">
      <c r="A810" s="33"/>
      <c r="B810" s="2"/>
      <c r="C810" s="2"/>
      <c r="D810" s="2"/>
      <c r="E810" s="2"/>
      <c r="F810" s="4"/>
      <c r="G810" s="2"/>
      <c r="H810" s="2"/>
      <c r="I810" s="2"/>
      <c r="J810" s="5"/>
      <c r="K810" s="2"/>
      <c r="L810" s="2"/>
      <c r="M810" s="2"/>
      <c r="N810" s="2"/>
      <c r="O810" s="2"/>
      <c r="P810" s="2"/>
      <c r="Q810" s="7"/>
      <c r="R810" s="224"/>
      <c r="S810" s="224"/>
      <c r="T810" s="224"/>
      <c r="U810" s="868"/>
      <c r="V810" s="865"/>
      <c r="W810" s="2"/>
      <c r="X810" s="2"/>
      <c r="Y810" s="2"/>
      <c r="Z810" s="2"/>
      <c r="AA810" s="2"/>
      <c r="AB810" s="2"/>
      <c r="AC810" s="2"/>
      <c r="AD810" s="2"/>
      <c r="AE810" s="2"/>
      <c r="AF810" s="2"/>
      <c r="AG810" s="2"/>
      <c r="AH810" s="2"/>
      <c r="AI810" s="2"/>
      <c r="AJ810" s="218"/>
      <c r="AK810" s="218"/>
      <c r="AL810" s="218"/>
      <c r="AM810" s="218"/>
    </row>
    <row r="811">
      <c r="A811" s="33"/>
      <c r="B811" s="2"/>
      <c r="C811" s="2"/>
      <c r="D811" s="2"/>
      <c r="E811" s="2"/>
      <c r="F811" s="4"/>
      <c r="G811" s="2"/>
      <c r="H811" s="2"/>
      <c r="I811" s="2"/>
      <c r="J811" s="5"/>
      <c r="K811" s="2"/>
      <c r="L811" s="2"/>
      <c r="M811" s="2"/>
      <c r="N811" s="2"/>
      <c r="O811" s="2"/>
      <c r="P811" s="2"/>
      <c r="Q811" s="7"/>
      <c r="R811" s="224"/>
      <c r="S811" s="224"/>
      <c r="T811" s="224"/>
      <c r="U811" s="868"/>
      <c r="V811" s="865"/>
      <c r="W811" s="2"/>
      <c r="X811" s="2"/>
      <c r="Y811" s="2"/>
      <c r="Z811" s="2"/>
      <c r="AA811" s="2"/>
      <c r="AB811" s="2"/>
      <c r="AC811" s="2"/>
      <c r="AD811" s="2"/>
      <c r="AE811" s="2"/>
      <c r="AF811" s="2"/>
      <c r="AG811" s="2"/>
      <c r="AH811" s="2"/>
      <c r="AI811" s="2"/>
      <c r="AJ811" s="218"/>
      <c r="AK811" s="218"/>
      <c r="AL811" s="218"/>
      <c r="AM811" s="218"/>
    </row>
    <row r="812">
      <c r="A812" s="33"/>
      <c r="B812" s="2"/>
      <c r="C812" s="2"/>
      <c r="D812" s="2"/>
      <c r="E812" s="2"/>
      <c r="F812" s="4"/>
      <c r="G812" s="2"/>
      <c r="H812" s="2"/>
      <c r="I812" s="2"/>
      <c r="J812" s="5"/>
      <c r="K812" s="2"/>
      <c r="L812" s="2"/>
      <c r="M812" s="2"/>
      <c r="N812" s="2"/>
      <c r="O812" s="2"/>
      <c r="P812" s="2"/>
      <c r="Q812" s="7"/>
      <c r="R812" s="224"/>
      <c r="S812" s="224"/>
      <c r="T812" s="224"/>
      <c r="U812" s="868"/>
      <c r="V812" s="865"/>
      <c r="W812" s="2"/>
      <c r="X812" s="2"/>
      <c r="Y812" s="2"/>
      <c r="Z812" s="2"/>
      <c r="AA812" s="2"/>
      <c r="AB812" s="2"/>
      <c r="AC812" s="2"/>
      <c r="AD812" s="2"/>
      <c r="AE812" s="2"/>
      <c r="AF812" s="2"/>
      <c r="AG812" s="2"/>
      <c r="AH812" s="2"/>
      <c r="AI812" s="2"/>
      <c r="AJ812" s="218"/>
      <c r="AK812" s="218"/>
      <c r="AL812" s="218"/>
      <c r="AM812" s="218"/>
    </row>
    <row r="813">
      <c r="A813" s="33"/>
      <c r="B813" s="2"/>
      <c r="C813" s="2"/>
      <c r="D813" s="2"/>
      <c r="E813" s="2"/>
      <c r="F813" s="4"/>
      <c r="G813" s="2"/>
      <c r="H813" s="2"/>
      <c r="I813" s="2"/>
      <c r="J813" s="5"/>
      <c r="K813" s="2"/>
      <c r="L813" s="2"/>
      <c r="M813" s="2"/>
      <c r="N813" s="2"/>
      <c r="O813" s="2"/>
      <c r="P813" s="2"/>
      <c r="Q813" s="7"/>
      <c r="R813" s="224"/>
      <c r="S813" s="224"/>
      <c r="T813" s="224"/>
      <c r="U813" s="868"/>
      <c r="V813" s="865"/>
      <c r="W813" s="2"/>
      <c r="X813" s="2"/>
      <c r="Y813" s="2"/>
      <c r="Z813" s="2"/>
      <c r="AA813" s="2"/>
      <c r="AB813" s="2"/>
      <c r="AC813" s="2"/>
      <c r="AD813" s="2"/>
      <c r="AE813" s="2"/>
      <c r="AF813" s="2"/>
      <c r="AG813" s="2"/>
      <c r="AH813" s="2"/>
      <c r="AI813" s="2"/>
      <c r="AJ813" s="218"/>
      <c r="AK813" s="218"/>
      <c r="AL813" s="218"/>
      <c r="AM813" s="218"/>
    </row>
    <row r="814">
      <c r="A814" s="33"/>
      <c r="B814" s="2"/>
      <c r="C814" s="2"/>
      <c r="D814" s="2"/>
      <c r="E814" s="2"/>
      <c r="F814" s="4"/>
      <c r="G814" s="2"/>
      <c r="H814" s="2"/>
      <c r="I814" s="2"/>
      <c r="J814" s="5"/>
      <c r="K814" s="2"/>
      <c r="L814" s="2"/>
      <c r="M814" s="2"/>
      <c r="N814" s="2"/>
      <c r="O814" s="2"/>
      <c r="P814" s="2"/>
      <c r="Q814" s="7"/>
      <c r="R814" s="224"/>
      <c r="S814" s="224"/>
      <c r="T814" s="224"/>
      <c r="U814" s="868"/>
      <c r="V814" s="865"/>
      <c r="W814" s="2"/>
      <c r="X814" s="2"/>
      <c r="Y814" s="2"/>
      <c r="Z814" s="2"/>
      <c r="AA814" s="2"/>
      <c r="AB814" s="2"/>
      <c r="AC814" s="2"/>
      <c r="AD814" s="2"/>
      <c r="AE814" s="2"/>
      <c r="AF814" s="2"/>
      <c r="AG814" s="2"/>
      <c r="AH814" s="2"/>
      <c r="AI814" s="2"/>
      <c r="AJ814" s="218"/>
      <c r="AK814" s="218"/>
      <c r="AL814" s="218"/>
      <c r="AM814" s="218"/>
    </row>
    <row r="815">
      <c r="A815" s="33"/>
      <c r="B815" s="2"/>
      <c r="C815" s="2"/>
      <c r="D815" s="2"/>
      <c r="E815" s="2"/>
      <c r="F815" s="4"/>
      <c r="G815" s="2"/>
      <c r="H815" s="2"/>
      <c r="I815" s="2"/>
      <c r="J815" s="5"/>
      <c r="K815" s="2"/>
      <c r="L815" s="2"/>
      <c r="M815" s="2"/>
      <c r="N815" s="2"/>
      <c r="O815" s="2"/>
      <c r="P815" s="2"/>
      <c r="Q815" s="7"/>
      <c r="R815" s="224"/>
      <c r="S815" s="224"/>
      <c r="T815" s="224"/>
      <c r="U815" s="868"/>
      <c r="V815" s="865"/>
      <c r="W815" s="2"/>
      <c r="X815" s="2"/>
      <c r="Y815" s="2"/>
      <c r="Z815" s="2"/>
      <c r="AA815" s="2"/>
      <c r="AB815" s="2"/>
      <c r="AC815" s="2"/>
      <c r="AD815" s="2"/>
      <c r="AE815" s="2"/>
      <c r="AF815" s="2"/>
      <c r="AG815" s="2"/>
      <c r="AH815" s="2"/>
      <c r="AI815" s="2"/>
      <c r="AJ815" s="218"/>
      <c r="AK815" s="218"/>
      <c r="AL815" s="218"/>
      <c r="AM815" s="218"/>
    </row>
    <row r="816">
      <c r="A816" s="33"/>
      <c r="B816" s="2"/>
      <c r="C816" s="2"/>
      <c r="D816" s="2"/>
      <c r="E816" s="2"/>
      <c r="F816" s="4"/>
      <c r="G816" s="2"/>
      <c r="H816" s="2"/>
      <c r="I816" s="2"/>
      <c r="J816" s="5"/>
      <c r="K816" s="2"/>
      <c r="L816" s="2"/>
      <c r="M816" s="2"/>
      <c r="N816" s="2"/>
      <c r="O816" s="2"/>
      <c r="P816" s="2"/>
      <c r="Q816" s="7"/>
      <c r="R816" s="224"/>
      <c r="S816" s="224"/>
      <c r="T816" s="224"/>
      <c r="U816" s="868"/>
      <c r="V816" s="865"/>
      <c r="W816" s="2"/>
      <c r="X816" s="2"/>
      <c r="Y816" s="2"/>
      <c r="Z816" s="2"/>
      <c r="AA816" s="2"/>
      <c r="AB816" s="2"/>
      <c r="AC816" s="2"/>
      <c r="AD816" s="2"/>
      <c r="AE816" s="2"/>
      <c r="AF816" s="2"/>
      <c r="AG816" s="2"/>
      <c r="AH816" s="2"/>
      <c r="AI816" s="2"/>
      <c r="AJ816" s="218"/>
      <c r="AK816" s="218"/>
      <c r="AL816" s="218"/>
      <c r="AM816" s="218"/>
    </row>
    <row r="817">
      <c r="A817" s="33"/>
      <c r="B817" s="2"/>
      <c r="C817" s="2"/>
      <c r="D817" s="2"/>
      <c r="E817" s="2"/>
      <c r="F817" s="4"/>
      <c r="G817" s="2"/>
      <c r="H817" s="2"/>
      <c r="I817" s="2"/>
      <c r="J817" s="5"/>
      <c r="K817" s="2"/>
      <c r="L817" s="2"/>
      <c r="M817" s="2"/>
      <c r="N817" s="2"/>
      <c r="O817" s="2"/>
      <c r="P817" s="2"/>
      <c r="Q817" s="7"/>
      <c r="R817" s="224"/>
      <c r="S817" s="224"/>
      <c r="T817" s="224"/>
      <c r="U817" s="868"/>
      <c r="V817" s="865"/>
      <c r="W817" s="2"/>
      <c r="X817" s="2"/>
      <c r="Y817" s="2"/>
      <c r="Z817" s="2"/>
      <c r="AA817" s="2"/>
      <c r="AB817" s="2"/>
      <c r="AC817" s="2"/>
      <c r="AD817" s="2"/>
      <c r="AE817" s="2"/>
      <c r="AF817" s="2"/>
      <c r="AG817" s="2"/>
      <c r="AH817" s="2"/>
      <c r="AI817" s="2"/>
      <c r="AJ817" s="218"/>
      <c r="AK817" s="218"/>
      <c r="AL817" s="218"/>
      <c r="AM817" s="218"/>
    </row>
    <row r="818">
      <c r="A818" s="33"/>
      <c r="B818" s="2"/>
      <c r="C818" s="2"/>
      <c r="D818" s="2"/>
      <c r="E818" s="2"/>
      <c r="F818" s="4"/>
      <c r="G818" s="2"/>
      <c r="H818" s="2"/>
      <c r="I818" s="2"/>
      <c r="J818" s="5"/>
      <c r="K818" s="2"/>
      <c r="L818" s="2"/>
      <c r="M818" s="2"/>
      <c r="N818" s="2"/>
      <c r="O818" s="2"/>
      <c r="P818" s="2"/>
      <c r="Q818" s="7"/>
      <c r="R818" s="224"/>
      <c r="S818" s="224"/>
      <c r="T818" s="224"/>
      <c r="U818" s="868"/>
      <c r="V818" s="865"/>
      <c r="W818" s="2"/>
      <c r="X818" s="2"/>
      <c r="Y818" s="2"/>
      <c r="Z818" s="2"/>
      <c r="AA818" s="2"/>
      <c r="AB818" s="2"/>
      <c r="AC818" s="2"/>
      <c r="AD818" s="2"/>
      <c r="AE818" s="2"/>
      <c r="AF818" s="2"/>
      <c r="AG818" s="2"/>
      <c r="AH818" s="2"/>
      <c r="AI818" s="2"/>
      <c r="AJ818" s="218"/>
      <c r="AK818" s="218"/>
      <c r="AL818" s="218"/>
      <c r="AM818" s="218"/>
    </row>
    <row r="819">
      <c r="A819" s="33"/>
      <c r="B819" s="2"/>
      <c r="C819" s="2"/>
      <c r="D819" s="2"/>
      <c r="E819" s="2"/>
      <c r="F819" s="4"/>
      <c r="G819" s="2"/>
      <c r="H819" s="2"/>
      <c r="I819" s="2"/>
      <c r="J819" s="5"/>
      <c r="K819" s="2"/>
      <c r="L819" s="2"/>
      <c r="M819" s="2"/>
      <c r="N819" s="2"/>
      <c r="O819" s="2"/>
      <c r="P819" s="2"/>
      <c r="Q819" s="7"/>
      <c r="R819" s="224"/>
      <c r="S819" s="224"/>
      <c r="T819" s="224"/>
      <c r="U819" s="868"/>
      <c r="V819" s="865"/>
      <c r="W819" s="2"/>
      <c r="X819" s="2"/>
      <c r="Y819" s="2"/>
      <c r="Z819" s="2"/>
      <c r="AA819" s="2"/>
      <c r="AB819" s="2"/>
      <c r="AC819" s="2"/>
      <c r="AD819" s="2"/>
      <c r="AE819" s="2"/>
      <c r="AF819" s="2"/>
      <c r="AG819" s="2"/>
      <c r="AH819" s="2"/>
      <c r="AI819" s="2"/>
      <c r="AJ819" s="218"/>
      <c r="AK819" s="218"/>
      <c r="AL819" s="218"/>
      <c r="AM819" s="218"/>
    </row>
    <row r="820">
      <c r="A820" s="33"/>
      <c r="B820" s="2"/>
      <c r="C820" s="2"/>
      <c r="D820" s="2"/>
      <c r="E820" s="2"/>
      <c r="F820" s="4"/>
      <c r="G820" s="2"/>
      <c r="H820" s="2"/>
      <c r="I820" s="2"/>
      <c r="J820" s="5"/>
      <c r="K820" s="2"/>
      <c r="L820" s="2"/>
      <c r="M820" s="2"/>
      <c r="N820" s="2"/>
      <c r="O820" s="2"/>
      <c r="P820" s="2"/>
      <c r="Q820" s="7"/>
      <c r="R820" s="224"/>
      <c r="S820" s="224"/>
      <c r="T820" s="224"/>
      <c r="U820" s="868"/>
      <c r="V820" s="865"/>
      <c r="W820" s="2"/>
      <c r="X820" s="2"/>
      <c r="Y820" s="2"/>
      <c r="Z820" s="2"/>
      <c r="AA820" s="2"/>
      <c r="AB820" s="2"/>
      <c r="AC820" s="2"/>
      <c r="AD820" s="2"/>
      <c r="AE820" s="2"/>
      <c r="AF820" s="2"/>
      <c r="AG820" s="2"/>
      <c r="AH820" s="2"/>
      <c r="AI820" s="2"/>
      <c r="AJ820" s="218"/>
      <c r="AK820" s="218"/>
      <c r="AL820" s="218"/>
      <c r="AM820" s="218"/>
    </row>
    <row r="821">
      <c r="A821" s="33"/>
      <c r="B821" s="2"/>
      <c r="C821" s="2"/>
      <c r="D821" s="2"/>
      <c r="E821" s="2"/>
      <c r="F821" s="4"/>
      <c r="G821" s="2"/>
      <c r="H821" s="2"/>
      <c r="I821" s="2"/>
      <c r="J821" s="5"/>
      <c r="K821" s="2"/>
      <c r="L821" s="2"/>
      <c r="M821" s="2"/>
      <c r="N821" s="2"/>
      <c r="O821" s="2"/>
      <c r="P821" s="2"/>
      <c r="Q821" s="7"/>
      <c r="R821" s="224"/>
      <c r="S821" s="224"/>
      <c r="T821" s="224"/>
      <c r="U821" s="868"/>
      <c r="V821" s="865"/>
      <c r="W821" s="2"/>
      <c r="X821" s="2"/>
      <c r="Y821" s="2"/>
      <c r="Z821" s="2"/>
      <c r="AA821" s="2"/>
      <c r="AB821" s="2"/>
      <c r="AC821" s="2"/>
      <c r="AD821" s="2"/>
      <c r="AE821" s="2"/>
      <c r="AF821" s="2"/>
      <c r="AG821" s="2"/>
      <c r="AH821" s="2"/>
      <c r="AI821" s="2"/>
      <c r="AJ821" s="218"/>
      <c r="AK821" s="218"/>
      <c r="AL821" s="218"/>
      <c r="AM821" s="218"/>
    </row>
    <row r="822">
      <c r="A822" s="33"/>
      <c r="B822" s="2"/>
      <c r="C822" s="2"/>
      <c r="D822" s="2"/>
      <c r="E822" s="2"/>
      <c r="F822" s="4"/>
      <c r="G822" s="2"/>
      <c r="H822" s="2"/>
      <c r="I822" s="2"/>
      <c r="J822" s="5"/>
      <c r="K822" s="2"/>
      <c r="L822" s="2"/>
      <c r="M822" s="2"/>
      <c r="N822" s="2"/>
      <c r="O822" s="2"/>
      <c r="P822" s="2"/>
      <c r="Q822" s="7"/>
      <c r="R822" s="224"/>
      <c r="S822" s="224"/>
      <c r="T822" s="224"/>
      <c r="U822" s="868"/>
      <c r="V822" s="865"/>
      <c r="W822" s="2"/>
      <c r="X822" s="2"/>
      <c r="Y822" s="2"/>
      <c r="Z822" s="2"/>
      <c r="AA822" s="2"/>
      <c r="AB822" s="2"/>
      <c r="AC822" s="2"/>
      <c r="AD822" s="2"/>
      <c r="AE822" s="2"/>
      <c r="AF822" s="2"/>
      <c r="AG822" s="2"/>
      <c r="AH822" s="2"/>
      <c r="AI822" s="2"/>
      <c r="AJ822" s="218"/>
      <c r="AK822" s="218"/>
      <c r="AL822" s="218"/>
      <c r="AM822" s="218"/>
    </row>
    <row r="823">
      <c r="A823" s="33"/>
      <c r="B823" s="2"/>
      <c r="C823" s="2"/>
      <c r="D823" s="2"/>
      <c r="E823" s="2"/>
      <c r="F823" s="4"/>
      <c r="G823" s="2"/>
      <c r="H823" s="2"/>
      <c r="I823" s="2"/>
      <c r="J823" s="5"/>
      <c r="K823" s="2"/>
      <c r="L823" s="2"/>
      <c r="M823" s="2"/>
      <c r="N823" s="2"/>
      <c r="O823" s="2"/>
      <c r="P823" s="2"/>
      <c r="Q823" s="7"/>
      <c r="R823" s="224"/>
      <c r="S823" s="224"/>
      <c r="T823" s="224"/>
      <c r="U823" s="868"/>
      <c r="V823" s="865"/>
      <c r="W823" s="2"/>
      <c r="X823" s="2"/>
      <c r="Y823" s="2"/>
      <c r="Z823" s="2"/>
      <c r="AA823" s="2"/>
      <c r="AB823" s="2"/>
      <c r="AC823" s="2"/>
      <c r="AD823" s="2"/>
      <c r="AE823" s="2"/>
      <c r="AF823" s="2"/>
      <c r="AG823" s="2"/>
      <c r="AH823" s="2"/>
      <c r="AI823" s="2"/>
      <c r="AJ823" s="218"/>
      <c r="AK823" s="218"/>
      <c r="AL823" s="218"/>
      <c r="AM823" s="218"/>
    </row>
    <row r="824">
      <c r="A824" s="33"/>
      <c r="B824" s="2"/>
      <c r="C824" s="2"/>
      <c r="D824" s="2"/>
      <c r="E824" s="2"/>
      <c r="F824" s="4"/>
      <c r="G824" s="2"/>
      <c r="H824" s="2"/>
      <c r="I824" s="2"/>
      <c r="J824" s="5"/>
      <c r="K824" s="2"/>
      <c r="L824" s="2"/>
      <c r="M824" s="2"/>
      <c r="N824" s="2"/>
      <c r="O824" s="2"/>
      <c r="P824" s="2"/>
      <c r="Q824" s="7"/>
      <c r="R824" s="224"/>
      <c r="S824" s="224"/>
      <c r="T824" s="224"/>
      <c r="U824" s="868"/>
      <c r="V824" s="865"/>
      <c r="W824" s="2"/>
      <c r="X824" s="2"/>
      <c r="Y824" s="2"/>
      <c r="Z824" s="2"/>
      <c r="AA824" s="2"/>
      <c r="AB824" s="2"/>
      <c r="AC824" s="2"/>
      <c r="AD824" s="2"/>
      <c r="AE824" s="2"/>
      <c r="AF824" s="2"/>
      <c r="AG824" s="2"/>
      <c r="AH824" s="2"/>
      <c r="AI824" s="2"/>
      <c r="AJ824" s="218"/>
      <c r="AK824" s="218"/>
      <c r="AL824" s="218"/>
      <c r="AM824" s="218"/>
    </row>
    <row r="825">
      <c r="A825" s="33"/>
      <c r="B825" s="2"/>
      <c r="C825" s="2"/>
      <c r="D825" s="2"/>
      <c r="E825" s="2"/>
      <c r="F825" s="4"/>
      <c r="G825" s="2"/>
      <c r="H825" s="2"/>
      <c r="I825" s="2"/>
      <c r="J825" s="5"/>
      <c r="K825" s="2"/>
      <c r="L825" s="2"/>
      <c r="M825" s="2"/>
      <c r="N825" s="2"/>
      <c r="O825" s="2"/>
      <c r="P825" s="2"/>
      <c r="Q825" s="7"/>
      <c r="R825" s="224"/>
      <c r="S825" s="224"/>
      <c r="T825" s="224"/>
      <c r="U825" s="868"/>
      <c r="V825" s="865"/>
      <c r="W825" s="2"/>
      <c r="X825" s="2"/>
      <c r="Y825" s="2"/>
      <c r="Z825" s="2"/>
      <c r="AA825" s="2"/>
      <c r="AB825" s="2"/>
      <c r="AC825" s="2"/>
      <c r="AD825" s="2"/>
      <c r="AE825" s="2"/>
      <c r="AF825" s="2"/>
      <c r="AG825" s="2"/>
      <c r="AH825" s="2"/>
      <c r="AI825" s="2"/>
      <c r="AJ825" s="218"/>
      <c r="AK825" s="218"/>
      <c r="AL825" s="218"/>
      <c r="AM825" s="218"/>
    </row>
    <row r="826">
      <c r="A826" s="33"/>
      <c r="B826" s="2"/>
      <c r="C826" s="2"/>
      <c r="D826" s="2"/>
      <c r="E826" s="2"/>
      <c r="F826" s="4"/>
      <c r="G826" s="2"/>
      <c r="H826" s="2"/>
      <c r="I826" s="2"/>
      <c r="J826" s="5"/>
      <c r="K826" s="2"/>
      <c r="L826" s="2"/>
      <c r="M826" s="2"/>
      <c r="N826" s="2"/>
      <c r="O826" s="2"/>
      <c r="P826" s="2"/>
      <c r="Q826" s="7"/>
      <c r="R826" s="224"/>
      <c r="S826" s="224"/>
      <c r="T826" s="224"/>
      <c r="U826" s="868"/>
      <c r="V826" s="865"/>
      <c r="W826" s="2"/>
      <c r="X826" s="2"/>
      <c r="Y826" s="2"/>
      <c r="Z826" s="2"/>
      <c r="AA826" s="2"/>
      <c r="AB826" s="2"/>
      <c r="AC826" s="2"/>
      <c r="AD826" s="2"/>
      <c r="AE826" s="2"/>
      <c r="AF826" s="2"/>
      <c r="AG826" s="2"/>
      <c r="AH826" s="2"/>
      <c r="AI826" s="2"/>
      <c r="AJ826" s="218"/>
      <c r="AK826" s="218"/>
      <c r="AL826" s="218"/>
      <c r="AM826" s="218"/>
    </row>
    <row r="827">
      <c r="A827" s="33"/>
      <c r="B827" s="2"/>
      <c r="C827" s="2"/>
      <c r="D827" s="2"/>
      <c r="E827" s="2"/>
      <c r="F827" s="4"/>
      <c r="G827" s="2"/>
      <c r="H827" s="2"/>
      <c r="I827" s="2"/>
      <c r="J827" s="5"/>
      <c r="K827" s="2"/>
      <c r="L827" s="2"/>
      <c r="M827" s="2"/>
      <c r="N827" s="2"/>
      <c r="O827" s="2"/>
      <c r="P827" s="2"/>
      <c r="Q827" s="7"/>
      <c r="R827" s="224"/>
      <c r="S827" s="224"/>
      <c r="T827" s="224"/>
      <c r="U827" s="868"/>
      <c r="V827" s="865"/>
      <c r="W827" s="2"/>
      <c r="X827" s="2"/>
      <c r="Y827" s="2"/>
      <c r="Z827" s="2"/>
      <c r="AA827" s="2"/>
      <c r="AB827" s="2"/>
      <c r="AC827" s="2"/>
      <c r="AD827" s="2"/>
      <c r="AE827" s="2"/>
      <c r="AF827" s="2"/>
      <c r="AG827" s="2"/>
      <c r="AH827" s="2"/>
      <c r="AI827" s="2"/>
      <c r="AJ827" s="218"/>
      <c r="AK827" s="218"/>
      <c r="AL827" s="218"/>
      <c r="AM827" s="218"/>
    </row>
    <row r="828">
      <c r="A828" s="33"/>
      <c r="B828" s="2"/>
      <c r="C828" s="2"/>
      <c r="D828" s="2"/>
      <c r="E828" s="2"/>
      <c r="F828" s="4"/>
      <c r="G828" s="2"/>
      <c r="H828" s="2"/>
      <c r="I828" s="2"/>
      <c r="J828" s="5"/>
      <c r="K828" s="2"/>
      <c r="L828" s="2"/>
      <c r="M828" s="2"/>
      <c r="N828" s="2"/>
      <c r="O828" s="2"/>
      <c r="P828" s="2"/>
      <c r="Q828" s="7"/>
      <c r="R828" s="224"/>
      <c r="S828" s="224"/>
      <c r="T828" s="224"/>
      <c r="U828" s="868"/>
      <c r="V828" s="865"/>
      <c r="W828" s="2"/>
      <c r="X828" s="2"/>
      <c r="Y828" s="2"/>
      <c r="Z828" s="2"/>
      <c r="AA828" s="2"/>
      <c r="AB828" s="2"/>
      <c r="AC828" s="2"/>
      <c r="AD828" s="2"/>
      <c r="AE828" s="2"/>
      <c r="AF828" s="2"/>
      <c r="AG828" s="2"/>
      <c r="AH828" s="2"/>
      <c r="AI828" s="2"/>
      <c r="AJ828" s="218"/>
      <c r="AK828" s="218"/>
      <c r="AL828" s="218"/>
      <c r="AM828" s="218"/>
    </row>
    <row r="829">
      <c r="A829" s="33"/>
      <c r="B829" s="2"/>
      <c r="C829" s="2"/>
      <c r="D829" s="2"/>
      <c r="E829" s="2"/>
      <c r="F829" s="4"/>
      <c r="G829" s="2"/>
      <c r="H829" s="2"/>
      <c r="I829" s="2"/>
      <c r="J829" s="5"/>
      <c r="K829" s="2"/>
      <c r="L829" s="2"/>
      <c r="M829" s="2"/>
      <c r="N829" s="2"/>
      <c r="O829" s="2"/>
      <c r="P829" s="2"/>
      <c r="Q829" s="7"/>
      <c r="R829" s="224"/>
      <c r="S829" s="224"/>
      <c r="T829" s="224"/>
      <c r="U829" s="868"/>
      <c r="V829" s="865"/>
      <c r="W829" s="2"/>
      <c r="X829" s="2"/>
      <c r="Y829" s="2"/>
      <c r="Z829" s="2"/>
      <c r="AA829" s="2"/>
      <c r="AB829" s="2"/>
      <c r="AC829" s="2"/>
      <c r="AD829" s="2"/>
      <c r="AE829" s="2"/>
      <c r="AF829" s="2"/>
      <c r="AG829" s="2"/>
      <c r="AH829" s="2"/>
      <c r="AI829" s="2"/>
      <c r="AJ829" s="218"/>
      <c r="AK829" s="218"/>
      <c r="AL829" s="218"/>
      <c r="AM829" s="218"/>
    </row>
    <row r="830">
      <c r="A830" s="33"/>
      <c r="B830" s="2"/>
      <c r="C830" s="2"/>
      <c r="D830" s="2"/>
      <c r="E830" s="2"/>
      <c r="F830" s="4"/>
      <c r="G830" s="2"/>
      <c r="H830" s="2"/>
      <c r="I830" s="2"/>
      <c r="J830" s="5"/>
      <c r="K830" s="2"/>
      <c r="L830" s="2"/>
      <c r="M830" s="2"/>
      <c r="N830" s="2"/>
      <c r="O830" s="2"/>
      <c r="P830" s="2"/>
      <c r="Q830" s="7"/>
      <c r="R830" s="224"/>
      <c r="S830" s="224"/>
      <c r="T830" s="224"/>
      <c r="U830" s="868"/>
      <c r="V830" s="865"/>
      <c r="W830" s="2"/>
      <c r="X830" s="2"/>
      <c r="Y830" s="2"/>
      <c r="Z830" s="2"/>
      <c r="AA830" s="2"/>
      <c r="AB830" s="2"/>
      <c r="AC830" s="2"/>
      <c r="AD830" s="2"/>
      <c r="AE830" s="2"/>
      <c r="AF830" s="2"/>
      <c r="AG830" s="2"/>
      <c r="AH830" s="2"/>
      <c r="AI830" s="2"/>
      <c r="AJ830" s="218"/>
      <c r="AK830" s="218"/>
      <c r="AL830" s="218"/>
      <c r="AM830" s="218"/>
    </row>
    <row r="831">
      <c r="A831" s="33"/>
      <c r="B831" s="2"/>
      <c r="C831" s="2"/>
      <c r="D831" s="2"/>
      <c r="E831" s="2"/>
      <c r="F831" s="4"/>
      <c r="G831" s="2"/>
      <c r="H831" s="2"/>
      <c r="I831" s="2"/>
      <c r="J831" s="5"/>
      <c r="K831" s="2"/>
      <c r="L831" s="2"/>
      <c r="M831" s="2"/>
      <c r="N831" s="2"/>
      <c r="O831" s="2"/>
      <c r="P831" s="2"/>
      <c r="Q831" s="7"/>
      <c r="R831" s="224"/>
      <c r="S831" s="224"/>
      <c r="T831" s="224"/>
      <c r="U831" s="868"/>
      <c r="V831" s="865"/>
      <c r="W831" s="2"/>
      <c r="X831" s="2"/>
      <c r="Y831" s="2"/>
      <c r="Z831" s="2"/>
      <c r="AA831" s="2"/>
      <c r="AB831" s="2"/>
      <c r="AC831" s="2"/>
      <c r="AD831" s="2"/>
      <c r="AE831" s="2"/>
      <c r="AF831" s="2"/>
      <c r="AG831" s="2"/>
      <c r="AH831" s="2"/>
      <c r="AI831" s="2"/>
      <c r="AJ831" s="218"/>
      <c r="AK831" s="218"/>
      <c r="AL831" s="218"/>
      <c r="AM831" s="218"/>
    </row>
    <row r="832">
      <c r="A832" s="33"/>
      <c r="B832" s="2"/>
      <c r="C832" s="2"/>
      <c r="D832" s="2"/>
      <c r="E832" s="2"/>
      <c r="F832" s="4"/>
      <c r="G832" s="2"/>
      <c r="H832" s="2"/>
      <c r="I832" s="2"/>
      <c r="J832" s="5"/>
      <c r="K832" s="2"/>
      <c r="L832" s="2"/>
      <c r="M832" s="2"/>
      <c r="N832" s="2"/>
      <c r="O832" s="2"/>
      <c r="P832" s="2"/>
      <c r="Q832" s="7"/>
      <c r="R832" s="224"/>
      <c r="S832" s="224"/>
      <c r="T832" s="224"/>
      <c r="U832" s="868"/>
      <c r="V832" s="865"/>
      <c r="W832" s="2"/>
      <c r="X832" s="2"/>
      <c r="Y832" s="2"/>
      <c r="Z832" s="2"/>
      <c r="AA832" s="2"/>
      <c r="AB832" s="2"/>
      <c r="AC832" s="2"/>
      <c r="AD832" s="2"/>
      <c r="AE832" s="2"/>
      <c r="AF832" s="2"/>
      <c r="AG832" s="2"/>
      <c r="AH832" s="2"/>
      <c r="AI832" s="2"/>
      <c r="AJ832" s="218"/>
      <c r="AK832" s="218"/>
      <c r="AL832" s="218"/>
      <c r="AM832" s="218"/>
    </row>
    <row r="833">
      <c r="A833" s="33"/>
      <c r="B833" s="2"/>
      <c r="C833" s="2"/>
      <c r="D833" s="2"/>
      <c r="E833" s="2"/>
      <c r="F833" s="4"/>
      <c r="G833" s="2"/>
      <c r="H833" s="2"/>
      <c r="I833" s="2"/>
      <c r="J833" s="5"/>
      <c r="K833" s="2"/>
      <c r="L833" s="2"/>
      <c r="M833" s="2"/>
      <c r="N833" s="2"/>
      <c r="O833" s="2"/>
      <c r="P833" s="2"/>
      <c r="Q833" s="7"/>
      <c r="R833" s="224"/>
      <c r="S833" s="224"/>
      <c r="T833" s="224"/>
      <c r="U833" s="868"/>
      <c r="V833" s="865"/>
      <c r="W833" s="2"/>
      <c r="X833" s="2"/>
      <c r="Y833" s="2"/>
      <c r="Z833" s="2"/>
      <c r="AA833" s="2"/>
      <c r="AB833" s="2"/>
      <c r="AC833" s="2"/>
      <c r="AD833" s="2"/>
      <c r="AE833" s="2"/>
      <c r="AF833" s="2"/>
      <c r="AG833" s="2"/>
      <c r="AH833" s="2"/>
      <c r="AI833" s="2"/>
      <c r="AJ833" s="218"/>
      <c r="AK833" s="218"/>
      <c r="AL833" s="218"/>
      <c r="AM833" s="218"/>
    </row>
    <row r="834">
      <c r="A834" s="33"/>
      <c r="B834" s="2"/>
      <c r="C834" s="2"/>
      <c r="D834" s="2"/>
      <c r="E834" s="2"/>
      <c r="F834" s="4"/>
      <c r="G834" s="2"/>
      <c r="H834" s="2"/>
      <c r="I834" s="2"/>
      <c r="J834" s="5"/>
      <c r="K834" s="2"/>
      <c r="L834" s="2"/>
      <c r="M834" s="2"/>
      <c r="N834" s="2"/>
      <c r="O834" s="2"/>
      <c r="P834" s="2"/>
      <c r="Q834" s="7"/>
      <c r="R834" s="224"/>
      <c r="S834" s="224"/>
      <c r="T834" s="224"/>
      <c r="U834" s="868"/>
      <c r="V834" s="865"/>
      <c r="W834" s="2"/>
      <c r="X834" s="2"/>
      <c r="Y834" s="2"/>
      <c r="Z834" s="2"/>
      <c r="AA834" s="2"/>
      <c r="AB834" s="2"/>
      <c r="AC834" s="2"/>
      <c r="AD834" s="2"/>
      <c r="AE834" s="2"/>
      <c r="AF834" s="2"/>
      <c r="AG834" s="2"/>
      <c r="AH834" s="2"/>
      <c r="AI834" s="2"/>
      <c r="AJ834" s="218"/>
      <c r="AK834" s="218"/>
      <c r="AL834" s="218"/>
      <c r="AM834" s="218"/>
    </row>
    <row r="835">
      <c r="A835" s="33"/>
      <c r="B835" s="2"/>
      <c r="C835" s="2"/>
      <c r="D835" s="2"/>
      <c r="E835" s="2"/>
      <c r="F835" s="4"/>
      <c r="G835" s="2"/>
      <c r="H835" s="2"/>
      <c r="I835" s="2"/>
      <c r="J835" s="5"/>
      <c r="K835" s="2"/>
      <c r="L835" s="2"/>
      <c r="M835" s="2"/>
      <c r="N835" s="2"/>
      <c r="O835" s="2"/>
      <c r="P835" s="2"/>
      <c r="Q835" s="7"/>
      <c r="R835" s="224"/>
      <c r="S835" s="224"/>
      <c r="T835" s="224"/>
      <c r="U835" s="868"/>
      <c r="V835" s="865"/>
      <c r="W835" s="2"/>
      <c r="X835" s="2"/>
      <c r="Y835" s="2"/>
      <c r="Z835" s="2"/>
      <c r="AA835" s="2"/>
      <c r="AB835" s="2"/>
      <c r="AC835" s="2"/>
      <c r="AD835" s="2"/>
      <c r="AE835" s="2"/>
      <c r="AF835" s="2"/>
      <c r="AG835" s="2"/>
      <c r="AH835" s="2"/>
      <c r="AI835" s="2"/>
      <c r="AJ835" s="218"/>
      <c r="AK835" s="218"/>
      <c r="AL835" s="218"/>
      <c r="AM835" s="218"/>
    </row>
    <row r="836">
      <c r="A836" s="33"/>
      <c r="B836" s="2"/>
      <c r="C836" s="2"/>
      <c r="D836" s="2"/>
      <c r="E836" s="2"/>
      <c r="F836" s="4"/>
      <c r="G836" s="2"/>
      <c r="H836" s="2"/>
      <c r="I836" s="2"/>
      <c r="J836" s="5"/>
      <c r="K836" s="2"/>
      <c r="L836" s="2"/>
      <c r="M836" s="2"/>
      <c r="N836" s="2"/>
      <c r="O836" s="2"/>
      <c r="P836" s="2"/>
      <c r="Q836" s="7"/>
      <c r="R836" s="224"/>
      <c r="S836" s="224"/>
      <c r="T836" s="224"/>
      <c r="U836" s="868"/>
      <c r="V836" s="865"/>
      <c r="W836" s="2"/>
      <c r="X836" s="2"/>
      <c r="Y836" s="2"/>
      <c r="Z836" s="2"/>
      <c r="AA836" s="2"/>
      <c r="AB836" s="2"/>
      <c r="AC836" s="2"/>
      <c r="AD836" s="2"/>
      <c r="AE836" s="2"/>
      <c r="AF836" s="2"/>
      <c r="AG836" s="2"/>
      <c r="AH836" s="2"/>
      <c r="AI836" s="2"/>
      <c r="AJ836" s="218"/>
      <c r="AK836" s="218"/>
      <c r="AL836" s="218"/>
      <c r="AM836" s="218"/>
    </row>
    <row r="837">
      <c r="A837" s="33"/>
      <c r="B837" s="2"/>
      <c r="C837" s="2"/>
      <c r="D837" s="2"/>
      <c r="E837" s="2"/>
      <c r="F837" s="4"/>
      <c r="G837" s="2"/>
      <c r="H837" s="2"/>
      <c r="I837" s="2"/>
      <c r="J837" s="5"/>
      <c r="K837" s="2"/>
      <c r="L837" s="2"/>
      <c r="M837" s="2"/>
      <c r="N837" s="2"/>
      <c r="O837" s="2"/>
      <c r="P837" s="2"/>
      <c r="Q837" s="7"/>
      <c r="R837" s="224"/>
      <c r="S837" s="224"/>
      <c r="T837" s="224"/>
      <c r="U837" s="868"/>
      <c r="V837" s="865"/>
      <c r="W837" s="2"/>
      <c r="X837" s="2"/>
      <c r="Y837" s="2"/>
      <c r="Z837" s="2"/>
      <c r="AA837" s="2"/>
      <c r="AB837" s="2"/>
      <c r="AC837" s="2"/>
      <c r="AD837" s="2"/>
      <c r="AE837" s="2"/>
      <c r="AF837" s="2"/>
      <c r="AG837" s="2"/>
      <c r="AH837" s="2"/>
      <c r="AI837" s="2"/>
      <c r="AJ837" s="218"/>
      <c r="AK837" s="218"/>
      <c r="AL837" s="218"/>
      <c r="AM837" s="218"/>
    </row>
    <row r="838">
      <c r="A838" s="33"/>
      <c r="B838" s="2"/>
      <c r="C838" s="2"/>
      <c r="D838" s="2"/>
      <c r="E838" s="2"/>
      <c r="F838" s="4"/>
      <c r="G838" s="2"/>
      <c r="H838" s="2"/>
      <c r="I838" s="2"/>
      <c r="J838" s="5"/>
      <c r="K838" s="2"/>
      <c r="L838" s="2"/>
      <c r="M838" s="2"/>
      <c r="N838" s="2"/>
      <c r="O838" s="2"/>
      <c r="P838" s="2"/>
      <c r="Q838" s="7"/>
      <c r="R838" s="224"/>
      <c r="S838" s="224"/>
      <c r="T838" s="224"/>
      <c r="U838" s="868"/>
      <c r="V838" s="865"/>
      <c r="W838" s="2"/>
      <c r="X838" s="2"/>
      <c r="Y838" s="2"/>
      <c r="Z838" s="2"/>
      <c r="AA838" s="2"/>
      <c r="AB838" s="2"/>
      <c r="AC838" s="2"/>
      <c r="AD838" s="2"/>
      <c r="AE838" s="2"/>
      <c r="AF838" s="2"/>
      <c r="AG838" s="2"/>
      <c r="AH838" s="2"/>
      <c r="AI838" s="2"/>
      <c r="AJ838" s="218"/>
      <c r="AK838" s="218"/>
      <c r="AL838" s="218"/>
      <c r="AM838" s="218"/>
    </row>
    <row r="839">
      <c r="A839" s="33"/>
      <c r="B839" s="2"/>
      <c r="C839" s="2"/>
      <c r="D839" s="2"/>
      <c r="E839" s="2"/>
      <c r="F839" s="4"/>
      <c r="G839" s="2"/>
      <c r="H839" s="2"/>
      <c r="I839" s="2"/>
      <c r="J839" s="5"/>
      <c r="K839" s="2"/>
      <c r="L839" s="2"/>
      <c r="M839" s="2"/>
      <c r="N839" s="2"/>
      <c r="O839" s="2"/>
      <c r="P839" s="2"/>
      <c r="Q839" s="7"/>
      <c r="R839" s="224"/>
      <c r="S839" s="224"/>
      <c r="T839" s="224"/>
      <c r="U839" s="868"/>
      <c r="V839" s="865"/>
      <c r="W839" s="2"/>
      <c r="X839" s="2"/>
      <c r="Y839" s="2"/>
      <c r="Z839" s="2"/>
      <c r="AA839" s="2"/>
      <c r="AB839" s="2"/>
      <c r="AC839" s="2"/>
      <c r="AD839" s="2"/>
      <c r="AE839" s="2"/>
      <c r="AF839" s="2"/>
      <c r="AG839" s="2"/>
      <c r="AH839" s="2"/>
      <c r="AI839" s="2"/>
      <c r="AJ839" s="218"/>
      <c r="AK839" s="218"/>
      <c r="AL839" s="218"/>
      <c r="AM839" s="218"/>
    </row>
    <row r="840">
      <c r="A840" s="33"/>
      <c r="B840" s="2"/>
      <c r="C840" s="2"/>
      <c r="D840" s="2"/>
      <c r="E840" s="2"/>
      <c r="F840" s="4"/>
      <c r="G840" s="2"/>
      <c r="H840" s="2"/>
      <c r="I840" s="2"/>
      <c r="J840" s="5"/>
      <c r="K840" s="2"/>
      <c r="L840" s="2"/>
      <c r="M840" s="2"/>
      <c r="N840" s="2"/>
      <c r="O840" s="2"/>
      <c r="P840" s="2"/>
      <c r="Q840" s="7"/>
      <c r="R840" s="224"/>
      <c r="S840" s="224"/>
      <c r="T840" s="224"/>
      <c r="U840" s="868"/>
      <c r="V840" s="865"/>
      <c r="W840" s="2"/>
      <c r="X840" s="2"/>
      <c r="Y840" s="2"/>
      <c r="Z840" s="2"/>
      <c r="AA840" s="2"/>
      <c r="AB840" s="2"/>
      <c r="AC840" s="2"/>
      <c r="AD840" s="2"/>
      <c r="AE840" s="2"/>
      <c r="AF840" s="2"/>
      <c r="AG840" s="2"/>
      <c r="AH840" s="2"/>
      <c r="AI840" s="2"/>
      <c r="AJ840" s="218"/>
      <c r="AK840" s="218"/>
      <c r="AL840" s="218"/>
      <c r="AM840" s="218"/>
    </row>
    <row r="841">
      <c r="A841" s="33"/>
      <c r="B841" s="2"/>
      <c r="C841" s="2"/>
      <c r="D841" s="2"/>
      <c r="E841" s="2"/>
      <c r="F841" s="4"/>
      <c r="G841" s="2"/>
      <c r="H841" s="2"/>
      <c r="I841" s="2"/>
      <c r="J841" s="5"/>
      <c r="K841" s="2"/>
      <c r="L841" s="2"/>
      <c r="M841" s="2"/>
      <c r="N841" s="2"/>
      <c r="O841" s="2"/>
      <c r="P841" s="2"/>
      <c r="Q841" s="7"/>
      <c r="R841" s="224"/>
      <c r="S841" s="224"/>
      <c r="T841" s="224"/>
      <c r="U841" s="868"/>
      <c r="V841" s="865"/>
      <c r="W841" s="2"/>
      <c r="X841" s="2"/>
      <c r="Y841" s="2"/>
      <c r="Z841" s="2"/>
      <c r="AA841" s="2"/>
      <c r="AB841" s="2"/>
      <c r="AC841" s="2"/>
      <c r="AD841" s="2"/>
      <c r="AE841" s="2"/>
      <c r="AF841" s="2"/>
      <c r="AG841" s="2"/>
      <c r="AH841" s="2"/>
      <c r="AI841" s="2"/>
      <c r="AJ841" s="218"/>
      <c r="AK841" s="218"/>
      <c r="AL841" s="218"/>
      <c r="AM841" s="218"/>
    </row>
    <row r="842">
      <c r="A842" s="33"/>
      <c r="B842" s="2"/>
      <c r="C842" s="2"/>
      <c r="D842" s="2"/>
      <c r="E842" s="2"/>
      <c r="F842" s="4"/>
      <c r="G842" s="2"/>
      <c r="H842" s="2"/>
      <c r="I842" s="2"/>
      <c r="J842" s="5"/>
      <c r="K842" s="2"/>
      <c r="L842" s="2"/>
      <c r="M842" s="2"/>
      <c r="N842" s="2"/>
      <c r="O842" s="2"/>
      <c r="P842" s="2"/>
      <c r="Q842" s="7"/>
      <c r="R842" s="224"/>
      <c r="S842" s="224"/>
      <c r="T842" s="224"/>
      <c r="U842" s="868"/>
      <c r="V842" s="865"/>
      <c r="W842" s="2"/>
      <c r="X842" s="2"/>
      <c r="Y842" s="2"/>
      <c r="Z842" s="2"/>
      <c r="AA842" s="2"/>
      <c r="AB842" s="2"/>
      <c r="AC842" s="2"/>
      <c r="AD842" s="2"/>
      <c r="AE842" s="2"/>
      <c r="AF842" s="2"/>
      <c r="AG842" s="2"/>
      <c r="AH842" s="2"/>
      <c r="AI842" s="2"/>
      <c r="AJ842" s="218"/>
      <c r="AK842" s="218"/>
      <c r="AL842" s="218"/>
      <c r="AM842" s="218"/>
    </row>
    <row r="843">
      <c r="A843" s="33"/>
      <c r="B843" s="2"/>
      <c r="C843" s="2"/>
      <c r="D843" s="2"/>
      <c r="E843" s="2"/>
      <c r="F843" s="4"/>
      <c r="G843" s="2"/>
      <c r="H843" s="2"/>
      <c r="I843" s="2"/>
      <c r="J843" s="5"/>
      <c r="K843" s="2"/>
      <c r="L843" s="2"/>
      <c r="M843" s="2"/>
      <c r="N843" s="2"/>
      <c r="O843" s="2"/>
      <c r="P843" s="2"/>
      <c r="Q843" s="7"/>
      <c r="R843" s="224"/>
      <c r="S843" s="224"/>
      <c r="T843" s="224"/>
      <c r="U843" s="868"/>
      <c r="V843" s="865"/>
      <c r="W843" s="2"/>
      <c r="X843" s="2"/>
      <c r="Y843" s="2"/>
      <c r="Z843" s="2"/>
      <c r="AA843" s="2"/>
      <c r="AB843" s="2"/>
      <c r="AC843" s="2"/>
      <c r="AD843" s="2"/>
      <c r="AE843" s="2"/>
      <c r="AF843" s="2"/>
      <c r="AG843" s="2"/>
      <c r="AH843" s="2"/>
      <c r="AI843" s="2"/>
      <c r="AJ843" s="218"/>
      <c r="AK843" s="218"/>
      <c r="AL843" s="218"/>
      <c r="AM843" s="218"/>
    </row>
    <row r="844">
      <c r="A844" s="33"/>
      <c r="B844" s="2"/>
      <c r="C844" s="2"/>
      <c r="D844" s="2"/>
      <c r="E844" s="2"/>
      <c r="F844" s="4"/>
      <c r="G844" s="2"/>
      <c r="H844" s="2"/>
      <c r="I844" s="2"/>
      <c r="J844" s="5"/>
      <c r="K844" s="2"/>
      <c r="L844" s="2"/>
      <c r="M844" s="2"/>
      <c r="N844" s="2"/>
      <c r="O844" s="2"/>
      <c r="P844" s="2"/>
      <c r="Q844" s="7"/>
      <c r="R844" s="224"/>
      <c r="S844" s="224"/>
      <c r="T844" s="224"/>
      <c r="U844" s="868"/>
      <c r="V844" s="865"/>
      <c r="W844" s="2"/>
      <c r="X844" s="2"/>
      <c r="Y844" s="2"/>
      <c r="Z844" s="2"/>
      <c r="AA844" s="2"/>
      <c r="AB844" s="2"/>
      <c r="AC844" s="2"/>
      <c r="AD844" s="2"/>
      <c r="AE844" s="2"/>
      <c r="AF844" s="2"/>
      <c r="AG844" s="2"/>
      <c r="AH844" s="2"/>
      <c r="AI844" s="2"/>
      <c r="AJ844" s="218"/>
      <c r="AK844" s="218"/>
      <c r="AL844" s="218"/>
      <c r="AM844" s="218"/>
    </row>
    <row r="845">
      <c r="A845" s="33"/>
      <c r="B845" s="2"/>
      <c r="C845" s="2"/>
      <c r="D845" s="2"/>
      <c r="E845" s="2"/>
      <c r="F845" s="4"/>
      <c r="G845" s="2"/>
      <c r="H845" s="2"/>
      <c r="I845" s="2"/>
      <c r="J845" s="5"/>
      <c r="K845" s="2"/>
      <c r="L845" s="2"/>
      <c r="M845" s="2"/>
      <c r="N845" s="2"/>
      <c r="O845" s="2"/>
      <c r="P845" s="2"/>
      <c r="Q845" s="7"/>
      <c r="R845" s="224"/>
      <c r="S845" s="224"/>
      <c r="T845" s="224"/>
      <c r="U845" s="868"/>
      <c r="V845" s="865"/>
      <c r="W845" s="2"/>
      <c r="X845" s="2"/>
      <c r="Y845" s="2"/>
      <c r="Z845" s="2"/>
      <c r="AA845" s="2"/>
      <c r="AB845" s="2"/>
      <c r="AC845" s="2"/>
      <c r="AD845" s="2"/>
      <c r="AE845" s="2"/>
      <c r="AF845" s="2"/>
      <c r="AG845" s="2"/>
      <c r="AH845" s="2"/>
      <c r="AI845" s="2"/>
      <c r="AJ845" s="218"/>
      <c r="AK845" s="218"/>
      <c r="AL845" s="218"/>
      <c r="AM845" s="218"/>
    </row>
    <row r="846">
      <c r="A846" s="33"/>
      <c r="B846" s="2"/>
      <c r="C846" s="2"/>
      <c r="D846" s="2"/>
      <c r="E846" s="2"/>
      <c r="F846" s="4"/>
      <c r="G846" s="2"/>
      <c r="H846" s="2"/>
      <c r="I846" s="2"/>
      <c r="J846" s="5"/>
      <c r="K846" s="2"/>
      <c r="L846" s="2"/>
      <c r="M846" s="2"/>
      <c r="N846" s="2"/>
      <c r="O846" s="2"/>
      <c r="P846" s="2"/>
      <c r="Q846" s="7"/>
      <c r="R846" s="224"/>
      <c r="S846" s="224"/>
      <c r="T846" s="224"/>
      <c r="U846" s="868"/>
      <c r="V846" s="865"/>
      <c r="W846" s="2"/>
      <c r="X846" s="2"/>
      <c r="Y846" s="2"/>
      <c r="Z846" s="2"/>
      <c r="AA846" s="2"/>
      <c r="AB846" s="2"/>
      <c r="AC846" s="2"/>
      <c r="AD846" s="2"/>
      <c r="AE846" s="2"/>
      <c r="AF846" s="2"/>
      <c r="AG846" s="2"/>
      <c r="AH846" s="2"/>
      <c r="AI846" s="2"/>
      <c r="AJ846" s="218"/>
      <c r="AK846" s="218"/>
      <c r="AL846" s="218"/>
      <c r="AM846" s="218"/>
    </row>
    <row r="847">
      <c r="A847" s="33"/>
      <c r="B847" s="2"/>
      <c r="C847" s="2"/>
      <c r="D847" s="2"/>
      <c r="E847" s="2"/>
      <c r="F847" s="4"/>
      <c r="G847" s="2"/>
      <c r="H847" s="2"/>
      <c r="I847" s="2"/>
      <c r="J847" s="5"/>
      <c r="K847" s="2"/>
      <c r="L847" s="2"/>
      <c r="M847" s="2"/>
      <c r="N847" s="2"/>
      <c r="O847" s="2"/>
      <c r="P847" s="2"/>
      <c r="Q847" s="7"/>
      <c r="R847" s="224"/>
      <c r="S847" s="224"/>
      <c r="T847" s="224"/>
      <c r="U847" s="868"/>
      <c r="V847" s="865"/>
      <c r="W847" s="2"/>
      <c r="X847" s="2"/>
      <c r="Y847" s="2"/>
      <c r="Z847" s="2"/>
      <c r="AA847" s="2"/>
      <c r="AB847" s="2"/>
      <c r="AC847" s="2"/>
      <c r="AD847" s="2"/>
      <c r="AE847" s="2"/>
      <c r="AF847" s="2"/>
      <c r="AG847" s="2"/>
      <c r="AH847" s="2"/>
      <c r="AI847" s="2"/>
      <c r="AJ847" s="218"/>
      <c r="AK847" s="218"/>
      <c r="AL847" s="218"/>
      <c r="AM847" s="218"/>
    </row>
    <row r="848">
      <c r="A848" s="33"/>
      <c r="B848" s="2"/>
      <c r="C848" s="2"/>
      <c r="D848" s="2"/>
      <c r="E848" s="2"/>
      <c r="F848" s="4"/>
      <c r="G848" s="2"/>
      <c r="H848" s="2"/>
      <c r="I848" s="2"/>
      <c r="J848" s="5"/>
      <c r="K848" s="2"/>
      <c r="L848" s="2"/>
      <c r="M848" s="2"/>
      <c r="N848" s="2"/>
      <c r="O848" s="2"/>
      <c r="P848" s="2"/>
      <c r="Q848" s="7"/>
      <c r="R848" s="224"/>
      <c r="S848" s="224"/>
      <c r="T848" s="224"/>
      <c r="U848" s="868"/>
      <c r="V848" s="865"/>
      <c r="W848" s="2"/>
      <c r="X848" s="2"/>
      <c r="Y848" s="2"/>
      <c r="Z848" s="2"/>
      <c r="AA848" s="2"/>
      <c r="AB848" s="2"/>
      <c r="AC848" s="2"/>
      <c r="AD848" s="2"/>
      <c r="AE848" s="2"/>
      <c r="AF848" s="2"/>
      <c r="AG848" s="2"/>
      <c r="AH848" s="2"/>
      <c r="AI848" s="2"/>
      <c r="AJ848" s="218"/>
      <c r="AK848" s="218"/>
      <c r="AL848" s="218"/>
      <c r="AM848" s="218"/>
    </row>
    <row r="849">
      <c r="A849" s="33"/>
      <c r="B849" s="2"/>
      <c r="C849" s="2"/>
      <c r="D849" s="2"/>
      <c r="E849" s="2"/>
      <c r="F849" s="4"/>
      <c r="G849" s="2"/>
      <c r="H849" s="2"/>
      <c r="I849" s="2"/>
      <c r="J849" s="5"/>
      <c r="K849" s="2"/>
      <c r="L849" s="2"/>
      <c r="M849" s="2"/>
      <c r="N849" s="2"/>
      <c r="O849" s="2"/>
      <c r="P849" s="2"/>
      <c r="Q849" s="7"/>
      <c r="R849" s="224"/>
      <c r="S849" s="224"/>
      <c r="T849" s="224"/>
      <c r="U849" s="868"/>
      <c r="V849" s="865"/>
      <c r="W849" s="2"/>
      <c r="X849" s="2"/>
      <c r="Y849" s="2"/>
      <c r="Z849" s="2"/>
      <c r="AA849" s="2"/>
      <c r="AB849" s="2"/>
      <c r="AC849" s="2"/>
      <c r="AD849" s="2"/>
      <c r="AE849" s="2"/>
      <c r="AF849" s="2"/>
      <c r="AG849" s="2"/>
      <c r="AH849" s="2"/>
      <c r="AI849" s="2"/>
      <c r="AJ849" s="218"/>
      <c r="AK849" s="218"/>
      <c r="AL849" s="218"/>
      <c r="AM849" s="218"/>
    </row>
    <row r="850">
      <c r="A850" s="33"/>
      <c r="B850" s="2"/>
      <c r="C850" s="2"/>
      <c r="D850" s="2"/>
      <c r="E850" s="2"/>
      <c r="F850" s="4"/>
      <c r="G850" s="2"/>
      <c r="H850" s="2"/>
      <c r="I850" s="2"/>
      <c r="J850" s="5"/>
      <c r="K850" s="2"/>
      <c r="L850" s="2"/>
      <c r="M850" s="2"/>
      <c r="N850" s="2"/>
      <c r="O850" s="2"/>
      <c r="P850" s="2"/>
      <c r="Q850" s="7"/>
      <c r="R850" s="224"/>
      <c r="S850" s="224"/>
      <c r="T850" s="224"/>
      <c r="U850" s="868"/>
      <c r="V850" s="865"/>
      <c r="W850" s="2"/>
      <c r="X850" s="2"/>
      <c r="Y850" s="2"/>
      <c r="Z850" s="2"/>
      <c r="AA850" s="2"/>
      <c r="AB850" s="2"/>
      <c r="AC850" s="2"/>
      <c r="AD850" s="2"/>
      <c r="AE850" s="2"/>
      <c r="AF850" s="2"/>
      <c r="AG850" s="2"/>
      <c r="AH850" s="2"/>
      <c r="AI850" s="2"/>
      <c r="AJ850" s="218"/>
      <c r="AK850" s="218"/>
      <c r="AL850" s="218"/>
      <c r="AM850" s="218"/>
    </row>
    <row r="851">
      <c r="A851" s="33"/>
      <c r="B851" s="2"/>
      <c r="C851" s="2"/>
      <c r="D851" s="2"/>
      <c r="E851" s="2"/>
      <c r="F851" s="4"/>
      <c r="G851" s="2"/>
      <c r="H851" s="2"/>
      <c r="I851" s="2"/>
      <c r="J851" s="5"/>
      <c r="K851" s="2"/>
      <c r="L851" s="2"/>
      <c r="M851" s="2"/>
      <c r="N851" s="2"/>
      <c r="O851" s="2"/>
      <c r="P851" s="2"/>
      <c r="Q851" s="7"/>
      <c r="R851" s="224"/>
      <c r="S851" s="224"/>
      <c r="T851" s="224"/>
      <c r="U851" s="868"/>
      <c r="V851" s="865"/>
      <c r="W851" s="2"/>
      <c r="X851" s="2"/>
      <c r="Y851" s="2"/>
      <c r="Z851" s="2"/>
      <c r="AA851" s="2"/>
      <c r="AB851" s="2"/>
      <c r="AC851" s="2"/>
      <c r="AD851" s="2"/>
      <c r="AE851" s="2"/>
      <c r="AF851" s="2"/>
      <c r="AG851" s="2"/>
      <c r="AH851" s="2"/>
      <c r="AI851" s="2"/>
      <c r="AJ851" s="218"/>
      <c r="AK851" s="218"/>
      <c r="AL851" s="218"/>
      <c r="AM851" s="218"/>
    </row>
    <row r="852">
      <c r="A852" s="33"/>
      <c r="B852" s="2"/>
      <c r="C852" s="2"/>
      <c r="D852" s="2"/>
      <c r="E852" s="2"/>
      <c r="F852" s="4"/>
      <c r="G852" s="2"/>
      <c r="H852" s="2"/>
      <c r="I852" s="2"/>
      <c r="J852" s="5"/>
      <c r="K852" s="2"/>
      <c r="L852" s="2"/>
      <c r="M852" s="2"/>
      <c r="N852" s="2"/>
      <c r="O852" s="2"/>
      <c r="P852" s="2"/>
      <c r="Q852" s="7"/>
      <c r="R852" s="224"/>
      <c r="S852" s="224"/>
      <c r="T852" s="224"/>
      <c r="U852" s="868"/>
      <c r="V852" s="865"/>
      <c r="W852" s="2"/>
      <c r="X852" s="2"/>
      <c r="Y852" s="2"/>
      <c r="Z852" s="2"/>
      <c r="AA852" s="2"/>
      <c r="AB852" s="2"/>
      <c r="AC852" s="2"/>
      <c r="AD852" s="2"/>
      <c r="AE852" s="2"/>
      <c r="AF852" s="2"/>
      <c r="AG852" s="2"/>
      <c r="AH852" s="2"/>
      <c r="AI852" s="2"/>
      <c r="AJ852" s="218"/>
      <c r="AK852" s="218"/>
      <c r="AL852" s="218"/>
      <c r="AM852" s="218"/>
    </row>
    <row r="853">
      <c r="A853" s="33"/>
      <c r="B853" s="2"/>
      <c r="C853" s="2"/>
      <c r="D853" s="2"/>
      <c r="E853" s="2"/>
      <c r="F853" s="4"/>
      <c r="G853" s="2"/>
      <c r="H853" s="2"/>
      <c r="I853" s="2"/>
      <c r="J853" s="5"/>
      <c r="K853" s="2"/>
      <c r="L853" s="2"/>
      <c r="M853" s="2"/>
      <c r="N853" s="2"/>
      <c r="O853" s="2"/>
      <c r="P853" s="2"/>
      <c r="Q853" s="7"/>
      <c r="R853" s="224"/>
      <c r="S853" s="224"/>
      <c r="T853" s="224"/>
      <c r="U853" s="868"/>
      <c r="V853" s="865"/>
      <c r="W853" s="2"/>
      <c r="X853" s="2"/>
      <c r="Y853" s="2"/>
      <c r="Z853" s="2"/>
      <c r="AA853" s="2"/>
      <c r="AB853" s="2"/>
      <c r="AC853" s="2"/>
      <c r="AD853" s="2"/>
      <c r="AE853" s="2"/>
      <c r="AF853" s="2"/>
      <c r="AG853" s="2"/>
      <c r="AH853" s="2"/>
      <c r="AI853" s="2"/>
      <c r="AJ853" s="218"/>
      <c r="AK853" s="218"/>
      <c r="AL853" s="218"/>
      <c r="AM853" s="218"/>
    </row>
    <row r="854">
      <c r="A854" s="33"/>
      <c r="B854" s="2"/>
      <c r="C854" s="2"/>
      <c r="D854" s="2"/>
      <c r="E854" s="2"/>
      <c r="F854" s="4"/>
      <c r="G854" s="2"/>
      <c r="H854" s="2"/>
      <c r="I854" s="2"/>
      <c r="J854" s="5"/>
      <c r="K854" s="2"/>
      <c r="L854" s="2"/>
      <c r="M854" s="2"/>
      <c r="N854" s="2"/>
      <c r="O854" s="2"/>
      <c r="P854" s="2"/>
      <c r="Q854" s="7"/>
      <c r="R854" s="224"/>
      <c r="S854" s="224"/>
      <c r="T854" s="224"/>
      <c r="U854" s="868"/>
      <c r="V854" s="865"/>
      <c r="W854" s="2"/>
      <c r="X854" s="2"/>
      <c r="Y854" s="2"/>
      <c r="Z854" s="2"/>
      <c r="AA854" s="2"/>
      <c r="AB854" s="2"/>
      <c r="AC854" s="2"/>
      <c r="AD854" s="2"/>
      <c r="AE854" s="2"/>
      <c r="AF854" s="2"/>
      <c r="AG854" s="2"/>
      <c r="AH854" s="2"/>
      <c r="AI854" s="2"/>
      <c r="AJ854" s="218"/>
      <c r="AK854" s="218"/>
      <c r="AL854" s="218"/>
      <c r="AM854" s="218"/>
    </row>
    <row r="855">
      <c r="A855" s="33"/>
      <c r="B855" s="2"/>
      <c r="C855" s="2"/>
      <c r="D855" s="2"/>
      <c r="E855" s="2"/>
      <c r="F855" s="4"/>
      <c r="G855" s="2"/>
      <c r="H855" s="2"/>
      <c r="I855" s="2"/>
      <c r="J855" s="5"/>
      <c r="K855" s="2"/>
      <c r="L855" s="2"/>
      <c r="M855" s="2"/>
      <c r="N855" s="2"/>
      <c r="O855" s="2"/>
      <c r="P855" s="2"/>
      <c r="Q855" s="7"/>
      <c r="R855" s="224"/>
      <c r="S855" s="224"/>
      <c r="T855" s="224"/>
      <c r="U855" s="868"/>
      <c r="V855" s="865"/>
      <c r="W855" s="2"/>
      <c r="X855" s="2"/>
      <c r="Y855" s="2"/>
      <c r="Z855" s="2"/>
      <c r="AA855" s="2"/>
      <c r="AB855" s="2"/>
      <c r="AC855" s="2"/>
      <c r="AD855" s="2"/>
      <c r="AE855" s="2"/>
      <c r="AF855" s="2"/>
      <c r="AG855" s="2"/>
      <c r="AH855" s="2"/>
      <c r="AI855" s="2"/>
      <c r="AJ855" s="218"/>
      <c r="AK855" s="218"/>
      <c r="AL855" s="218"/>
      <c r="AM855" s="218"/>
    </row>
    <row r="856">
      <c r="A856" s="33"/>
      <c r="B856" s="2"/>
      <c r="C856" s="2"/>
      <c r="D856" s="2"/>
      <c r="E856" s="2"/>
      <c r="F856" s="4"/>
      <c r="G856" s="2"/>
      <c r="H856" s="2"/>
      <c r="I856" s="2"/>
      <c r="J856" s="5"/>
      <c r="K856" s="2"/>
      <c r="L856" s="2"/>
      <c r="M856" s="2"/>
      <c r="N856" s="2"/>
      <c r="O856" s="2"/>
      <c r="P856" s="2"/>
      <c r="Q856" s="7"/>
      <c r="R856" s="224"/>
      <c r="S856" s="224"/>
      <c r="T856" s="224"/>
      <c r="U856" s="868"/>
      <c r="V856" s="865"/>
      <c r="W856" s="2"/>
      <c r="X856" s="2"/>
      <c r="Y856" s="2"/>
      <c r="Z856" s="2"/>
      <c r="AA856" s="2"/>
      <c r="AB856" s="2"/>
      <c r="AC856" s="2"/>
      <c r="AD856" s="2"/>
      <c r="AE856" s="2"/>
      <c r="AF856" s="2"/>
      <c r="AG856" s="2"/>
      <c r="AH856" s="2"/>
      <c r="AI856" s="2"/>
      <c r="AJ856" s="218"/>
      <c r="AK856" s="218"/>
      <c r="AL856" s="218"/>
      <c r="AM856" s="218"/>
    </row>
    <row r="857">
      <c r="A857" s="33"/>
      <c r="B857" s="2"/>
      <c r="C857" s="2"/>
      <c r="D857" s="2"/>
      <c r="E857" s="2"/>
      <c r="F857" s="4"/>
      <c r="G857" s="2"/>
      <c r="H857" s="2"/>
      <c r="I857" s="2"/>
      <c r="J857" s="5"/>
      <c r="K857" s="2"/>
      <c r="L857" s="2"/>
      <c r="M857" s="2"/>
      <c r="N857" s="2"/>
      <c r="O857" s="2"/>
      <c r="P857" s="2"/>
      <c r="Q857" s="7"/>
      <c r="R857" s="224"/>
      <c r="S857" s="224"/>
      <c r="T857" s="224"/>
      <c r="U857" s="868"/>
      <c r="V857" s="865"/>
      <c r="W857" s="2"/>
      <c r="X857" s="2"/>
      <c r="Y857" s="2"/>
      <c r="Z857" s="2"/>
      <c r="AA857" s="2"/>
      <c r="AB857" s="2"/>
      <c r="AC857" s="2"/>
      <c r="AD857" s="2"/>
      <c r="AE857" s="2"/>
      <c r="AF857" s="2"/>
      <c r="AG857" s="2"/>
      <c r="AH857" s="2"/>
      <c r="AI857" s="2"/>
      <c r="AJ857" s="218"/>
      <c r="AK857" s="218"/>
      <c r="AL857" s="218"/>
      <c r="AM857" s="218"/>
    </row>
    <row r="858">
      <c r="A858" s="33"/>
      <c r="B858" s="2"/>
      <c r="C858" s="2"/>
      <c r="D858" s="2"/>
      <c r="E858" s="2"/>
      <c r="F858" s="4"/>
      <c r="G858" s="2"/>
      <c r="H858" s="2"/>
      <c r="I858" s="2"/>
      <c r="J858" s="5"/>
      <c r="K858" s="2"/>
      <c r="L858" s="2"/>
      <c r="M858" s="2"/>
      <c r="N858" s="2"/>
      <c r="O858" s="2"/>
      <c r="P858" s="2"/>
      <c r="Q858" s="7"/>
      <c r="R858" s="224"/>
      <c r="S858" s="224"/>
      <c r="T858" s="224"/>
      <c r="U858" s="868"/>
      <c r="V858" s="865"/>
      <c r="W858" s="2"/>
      <c r="X858" s="2"/>
      <c r="Y858" s="2"/>
      <c r="Z858" s="2"/>
      <c r="AA858" s="2"/>
      <c r="AB858" s="2"/>
      <c r="AC858" s="2"/>
      <c r="AD858" s="2"/>
      <c r="AE858" s="2"/>
      <c r="AF858" s="2"/>
      <c r="AG858" s="2"/>
      <c r="AH858" s="2"/>
      <c r="AI858" s="2"/>
      <c r="AJ858" s="218"/>
      <c r="AK858" s="218"/>
      <c r="AL858" s="218"/>
      <c r="AM858" s="218"/>
    </row>
    <row r="859">
      <c r="A859" s="33"/>
      <c r="B859" s="2"/>
      <c r="C859" s="2"/>
      <c r="D859" s="2"/>
      <c r="E859" s="2"/>
      <c r="F859" s="4"/>
      <c r="G859" s="2"/>
      <c r="H859" s="2"/>
      <c r="I859" s="2"/>
      <c r="J859" s="5"/>
      <c r="K859" s="2"/>
      <c r="L859" s="2"/>
      <c r="M859" s="2"/>
      <c r="N859" s="2"/>
      <c r="O859" s="2"/>
      <c r="P859" s="2"/>
      <c r="Q859" s="7"/>
      <c r="R859" s="224"/>
      <c r="S859" s="224"/>
      <c r="T859" s="224"/>
      <c r="U859" s="868"/>
      <c r="V859" s="865"/>
      <c r="W859" s="2"/>
      <c r="X859" s="2"/>
      <c r="Y859" s="2"/>
      <c r="Z859" s="2"/>
      <c r="AA859" s="2"/>
      <c r="AB859" s="2"/>
      <c r="AC859" s="2"/>
      <c r="AD859" s="2"/>
      <c r="AE859" s="2"/>
      <c r="AF859" s="2"/>
      <c r="AG859" s="2"/>
      <c r="AH859" s="2"/>
      <c r="AI859" s="2"/>
      <c r="AJ859" s="218"/>
      <c r="AK859" s="218"/>
      <c r="AL859" s="218"/>
      <c r="AM859" s="218"/>
    </row>
    <row r="860">
      <c r="A860" s="33"/>
      <c r="B860" s="2"/>
      <c r="C860" s="2"/>
      <c r="D860" s="2"/>
      <c r="E860" s="2"/>
      <c r="F860" s="4"/>
      <c r="G860" s="2"/>
      <c r="H860" s="2"/>
      <c r="I860" s="2"/>
      <c r="J860" s="5"/>
      <c r="K860" s="2"/>
      <c r="L860" s="2"/>
      <c r="M860" s="2"/>
      <c r="N860" s="2"/>
      <c r="O860" s="2"/>
      <c r="P860" s="2"/>
      <c r="Q860" s="7"/>
      <c r="R860" s="224"/>
      <c r="S860" s="224"/>
      <c r="T860" s="224"/>
      <c r="U860" s="868"/>
      <c r="V860" s="865"/>
      <c r="W860" s="2"/>
      <c r="X860" s="2"/>
      <c r="Y860" s="2"/>
      <c r="Z860" s="2"/>
      <c r="AA860" s="2"/>
      <c r="AB860" s="2"/>
      <c r="AC860" s="2"/>
      <c r="AD860" s="2"/>
      <c r="AE860" s="2"/>
      <c r="AF860" s="2"/>
      <c r="AG860" s="2"/>
      <c r="AH860" s="2"/>
      <c r="AI860" s="2"/>
      <c r="AJ860" s="218"/>
      <c r="AK860" s="218"/>
      <c r="AL860" s="218"/>
      <c r="AM860" s="218"/>
    </row>
    <row r="861">
      <c r="A861" s="33"/>
      <c r="B861" s="2"/>
      <c r="C861" s="2"/>
      <c r="D861" s="2"/>
      <c r="E861" s="2"/>
      <c r="F861" s="4"/>
      <c r="G861" s="2"/>
      <c r="H861" s="2"/>
      <c r="I861" s="2"/>
      <c r="J861" s="5"/>
      <c r="K861" s="2"/>
      <c r="L861" s="2"/>
      <c r="M861" s="2"/>
      <c r="N861" s="2"/>
      <c r="O861" s="2"/>
      <c r="P861" s="2"/>
      <c r="Q861" s="7"/>
      <c r="R861" s="224"/>
      <c r="S861" s="224"/>
      <c r="T861" s="224"/>
      <c r="U861" s="868"/>
      <c r="V861" s="865"/>
      <c r="W861" s="2"/>
      <c r="X861" s="2"/>
      <c r="Y861" s="2"/>
      <c r="Z861" s="2"/>
      <c r="AA861" s="2"/>
      <c r="AB861" s="2"/>
      <c r="AC861" s="2"/>
      <c r="AD861" s="2"/>
      <c r="AE861" s="2"/>
      <c r="AF861" s="2"/>
      <c r="AG861" s="2"/>
      <c r="AH861" s="2"/>
      <c r="AI861" s="2"/>
      <c r="AJ861" s="218"/>
      <c r="AK861" s="218"/>
      <c r="AL861" s="218"/>
      <c r="AM861" s="218"/>
    </row>
    <row r="862">
      <c r="A862" s="33"/>
      <c r="B862" s="2"/>
      <c r="C862" s="2"/>
      <c r="D862" s="2"/>
      <c r="E862" s="2"/>
      <c r="F862" s="4"/>
      <c r="G862" s="2"/>
      <c r="H862" s="2"/>
      <c r="I862" s="2"/>
      <c r="J862" s="5"/>
      <c r="K862" s="2"/>
      <c r="L862" s="2"/>
      <c r="M862" s="2"/>
      <c r="N862" s="2"/>
      <c r="O862" s="2"/>
      <c r="P862" s="2"/>
      <c r="Q862" s="7"/>
      <c r="R862" s="224"/>
      <c r="S862" s="224"/>
      <c r="T862" s="224"/>
      <c r="U862" s="868"/>
      <c r="V862" s="865"/>
      <c r="W862" s="2"/>
      <c r="X862" s="2"/>
      <c r="Y862" s="2"/>
      <c r="Z862" s="2"/>
      <c r="AA862" s="2"/>
      <c r="AB862" s="2"/>
      <c r="AC862" s="2"/>
      <c r="AD862" s="2"/>
      <c r="AE862" s="2"/>
      <c r="AF862" s="2"/>
      <c r="AG862" s="2"/>
      <c r="AH862" s="2"/>
      <c r="AI862" s="2"/>
      <c r="AJ862" s="218"/>
      <c r="AK862" s="218"/>
      <c r="AL862" s="218"/>
      <c r="AM862" s="218"/>
    </row>
    <row r="863">
      <c r="A863" s="33"/>
      <c r="B863" s="2"/>
      <c r="C863" s="2"/>
      <c r="D863" s="2"/>
      <c r="E863" s="2"/>
      <c r="F863" s="4"/>
      <c r="G863" s="2"/>
      <c r="H863" s="2"/>
      <c r="I863" s="2"/>
      <c r="J863" s="5"/>
      <c r="K863" s="2"/>
      <c r="L863" s="2"/>
      <c r="M863" s="2"/>
      <c r="N863" s="2"/>
      <c r="O863" s="2"/>
      <c r="P863" s="2"/>
      <c r="Q863" s="7"/>
      <c r="R863" s="224"/>
      <c r="S863" s="224"/>
      <c r="T863" s="224"/>
      <c r="U863" s="868"/>
      <c r="V863" s="865"/>
      <c r="W863" s="2"/>
      <c r="X863" s="2"/>
      <c r="Y863" s="2"/>
      <c r="Z863" s="2"/>
      <c r="AA863" s="2"/>
      <c r="AB863" s="2"/>
      <c r="AC863" s="2"/>
      <c r="AD863" s="2"/>
      <c r="AE863" s="2"/>
      <c r="AF863" s="2"/>
      <c r="AG863" s="2"/>
      <c r="AH863" s="2"/>
      <c r="AI863" s="2"/>
      <c r="AJ863" s="218"/>
      <c r="AK863" s="218"/>
      <c r="AL863" s="218"/>
      <c r="AM863" s="218"/>
    </row>
    <row r="864">
      <c r="A864" s="33"/>
      <c r="B864" s="2"/>
      <c r="C864" s="2"/>
      <c r="D864" s="2"/>
      <c r="E864" s="2"/>
      <c r="F864" s="4"/>
      <c r="G864" s="2"/>
      <c r="H864" s="2"/>
      <c r="I864" s="2"/>
      <c r="J864" s="5"/>
      <c r="K864" s="2"/>
      <c r="L864" s="2"/>
      <c r="M864" s="2"/>
      <c r="N864" s="2"/>
      <c r="O864" s="2"/>
      <c r="P864" s="2"/>
      <c r="Q864" s="7"/>
      <c r="R864" s="224"/>
      <c r="S864" s="224"/>
      <c r="T864" s="224"/>
      <c r="U864" s="868"/>
      <c r="V864" s="865"/>
      <c r="W864" s="2"/>
      <c r="X864" s="2"/>
      <c r="Y864" s="2"/>
      <c r="Z864" s="2"/>
      <c r="AA864" s="2"/>
      <c r="AB864" s="2"/>
      <c r="AC864" s="2"/>
      <c r="AD864" s="2"/>
      <c r="AE864" s="2"/>
      <c r="AF864" s="2"/>
      <c r="AG864" s="2"/>
      <c r="AH864" s="2"/>
      <c r="AI864" s="2"/>
      <c r="AJ864" s="218"/>
      <c r="AK864" s="218"/>
      <c r="AL864" s="218"/>
      <c r="AM864" s="218"/>
    </row>
    <row r="865">
      <c r="A865" s="33"/>
      <c r="B865" s="2"/>
      <c r="C865" s="2"/>
      <c r="D865" s="2"/>
      <c r="E865" s="2"/>
      <c r="F865" s="4"/>
      <c r="G865" s="2"/>
      <c r="H865" s="2"/>
      <c r="I865" s="2"/>
      <c r="J865" s="5"/>
      <c r="K865" s="2"/>
      <c r="L865" s="2"/>
      <c r="M865" s="2"/>
      <c r="N865" s="2"/>
      <c r="O865" s="2"/>
      <c r="P865" s="2"/>
      <c r="Q865" s="7"/>
      <c r="R865" s="224"/>
      <c r="S865" s="224"/>
      <c r="T865" s="224"/>
      <c r="U865" s="868"/>
      <c r="V865" s="865"/>
      <c r="W865" s="2"/>
      <c r="X865" s="2"/>
      <c r="Y865" s="2"/>
      <c r="Z865" s="2"/>
      <c r="AA865" s="2"/>
      <c r="AB865" s="2"/>
      <c r="AC865" s="2"/>
      <c r="AD865" s="2"/>
      <c r="AE865" s="2"/>
      <c r="AF865" s="2"/>
      <c r="AG865" s="2"/>
      <c r="AH865" s="2"/>
      <c r="AI865" s="2"/>
      <c r="AJ865" s="218"/>
      <c r="AK865" s="218"/>
      <c r="AL865" s="218"/>
      <c r="AM865" s="218"/>
    </row>
    <row r="866">
      <c r="A866" s="33"/>
      <c r="B866" s="2"/>
      <c r="C866" s="2"/>
      <c r="D866" s="2"/>
      <c r="E866" s="2"/>
      <c r="F866" s="4"/>
      <c r="G866" s="2"/>
      <c r="H866" s="2"/>
      <c r="I866" s="2"/>
      <c r="J866" s="5"/>
      <c r="K866" s="2"/>
      <c r="L866" s="2"/>
      <c r="M866" s="2"/>
      <c r="N866" s="2"/>
      <c r="O866" s="2"/>
      <c r="P866" s="2"/>
      <c r="Q866" s="7"/>
      <c r="R866" s="224"/>
      <c r="S866" s="224"/>
      <c r="T866" s="224"/>
      <c r="U866" s="868"/>
      <c r="V866" s="865"/>
      <c r="W866" s="2"/>
      <c r="X866" s="2"/>
      <c r="Y866" s="2"/>
      <c r="Z866" s="2"/>
      <c r="AA866" s="2"/>
      <c r="AB866" s="2"/>
      <c r="AC866" s="2"/>
      <c r="AD866" s="2"/>
      <c r="AE866" s="2"/>
      <c r="AF866" s="2"/>
      <c r="AG866" s="2"/>
      <c r="AH866" s="2"/>
      <c r="AI866" s="2"/>
      <c r="AJ866" s="218"/>
      <c r="AK866" s="218"/>
      <c r="AL866" s="218"/>
      <c r="AM866" s="218"/>
    </row>
    <row r="867">
      <c r="A867" s="33"/>
      <c r="B867" s="2"/>
      <c r="C867" s="2"/>
      <c r="D867" s="2"/>
      <c r="E867" s="2"/>
      <c r="F867" s="4"/>
      <c r="G867" s="2"/>
      <c r="H867" s="2"/>
      <c r="I867" s="2"/>
      <c r="J867" s="5"/>
      <c r="K867" s="2"/>
      <c r="L867" s="2"/>
      <c r="M867" s="2"/>
      <c r="N867" s="2"/>
      <c r="O867" s="2"/>
      <c r="P867" s="2"/>
      <c r="Q867" s="7"/>
      <c r="R867" s="224"/>
      <c r="S867" s="224"/>
      <c r="T867" s="224"/>
      <c r="U867" s="868"/>
      <c r="V867" s="865"/>
      <c r="W867" s="2"/>
      <c r="X867" s="2"/>
      <c r="Y867" s="2"/>
      <c r="Z867" s="2"/>
      <c r="AA867" s="2"/>
      <c r="AB867" s="2"/>
      <c r="AC867" s="2"/>
      <c r="AD867" s="2"/>
      <c r="AE867" s="2"/>
      <c r="AF867" s="2"/>
      <c r="AG867" s="2"/>
      <c r="AH867" s="2"/>
      <c r="AI867" s="2"/>
      <c r="AJ867" s="218"/>
      <c r="AK867" s="218"/>
      <c r="AL867" s="218"/>
      <c r="AM867" s="218"/>
    </row>
    <row r="868">
      <c r="A868" s="33"/>
      <c r="B868" s="2"/>
      <c r="C868" s="2"/>
      <c r="D868" s="2"/>
      <c r="E868" s="2"/>
      <c r="F868" s="4"/>
      <c r="G868" s="2"/>
      <c r="H868" s="2"/>
      <c r="I868" s="2"/>
      <c r="J868" s="5"/>
      <c r="K868" s="2"/>
      <c r="L868" s="2"/>
      <c r="M868" s="2"/>
      <c r="N868" s="2"/>
      <c r="O868" s="2"/>
      <c r="P868" s="2"/>
      <c r="Q868" s="7"/>
      <c r="R868" s="224"/>
      <c r="S868" s="224"/>
      <c r="T868" s="224"/>
      <c r="U868" s="868"/>
      <c r="V868" s="865"/>
      <c r="W868" s="2"/>
      <c r="X868" s="2"/>
      <c r="Y868" s="2"/>
      <c r="Z868" s="2"/>
      <c r="AA868" s="2"/>
      <c r="AB868" s="2"/>
      <c r="AC868" s="2"/>
      <c r="AD868" s="2"/>
      <c r="AE868" s="2"/>
      <c r="AF868" s="2"/>
      <c r="AG868" s="2"/>
      <c r="AH868" s="2"/>
      <c r="AI868" s="2"/>
      <c r="AJ868" s="218"/>
      <c r="AK868" s="218"/>
      <c r="AL868" s="218"/>
      <c r="AM868" s="218"/>
    </row>
    <row r="869">
      <c r="A869" s="33"/>
      <c r="B869" s="2"/>
      <c r="C869" s="2"/>
      <c r="D869" s="2"/>
      <c r="E869" s="2"/>
      <c r="F869" s="4"/>
      <c r="G869" s="2"/>
      <c r="H869" s="2"/>
      <c r="I869" s="2"/>
      <c r="J869" s="5"/>
      <c r="K869" s="2"/>
      <c r="L869" s="2"/>
      <c r="M869" s="2"/>
      <c r="N869" s="2"/>
      <c r="O869" s="2"/>
      <c r="P869" s="2"/>
      <c r="Q869" s="7"/>
      <c r="R869" s="224"/>
      <c r="S869" s="224"/>
      <c r="T869" s="224"/>
      <c r="U869" s="868"/>
      <c r="V869" s="865"/>
      <c r="W869" s="2"/>
      <c r="X869" s="2"/>
      <c r="Y869" s="2"/>
      <c r="Z869" s="2"/>
      <c r="AA869" s="2"/>
      <c r="AB869" s="2"/>
      <c r="AC869" s="2"/>
      <c r="AD869" s="2"/>
      <c r="AE869" s="2"/>
      <c r="AF869" s="2"/>
      <c r="AG869" s="2"/>
      <c r="AH869" s="2"/>
      <c r="AI869" s="2"/>
      <c r="AJ869" s="218"/>
      <c r="AK869" s="218"/>
      <c r="AL869" s="218"/>
      <c r="AM869" s="218"/>
    </row>
    <row r="870">
      <c r="A870" s="33"/>
      <c r="B870" s="2"/>
      <c r="C870" s="2"/>
      <c r="D870" s="2"/>
      <c r="E870" s="2"/>
      <c r="F870" s="4"/>
      <c r="G870" s="2"/>
      <c r="H870" s="2"/>
      <c r="I870" s="2"/>
      <c r="J870" s="5"/>
      <c r="K870" s="2"/>
      <c r="L870" s="2"/>
      <c r="M870" s="2"/>
      <c r="N870" s="2"/>
      <c r="O870" s="2"/>
      <c r="P870" s="2"/>
      <c r="Q870" s="7"/>
      <c r="R870" s="224"/>
      <c r="S870" s="224"/>
      <c r="T870" s="224"/>
      <c r="U870" s="868"/>
      <c r="V870" s="865"/>
      <c r="W870" s="2"/>
      <c r="X870" s="2"/>
      <c r="Y870" s="2"/>
      <c r="Z870" s="2"/>
      <c r="AA870" s="2"/>
      <c r="AB870" s="2"/>
      <c r="AC870" s="2"/>
      <c r="AD870" s="2"/>
      <c r="AE870" s="2"/>
      <c r="AF870" s="2"/>
      <c r="AG870" s="2"/>
      <c r="AH870" s="2"/>
      <c r="AI870" s="2"/>
      <c r="AJ870" s="218"/>
      <c r="AK870" s="218"/>
      <c r="AL870" s="218"/>
      <c r="AM870" s="218"/>
    </row>
    <row r="871">
      <c r="A871" s="33"/>
      <c r="B871" s="2"/>
      <c r="C871" s="2"/>
      <c r="D871" s="2"/>
      <c r="E871" s="2"/>
      <c r="F871" s="4"/>
      <c r="G871" s="2"/>
      <c r="H871" s="2"/>
      <c r="I871" s="2"/>
      <c r="J871" s="5"/>
      <c r="K871" s="2"/>
      <c r="L871" s="2"/>
      <c r="M871" s="2"/>
      <c r="N871" s="2"/>
      <c r="O871" s="2"/>
      <c r="P871" s="2"/>
      <c r="Q871" s="7"/>
      <c r="R871" s="224"/>
      <c r="S871" s="224"/>
      <c r="T871" s="224"/>
      <c r="U871" s="868"/>
      <c r="V871" s="865"/>
      <c r="W871" s="2"/>
      <c r="X871" s="2"/>
      <c r="Y871" s="2"/>
      <c r="Z871" s="2"/>
      <c r="AA871" s="2"/>
      <c r="AB871" s="2"/>
      <c r="AC871" s="2"/>
      <c r="AD871" s="2"/>
      <c r="AE871" s="2"/>
      <c r="AF871" s="2"/>
      <c r="AG871" s="2"/>
      <c r="AH871" s="2"/>
      <c r="AI871" s="2"/>
      <c r="AJ871" s="218"/>
      <c r="AK871" s="218"/>
      <c r="AL871" s="218"/>
      <c r="AM871" s="218"/>
    </row>
    <row r="872">
      <c r="A872" s="33"/>
      <c r="B872" s="2"/>
      <c r="C872" s="2"/>
      <c r="D872" s="2"/>
      <c r="E872" s="2"/>
      <c r="F872" s="4"/>
      <c r="G872" s="2"/>
      <c r="H872" s="2"/>
      <c r="I872" s="2"/>
      <c r="J872" s="5"/>
      <c r="K872" s="2"/>
      <c r="L872" s="2"/>
      <c r="M872" s="2"/>
      <c r="N872" s="2"/>
      <c r="O872" s="2"/>
      <c r="P872" s="2"/>
      <c r="Q872" s="7"/>
      <c r="R872" s="224"/>
      <c r="S872" s="224"/>
      <c r="T872" s="224"/>
      <c r="U872" s="868"/>
      <c r="V872" s="865"/>
      <c r="W872" s="2"/>
      <c r="X872" s="2"/>
      <c r="Y872" s="2"/>
      <c r="Z872" s="2"/>
      <c r="AA872" s="2"/>
      <c r="AB872" s="2"/>
      <c r="AC872" s="2"/>
      <c r="AD872" s="2"/>
      <c r="AE872" s="2"/>
      <c r="AF872" s="2"/>
      <c r="AG872" s="2"/>
      <c r="AH872" s="2"/>
      <c r="AI872" s="2"/>
      <c r="AJ872" s="218"/>
      <c r="AK872" s="218"/>
      <c r="AL872" s="218"/>
      <c r="AM872" s="218"/>
    </row>
    <row r="873">
      <c r="A873" s="33"/>
      <c r="B873" s="2"/>
      <c r="C873" s="2"/>
      <c r="D873" s="2"/>
      <c r="E873" s="2"/>
      <c r="F873" s="4"/>
      <c r="G873" s="2"/>
      <c r="H873" s="2"/>
      <c r="I873" s="2"/>
      <c r="J873" s="5"/>
      <c r="K873" s="2"/>
      <c r="L873" s="2"/>
      <c r="M873" s="2"/>
      <c r="N873" s="2"/>
      <c r="O873" s="2"/>
      <c r="P873" s="2"/>
      <c r="Q873" s="7"/>
      <c r="R873" s="224"/>
      <c r="S873" s="224"/>
      <c r="T873" s="224"/>
      <c r="U873" s="868"/>
      <c r="V873" s="865"/>
      <c r="W873" s="2"/>
      <c r="X873" s="2"/>
      <c r="Y873" s="2"/>
      <c r="Z873" s="2"/>
      <c r="AA873" s="2"/>
      <c r="AB873" s="2"/>
      <c r="AC873" s="2"/>
      <c r="AD873" s="2"/>
      <c r="AE873" s="2"/>
      <c r="AF873" s="2"/>
      <c r="AG873" s="2"/>
      <c r="AH873" s="2"/>
      <c r="AI873" s="2"/>
      <c r="AJ873" s="218"/>
      <c r="AK873" s="218"/>
      <c r="AL873" s="218"/>
      <c r="AM873" s="218"/>
    </row>
    <row r="874">
      <c r="A874" s="33"/>
      <c r="B874" s="2"/>
      <c r="C874" s="2"/>
      <c r="D874" s="2"/>
      <c r="E874" s="2"/>
      <c r="F874" s="4"/>
      <c r="G874" s="2"/>
      <c r="H874" s="2"/>
      <c r="I874" s="2"/>
      <c r="J874" s="5"/>
      <c r="K874" s="2"/>
      <c r="L874" s="2"/>
      <c r="M874" s="2"/>
      <c r="N874" s="2"/>
      <c r="O874" s="2"/>
      <c r="P874" s="2"/>
      <c r="Q874" s="7"/>
      <c r="R874" s="224"/>
      <c r="S874" s="224"/>
      <c r="T874" s="224"/>
      <c r="U874" s="868"/>
      <c r="V874" s="865"/>
      <c r="W874" s="2"/>
      <c r="X874" s="2"/>
      <c r="Y874" s="2"/>
      <c r="Z874" s="2"/>
      <c r="AA874" s="2"/>
      <c r="AB874" s="2"/>
      <c r="AC874" s="2"/>
      <c r="AD874" s="2"/>
      <c r="AE874" s="2"/>
      <c r="AF874" s="2"/>
      <c r="AG874" s="2"/>
      <c r="AH874" s="2"/>
      <c r="AI874" s="2"/>
      <c r="AJ874" s="218"/>
      <c r="AK874" s="218"/>
      <c r="AL874" s="218"/>
      <c r="AM874" s="218"/>
    </row>
    <row r="875">
      <c r="A875" s="33"/>
      <c r="B875" s="2"/>
      <c r="C875" s="2"/>
      <c r="D875" s="2"/>
      <c r="E875" s="2"/>
      <c r="F875" s="4"/>
      <c r="G875" s="2"/>
      <c r="H875" s="2"/>
      <c r="I875" s="2"/>
      <c r="J875" s="5"/>
      <c r="K875" s="2"/>
      <c r="L875" s="2"/>
      <c r="M875" s="2"/>
      <c r="N875" s="2"/>
      <c r="O875" s="2"/>
      <c r="P875" s="2"/>
      <c r="Q875" s="7"/>
      <c r="R875" s="224"/>
      <c r="S875" s="224"/>
      <c r="T875" s="224"/>
      <c r="U875" s="868"/>
      <c r="V875" s="865"/>
      <c r="W875" s="2"/>
      <c r="X875" s="2"/>
      <c r="Y875" s="2"/>
      <c r="Z875" s="2"/>
      <c r="AA875" s="2"/>
      <c r="AB875" s="2"/>
      <c r="AC875" s="2"/>
      <c r="AD875" s="2"/>
      <c r="AE875" s="2"/>
      <c r="AF875" s="2"/>
      <c r="AG875" s="2"/>
      <c r="AH875" s="2"/>
      <c r="AI875" s="2"/>
      <c r="AJ875" s="218"/>
      <c r="AK875" s="218"/>
      <c r="AL875" s="218"/>
      <c r="AM875" s="218"/>
    </row>
    <row r="876">
      <c r="A876" s="33"/>
      <c r="B876" s="2"/>
      <c r="C876" s="2"/>
      <c r="D876" s="2"/>
      <c r="E876" s="2"/>
      <c r="F876" s="4"/>
      <c r="G876" s="2"/>
      <c r="H876" s="2"/>
      <c r="I876" s="2"/>
      <c r="J876" s="5"/>
      <c r="K876" s="2"/>
      <c r="L876" s="2"/>
      <c r="M876" s="2"/>
      <c r="N876" s="2"/>
      <c r="O876" s="2"/>
      <c r="P876" s="2"/>
      <c r="Q876" s="7"/>
      <c r="R876" s="224"/>
      <c r="S876" s="224"/>
      <c r="T876" s="224"/>
      <c r="U876" s="868"/>
      <c r="V876" s="865"/>
      <c r="W876" s="2"/>
      <c r="X876" s="2"/>
      <c r="Y876" s="2"/>
      <c r="Z876" s="2"/>
      <c r="AA876" s="2"/>
      <c r="AB876" s="2"/>
      <c r="AC876" s="2"/>
      <c r="AD876" s="2"/>
      <c r="AE876" s="2"/>
      <c r="AF876" s="2"/>
      <c r="AG876" s="2"/>
      <c r="AH876" s="2"/>
      <c r="AI876" s="2"/>
      <c r="AJ876" s="218"/>
      <c r="AK876" s="218"/>
      <c r="AL876" s="218"/>
      <c r="AM876" s="218"/>
    </row>
    <row r="877">
      <c r="A877" s="33"/>
      <c r="B877" s="2"/>
      <c r="C877" s="2"/>
      <c r="D877" s="2"/>
      <c r="E877" s="2"/>
      <c r="F877" s="4"/>
      <c r="G877" s="2"/>
      <c r="H877" s="2"/>
      <c r="I877" s="2"/>
      <c r="J877" s="5"/>
      <c r="K877" s="2"/>
      <c r="L877" s="2"/>
      <c r="M877" s="2"/>
      <c r="N877" s="2"/>
      <c r="O877" s="2"/>
      <c r="P877" s="2"/>
      <c r="Q877" s="7"/>
      <c r="R877" s="224"/>
      <c r="S877" s="224"/>
      <c r="T877" s="224"/>
      <c r="U877" s="868"/>
      <c r="V877" s="865"/>
      <c r="W877" s="2"/>
      <c r="X877" s="2"/>
      <c r="Y877" s="2"/>
      <c r="Z877" s="2"/>
      <c r="AA877" s="2"/>
      <c r="AB877" s="2"/>
      <c r="AC877" s="2"/>
      <c r="AD877" s="2"/>
      <c r="AE877" s="2"/>
      <c r="AF877" s="2"/>
      <c r="AG877" s="2"/>
      <c r="AH877" s="2"/>
      <c r="AI877" s="2"/>
      <c r="AJ877" s="218"/>
      <c r="AK877" s="218"/>
      <c r="AL877" s="218"/>
      <c r="AM877" s="218"/>
    </row>
    <row r="878">
      <c r="A878" s="33"/>
      <c r="B878" s="2"/>
      <c r="C878" s="2"/>
      <c r="D878" s="2"/>
      <c r="E878" s="2"/>
      <c r="F878" s="4"/>
      <c r="G878" s="2"/>
      <c r="H878" s="2"/>
      <c r="I878" s="2"/>
      <c r="J878" s="5"/>
      <c r="K878" s="2"/>
      <c r="L878" s="2"/>
      <c r="M878" s="2"/>
      <c r="N878" s="2"/>
      <c r="O878" s="2"/>
      <c r="P878" s="2"/>
      <c r="Q878" s="7"/>
      <c r="R878" s="224"/>
      <c r="S878" s="224"/>
      <c r="T878" s="224"/>
      <c r="U878" s="868"/>
      <c r="V878" s="865"/>
      <c r="W878" s="2"/>
      <c r="X878" s="2"/>
      <c r="Y878" s="2"/>
      <c r="Z878" s="2"/>
      <c r="AA878" s="2"/>
      <c r="AB878" s="2"/>
      <c r="AC878" s="2"/>
      <c r="AD878" s="2"/>
      <c r="AE878" s="2"/>
      <c r="AF878" s="2"/>
      <c r="AG878" s="2"/>
      <c r="AH878" s="2"/>
      <c r="AI878" s="2"/>
      <c r="AJ878" s="218"/>
      <c r="AK878" s="218"/>
      <c r="AL878" s="218"/>
      <c r="AM878" s="218"/>
    </row>
    <row r="879">
      <c r="A879" s="33"/>
      <c r="B879" s="2"/>
      <c r="C879" s="2"/>
      <c r="D879" s="2"/>
      <c r="E879" s="2"/>
      <c r="F879" s="4"/>
      <c r="G879" s="2"/>
      <c r="H879" s="2"/>
      <c r="I879" s="2"/>
      <c r="J879" s="5"/>
      <c r="K879" s="2"/>
      <c r="L879" s="2"/>
      <c r="M879" s="2"/>
      <c r="N879" s="2"/>
      <c r="O879" s="2"/>
      <c r="P879" s="2"/>
      <c r="Q879" s="7"/>
      <c r="R879" s="224"/>
      <c r="S879" s="224"/>
      <c r="T879" s="224"/>
      <c r="U879" s="868"/>
      <c r="V879" s="865"/>
      <c r="W879" s="2"/>
      <c r="X879" s="2"/>
      <c r="Y879" s="2"/>
      <c r="Z879" s="2"/>
      <c r="AA879" s="2"/>
      <c r="AB879" s="2"/>
      <c r="AC879" s="2"/>
      <c r="AD879" s="2"/>
      <c r="AE879" s="2"/>
      <c r="AF879" s="2"/>
      <c r="AG879" s="2"/>
      <c r="AH879" s="2"/>
      <c r="AI879" s="2"/>
      <c r="AJ879" s="218"/>
      <c r="AK879" s="218"/>
      <c r="AL879" s="218"/>
      <c r="AM879" s="218"/>
    </row>
    <row r="880">
      <c r="A880" s="33"/>
      <c r="B880" s="2"/>
      <c r="C880" s="2"/>
      <c r="D880" s="2"/>
      <c r="E880" s="2"/>
      <c r="F880" s="4"/>
      <c r="G880" s="2"/>
      <c r="H880" s="2"/>
      <c r="I880" s="2"/>
      <c r="J880" s="5"/>
      <c r="K880" s="2"/>
      <c r="L880" s="2"/>
      <c r="M880" s="2"/>
      <c r="N880" s="2"/>
      <c r="O880" s="2"/>
      <c r="P880" s="2"/>
      <c r="Q880" s="7"/>
      <c r="R880" s="224"/>
      <c r="S880" s="224"/>
      <c r="T880" s="224"/>
      <c r="U880" s="868"/>
      <c r="V880" s="865"/>
      <c r="W880" s="2"/>
      <c r="X880" s="2"/>
      <c r="Y880" s="2"/>
      <c r="Z880" s="2"/>
      <c r="AA880" s="2"/>
      <c r="AB880" s="2"/>
      <c r="AC880" s="2"/>
      <c r="AD880" s="2"/>
      <c r="AE880" s="2"/>
      <c r="AF880" s="2"/>
      <c r="AG880" s="2"/>
      <c r="AH880" s="2"/>
      <c r="AI880" s="2"/>
      <c r="AJ880" s="218"/>
      <c r="AK880" s="218"/>
      <c r="AL880" s="218"/>
      <c r="AM880" s="218"/>
    </row>
    <row r="881">
      <c r="A881" s="33"/>
      <c r="B881" s="2"/>
      <c r="C881" s="2"/>
      <c r="D881" s="2"/>
      <c r="E881" s="2"/>
      <c r="F881" s="4"/>
      <c r="G881" s="2"/>
      <c r="H881" s="2"/>
      <c r="I881" s="2"/>
      <c r="J881" s="5"/>
      <c r="K881" s="2"/>
      <c r="L881" s="2"/>
      <c r="M881" s="2"/>
      <c r="N881" s="2"/>
      <c r="O881" s="2"/>
      <c r="P881" s="2"/>
      <c r="Q881" s="7"/>
      <c r="R881" s="224"/>
      <c r="S881" s="224"/>
      <c r="T881" s="224"/>
      <c r="U881" s="868"/>
      <c r="V881" s="865"/>
      <c r="W881" s="2"/>
      <c r="X881" s="2"/>
      <c r="Y881" s="2"/>
      <c r="Z881" s="2"/>
      <c r="AA881" s="2"/>
      <c r="AB881" s="2"/>
      <c r="AC881" s="2"/>
      <c r="AD881" s="2"/>
      <c r="AE881" s="2"/>
      <c r="AF881" s="2"/>
      <c r="AG881" s="2"/>
      <c r="AH881" s="2"/>
      <c r="AI881" s="2"/>
      <c r="AJ881" s="218"/>
      <c r="AK881" s="218"/>
      <c r="AL881" s="218"/>
      <c r="AM881" s="218"/>
    </row>
    <row r="882">
      <c r="A882" s="33"/>
      <c r="B882" s="2"/>
      <c r="C882" s="2"/>
      <c r="D882" s="2"/>
      <c r="E882" s="2"/>
      <c r="F882" s="4"/>
      <c r="G882" s="2"/>
      <c r="H882" s="2"/>
      <c r="I882" s="2"/>
      <c r="J882" s="5"/>
      <c r="K882" s="2"/>
      <c r="L882" s="2"/>
      <c r="M882" s="2"/>
      <c r="N882" s="2"/>
      <c r="O882" s="2"/>
      <c r="P882" s="2"/>
      <c r="Q882" s="7"/>
      <c r="R882" s="224"/>
      <c r="S882" s="224"/>
      <c r="T882" s="224"/>
      <c r="U882" s="868"/>
      <c r="V882" s="865"/>
      <c r="W882" s="2"/>
      <c r="X882" s="2"/>
      <c r="Y882" s="2"/>
      <c r="Z882" s="2"/>
      <c r="AA882" s="2"/>
      <c r="AB882" s="2"/>
      <c r="AC882" s="2"/>
      <c r="AD882" s="2"/>
      <c r="AE882" s="2"/>
      <c r="AF882" s="2"/>
      <c r="AG882" s="2"/>
      <c r="AH882" s="2"/>
      <c r="AI882" s="2"/>
      <c r="AJ882" s="218"/>
      <c r="AK882" s="218"/>
      <c r="AL882" s="218"/>
      <c r="AM882" s="218"/>
    </row>
    <row r="883">
      <c r="A883" s="33"/>
      <c r="B883" s="2"/>
      <c r="C883" s="2"/>
      <c r="D883" s="2"/>
      <c r="E883" s="2"/>
      <c r="F883" s="4"/>
      <c r="G883" s="2"/>
      <c r="H883" s="2"/>
      <c r="I883" s="2"/>
      <c r="J883" s="5"/>
      <c r="K883" s="2"/>
      <c r="L883" s="2"/>
      <c r="M883" s="2"/>
      <c r="N883" s="2"/>
      <c r="O883" s="2"/>
      <c r="P883" s="2"/>
      <c r="Q883" s="7"/>
      <c r="R883" s="224"/>
      <c r="S883" s="224"/>
      <c r="T883" s="224"/>
      <c r="U883" s="868"/>
      <c r="V883" s="865"/>
      <c r="W883" s="2"/>
      <c r="X883" s="2"/>
      <c r="Y883" s="2"/>
      <c r="Z883" s="2"/>
      <c r="AA883" s="2"/>
      <c r="AB883" s="2"/>
      <c r="AC883" s="2"/>
      <c r="AD883" s="2"/>
      <c r="AE883" s="2"/>
      <c r="AF883" s="2"/>
      <c r="AG883" s="2"/>
      <c r="AH883" s="2"/>
      <c r="AI883" s="2"/>
      <c r="AJ883" s="218"/>
      <c r="AK883" s="218"/>
      <c r="AL883" s="218"/>
      <c r="AM883" s="218"/>
    </row>
    <row r="884">
      <c r="A884" s="33"/>
      <c r="B884" s="2"/>
      <c r="C884" s="2"/>
      <c r="D884" s="2"/>
      <c r="E884" s="2"/>
      <c r="F884" s="4"/>
      <c r="G884" s="2"/>
      <c r="H884" s="2"/>
      <c r="I884" s="2"/>
      <c r="J884" s="5"/>
      <c r="K884" s="2"/>
      <c r="L884" s="2"/>
      <c r="M884" s="2"/>
      <c r="N884" s="2"/>
      <c r="O884" s="2"/>
      <c r="P884" s="2"/>
      <c r="Q884" s="7"/>
      <c r="R884" s="224"/>
      <c r="S884" s="224"/>
      <c r="T884" s="224"/>
      <c r="U884" s="868"/>
      <c r="V884" s="865"/>
      <c r="W884" s="2"/>
      <c r="X884" s="2"/>
      <c r="Y884" s="2"/>
      <c r="Z884" s="2"/>
      <c r="AA884" s="2"/>
      <c r="AB884" s="2"/>
      <c r="AC884" s="2"/>
      <c r="AD884" s="2"/>
      <c r="AE884" s="2"/>
      <c r="AF884" s="2"/>
      <c r="AG884" s="2"/>
      <c r="AH884" s="2"/>
      <c r="AI884" s="2"/>
      <c r="AJ884" s="218"/>
      <c r="AK884" s="218"/>
      <c r="AL884" s="218"/>
      <c r="AM884" s="218"/>
    </row>
    <row r="885">
      <c r="A885" s="33"/>
      <c r="B885" s="2"/>
      <c r="C885" s="2"/>
      <c r="D885" s="2"/>
      <c r="E885" s="2"/>
      <c r="F885" s="4"/>
      <c r="G885" s="2"/>
      <c r="H885" s="2"/>
      <c r="I885" s="2"/>
      <c r="J885" s="5"/>
      <c r="K885" s="2"/>
      <c r="L885" s="2"/>
      <c r="M885" s="2"/>
      <c r="N885" s="2"/>
      <c r="O885" s="2"/>
      <c r="P885" s="2"/>
      <c r="Q885" s="7"/>
      <c r="R885" s="224"/>
      <c r="S885" s="224"/>
      <c r="T885" s="224"/>
      <c r="U885" s="868"/>
      <c r="V885" s="865"/>
      <c r="W885" s="2"/>
      <c r="X885" s="2"/>
      <c r="Y885" s="2"/>
      <c r="Z885" s="2"/>
      <c r="AA885" s="2"/>
      <c r="AB885" s="2"/>
      <c r="AC885" s="2"/>
      <c r="AD885" s="2"/>
      <c r="AE885" s="2"/>
      <c r="AF885" s="2"/>
      <c r="AG885" s="2"/>
      <c r="AH885" s="2"/>
      <c r="AI885" s="2"/>
      <c r="AJ885" s="218"/>
      <c r="AK885" s="218"/>
      <c r="AL885" s="218"/>
      <c r="AM885" s="218"/>
    </row>
    <row r="886">
      <c r="A886" s="33"/>
      <c r="B886" s="2"/>
      <c r="C886" s="2"/>
      <c r="D886" s="2"/>
      <c r="E886" s="2"/>
      <c r="F886" s="4"/>
      <c r="G886" s="2"/>
      <c r="H886" s="2"/>
      <c r="I886" s="2"/>
      <c r="J886" s="5"/>
      <c r="K886" s="2"/>
      <c r="L886" s="2"/>
      <c r="M886" s="2"/>
      <c r="N886" s="2"/>
      <c r="O886" s="2"/>
      <c r="P886" s="2"/>
      <c r="Q886" s="7"/>
      <c r="R886" s="224"/>
      <c r="S886" s="224"/>
      <c r="T886" s="224"/>
      <c r="U886" s="868"/>
      <c r="V886" s="865"/>
      <c r="W886" s="2"/>
      <c r="X886" s="2"/>
      <c r="Y886" s="2"/>
      <c r="Z886" s="2"/>
      <c r="AA886" s="2"/>
      <c r="AB886" s="2"/>
      <c r="AC886" s="2"/>
      <c r="AD886" s="2"/>
      <c r="AE886" s="2"/>
      <c r="AF886" s="2"/>
      <c r="AG886" s="2"/>
      <c r="AH886" s="2"/>
      <c r="AI886" s="2"/>
      <c r="AJ886" s="218"/>
      <c r="AK886" s="218"/>
      <c r="AL886" s="218"/>
      <c r="AM886" s="218"/>
    </row>
    <row r="887">
      <c r="A887" s="33"/>
      <c r="B887" s="2"/>
      <c r="C887" s="2"/>
      <c r="D887" s="2"/>
      <c r="E887" s="2"/>
      <c r="F887" s="4"/>
      <c r="G887" s="2"/>
      <c r="H887" s="2"/>
      <c r="I887" s="2"/>
      <c r="J887" s="5"/>
      <c r="K887" s="2"/>
      <c r="L887" s="2"/>
      <c r="M887" s="2"/>
      <c r="N887" s="2"/>
      <c r="O887" s="2"/>
      <c r="P887" s="2"/>
      <c r="Q887" s="7"/>
      <c r="R887" s="224"/>
      <c r="S887" s="224"/>
      <c r="T887" s="224"/>
      <c r="U887" s="868"/>
      <c r="V887" s="865"/>
      <c r="W887" s="2"/>
      <c r="X887" s="2"/>
      <c r="Y887" s="2"/>
      <c r="Z887" s="2"/>
      <c r="AA887" s="2"/>
      <c r="AB887" s="2"/>
      <c r="AC887" s="2"/>
      <c r="AD887" s="2"/>
      <c r="AE887" s="2"/>
      <c r="AF887" s="2"/>
      <c r="AG887" s="2"/>
      <c r="AH887" s="2"/>
      <c r="AI887" s="2"/>
      <c r="AJ887" s="218"/>
      <c r="AK887" s="218"/>
      <c r="AL887" s="218"/>
      <c r="AM887" s="218"/>
    </row>
    <row r="888">
      <c r="A888" s="33"/>
      <c r="B888" s="2"/>
      <c r="C888" s="2"/>
      <c r="D888" s="2"/>
      <c r="E888" s="2"/>
      <c r="F888" s="4"/>
      <c r="G888" s="2"/>
      <c r="H888" s="2"/>
      <c r="I888" s="2"/>
      <c r="J888" s="5"/>
      <c r="K888" s="2"/>
      <c r="L888" s="2"/>
      <c r="M888" s="2"/>
      <c r="N888" s="2"/>
      <c r="O888" s="2"/>
      <c r="P888" s="2"/>
      <c r="Q888" s="7"/>
      <c r="R888" s="224"/>
      <c r="S888" s="224"/>
      <c r="T888" s="224"/>
      <c r="U888" s="868"/>
      <c r="V888" s="865"/>
      <c r="W888" s="2"/>
      <c r="X888" s="2"/>
      <c r="Y888" s="2"/>
      <c r="Z888" s="2"/>
      <c r="AA888" s="2"/>
      <c r="AB888" s="2"/>
      <c r="AC888" s="2"/>
      <c r="AD888" s="2"/>
      <c r="AE888" s="2"/>
      <c r="AF888" s="2"/>
      <c r="AG888" s="2"/>
      <c r="AH888" s="2"/>
      <c r="AI888" s="2"/>
      <c r="AJ888" s="218"/>
      <c r="AK888" s="218"/>
      <c r="AL888" s="218"/>
      <c r="AM888" s="218"/>
    </row>
    <row r="889">
      <c r="A889" s="33"/>
      <c r="B889" s="2"/>
      <c r="C889" s="2"/>
      <c r="D889" s="2"/>
      <c r="E889" s="2"/>
      <c r="F889" s="4"/>
      <c r="G889" s="2"/>
      <c r="H889" s="2"/>
      <c r="I889" s="2"/>
      <c r="J889" s="5"/>
      <c r="K889" s="2"/>
      <c r="L889" s="2"/>
      <c r="M889" s="2"/>
      <c r="N889" s="2"/>
      <c r="O889" s="2"/>
      <c r="P889" s="2"/>
      <c r="Q889" s="7"/>
      <c r="R889" s="224"/>
      <c r="S889" s="224"/>
      <c r="T889" s="224"/>
      <c r="U889" s="868"/>
      <c r="V889" s="865"/>
      <c r="W889" s="2"/>
      <c r="X889" s="2"/>
      <c r="Y889" s="2"/>
      <c r="Z889" s="2"/>
      <c r="AA889" s="2"/>
      <c r="AB889" s="2"/>
      <c r="AC889" s="2"/>
      <c r="AD889" s="2"/>
      <c r="AE889" s="2"/>
      <c r="AF889" s="2"/>
      <c r="AG889" s="2"/>
      <c r="AH889" s="2"/>
      <c r="AI889" s="2"/>
      <c r="AJ889" s="218"/>
      <c r="AK889" s="218"/>
      <c r="AL889" s="218"/>
      <c r="AM889" s="218"/>
    </row>
    <row r="890">
      <c r="A890" s="33"/>
      <c r="B890" s="2"/>
      <c r="C890" s="2"/>
      <c r="D890" s="2"/>
      <c r="E890" s="2"/>
      <c r="F890" s="4"/>
      <c r="G890" s="2"/>
      <c r="H890" s="2"/>
      <c r="I890" s="2"/>
      <c r="J890" s="5"/>
      <c r="K890" s="2"/>
      <c r="L890" s="2"/>
      <c r="M890" s="2"/>
      <c r="N890" s="2"/>
      <c r="O890" s="2"/>
      <c r="P890" s="2"/>
      <c r="Q890" s="7"/>
      <c r="R890" s="224"/>
      <c r="S890" s="224"/>
      <c r="T890" s="224"/>
      <c r="U890" s="868"/>
      <c r="V890" s="865"/>
      <c r="W890" s="2"/>
      <c r="X890" s="2"/>
      <c r="Y890" s="2"/>
      <c r="Z890" s="2"/>
      <c r="AA890" s="2"/>
      <c r="AB890" s="2"/>
      <c r="AC890" s="2"/>
      <c r="AD890" s="2"/>
      <c r="AE890" s="2"/>
      <c r="AF890" s="2"/>
      <c r="AG890" s="2"/>
      <c r="AH890" s="2"/>
      <c r="AI890" s="2"/>
      <c r="AJ890" s="218"/>
      <c r="AK890" s="218"/>
      <c r="AL890" s="218"/>
      <c r="AM890" s="218"/>
    </row>
    <row r="891">
      <c r="A891" s="33"/>
      <c r="B891" s="2"/>
      <c r="C891" s="2"/>
      <c r="D891" s="2"/>
      <c r="E891" s="2"/>
      <c r="F891" s="4"/>
      <c r="G891" s="2"/>
      <c r="H891" s="2"/>
      <c r="I891" s="2"/>
      <c r="J891" s="5"/>
      <c r="K891" s="2"/>
      <c r="L891" s="2"/>
      <c r="M891" s="2"/>
      <c r="N891" s="2"/>
      <c r="O891" s="2"/>
      <c r="P891" s="2"/>
      <c r="Q891" s="7"/>
      <c r="R891" s="224"/>
      <c r="S891" s="224"/>
      <c r="T891" s="224"/>
      <c r="U891" s="868"/>
      <c r="V891" s="865"/>
      <c r="W891" s="2"/>
      <c r="X891" s="2"/>
      <c r="Y891" s="2"/>
      <c r="Z891" s="2"/>
      <c r="AA891" s="2"/>
      <c r="AB891" s="2"/>
      <c r="AC891" s="2"/>
      <c r="AD891" s="2"/>
      <c r="AE891" s="2"/>
      <c r="AF891" s="2"/>
      <c r="AG891" s="2"/>
      <c r="AH891" s="2"/>
      <c r="AI891" s="2"/>
      <c r="AJ891" s="218"/>
      <c r="AK891" s="218"/>
      <c r="AL891" s="218"/>
      <c r="AM891" s="218"/>
    </row>
    <row r="892">
      <c r="A892" s="33"/>
      <c r="B892" s="2"/>
      <c r="C892" s="2"/>
      <c r="D892" s="2"/>
      <c r="E892" s="2"/>
      <c r="F892" s="4"/>
      <c r="G892" s="2"/>
      <c r="H892" s="2"/>
      <c r="I892" s="2"/>
      <c r="J892" s="5"/>
      <c r="K892" s="2"/>
      <c r="L892" s="2"/>
      <c r="M892" s="2"/>
      <c r="N892" s="2"/>
      <c r="O892" s="2"/>
      <c r="P892" s="2"/>
      <c r="Q892" s="7"/>
      <c r="R892" s="224"/>
      <c r="S892" s="224"/>
      <c r="T892" s="224"/>
      <c r="U892" s="868"/>
      <c r="V892" s="865"/>
      <c r="W892" s="2"/>
      <c r="X892" s="2"/>
      <c r="Y892" s="2"/>
      <c r="Z892" s="2"/>
      <c r="AA892" s="2"/>
      <c r="AB892" s="2"/>
      <c r="AC892" s="2"/>
      <c r="AD892" s="2"/>
      <c r="AE892" s="2"/>
      <c r="AF892" s="2"/>
      <c r="AG892" s="2"/>
      <c r="AH892" s="2"/>
      <c r="AI892" s="2"/>
      <c r="AJ892" s="218"/>
      <c r="AK892" s="218"/>
      <c r="AL892" s="218"/>
      <c r="AM892" s="218"/>
    </row>
    <row r="893">
      <c r="A893" s="33"/>
      <c r="B893" s="2"/>
      <c r="C893" s="2"/>
      <c r="D893" s="2"/>
      <c r="E893" s="2"/>
      <c r="F893" s="4"/>
      <c r="G893" s="2"/>
      <c r="H893" s="2"/>
      <c r="I893" s="2"/>
      <c r="J893" s="5"/>
      <c r="K893" s="2"/>
      <c r="L893" s="2"/>
      <c r="M893" s="2"/>
      <c r="N893" s="2"/>
      <c r="O893" s="2"/>
      <c r="P893" s="2"/>
      <c r="Q893" s="7"/>
      <c r="R893" s="224"/>
      <c r="S893" s="224"/>
      <c r="T893" s="224"/>
      <c r="U893" s="868"/>
      <c r="V893" s="865"/>
      <c r="W893" s="2"/>
      <c r="X893" s="2"/>
      <c r="Y893" s="2"/>
      <c r="Z893" s="2"/>
      <c r="AA893" s="2"/>
      <c r="AB893" s="2"/>
      <c r="AC893" s="2"/>
      <c r="AD893" s="2"/>
      <c r="AE893" s="2"/>
      <c r="AF893" s="2"/>
      <c r="AG893" s="2"/>
      <c r="AH893" s="2"/>
      <c r="AI893" s="2"/>
      <c r="AJ893" s="218"/>
      <c r="AK893" s="218"/>
      <c r="AL893" s="218"/>
      <c r="AM893" s="218"/>
    </row>
    <row r="894">
      <c r="A894" s="33"/>
      <c r="B894" s="2"/>
      <c r="C894" s="2"/>
      <c r="D894" s="2"/>
      <c r="E894" s="2"/>
      <c r="F894" s="4"/>
      <c r="G894" s="2"/>
      <c r="H894" s="2"/>
      <c r="I894" s="2"/>
      <c r="J894" s="5"/>
      <c r="K894" s="2"/>
      <c r="L894" s="2"/>
      <c r="M894" s="2"/>
      <c r="N894" s="2"/>
      <c r="O894" s="2"/>
      <c r="P894" s="2"/>
      <c r="Q894" s="7"/>
      <c r="R894" s="224"/>
      <c r="S894" s="224"/>
      <c r="T894" s="224"/>
      <c r="U894" s="868"/>
      <c r="V894" s="865"/>
      <c r="W894" s="2"/>
      <c r="X894" s="2"/>
      <c r="Y894" s="2"/>
      <c r="Z894" s="2"/>
      <c r="AA894" s="2"/>
      <c r="AB894" s="2"/>
      <c r="AC894" s="2"/>
      <c r="AD894" s="2"/>
      <c r="AE894" s="2"/>
      <c r="AF894" s="2"/>
      <c r="AG894" s="2"/>
      <c r="AH894" s="2"/>
      <c r="AI894" s="2"/>
      <c r="AJ894" s="218"/>
      <c r="AK894" s="218"/>
      <c r="AL894" s="218"/>
      <c r="AM894" s="218"/>
    </row>
    <row r="895">
      <c r="A895" s="33"/>
      <c r="B895" s="2"/>
      <c r="C895" s="2"/>
      <c r="D895" s="2"/>
      <c r="E895" s="2"/>
      <c r="F895" s="4"/>
      <c r="G895" s="2"/>
      <c r="H895" s="2"/>
      <c r="I895" s="2"/>
      <c r="J895" s="5"/>
      <c r="K895" s="2"/>
      <c r="L895" s="2"/>
      <c r="M895" s="2"/>
      <c r="N895" s="2"/>
      <c r="O895" s="2"/>
      <c r="P895" s="2"/>
      <c r="Q895" s="7"/>
      <c r="R895" s="224"/>
      <c r="S895" s="224"/>
      <c r="T895" s="224"/>
      <c r="U895" s="868"/>
      <c r="V895" s="865"/>
      <c r="W895" s="2"/>
      <c r="X895" s="2"/>
      <c r="Y895" s="2"/>
      <c r="Z895" s="2"/>
      <c r="AA895" s="2"/>
      <c r="AB895" s="2"/>
      <c r="AC895" s="2"/>
      <c r="AD895" s="2"/>
      <c r="AE895" s="2"/>
      <c r="AF895" s="2"/>
      <c r="AG895" s="2"/>
      <c r="AH895" s="2"/>
      <c r="AI895" s="2"/>
      <c r="AJ895" s="218"/>
      <c r="AK895" s="218"/>
      <c r="AL895" s="218"/>
      <c r="AM895" s="218"/>
    </row>
    <row r="896">
      <c r="A896" s="33"/>
      <c r="B896" s="2"/>
      <c r="C896" s="2"/>
      <c r="D896" s="2"/>
      <c r="E896" s="2"/>
      <c r="F896" s="4"/>
      <c r="G896" s="2"/>
      <c r="H896" s="2"/>
      <c r="I896" s="2"/>
      <c r="J896" s="5"/>
      <c r="K896" s="2"/>
      <c r="L896" s="2"/>
      <c r="M896" s="2"/>
      <c r="N896" s="2"/>
      <c r="O896" s="2"/>
      <c r="P896" s="2"/>
      <c r="Q896" s="7"/>
      <c r="R896" s="224"/>
      <c r="S896" s="224"/>
      <c r="T896" s="224"/>
      <c r="U896" s="868"/>
      <c r="V896" s="865"/>
      <c r="W896" s="2"/>
      <c r="X896" s="2"/>
      <c r="Y896" s="2"/>
      <c r="Z896" s="2"/>
      <c r="AA896" s="2"/>
      <c r="AB896" s="2"/>
      <c r="AC896" s="2"/>
      <c r="AD896" s="2"/>
      <c r="AE896" s="2"/>
      <c r="AF896" s="2"/>
      <c r="AG896" s="2"/>
      <c r="AH896" s="2"/>
      <c r="AI896" s="2"/>
      <c r="AJ896" s="218"/>
      <c r="AK896" s="218"/>
      <c r="AL896" s="218"/>
      <c r="AM896" s="218"/>
    </row>
    <row r="897">
      <c r="A897" s="33"/>
      <c r="B897" s="2"/>
      <c r="C897" s="2"/>
      <c r="D897" s="2"/>
      <c r="E897" s="2"/>
      <c r="F897" s="4"/>
      <c r="G897" s="2"/>
      <c r="H897" s="2"/>
      <c r="I897" s="2"/>
      <c r="J897" s="5"/>
      <c r="K897" s="2"/>
      <c r="L897" s="2"/>
      <c r="M897" s="2"/>
      <c r="N897" s="2"/>
      <c r="O897" s="2"/>
      <c r="P897" s="2"/>
      <c r="Q897" s="7"/>
      <c r="R897" s="224"/>
      <c r="S897" s="224"/>
      <c r="T897" s="224"/>
      <c r="U897" s="868"/>
      <c r="V897" s="865"/>
      <c r="W897" s="2"/>
      <c r="X897" s="2"/>
      <c r="Y897" s="2"/>
      <c r="Z897" s="2"/>
      <c r="AA897" s="2"/>
      <c r="AB897" s="2"/>
      <c r="AC897" s="2"/>
      <c r="AD897" s="2"/>
      <c r="AE897" s="2"/>
      <c r="AF897" s="2"/>
      <c r="AG897" s="2"/>
      <c r="AH897" s="2"/>
      <c r="AI897" s="2"/>
      <c r="AJ897" s="218"/>
      <c r="AK897" s="218"/>
      <c r="AL897" s="218"/>
      <c r="AM897" s="218"/>
    </row>
    <row r="898">
      <c r="A898" s="33"/>
      <c r="B898" s="2"/>
      <c r="C898" s="2"/>
      <c r="D898" s="2"/>
      <c r="E898" s="2"/>
      <c r="F898" s="4"/>
      <c r="G898" s="2"/>
      <c r="H898" s="2"/>
      <c r="I898" s="2"/>
      <c r="J898" s="5"/>
      <c r="K898" s="2"/>
      <c r="L898" s="2"/>
      <c r="M898" s="2"/>
      <c r="N898" s="2"/>
      <c r="O898" s="2"/>
      <c r="P898" s="2"/>
      <c r="Q898" s="7"/>
      <c r="R898" s="224"/>
      <c r="S898" s="224"/>
      <c r="T898" s="224"/>
      <c r="U898" s="868"/>
      <c r="V898" s="865"/>
      <c r="W898" s="2"/>
      <c r="X898" s="2"/>
      <c r="Y898" s="2"/>
      <c r="Z898" s="2"/>
      <c r="AA898" s="2"/>
      <c r="AB898" s="2"/>
      <c r="AC898" s="2"/>
      <c r="AD898" s="2"/>
      <c r="AE898" s="2"/>
      <c r="AF898" s="2"/>
      <c r="AG898" s="2"/>
      <c r="AH898" s="2"/>
      <c r="AI898" s="2"/>
      <c r="AJ898" s="218"/>
      <c r="AK898" s="218"/>
      <c r="AL898" s="218"/>
      <c r="AM898" s="218"/>
    </row>
    <row r="899">
      <c r="A899" s="33"/>
      <c r="B899" s="2"/>
      <c r="C899" s="2"/>
      <c r="D899" s="2"/>
      <c r="E899" s="2"/>
      <c r="F899" s="4"/>
      <c r="G899" s="2"/>
      <c r="H899" s="2"/>
      <c r="I899" s="2"/>
      <c r="J899" s="5"/>
      <c r="K899" s="2"/>
      <c r="L899" s="2"/>
      <c r="M899" s="2"/>
      <c r="N899" s="2"/>
      <c r="O899" s="2"/>
      <c r="P899" s="2"/>
      <c r="Q899" s="7"/>
      <c r="R899" s="224"/>
      <c r="S899" s="224"/>
      <c r="T899" s="224"/>
      <c r="U899" s="868"/>
      <c r="V899" s="865"/>
      <c r="W899" s="2"/>
      <c r="X899" s="2"/>
      <c r="Y899" s="2"/>
      <c r="Z899" s="2"/>
      <c r="AA899" s="2"/>
      <c r="AB899" s="2"/>
      <c r="AC899" s="2"/>
      <c r="AD899" s="2"/>
      <c r="AE899" s="2"/>
      <c r="AF899" s="2"/>
      <c r="AG899" s="2"/>
      <c r="AH899" s="2"/>
      <c r="AI899" s="2"/>
      <c r="AJ899" s="218"/>
      <c r="AK899" s="218"/>
      <c r="AL899" s="218"/>
      <c r="AM899" s="218"/>
    </row>
    <row r="900">
      <c r="A900" s="33"/>
      <c r="B900" s="2"/>
      <c r="C900" s="2"/>
      <c r="D900" s="2"/>
      <c r="E900" s="2"/>
      <c r="F900" s="4"/>
      <c r="G900" s="2"/>
      <c r="H900" s="2"/>
      <c r="I900" s="2"/>
      <c r="J900" s="5"/>
      <c r="K900" s="2"/>
      <c r="L900" s="2"/>
      <c r="M900" s="2"/>
      <c r="N900" s="2"/>
      <c r="O900" s="2"/>
      <c r="P900" s="2"/>
      <c r="Q900" s="7"/>
      <c r="R900" s="224"/>
      <c r="S900" s="224"/>
      <c r="T900" s="224"/>
      <c r="U900" s="868"/>
      <c r="V900" s="865"/>
      <c r="W900" s="2"/>
      <c r="X900" s="2"/>
      <c r="Y900" s="2"/>
      <c r="Z900" s="2"/>
      <c r="AA900" s="2"/>
      <c r="AB900" s="2"/>
      <c r="AC900" s="2"/>
      <c r="AD900" s="2"/>
      <c r="AE900" s="2"/>
      <c r="AF900" s="2"/>
      <c r="AG900" s="2"/>
      <c r="AH900" s="2"/>
      <c r="AI900" s="2"/>
      <c r="AJ900" s="218"/>
      <c r="AK900" s="218"/>
      <c r="AL900" s="218"/>
      <c r="AM900" s="218"/>
    </row>
    <row r="901">
      <c r="A901" s="33"/>
      <c r="B901" s="2"/>
      <c r="C901" s="2"/>
      <c r="D901" s="2"/>
      <c r="E901" s="2"/>
      <c r="F901" s="4"/>
      <c r="G901" s="2"/>
      <c r="H901" s="2"/>
      <c r="I901" s="2"/>
      <c r="J901" s="5"/>
      <c r="K901" s="2"/>
      <c r="L901" s="2"/>
      <c r="M901" s="2"/>
      <c r="N901" s="2"/>
      <c r="O901" s="2"/>
      <c r="P901" s="2"/>
      <c r="Q901" s="7"/>
      <c r="R901" s="224"/>
      <c r="S901" s="224"/>
      <c r="T901" s="224"/>
      <c r="U901" s="868"/>
      <c r="V901" s="865"/>
      <c r="W901" s="2"/>
      <c r="X901" s="2"/>
      <c r="Y901" s="2"/>
      <c r="Z901" s="2"/>
      <c r="AA901" s="2"/>
      <c r="AB901" s="2"/>
      <c r="AC901" s="2"/>
      <c r="AD901" s="2"/>
      <c r="AE901" s="2"/>
      <c r="AF901" s="2"/>
      <c r="AG901" s="2"/>
      <c r="AH901" s="2"/>
      <c r="AI901" s="2"/>
      <c r="AJ901" s="218"/>
      <c r="AK901" s="218"/>
      <c r="AL901" s="218"/>
      <c r="AM901" s="218"/>
    </row>
    <row r="902">
      <c r="A902" s="33"/>
      <c r="B902" s="2"/>
      <c r="C902" s="2"/>
      <c r="D902" s="2"/>
      <c r="E902" s="2"/>
      <c r="F902" s="4"/>
      <c r="G902" s="2"/>
      <c r="H902" s="2"/>
      <c r="I902" s="2"/>
      <c r="J902" s="5"/>
      <c r="K902" s="2"/>
      <c r="L902" s="2"/>
      <c r="M902" s="2"/>
      <c r="N902" s="2"/>
      <c r="O902" s="2"/>
      <c r="P902" s="2"/>
      <c r="Q902" s="7"/>
      <c r="R902" s="224"/>
      <c r="S902" s="224"/>
      <c r="T902" s="224"/>
      <c r="U902" s="868"/>
      <c r="V902" s="865"/>
      <c r="W902" s="2"/>
      <c r="X902" s="2"/>
      <c r="Y902" s="2"/>
      <c r="Z902" s="2"/>
      <c r="AA902" s="2"/>
      <c r="AB902" s="2"/>
      <c r="AC902" s="2"/>
      <c r="AD902" s="2"/>
      <c r="AE902" s="2"/>
      <c r="AF902" s="2"/>
      <c r="AG902" s="2"/>
      <c r="AH902" s="2"/>
      <c r="AI902" s="2"/>
      <c r="AJ902" s="218"/>
      <c r="AK902" s="218"/>
      <c r="AL902" s="218"/>
      <c r="AM902" s="218"/>
    </row>
    <row r="903">
      <c r="A903" s="33"/>
      <c r="B903" s="2"/>
      <c r="C903" s="2"/>
      <c r="D903" s="2"/>
      <c r="E903" s="2"/>
      <c r="F903" s="4"/>
      <c r="G903" s="2"/>
      <c r="H903" s="2"/>
      <c r="I903" s="2"/>
      <c r="J903" s="5"/>
      <c r="K903" s="2"/>
      <c r="L903" s="2"/>
      <c r="M903" s="2"/>
      <c r="N903" s="2"/>
      <c r="O903" s="2"/>
      <c r="P903" s="2"/>
      <c r="Q903" s="7"/>
      <c r="R903" s="224"/>
      <c r="S903" s="224"/>
      <c r="T903" s="224"/>
      <c r="U903" s="868"/>
      <c r="V903" s="865"/>
      <c r="W903" s="2"/>
      <c r="X903" s="2"/>
      <c r="Y903" s="2"/>
      <c r="Z903" s="2"/>
      <c r="AA903" s="2"/>
      <c r="AB903" s="2"/>
      <c r="AC903" s="2"/>
      <c r="AD903" s="2"/>
      <c r="AE903" s="2"/>
      <c r="AF903" s="2"/>
      <c r="AG903" s="2"/>
      <c r="AH903" s="2"/>
      <c r="AI903" s="2"/>
      <c r="AJ903" s="218"/>
      <c r="AK903" s="218"/>
      <c r="AL903" s="218"/>
      <c r="AM903" s="218"/>
    </row>
    <row r="904">
      <c r="A904" s="33"/>
      <c r="B904" s="2"/>
      <c r="C904" s="2"/>
      <c r="D904" s="2"/>
      <c r="E904" s="2"/>
      <c r="F904" s="4"/>
      <c r="G904" s="2"/>
      <c r="H904" s="2"/>
      <c r="I904" s="2"/>
      <c r="J904" s="5"/>
      <c r="K904" s="2"/>
      <c r="L904" s="2"/>
      <c r="M904" s="2"/>
      <c r="N904" s="2"/>
      <c r="O904" s="2"/>
      <c r="P904" s="2"/>
      <c r="Q904" s="7"/>
      <c r="R904" s="224"/>
      <c r="S904" s="224"/>
      <c r="T904" s="224"/>
      <c r="U904" s="868"/>
      <c r="V904" s="865"/>
      <c r="W904" s="2"/>
      <c r="X904" s="2"/>
      <c r="Y904" s="2"/>
      <c r="Z904" s="2"/>
      <c r="AA904" s="2"/>
      <c r="AB904" s="2"/>
      <c r="AC904" s="2"/>
      <c r="AD904" s="2"/>
      <c r="AE904" s="2"/>
      <c r="AF904" s="2"/>
      <c r="AG904" s="2"/>
      <c r="AH904" s="2"/>
      <c r="AI904" s="2"/>
      <c r="AJ904" s="218"/>
      <c r="AK904" s="218"/>
      <c r="AL904" s="218"/>
      <c r="AM904" s="218"/>
    </row>
    <row r="905">
      <c r="A905" s="33"/>
      <c r="B905" s="2"/>
      <c r="C905" s="2"/>
      <c r="D905" s="2"/>
      <c r="E905" s="2"/>
      <c r="F905" s="4"/>
      <c r="G905" s="2"/>
      <c r="H905" s="2"/>
      <c r="I905" s="2"/>
      <c r="J905" s="5"/>
      <c r="K905" s="2"/>
      <c r="L905" s="2"/>
      <c r="M905" s="2"/>
      <c r="N905" s="2"/>
      <c r="O905" s="2"/>
      <c r="P905" s="2"/>
      <c r="Q905" s="7"/>
      <c r="R905" s="224"/>
      <c r="S905" s="224"/>
      <c r="T905" s="224"/>
      <c r="U905" s="868"/>
      <c r="V905" s="865"/>
      <c r="W905" s="2"/>
      <c r="X905" s="2"/>
      <c r="Y905" s="2"/>
      <c r="Z905" s="2"/>
      <c r="AA905" s="2"/>
      <c r="AB905" s="2"/>
      <c r="AC905" s="2"/>
      <c r="AD905" s="2"/>
      <c r="AE905" s="2"/>
      <c r="AF905" s="2"/>
      <c r="AG905" s="2"/>
      <c r="AH905" s="2"/>
      <c r="AI905" s="2"/>
      <c r="AJ905" s="218"/>
      <c r="AK905" s="218"/>
      <c r="AL905" s="218"/>
      <c r="AM905" s="218"/>
    </row>
    <row r="906">
      <c r="A906" s="33"/>
      <c r="B906" s="2"/>
      <c r="C906" s="2"/>
      <c r="D906" s="2"/>
      <c r="E906" s="2"/>
      <c r="F906" s="4"/>
      <c r="G906" s="2"/>
      <c r="H906" s="2"/>
      <c r="I906" s="2"/>
      <c r="J906" s="5"/>
      <c r="K906" s="2"/>
      <c r="L906" s="2"/>
      <c r="M906" s="2"/>
      <c r="N906" s="2"/>
      <c r="O906" s="2"/>
      <c r="P906" s="2"/>
      <c r="Q906" s="7"/>
      <c r="R906" s="224"/>
      <c r="S906" s="224"/>
      <c r="T906" s="224"/>
      <c r="U906" s="868"/>
      <c r="V906" s="865"/>
      <c r="W906" s="2"/>
      <c r="X906" s="2"/>
      <c r="Y906" s="2"/>
      <c r="Z906" s="2"/>
      <c r="AA906" s="2"/>
      <c r="AB906" s="2"/>
      <c r="AC906" s="2"/>
      <c r="AD906" s="2"/>
      <c r="AE906" s="2"/>
      <c r="AF906" s="2"/>
      <c r="AG906" s="2"/>
      <c r="AH906" s="2"/>
      <c r="AI906" s="2"/>
      <c r="AJ906" s="218"/>
      <c r="AK906" s="218"/>
      <c r="AL906" s="218"/>
      <c r="AM906" s="218"/>
    </row>
    <row r="907">
      <c r="A907" s="33"/>
      <c r="B907" s="2"/>
      <c r="C907" s="2"/>
      <c r="D907" s="2"/>
      <c r="E907" s="2"/>
      <c r="F907" s="4"/>
      <c r="G907" s="2"/>
      <c r="H907" s="2"/>
      <c r="I907" s="2"/>
      <c r="J907" s="5"/>
      <c r="K907" s="2"/>
      <c r="L907" s="2"/>
      <c r="M907" s="2"/>
      <c r="N907" s="2"/>
      <c r="O907" s="2"/>
      <c r="P907" s="2"/>
      <c r="Q907" s="7"/>
      <c r="R907" s="224"/>
      <c r="S907" s="224"/>
      <c r="T907" s="224"/>
      <c r="U907" s="868"/>
      <c r="V907" s="865"/>
      <c r="W907" s="2"/>
      <c r="X907" s="2"/>
      <c r="Y907" s="2"/>
      <c r="Z907" s="2"/>
      <c r="AA907" s="2"/>
      <c r="AB907" s="2"/>
      <c r="AC907" s="2"/>
      <c r="AD907" s="2"/>
      <c r="AE907" s="2"/>
      <c r="AF907" s="2"/>
      <c r="AG907" s="2"/>
      <c r="AH907" s="2"/>
      <c r="AI907" s="2"/>
      <c r="AJ907" s="218"/>
      <c r="AK907" s="218"/>
      <c r="AL907" s="218"/>
      <c r="AM907" s="218"/>
    </row>
    <row r="908">
      <c r="A908" s="33"/>
      <c r="B908" s="2"/>
      <c r="C908" s="2"/>
      <c r="D908" s="2"/>
      <c r="E908" s="2"/>
      <c r="F908" s="4"/>
      <c r="G908" s="2"/>
      <c r="H908" s="2"/>
      <c r="I908" s="2"/>
      <c r="J908" s="5"/>
      <c r="K908" s="2"/>
      <c r="L908" s="2"/>
      <c r="M908" s="2"/>
      <c r="N908" s="2"/>
      <c r="O908" s="2"/>
      <c r="P908" s="2"/>
      <c r="Q908" s="7"/>
      <c r="R908" s="224"/>
      <c r="S908" s="224"/>
      <c r="T908" s="224"/>
      <c r="U908" s="868"/>
      <c r="V908" s="865"/>
      <c r="W908" s="2"/>
      <c r="X908" s="2"/>
      <c r="Y908" s="2"/>
      <c r="Z908" s="2"/>
      <c r="AA908" s="2"/>
      <c r="AB908" s="2"/>
      <c r="AC908" s="2"/>
      <c r="AD908" s="2"/>
      <c r="AE908" s="2"/>
      <c r="AF908" s="2"/>
      <c r="AG908" s="2"/>
      <c r="AH908" s="2"/>
      <c r="AI908" s="2"/>
      <c r="AJ908" s="218"/>
      <c r="AK908" s="218"/>
      <c r="AL908" s="218"/>
      <c r="AM908" s="218"/>
    </row>
    <row r="909">
      <c r="A909" s="33"/>
      <c r="B909" s="2"/>
      <c r="C909" s="2"/>
      <c r="D909" s="2"/>
      <c r="E909" s="2"/>
      <c r="F909" s="4"/>
      <c r="G909" s="2"/>
      <c r="H909" s="2"/>
      <c r="I909" s="2"/>
      <c r="J909" s="5"/>
      <c r="K909" s="2"/>
      <c r="L909" s="2"/>
      <c r="M909" s="2"/>
      <c r="N909" s="2"/>
      <c r="O909" s="2"/>
      <c r="P909" s="2"/>
      <c r="Q909" s="7"/>
      <c r="R909" s="224"/>
      <c r="S909" s="224"/>
      <c r="T909" s="224"/>
      <c r="U909" s="868"/>
      <c r="V909" s="865"/>
      <c r="W909" s="2"/>
      <c r="X909" s="2"/>
      <c r="Y909" s="2"/>
      <c r="Z909" s="2"/>
      <c r="AA909" s="2"/>
      <c r="AB909" s="2"/>
      <c r="AC909" s="2"/>
      <c r="AD909" s="2"/>
      <c r="AE909" s="2"/>
      <c r="AF909" s="2"/>
      <c r="AG909" s="2"/>
      <c r="AH909" s="2"/>
      <c r="AI909" s="2"/>
      <c r="AJ909" s="218"/>
      <c r="AK909" s="218"/>
      <c r="AL909" s="218"/>
      <c r="AM909" s="218"/>
    </row>
    <row r="910">
      <c r="A910" s="33"/>
      <c r="B910" s="2"/>
      <c r="C910" s="2"/>
      <c r="D910" s="2"/>
      <c r="E910" s="2"/>
      <c r="F910" s="4"/>
      <c r="G910" s="2"/>
      <c r="H910" s="2"/>
      <c r="I910" s="2"/>
      <c r="J910" s="5"/>
      <c r="K910" s="2"/>
      <c r="L910" s="2"/>
      <c r="M910" s="2"/>
      <c r="N910" s="2"/>
      <c r="O910" s="2"/>
      <c r="P910" s="2"/>
      <c r="Q910" s="7"/>
      <c r="R910" s="224"/>
      <c r="S910" s="224"/>
      <c r="T910" s="224"/>
      <c r="U910" s="868"/>
      <c r="V910" s="865"/>
      <c r="W910" s="2"/>
      <c r="X910" s="2"/>
      <c r="Y910" s="2"/>
      <c r="Z910" s="2"/>
      <c r="AA910" s="2"/>
      <c r="AB910" s="2"/>
      <c r="AC910" s="2"/>
      <c r="AD910" s="2"/>
      <c r="AE910" s="2"/>
      <c r="AF910" s="2"/>
      <c r="AG910" s="2"/>
      <c r="AH910" s="2"/>
      <c r="AI910" s="2"/>
      <c r="AJ910" s="218"/>
      <c r="AK910" s="218"/>
      <c r="AL910" s="218"/>
      <c r="AM910" s="218"/>
    </row>
    <row r="911">
      <c r="A911" s="33"/>
      <c r="B911" s="2"/>
      <c r="C911" s="2"/>
      <c r="D911" s="2"/>
      <c r="E911" s="2"/>
      <c r="F911" s="4"/>
      <c r="G911" s="2"/>
      <c r="H911" s="2"/>
      <c r="I911" s="2"/>
      <c r="J911" s="5"/>
      <c r="K911" s="2"/>
      <c r="L911" s="2"/>
      <c r="M911" s="2"/>
      <c r="N911" s="2"/>
      <c r="O911" s="2"/>
      <c r="P911" s="2"/>
      <c r="Q911" s="7"/>
      <c r="R911" s="224"/>
      <c r="S911" s="224"/>
      <c r="T911" s="224"/>
      <c r="U911" s="868"/>
      <c r="V911" s="865"/>
      <c r="W911" s="2"/>
      <c r="X911" s="2"/>
      <c r="Y911" s="2"/>
      <c r="Z911" s="2"/>
      <c r="AA911" s="2"/>
      <c r="AB911" s="2"/>
      <c r="AC911" s="2"/>
      <c r="AD911" s="2"/>
      <c r="AE911" s="2"/>
      <c r="AF911" s="2"/>
      <c r="AG911" s="2"/>
      <c r="AH911" s="2"/>
      <c r="AI911" s="2"/>
      <c r="AJ911" s="218"/>
      <c r="AK911" s="218"/>
      <c r="AL911" s="218"/>
      <c r="AM911" s="218"/>
    </row>
    <row r="912">
      <c r="A912" s="33"/>
      <c r="B912" s="2"/>
      <c r="C912" s="2"/>
      <c r="D912" s="2"/>
      <c r="E912" s="2"/>
      <c r="F912" s="4"/>
      <c r="G912" s="2"/>
      <c r="H912" s="2"/>
      <c r="I912" s="2"/>
      <c r="J912" s="5"/>
      <c r="K912" s="2"/>
      <c r="L912" s="2"/>
      <c r="M912" s="2"/>
      <c r="N912" s="2"/>
      <c r="O912" s="2"/>
      <c r="P912" s="2"/>
      <c r="Q912" s="7"/>
      <c r="R912" s="224"/>
      <c r="S912" s="224"/>
      <c r="T912" s="224"/>
      <c r="U912" s="868"/>
      <c r="V912" s="865"/>
      <c r="W912" s="2"/>
      <c r="X912" s="2"/>
      <c r="Y912" s="2"/>
      <c r="Z912" s="2"/>
      <c r="AA912" s="2"/>
      <c r="AB912" s="2"/>
      <c r="AC912" s="2"/>
      <c r="AD912" s="2"/>
      <c r="AE912" s="2"/>
      <c r="AF912" s="2"/>
      <c r="AG912" s="2"/>
      <c r="AH912" s="2"/>
      <c r="AI912" s="2"/>
      <c r="AJ912" s="218"/>
      <c r="AK912" s="218"/>
      <c r="AL912" s="218"/>
      <c r="AM912" s="218"/>
    </row>
    <row r="913">
      <c r="A913" s="33"/>
      <c r="B913" s="2"/>
      <c r="C913" s="2"/>
      <c r="D913" s="2"/>
      <c r="E913" s="2"/>
      <c r="F913" s="4"/>
      <c r="G913" s="2"/>
      <c r="H913" s="2"/>
      <c r="I913" s="2"/>
      <c r="J913" s="5"/>
      <c r="K913" s="2"/>
      <c r="L913" s="2"/>
      <c r="M913" s="2"/>
      <c r="N913" s="2"/>
      <c r="O913" s="2"/>
      <c r="P913" s="2"/>
      <c r="Q913" s="7"/>
      <c r="R913" s="224"/>
      <c r="S913" s="224"/>
      <c r="T913" s="224"/>
      <c r="U913" s="868"/>
      <c r="V913" s="865"/>
      <c r="W913" s="2"/>
      <c r="X913" s="2"/>
      <c r="Y913" s="2"/>
      <c r="Z913" s="2"/>
      <c r="AA913" s="2"/>
      <c r="AB913" s="2"/>
      <c r="AC913" s="2"/>
      <c r="AD913" s="2"/>
      <c r="AE913" s="2"/>
      <c r="AF913" s="2"/>
      <c r="AG913" s="2"/>
      <c r="AH913" s="2"/>
      <c r="AI913" s="2"/>
      <c r="AJ913" s="218"/>
      <c r="AK913" s="218"/>
      <c r="AL913" s="218"/>
      <c r="AM913" s="218"/>
    </row>
    <row r="914">
      <c r="A914" s="33"/>
      <c r="B914" s="2"/>
      <c r="C914" s="2"/>
      <c r="D914" s="2"/>
      <c r="E914" s="2"/>
      <c r="F914" s="4"/>
      <c r="G914" s="2"/>
      <c r="H914" s="2"/>
      <c r="I914" s="2"/>
      <c r="J914" s="5"/>
      <c r="K914" s="2"/>
      <c r="L914" s="2"/>
      <c r="M914" s="2"/>
      <c r="N914" s="2"/>
      <c r="O914" s="2"/>
      <c r="P914" s="2"/>
      <c r="Q914" s="7"/>
      <c r="R914" s="224"/>
      <c r="S914" s="224"/>
      <c r="T914" s="224"/>
      <c r="U914" s="868"/>
      <c r="V914" s="865"/>
      <c r="W914" s="2"/>
      <c r="X914" s="2"/>
      <c r="Y914" s="2"/>
      <c r="Z914" s="2"/>
      <c r="AA914" s="2"/>
      <c r="AB914" s="2"/>
      <c r="AC914" s="2"/>
      <c r="AD914" s="2"/>
      <c r="AE914" s="2"/>
      <c r="AF914" s="2"/>
      <c r="AG914" s="2"/>
      <c r="AH914" s="2"/>
      <c r="AI914" s="2"/>
      <c r="AJ914" s="218"/>
      <c r="AK914" s="218"/>
      <c r="AL914" s="218"/>
      <c r="AM914" s="218"/>
    </row>
    <row r="915">
      <c r="A915" s="33"/>
      <c r="B915" s="2"/>
      <c r="C915" s="2"/>
      <c r="D915" s="2"/>
      <c r="E915" s="2"/>
      <c r="F915" s="4"/>
      <c r="G915" s="2"/>
      <c r="H915" s="2"/>
      <c r="I915" s="2"/>
      <c r="J915" s="5"/>
      <c r="K915" s="2"/>
      <c r="L915" s="2"/>
      <c r="M915" s="2"/>
      <c r="N915" s="2"/>
      <c r="O915" s="2"/>
      <c r="P915" s="2"/>
      <c r="Q915" s="7"/>
      <c r="R915" s="224"/>
      <c r="S915" s="224"/>
      <c r="T915" s="224"/>
      <c r="U915" s="868"/>
      <c r="V915" s="865"/>
      <c r="W915" s="2"/>
      <c r="X915" s="2"/>
      <c r="Y915" s="2"/>
      <c r="Z915" s="2"/>
      <c r="AA915" s="2"/>
      <c r="AB915" s="2"/>
      <c r="AC915" s="2"/>
      <c r="AD915" s="2"/>
      <c r="AE915" s="2"/>
      <c r="AF915" s="2"/>
      <c r="AG915" s="2"/>
      <c r="AH915" s="2"/>
      <c r="AI915" s="2"/>
      <c r="AJ915" s="218"/>
      <c r="AK915" s="218"/>
      <c r="AL915" s="218"/>
      <c r="AM915" s="218"/>
    </row>
    <row r="916">
      <c r="A916" s="33"/>
      <c r="B916" s="2"/>
      <c r="C916" s="2"/>
      <c r="D916" s="2"/>
      <c r="E916" s="2"/>
      <c r="F916" s="4"/>
      <c r="G916" s="2"/>
      <c r="H916" s="2"/>
      <c r="I916" s="2"/>
      <c r="J916" s="5"/>
      <c r="K916" s="2"/>
      <c r="L916" s="2"/>
      <c r="M916" s="2"/>
      <c r="N916" s="2"/>
      <c r="O916" s="2"/>
      <c r="P916" s="2"/>
      <c r="Q916" s="7"/>
      <c r="R916" s="224"/>
      <c r="S916" s="224"/>
      <c r="T916" s="224"/>
      <c r="U916" s="868"/>
      <c r="V916" s="865"/>
      <c r="W916" s="2"/>
      <c r="X916" s="2"/>
      <c r="Y916" s="2"/>
      <c r="Z916" s="2"/>
      <c r="AA916" s="2"/>
      <c r="AB916" s="2"/>
      <c r="AC916" s="2"/>
      <c r="AD916" s="2"/>
      <c r="AE916" s="2"/>
      <c r="AF916" s="2"/>
      <c r="AG916" s="2"/>
      <c r="AH916" s="2"/>
      <c r="AI916" s="2"/>
      <c r="AJ916" s="218"/>
      <c r="AK916" s="218"/>
      <c r="AL916" s="218"/>
      <c r="AM916" s="218"/>
    </row>
    <row r="917">
      <c r="A917" s="33"/>
      <c r="B917" s="2"/>
      <c r="C917" s="2"/>
      <c r="D917" s="2"/>
      <c r="E917" s="2"/>
      <c r="F917" s="4"/>
      <c r="G917" s="2"/>
      <c r="H917" s="2"/>
      <c r="I917" s="2"/>
      <c r="J917" s="5"/>
      <c r="K917" s="2"/>
      <c r="L917" s="2"/>
      <c r="M917" s="2"/>
      <c r="N917" s="2"/>
      <c r="O917" s="2"/>
      <c r="P917" s="2"/>
      <c r="Q917" s="7"/>
      <c r="R917" s="224"/>
      <c r="S917" s="224"/>
      <c r="T917" s="224"/>
      <c r="U917" s="868"/>
      <c r="V917" s="865"/>
      <c r="W917" s="2"/>
      <c r="X917" s="2"/>
      <c r="Y917" s="2"/>
      <c r="Z917" s="2"/>
      <c r="AA917" s="2"/>
      <c r="AB917" s="2"/>
      <c r="AC917" s="2"/>
      <c r="AD917" s="2"/>
      <c r="AE917" s="2"/>
      <c r="AF917" s="2"/>
      <c r="AG917" s="2"/>
      <c r="AH917" s="2"/>
      <c r="AI917" s="2"/>
      <c r="AJ917" s="218"/>
      <c r="AK917" s="218"/>
      <c r="AL917" s="218"/>
      <c r="AM917" s="218"/>
    </row>
    <row r="918">
      <c r="A918" s="33"/>
      <c r="B918" s="2"/>
      <c r="C918" s="2"/>
      <c r="D918" s="2"/>
      <c r="E918" s="2"/>
      <c r="F918" s="4"/>
      <c r="G918" s="2"/>
      <c r="H918" s="2"/>
      <c r="I918" s="2"/>
      <c r="J918" s="5"/>
      <c r="K918" s="2"/>
      <c r="L918" s="2"/>
      <c r="M918" s="2"/>
      <c r="N918" s="2"/>
      <c r="O918" s="2"/>
      <c r="P918" s="2"/>
      <c r="Q918" s="7"/>
      <c r="R918" s="224"/>
      <c r="S918" s="224"/>
      <c r="T918" s="224"/>
      <c r="U918" s="868"/>
      <c r="V918" s="865"/>
      <c r="W918" s="2"/>
      <c r="X918" s="2"/>
      <c r="Y918" s="2"/>
      <c r="Z918" s="2"/>
      <c r="AA918" s="2"/>
      <c r="AB918" s="2"/>
      <c r="AC918" s="2"/>
      <c r="AD918" s="2"/>
      <c r="AE918" s="2"/>
      <c r="AF918" s="2"/>
      <c r="AG918" s="2"/>
      <c r="AH918" s="2"/>
      <c r="AI918" s="2"/>
      <c r="AJ918" s="218"/>
      <c r="AK918" s="218"/>
      <c r="AL918" s="218"/>
      <c r="AM918" s="218"/>
    </row>
    <row r="919">
      <c r="A919" s="33"/>
      <c r="B919" s="2"/>
      <c r="C919" s="2"/>
      <c r="D919" s="2"/>
      <c r="E919" s="2"/>
      <c r="F919" s="4"/>
      <c r="G919" s="2"/>
      <c r="H919" s="2"/>
      <c r="I919" s="2"/>
      <c r="J919" s="5"/>
      <c r="K919" s="2"/>
      <c r="L919" s="2"/>
      <c r="M919" s="2"/>
      <c r="N919" s="2"/>
      <c r="O919" s="2"/>
      <c r="P919" s="2"/>
      <c r="Q919" s="7"/>
      <c r="R919" s="224"/>
      <c r="S919" s="224"/>
      <c r="T919" s="224"/>
      <c r="U919" s="868"/>
      <c r="V919" s="865"/>
      <c r="W919" s="2"/>
      <c r="X919" s="2"/>
      <c r="Y919" s="2"/>
      <c r="Z919" s="2"/>
      <c r="AA919" s="2"/>
      <c r="AB919" s="2"/>
      <c r="AC919" s="2"/>
      <c r="AD919" s="2"/>
      <c r="AE919" s="2"/>
      <c r="AF919" s="2"/>
      <c r="AG919" s="2"/>
      <c r="AH919" s="2"/>
      <c r="AI919" s="2"/>
      <c r="AJ919" s="218"/>
      <c r="AK919" s="218"/>
      <c r="AL919" s="218"/>
      <c r="AM919" s="218"/>
    </row>
    <row r="920">
      <c r="A920" s="33"/>
      <c r="B920" s="2"/>
      <c r="C920" s="2"/>
      <c r="D920" s="2"/>
      <c r="E920" s="2"/>
      <c r="F920" s="4"/>
      <c r="G920" s="2"/>
      <c r="H920" s="2"/>
      <c r="I920" s="2"/>
      <c r="J920" s="5"/>
      <c r="K920" s="2"/>
      <c r="L920" s="2"/>
      <c r="M920" s="2"/>
      <c r="N920" s="2"/>
      <c r="O920" s="2"/>
      <c r="P920" s="2"/>
      <c r="Q920" s="7"/>
      <c r="R920" s="224"/>
      <c r="S920" s="224"/>
      <c r="T920" s="224"/>
      <c r="U920" s="868"/>
      <c r="V920" s="865"/>
      <c r="W920" s="2"/>
      <c r="X920" s="2"/>
      <c r="Y920" s="2"/>
      <c r="Z920" s="2"/>
      <c r="AA920" s="2"/>
      <c r="AB920" s="2"/>
      <c r="AC920" s="2"/>
      <c r="AD920" s="2"/>
      <c r="AE920" s="2"/>
      <c r="AF920" s="2"/>
      <c r="AG920" s="2"/>
      <c r="AH920" s="2"/>
      <c r="AI920" s="2"/>
      <c r="AJ920" s="218"/>
      <c r="AK920" s="218"/>
      <c r="AL920" s="218"/>
      <c r="AM920" s="218"/>
    </row>
    <row r="921">
      <c r="A921" s="33"/>
      <c r="B921" s="2"/>
      <c r="C921" s="2"/>
      <c r="D921" s="2"/>
      <c r="E921" s="2"/>
      <c r="F921" s="4"/>
      <c r="G921" s="2"/>
      <c r="H921" s="2"/>
      <c r="I921" s="2"/>
      <c r="J921" s="5"/>
      <c r="K921" s="2"/>
      <c r="L921" s="2"/>
      <c r="M921" s="2"/>
      <c r="N921" s="2"/>
      <c r="O921" s="2"/>
      <c r="P921" s="2"/>
      <c r="Q921" s="7"/>
      <c r="R921" s="224"/>
      <c r="S921" s="224"/>
      <c r="T921" s="224"/>
      <c r="U921" s="868"/>
      <c r="V921" s="865"/>
      <c r="W921" s="2"/>
      <c r="X921" s="2"/>
      <c r="Y921" s="2"/>
      <c r="Z921" s="2"/>
      <c r="AA921" s="2"/>
      <c r="AB921" s="2"/>
      <c r="AC921" s="2"/>
      <c r="AD921" s="2"/>
      <c r="AE921" s="2"/>
      <c r="AF921" s="2"/>
      <c r="AG921" s="2"/>
      <c r="AH921" s="2"/>
      <c r="AI921" s="2"/>
      <c r="AJ921" s="218"/>
      <c r="AK921" s="218"/>
      <c r="AL921" s="218"/>
      <c r="AM921" s="218"/>
    </row>
    <row r="922">
      <c r="A922" s="33"/>
      <c r="B922" s="2"/>
      <c r="C922" s="2"/>
      <c r="D922" s="2"/>
      <c r="E922" s="2"/>
      <c r="F922" s="4"/>
      <c r="G922" s="2"/>
      <c r="H922" s="2"/>
      <c r="I922" s="2"/>
      <c r="J922" s="5"/>
      <c r="K922" s="2"/>
      <c r="L922" s="2"/>
      <c r="M922" s="2"/>
      <c r="N922" s="2"/>
      <c r="O922" s="2"/>
      <c r="P922" s="2"/>
      <c r="Q922" s="7"/>
      <c r="R922" s="224"/>
      <c r="S922" s="224"/>
      <c r="T922" s="224"/>
      <c r="U922" s="868"/>
      <c r="V922" s="865"/>
      <c r="W922" s="2"/>
      <c r="X922" s="2"/>
      <c r="Y922" s="2"/>
      <c r="Z922" s="2"/>
      <c r="AA922" s="2"/>
      <c r="AB922" s="2"/>
      <c r="AC922" s="2"/>
      <c r="AD922" s="2"/>
      <c r="AE922" s="2"/>
      <c r="AF922" s="2"/>
      <c r="AG922" s="2"/>
      <c r="AH922" s="2"/>
      <c r="AI922" s="2"/>
      <c r="AJ922" s="218"/>
      <c r="AK922" s="218"/>
      <c r="AL922" s="218"/>
      <c r="AM922" s="218"/>
    </row>
    <row r="923">
      <c r="A923" s="33"/>
      <c r="B923" s="2"/>
      <c r="C923" s="2"/>
      <c r="D923" s="2"/>
      <c r="E923" s="2"/>
      <c r="F923" s="4"/>
      <c r="G923" s="2"/>
      <c r="H923" s="2"/>
      <c r="I923" s="2"/>
      <c r="J923" s="5"/>
      <c r="K923" s="2"/>
      <c r="L923" s="2"/>
      <c r="M923" s="2"/>
      <c r="N923" s="2"/>
      <c r="O923" s="2"/>
      <c r="P923" s="2"/>
      <c r="Q923" s="7"/>
      <c r="R923" s="224"/>
      <c r="S923" s="224"/>
      <c r="T923" s="224"/>
      <c r="U923" s="868"/>
      <c r="V923" s="865"/>
      <c r="W923" s="2"/>
      <c r="X923" s="2"/>
      <c r="Y923" s="2"/>
      <c r="Z923" s="2"/>
      <c r="AA923" s="2"/>
      <c r="AB923" s="2"/>
      <c r="AC923" s="2"/>
      <c r="AD923" s="2"/>
      <c r="AE923" s="2"/>
      <c r="AF923" s="2"/>
      <c r="AG923" s="2"/>
      <c r="AH923" s="2"/>
      <c r="AI923" s="2"/>
      <c r="AJ923" s="218"/>
      <c r="AK923" s="218"/>
      <c r="AL923" s="218"/>
      <c r="AM923" s="218"/>
    </row>
    <row r="924">
      <c r="A924" s="33"/>
      <c r="B924" s="2"/>
      <c r="C924" s="2"/>
      <c r="D924" s="2"/>
      <c r="E924" s="2"/>
      <c r="F924" s="4"/>
      <c r="G924" s="2"/>
      <c r="H924" s="2"/>
      <c r="I924" s="2"/>
      <c r="J924" s="5"/>
      <c r="K924" s="2"/>
      <c r="L924" s="2"/>
      <c r="M924" s="2"/>
      <c r="N924" s="2"/>
      <c r="O924" s="2"/>
      <c r="P924" s="2"/>
      <c r="Q924" s="7"/>
      <c r="R924" s="224"/>
      <c r="S924" s="224"/>
      <c r="T924" s="224"/>
      <c r="U924" s="868"/>
      <c r="V924" s="865"/>
      <c r="W924" s="2"/>
      <c r="X924" s="2"/>
      <c r="Y924" s="2"/>
      <c r="Z924" s="2"/>
      <c r="AA924" s="2"/>
      <c r="AB924" s="2"/>
      <c r="AC924" s="2"/>
      <c r="AD924" s="2"/>
      <c r="AE924" s="2"/>
      <c r="AF924" s="2"/>
      <c r="AG924" s="2"/>
      <c r="AH924" s="2"/>
      <c r="AI924" s="2"/>
      <c r="AJ924" s="218"/>
      <c r="AK924" s="218"/>
      <c r="AL924" s="218"/>
      <c r="AM924" s="218"/>
    </row>
    <row r="925">
      <c r="A925" s="33"/>
      <c r="B925" s="2"/>
      <c r="C925" s="2"/>
      <c r="D925" s="2"/>
      <c r="E925" s="2"/>
      <c r="F925" s="4"/>
      <c r="G925" s="2"/>
      <c r="H925" s="2"/>
      <c r="I925" s="2"/>
      <c r="J925" s="5"/>
      <c r="K925" s="2"/>
      <c r="L925" s="2"/>
      <c r="M925" s="2"/>
      <c r="N925" s="2"/>
      <c r="O925" s="2"/>
      <c r="P925" s="2"/>
      <c r="Q925" s="7"/>
      <c r="R925" s="224"/>
      <c r="S925" s="224"/>
      <c r="T925" s="224"/>
      <c r="U925" s="868"/>
      <c r="V925" s="865"/>
      <c r="W925" s="2"/>
      <c r="X925" s="2"/>
      <c r="Y925" s="2"/>
      <c r="Z925" s="2"/>
      <c r="AA925" s="2"/>
      <c r="AB925" s="2"/>
      <c r="AC925" s="2"/>
      <c r="AD925" s="2"/>
      <c r="AE925" s="2"/>
      <c r="AF925" s="2"/>
      <c r="AG925" s="2"/>
      <c r="AH925" s="2"/>
      <c r="AI925" s="2"/>
      <c r="AJ925" s="218"/>
      <c r="AK925" s="218"/>
      <c r="AL925" s="218"/>
      <c r="AM925" s="218"/>
    </row>
    <row r="926">
      <c r="A926" s="33"/>
      <c r="B926" s="2"/>
      <c r="C926" s="2"/>
      <c r="D926" s="2"/>
      <c r="E926" s="2"/>
      <c r="F926" s="4"/>
      <c r="G926" s="2"/>
      <c r="H926" s="2"/>
      <c r="I926" s="2"/>
      <c r="J926" s="5"/>
      <c r="K926" s="2"/>
      <c r="L926" s="2"/>
      <c r="M926" s="2"/>
      <c r="N926" s="2"/>
      <c r="O926" s="2"/>
      <c r="P926" s="2"/>
      <c r="Q926" s="7"/>
      <c r="R926" s="224"/>
      <c r="S926" s="224"/>
      <c r="T926" s="224"/>
      <c r="U926" s="868"/>
      <c r="V926" s="865"/>
      <c r="W926" s="2"/>
      <c r="X926" s="2"/>
      <c r="Y926" s="2"/>
      <c r="Z926" s="2"/>
      <c r="AA926" s="2"/>
      <c r="AB926" s="2"/>
      <c r="AC926" s="2"/>
      <c r="AD926" s="2"/>
      <c r="AE926" s="2"/>
      <c r="AF926" s="2"/>
      <c r="AG926" s="2"/>
      <c r="AH926" s="2"/>
      <c r="AI926" s="2"/>
      <c r="AJ926" s="218"/>
      <c r="AK926" s="218"/>
      <c r="AL926" s="218"/>
      <c r="AM926" s="218"/>
    </row>
    <row r="927">
      <c r="A927" s="33"/>
      <c r="B927" s="2"/>
      <c r="C927" s="2"/>
      <c r="D927" s="2"/>
      <c r="E927" s="2"/>
      <c r="F927" s="4"/>
      <c r="G927" s="2"/>
      <c r="H927" s="2"/>
      <c r="I927" s="2"/>
      <c r="J927" s="5"/>
      <c r="K927" s="2"/>
      <c r="L927" s="2"/>
      <c r="M927" s="2"/>
      <c r="N927" s="2"/>
      <c r="O927" s="2"/>
      <c r="P927" s="2"/>
      <c r="Q927" s="7"/>
      <c r="R927" s="224"/>
      <c r="S927" s="224"/>
      <c r="T927" s="224"/>
      <c r="U927" s="868"/>
      <c r="V927" s="865"/>
      <c r="W927" s="2"/>
      <c r="X927" s="2"/>
      <c r="Y927" s="2"/>
      <c r="Z927" s="2"/>
      <c r="AA927" s="2"/>
      <c r="AB927" s="2"/>
      <c r="AC927" s="2"/>
      <c r="AD927" s="2"/>
      <c r="AE927" s="2"/>
      <c r="AF927" s="2"/>
      <c r="AG927" s="2"/>
      <c r="AH927" s="2"/>
      <c r="AI927" s="2"/>
      <c r="AJ927" s="218"/>
      <c r="AK927" s="218"/>
      <c r="AL927" s="218"/>
      <c r="AM927" s="218"/>
    </row>
    <row r="928">
      <c r="A928" s="33"/>
      <c r="B928" s="2"/>
      <c r="C928" s="2"/>
      <c r="D928" s="2"/>
      <c r="E928" s="2"/>
      <c r="F928" s="4"/>
      <c r="G928" s="2"/>
      <c r="H928" s="2"/>
      <c r="I928" s="2"/>
      <c r="J928" s="5"/>
      <c r="K928" s="2"/>
      <c r="L928" s="2"/>
      <c r="M928" s="2"/>
      <c r="N928" s="2"/>
      <c r="O928" s="2"/>
      <c r="P928" s="2"/>
      <c r="Q928" s="7"/>
      <c r="R928" s="224"/>
      <c r="S928" s="224"/>
      <c r="T928" s="224"/>
      <c r="U928" s="868"/>
      <c r="V928" s="865"/>
      <c r="W928" s="2"/>
      <c r="X928" s="2"/>
      <c r="Y928" s="2"/>
      <c r="Z928" s="2"/>
      <c r="AA928" s="2"/>
      <c r="AB928" s="2"/>
      <c r="AC928" s="2"/>
      <c r="AD928" s="2"/>
      <c r="AE928" s="2"/>
      <c r="AF928" s="2"/>
      <c r="AG928" s="2"/>
      <c r="AH928" s="2"/>
      <c r="AI928" s="2"/>
      <c r="AJ928" s="218"/>
      <c r="AK928" s="218"/>
      <c r="AL928" s="218"/>
      <c r="AM928" s="218"/>
    </row>
    <row r="929">
      <c r="A929" s="33"/>
      <c r="B929" s="2"/>
      <c r="C929" s="2"/>
      <c r="D929" s="2"/>
      <c r="E929" s="2"/>
      <c r="F929" s="4"/>
      <c r="G929" s="2"/>
      <c r="H929" s="2"/>
      <c r="I929" s="2"/>
      <c r="J929" s="5"/>
      <c r="K929" s="2"/>
      <c r="L929" s="2"/>
      <c r="M929" s="2"/>
      <c r="N929" s="2"/>
      <c r="O929" s="2"/>
      <c r="P929" s="2"/>
      <c r="Q929" s="7"/>
      <c r="R929" s="224"/>
      <c r="S929" s="224"/>
      <c r="T929" s="224"/>
      <c r="U929" s="868"/>
      <c r="V929" s="865"/>
      <c r="W929" s="2"/>
      <c r="X929" s="2"/>
      <c r="Y929" s="2"/>
      <c r="Z929" s="2"/>
      <c r="AA929" s="2"/>
      <c r="AB929" s="2"/>
      <c r="AC929" s="2"/>
      <c r="AD929" s="2"/>
      <c r="AE929" s="2"/>
      <c r="AF929" s="2"/>
      <c r="AG929" s="2"/>
      <c r="AH929" s="2"/>
      <c r="AI929" s="2"/>
      <c r="AJ929" s="218"/>
      <c r="AK929" s="218"/>
      <c r="AL929" s="218"/>
      <c r="AM929" s="218"/>
    </row>
    <row r="930">
      <c r="A930" s="33"/>
      <c r="B930" s="2"/>
      <c r="C930" s="2"/>
      <c r="D930" s="2"/>
      <c r="E930" s="2"/>
      <c r="F930" s="4"/>
      <c r="G930" s="2"/>
      <c r="H930" s="2"/>
      <c r="I930" s="2"/>
      <c r="J930" s="5"/>
      <c r="K930" s="2"/>
      <c r="L930" s="2"/>
      <c r="M930" s="2"/>
      <c r="N930" s="2"/>
      <c r="O930" s="2"/>
      <c r="P930" s="2"/>
      <c r="Q930" s="7"/>
      <c r="R930" s="224"/>
      <c r="S930" s="224"/>
      <c r="T930" s="224"/>
      <c r="U930" s="868"/>
      <c r="V930" s="865"/>
      <c r="W930" s="2"/>
      <c r="X930" s="2"/>
      <c r="Y930" s="2"/>
      <c r="Z930" s="2"/>
      <c r="AA930" s="2"/>
      <c r="AB930" s="2"/>
      <c r="AC930" s="2"/>
      <c r="AD930" s="2"/>
      <c r="AE930" s="2"/>
      <c r="AF930" s="2"/>
      <c r="AG930" s="2"/>
      <c r="AH930" s="2"/>
      <c r="AI930" s="2"/>
      <c r="AJ930" s="218"/>
      <c r="AK930" s="218"/>
      <c r="AL930" s="218"/>
      <c r="AM930" s="218"/>
    </row>
    <row r="931">
      <c r="A931" s="33"/>
      <c r="B931" s="2"/>
      <c r="C931" s="2"/>
      <c r="D931" s="2"/>
      <c r="E931" s="2"/>
      <c r="F931" s="4"/>
      <c r="G931" s="2"/>
      <c r="H931" s="2"/>
      <c r="I931" s="2"/>
      <c r="J931" s="5"/>
      <c r="K931" s="2"/>
      <c r="L931" s="2"/>
      <c r="M931" s="2"/>
      <c r="N931" s="2"/>
      <c r="O931" s="2"/>
      <c r="P931" s="2"/>
      <c r="Q931" s="7"/>
      <c r="R931" s="224"/>
      <c r="S931" s="224"/>
      <c r="T931" s="224"/>
      <c r="U931" s="868"/>
      <c r="V931" s="865"/>
      <c r="W931" s="2"/>
      <c r="X931" s="2"/>
      <c r="Y931" s="2"/>
      <c r="Z931" s="2"/>
      <c r="AA931" s="2"/>
      <c r="AB931" s="2"/>
      <c r="AC931" s="2"/>
      <c r="AD931" s="2"/>
      <c r="AE931" s="2"/>
      <c r="AF931" s="2"/>
      <c r="AG931" s="2"/>
      <c r="AH931" s="2"/>
      <c r="AI931" s="2"/>
      <c r="AJ931" s="218"/>
      <c r="AK931" s="218"/>
      <c r="AL931" s="218"/>
      <c r="AM931" s="218"/>
    </row>
    <row r="932">
      <c r="A932" s="33"/>
      <c r="B932" s="2"/>
      <c r="C932" s="2"/>
      <c r="D932" s="2"/>
      <c r="E932" s="2"/>
      <c r="F932" s="4"/>
      <c r="G932" s="2"/>
      <c r="H932" s="2"/>
      <c r="I932" s="2"/>
      <c r="J932" s="5"/>
      <c r="K932" s="2"/>
      <c r="L932" s="2"/>
      <c r="M932" s="2"/>
      <c r="N932" s="2"/>
      <c r="O932" s="2"/>
      <c r="P932" s="2"/>
      <c r="Q932" s="7"/>
      <c r="R932" s="224"/>
      <c r="S932" s="224"/>
      <c r="T932" s="224"/>
      <c r="U932" s="868"/>
      <c r="V932" s="865"/>
      <c r="W932" s="2"/>
      <c r="X932" s="2"/>
      <c r="Y932" s="2"/>
      <c r="Z932" s="2"/>
      <c r="AA932" s="2"/>
      <c r="AB932" s="2"/>
      <c r="AC932" s="2"/>
      <c r="AD932" s="2"/>
      <c r="AE932" s="2"/>
      <c r="AF932" s="2"/>
      <c r="AG932" s="2"/>
      <c r="AH932" s="2"/>
      <c r="AI932" s="2"/>
      <c r="AJ932" s="218"/>
      <c r="AK932" s="218"/>
      <c r="AL932" s="218"/>
      <c r="AM932" s="218"/>
    </row>
    <row r="933">
      <c r="A933" s="33"/>
      <c r="B933" s="2"/>
      <c r="C933" s="2"/>
      <c r="D933" s="2"/>
      <c r="E933" s="2"/>
      <c r="F933" s="4"/>
      <c r="G933" s="2"/>
      <c r="H933" s="2"/>
      <c r="I933" s="2"/>
      <c r="J933" s="5"/>
      <c r="K933" s="2"/>
      <c r="L933" s="2"/>
      <c r="M933" s="2"/>
      <c r="N933" s="2"/>
      <c r="O933" s="2"/>
      <c r="P933" s="2"/>
      <c r="Q933" s="7"/>
      <c r="R933" s="224"/>
      <c r="S933" s="224"/>
      <c r="T933" s="224"/>
      <c r="U933" s="868"/>
      <c r="V933" s="865"/>
      <c r="W933" s="2"/>
      <c r="X933" s="2"/>
      <c r="Y933" s="2"/>
      <c r="Z933" s="2"/>
      <c r="AA933" s="2"/>
      <c r="AB933" s="2"/>
      <c r="AC933" s="2"/>
      <c r="AD933" s="2"/>
      <c r="AE933" s="2"/>
      <c r="AF933" s="2"/>
      <c r="AG933" s="2"/>
      <c r="AH933" s="2"/>
      <c r="AI933" s="2"/>
      <c r="AJ933" s="218"/>
      <c r="AK933" s="218"/>
      <c r="AL933" s="218"/>
      <c r="AM933" s="218"/>
    </row>
    <row r="934">
      <c r="A934" s="33"/>
      <c r="B934" s="2"/>
      <c r="C934" s="2"/>
      <c r="D934" s="2"/>
      <c r="E934" s="2"/>
      <c r="F934" s="4"/>
      <c r="G934" s="2"/>
      <c r="H934" s="2"/>
      <c r="I934" s="2"/>
      <c r="J934" s="5"/>
      <c r="K934" s="2"/>
      <c r="L934" s="2"/>
      <c r="M934" s="2"/>
      <c r="N934" s="2"/>
      <c r="O934" s="2"/>
      <c r="P934" s="2"/>
      <c r="Q934" s="7"/>
      <c r="R934" s="224"/>
      <c r="S934" s="224"/>
      <c r="T934" s="224"/>
      <c r="U934" s="868"/>
      <c r="V934" s="865"/>
      <c r="W934" s="2"/>
      <c r="X934" s="2"/>
      <c r="Y934" s="2"/>
      <c r="Z934" s="2"/>
      <c r="AA934" s="2"/>
      <c r="AB934" s="2"/>
      <c r="AC934" s="2"/>
      <c r="AD934" s="2"/>
      <c r="AE934" s="2"/>
      <c r="AF934" s="2"/>
      <c r="AG934" s="2"/>
      <c r="AH934" s="2"/>
      <c r="AI934" s="2"/>
      <c r="AJ934" s="218"/>
      <c r="AK934" s="218"/>
      <c r="AL934" s="218"/>
      <c r="AM934" s="218"/>
    </row>
    <row r="935">
      <c r="A935" s="33"/>
      <c r="B935" s="2"/>
      <c r="C935" s="2"/>
      <c r="D935" s="2"/>
      <c r="E935" s="2"/>
      <c r="F935" s="4"/>
      <c r="G935" s="2"/>
      <c r="H935" s="2"/>
      <c r="I935" s="2"/>
      <c r="J935" s="5"/>
      <c r="K935" s="2"/>
      <c r="L935" s="2"/>
      <c r="M935" s="2"/>
      <c r="N935" s="2"/>
      <c r="O935" s="2"/>
      <c r="P935" s="2"/>
      <c r="Q935" s="7"/>
      <c r="R935" s="224"/>
      <c r="S935" s="224"/>
      <c r="T935" s="224"/>
      <c r="U935" s="868"/>
      <c r="V935" s="865"/>
      <c r="W935" s="2"/>
      <c r="X935" s="2"/>
      <c r="Y935" s="2"/>
      <c r="Z935" s="2"/>
      <c r="AA935" s="2"/>
      <c r="AB935" s="2"/>
      <c r="AC935" s="2"/>
      <c r="AD935" s="2"/>
      <c r="AE935" s="2"/>
      <c r="AF935" s="2"/>
      <c r="AG935" s="2"/>
      <c r="AH935" s="2"/>
      <c r="AI935" s="2"/>
      <c r="AJ935" s="218"/>
      <c r="AK935" s="218"/>
      <c r="AL935" s="218"/>
      <c r="AM935" s="218"/>
    </row>
    <row r="936">
      <c r="A936" s="33"/>
      <c r="B936" s="2"/>
      <c r="C936" s="2"/>
      <c r="D936" s="2"/>
      <c r="E936" s="2"/>
      <c r="F936" s="4"/>
      <c r="G936" s="2"/>
      <c r="H936" s="2"/>
      <c r="I936" s="2"/>
      <c r="J936" s="5"/>
      <c r="K936" s="2"/>
      <c r="L936" s="2"/>
      <c r="M936" s="2"/>
      <c r="N936" s="2"/>
      <c r="O936" s="2"/>
      <c r="P936" s="2"/>
      <c r="Q936" s="7"/>
      <c r="R936" s="224"/>
      <c r="S936" s="224"/>
      <c r="T936" s="224"/>
      <c r="U936" s="868"/>
      <c r="V936" s="865"/>
      <c r="W936" s="2"/>
      <c r="X936" s="2"/>
      <c r="Y936" s="2"/>
      <c r="Z936" s="2"/>
      <c r="AA936" s="2"/>
      <c r="AB936" s="2"/>
      <c r="AC936" s="2"/>
      <c r="AD936" s="2"/>
      <c r="AE936" s="2"/>
      <c r="AF936" s="2"/>
      <c r="AG936" s="2"/>
      <c r="AH936" s="2"/>
      <c r="AI936" s="2"/>
      <c r="AJ936" s="218"/>
      <c r="AK936" s="218"/>
      <c r="AL936" s="218"/>
      <c r="AM936" s="218"/>
    </row>
    <row r="937">
      <c r="A937" s="33"/>
      <c r="B937" s="2"/>
      <c r="C937" s="2"/>
      <c r="D937" s="2"/>
      <c r="E937" s="2"/>
      <c r="F937" s="4"/>
      <c r="G937" s="2"/>
      <c r="H937" s="2"/>
      <c r="I937" s="2"/>
      <c r="J937" s="5"/>
      <c r="K937" s="2"/>
      <c r="L937" s="2"/>
      <c r="M937" s="2"/>
      <c r="N937" s="2"/>
      <c r="O937" s="2"/>
      <c r="P937" s="2"/>
      <c r="Q937" s="7"/>
      <c r="R937" s="224"/>
      <c r="S937" s="224"/>
      <c r="T937" s="224"/>
      <c r="U937" s="868"/>
      <c r="V937" s="865"/>
      <c r="W937" s="2"/>
      <c r="X937" s="2"/>
      <c r="Y937" s="2"/>
      <c r="Z937" s="2"/>
      <c r="AA937" s="2"/>
      <c r="AB937" s="2"/>
      <c r="AC937" s="2"/>
      <c r="AD937" s="2"/>
      <c r="AE937" s="2"/>
      <c r="AF937" s="2"/>
      <c r="AG937" s="2"/>
      <c r="AH937" s="2"/>
      <c r="AI937" s="2"/>
      <c r="AJ937" s="218"/>
      <c r="AK937" s="218"/>
      <c r="AL937" s="218"/>
      <c r="AM937" s="218"/>
    </row>
    <row r="938">
      <c r="A938" s="33"/>
      <c r="B938" s="2"/>
      <c r="C938" s="2"/>
      <c r="D938" s="2"/>
      <c r="E938" s="2"/>
      <c r="F938" s="4"/>
      <c r="G938" s="2"/>
      <c r="H938" s="2"/>
      <c r="I938" s="2"/>
      <c r="J938" s="5"/>
      <c r="K938" s="2"/>
      <c r="L938" s="2"/>
      <c r="M938" s="2"/>
      <c r="N938" s="2"/>
      <c r="O938" s="2"/>
      <c r="P938" s="2"/>
      <c r="Q938" s="7"/>
      <c r="R938" s="224"/>
      <c r="S938" s="224"/>
      <c r="T938" s="224"/>
      <c r="U938" s="868"/>
      <c r="V938" s="865"/>
      <c r="W938" s="2"/>
      <c r="X938" s="2"/>
      <c r="Y938" s="2"/>
      <c r="Z938" s="2"/>
      <c r="AA938" s="2"/>
      <c r="AB938" s="2"/>
      <c r="AC938" s="2"/>
      <c r="AD938" s="2"/>
      <c r="AE938" s="2"/>
      <c r="AF938" s="2"/>
      <c r="AG938" s="2"/>
      <c r="AH938" s="2"/>
      <c r="AI938" s="2"/>
      <c r="AJ938" s="218"/>
      <c r="AK938" s="218"/>
      <c r="AL938" s="218"/>
      <c r="AM938" s="218"/>
    </row>
    <row r="939">
      <c r="A939" s="33"/>
      <c r="B939" s="2"/>
      <c r="C939" s="2"/>
      <c r="D939" s="2"/>
      <c r="E939" s="2"/>
      <c r="F939" s="4"/>
      <c r="G939" s="2"/>
      <c r="H939" s="2"/>
      <c r="I939" s="2"/>
      <c r="J939" s="5"/>
      <c r="K939" s="2"/>
      <c r="L939" s="2"/>
      <c r="M939" s="2"/>
      <c r="N939" s="2"/>
      <c r="O939" s="2"/>
      <c r="P939" s="2"/>
      <c r="Q939" s="7"/>
      <c r="R939" s="224"/>
      <c r="S939" s="224"/>
      <c r="T939" s="224"/>
      <c r="U939" s="868"/>
      <c r="V939" s="865"/>
      <c r="W939" s="2"/>
      <c r="X939" s="2"/>
      <c r="Y939" s="2"/>
      <c r="Z939" s="2"/>
      <c r="AA939" s="2"/>
      <c r="AB939" s="2"/>
      <c r="AC939" s="2"/>
      <c r="AD939" s="2"/>
      <c r="AE939" s="2"/>
      <c r="AF939" s="2"/>
      <c r="AG939" s="2"/>
      <c r="AH939" s="2"/>
      <c r="AI939" s="2"/>
      <c r="AJ939" s="218"/>
      <c r="AK939" s="218"/>
      <c r="AL939" s="218"/>
      <c r="AM939" s="218"/>
    </row>
    <row r="940">
      <c r="A940" s="33"/>
      <c r="B940" s="2"/>
      <c r="C940" s="2"/>
      <c r="D940" s="2"/>
      <c r="E940" s="2"/>
      <c r="F940" s="4"/>
      <c r="G940" s="2"/>
      <c r="H940" s="2"/>
      <c r="I940" s="2"/>
      <c r="J940" s="5"/>
      <c r="K940" s="2"/>
      <c r="L940" s="2"/>
      <c r="M940" s="2"/>
      <c r="N940" s="2"/>
      <c r="O940" s="2"/>
      <c r="P940" s="2"/>
      <c r="Q940" s="7"/>
      <c r="R940" s="224"/>
      <c r="S940" s="224"/>
      <c r="T940" s="224"/>
      <c r="U940" s="868"/>
      <c r="V940" s="865"/>
      <c r="W940" s="2"/>
      <c r="X940" s="2"/>
      <c r="Y940" s="2"/>
      <c r="Z940" s="2"/>
      <c r="AA940" s="2"/>
      <c r="AB940" s="2"/>
      <c r="AC940" s="2"/>
      <c r="AD940" s="2"/>
      <c r="AE940" s="2"/>
      <c r="AF940" s="2"/>
      <c r="AG940" s="2"/>
      <c r="AH940" s="2"/>
      <c r="AI940" s="2"/>
      <c r="AJ940" s="218"/>
      <c r="AK940" s="218"/>
      <c r="AL940" s="218"/>
      <c r="AM940" s="218"/>
    </row>
    <row r="941">
      <c r="A941" s="33"/>
      <c r="B941" s="2"/>
      <c r="C941" s="2"/>
      <c r="D941" s="2"/>
      <c r="E941" s="2"/>
      <c r="F941" s="4"/>
      <c r="G941" s="2"/>
      <c r="H941" s="2"/>
      <c r="I941" s="2"/>
      <c r="J941" s="5"/>
      <c r="K941" s="2"/>
      <c r="L941" s="2"/>
      <c r="M941" s="2"/>
      <c r="N941" s="2"/>
      <c r="O941" s="2"/>
      <c r="P941" s="2"/>
      <c r="Q941" s="7"/>
      <c r="R941" s="224"/>
      <c r="S941" s="224"/>
      <c r="T941" s="224"/>
      <c r="U941" s="868"/>
      <c r="V941" s="865"/>
      <c r="W941" s="2"/>
      <c r="X941" s="2"/>
      <c r="Y941" s="2"/>
      <c r="Z941" s="2"/>
      <c r="AA941" s="2"/>
      <c r="AB941" s="2"/>
      <c r="AC941" s="2"/>
      <c r="AD941" s="2"/>
      <c r="AE941" s="2"/>
      <c r="AF941" s="2"/>
      <c r="AG941" s="2"/>
      <c r="AH941" s="2"/>
      <c r="AI941" s="2"/>
      <c r="AJ941" s="218"/>
      <c r="AK941" s="218"/>
      <c r="AL941" s="218"/>
      <c r="AM941" s="218"/>
    </row>
    <row r="942">
      <c r="A942" s="33"/>
      <c r="B942" s="2"/>
      <c r="C942" s="2"/>
      <c r="D942" s="2"/>
      <c r="E942" s="2"/>
      <c r="F942" s="4"/>
      <c r="G942" s="2"/>
      <c r="H942" s="2"/>
      <c r="I942" s="2"/>
      <c r="J942" s="5"/>
      <c r="K942" s="2"/>
      <c r="L942" s="2"/>
      <c r="M942" s="2"/>
      <c r="N942" s="2"/>
      <c r="O942" s="2"/>
      <c r="P942" s="2"/>
      <c r="Q942" s="7"/>
      <c r="R942" s="224"/>
      <c r="S942" s="224"/>
      <c r="T942" s="224"/>
      <c r="U942" s="868"/>
      <c r="V942" s="865"/>
      <c r="W942" s="2"/>
      <c r="X942" s="2"/>
      <c r="Y942" s="2"/>
      <c r="Z942" s="2"/>
      <c r="AA942" s="2"/>
      <c r="AB942" s="2"/>
      <c r="AC942" s="2"/>
      <c r="AD942" s="2"/>
      <c r="AE942" s="2"/>
      <c r="AF942" s="2"/>
      <c r="AG942" s="2"/>
      <c r="AH942" s="2"/>
      <c r="AI942" s="2"/>
      <c r="AJ942" s="218"/>
      <c r="AK942" s="218"/>
      <c r="AL942" s="218"/>
      <c r="AM942" s="218"/>
    </row>
    <row r="943">
      <c r="A943" s="33"/>
      <c r="B943" s="2"/>
      <c r="C943" s="2"/>
      <c r="D943" s="2"/>
      <c r="E943" s="2"/>
      <c r="F943" s="4"/>
      <c r="G943" s="2"/>
      <c r="H943" s="2"/>
      <c r="I943" s="2"/>
      <c r="J943" s="5"/>
      <c r="K943" s="2"/>
      <c r="L943" s="2"/>
      <c r="M943" s="2"/>
      <c r="N943" s="2"/>
      <c r="O943" s="2"/>
      <c r="P943" s="2"/>
      <c r="Q943" s="7"/>
      <c r="R943" s="224"/>
      <c r="S943" s="224"/>
      <c r="T943" s="224"/>
      <c r="U943" s="868"/>
      <c r="V943" s="865"/>
      <c r="W943" s="2"/>
      <c r="X943" s="2"/>
      <c r="Y943" s="2"/>
      <c r="Z943" s="2"/>
      <c r="AA943" s="2"/>
      <c r="AB943" s="2"/>
      <c r="AC943" s="2"/>
      <c r="AD943" s="2"/>
      <c r="AE943" s="2"/>
      <c r="AF943" s="2"/>
      <c r="AG943" s="2"/>
      <c r="AH943" s="2"/>
      <c r="AI943" s="2"/>
      <c r="AJ943" s="218"/>
      <c r="AK943" s="218"/>
      <c r="AL943" s="218"/>
      <c r="AM943" s="218"/>
    </row>
    <row r="944">
      <c r="A944" s="33"/>
      <c r="B944" s="2"/>
      <c r="C944" s="2"/>
      <c r="D944" s="2"/>
      <c r="E944" s="2"/>
      <c r="F944" s="4"/>
      <c r="G944" s="2"/>
      <c r="H944" s="2"/>
      <c r="I944" s="2"/>
      <c r="J944" s="5"/>
      <c r="K944" s="2"/>
      <c r="L944" s="2"/>
      <c r="M944" s="2"/>
      <c r="N944" s="2"/>
      <c r="O944" s="2"/>
      <c r="P944" s="2"/>
      <c r="Q944" s="7"/>
      <c r="R944" s="224"/>
      <c r="S944" s="224"/>
      <c r="T944" s="224"/>
      <c r="U944" s="868"/>
      <c r="V944" s="865"/>
      <c r="W944" s="2"/>
      <c r="X944" s="2"/>
      <c r="Y944" s="2"/>
      <c r="Z944" s="2"/>
      <c r="AA944" s="2"/>
      <c r="AB944" s="2"/>
      <c r="AC944" s="2"/>
      <c r="AD944" s="2"/>
      <c r="AE944" s="2"/>
      <c r="AF944" s="2"/>
      <c r="AG944" s="2"/>
      <c r="AH944" s="2"/>
      <c r="AI944" s="2"/>
      <c r="AJ944" s="218"/>
      <c r="AK944" s="218"/>
      <c r="AL944" s="218"/>
      <c r="AM944" s="218"/>
    </row>
    <row r="945">
      <c r="A945" s="33"/>
      <c r="B945" s="2"/>
      <c r="C945" s="2"/>
      <c r="D945" s="2"/>
      <c r="E945" s="2"/>
      <c r="F945" s="4"/>
      <c r="G945" s="2"/>
      <c r="H945" s="2"/>
      <c r="I945" s="2"/>
      <c r="J945" s="5"/>
      <c r="K945" s="2"/>
      <c r="L945" s="2"/>
      <c r="M945" s="2"/>
      <c r="N945" s="2"/>
      <c r="O945" s="2"/>
      <c r="P945" s="2"/>
      <c r="Q945" s="7"/>
      <c r="R945" s="224"/>
      <c r="S945" s="224"/>
      <c r="T945" s="224"/>
      <c r="U945" s="868"/>
      <c r="V945" s="865"/>
      <c r="W945" s="2"/>
      <c r="X945" s="2"/>
      <c r="Y945" s="2"/>
      <c r="Z945" s="2"/>
      <c r="AA945" s="2"/>
      <c r="AB945" s="2"/>
      <c r="AC945" s="2"/>
      <c r="AD945" s="2"/>
      <c r="AE945" s="2"/>
      <c r="AF945" s="2"/>
      <c r="AG945" s="2"/>
      <c r="AH945" s="2"/>
      <c r="AI945" s="2"/>
      <c r="AJ945" s="218"/>
      <c r="AK945" s="218"/>
      <c r="AL945" s="218"/>
      <c r="AM945" s="218"/>
    </row>
    <row r="946">
      <c r="A946" s="33"/>
      <c r="B946" s="2"/>
      <c r="C946" s="2"/>
      <c r="D946" s="2"/>
      <c r="E946" s="2"/>
      <c r="F946" s="4"/>
      <c r="G946" s="2"/>
      <c r="H946" s="2"/>
      <c r="I946" s="2"/>
      <c r="J946" s="5"/>
      <c r="K946" s="2"/>
      <c r="L946" s="2"/>
      <c r="M946" s="2"/>
      <c r="N946" s="2"/>
      <c r="O946" s="2"/>
      <c r="P946" s="2"/>
      <c r="Q946" s="7"/>
      <c r="R946" s="224"/>
      <c r="S946" s="224"/>
      <c r="T946" s="224"/>
      <c r="U946" s="868"/>
      <c r="V946" s="865"/>
      <c r="W946" s="2"/>
      <c r="X946" s="2"/>
      <c r="Y946" s="2"/>
      <c r="Z946" s="2"/>
      <c r="AA946" s="2"/>
      <c r="AB946" s="2"/>
      <c r="AC946" s="2"/>
      <c r="AD946" s="2"/>
      <c r="AE946" s="2"/>
      <c r="AF946" s="2"/>
      <c r="AG946" s="2"/>
      <c r="AH946" s="2"/>
      <c r="AI946" s="2"/>
      <c r="AJ946" s="218"/>
      <c r="AK946" s="218"/>
      <c r="AL946" s="218"/>
      <c r="AM946" s="218"/>
    </row>
    <row r="947">
      <c r="A947" s="33"/>
      <c r="B947" s="2"/>
      <c r="C947" s="2"/>
      <c r="D947" s="2"/>
      <c r="E947" s="2"/>
      <c r="F947" s="4"/>
      <c r="G947" s="2"/>
      <c r="H947" s="2"/>
      <c r="I947" s="2"/>
      <c r="J947" s="5"/>
      <c r="K947" s="2"/>
      <c r="L947" s="2"/>
      <c r="M947" s="2"/>
      <c r="N947" s="2"/>
      <c r="O947" s="2"/>
      <c r="P947" s="2"/>
      <c r="Q947" s="7"/>
      <c r="R947" s="224"/>
      <c r="S947" s="224"/>
      <c r="T947" s="224"/>
      <c r="U947" s="868"/>
      <c r="V947" s="865"/>
      <c r="W947" s="2"/>
      <c r="X947" s="2"/>
      <c r="Y947" s="2"/>
      <c r="Z947" s="2"/>
      <c r="AA947" s="2"/>
      <c r="AB947" s="2"/>
      <c r="AC947" s="2"/>
      <c r="AD947" s="2"/>
      <c r="AE947" s="2"/>
      <c r="AF947" s="2"/>
      <c r="AG947" s="2"/>
      <c r="AH947" s="2"/>
      <c r="AI947" s="2"/>
      <c r="AJ947" s="218"/>
      <c r="AK947" s="218"/>
      <c r="AL947" s="218"/>
      <c r="AM947" s="218"/>
    </row>
    <row r="948">
      <c r="A948" s="33"/>
      <c r="B948" s="2"/>
      <c r="C948" s="2"/>
      <c r="D948" s="2"/>
      <c r="E948" s="2"/>
      <c r="F948" s="4"/>
      <c r="G948" s="2"/>
      <c r="H948" s="2"/>
      <c r="I948" s="2"/>
      <c r="J948" s="5"/>
      <c r="K948" s="2"/>
      <c r="L948" s="2"/>
      <c r="M948" s="2"/>
      <c r="N948" s="2"/>
      <c r="O948" s="2"/>
      <c r="P948" s="2"/>
      <c r="Q948" s="7"/>
      <c r="R948" s="224"/>
      <c r="S948" s="224"/>
      <c r="T948" s="224"/>
      <c r="U948" s="868"/>
      <c r="V948" s="865"/>
      <c r="W948" s="2"/>
      <c r="X948" s="2"/>
      <c r="Y948" s="2"/>
      <c r="Z948" s="2"/>
      <c r="AA948" s="2"/>
      <c r="AB948" s="2"/>
      <c r="AC948" s="2"/>
      <c r="AD948" s="2"/>
      <c r="AE948" s="2"/>
      <c r="AF948" s="2"/>
      <c r="AG948" s="2"/>
      <c r="AH948" s="2"/>
      <c r="AI948" s="2"/>
      <c r="AJ948" s="218"/>
      <c r="AK948" s="218"/>
      <c r="AL948" s="218"/>
      <c r="AM948" s="218"/>
    </row>
    <row r="949">
      <c r="A949" s="33"/>
      <c r="B949" s="2"/>
      <c r="C949" s="2"/>
      <c r="D949" s="2"/>
      <c r="E949" s="2"/>
      <c r="F949" s="4"/>
      <c r="G949" s="2"/>
      <c r="H949" s="2"/>
      <c r="I949" s="2"/>
      <c r="J949" s="5"/>
      <c r="K949" s="2"/>
      <c r="L949" s="2"/>
      <c r="M949" s="2"/>
      <c r="N949" s="2"/>
      <c r="O949" s="2"/>
      <c r="P949" s="2"/>
      <c r="Q949" s="7"/>
      <c r="R949" s="224"/>
      <c r="S949" s="224"/>
      <c r="T949" s="224"/>
      <c r="U949" s="868"/>
      <c r="V949" s="865"/>
      <c r="W949" s="2"/>
      <c r="X949" s="2"/>
      <c r="Y949" s="2"/>
      <c r="Z949" s="2"/>
      <c r="AA949" s="2"/>
      <c r="AB949" s="2"/>
      <c r="AC949" s="2"/>
      <c r="AD949" s="2"/>
      <c r="AE949" s="2"/>
      <c r="AF949" s="2"/>
      <c r="AG949" s="2"/>
      <c r="AH949" s="2"/>
      <c r="AI949" s="2"/>
      <c r="AJ949" s="218"/>
      <c r="AK949" s="218"/>
      <c r="AL949" s="218"/>
      <c r="AM949" s="218"/>
    </row>
    <row r="950">
      <c r="A950" s="33"/>
      <c r="B950" s="2"/>
      <c r="C950" s="2"/>
      <c r="D950" s="2"/>
      <c r="E950" s="2"/>
      <c r="F950" s="4"/>
      <c r="G950" s="2"/>
      <c r="H950" s="2"/>
      <c r="I950" s="2"/>
      <c r="J950" s="5"/>
      <c r="K950" s="2"/>
      <c r="L950" s="2"/>
      <c r="M950" s="2"/>
      <c r="N950" s="2"/>
      <c r="O950" s="2"/>
      <c r="P950" s="2"/>
      <c r="Q950" s="7"/>
      <c r="R950" s="224"/>
      <c r="S950" s="224"/>
      <c r="T950" s="224"/>
      <c r="U950" s="868"/>
      <c r="V950" s="865"/>
      <c r="W950" s="2"/>
      <c r="X950" s="2"/>
      <c r="Y950" s="2"/>
      <c r="Z950" s="2"/>
      <c r="AA950" s="2"/>
      <c r="AB950" s="2"/>
      <c r="AC950" s="2"/>
      <c r="AD950" s="2"/>
      <c r="AE950" s="2"/>
      <c r="AF950" s="2"/>
      <c r="AG950" s="2"/>
      <c r="AH950" s="2"/>
      <c r="AI950" s="2"/>
      <c r="AJ950" s="218"/>
      <c r="AK950" s="218"/>
      <c r="AL950" s="218"/>
      <c r="AM950" s="218"/>
    </row>
    <row r="951">
      <c r="A951" s="33"/>
      <c r="B951" s="2"/>
      <c r="C951" s="2"/>
      <c r="D951" s="2"/>
      <c r="E951" s="2"/>
      <c r="F951" s="4"/>
      <c r="G951" s="2"/>
      <c r="H951" s="2"/>
      <c r="I951" s="2"/>
      <c r="J951" s="5"/>
      <c r="K951" s="2"/>
      <c r="L951" s="2"/>
      <c r="M951" s="2"/>
      <c r="N951" s="2"/>
      <c r="O951" s="2"/>
      <c r="P951" s="2"/>
      <c r="Q951" s="7"/>
      <c r="R951" s="224"/>
      <c r="S951" s="224"/>
      <c r="T951" s="224"/>
      <c r="U951" s="868"/>
      <c r="V951" s="865"/>
      <c r="W951" s="2"/>
      <c r="X951" s="2"/>
      <c r="Y951" s="2"/>
      <c r="Z951" s="2"/>
      <c r="AA951" s="2"/>
      <c r="AB951" s="2"/>
      <c r="AC951" s="2"/>
      <c r="AD951" s="2"/>
      <c r="AE951" s="2"/>
      <c r="AF951" s="2"/>
      <c r="AG951" s="2"/>
      <c r="AH951" s="2"/>
      <c r="AI951" s="2"/>
      <c r="AJ951" s="218"/>
      <c r="AK951" s="218"/>
      <c r="AL951" s="218"/>
      <c r="AM951" s="218"/>
    </row>
    <row r="952">
      <c r="A952" s="33"/>
      <c r="B952" s="2"/>
      <c r="C952" s="2"/>
      <c r="D952" s="2"/>
      <c r="E952" s="2"/>
      <c r="F952" s="4"/>
      <c r="G952" s="2"/>
      <c r="H952" s="2"/>
      <c r="I952" s="2"/>
      <c r="J952" s="5"/>
      <c r="K952" s="2"/>
      <c r="L952" s="2"/>
      <c r="M952" s="2"/>
      <c r="N952" s="2"/>
      <c r="O952" s="2"/>
      <c r="P952" s="2"/>
      <c r="Q952" s="7"/>
      <c r="R952" s="224"/>
      <c r="S952" s="224"/>
      <c r="T952" s="224"/>
      <c r="U952" s="868"/>
      <c r="V952" s="865"/>
      <c r="W952" s="2"/>
      <c r="X952" s="2"/>
      <c r="Y952" s="2"/>
      <c r="Z952" s="2"/>
      <c r="AA952" s="2"/>
      <c r="AB952" s="2"/>
      <c r="AC952" s="2"/>
      <c r="AD952" s="2"/>
      <c r="AE952" s="2"/>
      <c r="AF952" s="2"/>
      <c r="AG952" s="2"/>
      <c r="AH952" s="2"/>
      <c r="AI952" s="2"/>
      <c r="AJ952" s="218"/>
      <c r="AK952" s="218"/>
      <c r="AL952" s="218"/>
      <c r="AM952" s="218"/>
    </row>
    <row r="953">
      <c r="A953" s="33"/>
      <c r="B953" s="2"/>
      <c r="C953" s="2"/>
      <c r="D953" s="2"/>
      <c r="E953" s="2"/>
      <c r="F953" s="4"/>
      <c r="G953" s="2"/>
      <c r="H953" s="2"/>
      <c r="I953" s="2"/>
      <c r="J953" s="5"/>
      <c r="K953" s="2"/>
      <c r="L953" s="2"/>
      <c r="M953" s="2"/>
      <c r="N953" s="2"/>
      <c r="O953" s="2"/>
      <c r="P953" s="2"/>
      <c r="Q953" s="7"/>
      <c r="R953" s="224"/>
      <c r="S953" s="224"/>
      <c r="T953" s="224"/>
      <c r="U953" s="868"/>
      <c r="V953" s="865"/>
      <c r="W953" s="2"/>
      <c r="X953" s="2"/>
      <c r="Y953" s="2"/>
      <c r="Z953" s="2"/>
      <c r="AA953" s="2"/>
      <c r="AB953" s="2"/>
      <c r="AC953" s="2"/>
      <c r="AD953" s="2"/>
      <c r="AE953" s="2"/>
      <c r="AF953" s="2"/>
      <c r="AG953" s="2"/>
      <c r="AH953" s="2"/>
      <c r="AI953" s="2"/>
      <c r="AJ953" s="218"/>
      <c r="AK953" s="218"/>
      <c r="AL953" s="218"/>
      <c r="AM953" s="218"/>
    </row>
    <row r="954">
      <c r="A954" s="33"/>
      <c r="B954" s="2"/>
      <c r="C954" s="2"/>
      <c r="D954" s="2"/>
      <c r="E954" s="2"/>
      <c r="F954" s="4"/>
      <c r="G954" s="2"/>
      <c r="H954" s="2"/>
      <c r="I954" s="2"/>
      <c r="J954" s="5"/>
      <c r="K954" s="2"/>
      <c r="L954" s="2"/>
      <c r="M954" s="2"/>
      <c r="N954" s="2"/>
      <c r="O954" s="2"/>
      <c r="P954" s="2"/>
      <c r="Q954" s="7"/>
      <c r="R954" s="224"/>
      <c r="S954" s="224"/>
      <c r="T954" s="224"/>
      <c r="U954" s="868"/>
      <c r="V954" s="865"/>
      <c r="W954" s="2"/>
      <c r="X954" s="2"/>
      <c r="Y954" s="2"/>
      <c r="Z954" s="2"/>
      <c r="AA954" s="2"/>
      <c r="AB954" s="2"/>
      <c r="AC954" s="2"/>
      <c r="AD954" s="2"/>
      <c r="AE954" s="2"/>
      <c r="AF954" s="2"/>
      <c r="AG954" s="2"/>
      <c r="AH954" s="2"/>
      <c r="AI954" s="2"/>
      <c r="AJ954" s="218"/>
      <c r="AK954" s="218"/>
      <c r="AL954" s="218"/>
      <c r="AM954" s="218"/>
    </row>
    <row r="955">
      <c r="A955" s="33"/>
      <c r="B955" s="2"/>
      <c r="C955" s="2"/>
      <c r="D955" s="2"/>
      <c r="E955" s="2"/>
      <c r="F955" s="4"/>
      <c r="G955" s="2"/>
      <c r="H955" s="2"/>
      <c r="I955" s="2"/>
      <c r="J955" s="5"/>
      <c r="K955" s="2"/>
      <c r="L955" s="2"/>
      <c r="M955" s="2"/>
      <c r="N955" s="2"/>
      <c r="O955" s="2"/>
      <c r="P955" s="2"/>
      <c r="Q955" s="7"/>
      <c r="R955" s="224"/>
      <c r="S955" s="224"/>
      <c r="T955" s="224"/>
      <c r="U955" s="868"/>
      <c r="V955" s="865"/>
      <c r="W955" s="2"/>
      <c r="X955" s="2"/>
      <c r="Y955" s="2"/>
      <c r="Z955" s="2"/>
      <c r="AA955" s="2"/>
      <c r="AB955" s="2"/>
      <c r="AC955" s="2"/>
      <c r="AD955" s="2"/>
      <c r="AE955" s="2"/>
      <c r="AF955" s="2"/>
      <c r="AG955" s="2"/>
      <c r="AH955" s="2"/>
      <c r="AI955" s="2"/>
      <c r="AJ955" s="218"/>
      <c r="AK955" s="218"/>
      <c r="AL955" s="218"/>
      <c r="AM955" s="218"/>
    </row>
    <row r="956">
      <c r="A956" s="33"/>
      <c r="B956" s="2"/>
      <c r="C956" s="2"/>
      <c r="D956" s="2"/>
      <c r="E956" s="2"/>
      <c r="F956" s="4"/>
      <c r="G956" s="2"/>
      <c r="H956" s="2"/>
      <c r="I956" s="2"/>
      <c r="J956" s="5"/>
      <c r="K956" s="2"/>
      <c r="L956" s="2"/>
      <c r="M956" s="2"/>
      <c r="N956" s="2"/>
      <c r="O956" s="2"/>
      <c r="P956" s="2"/>
      <c r="Q956" s="7"/>
      <c r="R956" s="224"/>
      <c r="S956" s="224"/>
      <c r="T956" s="224"/>
      <c r="U956" s="868"/>
      <c r="V956" s="865"/>
      <c r="W956" s="2"/>
      <c r="X956" s="2"/>
      <c r="Y956" s="2"/>
      <c r="Z956" s="2"/>
      <c r="AA956" s="2"/>
      <c r="AB956" s="2"/>
      <c r="AC956" s="2"/>
      <c r="AD956" s="2"/>
      <c r="AE956" s="2"/>
      <c r="AF956" s="2"/>
      <c r="AG956" s="2"/>
      <c r="AH956" s="2"/>
      <c r="AI956" s="2"/>
      <c r="AJ956" s="218"/>
      <c r="AK956" s="218"/>
      <c r="AL956" s="218"/>
      <c r="AM956" s="218"/>
    </row>
    <row r="957">
      <c r="A957" s="33"/>
      <c r="B957" s="2"/>
      <c r="C957" s="2"/>
      <c r="D957" s="2"/>
      <c r="E957" s="2"/>
      <c r="F957" s="4"/>
      <c r="G957" s="2"/>
      <c r="H957" s="2"/>
      <c r="I957" s="2"/>
      <c r="J957" s="5"/>
      <c r="K957" s="2"/>
      <c r="L957" s="2"/>
      <c r="M957" s="2"/>
      <c r="N957" s="2"/>
      <c r="O957" s="2"/>
      <c r="P957" s="2"/>
      <c r="Q957" s="7"/>
      <c r="R957" s="224"/>
      <c r="S957" s="224"/>
      <c r="T957" s="224"/>
      <c r="U957" s="868"/>
      <c r="V957" s="865"/>
      <c r="W957" s="2"/>
      <c r="X957" s="2"/>
      <c r="Y957" s="2"/>
      <c r="Z957" s="2"/>
      <c r="AA957" s="2"/>
      <c r="AB957" s="2"/>
      <c r="AC957" s="2"/>
      <c r="AD957" s="2"/>
      <c r="AE957" s="2"/>
      <c r="AF957" s="2"/>
      <c r="AG957" s="2"/>
      <c r="AH957" s="2"/>
      <c r="AI957" s="2"/>
      <c r="AJ957" s="218"/>
      <c r="AK957" s="218"/>
      <c r="AL957" s="218"/>
      <c r="AM957" s="218"/>
    </row>
    <row r="958">
      <c r="A958" s="33"/>
      <c r="B958" s="2"/>
      <c r="C958" s="2"/>
      <c r="D958" s="2"/>
      <c r="E958" s="2"/>
      <c r="F958" s="4"/>
      <c r="G958" s="2"/>
      <c r="H958" s="2"/>
      <c r="I958" s="2"/>
      <c r="J958" s="5"/>
      <c r="K958" s="2"/>
      <c r="L958" s="2"/>
      <c r="M958" s="2"/>
      <c r="N958" s="2"/>
      <c r="O958" s="2"/>
      <c r="P958" s="2"/>
      <c r="Q958" s="7"/>
      <c r="R958" s="224"/>
      <c r="S958" s="224"/>
      <c r="T958" s="224"/>
      <c r="U958" s="868"/>
      <c r="V958" s="865"/>
      <c r="W958" s="2"/>
      <c r="X958" s="2"/>
      <c r="Y958" s="2"/>
      <c r="Z958" s="2"/>
      <c r="AA958" s="2"/>
      <c r="AB958" s="2"/>
      <c r="AC958" s="2"/>
      <c r="AD958" s="2"/>
      <c r="AE958" s="2"/>
      <c r="AF958" s="2"/>
      <c r="AG958" s="2"/>
      <c r="AH958" s="2"/>
      <c r="AI958" s="2"/>
      <c r="AJ958" s="218"/>
      <c r="AK958" s="218"/>
      <c r="AL958" s="218"/>
      <c r="AM958" s="218"/>
    </row>
    <row r="959">
      <c r="A959" s="33"/>
      <c r="B959" s="2"/>
      <c r="C959" s="2"/>
      <c r="D959" s="2"/>
      <c r="E959" s="2"/>
      <c r="F959" s="4"/>
      <c r="G959" s="2"/>
      <c r="H959" s="2"/>
      <c r="I959" s="2"/>
      <c r="J959" s="5"/>
      <c r="K959" s="2"/>
      <c r="L959" s="2"/>
      <c r="M959" s="2"/>
      <c r="N959" s="2"/>
      <c r="O959" s="2"/>
      <c r="P959" s="2"/>
      <c r="Q959" s="7"/>
      <c r="R959" s="224"/>
      <c r="S959" s="224"/>
      <c r="T959" s="224"/>
      <c r="U959" s="868"/>
      <c r="V959" s="865"/>
      <c r="W959" s="2"/>
      <c r="X959" s="2"/>
      <c r="Y959" s="2"/>
      <c r="Z959" s="2"/>
      <c r="AA959" s="2"/>
      <c r="AB959" s="2"/>
      <c r="AC959" s="2"/>
      <c r="AD959" s="2"/>
      <c r="AE959" s="2"/>
      <c r="AF959" s="2"/>
      <c r="AG959" s="2"/>
      <c r="AH959" s="2"/>
      <c r="AI959" s="2"/>
      <c r="AJ959" s="218"/>
      <c r="AK959" s="218"/>
      <c r="AL959" s="218"/>
      <c r="AM959" s="218"/>
    </row>
    <row r="960">
      <c r="A960" s="33"/>
      <c r="B960" s="2"/>
      <c r="C960" s="2"/>
      <c r="D960" s="2"/>
      <c r="E960" s="2"/>
      <c r="F960" s="4"/>
      <c r="G960" s="2"/>
      <c r="H960" s="2"/>
      <c r="I960" s="2"/>
      <c r="J960" s="5"/>
      <c r="K960" s="2"/>
      <c r="L960" s="2"/>
      <c r="M960" s="2"/>
      <c r="N960" s="2"/>
      <c r="O960" s="2"/>
      <c r="P960" s="2"/>
      <c r="Q960" s="7"/>
      <c r="R960" s="224"/>
      <c r="S960" s="224"/>
      <c r="T960" s="224"/>
      <c r="U960" s="868"/>
      <c r="V960" s="865"/>
      <c r="W960" s="2"/>
      <c r="X960" s="2"/>
      <c r="Y960" s="2"/>
      <c r="Z960" s="2"/>
      <c r="AA960" s="2"/>
      <c r="AB960" s="2"/>
      <c r="AC960" s="2"/>
      <c r="AD960" s="2"/>
      <c r="AE960" s="2"/>
      <c r="AF960" s="2"/>
      <c r="AG960" s="2"/>
      <c r="AH960" s="2"/>
      <c r="AI960" s="2"/>
      <c r="AJ960" s="218"/>
      <c r="AK960" s="218"/>
      <c r="AL960" s="218"/>
      <c r="AM960" s="218"/>
    </row>
    <row r="961">
      <c r="A961" s="33"/>
      <c r="B961" s="2"/>
      <c r="C961" s="2"/>
      <c r="D961" s="2"/>
      <c r="E961" s="2"/>
      <c r="F961" s="4"/>
      <c r="G961" s="2"/>
      <c r="H961" s="2"/>
      <c r="I961" s="2"/>
      <c r="J961" s="5"/>
      <c r="K961" s="2"/>
      <c r="L961" s="2"/>
      <c r="M961" s="2"/>
      <c r="N961" s="2"/>
      <c r="O961" s="2"/>
      <c r="P961" s="2"/>
      <c r="Q961" s="7"/>
      <c r="R961" s="224"/>
      <c r="S961" s="224"/>
      <c r="T961" s="224"/>
      <c r="U961" s="868"/>
      <c r="V961" s="865"/>
      <c r="W961" s="2"/>
      <c r="X961" s="2"/>
      <c r="Y961" s="2"/>
      <c r="Z961" s="2"/>
      <c r="AA961" s="2"/>
      <c r="AB961" s="2"/>
      <c r="AC961" s="2"/>
      <c r="AD961" s="2"/>
      <c r="AE961" s="2"/>
      <c r="AF961" s="2"/>
      <c r="AG961" s="2"/>
      <c r="AH961" s="2"/>
      <c r="AI961" s="2"/>
      <c r="AJ961" s="218"/>
      <c r="AK961" s="218"/>
      <c r="AL961" s="218"/>
      <c r="AM961" s="218"/>
    </row>
    <row r="962">
      <c r="A962" s="33"/>
      <c r="B962" s="2"/>
      <c r="C962" s="2"/>
      <c r="D962" s="2"/>
      <c r="E962" s="2"/>
      <c r="F962" s="4"/>
      <c r="G962" s="2"/>
      <c r="H962" s="2"/>
      <c r="I962" s="2"/>
      <c r="J962" s="5"/>
      <c r="K962" s="2"/>
      <c r="L962" s="2"/>
      <c r="M962" s="2"/>
      <c r="N962" s="2"/>
      <c r="O962" s="2"/>
      <c r="P962" s="2"/>
      <c r="Q962" s="7"/>
      <c r="R962" s="224"/>
      <c r="S962" s="224"/>
      <c r="T962" s="224"/>
      <c r="U962" s="868"/>
      <c r="V962" s="865"/>
      <c r="W962" s="2"/>
      <c r="X962" s="2"/>
      <c r="Y962" s="2"/>
      <c r="Z962" s="2"/>
      <c r="AA962" s="2"/>
      <c r="AB962" s="2"/>
      <c r="AC962" s="2"/>
      <c r="AD962" s="2"/>
      <c r="AE962" s="2"/>
      <c r="AF962" s="2"/>
      <c r="AG962" s="2"/>
      <c r="AH962" s="2"/>
      <c r="AI962" s="2"/>
      <c r="AJ962" s="218"/>
      <c r="AK962" s="218"/>
      <c r="AL962" s="218"/>
      <c r="AM962" s="218"/>
    </row>
    <row r="963">
      <c r="A963" s="33"/>
      <c r="B963" s="2"/>
      <c r="C963" s="2"/>
      <c r="D963" s="2"/>
      <c r="E963" s="2"/>
      <c r="F963" s="4"/>
      <c r="G963" s="2"/>
      <c r="H963" s="2"/>
      <c r="I963" s="2"/>
      <c r="J963" s="5"/>
      <c r="K963" s="2"/>
      <c r="L963" s="2"/>
      <c r="M963" s="2"/>
      <c r="N963" s="2"/>
      <c r="O963" s="2"/>
      <c r="P963" s="2"/>
      <c r="Q963" s="7"/>
      <c r="R963" s="224"/>
      <c r="S963" s="224"/>
      <c r="T963" s="224"/>
      <c r="U963" s="868"/>
      <c r="V963" s="865"/>
      <c r="W963" s="2"/>
      <c r="X963" s="2"/>
      <c r="Y963" s="2"/>
      <c r="Z963" s="2"/>
      <c r="AA963" s="2"/>
      <c r="AB963" s="2"/>
      <c r="AC963" s="2"/>
      <c r="AD963" s="2"/>
      <c r="AE963" s="2"/>
      <c r="AF963" s="2"/>
      <c r="AG963" s="2"/>
      <c r="AH963" s="2"/>
      <c r="AI963" s="2"/>
      <c r="AJ963" s="218"/>
      <c r="AK963" s="218"/>
      <c r="AL963" s="218"/>
      <c r="AM963" s="218"/>
    </row>
    <row r="964">
      <c r="A964" s="33"/>
      <c r="B964" s="2"/>
      <c r="C964" s="2"/>
      <c r="D964" s="2"/>
      <c r="E964" s="2"/>
      <c r="F964" s="4"/>
      <c r="G964" s="2"/>
      <c r="H964" s="2"/>
      <c r="I964" s="2"/>
      <c r="J964" s="5"/>
      <c r="K964" s="2"/>
      <c r="L964" s="2"/>
      <c r="M964" s="2"/>
      <c r="N964" s="2"/>
      <c r="O964" s="2"/>
      <c r="P964" s="2"/>
      <c r="Q964" s="7"/>
      <c r="R964" s="224"/>
      <c r="S964" s="224"/>
      <c r="T964" s="224"/>
      <c r="U964" s="868"/>
      <c r="V964" s="865"/>
      <c r="W964" s="2"/>
      <c r="X964" s="2"/>
      <c r="Y964" s="2"/>
      <c r="Z964" s="2"/>
      <c r="AA964" s="2"/>
      <c r="AB964" s="2"/>
      <c r="AC964" s="2"/>
      <c r="AD964" s="2"/>
      <c r="AE964" s="2"/>
      <c r="AF964" s="2"/>
      <c r="AG964" s="2"/>
      <c r="AH964" s="2"/>
      <c r="AI964" s="2"/>
      <c r="AJ964" s="218"/>
      <c r="AK964" s="218"/>
      <c r="AL964" s="218"/>
      <c r="AM964" s="218"/>
    </row>
    <row r="965">
      <c r="A965" s="33"/>
      <c r="B965" s="2"/>
      <c r="C965" s="2"/>
      <c r="D965" s="2"/>
      <c r="E965" s="2"/>
      <c r="F965" s="4"/>
      <c r="G965" s="2"/>
      <c r="H965" s="2"/>
      <c r="I965" s="2"/>
      <c r="J965" s="5"/>
      <c r="K965" s="2"/>
      <c r="L965" s="2"/>
      <c r="M965" s="2"/>
      <c r="N965" s="2"/>
      <c r="O965" s="2"/>
      <c r="P965" s="2"/>
      <c r="Q965" s="7"/>
      <c r="R965" s="224"/>
      <c r="S965" s="224"/>
      <c r="T965" s="224"/>
      <c r="U965" s="868"/>
      <c r="V965" s="865"/>
      <c r="W965" s="2"/>
      <c r="X965" s="2"/>
      <c r="Y965" s="2"/>
      <c r="Z965" s="2"/>
      <c r="AA965" s="2"/>
      <c r="AB965" s="2"/>
      <c r="AC965" s="2"/>
      <c r="AD965" s="2"/>
      <c r="AE965" s="2"/>
      <c r="AF965" s="2"/>
      <c r="AG965" s="2"/>
      <c r="AH965" s="2"/>
      <c r="AI965" s="2"/>
      <c r="AJ965" s="218"/>
      <c r="AK965" s="218"/>
      <c r="AL965" s="218"/>
      <c r="AM965" s="218"/>
    </row>
    <row r="966">
      <c r="A966" s="33"/>
      <c r="B966" s="2"/>
      <c r="C966" s="2"/>
      <c r="D966" s="2"/>
      <c r="E966" s="2"/>
      <c r="F966" s="4"/>
      <c r="G966" s="2"/>
      <c r="H966" s="2"/>
      <c r="I966" s="2"/>
      <c r="J966" s="5"/>
      <c r="K966" s="2"/>
      <c r="L966" s="2"/>
      <c r="M966" s="2"/>
      <c r="N966" s="2"/>
      <c r="O966" s="2"/>
      <c r="P966" s="2"/>
      <c r="Q966" s="7"/>
      <c r="R966" s="224"/>
      <c r="S966" s="224"/>
      <c r="T966" s="224"/>
      <c r="U966" s="868"/>
      <c r="V966" s="865"/>
      <c r="W966" s="2"/>
      <c r="X966" s="2"/>
      <c r="Y966" s="2"/>
      <c r="Z966" s="2"/>
      <c r="AA966" s="2"/>
      <c r="AB966" s="2"/>
      <c r="AC966" s="2"/>
      <c r="AD966" s="2"/>
      <c r="AE966" s="2"/>
      <c r="AF966" s="2"/>
      <c r="AG966" s="2"/>
      <c r="AH966" s="2"/>
      <c r="AI966" s="2"/>
      <c r="AJ966" s="218"/>
      <c r="AK966" s="218"/>
      <c r="AL966" s="218"/>
      <c r="AM966" s="218"/>
    </row>
    <row r="967">
      <c r="A967" s="33"/>
      <c r="B967" s="2"/>
      <c r="C967" s="2"/>
      <c r="D967" s="2"/>
      <c r="E967" s="2"/>
      <c r="F967" s="4"/>
      <c r="G967" s="2"/>
      <c r="H967" s="2"/>
      <c r="I967" s="2"/>
      <c r="J967" s="5"/>
      <c r="K967" s="2"/>
      <c r="L967" s="2"/>
      <c r="M967" s="2"/>
      <c r="N967" s="2"/>
      <c r="O967" s="2"/>
      <c r="P967" s="2"/>
      <c r="Q967" s="7"/>
      <c r="R967" s="224"/>
      <c r="S967" s="224"/>
      <c r="T967" s="224"/>
      <c r="U967" s="868"/>
      <c r="V967" s="865"/>
      <c r="W967" s="2"/>
      <c r="X967" s="2"/>
      <c r="Y967" s="2"/>
      <c r="Z967" s="2"/>
      <c r="AA967" s="2"/>
      <c r="AB967" s="2"/>
      <c r="AC967" s="2"/>
      <c r="AD967" s="2"/>
      <c r="AE967" s="2"/>
      <c r="AF967" s="2"/>
      <c r="AG967" s="2"/>
      <c r="AH967" s="2"/>
      <c r="AI967" s="2"/>
      <c r="AJ967" s="218"/>
      <c r="AK967" s="218"/>
      <c r="AL967" s="218"/>
      <c r="AM967" s="218"/>
    </row>
    <row r="968">
      <c r="A968" s="33"/>
      <c r="B968" s="2"/>
      <c r="C968" s="2"/>
      <c r="D968" s="2"/>
      <c r="E968" s="2"/>
      <c r="F968" s="4"/>
      <c r="G968" s="2"/>
      <c r="H968" s="2"/>
      <c r="I968" s="2"/>
      <c r="J968" s="5"/>
      <c r="K968" s="2"/>
      <c r="L968" s="2"/>
      <c r="M968" s="2"/>
      <c r="N968" s="2"/>
      <c r="O968" s="2"/>
      <c r="P968" s="2"/>
      <c r="Q968" s="7"/>
      <c r="R968" s="224"/>
      <c r="S968" s="224"/>
      <c r="T968" s="224"/>
      <c r="U968" s="868"/>
      <c r="V968" s="865"/>
      <c r="W968" s="2"/>
      <c r="X968" s="2"/>
      <c r="Y968" s="2"/>
      <c r="Z968" s="2"/>
      <c r="AA968" s="2"/>
      <c r="AB968" s="2"/>
      <c r="AC968" s="2"/>
      <c r="AD968" s="2"/>
      <c r="AE968" s="2"/>
      <c r="AF968" s="2"/>
      <c r="AG968" s="2"/>
      <c r="AH968" s="2"/>
      <c r="AI968" s="2"/>
      <c r="AJ968" s="218"/>
      <c r="AK968" s="218"/>
      <c r="AL968" s="218"/>
      <c r="AM968" s="218"/>
    </row>
    <row r="969">
      <c r="A969" s="33"/>
      <c r="B969" s="2"/>
      <c r="C969" s="2"/>
      <c r="D969" s="2"/>
      <c r="E969" s="2"/>
      <c r="F969" s="4"/>
      <c r="G969" s="2"/>
      <c r="H969" s="2"/>
      <c r="I969" s="2"/>
      <c r="J969" s="5"/>
      <c r="K969" s="2"/>
      <c r="L969" s="2"/>
      <c r="M969" s="2"/>
      <c r="N969" s="2"/>
      <c r="O969" s="2"/>
      <c r="P969" s="2"/>
      <c r="Q969" s="7"/>
      <c r="R969" s="224"/>
      <c r="S969" s="224"/>
      <c r="T969" s="224"/>
      <c r="U969" s="868"/>
      <c r="V969" s="865"/>
      <c r="W969" s="2"/>
      <c r="X969" s="2"/>
      <c r="Y969" s="2"/>
      <c r="Z969" s="2"/>
      <c r="AA969" s="2"/>
      <c r="AB969" s="2"/>
      <c r="AC969" s="2"/>
      <c r="AD969" s="2"/>
      <c r="AE969" s="2"/>
      <c r="AF969" s="2"/>
      <c r="AG969" s="2"/>
      <c r="AH969" s="2"/>
      <c r="AI969" s="2"/>
      <c r="AJ969" s="218"/>
      <c r="AK969" s="218"/>
      <c r="AL969" s="218"/>
      <c r="AM969" s="218"/>
    </row>
    <row r="970">
      <c r="A970" s="33"/>
      <c r="B970" s="2"/>
      <c r="C970" s="2"/>
      <c r="D970" s="2"/>
      <c r="E970" s="2"/>
      <c r="F970" s="4"/>
      <c r="G970" s="2"/>
      <c r="H970" s="2"/>
      <c r="I970" s="2"/>
      <c r="J970" s="5"/>
      <c r="K970" s="2"/>
      <c r="L970" s="2"/>
      <c r="M970" s="2"/>
      <c r="N970" s="2"/>
      <c r="O970" s="2"/>
      <c r="P970" s="2"/>
      <c r="Q970" s="7"/>
      <c r="R970" s="224"/>
      <c r="S970" s="224"/>
      <c r="T970" s="224"/>
      <c r="U970" s="868"/>
      <c r="V970" s="865"/>
      <c r="W970" s="2"/>
      <c r="X970" s="2"/>
      <c r="Y970" s="2"/>
      <c r="Z970" s="2"/>
      <c r="AA970" s="2"/>
      <c r="AB970" s="2"/>
      <c r="AC970" s="2"/>
      <c r="AD970" s="2"/>
      <c r="AE970" s="2"/>
      <c r="AF970" s="2"/>
      <c r="AG970" s="2"/>
      <c r="AH970" s="2"/>
      <c r="AI970" s="2"/>
      <c r="AJ970" s="218"/>
      <c r="AK970" s="218"/>
      <c r="AL970" s="218"/>
      <c r="AM970" s="218"/>
    </row>
    <row r="971">
      <c r="A971" s="33"/>
      <c r="B971" s="2"/>
      <c r="C971" s="2"/>
      <c r="D971" s="2"/>
      <c r="E971" s="2"/>
      <c r="F971" s="4"/>
      <c r="G971" s="2"/>
      <c r="H971" s="2"/>
      <c r="I971" s="2"/>
      <c r="J971" s="5"/>
      <c r="K971" s="2"/>
      <c r="L971" s="2"/>
      <c r="M971" s="2"/>
      <c r="N971" s="2"/>
      <c r="O971" s="2"/>
      <c r="P971" s="2"/>
      <c r="Q971" s="7"/>
      <c r="R971" s="224"/>
      <c r="S971" s="224"/>
      <c r="T971" s="224"/>
      <c r="U971" s="868"/>
      <c r="V971" s="865"/>
      <c r="W971" s="2"/>
      <c r="X971" s="2"/>
      <c r="Y971" s="2"/>
      <c r="Z971" s="2"/>
      <c r="AA971" s="2"/>
      <c r="AB971" s="2"/>
      <c r="AC971" s="2"/>
      <c r="AD971" s="2"/>
      <c r="AE971" s="2"/>
      <c r="AF971" s="2"/>
      <c r="AG971" s="2"/>
      <c r="AH971" s="2"/>
      <c r="AI971" s="2"/>
      <c r="AJ971" s="218"/>
      <c r="AK971" s="218"/>
      <c r="AL971" s="218"/>
      <c r="AM971" s="218"/>
    </row>
    <row r="972">
      <c r="A972" s="33"/>
      <c r="B972" s="2"/>
      <c r="C972" s="2"/>
      <c r="D972" s="2"/>
      <c r="E972" s="2"/>
      <c r="F972" s="4"/>
      <c r="G972" s="2"/>
      <c r="H972" s="2"/>
      <c r="I972" s="2"/>
      <c r="J972" s="5"/>
      <c r="K972" s="2"/>
      <c r="L972" s="2"/>
      <c r="M972" s="2"/>
      <c r="N972" s="2"/>
      <c r="O972" s="2"/>
      <c r="P972" s="2"/>
      <c r="Q972" s="7"/>
      <c r="R972" s="224"/>
      <c r="S972" s="224"/>
      <c r="T972" s="224"/>
      <c r="U972" s="868"/>
      <c r="V972" s="865"/>
      <c r="W972" s="2"/>
      <c r="X972" s="2"/>
      <c r="Y972" s="2"/>
      <c r="Z972" s="2"/>
      <c r="AA972" s="2"/>
      <c r="AB972" s="2"/>
      <c r="AC972" s="2"/>
      <c r="AD972" s="2"/>
      <c r="AE972" s="2"/>
      <c r="AF972" s="2"/>
      <c r="AG972" s="2"/>
      <c r="AH972" s="2"/>
      <c r="AI972" s="2"/>
      <c r="AJ972" s="218"/>
      <c r="AK972" s="218"/>
      <c r="AL972" s="218"/>
      <c r="AM972" s="218"/>
    </row>
    <row r="973">
      <c r="A973" s="33"/>
      <c r="B973" s="2"/>
      <c r="C973" s="2"/>
      <c r="D973" s="2"/>
      <c r="E973" s="2"/>
      <c r="F973" s="4"/>
      <c r="G973" s="2"/>
      <c r="H973" s="2"/>
      <c r="I973" s="2"/>
      <c r="J973" s="5"/>
      <c r="K973" s="2"/>
      <c r="L973" s="2"/>
      <c r="M973" s="2"/>
      <c r="N973" s="2"/>
      <c r="O973" s="2"/>
      <c r="P973" s="2"/>
      <c r="Q973" s="7"/>
      <c r="R973" s="224"/>
      <c r="S973" s="224"/>
      <c r="T973" s="224"/>
      <c r="U973" s="868"/>
      <c r="V973" s="865"/>
      <c r="W973" s="2"/>
      <c r="X973" s="2"/>
      <c r="Y973" s="2"/>
      <c r="Z973" s="2"/>
      <c r="AA973" s="2"/>
      <c r="AB973" s="2"/>
      <c r="AC973" s="2"/>
      <c r="AD973" s="2"/>
      <c r="AE973" s="2"/>
      <c r="AF973" s="2"/>
      <c r="AG973" s="2"/>
      <c r="AH973" s="2"/>
      <c r="AI973" s="2"/>
      <c r="AJ973" s="218"/>
      <c r="AK973" s="218"/>
      <c r="AL973" s="218"/>
      <c r="AM973" s="218"/>
    </row>
    <row r="974">
      <c r="A974" s="33"/>
      <c r="B974" s="2"/>
      <c r="C974" s="2"/>
      <c r="D974" s="2"/>
      <c r="E974" s="2"/>
      <c r="F974" s="4"/>
      <c r="G974" s="2"/>
      <c r="H974" s="2"/>
      <c r="I974" s="2"/>
      <c r="J974" s="5"/>
      <c r="K974" s="2"/>
      <c r="L974" s="2"/>
      <c r="M974" s="2"/>
      <c r="N974" s="2"/>
      <c r="O974" s="2"/>
      <c r="P974" s="2"/>
      <c r="Q974" s="7"/>
      <c r="R974" s="224"/>
      <c r="S974" s="224"/>
      <c r="T974" s="224"/>
      <c r="U974" s="868"/>
      <c r="V974" s="865"/>
      <c r="W974" s="2"/>
      <c r="X974" s="2"/>
      <c r="Y974" s="2"/>
      <c r="Z974" s="2"/>
      <c r="AA974" s="2"/>
      <c r="AB974" s="2"/>
      <c r="AC974" s="2"/>
      <c r="AD974" s="2"/>
      <c r="AE974" s="2"/>
      <c r="AF974" s="2"/>
      <c r="AG974" s="2"/>
      <c r="AH974" s="2"/>
      <c r="AI974" s="2"/>
      <c r="AJ974" s="218"/>
      <c r="AK974" s="218"/>
      <c r="AL974" s="218"/>
      <c r="AM974" s="218"/>
    </row>
    <row r="975">
      <c r="A975" s="33"/>
      <c r="B975" s="2"/>
      <c r="C975" s="2"/>
      <c r="D975" s="2"/>
      <c r="E975" s="2"/>
      <c r="F975" s="4"/>
      <c r="G975" s="2"/>
      <c r="H975" s="2"/>
      <c r="I975" s="2"/>
      <c r="J975" s="5"/>
      <c r="K975" s="2"/>
      <c r="L975" s="2"/>
      <c r="M975" s="2"/>
      <c r="N975" s="2"/>
      <c r="O975" s="2"/>
      <c r="P975" s="2"/>
      <c r="Q975" s="7"/>
      <c r="R975" s="224"/>
      <c r="S975" s="224"/>
      <c r="T975" s="224"/>
      <c r="U975" s="868"/>
      <c r="V975" s="865"/>
      <c r="W975" s="2"/>
      <c r="X975" s="2"/>
      <c r="Y975" s="2"/>
      <c r="Z975" s="2"/>
      <c r="AA975" s="2"/>
      <c r="AB975" s="2"/>
      <c r="AC975" s="2"/>
      <c r="AD975" s="2"/>
      <c r="AE975" s="2"/>
      <c r="AF975" s="2"/>
      <c r="AG975" s="2"/>
      <c r="AH975" s="2"/>
      <c r="AI975" s="2"/>
      <c r="AJ975" s="218"/>
      <c r="AK975" s="218"/>
      <c r="AL975" s="218"/>
      <c r="AM975" s="218"/>
    </row>
    <row r="976">
      <c r="A976" s="33"/>
      <c r="B976" s="2"/>
      <c r="C976" s="2"/>
      <c r="D976" s="2"/>
      <c r="E976" s="2"/>
      <c r="F976" s="4"/>
      <c r="G976" s="2"/>
      <c r="H976" s="2"/>
      <c r="I976" s="2"/>
      <c r="J976" s="5"/>
      <c r="K976" s="2"/>
      <c r="L976" s="2"/>
      <c r="M976" s="2"/>
      <c r="N976" s="2"/>
      <c r="O976" s="2"/>
      <c r="P976" s="2"/>
      <c r="Q976" s="7"/>
      <c r="R976" s="224"/>
      <c r="S976" s="224"/>
      <c r="T976" s="224"/>
      <c r="U976" s="868"/>
      <c r="V976" s="865"/>
      <c r="W976" s="2"/>
      <c r="X976" s="2"/>
      <c r="Y976" s="2"/>
      <c r="Z976" s="2"/>
      <c r="AA976" s="2"/>
      <c r="AB976" s="2"/>
      <c r="AC976" s="2"/>
      <c r="AD976" s="2"/>
      <c r="AE976" s="2"/>
      <c r="AF976" s="2"/>
      <c r="AG976" s="2"/>
      <c r="AH976" s="2"/>
      <c r="AI976" s="2"/>
      <c r="AJ976" s="218"/>
      <c r="AK976" s="218"/>
      <c r="AL976" s="218"/>
      <c r="AM976" s="218"/>
    </row>
    <row r="977">
      <c r="A977" s="33"/>
      <c r="B977" s="2"/>
      <c r="C977" s="2"/>
      <c r="D977" s="2"/>
      <c r="E977" s="2"/>
      <c r="F977" s="4"/>
      <c r="G977" s="2"/>
      <c r="H977" s="2"/>
      <c r="I977" s="2"/>
      <c r="J977" s="5"/>
      <c r="K977" s="2"/>
      <c r="L977" s="2"/>
      <c r="M977" s="2"/>
      <c r="N977" s="2"/>
      <c r="O977" s="2"/>
      <c r="P977" s="2"/>
      <c r="Q977" s="7"/>
      <c r="R977" s="224"/>
      <c r="S977" s="224"/>
      <c r="T977" s="224"/>
      <c r="U977" s="868"/>
      <c r="V977" s="865"/>
      <c r="W977" s="2"/>
      <c r="X977" s="2"/>
      <c r="Y977" s="2"/>
      <c r="Z977" s="2"/>
      <c r="AA977" s="2"/>
      <c r="AB977" s="2"/>
      <c r="AC977" s="2"/>
      <c r="AD977" s="2"/>
      <c r="AE977" s="2"/>
      <c r="AF977" s="2"/>
      <c r="AG977" s="2"/>
      <c r="AH977" s="2"/>
      <c r="AI977" s="2"/>
      <c r="AJ977" s="218"/>
      <c r="AK977" s="218"/>
      <c r="AL977" s="218"/>
      <c r="AM977" s="218"/>
    </row>
    <row r="978">
      <c r="A978" s="33"/>
      <c r="B978" s="2"/>
      <c r="C978" s="2"/>
      <c r="D978" s="2"/>
      <c r="E978" s="2"/>
      <c r="F978" s="4"/>
      <c r="G978" s="2"/>
      <c r="H978" s="2"/>
      <c r="I978" s="2"/>
      <c r="J978" s="5"/>
      <c r="K978" s="2"/>
      <c r="L978" s="2"/>
      <c r="M978" s="2"/>
      <c r="N978" s="2"/>
      <c r="O978" s="2"/>
      <c r="P978" s="2"/>
      <c r="Q978" s="7"/>
      <c r="R978" s="224"/>
      <c r="S978" s="224"/>
      <c r="T978" s="224"/>
      <c r="U978" s="868"/>
      <c r="V978" s="865"/>
      <c r="W978" s="2"/>
      <c r="X978" s="2"/>
      <c r="Y978" s="2"/>
      <c r="Z978" s="2"/>
      <c r="AA978" s="2"/>
      <c r="AB978" s="2"/>
      <c r="AC978" s="2"/>
      <c r="AD978" s="2"/>
      <c r="AE978" s="2"/>
      <c r="AF978" s="2"/>
      <c r="AG978" s="2"/>
      <c r="AH978" s="2"/>
      <c r="AI978" s="2"/>
      <c r="AJ978" s="218"/>
      <c r="AK978" s="218"/>
      <c r="AL978" s="218"/>
      <c r="AM978" s="218"/>
    </row>
    <row r="979">
      <c r="A979" s="33"/>
      <c r="B979" s="2"/>
      <c r="C979" s="2"/>
      <c r="D979" s="2"/>
      <c r="E979" s="2"/>
      <c r="F979" s="4"/>
      <c r="G979" s="2"/>
      <c r="H979" s="2"/>
      <c r="I979" s="2"/>
      <c r="J979" s="5"/>
      <c r="K979" s="2"/>
      <c r="L979" s="2"/>
      <c r="M979" s="2"/>
      <c r="N979" s="2"/>
      <c r="O979" s="2"/>
      <c r="P979" s="2"/>
      <c r="Q979" s="7"/>
      <c r="R979" s="224"/>
      <c r="S979" s="224"/>
      <c r="T979" s="224"/>
      <c r="U979" s="868"/>
      <c r="V979" s="865"/>
      <c r="W979" s="2"/>
      <c r="X979" s="2"/>
      <c r="Y979" s="2"/>
      <c r="Z979" s="2"/>
      <c r="AA979" s="2"/>
      <c r="AB979" s="2"/>
      <c r="AC979" s="2"/>
      <c r="AD979" s="2"/>
      <c r="AE979" s="2"/>
      <c r="AF979" s="2"/>
      <c r="AG979" s="2"/>
      <c r="AH979" s="2"/>
      <c r="AI979" s="2"/>
      <c r="AJ979" s="218"/>
      <c r="AK979" s="218"/>
      <c r="AL979" s="218"/>
      <c r="AM979" s="218"/>
    </row>
    <row r="980">
      <c r="A980" s="33"/>
      <c r="B980" s="2"/>
      <c r="C980" s="2"/>
      <c r="D980" s="2"/>
      <c r="E980" s="2"/>
      <c r="F980" s="4"/>
      <c r="G980" s="2"/>
      <c r="H980" s="2"/>
      <c r="I980" s="2"/>
      <c r="J980" s="5"/>
      <c r="K980" s="2"/>
      <c r="L980" s="2"/>
      <c r="M980" s="2"/>
      <c r="N980" s="2"/>
      <c r="O980" s="2"/>
      <c r="P980" s="2"/>
      <c r="Q980" s="7"/>
      <c r="R980" s="224"/>
      <c r="S980" s="224"/>
      <c r="T980" s="224"/>
      <c r="U980" s="868"/>
      <c r="V980" s="865"/>
      <c r="W980" s="2"/>
      <c r="X980" s="2"/>
      <c r="Y980" s="2"/>
      <c r="Z980" s="2"/>
      <c r="AA980" s="2"/>
      <c r="AB980" s="2"/>
      <c r="AC980" s="2"/>
      <c r="AD980" s="2"/>
      <c r="AE980" s="2"/>
      <c r="AF980" s="2"/>
      <c r="AG980" s="2"/>
      <c r="AH980" s="2"/>
      <c r="AI980" s="2"/>
      <c r="AJ980" s="218"/>
      <c r="AK980" s="218"/>
      <c r="AL980" s="218"/>
      <c r="AM980" s="218"/>
    </row>
    <row r="981">
      <c r="A981" s="33"/>
      <c r="B981" s="2"/>
      <c r="C981" s="2"/>
      <c r="D981" s="2"/>
      <c r="E981" s="2"/>
      <c r="F981" s="4"/>
      <c r="G981" s="2"/>
      <c r="H981" s="2"/>
      <c r="I981" s="2"/>
      <c r="J981" s="5"/>
      <c r="K981" s="2"/>
      <c r="L981" s="2"/>
      <c r="M981" s="2"/>
      <c r="N981" s="2"/>
      <c r="O981" s="2"/>
      <c r="P981" s="2"/>
      <c r="Q981" s="7"/>
      <c r="R981" s="224"/>
      <c r="S981" s="224"/>
      <c r="T981" s="224"/>
      <c r="U981" s="868"/>
      <c r="V981" s="865"/>
      <c r="W981" s="2"/>
      <c r="X981" s="2"/>
      <c r="Y981" s="2"/>
      <c r="Z981" s="2"/>
      <c r="AA981" s="2"/>
      <c r="AB981" s="2"/>
      <c r="AC981" s="2"/>
      <c r="AD981" s="2"/>
      <c r="AE981" s="2"/>
      <c r="AF981" s="2"/>
      <c r="AG981" s="2"/>
      <c r="AH981" s="2"/>
      <c r="AI981" s="2"/>
      <c r="AJ981" s="218"/>
      <c r="AK981" s="218"/>
      <c r="AL981" s="218"/>
      <c r="AM981" s="218"/>
    </row>
    <row r="982">
      <c r="A982" s="33"/>
      <c r="B982" s="2"/>
      <c r="C982" s="2"/>
      <c r="D982" s="2"/>
      <c r="E982" s="2"/>
      <c r="F982" s="4"/>
      <c r="G982" s="2"/>
      <c r="H982" s="2"/>
      <c r="I982" s="2"/>
      <c r="J982" s="5"/>
      <c r="K982" s="2"/>
      <c r="L982" s="2"/>
      <c r="M982" s="2"/>
      <c r="N982" s="2"/>
      <c r="O982" s="2"/>
      <c r="P982" s="2"/>
      <c r="Q982" s="7"/>
      <c r="R982" s="224"/>
      <c r="S982" s="224"/>
      <c r="T982" s="224"/>
      <c r="U982" s="868"/>
      <c r="V982" s="865"/>
      <c r="W982" s="2"/>
      <c r="X982" s="2"/>
      <c r="Y982" s="2"/>
      <c r="Z982" s="2"/>
      <c r="AA982" s="2"/>
      <c r="AB982" s="2"/>
      <c r="AC982" s="2"/>
      <c r="AD982" s="2"/>
      <c r="AE982" s="2"/>
      <c r="AF982" s="2"/>
      <c r="AG982" s="2"/>
      <c r="AH982" s="2"/>
      <c r="AI982" s="2"/>
      <c r="AJ982" s="218"/>
      <c r="AK982" s="218"/>
      <c r="AL982" s="218"/>
      <c r="AM982" s="218"/>
    </row>
    <row r="983">
      <c r="A983" s="33"/>
      <c r="B983" s="2"/>
      <c r="C983" s="2"/>
      <c r="D983" s="2"/>
      <c r="E983" s="2"/>
      <c r="F983" s="4"/>
      <c r="G983" s="2"/>
      <c r="H983" s="2"/>
      <c r="I983" s="2"/>
      <c r="J983" s="5"/>
      <c r="K983" s="2"/>
      <c r="L983" s="2"/>
      <c r="M983" s="2"/>
      <c r="N983" s="2"/>
      <c r="O983" s="2"/>
      <c r="P983" s="2"/>
      <c r="Q983" s="7"/>
      <c r="R983" s="224"/>
      <c r="S983" s="224"/>
      <c r="T983" s="224"/>
      <c r="U983" s="868"/>
      <c r="V983" s="865"/>
      <c r="W983" s="2"/>
      <c r="X983" s="2"/>
      <c r="Y983" s="2"/>
      <c r="Z983" s="2"/>
      <c r="AA983" s="2"/>
      <c r="AB983" s="2"/>
      <c r="AC983" s="2"/>
      <c r="AD983" s="2"/>
      <c r="AE983" s="2"/>
      <c r="AF983" s="2"/>
      <c r="AG983" s="2"/>
      <c r="AH983" s="2"/>
      <c r="AI983" s="2"/>
      <c r="AJ983" s="218"/>
      <c r="AK983" s="218"/>
      <c r="AL983" s="218"/>
      <c r="AM983" s="218"/>
    </row>
    <row r="984">
      <c r="A984" s="33"/>
      <c r="B984" s="2"/>
      <c r="C984" s="2"/>
      <c r="D984" s="2"/>
      <c r="E984" s="2"/>
      <c r="F984" s="4"/>
      <c r="G984" s="2"/>
      <c r="H984" s="2"/>
      <c r="I984" s="2"/>
      <c r="J984" s="5"/>
      <c r="K984" s="2"/>
      <c r="L984" s="2"/>
      <c r="M984" s="2"/>
      <c r="N984" s="2"/>
      <c r="O984" s="2"/>
      <c r="P984" s="2"/>
      <c r="Q984" s="7"/>
      <c r="R984" s="224"/>
      <c r="S984" s="224"/>
      <c r="T984" s="224"/>
      <c r="U984" s="868"/>
      <c r="V984" s="865"/>
      <c r="W984" s="2"/>
      <c r="X984" s="2"/>
      <c r="Y984" s="2"/>
      <c r="Z984" s="2"/>
      <c r="AA984" s="2"/>
      <c r="AB984" s="2"/>
      <c r="AC984" s="2"/>
      <c r="AD984" s="2"/>
      <c r="AE984" s="2"/>
      <c r="AF984" s="2"/>
      <c r="AG984" s="2"/>
      <c r="AH984" s="2"/>
      <c r="AI984" s="2"/>
      <c r="AJ984" s="218"/>
      <c r="AK984" s="218"/>
      <c r="AL984" s="218"/>
      <c r="AM984" s="218"/>
    </row>
    <row r="985">
      <c r="A985" s="33"/>
      <c r="B985" s="2"/>
      <c r="C985" s="2"/>
      <c r="D985" s="2"/>
      <c r="E985" s="2"/>
      <c r="F985" s="4"/>
      <c r="G985" s="2"/>
      <c r="H985" s="2"/>
      <c r="I985" s="2"/>
      <c r="J985" s="5"/>
      <c r="K985" s="2"/>
      <c r="L985" s="2"/>
      <c r="M985" s="2"/>
      <c r="N985" s="2"/>
      <c r="O985" s="2"/>
      <c r="P985" s="2"/>
      <c r="Q985" s="7"/>
      <c r="R985" s="224"/>
      <c r="S985" s="224"/>
      <c r="T985" s="224"/>
      <c r="U985" s="868"/>
      <c r="V985" s="865"/>
      <c r="W985" s="2"/>
      <c r="X985" s="2"/>
      <c r="Y985" s="2"/>
      <c r="Z985" s="2"/>
      <c r="AA985" s="2"/>
      <c r="AB985" s="2"/>
      <c r="AC985" s="2"/>
      <c r="AD985" s="2"/>
      <c r="AE985" s="2"/>
      <c r="AF985" s="2"/>
      <c r="AG985" s="2"/>
      <c r="AH985" s="2"/>
      <c r="AI985" s="2"/>
      <c r="AJ985" s="218"/>
      <c r="AK985" s="218"/>
      <c r="AL985" s="218"/>
      <c r="AM985" s="218"/>
    </row>
    <row r="986">
      <c r="A986" s="33"/>
      <c r="B986" s="2"/>
      <c r="C986" s="2"/>
      <c r="D986" s="2"/>
      <c r="E986" s="2"/>
      <c r="F986" s="4"/>
      <c r="G986" s="2"/>
      <c r="H986" s="2"/>
      <c r="I986" s="2"/>
      <c r="J986" s="5"/>
      <c r="K986" s="2"/>
      <c r="L986" s="2"/>
      <c r="M986" s="2"/>
      <c r="N986" s="2"/>
      <c r="O986" s="2"/>
      <c r="P986" s="2"/>
      <c r="Q986" s="7"/>
      <c r="R986" s="224"/>
      <c r="S986" s="224"/>
      <c r="T986" s="224"/>
      <c r="U986" s="868"/>
      <c r="V986" s="865"/>
      <c r="W986" s="2"/>
      <c r="X986" s="2"/>
      <c r="Y986" s="2"/>
      <c r="Z986" s="2"/>
      <c r="AA986" s="2"/>
      <c r="AB986" s="2"/>
      <c r="AC986" s="2"/>
      <c r="AD986" s="2"/>
      <c r="AE986" s="2"/>
      <c r="AF986" s="2"/>
      <c r="AG986" s="2"/>
      <c r="AH986" s="2"/>
      <c r="AI986" s="2"/>
      <c r="AJ986" s="218"/>
      <c r="AK986" s="218"/>
      <c r="AL986" s="218"/>
      <c r="AM986" s="218"/>
    </row>
    <row r="987">
      <c r="A987" s="33"/>
      <c r="B987" s="2"/>
      <c r="C987" s="2"/>
      <c r="D987" s="2"/>
      <c r="E987" s="2"/>
      <c r="F987" s="4"/>
      <c r="G987" s="2"/>
      <c r="H987" s="2"/>
      <c r="I987" s="2"/>
      <c r="J987" s="5"/>
      <c r="K987" s="2"/>
      <c r="L987" s="2"/>
      <c r="M987" s="2"/>
      <c r="N987" s="2"/>
      <c r="O987" s="2"/>
      <c r="P987" s="2"/>
      <c r="Q987" s="7"/>
      <c r="R987" s="224"/>
      <c r="S987" s="224"/>
      <c r="T987" s="224"/>
      <c r="U987" s="868"/>
      <c r="V987" s="865"/>
      <c r="W987" s="2"/>
      <c r="X987" s="2"/>
      <c r="Y987" s="2"/>
      <c r="Z987" s="2"/>
      <c r="AA987" s="2"/>
      <c r="AB987" s="2"/>
      <c r="AC987" s="2"/>
      <c r="AD987" s="2"/>
      <c r="AE987" s="2"/>
      <c r="AF987" s="2"/>
      <c r="AG987" s="2"/>
      <c r="AH987" s="2"/>
      <c r="AI987" s="2"/>
      <c r="AJ987" s="218"/>
      <c r="AK987" s="218"/>
      <c r="AL987" s="218"/>
      <c r="AM987" s="218"/>
    </row>
    <row r="988">
      <c r="A988" s="33"/>
      <c r="B988" s="2"/>
      <c r="C988" s="2"/>
      <c r="D988" s="2"/>
      <c r="E988" s="2"/>
      <c r="F988" s="4"/>
      <c r="G988" s="2"/>
      <c r="H988" s="2"/>
      <c r="I988" s="2"/>
      <c r="J988" s="5"/>
      <c r="K988" s="2"/>
      <c r="L988" s="2"/>
      <c r="M988" s="2"/>
      <c r="N988" s="2"/>
      <c r="O988" s="2"/>
      <c r="P988" s="2"/>
      <c r="Q988" s="7"/>
      <c r="R988" s="224"/>
      <c r="S988" s="224"/>
      <c r="T988" s="224"/>
      <c r="U988" s="868"/>
      <c r="V988" s="865"/>
      <c r="W988" s="2"/>
      <c r="X988" s="2"/>
      <c r="Y988" s="2"/>
      <c r="Z988" s="2"/>
      <c r="AA988" s="2"/>
      <c r="AB988" s="2"/>
      <c r="AC988" s="2"/>
      <c r="AD988" s="2"/>
      <c r="AE988" s="2"/>
      <c r="AF988" s="2"/>
      <c r="AG988" s="2"/>
      <c r="AH988" s="2"/>
      <c r="AI988" s="2"/>
      <c r="AJ988" s="218"/>
      <c r="AK988" s="218"/>
      <c r="AL988" s="218"/>
      <c r="AM988" s="218"/>
    </row>
    <row r="989">
      <c r="A989" s="33"/>
      <c r="B989" s="2"/>
      <c r="C989" s="2"/>
      <c r="D989" s="2"/>
      <c r="E989" s="2"/>
      <c r="F989" s="4"/>
      <c r="G989" s="2"/>
      <c r="H989" s="2"/>
      <c r="I989" s="2"/>
      <c r="J989" s="5"/>
      <c r="K989" s="2"/>
      <c r="L989" s="2"/>
      <c r="M989" s="2"/>
      <c r="N989" s="2"/>
      <c r="O989" s="2"/>
      <c r="P989" s="2"/>
      <c r="Q989" s="7"/>
      <c r="R989" s="224"/>
      <c r="S989" s="224"/>
      <c r="T989" s="224"/>
      <c r="U989" s="868"/>
      <c r="V989" s="865"/>
      <c r="W989" s="2"/>
      <c r="X989" s="2"/>
      <c r="Y989" s="2"/>
      <c r="Z989" s="2"/>
      <c r="AA989" s="2"/>
      <c r="AB989" s="2"/>
      <c r="AC989" s="2"/>
      <c r="AD989" s="2"/>
      <c r="AE989" s="2"/>
      <c r="AF989" s="2"/>
      <c r="AG989" s="2"/>
      <c r="AH989" s="2"/>
      <c r="AI989" s="2"/>
      <c r="AJ989" s="218"/>
      <c r="AK989" s="218"/>
      <c r="AL989" s="218"/>
      <c r="AM989" s="218"/>
    </row>
    <row r="990">
      <c r="A990" s="33"/>
      <c r="B990" s="2"/>
      <c r="C990" s="2"/>
      <c r="D990" s="2"/>
      <c r="E990" s="2"/>
      <c r="F990" s="4"/>
      <c r="G990" s="2"/>
      <c r="H990" s="2"/>
      <c r="I990" s="2"/>
      <c r="J990" s="5"/>
      <c r="K990" s="2"/>
      <c r="L990" s="2"/>
      <c r="M990" s="2"/>
      <c r="N990" s="2"/>
      <c r="O990" s="2"/>
      <c r="P990" s="2"/>
      <c r="Q990" s="7"/>
      <c r="R990" s="224"/>
      <c r="S990" s="224"/>
      <c r="T990" s="224"/>
      <c r="U990" s="868"/>
      <c r="V990" s="865"/>
      <c r="W990" s="2"/>
      <c r="X990" s="2"/>
      <c r="Y990" s="2"/>
      <c r="Z990" s="2"/>
      <c r="AA990" s="2"/>
      <c r="AB990" s="2"/>
      <c r="AC990" s="2"/>
      <c r="AD990" s="2"/>
      <c r="AE990" s="2"/>
      <c r="AF990" s="2"/>
      <c r="AG990" s="2"/>
      <c r="AH990" s="2"/>
      <c r="AI990" s="2"/>
      <c r="AJ990" s="218"/>
      <c r="AK990" s="218"/>
      <c r="AL990" s="218"/>
      <c r="AM990" s="218"/>
    </row>
    <row r="991">
      <c r="A991" s="33"/>
      <c r="B991" s="2"/>
      <c r="C991" s="2"/>
      <c r="D991" s="2"/>
      <c r="E991" s="2"/>
      <c r="F991" s="4"/>
      <c r="G991" s="2"/>
      <c r="H991" s="2"/>
      <c r="I991" s="2"/>
      <c r="J991" s="5"/>
      <c r="K991" s="2"/>
      <c r="L991" s="2"/>
      <c r="M991" s="2"/>
      <c r="N991" s="2"/>
      <c r="O991" s="2"/>
      <c r="P991" s="2"/>
      <c r="Q991" s="7"/>
      <c r="R991" s="224"/>
      <c r="S991" s="224"/>
      <c r="T991" s="224"/>
      <c r="U991" s="868"/>
      <c r="V991" s="865"/>
      <c r="W991" s="2"/>
      <c r="X991" s="2"/>
      <c r="Y991" s="2"/>
      <c r="Z991" s="2"/>
      <c r="AA991" s="2"/>
      <c r="AB991" s="2"/>
      <c r="AC991" s="2"/>
      <c r="AD991" s="2"/>
      <c r="AE991" s="2"/>
      <c r="AF991" s="2"/>
      <c r="AG991" s="2"/>
      <c r="AH991" s="2"/>
      <c r="AI991" s="2"/>
      <c r="AJ991" s="218"/>
      <c r="AK991" s="218"/>
      <c r="AL991" s="218"/>
      <c r="AM991" s="218"/>
    </row>
    <row r="992">
      <c r="A992" s="33"/>
      <c r="B992" s="2"/>
      <c r="C992" s="2"/>
      <c r="D992" s="2"/>
      <c r="E992" s="2"/>
      <c r="F992" s="4"/>
      <c r="G992" s="2"/>
      <c r="H992" s="2"/>
      <c r="I992" s="2"/>
      <c r="J992" s="5"/>
      <c r="K992" s="2"/>
      <c r="L992" s="2"/>
      <c r="M992" s="2"/>
      <c r="N992" s="2"/>
      <c r="O992" s="2"/>
      <c r="P992" s="2"/>
      <c r="Q992" s="7"/>
      <c r="R992" s="224"/>
      <c r="S992" s="224"/>
      <c r="T992" s="224"/>
      <c r="U992" s="868"/>
      <c r="V992" s="865"/>
      <c r="W992" s="2"/>
      <c r="X992" s="2"/>
      <c r="Y992" s="2"/>
      <c r="Z992" s="2"/>
      <c r="AA992" s="2"/>
      <c r="AB992" s="2"/>
      <c r="AC992" s="2"/>
      <c r="AD992" s="2"/>
      <c r="AE992" s="2"/>
      <c r="AF992" s="2"/>
      <c r="AG992" s="2"/>
      <c r="AH992" s="2"/>
      <c r="AI992" s="2"/>
      <c r="AJ992" s="218"/>
      <c r="AK992" s="218"/>
      <c r="AL992" s="218"/>
      <c r="AM992" s="218"/>
    </row>
    <row r="993">
      <c r="A993" s="33"/>
      <c r="B993" s="2"/>
      <c r="C993" s="2"/>
      <c r="D993" s="2"/>
      <c r="E993" s="2"/>
      <c r="F993" s="4"/>
      <c r="G993" s="2"/>
      <c r="H993" s="2"/>
      <c r="I993" s="2"/>
      <c r="J993" s="5"/>
      <c r="K993" s="2"/>
      <c r="L993" s="2"/>
      <c r="M993" s="2"/>
      <c r="N993" s="2"/>
      <c r="O993" s="2"/>
      <c r="P993" s="2"/>
      <c r="Q993" s="7"/>
      <c r="R993" s="224"/>
      <c r="S993" s="224"/>
      <c r="T993" s="224"/>
      <c r="U993" s="868"/>
      <c r="V993" s="865"/>
      <c r="W993" s="2"/>
      <c r="X993" s="2"/>
      <c r="Y993" s="2"/>
      <c r="Z993" s="2"/>
      <c r="AA993" s="2"/>
      <c r="AB993" s="2"/>
      <c r="AC993" s="2"/>
      <c r="AD993" s="2"/>
      <c r="AE993" s="2"/>
      <c r="AF993" s="2"/>
      <c r="AG993" s="2"/>
      <c r="AH993" s="2"/>
      <c r="AI993" s="2"/>
      <c r="AJ993" s="218"/>
      <c r="AK993" s="218"/>
      <c r="AL993" s="218"/>
      <c r="AM993" s="218"/>
    </row>
    <row r="994">
      <c r="A994" s="33"/>
      <c r="B994" s="2"/>
      <c r="C994" s="2"/>
      <c r="D994" s="2"/>
      <c r="E994" s="2"/>
      <c r="F994" s="4"/>
      <c r="G994" s="2"/>
      <c r="H994" s="2"/>
      <c r="I994" s="2"/>
      <c r="J994" s="5"/>
      <c r="K994" s="2"/>
      <c r="L994" s="2"/>
      <c r="M994" s="2"/>
      <c r="N994" s="2"/>
      <c r="O994" s="2"/>
      <c r="P994" s="2"/>
      <c r="Q994" s="7"/>
      <c r="R994" s="224"/>
      <c r="S994" s="224"/>
      <c r="T994" s="224"/>
      <c r="U994" s="868"/>
      <c r="V994" s="865"/>
      <c r="W994" s="2"/>
      <c r="X994" s="2"/>
      <c r="Y994" s="2"/>
      <c r="Z994" s="2"/>
      <c r="AA994" s="2"/>
      <c r="AB994" s="2"/>
      <c r="AC994" s="2"/>
      <c r="AD994" s="2"/>
      <c r="AE994" s="2"/>
      <c r="AF994" s="2"/>
      <c r="AG994" s="2"/>
      <c r="AH994" s="2"/>
      <c r="AI994" s="2"/>
      <c r="AJ994" s="218"/>
      <c r="AK994" s="218"/>
      <c r="AL994" s="218"/>
      <c r="AM994" s="218"/>
    </row>
    <row r="995">
      <c r="A995" s="33"/>
      <c r="B995" s="2"/>
      <c r="C995" s="2"/>
      <c r="D995" s="2"/>
      <c r="E995" s="2"/>
      <c r="F995" s="4"/>
      <c r="G995" s="2"/>
      <c r="H995" s="2"/>
      <c r="I995" s="2"/>
      <c r="J995" s="5"/>
      <c r="K995" s="2"/>
      <c r="L995" s="2"/>
      <c r="M995" s="2"/>
      <c r="N995" s="2"/>
      <c r="O995" s="2"/>
      <c r="P995" s="2"/>
      <c r="Q995" s="7"/>
      <c r="R995" s="224"/>
      <c r="S995" s="224"/>
      <c r="T995" s="224"/>
      <c r="U995" s="868"/>
      <c r="V995" s="865"/>
      <c r="W995" s="2"/>
      <c r="X995" s="2"/>
      <c r="Y995" s="2"/>
      <c r="Z995" s="2"/>
      <c r="AA995" s="2"/>
      <c r="AB995" s="2"/>
      <c r="AC995" s="2"/>
      <c r="AD995" s="2"/>
      <c r="AE995" s="2"/>
      <c r="AF995" s="2"/>
      <c r="AG995" s="2"/>
      <c r="AH995" s="2"/>
      <c r="AI995" s="2"/>
      <c r="AJ995" s="218"/>
      <c r="AK995" s="218"/>
      <c r="AL995" s="218"/>
      <c r="AM995" s="218"/>
    </row>
    <row r="996">
      <c r="A996" s="33"/>
      <c r="B996" s="2"/>
      <c r="C996" s="2"/>
      <c r="D996" s="2"/>
      <c r="E996" s="2"/>
      <c r="F996" s="4"/>
      <c r="G996" s="2"/>
      <c r="H996" s="2"/>
      <c r="I996" s="2"/>
      <c r="J996" s="5"/>
      <c r="K996" s="2"/>
      <c r="L996" s="2"/>
      <c r="M996" s="2"/>
      <c r="N996" s="2"/>
      <c r="O996" s="2"/>
      <c r="P996" s="2"/>
      <c r="Q996" s="7"/>
      <c r="R996" s="224"/>
      <c r="S996" s="224"/>
      <c r="T996" s="224"/>
      <c r="U996" s="868"/>
      <c r="V996" s="865"/>
      <c r="W996" s="2"/>
      <c r="X996" s="2"/>
      <c r="Y996" s="2"/>
      <c r="Z996" s="2"/>
      <c r="AA996" s="2"/>
      <c r="AB996" s="2"/>
      <c r="AC996" s="2"/>
      <c r="AD996" s="2"/>
      <c r="AE996" s="2"/>
      <c r="AF996" s="2"/>
      <c r="AG996" s="2"/>
      <c r="AH996" s="2"/>
      <c r="AI996" s="2"/>
      <c r="AJ996" s="218"/>
      <c r="AK996" s="218"/>
      <c r="AL996" s="218"/>
      <c r="AM996" s="218"/>
    </row>
    <row r="997">
      <c r="A997" s="33"/>
      <c r="B997" s="2"/>
      <c r="C997" s="2"/>
      <c r="D997" s="2"/>
      <c r="E997" s="2"/>
      <c r="F997" s="4"/>
      <c r="G997" s="2"/>
      <c r="H997" s="2"/>
      <c r="I997" s="2"/>
      <c r="J997" s="5"/>
      <c r="K997" s="2"/>
      <c r="L997" s="2"/>
      <c r="M997" s="2"/>
      <c r="N997" s="2"/>
      <c r="O997" s="2"/>
      <c r="P997" s="2"/>
      <c r="Q997" s="7"/>
      <c r="R997" s="224"/>
      <c r="S997" s="224"/>
      <c r="T997" s="224"/>
      <c r="U997" s="868"/>
      <c r="V997" s="865"/>
      <c r="W997" s="2"/>
      <c r="X997" s="2"/>
      <c r="Y997" s="2"/>
      <c r="Z997" s="2"/>
      <c r="AA997" s="2"/>
      <c r="AB997" s="2"/>
      <c r="AC997" s="2"/>
      <c r="AD997" s="2"/>
      <c r="AE997" s="2"/>
      <c r="AF997" s="2"/>
      <c r="AG997" s="2"/>
      <c r="AH997" s="2"/>
      <c r="AI997" s="2"/>
      <c r="AJ997" s="218"/>
      <c r="AK997" s="218"/>
      <c r="AL997" s="218"/>
      <c r="AM997" s="218"/>
    </row>
    <row r="998">
      <c r="A998" s="33"/>
      <c r="B998" s="2"/>
      <c r="C998" s="2"/>
      <c r="D998" s="2"/>
      <c r="E998" s="2"/>
      <c r="F998" s="4"/>
      <c r="G998" s="2"/>
      <c r="H998" s="2"/>
      <c r="I998" s="2"/>
      <c r="J998" s="5"/>
      <c r="K998" s="2"/>
      <c r="L998" s="2"/>
      <c r="M998" s="2"/>
      <c r="N998" s="2"/>
      <c r="O998" s="2"/>
      <c r="P998" s="2"/>
      <c r="Q998" s="7"/>
      <c r="R998" s="224"/>
      <c r="S998" s="224"/>
      <c r="T998" s="224"/>
      <c r="U998" s="868"/>
      <c r="V998" s="865"/>
      <c r="W998" s="2"/>
      <c r="X998" s="2"/>
      <c r="Y998" s="2"/>
      <c r="Z998" s="2"/>
      <c r="AA998" s="2"/>
      <c r="AB998" s="2"/>
      <c r="AC998" s="2"/>
      <c r="AD998" s="2"/>
      <c r="AE998" s="2"/>
      <c r="AF998" s="2"/>
      <c r="AG998" s="2"/>
      <c r="AH998" s="2"/>
      <c r="AI998" s="2"/>
      <c r="AJ998" s="218"/>
      <c r="AK998" s="218"/>
      <c r="AL998" s="218"/>
      <c r="AM998" s="218"/>
    </row>
    <row r="999">
      <c r="A999" s="33"/>
      <c r="B999" s="2"/>
      <c r="C999" s="2"/>
      <c r="D999" s="2"/>
      <c r="E999" s="2"/>
      <c r="F999" s="4"/>
      <c r="G999" s="2"/>
      <c r="H999" s="2"/>
      <c r="I999" s="2"/>
      <c r="J999" s="5"/>
      <c r="K999" s="2"/>
      <c r="L999" s="2"/>
      <c r="M999" s="2"/>
      <c r="N999" s="2"/>
      <c r="O999" s="2"/>
      <c r="P999" s="2"/>
      <c r="Q999" s="7"/>
      <c r="R999" s="224"/>
      <c r="S999" s="224"/>
      <c r="T999" s="224"/>
      <c r="U999" s="868"/>
      <c r="V999" s="865"/>
      <c r="W999" s="2"/>
      <c r="X999" s="2"/>
      <c r="Y999" s="2"/>
      <c r="Z999" s="2"/>
      <c r="AA999" s="2"/>
      <c r="AB999" s="2"/>
      <c r="AC999" s="2"/>
      <c r="AD999" s="2"/>
      <c r="AE999" s="2"/>
      <c r="AF999" s="2"/>
      <c r="AG999" s="2"/>
      <c r="AH999" s="2"/>
      <c r="AI999" s="2"/>
      <c r="AJ999" s="218"/>
      <c r="AK999" s="218"/>
      <c r="AL999" s="218"/>
      <c r="AM999" s="218"/>
    </row>
    <row r="1000">
      <c r="A1000" s="33"/>
      <c r="B1000" s="2"/>
      <c r="C1000" s="2"/>
      <c r="D1000" s="2"/>
      <c r="E1000" s="2"/>
      <c r="F1000" s="4"/>
      <c r="G1000" s="2"/>
      <c r="H1000" s="2"/>
      <c r="I1000" s="2"/>
      <c r="J1000" s="5"/>
      <c r="K1000" s="2"/>
      <c r="L1000" s="2"/>
      <c r="M1000" s="2"/>
      <c r="N1000" s="2"/>
      <c r="O1000" s="2"/>
      <c r="P1000" s="2"/>
      <c r="Q1000" s="7"/>
      <c r="R1000" s="224"/>
      <c r="S1000" s="224"/>
      <c r="T1000" s="224"/>
      <c r="U1000" s="868"/>
      <c r="V1000" s="865"/>
      <c r="W1000" s="2"/>
      <c r="X1000" s="2"/>
      <c r="Y1000" s="2"/>
      <c r="Z1000" s="2"/>
      <c r="AA1000" s="2"/>
      <c r="AB1000" s="2"/>
      <c r="AC1000" s="2"/>
      <c r="AD1000" s="2"/>
      <c r="AE1000" s="2"/>
      <c r="AF1000" s="2"/>
      <c r="AG1000" s="2"/>
      <c r="AH1000" s="2"/>
      <c r="AI1000" s="2"/>
      <c r="AJ1000" s="218"/>
      <c r="AK1000" s="218"/>
      <c r="AL1000" s="218"/>
      <c r="AM1000" s="218"/>
    </row>
    <row r="1001">
      <c r="A1001" s="33"/>
      <c r="B1001" s="2"/>
      <c r="C1001" s="2"/>
      <c r="D1001" s="2"/>
      <c r="E1001" s="2"/>
      <c r="F1001" s="4"/>
      <c r="G1001" s="2"/>
      <c r="H1001" s="2"/>
      <c r="I1001" s="2"/>
      <c r="J1001" s="5"/>
      <c r="K1001" s="2"/>
      <c r="L1001" s="2"/>
      <c r="M1001" s="2"/>
      <c r="N1001" s="2"/>
      <c r="O1001" s="2"/>
      <c r="P1001" s="2"/>
      <c r="Q1001" s="7"/>
      <c r="R1001" s="224"/>
      <c r="S1001" s="224"/>
      <c r="T1001" s="224"/>
      <c r="U1001" s="868"/>
      <c r="V1001" s="865"/>
      <c r="W1001" s="2"/>
      <c r="X1001" s="2"/>
      <c r="Y1001" s="2"/>
      <c r="Z1001" s="2"/>
      <c r="AA1001" s="2"/>
      <c r="AB1001" s="2"/>
      <c r="AC1001" s="2"/>
      <c r="AD1001" s="2"/>
      <c r="AE1001" s="2"/>
      <c r="AF1001" s="2"/>
      <c r="AG1001" s="2"/>
      <c r="AH1001" s="2"/>
      <c r="AI1001" s="2"/>
      <c r="AJ1001" s="218"/>
      <c r="AK1001" s="218"/>
      <c r="AL1001" s="218"/>
      <c r="AM1001" s="218"/>
    </row>
    <row r="1002">
      <c r="A1002" s="33"/>
      <c r="B1002" s="2"/>
      <c r="C1002" s="2"/>
      <c r="D1002" s="2"/>
      <c r="E1002" s="2"/>
      <c r="F1002" s="4"/>
      <c r="G1002" s="2"/>
      <c r="H1002" s="2"/>
      <c r="I1002" s="2"/>
      <c r="J1002" s="5"/>
      <c r="K1002" s="2"/>
      <c r="L1002" s="2"/>
      <c r="M1002" s="2"/>
      <c r="N1002" s="2"/>
      <c r="O1002" s="2"/>
      <c r="P1002" s="2"/>
      <c r="Q1002" s="7"/>
      <c r="R1002" s="224"/>
      <c r="S1002" s="224"/>
      <c r="T1002" s="224"/>
      <c r="U1002" s="868"/>
      <c r="V1002" s="865"/>
      <c r="W1002" s="2"/>
      <c r="X1002" s="2"/>
      <c r="Y1002" s="2"/>
      <c r="Z1002" s="2"/>
      <c r="AA1002" s="2"/>
      <c r="AB1002" s="2"/>
      <c r="AC1002" s="2"/>
      <c r="AD1002" s="2"/>
      <c r="AE1002" s="2"/>
      <c r="AF1002" s="2"/>
      <c r="AG1002" s="2"/>
      <c r="AH1002" s="2"/>
      <c r="AI1002" s="2"/>
      <c r="AJ1002" s="218"/>
      <c r="AK1002" s="218"/>
      <c r="AL1002" s="218"/>
      <c r="AM1002" s="218"/>
    </row>
    <row r="1003">
      <c r="A1003" s="33"/>
      <c r="B1003" s="2"/>
      <c r="C1003" s="2"/>
      <c r="D1003" s="2"/>
      <c r="E1003" s="2"/>
      <c r="F1003" s="4"/>
      <c r="G1003" s="2"/>
      <c r="H1003" s="2"/>
      <c r="I1003" s="2"/>
      <c r="J1003" s="5"/>
      <c r="K1003" s="2"/>
      <c r="L1003" s="2"/>
      <c r="M1003" s="2"/>
      <c r="N1003" s="2"/>
      <c r="O1003" s="2"/>
      <c r="P1003" s="2"/>
      <c r="Q1003" s="7"/>
      <c r="R1003" s="224"/>
      <c r="S1003" s="224"/>
      <c r="T1003" s="224"/>
      <c r="U1003" s="868"/>
      <c r="V1003" s="865"/>
      <c r="W1003" s="2"/>
      <c r="X1003" s="2"/>
      <c r="Y1003" s="2"/>
      <c r="Z1003" s="2"/>
      <c r="AA1003" s="2"/>
      <c r="AB1003" s="2"/>
      <c r="AC1003" s="2"/>
      <c r="AD1003" s="2"/>
      <c r="AE1003" s="2"/>
      <c r="AF1003" s="2"/>
      <c r="AG1003" s="2"/>
      <c r="AH1003" s="2"/>
      <c r="AI1003" s="2"/>
      <c r="AJ1003" s="218"/>
      <c r="AK1003" s="218"/>
      <c r="AL1003" s="218"/>
      <c r="AM1003" s="218"/>
    </row>
    <row r="1004">
      <c r="A1004" s="33"/>
      <c r="B1004" s="2"/>
      <c r="C1004" s="2"/>
      <c r="D1004" s="2"/>
      <c r="E1004" s="2"/>
      <c r="F1004" s="4"/>
      <c r="G1004" s="2"/>
      <c r="H1004" s="2"/>
      <c r="I1004" s="2"/>
      <c r="J1004" s="5"/>
      <c r="K1004" s="2"/>
      <c r="L1004" s="2"/>
      <c r="M1004" s="2"/>
      <c r="N1004" s="2"/>
      <c r="O1004" s="2"/>
      <c r="P1004" s="2"/>
      <c r="Q1004" s="7"/>
      <c r="R1004" s="224"/>
      <c r="S1004" s="224"/>
      <c r="T1004" s="224"/>
      <c r="U1004" s="868"/>
      <c r="V1004" s="865"/>
      <c r="W1004" s="2"/>
      <c r="X1004" s="2"/>
      <c r="Y1004" s="2"/>
      <c r="Z1004" s="2"/>
      <c r="AA1004" s="2"/>
      <c r="AB1004" s="2"/>
      <c r="AC1004" s="2"/>
      <c r="AD1004" s="2"/>
      <c r="AE1004" s="2"/>
      <c r="AF1004" s="2"/>
      <c r="AG1004" s="2"/>
      <c r="AH1004" s="2"/>
      <c r="AI1004" s="2"/>
      <c r="AJ1004" s="218"/>
      <c r="AK1004" s="218"/>
      <c r="AL1004" s="218"/>
      <c r="AM1004" s="218"/>
    </row>
    <row r="1005">
      <c r="A1005" s="33"/>
      <c r="B1005" s="2"/>
      <c r="C1005" s="2"/>
      <c r="D1005" s="2"/>
      <c r="E1005" s="2"/>
      <c r="F1005" s="4"/>
      <c r="G1005" s="2"/>
      <c r="H1005" s="2"/>
      <c r="I1005" s="2"/>
      <c r="J1005" s="5"/>
      <c r="K1005" s="2"/>
      <c r="L1005" s="2"/>
      <c r="M1005" s="2"/>
      <c r="N1005" s="2"/>
      <c r="O1005" s="2"/>
      <c r="P1005" s="2"/>
      <c r="Q1005" s="7"/>
      <c r="R1005" s="224"/>
      <c r="S1005" s="224"/>
      <c r="T1005" s="224"/>
      <c r="U1005" s="868"/>
      <c r="V1005" s="865"/>
      <c r="W1005" s="2"/>
      <c r="X1005" s="2"/>
      <c r="Y1005" s="2"/>
      <c r="Z1005" s="2"/>
      <c r="AA1005" s="2"/>
      <c r="AB1005" s="2"/>
      <c r="AC1005" s="2"/>
      <c r="AD1005" s="2"/>
      <c r="AE1005" s="2"/>
      <c r="AF1005" s="2"/>
      <c r="AG1005" s="2"/>
      <c r="AH1005" s="2"/>
      <c r="AI1005" s="2"/>
      <c r="AJ1005" s="218"/>
      <c r="AK1005" s="218"/>
      <c r="AL1005" s="218"/>
      <c r="AM1005" s="218"/>
    </row>
    <row r="1006">
      <c r="A1006" s="33"/>
      <c r="B1006" s="2"/>
      <c r="C1006" s="2"/>
      <c r="D1006" s="2"/>
      <c r="E1006" s="2"/>
      <c r="F1006" s="4"/>
      <c r="G1006" s="2"/>
      <c r="H1006" s="2"/>
      <c r="I1006" s="2"/>
      <c r="J1006" s="5"/>
      <c r="K1006" s="2"/>
      <c r="L1006" s="2"/>
      <c r="M1006" s="2"/>
      <c r="N1006" s="2"/>
      <c r="O1006" s="2"/>
      <c r="P1006" s="2"/>
      <c r="Q1006" s="7"/>
      <c r="R1006" s="224"/>
      <c r="S1006" s="224"/>
      <c r="T1006" s="224"/>
      <c r="U1006" s="868"/>
      <c r="V1006" s="865"/>
      <c r="W1006" s="2"/>
      <c r="X1006" s="2"/>
      <c r="Y1006" s="2"/>
      <c r="Z1006" s="2"/>
      <c r="AA1006" s="2"/>
      <c r="AB1006" s="2"/>
      <c r="AC1006" s="2"/>
      <c r="AD1006" s="2"/>
      <c r="AE1006" s="2"/>
      <c r="AF1006" s="2"/>
      <c r="AG1006" s="2"/>
      <c r="AH1006" s="2"/>
      <c r="AI1006" s="2"/>
      <c r="AJ1006" s="218"/>
      <c r="AK1006" s="218"/>
      <c r="AL1006" s="218"/>
      <c r="AM1006" s="218"/>
    </row>
    <row r="1007">
      <c r="A1007" s="33"/>
      <c r="B1007" s="2"/>
      <c r="C1007" s="2"/>
      <c r="D1007" s="2"/>
      <c r="E1007" s="2"/>
      <c r="F1007" s="4"/>
      <c r="G1007" s="2"/>
      <c r="H1007" s="2"/>
      <c r="I1007" s="2"/>
      <c r="J1007" s="5"/>
      <c r="K1007" s="2"/>
      <c r="L1007" s="2"/>
      <c r="M1007" s="2"/>
      <c r="N1007" s="2"/>
      <c r="O1007" s="2"/>
      <c r="P1007" s="2"/>
      <c r="Q1007" s="7"/>
      <c r="R1007" s="224"/>
      <c r="S1007" s="224"/>
      <c r="T1007" s="224"/>
      <c r="U1007" s="868"/>
      <c r="V1007" s="865"/>
      <c r="W1007" s="2"/>
      <c r="X1007" s="2"/>
      <c r="Y1007" s="2"/>
      <c r="Z1007" s="2"/>
      <c r="AA1007" s="2"/>
      <c r="AB1007" s="2"/>
      <c r="AC1007" s="2"/>
      <c r="AD1007" s="2"/>
      <c r="AE1007" s="2"/>
      <c r="AF1007" s="2"/>
      <c r="AG1007" s="2"/>
      <c r="AH1007" s="2"/>
      <c r="AI1007" s="2"/>
      <c r="AJ1007" s="218"/>
      <c r="AK1007" s="218"/>
      <c r="AL1007" s="218"/>
      <c r="AM1007" s="218"/>
    </row>
    <row r="1008">
      <c r="A1008" s="33"/>
      <c r="B1008" s="2"/>
      <c r="C1008" s="2"/>
      <c r="D1008" s="2"/>
      <c r="E1008" s="2"/>
      <c r="F1008" s="4"/>
      <c r="G1008" s="2"/>
      <c r="H1008" s="2"/>
      <c r="I1008" s="2"/>
      <c r="J1008" s="5"/>
      <c r="K1008" s="2"/>
      <c r="L1008" s="2"/>
      <c r="M1008" s="2"/>
      <c r="N1008" s="2"/>
      <c r="O1008" s="2"/>
      <c r="P1008" s="2"/>
      <c r="Q1008" s="7"/>
      <c r="R1008" s="224"/>
      <c r="S1008" s="224"/>
      <c r="T1008" s="224"/>
      <c r="U1008" s="868"/>
      <c r="V1008" s="865"/>
      <c r="W1008" s="2"/>
      <c r="X1008" s="2"/>
      <c r="Y1008" s="2"/>
      <c r="Z1008" s="2"/>
      <c r="AA1008" s="2"/>
      <c r="AB1008" s="2"/>
      <c r="AC1008" s="2"/>
      <c r="AD1008" s="2"/>
      <c r="AE1008" s="2"/>
      <c r="AF1008" s="2"/>
      <c r="AG1008" s="2"/>
      <c r="AH1008" s="2"/>
      <c r="AI1008" s="2"/>
      <c r="AJ1008" s="218"/>
      <c r="AK1008" s="218"/>
      <c r="AL1008" s="218"/>
      <c r="AM1008" s="218"/>
    </row>
    <row r="1009">
      <c r="A1009" s="33"/>
      <c r="B1009" s="2"/>
      <c r="C1009" s="2"/>
      <c r="D1009" s="2"/>
      <c r="E1009" s="2"/>
      <c r="F1009" s="4"/>
      <c r="G1009" s="2"/>
      <c r="H1009" s="2"/>
      <c r="I1009" s="2"/>
      <c r="J1009" s="5"/>
      <c r="K1009" s="2"/>
      <c r="L1009" s="2"/>
      <c r="M1009" s="2"/>
      <c r="N1009" s="2"/>
      <c r="O1009" s="2"/>
      <c r="P1009" s="2"/>
      <c r="Q1009" s="7"/>
      <c r="R1009" s="224"/>
      <c r="S1009" s="224"/>
      <c r="T1009" s="224"/>
      <c r="U1009" s="868"/>
      <c r="V1009" s="865"/>
      <c r="W1009" s="2"/>
      <c r="X1009" s="2"/>
      <c r="Y1009" s="2"/>
      <c r="Z1009" s="2"/>
      <c r="AA1009" s="2"/>
      <c r="AB1009" s="2"/>
      <c r="AC1009" s="2"/>
      <c r="AD1009" s="2"/>
      <c r="AE1009" s="2"/>
      <c r="AF1009" s="2"/>
      <c r="AG1009" s="2"/>
      <c r="AH1009" s="2"/>
      <c r="AI1009" s="2"/>
      <c r="AJ1009" s="218"/>
      <c r="AK1009" s="218"/>
      <c r="AL1009" s="218"/>
      <c r="AM1009" s="218"/>
    </row>
    <row r="1010">
      <c r="A1010" s="33"/>
      <c r="B1010" s="2"/>
      <c r="C1010" s="2"/>
      <c r="D1010" s="2"/>
      <c r="E1010" s="2"/>
      <c r="F1010" s="4"/>
      <c r="G1010" s="2"/>
      <c r="H1010" s="2"/>
      <c r="I1010" s="2"/>
      <c r="J1010" s="5"/>
      <c r="K1010" s="2"/>
      <c r="L1010" s="2"/>
      <c r="M1010" s="2"/>
      <c r="N1010" s="2"/>
      <c r="O1010" s="2"/>
      <c r="P1010" s="2"/>
      <c r="Q1010" s="7"/>
      <c r="R1010" s="224"/>
      <c r="S1010" s="224"/>
      <c r="T1010" s="224"/>
      <c r="U1010" s="868"/>
      <c r="V1010" s="865"/>
      <c r="W1010" s="2"/>
      <c r="X1010" s="2"/>
      <c r="Y1010" s="2"/>
      <c r="Z1010" s="2"/>
      <c r="AA1010" s="2"/>
      <c r="AB1010" s="2"/>
      <c r="AC1010" s="2"/>
      <c r="AD1010" s="2"/>
      <c r="AE1010" s="2"/>
      <c r="AF1010" s="2"/>
      <c r="AG1010" s="2"/>
      <c r="AH1010" s="2"/>
      <c r="AI1010" s="2"/>
      <c r="AJ1010" s="218"/>
      <c r="AK1010" s="218"/>
      <c r="AL1010" s="218"/>
      <c r="AM1010" s="218"/>
    </row>
    <row r="1011">
      <c r="A1011" s="33"/>
      <c r="B1011" s="2"/>
      <c r="C1011" s="2"/>
      <c r="D1011" s="2"/>
      <c r="E1011" s="2"/>
      <c r="F1011" s="4"/>
      <c r="G1011" s="2"/>
      <c r="H1011" s="2"/>
      <c r="I1011" s="2"/>
      <c r="J1011" s="5"/>
      <c r="K1011" s="2"/>
      <c r="L1011" s="2"/>
      <c r="M1011" s="2"/>
      <c r="N1011" s="2"/>
      <c r="O1011" s="2"/>
      <c r="P1011" s="2"/>
      <c r="Q1011" s="7"/>
      <c r="R1011" s="224"/>
      <c r="S1011" s="224"/>
      <c r="T1011" s="224"/>
      <c r="U1011" s="868"/>
      <c r="V1011" s="865"/>
      <c r="W1011" s="2"/>
      <c r="X1011" s="2"/>
      <c r="Y1011" s="2"/>
      <c r="Z1011" s="2"/>
      <c r="AA1011" s="2"/>
      <c r="AB1011" s="2"/>
      <c r="AC1011" s="2"/>
      <c r="AD1011" s="2"/>
      <c r="AE1011" s="2"/>
      <c r="AF1011" s="2"/>
      <c r="AG1011" s="2"/>
      <c r="AH1011" s="2"/>
      <c r="AI1011" s="2"/>
      <c r="AJ1011" s="218"/>
      <c r="AK1011" s="218"/>
      <c r="AL1011" s="218"/>
      <c r="AM1011" s="218"/>
    </row>
    <row r="1012">
      <c r="A1012" s="33"/>
      <c r="B1012" s="2"/>
      <c r="C1012" s="2"/>
      <c r="D1012" s="2"/>
      <c r="E1012" s="2"/>
      <c r="F1012" s="4"/>
      <c r="G1012" s="2"/>
      <c r="H1012" s="2"/>
      <c r="I1012" s="2"/>
      <c r="J1012" s="5"/>
      <c r="K1012" s="2"/>
      <c r="L1012" s="2"/>
      <c r="M1012" s="2"/>
      <c r="N1012" s="2"/>
      <c r="O1012" s="2"/>
      <c r="P1012" s="2"/>
      <c r="Q1012" s="7"/>
      <c r="R1012" s="224"/>
      <c r="S1012" s="224"/>
      <c r="T1012" s="224"/>
      <c r="U1012" s="868"/>
      <c r="V1012" s="865"/>
      <c r="W1012" s="2"/>
      <c r="X1012" s="2"/>
      <c r="Y1012" s="2"/>
      <c r="Z1012" s="2"/>
      <c r="AA1012" s="2"/>
      <c r="AB1012" s="2"/>
      <c r="AC1012" s="2"/>
      <c r="AD1012" s="2"/>
      <c r="AE1012" s="2"/>
      <c r="AF1012" s="2"/>
      <c r="AG1012" s="2"/>
      <c r="AH1012" s="2"/>
      <c r="AI1012" s="2"/>
      <c r="AJ1012" s="218"/>
      <c r="AK1012" s="218"/>
      <c r="AL1012" s="218"/>
      <c r="AM1012" s="218"/>
    </row>
    <row r="1013">
      <c r="A1013" s="33"/>
      <c r="B1013" s="2"/>
      <c r="C1013" s="2"/>
      <c r="D1013" s="2"/>
      <c r="E1013" s="2"/>
      <c r="F1013" s="4"/>
      <c r="G1013" s="2"/>
      <c r="H1013" s="2"/>
      <c r="I1013" s="2"/>
      <c r="J1013" s="5"/>
      <c r="K1013" s="2"/>
      <c r="L1013" s="2"/>
      <c r="M1013" s="2"/>
      <c r="N1013" s="2"/>
      <c r="O1013" s="2"/>
      <c r="P1013" s="2"/>
      <c r="Q1013" s="7"/>
      <c r="R1013" s="224"/>
      <c r="S1013" s="224"/>
      <c r="T1013" s="224"/>
      <c r="U1013" s="868"/>
      <c r="V1013" s="865"/>
      <c r="W1013" s="2"/>
      <c r="X1013" s="2"/>
      <c r="Y1013" s="2"/>
      <c r="Z1013" s="2"/>
      <c r="AA1013" s="2"/>
      <c r="AB1013" s="2"/>
      <c r="AC1013" s="2"/>
      <c r="AD1013" s="2"/>
      <c r="AE1013" s="2"/>
      <c r="AF1013" s="2"/>
      <c r="AG1013" s="2"/>
      <c r="AH1013" s="2"/>
      <c r="AI1013" s="2"/>
      <c r="AJ1013" s="218"/>
      <c r="AK1013" s="218"/>
      <c r="AL1013" s="218"/>
      <c r="AM1013" s="218"/>
    </row>
    <row r="1014">
      <c r="A1014" s="33"/>
      <c r="B1014" s="2"/>
      <c r="C1014" s="2"/>
      <c r="D1014" s="2"/>
      <c r="E1014" s="2"/>
      <c r="F1014" s="4"/>
      <c r="G1014" s="2"/>
      <c r="H1014" s="2"/>
      <c r="I1014" s="2"/>
      <c r="J1014" s="5"/>
      <c r="K1014" s="2"/>
      <c r="L1014" s="2"/>
      <c r="M1014" s="2"/>
      <c r="N1014" s="2"/>
      <c r="O1014" s="2"/>
      <c r="P1014" s="2"/>
      <c r="Q1014" s="7"/>
      <c r="R1014" s="224"/>
      <c r="S1014" s="224"/>
      <c r="T1014" s="224"/>
      <c r="U1014" s="868"/>
      <c r="V1014" s="865"/>
      <c r="W1014" s="2"/>
      <c r="X1014" s="2"/>
      <c r="Y1014" s="2"/>
      <c r="Z1014" s="2"/>
      <c r="AA1014" s="2"/>
      <c r="AB1014" s="2"/>
      <c r="AC1014" s="2"/>
      <c r="AD1014" s="2"/>
      <c r="AE1014" s="2"/>
      <c r="AF1014" s="2"/>
      <c r="AG1014" s="2"/>
      <c r="AH1014" s="2"/>
      <c r="AI1014" s="2"/>
      <c r="AJ1014" s="218"/>
      <c r="AK1014" s="218"/>
      <c r="AL1014" s="218"/>
      <c r="AM1014" s="218"/>
    </row>
    <row r="1015">
      <c r="A1015" s="33"/>
      <c r="B1015" s="2"/>
      <c r="C1015" s="2"/>
      <c r="D1015" s="2"/>
      <c r="E1015" s="2"/>
      <c r="F1015" s="4"/>
      <c r="G1015" s="2"/>
      <c r="H1015" s="2"/>
      <c r="I1015" s="2"/>
      <c r="J1015" s="5"/>
      <c r="K1015" s="2"/>
      <c r="L1015" s="2"/>
      <c r="M1015" s="2"/>
      <c r="N1015" s="2"/>
      <c r="O1015" s="2"/>
      <c r="P1015" s="2"/>
      <c r="Q1015" s="7"/>
      <c r="R1015" s="224"/>
      <c r="S1015" s="224"/>
      <c r="T1015" s="224"/>
      <c r="U1015" s="868"/>
      <c r="V1015" s="865"/>
      <c r="W1015" s="2"/>
      <c r="X1015" s="2"/>
      <c r="Y1015" s="2"/>
      <c r="Z1015" s="2"/>
      <c r="AA1015" s="2"/>
      <c r="AB1015" s="2"/>
      <c r="AC1015" s="2"/>
      <c r="AD1015" s="2"/>
      <c r="AE1015" s="2"/>
      <c r="AF1015" s="2"/>
      <c r="AG1015" s="2"/>
      <c r="AH1015" s="2"/>
      <c r="AI1015" s="2"/>
      <c r="AJ1015" s="218"/>
      <c r="AK1015" s="218"/>
      <c r="AL1015" s="218"/>
      <c r="AM1015" s="218"/>
    </row>
    <row r="1016">
      <c r="A1016" s="33"/>
      <c r="B1016" s="2"/>
      <c r="C1016" s="2"/>
      <c r="D1016" s="2"/>
      <c r="E1016" s="2"/>
      <c r="F1016" s="4"/>
      <c r="G1016" s="2"/>
      <c r="H1016" s="2"/>
      <c r="I1016" s="2"/>
      <c r="J1016" s="5"/>
      <c r="K1016" s="2"/>
      <c r="L1016" s="2"/>
      <c r="M1016" s="2"/>
      <c r="N1016" s="2"/>
      <c r="O1016" s="2"/>
      <c r="P1016" s="2"/>
      <c r="Q1016" s="7"/>
      <c r="R1016" s="224"/>
      <c r="S1016" s="224"/>
      <c r="T1016" s="224"/>
      <c r="U1016" s="868"/>
      <c r="V1016" s="865"/>
      <c r="W1016" s="2"/>
      <c r="X1016" s="2"/>
      <c r="Y1016" s="2"/>
      <c r="Z1016" s="2"/>
      <c r="AA1016" s="2"/>
      <c r="AB1016" s="2"/>
      <c r="AC1016" s="2"/>
      <c r="AD1016" s="2"/>
      <c r="AE1016" s="2"/>
      <c r="AF1016" s="2"/>
      <c r="AG1016" s="2"/>
      <c r="AH1016" s="2"/>
      <c r="AI1016" s="2"/>
      <c r="AJ1016" s="218"/>
      <c r="AK1016" s="218"/>
      <c r="AL1016" s="218"/>
      <c r="AM1016" s="218"/>
    </row>
    <row r="1017">
      <c r="A1017" s="33"/>
      <c r="B1017" s="2"/>
      <c r="C1017" s="2"/>
      <c r="D1017" s="2"/>
      <c r="E1017" s="2"/>
      <c r="F1017" s="4"/>
      <c r="G1017" s="2"/>
      <c r="H1017" s="2"/>
      <c r="I1017" s="2"/>
      <c r="J1017" s="5"/>
      <c r="K1017" s="2"/>
      <c r="L1017" s="2"/>
      <c r="M1017" s="2"/>
      <c r="N1017" s="2"/>
      <c r="O1017" s="2"/>
      <c r="P1017" s="2"/>
      <c r="Q1017" s="7"/>
      <c r="R1017" s="224"/>
      <c r="S1017" s="224"/>
      <c r="T1017" s="224"/>
      <c r="U1017" s="868"/>
      <c r="V1017" s="865"/>
      <c r="W1017" s="2"/>
      <c r="X1017" s="2"/>
      <c r="Y1017" s="2"/>
      <c r="Z1017" s="2"/>
      <c r="AA1017" s="2"/>
      <c r="AB1017" s="2"/>
      <c r="AC1017" s="2"/>
      <c r="AD1017" s="2"/>
      <c r="AE1017" s="2"/>
      <c r="AF1017" s="2"/>
      <c r="AG1017" s="2"/>
      <c r="AH1017" s="2"/>
      <c r="AI1017" s="2"/>
      <c r="AJ1017" s="218"/>
      <c r="AK1017" s="218"/>
      <c r="AL1017" s="218"/>
      <c r="AM1017" s="218"/>
    </row>
    <row r="1018">
      <c r="A1018" s="33"/>
      <c r="B1018" s="2"/>
      <c r="C1018" s="2"/>
      <c r="D1018" s="2"/>
      <c r="E1018" s="2"/>
      <c r="F1018" s="4"/>
      <c r="G1018" s="2"/>
      <c r="H1018" s="2"/>
      <c r="I1018" s="2"/>
      <c r="J1018" s="5"/>
      <c r="K1018" s="2"/>
      <c r="L1018" s="2"/>
      <c r="M1018" s="2"/>
      <c r="N1018" s="2"/>
      <c r="O1018" s="2"/>
      <c r="P1018" s="2"/>
      <c r="Q1018" s="7"/>
      <c r="R1018" s="224"/>
      <c r="S1018" s="224"/>
      <c r="T1018" s="224"/>
      <c r="U1018" s="868"/>
      <c r="V1018" s="865"/>
      <c r="W1018" s="2"/>
      <c r="X1018" s="2"/>
      <c r="Y1018" s="2"/>
      <c r="Z1018" s="2"/>
      <c r="AA1018" s="2"/>
      <c r="AB1018" s="2"/>
      <c r="AC1018" s="2"/>
      <c r="AD1018" s="2"/>
      <c r="AE1018" s="2"/>
      <c r="AF1018" s="2"/>
      <c r="AG1018" s="2"/>
      <c r="AH1018" s="2"/>
      <c r="AI1018" s="2"/>
      <c r="AJ1018" s="218"/>
      <c r="AK1018" s="218"/>
      <c r="AL1018" s="218"/>
      <c r="AM1018" s="218"/>
    </row>
    <row r="1019">
      <c r="A1019" s="33"/>
      <c r="B1019" s="2"/>
      <c r="C1019" s="2"/>
      <c r="D1019" s="2"/>
      <c r="E1019" s="2"/>
      <c r="F1019" s="4"/>
      <c r="G1019" s="2"/>
      <c r="H1019" s="2"/>
      <c r="I1019" s="2"/>
      <c r="J1019" s="5"/>
      <c r="K1019" s="2"/>
      <c r="L1019" s="2"/>
      <c r="M1019" s="2"/>
      <c r="N1019" s="2"/>
      <c r="O1019" s="2"/>
      <c r="P1019" s="2"/>
      <c r="Q1019" s="7"/>
      <c r="R1019" s="224"/>
      <c r="S1019" s="224"/>
      <c r="T1019" s="224"/>
      <c r="U1019" s="868"/>
      <c r="V1019" s="865"/>
      <c r="W1019" s="2"/>
      <c r="X1019" s="2"/>
      <c r="Y1019" s="2"/>
      <c r="Z1019" s="2"/>
      <c r="AA1019" s="2"/>
      <c r="AB1019" s="2"/>
      <c r="AC1019" s="2"/>
      <c r="AD1019" s="2"/>
      <c r="AE1019" s="2"/>
      <c r="AF1019" s="2"/>
      <c r="AG1019" s="2"/>
      <c r="AH1019" s="2"/>
      <c r="AI1019" s="2"/>
      <c r="AJ1019" s="218"/>
      <c r="AK1019" s="218"/>
      <c r="AL1019" s="218"/>
      <c r="AM1019" s="218"/>
    </row>
    <row r="1020">
      <c r="A1020" s="33"/>
      <c r="B1020" s="2"/>
      <c r="C1020" s="2"/>
      <c r="D1020" s="2"/>
      <c r="E1020" s="2"/>
      <c r="F1020" s="4"/>
      <c r="G1020" s="2"/>
      <c r="H1020" s="2"/>
      <c r="I1020" s="2"/>
      <c r="J1020" s="5"/>
      <c r="K1020" s="2"/>
      <c r="L1020" s="2"/>
      <c r="M1020" s="2"/>
      <c r="N1020" s="2"/>
      <c r="O1020" s="2"/>
      <c r="P1020" s="2"/>
      <c r="Q1020" s="7"/>
      <c r="R1020" s="224"/>
      <c r="S1020" s="224"/>
      <c r="T1020" s="224"/>
      <c r="U1020" s="868"/>
      <c r="V1020" s="865"/>
      <c r="W1020" s="2"/>
      <c r="X1020" s="2"/>
      <c r="Y1020" s="2"/>
      <c r="Z1020" s="2"/>
      <c r="AA1020" s="2"/>
      <c r="AB1020" s="2"/>
      <c r="AC1020" s="2"/>
      <c r="AD1020" s="2"/>
      <c r="AE1020" s="2"/>
      <c r="AF1020" s="2"/>
      <c r="AG1020" s="2"/>
      <c r="AH1020" s="2"/>
      <c r="AI1020" s="2"/>
      <c r="AJ1020" s="218"/>
      <c r="AK1020" s="218"/>
      <c r="AL1020" s="218"/>
      <c r="AM1020" s="218"/>
    </row>
    <row r="1021">
      <c r="A1021" s="33"/>
      <c r="B1021" s="2"/>
      <c r="C1021" s="2"/>
      <c r="D1021" s="2"/>
      <c r="E1021" s="2"/>
      <c r="F1021" s="4"/>
      <c r="G1021" s="2"/>
      <c r="H1021" s="2"/>
      <c r="I1021" s="2"/>
      <c r="J1021" s="5"/>
      <c r="K1021" s="2"/>
      <c r="L1021" s="2"/>
      <c r="M1021" s="2"/>
      <c r="N1021" s="2"/>
      <c r="O1021" s="2"/>
      <c r="P1021" s="2"/>
      <c r="Q1021" s="7"/>
      <c r="R1021" s="224"/>
      <c r="S1021" s="224"/>
      <c r="T1021" s="224"/>
      <c r="U1021" s="868"/>
      <c r="V1021" s="865"/>
      <c r="W1021" s="2"/>
      <c r="X1021" s="2"/>
      <c r="Y1021" s="2"/>
      <c r="Z1021" s="2"/>
      <c r="AA1021" s="2"/>
      <c r="AB1021" s="2"/>
      <c r="AC1021" s="2"/>
      <c r="AD1021" s="2"/>
      <c r="AE1021" s="2"/>
      <c r="AF1021" s="2"/>
      <c r="AG1021" s="2"/>
      <c r="AH1021" s="2"/>
      <c r="AI1021" s="2"/>
      <c r="AJ1021" s="218"/>
      <c r="AK1021" s="218"/>
      <c r="AL1021" s="218"/>
      <c r="AM1021" s="218"/>
    </row>
    <row r="1022">
      <c r="A1022" s="33"/>
      <c r="B1022" s="2"/>
      <c r="C1022" s="2"/>
      <c r="D1022" s="2"/>
      <c r="E1022" s="2"/>
      <c r="F1022" s="4"/>
      <c r="G1022" s="2"/>
      <c r="H1022" s="2"/>
      <c r="I1022" s="2"/>
      <c r="J1022" s="5"/>
      <c r="K1022" s="2"/>
      <c r="L1022" s="2"/>
      <c r="M1022" s="2"/>
      <c r="N1022" s="2"/>
      <c r="O1022" s="2"/>
      <c r="P1022" s="2"/>
      <c r="Q1022" s="7"/>
      <c r="R1022" s="224"/>
      <c r="S1022" s="224"/>
      <c r="T1022" s="224"/>
      <c r="U1022" s="868"/>
      <c r="V1022" s="865"/>
      <c r="W1022" s="2"/>
      <c r="X1022" s="2"/>
      <c r="Y1022" s="2"/>
      <c r="Z1022" s="2"/>
      <c r="AA1022" s="2"/>
      <c r="AB1022" s="2"/>
      <c r="AC1022" s="2"/>
      <c r="AD1022" s="2"/>
      <c r="AE1022" s="2"/>
      <c r="AF1022" s="2"/>
      <c r="AG1022" s="2"/>
      <c r="AH1022" s="2"/>
      <c r="AI1022" s="2"/>
      <c r="AJ1022" s="218"/>
      <c r="AK1022" s="218"/>
      <c r="AL1022" s="218"/>
      <c r="AM1022" s="218"/>
    </row>
    <row r="1023">
      <c r="A1023" s="33"/>
      <c r="B1023" s="2"/>
      <c r="C1023" s="2"/>
      <c r="D1023" s="2"/>
      <c r="E1023" s="2"/>
      <c r="F1023" s="4"/>
      <c r="G1023" s="2"/>
      <c r="H1023" s="2"/>
      <c r="I1023" s="2"/>
      <c r="J1023" s="5"/>
      <c r="K1023" s="2"/>
      <c r="L1023" s="2"/>
      <c r="M1023" s="2"/>
      <c r="N1023" s="2"/>
      <c r="O1023" s="2"/>
      <c r="P1023" s="2"/>
      <c r="Q1023" s="7"/>
      <c r="R1023" s="224"/>
      <c r="S1023" s="224"/>
      <c r="T1023" s="224"/>
      <c r="U1023" s="868"/>
      <c r="V1023" s="865"/>
      <c r="W1023" s="2"/>
      <c r="X1023" s="2"/>
      <c r="Y1023" s="2"/>
      <c r="Z1023" s="2"/>
      <c r="AA1023" s="2"/>
      <c r="AB1023" s="2"/>
      <c r="AC1023" s="2"/>
      <c r="AD1023" s="2"/>
      <c r="AE1023" s="2"/>
      <c r="AF1023" s="2"/>
      <c r="AG1023" s="2"/>
      <c r="AH1023" s="2"/>
      <c r="AI1023" s="2"/>
      <c r="AJ1023" s="218"/>
      <c r="AK1023" s="218"/>
      <c r="AL1023" s="218"/>
      <c r="AM1023" s="218"/>
    </row>
    <row r="1024">
      <c r="A1024" s="33"/>
      <c r="B1024" s="2"/>
      <c r="C1024" s="2"/>
      <c r="D1024" s="2"/>
      <c r="E1024" s="2"/>
      <c r="F1024" s="4"/>
      <c r="G1024" s="2"/>
      <c r="H1024" s="2"/>
      <c r="I1024" s="2"/>
      <c r="J1024" s="5"/>
      <c r="K1024" s="2"/>
      <c r="L1024" s="2"/>
      <c r="M1024" s="2"/>
      <c r="N1024" s="2"/>
      <c r="O1024" s="2"/>
      <c r="P1024" s="2"/>
      <c r="Q1024" s="7"/>
      <c r="R1024" s="224"/>
      <c r="S1024" s="224"/>
      <c r="T1024" s="224"/>
      <c r="U1024" s="868"/>
      <c r="V1024" s="865"/>
      <c r="W1024" s="2"/>
      <c r="X1024" s="2"/>
      <c r="Y1024" s="2"/>
      <c r="Z1024" s="2"/>
      <c r="AA1024" s="2"/>
      <c r="AB1024" s="2"/>
      <c r="AC1024" s="2"/>
      <c r="AD1024" s="2"/>
      <c r="AE1024" s="2"/>
      <c r="AF1024" s="2"/>
      <c r="AG1024" s="2"/>
      <c r="AH1024" s="2"/>
      <c r="AI1024" s="2"/>
      <c r="AJ1024" s="218"/>
      <c r="AK1024" s="218"/>
      <c r="AL1024" s="218"/>
      <c r="AM1024" s="218"/>
    </row>
    <row r="1025">
      <c r="A1025" s="33"/>
      <c r="B1025" s="2"/>
      <c r="C1025" s="2"/>
      <c r="D1025" s="2"/>
      <c r="E1025" s="2"/>
      <c r="F1025" s="4"/>
      <c r="G1025" s="2"/>
      <c r="H1025" s="2"/>
      <c r="I1025" s="2"/>
      <c r="J1025" s="5"/>
      <c r="K1025" s="2"/>
      <c r="L1025" s="2"/>
      <c r="M1025" s="2"/>
      <c r="N1025" s="2"/>
      <c r="O1025" s="2"/>
      <c r="P1025" s="2"/>
      <c r="Q1025" s="7"/>
      <c r="R1025" s="224"/>
      <c r="S1025" s="224"/>
      <c r="T1025" s="224"/>
      <c r="U1025" s="868"/>
      <c r="V1025" s="865"/>
      <c r="W1025" s="2"/>
      <c r="X1025" s="2"/>
      <c r="Y1025" s="2"/>
      <c r="Z1025" s="2"/>
      <c r="AA1025" s="2"/>
      <c r="AB1025" s="2"/>
      <c r="AC1025" s="2"/>
      <c r="AD1025" s="2"/>
      <c r="AE1025" s="2"/>
      <c r="AF1025" s="2"/>
      <c r="AG1025" s="2"/>
      <c r="AH1025" s="2"/>
      <c r="AI1025" s="2"/>
      <c r="AJ1025" s="218"/>
      <c r="AK1025" s="218"/>
      <c r="AL1025" s="218"/>
      <c r="AM1025" s="218"/>
    </row>
    <row r="1026">
      <c r="A1026" s="33"/>
      <c r="B1026" s="2"/>
      <c r="C1026" s="2"/>
      <c r="D1026" s="2"/>
      <c r="E1026" s="2"/>
      <c r="F1026" s="4"/>
      <c r="G1026" s="2"/>
      <c r="H1026" s="2"/>
      <c r="I1026" s="2"/>
      <c r="J1026" s="5"/>
      <c r="K1026" s="2"/>
      <c r="L1026" s="2"/>
      <c r="M1026" s="2"/>
      <c r="N1026" s="2"/>
      <c r="O1026" s="2"/>
      <c r="P1026" s="2"/>
      <c r="Q1026" s="7"/>
      <c r="R1026" s="224"/>
      <c r="S1026" s="224"/>
      <c r="T1026" s="224"/>
      <c r="U1026" s="868"/>
      <c r="V1026" s="865"/>
      <c r="W1026" s="2"/>
      <c r="X1026" s="2"/>
      <c r="Y1026" s="2"/>
      <c r="Z1026" s="2"/>
      <c r="AA1026" s="2"/>
      <c r="AB1026" s="2"/>
      <c r="AC1026" s="2"/>
      <c r="AD1026" s="2"/>
      <c r="AE1026" s="2"/>
      <c r="AF1026" s="2"/>
      <c r="AG1026" s="2"/>
      <c r="AH1026" s="2"/>
      <c r="AI1026" s="2"/>
      <c r="AJ1026" s="218"/>
      <c r="AK1026" s="218"/>
      <c r="AL1026" s="218"/>
      <c r="AM1026" s="218"/>
    </row>
    <row r="1027">
      <c r="A1027" s="33"/>
      <c r="B1027" s="2"/>
      <c r="C1027" s="2"/>
      <c r="D1027" s="2"/>
      <c r="E1027" s="2"/>
      <c r="F1027" s="4"/>
      <c r="G1027" s="2"/>
      <c r="H1027" s="2"/>
      <c r="I1027" s="2"/>
      <c r="J1027" s="5"/>
      <c r="K1027" s="2"/>
      <c r="L1027" s="2"/>
      <c r="M1027" s="2"/>
      <c r="N1027" s="2"/>
      <c r="O1027" s="2"/>
      <c r="P1027" s="2"/>
      <c r="Q1027" s="7"/>
      <c r="R1027" s="224"/>
      <c r="S1027" s="224"/>
      <c r="T1027" s="224"/>
      <c r="U1027" s="868"/>
      <c r="V1027" s="865"/>
      <c r="W1027" s="2"/>
      <c r="X1027" s="2"/>
      <c r="Y1027" s="2"/>
      <c r="Z1027" s="2"/>
      <c r="AA1027" s="2"/>
      <c r="AB1027" s="2"/>
      <c r="AC1027" s="2"/>
      <c r="AD1027" s="2"/>
      <c r="AE1027" s="2"/>
      <c r="AF1027" s="2"/>
      <c r="AG1027" s="2"/>
      <c r="AH1027" s="2"/>
      <c r="AI1027" s="2"/>
      <c r="AJ1027" s="218"/>
      <c r="AK1027" s="218"/>
      <c r="AL1027" s="218"/>
      <c r="AM1027" s="218"/>
    </row>
    <row r="1028">
      <c r="A1028" s="33"/>
      <c r="B1028" s="2"/>
      <c r="C1028" s="2"/>
      <c r="D1028" s="2"/>
      <c r="E1028" s="2"/>
      <c r="F1028" s="4"/>
      <c r="G1028" s="2"/>
      <c r="H1028" s="2"/>
      <c r="I1028" s="2"/>
      <c r="J1028" s="5"/>
      <c r="K1028" s="2"/>
      <c r="L1028" s="2"/>
      <c r="M1028" s="2"/>
      <c r="N1028" s="2"/>
      <c r="O1028" s="2"/>
      <c r="P1028" s="2"/>
      <c r="Q1028" s="7"/>
      <c r="R1028" s="224"/>
      <c r="S1028" s="224"/>
      <c r="T1028" s="224"/>
      <c r="U1028" s="868"/>
      <c r="V1028" s="865"/>
      <c r="W1028" s="2"/>
      <c r="X1028" s="2"/>
      <c r="Y1028" s="2"/>
      <c r="Z1028" s="2"/>
      <c r="AA1028" s="2"/>
      <c r="AB1028" s="2"/>
      <c r="AC1028" s="2"/>
      <c r="AD1028" s="2"/>
      <c r="AE1028" s="2"/>
      <c r="AF1028" s="2"/>
      <c r="AG1028" s="2"/>
      <c r="AH1028" s="2"/>
      <c r="AI1028" s="2"/>
      <c r="AJ1028" s="218"/>
      <c r="AK1028" s="218"/>
      <c r="AL1028" s="218"/>
      <c r="AM1028" s="218"/>
    </row>
    <row r="1029">
      <c r="A1029" s="33"/>
      <c r="B1029" s="2"/>
      <c r="C1029" s="2"/>
      <c r="D1029" s="2"/>
      <c r="E1029" s="2"/>
      <c r="F1029" s="4"/>
      <c r="G1029" s="2"/>
      <c r="H1029" s="2"/>
      <c r="I1029" s="2"/>
      <c r="J1029" s="5"/>
      <c r="K1029" s="2"/>
      <c r="L1029" s="2"/>
      <c r="M1029" s="2"/>
      <c r="N1029" s="2"/>
      <c r="O1029" s="2"/>
      <c r="P1029" s="2"/>
      <c r="Q1029" s="7"/>
      <c r="R1029" s="224"/>
      <c r="S1029" s="224"/>
      <c r="T1029" s="224"/>
      <c r="U1029" s="868"/>
      <c r="V1029" s="865"/>
      <c r="W1029" s="2"/>
      <c r="X1029" s="2"/>
      <c r="Y1029" s="2"/>
      <c r="Z1029" s="2"/>
      <c r="AA1029" s="2"/>
      <c r="AB1029" s="2"/>
      <c r="AC1029" s="2"/>
      <c r="AD1029" s="2"/>
      <c r="AE1029" s="2"/>
      <c r="AF1029" s="2"/>
      <c r="AG1029" s="2"/>
      <c r="AH1029" s="2"/>
      <c r="AI1029" s="2"/>
      <c r="AJ1029" s="218"/>
      <c r="AK1029" s="218"/>
      <c r="AL1029" s="218"/>
      <c r="AM1029" s="218"/>
    </row>
    <row r="1030">
      <c r="A1030" s="33"/>
      <c r="B1030" s="2"/>
      <c r="C1030" s="2"/>
      <c r="D1030" s="2"/>
      <c r="E1030" s="2"/>
      <c r="F1030" s="4"/>
      <c r="G1030" s="2"/>
      <c r="H1030" s="2"/>
      <c r="I1030" s="2"/>
      <c r="J1030" s="5"/>
      <c r="K1030" s="2"/>
      <c r="L1030" s="2"/>
      <c r="M1030" s="2"/>
      <c r="N1030" s="2"/>
      <c r="O1030" s="2"/>
      <c r="P1030" s="2"/>
      <c r="Q1030" s="7"/>
      <c r="R1030" s="224"/>
      <c r="S1030" s="224"/>
      <c r="T1030" s="224"/>
      <c r="U1030" s="868"/>
      <c r="V1030" s="865"/>
      <c r="W1030" s="2"/>
      <c r="X1030" s="2"/>
      <c r="Y1030" s="2"/>
      <c r="Z1030" s="2"/>
      <c r="AA1030" s="2"/>
      <c r="AB1030" s="2"/>
      <c r="AC1030" s="2"/>
      <c r="AD1030" s="2"/>
      <c r="AE1030" s="2"/>
      <c r="AF1030" s="2"/>
      <c r="AG1030" s="2"/>
      <c r="AH1030" s="2"/>
      <c r="AI1030" s="2"/>
      <c r="AJ1030" s="218"/>
      <c r="AK1030" s="218"/>
      <c r="AL1030" s="218"/>
      <c r="AM1030" s="218"/>
    </row>
    <row r="1031">
      <c r="A1031" s="33"/>
      <c r="B1031" s="2"/>
      <c r="C1031" s="2"/>
      <c r="D1031" s="2"/>
      <c r="E1031" s="2"/>
      <c r="F1031" s="4"/>
      <c r="G1031" s="2"/>
      <c r="H1031" s="2"/>
      <c r="I1031" s="2"/>
      <c r="J1031" s="5"/>
      <c r="K1031" s="2"/>
      <c r="L1031" s="2"/>
      <c r="M1031" s="2"/>
      <c r="N1031" s="2"/>
      <c r="O1031" s="2"/>
      <c r="P1031" s="2"/>
      <c r="Q1031" s="7"/>
      <c r="R1031" s="224"/>
      <c r="S1031" s="224"/>
      <c r="T1031" s="224"/>
      <c r="U1031" s="868"/>
      <c r="V1031" s="865"/>
      <c r="W1031" s="2"/>
      <c r="X1031" s="2"/>
      <c r="Y1031" s="2"/>
      <c r="Z1031" s="2"/>
      <c r="AA1031" s="2"/>
      <c r="AB1031" s="2"/>
      <c r="AC1031" s="2"/>
      <c r="AD1031" s="2"/>
      <c r="AE1031" s="2"/>
      <c r="AF1031" s="2"/>
      <c r="AG1031" s="2"/>
      <c r="AH1031" s="2"/>
      <c r="AI1031" s="2"/>
      <c r="AJ1031" s="218"/>
      <c r="AK1031" s="218"/>
      <c r="AL1031" s="218"/>
      <c r="AM1031" s="218"/>
    </row>
    <row r="1032">
      <c r="A1032" s="33"/>
      <c r="B1032" s="2"/>
      <c r="C1032" s="2"/>
      <c r="D1032" s="2"/>
      <c r="E1032" s="2"/>
      <c r="F1032" s="4"/>
      <c r="G1032" s="2"/>
      <c r="H1032" s="2"/>
      <c r="I1032" s="2"/>
      <c r="J1032" s="5"/>
      <c r="K1032" s="2"/>
      <c r="L1032" s="2"/>
      <c r="M1032" s="2"/>
      <c r="N1032" s="2"/>
      <c r="O1032" s="2"/>
      <c r="P1032" s="2"/>
      <c r="Q1032" s="7"/>
      <c r="R1032" s="224"/>
      <c r="S1032" s="224"/>
      <c r="T1032" s="224"/>
      <c r="U1032" s="868"/>
      <c r="V1032" s="865"/>
      <c r="W1032" s="2"/>
      <c r="X1032" s="2"/>
      <c r="Y1032" s="2"/>
      <c r="Z1032" s="2"/>
      <c r="AA1032" s="2"/>
      <c r="AB1032" s="2"/>
      <c r="AC1032" s="2"/>
      <c r="AD1032" s="2"/>
      <c r="AE1032" s="2"/>
      <c r="AF1032" s="2"/>
      <c r="AG1032" s="2"/>
      <c r="AH1032" s="2"/>
      <c r="AI1032" s="2"/>
      <c r="AJ1032" s="218"/>
      <c r="AK1032" s="218"/>
      <c r="AL1032" s="218"/>
      <c r="AM1032" s="218"/>
    </row>
    <row r="1033">
      <c r="A1033" s="33"/>
      <c r="B1033" s="2"/>
      <c r="C1033" s="2"/>
      <c r="D1033" s="2"/>
      <c r="E1033" s="2"/>
      <c r="F1033" s="4"/>
      <c r="G1033" s="2"/>
      <c r="H1033" s="2"/>
      <c r="I1033" s="2"/>
      <c r="J1033" s="5"/>
      <c r="K1033" s="2"/>
      <c r="L1033" s="2"/>
      <c r="M1033" s="2"/>
      <c r="N1033" s="2"/>
      <c r="O1033" s="2"/>
      <c r="P1033" s="2"/>
      <c r="Q1033" s="7"/>
      <c r="R1033" s="224"/>
      <c r="S1033" s="224"/>
      <c r="T1033" s="224"/>
      <c r="U1033" s="868"/>
      <c r="V1033" s="865"/>
      <c r="W1033" s="2"/>
      <c r="X1033" s="2"/>
      <c r="Y1033" s="2"/>
      <c r="Z1033" s="2"/>
      <c r="AA1033" s="2"/>
      <c r="AB1033" s="2"/>
      <c r="AC1033" s="2"/>
      <c r="AD1033" s="2"/>
      <c r="AE1033" s="2"/>
      <c r="AF1033" s="2"/>
      <c r="AG1033" s="2"/>
      <c r="AH1033" s="2"/>
      <c r="AI1033" s="2"/>
      <c r="AJ1033" s="218"/>
      <c r="AK1033" s="218"/>
      <c r="AL1033" s="218"/>
      <c r="AM1033" s="218"/>
    </row>
    <row r="1034">
      <c r="A1034" s="33"/>
      <c r="B1034" s="2"/>
      <c r="C1034" s="2"/>
      <c r="D1034" s="2"/>
      <c r="E1034" s="2"/>
      <c r="F1034" s="4"/>
      <c r="G1034" s="2"/>
      <c r="H1034" s="2"/>
      <c r="I1034" s="2"/>
      <c r="J1034" s="5"/>
      <c r="K1034" s="2"/>
      <c r="L1034" s="2"/>
      <c r="M1034" s="2"/>
      <c r="N1034" s="2"/>
      <c r="O1034" s="2"/>
      <c r="P1034" s="2"/>
      <c r="Q1034" s="7"/>
      <c r="R1034" s="224"/>
      <c r="S1034" s="224"/>
      <c r="T1034" s="224"/>
      <c r="U1034" s="868"/>
      <c r="V1034" s="865"/>
      <c r="W1034" s="2"/>
      <c r="X1034" s="2"/>
      <c r="Y1034" s="2"/>
      <c r="Z1034" s="2"/>
      <c r="AA1034" s="2"/>
      <c r="AB1034" s="2"/>
      <c r="AC1034" s="2"/>
      <c r="AD1034" s="2"/>
      <c r="AE1034" s="2"/>
      <c r="AF1034" s="2"/>
      <c r="AG1034" s="2"/>
      <c r="AH1034" s="2"/>
      <c r="AI1034" s="2"/>
      <c r="AJ1034" s="218"/>
      <c r="AK1034" s="218"/>
      <c r="AL1034" s="218"/>
      <c r="AM1034" s="218"/>
    </row>
    <row r="1035">
      <c r="A1035" s="33"/>
      <c r="B1035" s="2"/>
      <c r="C1035" s="2"/>
      <c r="D1035" s="2"/>
      <c r="E1035" s="2"/>
      <c r="F1035" s="4"/>
      <c r="G1035" s="2"/>
      <c r="H1035" s="2"/>
      <c r="I1035" s="2"/>
      <c r="J1035" s="5"/>
      <c r="K1035" s="2"/>
      <c r="L1035" s="2"/>
      <c r="M1035" s="2"/>
      <c r="N1035" s="2"/>
      <c r="O1035" s="2"/>
      <c r="P1035" s="2"/>
      <c r="Q1035" s="7"/>
      <c r="R1035" s="224"/>
      <c r="S1035" s="224"/>
      <c r="T1035" s="224"/>
      <c r="U1035" s="868"/>
      <c r="V1035" s="865"/>
      <c r="W1035" s="2"/>
      <c r="X1035" s="2"/>
      <c r="Y1035" s="2"/>
      <c r="Z1035" s="2"/>
      <c r="AA1035" s="2"/>
      <c r="AB1035" s="2"/>
      <c r="AC1035" s="2"/>
      <c r="AD1035" s="2"/>
      <c r="AE1035" s="2"/>
      <c r="AF1035" s="2"/>
      <c r="AG1035" s="2"/>
      <c r="AH1035" s="2"/>
      <c r="AI1035" s="2"/>
      <c r="AJ1035" s="218"/>
      <c r="AK1035" s="218"/>
      <c r="AL1035" s="218"/>
      <c r="AM1035" s="218"/>
    </row>
    <row r="1036">
      <c r="A1036" s="33"/>
      <c r="B1036" s="2"/>
      <c r="C1036" s="2"/>
      <c r="D1036" s="2"/>
      <c r="E1036" s="2"/>
      <c r="F1036" s="4"/>
      <c r="G1036" s="2"/>
      <c r="H1036" s="2"/>
      <c r="I1036" s="2"/>
      <c r="J1036" s="5"/>
      <c r="K1036" s="2"/>
      <c r="L1036" s="2"/>
      <c r="M1036" s="2"/>
      <c r="N1036" s="2"/>
      <c r="O1036" s="2"/>
      <c r="P1036" s="2"/>
      <c r="Q1036" s="7"/>
      <c r="R1036" s="224"/>
      <c r="S1036" s="224"/>
      <c r="T1036" s="224"/>
      <c r="U1036" s="868"/>
      <c r="V1036" s="865"/>
      <c r="W1036" s="2"/>
      <c r="X1036" s="2"/>
      <c r="Y1036" s="2"/>
      <c r="Z1036" s="2"/>
      <c r="AA1036" s="2"/>
      <c r="AB1036" s="2"/>
      <c r="AC1036" s="2"/>
      <c r="AD1036" s="2"/>
      <c r="AE1036" s="2"/>
      <c r="AF1036" s="2"/>
      <c r="AG1036" s="2"/>
      <c r="AH1036" s="2"/>
      <c r="AI1036" s="2"/>
      <c r="AJ1036" s="218"/>
      <c r="AK1036" s="218"/>
      <c r="AL1036" s="218"/>
      <c r="AM1036" s="218"/>
    </row>
  </sheetData>
  <mergeCells count="206">
    <mergeCell ref="S26:S27"/>
    <mergeCell ref="T26:T27"/>
    <mergeCell ref="Q22:Q23"/>
    <mergeCell ref="S22:S23"/>
    <mergeCell ref="T22:T23"/>
    <mergeCell ref="Q24:Q25"/>
    <mergeCell ref="S24:S25"/>
    <mergeCell ref="T24:T25"/>
    <mergeCell ref="Q26:Q27"/>
    <mergeCell ref="S32:S33"/>
    <mergeCell ref="T32:T33"/>
    <mergeCell ref="Q28:Q29"/>
    <mergeCell ref="S28:S29"/>
    <mergeCell ref="T28:T29"/>
    <mergeCell ref="Q30:Q31"/>
    <mergeCell ref="S30:S31"/>
    <mergeCell ref="T30:T31"/>
    <mergeCell ref="Q32:Q33"/>
    <mergeCell ref="E7:E8"/>
    <mergeCell ref="E9:E10"/>
    <mergeCell ref="X17:AE17"/>
    <mergeCell ref="X18:AA18"/>
    <mergeCell ref="AB18:AE18"/>
    <mergeCell ref="L20:L21"/>
    <mergeCell ref="M20:M21"/>
    <mergeCell ref="P20:P21"/>
    <mergeCell ref="A5:A6"/>
    <mergeCell ref="B5:B6"/>
    <mergeCell ref="E5:E6"/>
    <mergeCell ref="A7:A8"/>
    <mergeCell ref="B7:B8"/>
    <mergeCell ref="A9:A10"/>
    <mergeCell ref="B9:B10"/>
    <mergeCell ref="A20:B21"/>
    <mergeCell ref="A22:A23"/>
    <mergeCell ref="B22:B23"/>
    <mergeCell ref="C22:C23"/>
    <mergeCell ref="D22:D23"/>
    <mergeCell ref="E22:E23"/>
    <mergeCell ref="F22:F23"/>
    <mergeCell ref="D26:D27"/>
    <mergeCell ref="E26:E27"/>
    <mergeCell ref="D28:D29"/>
    <mergeCell ref="E28:E29"/>
    <mergeCell ref="F28:F29"/>
    <mergeCell ref="D30:D31"/>
    <mergeCell ref="E30:E31"/>
    <mergeCell ref="F30:F31"/>
    <mergeCell ref="A24:A25"/>
    <mergeCell ref="B24:B25"/>
    <mergeCell ref="C24:C25"/>
    <mergeCell ref="D24:D25"/>
    <mergeCell ref="E24:E25"/>
    <mergeCell ref="F24:F25"/>
    <mergeCell ref="A26:A27"/>
    <mergeCell ref="F26:F27"/>
    <mergeCell ref="A30:A31"/>
    <mergeCell ref="A32:A33"/>
    <mergeCell ref="B32:B33"/>
    <mergeCell ref="C32:C33"/>
    <mergeCell ref="D32:D33"/>
    <mergeCell ref="E32:E33"/>
    <mergeCell ref="F32:F33"/>
    <mergeCell ref="B26:B27"/>
    <mergeCell ref="C26:C27"/>
    <mergeCell ref="A28:A29"/>
    <mergeCell ref="B28:B29"/>
    <mergeCell ref="C28:C29"/>
    <mergeCell ref="B30:B31"/>
    <mergeCell ref="C30:C31"/>
    <mergeCell ref="S34:S35"/>
    <mergeCell ref="T34:T35"/>
    <mergeCell ref="Q36:Q37"/>
    <mergeCell ref="S36:S37"/>
    <mergeCell ref="T36:T37"/>
    <mergeCell ref="S38:S39"/>
    <mergeCell ref="T38:T39"/>
    <mergeCell ref="Q38:Q39"/>
    <mergeCell ref="Q40:Q41"/>
    <mergeCell ref="Q44:Q45"/>
    <mergeCell ref="S44:S45"/>
    <mergeCell ref="T44:T45"/>
    <mergeCell ref="S46:S47"/>
    <mergeCell ref="T46:T47"/>
    <mergeCell ref="S54:S55"/>
    <mergeCell ref="T54:T55"/>
    <mergeCell ref="Q50:Q51"/>
    <mergeCell ref="S50:S51"/>
    <mergeCell ref="T50:T51"/>
    <mergeCell ref="Q52:Q53"/>
    <mergeCell ref="S52:S53"/>
    <mergeCell ref="T52:T53"/>
    <mergeCell ref="Q54:Q55"/>
    <mergeCell ref="S60:S61"/>
    <mergeCell ref="T60:T61"/>
    <mergeCell ref="Q62:Q63"/>
    <mergeCell ref="S62:S63"/>
    <mergeCell ref="T62:T63"/>
    <mergeCell ref="Q56:Q57"/>
    <mergeCell ref="S56:S57"/>
    <mergeCell ref="T56:T57"/>
    <mergeCell ref="Q58:Q59"/>
    <mergeCell ref="S58:S59"/>
    <mergeCell ref="T58:T59"/>
    <mergeCell ref="Q60:Q61"/>
    <mergeCell ref="A34:A35"/>
    <mergeCell ref="B34:B35"/>
    <mergeCell ref="C34:C35"/>
    <mergeCell ref="D34:D35"/>
    <mergeCell ref="E34:E35"/>
    <mergeCell ref="F34:F35"/>
    <mergeCell ref="Q34:Q35"/>
    <mergeCell ref="D38:D39"/>
    <mergeCell ref="E38:E39"/>
    <mergeCell ref="D40:D41"/>
    <mergeCell ref="E40:E41"/>
    <mergeCell ref="F40:F41"/>
    <mergeCell ref="A36:A37"/>
    <mergeCell ref="B36:B37"/>
    <mergeCell ref="C36:C37"/>
    <mergeCell ref="D36:D37"/>
    <mergeCell ref="E36:E37"/>
    <mergeCell ref="F36:F37"/>
    <mergeCell ref="A38:A39"/>
    <mergeCell ref="F38:F39"/>
    <mergeCell ref="S40:S41"/>
    <mergeCell ref="T40:T41"/>
    <mergeCell ref="L42:L43"/>
    <mergeCell ref="M42:M43"/>
    <mergeCell ref="P42:P43"/>
    <mergeCell ref="B44:B45"/>
    <mergeCell ref="C44:C45"/>
    <mergeCell ref="D44:D45"/>
    <mergeCell ref="E44:E45"/>
    <mergeCell ref="F44:F45"/>
    <mergeCell ref="Q46:Q47"/>
    <mergeCell ref="Q48:Q49"/>
    <mergeCell ref="S48:S49"/>
    <mergeCell ref="T48:T49"/>
    <mergeCell ref="D60:D61"/>
    <mergeCell ref="E60:E61"/>
    <mergeCell ref="L64:L65"/>
    <mergeCell ref="M64:M65"/>
    <mergeCell ref="P64:P65"/>
    <mergeCell ref="AF79:AG79"/>
    <mergeCell ref="A58:A59"/>
    <mergeCell ref="B58:B59"/>
    <mergeCell ref="C58:C59"/>
    <mergeCell ref="D58:D59"/>
    <mergeCell ref="E58:E59"/>
    <mergeCell ref="F58:F59"/>
    <mergeCell ref="A60:A61"/>
    <mergeCell ref="F60:F61"/>
    <mergeCell ref="A46:A47"/>
    <mergeCell ref="B46:B47"/>
    <mergeCell ref="C46:C47"/>
    <mergeCell ref="D46:D47"/>
    <mergeCell ref="E46:E47"/>
    <mergeCell ref="F46:F47"/>
    <mergeCell ref="B38:B39"/>
    <mergeCell ref="C38:C39"/>
    <mergeCell ref="A40:A41"/>
    <mergeCell ref="B40:B41"/>
    <mergeCell ref="C40:C41"/>
    <mergeCell ref="A42:B43"/>
    <mergeCell ref="A44:A45"/>
    <mergeCell ref="D50:D51"/>
    <mergeCell ref="E50:E51"/>
    <mergeCell ref="D52:D53"/>
    <mergeCell ref="E52:E53"/>
    <mergeCell ref="F52:F53"/>
    <mergeCell ref="D54:D55"/>
    <mergeCell ref="E54:E55"/>
    <mergeCell ref="F54:F55"/>
    <mergeCell ref="A48:A49"/>
    <mergeCell ref="B48:B49"/>
    <mergeCell ref="C48:C49"/>
    <mergeCell ref="D48:D49"/>
    <mergeCell ref="E48:E49"/>
    <mergeCell ref="F48:F49"/>
    <mergeCell ref="A50:A51"/>
    <mergeCell ref="F50:F51"/>
    <mergeCell ref="A54:A55"/>
    <mergeCell ref="A56:A57"/>
    <mergeCell ref="B56:B57"/>
    <mergeCell ref="C56:C57"/>
    <mergeCell ref="D56:D57"/>
    <mergeCell ref="E56:E57"/>
    <mergeCell ref="F56:F57"/>
    <mergeCell ref="B50:B51"/>
    <mergeCell ref="C50:C51"/>
    <mergeCell ref="A52:A53"/>
    <mergeCell ref="B52:B53"/>
    <mergeCell ref="C52:C53"/>
    <mergeCell ref="B54:B55"/>
    <mergeCell ref="C54:C55"/>
    <mergeCell ref="B62:B63"/>
    <mergeCell ref="A64:B65"/>
    <mergeCell ref="B60:B61"/>
    <mergeCell ref="C60:C61"/>
    <mergeCell ref="A62:A63"/>
    <mergeCell ref="C62:C63"/>
    <mergeCell ref="D62:D63"/>
    <mergeCell ref="E62:E63"/>
    <mergeCell ref="F62:F63"/>
    <mergeCell ref="C77:G77"/>
  </mergeCells>
  <conditionalFormatting sqref="D22:D63">
    <cfRule type="expression" dxfId="0" priority="1">
      <formula>#REF!=TRUE</formula>
    </cfRule>
  </conditionalFormatting>
  <conditionalFormatting sqref="D22:D63">
    <cfRule type="expression" dxfId="1" priority="2">
      <formula>#REF!=TRUE</formula>
    </cfRule>
  </conditionalFormatting>
  <conditionalFormatting sqref="D26:D27 D34:D35 D46:D49 D60:D61 D67:D68 D72 D76">
    <cfRule type="expression" dxfId="0" priority="3">
      <formula>AB26=TRUE</formula>
    </cfRule>
  </conditionalFormatting>
  <conditionalFormatting sqref="D26:D27 D34:D35 D46:D49 D60:D61 D67:D68 D72 D76">
    <cfRule type="expression" dxfId="1" priority="4">
      <formula>O26=TRUE</formula>
    </cfRule>
  </conditionalFormatting>
  <conditionalFormatting sqref="B22:B41 B44:B63 B66:B77">
    <cfRule type="expression" dxfId="13" priority="5">
      <formula>$V22&lt;&gt;""</formula>
    </cfRule>
  </conditionalFormatting>
  <dataValidations>
    <dataValidation type="list" allowBlank="1" showErrorMessage="1" sqref="S22 S24 S26 S28 S30 S32 S34 S36 S38 S40 S44 S46 S48 S50 S52 S54 S56 S58 S60 S62 S66:S77">
      <formula1>"Ký Cá Nhân,Ký Công ty (VAT 8%),Ký HKD (6-7%),Chưa phản hồi"</formula1>
    </dataValidation>
    <dataValidation type="list" allowBlank="1" showErrorMessage="1" sqref="E22 E24 E26 E28 E30 E32 E34 E36 E38 E40 E44 E46 E48 E50 E52 E54 E56 E58 E60 E62 E66:E75">
      <formula1>"Nano,Macro,Micro"</formula1>
    </dataValidation>
    <dataValidation type="list" allowBlank="1" showErrorMessage="1" sqref="C22 C24 C26 C28 C30 C32 C34 C36 C38 C40 C44 C46 C48 C50 C52 C54 C56 C58 C60 C62 C66:C75">
      <formula1>"Tiktok,Facebook,Instagram,TikTok &amp; Facebook"</formula1>
    </dataValidation>
    <dataValidation type="list" allowBlank="1" showErrorMessage="1" sqref="T22 T24 T26 T28 T30 T32 T34 T36 T38 T40 T44 T46 T48 T50 T52 T54 T56 T58 T60 T62 T66:T77">
      <formula1>"Thanh Toán sau 100%, 30 ngày,Thanh Toán sau 100%, 14 ngày,Thanh toán 50/50, 14 ngày,Thanh toán 50/50, 30 ngày,Thanh toán trước 100%,Thanh toán 50/50, 7 ngày,Chưa phản hồi,Thanh toán 30/70, 14 ngày"</formula1>
    </dataValidation>
  </dataValidations>
  <hyperlinks>
    <hyperlink r:id="rId1" ref="F22"/>
    <hyperlink r:id="rId2" ref="G22"/>
    <hyperlink r:id="rId3" location="gid=0" ref="U22"/>
    <hyperlink r:id="rId4" ref="F24"/>
    <hyperlink r:id="rId5" ref="G24"/>
    <hyperlink r:id="rId6" location="gid=0" ref="U24"/>
    <hyperlink r:id="rId7" ref="F26"/>
    <hyperlink r:id="rId8" ref="G26"/>
    <hyperlink r:id="rId9" location="gid=1826739190" ref="U26"/>
    <hyperlink r:id="rId10" ref="F28"/>
    <hyperlink r:id="rId11" ref="G28"/>
    <hyperlink r:id="rId12" location="gid=1826739190" ref="U28"/>
    <hyperlink r:id="rId13" ref="F30"/>
    <hyperlink r:id="rId14" ref="G30"/>
    <hyperlink r:id="rId15" ref="F32"/>
    <hyperlink r:id="rId16" ref="G32"/>
    <hyperlink r:id="rId17" location="gid=0" ref="U32"/>
    <hyperlink r:id="rId18" ref="F34"/>
    <hyperlink r:id="rId19" ref="G34"/>
    <hyperlink r:id="rId20" location="gid=0" ref="U34"/>
    <hyperlink r:id="rId21" ref="F36"/>
    <hyperlink r:id="rId22" ref="G36"/>
    <hyperlink r:id="rId23" ref="F38"/>
    <hyperlink r:id="rId24" ref="G38"/>
    <hyperlink r:id="rId25" ref="F40"/>
    <hyperlink r:id="rId26" ref="G40"/>
    <hyperlink r:id="rId27" ref="F44"/>
    <hyperlink r:id="rId28" location="gid=1826739190" ref="U44"/>
    <hyperlink r:id="rId29" ref="F46"/>
    <hyperlink r:id="rId30" location="gid=1826739190" ref="U46"/>
    <hyperlink r:id="rId31" ref="F48"/>
    <hyperlink r:id="rId32" location="gid=1826739190" ref="U48"/>
    <hyperlink r:id="rId33" ref="F50"/>
    <hyperlink r:id="rId34" location="gid=1826739190" ref="U50"/>
    <hyperlink r:id="rId35" ref="F52"/>
    <hyperlink r:id="rId36" location="gid=1826739190" ref="U52"/>
    <hyperlink r:id="rId37" ref="F54"/>
    <hyperlink r:id="rId38" location="gid=1826739190" ref="U54"/>
    <hyperlink r:id="rId39" ref="F56"/>
    <hyperlink r:id="rId40" location="gid=1826739190" ref="U56"/>
    <hyperlink r:id="rId41" ref="F58"/>
    <hyperlink r:id="rId42" location="gid=1826739190" ref="U58"/>
    <hyperlink r:id="rId43" ref="F60"/>
    <hyperlink r:id="rId44" location="gid=1826739190" ref="U60"/>
    <hyperlink r:id="rId45" ref="F62"/>
    <hyperlink r:id="rId46" location="gid=1826739190" ref="U62"/>
    <hyperlink r:id="rId47" ref="F66"/>
    <hyperlink r:id="rId48" location="gid=1537112938" ref="U66"/>
    <hyperlink r:id="rId49" ref="F67"/>
    <hyperlink r:id="rId50" location="gid=1537112938" ref="U67"/>
    <hyperlink r:id="rId51" ref="F68"/>
    <hyperlink r:id="rId52" location="gid=1537112938" ref="U68"/>
    <hyperlink r:id="rId53" ref="F69"/>
    <hyperlink r:id="rId54" location="gid=1537112938" ref="U69"/>
    <hyperlink r:id="rId55" ref="F70"/>
    <hyperlink r:id="rId56" location="gid=1537112938" ref="U70"/>
    <hyperlink r:id="rId57" ref="F71"/>
    <hyperlink r:id="rId58" location="gid=1537112938" ref="U71"/>
    <hyperlink r:id="rId59" ref="F72"/>
    <hyperlink r:id="rId60" ref="F73"/>
    <hyperlink r:id="rId61" location="gid=1537112938" ref="U73"/>
    <hyperlink r:id="rId62" ref="F74"/>
    <hyperlink r:id="rId63" ref="F75"/>
    <hyperlink r:id="rId64" location="gid=1537112938" ref="U75"/>
  </hyperlinks>
  <drawing r:id="rId6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121.88"/>
    <col customWidth="1" min="19" max="19" width="35.0"/>
    <col customWidth="1" min="20" max="20" width="22.13"/>
    <col customWidth="1" min="21" max="21" width="21.5"/>
    <col customWidth="1" hidden="1" min="22" max="23" width="13.25"/>
    <col customWidth="1" hidden="1" min="24" max="24" width="15.38"/>
    <col customWidth="1" hidden="1" min="25" max="25" width="14.88"/>
    <col customWidth="1" min="26" max="26" width="18.13"/>
    <col customWidth="1" min="27" max="27" width="18.75"/>
    <col customWidth="1" min="29" max="36" width="11.0"/>
    <col customWidth="1" min="37" max="37" width="28.63"/>
    <col customWidth="1" min="38" max="38" width="22.13"/>
    <col customWidth="1" min="41" max="41" width="35.38"/>
    <col customWidth="1" min="42" max="44" width="7.25"/>
  </cols>
  <sheetData>
    <row r="1" outlineLevel="1">
      <c r="A1" s="1" t="s">
        <v>1146</v>
      </c>
      <c r="B1" s="2"/>
      <c r="C1" s="2"/>
      <c r="D1" s="3"/>
      <c r="E1" s="2"/>
      <c r="F1" s="4"/>
      <c r="G1" s="2"/>
      <c r="H1" s="2"/>
      <c r="I1" s="2"/>
      <c r="J1" s="2"/>
      <c r="K1" s="5"/>
      <c r="L1" s="6"/>
      <c r="M1" s="6"/>
      <c r="N1" s="6"/>
      <c r="O1" s="6"/>
      <c r="P1" s="6"/>
      <c r="Q1" s="6"/>
      <c r="R1" s="7"/>
      <c r="S1" s="8"/>
      <c r="T1" s="8"/>
      <c r="U1" s="8"/>
      <c r="V1" s="8"/>
      <c r="W1" s="8"/>
      <c r="X1" s="8"/>
      <c r="Y1" s="8"/>
      <c r="Z1" s="580"/>
      <c r="AA1" s="581"/>
      <c r="AB1" s="3"/>
      <c r="AC1" s="3"/>
      <c r="AD1" s="3"/>
      <c r="AE1" s="3"/>
      <c r="AF1" s="3"/>
      <c r="AG1" s="3"/>
      <c r="AH1" s="3"/>
      <c r="AI1" s="3"/>
      <c r="AJ1" s="3"/>
      <c r="AK1" s="3"/>
      <c r="AL1" s="3"/>
      <c r="AM1" s="3"/>
      <c r="AN1" s="3"/>
      <c r="AO1" s="9"/>
      <c r="AP1" s="9"/>
      <c r="AQ1" s="9"/>
      <c r="AR1" s="9"/>
    </row>
    <row r="2" outlineLevel="1">
      <c r="A2" s="1015" t="s">
        <v>1147</v>
      </c>
      <c r="B2" s="11"/>
      <c r="C2" s="11"/>
      <c r="D2" s="11"/>
      <c r="E2" s="2"/>
      <c r="F2" s="4"/>
      <c r="G2" s="2"/>
      <c r="H2" s="2"/>
      <c r="I2" s="2"/>
      <c r="J2" s="2"/>
      <c r="K2" s="5"/>
      <c r="L2" s="6"/>
      <c r="M2" s="6"/>
      <c r="N2" s="6"/>
      <c r="O2" s="6"/>
      <c r="P2" s="6"/>
      <c r="Q2" s="6"/>
      <c r="R2" s="7"/>
      <c r="S2" s="8"/>
      <c r="T2" s="8"/>
      <c r="U2" s="8"/>
      <c r="V2" s="8"/>
      <c r="W2" s="8"/>
      <c r="X2" s="8"/>
      <c r="Y2" s="8"/>
      <c r="Z2" s="580"/>
      <c r="AA2" s="581"/>
      <c r="AB2" s="3"/>
      <c r="AC2" s="3"/>
      <c r="AD2" s="3"/>
      <c r="AE2" s="3"/>
      <c r="AF2" s="3"/>
      <c r="AG2" s="3"/>
      <c r="AH2" s="3"/>
      <c r="AI2" s="3"/>
      <c r="AJ2" s="3"/>
      <c r="AK2" s="3"/>
      <c r="AL2" s="3"/>
      <c r="AM2" s="3"/>
      <c r="AN2" s="3"/>
      <c r="AO2" s="9"/>
      <c r="AP2" s="9"/>
      <c r="AQ2" s="9"/>
      <c r="AR2" s="9"/>
    </row>
    <row r="3" ht="27.0" customHeight="1" outlineLevel="1">
      <c r="A3" s="12" t="s">
        <v>1</v>
      </c>
      <c r="B3" s="13" t="s">
        <v>2</v>
      </c>
      <c r="C3" s="14" t="s">
        <v>3</v>
      </c>
      <c r="D3" s="14" t="s">
        <v>4</v>
      </c>
      <c r="E3" s="15" t="s">
        <v>5</v>
      </c>
      <c r="J3" s="6"/>
      <c r="K3" s="2"/>
      <c r="L3" s="5"/>
      <c r="M3" s="6"/>
      <c r="N3" s="6"/>
      <c r="O3" s="6"/>
      <c r="P3" s="6"/>
      <c r="Q3" s="6"/>
      <c r="R3" s="6"/>
      <c r="S3" s="7"/>
      <c r="T3" s="7"/>
      <c r="U3" s="7"/>
      <c r="V3" s="7"/>
      <c r="W3" s="7"/>
      <c r="X3" s="8"/>
      <c r="Y3" s="8"/>
      <c r="Z3" s="580"/>
      <c r="AA3" s="8"/>
      <c r="AB3" s="581"/>
      <c r="AC3" s="3"/>
      <c r="AD3" s="3"/>
      <c r="AE3" s="3"/>
      <c r="AF3" s="3"/>
      <c r="AG3" s="3"/>
      <c r="AH3" s="3"/>
      <c r="AI3" s="3"/>
      <c r="AJ3" s="3"/>
      <c r="AK3" s="3"/>
      <c r="AL3" s="3"/>
      <c r="AM3" s="3"/>
      <c r="AN3" s="3"/>
      <c r="AO3" s="9"/>
      <c r="AP3" s="9"/>
      <c r="AQ3" s="9"/>
      <c r="AR3" s="9"/>
    </row>
    <row r="4" ht="27.0" customHeight="1" outlineLevel="1">
      <c r="A4" s="17"/>
      <c r="B4" s="18"/>
      <c r="C4" s="19" t="s">
        <v>6</v>
      </c>
      <c r="D4" s="20">
        <f>sum(D5,D7,D9:D10)</f>
        <v>37</v>
      </c>
      <c r="E4" s="20">
        <f>Sum(E5:E11)</f>
        <v>616000000</v>
      </c>
      <c r="J4" s="2"/>
      <c r="K4" s="2"/>
      <c r="L4" s="5"/>
      <c r="M4" s="6"/>
      <c r="N4" s="6"/>
      <c r="O4" s="6"/>
      <c r="P4" s="6"/>
      <c r="Q4" s="6"/>
      <c r="R4" s="6"/>
      <c r="S4" s="7"/>
      <c r="T4" s="7"/>
      <c r="U4" s="7"/>
      <c r="V4" s="7"/>
      <c r="W4" s="7"/>
      <c r="X4" s="672"/>
      <c r="Y4" s="672"/>
      <c r="Z4" s="673"/>
      <c r="AA4" s="672"/>
      <c r="AB4" s="674"/>
      <c r="AC4" s="219"/>
      <c r="AD4" s="3"/>
      <c r="AE4" s="3"/>
      <c r="AF4" s="3"/>
      <c r="AG4" s="3"/>
      <c r="AH4" s="3"/>
      <c r="AI4" s="3"/>
      <c r="AJ4" s="3"/>
      <c r="AK4" s="3"/>
      <c r="AL4" s="3"/>
      <c r="AM4" s="3"/>
      <c r="AN4" s="3"/>
      <c r="AO4" s="9"/>
      <c r="AP4" s="9"/>
      <c r="AQ4" s="9"/>
      <c r="AR4" s="9"/>
    </row>
    <row r="5" ht="27.0" customHeight="1" outlineLevel="1">
      <c r="A5" s="675">
        <v>1.0</v>
      </c>
      <c r="B5" s="22" t="str">
        <f>A20</f>
        <v>FOODY REVIEWER</v>
      </c>
      <c r="C5" s="23" t="s">
        <v>7</v>
      </c>
      <c r="D5" s="24">
        <f t="shared" ref="D5:D6" si="1">K20</f>
        <v>9</v>
      </c>
      <c r="E5" s="25">
        <f>Q20</f>
        <v>217000000</v>
      </c>
      <c r="J5" s="2"/>
      <c r="K5" s="2"/>
      <c r="L5" s="5"/>
      <c r="M5" s="6"/>
      <c r="N5" s="6"/>
      <c r="O5" s="6"/>
      <c r="P5" s="6"/>
      <c r="Q5" s="6"/>
      <c r="R5" s="6"/>
      <c r="S5" s="7"/>
      <c r="T5" s="7"/>
      <c r="U5" s="7"/>
      <c r="V5" s="7"/>
      <c r="W5" s="7"/>
      <c r="X5" s="672"/>
      <c r="Y5" s="672"/>
      <c r="Z5" s="673"/>
      <c r="AA5" s="672"/>
      <c r="AB5" s="674"/>
      <c r="AC5" s="219"/>
      <c r="AD5" s="3"/>
      <c r="AE5" s="3"/>
      <c r="AF5" s="3"/>
      <c r="AG5" s="3"/>
      <c r="AH5" s="3"/>
      <c r="AI5" s="3"/>
      <c r="AJ5" s="3"/>
      <c r="AK5" s="3"/>
      <c r="AL5" s="3"/>
      <c r="AM5" s="3"/>
      <c r="AN5" s="3"/>
      <c r="AO5" s="9"/>
      <c r="AP5" s="9"/>
      <c r="AQ5" s="9"/>
      <c r="AR5" s="9"/>
    </row>
    <row r="6" ht="27.0" customHeight="1" outlineLevel="1">
      <c r="A6" s="26"/>
      <c r="B6" s="26"/>
      <c r="C6" s="23" t="s">
        <v>8</v>
      </c>
      <c r="D6" s="24">
        <f t="shared" si="1"/>
        <v>9</v>
      </c>
      <c r="E6" s="26"/>
      <c r="J6" s="2"/>
      <c r="K6" s="2"/>
      <c r="L6" s="5"/>
      <c r="M6" s="6"/>
      <c r="N6" s="6"/>
      <c r="O6" s="6"/>
      <c r="P6" s="6"/>
      <c r="Q6" s="6"/>
      <c r="R6" s="6"/>
      <c r="S6" s="7"/>
      <c r="T6" s="7"/>
      <c r="U6" s="7"/>
      <c r="V6" s="7"/>
      <c r="W6" s="7"/>
      <c r="X6" s="672"/>
      <c r="Y6" s="672"/>
      <c r="Z6" s="673"/>
      <c r="AA6" s="672"/>
      <c r="AB6" s="674"/>
      <c r="AC6" s="219"/>
      <c r="AD6" s="3"/>
      <c r="AE6" s="3"/>
      <c r="AF6" s="3"/>
      <c r="AG6" s="3"/>
      <c r="AH6" s="3"/>
      <c r="AI6" s="3"/>
      <c r="AJ6" s="3"/>
      <c r="AK6" s="3"/>
      <c r="AL6" s="3"/>
      <c r="AM6" s="3"/>
      <c r="AN6" s="3"/>
      <c r="AO6" s="9"/>
      <c r="AP6" s="9"/>
      <c r="AQ6" s="9"/>
      <c r="AR6" s="9"/>
    </row>
    <row r="7" ht="27.0" customHeight="1" outlineLevel="1">
      <c r="A7" s="676">
        <v>2.0</v>
      </c>
      <c r="B7" s="22" t="str">
        <f>A40</f>
        <v>FOODY UGC</v>
      </c>
      <c r="C7" s="23" t="s">
        <v>7</v>
      </c>
      <c r="D7" s="24">
        <f t="shared" ref="D7:D8" si="2">K40</f>
        <v>18</v>
      </c>
      <c r="E7" s="25">
        <f>Q40</f>
        <v>163000000</v>
      </c>
      <c r="J7" s="2"/>
      <c r="K7" s="2"/>
      <c r="L7" s="5"/>
      <c r="M7" s="6"/>
      <c r="N7" s="6"/>
      <c r="O7" s="6"/>
      <c r="P7" s="6"/>
      <c r="Q7" s="6"/>
      <c r="R7" s="6"/>
      <c r="S7" s="7"/>
      <c r="T7" s="7"/>
      <c r="U7" s="7"/>
      <c r="V7" s="7"/>
      <c r="W7" s="7"/>
      <c r="X7" s="672"/>
      <c r="Y7" s="672"/>
      <c r="Z7" s="673"/>
      <c r="AA7" s="672"/>
      <c r="AB7" s="674"/>
      <c r="AC7" s="219"/>
      <c r="AD7" s="3"/>
      <c r="AE7" s="3"/>
      <c r="AF7" s="3"/>
      <c r="AG7" s="3"/>
      <c r="AH7" s="3"/>
      <c r="AI7" s="3"/>
      <c r="AJ7" s="3"/>
      <c r="AK7" s="3"/>
      <c r="AL7" s="3"/>
      <c r="AM7" s="3"/>
      <c r="AN7" s="3"/>
      <c r="AO7" s="9"/>
      <c r="AP7" s="9"/>
      <c r="AQ7" s="9"/>
      <c r="AR7" s="9"/>
    </row>
    <row r="8" ht="27.0" customHeight="1" outlineLevel="1">
      <c r="A8" s="26"/>
      <c r="B8" s="26"/>
      <c r="C8" s="23" t="s">
        <v>8</v>
      </c>
      <c r="D8" s="28">
        <f t="shared" si="2"/>
        <v>18</v>
      </c>
      <c r="E8" s="26"/>
      <c r="J8" s="2"/>
      <c r="K8" s="2"/>
      <c r="L8" s="5"/>
      <c r="M8" s="6"/>
      <c r="N8" s="6"/>
      <c r="O8" s="6"/>
      <c r="P8" s="6"/>
      <c r="Q8" s="6"/>
      <c r="R8" s="6"/>
      <c r="S8" s="7"/>
      <c r="T8" s="7"/>
      <c r="U8" s="7"/>
      <c r="V8" s="7"/>
      <c r="W8" s="7"/>
      <c r="X8" s="672"/>
      <c r="Y8" s="672"/>
      <c r="Z8" s="673"/>
      <c r="AA8" s="672"/>
      <c r="AB8" s="674"/>
      <c r="AC8" s="219"/>
      <c r="AD8" s="3"/>
      <c r="AE8" s="3"/>
      <c r="AF8" s="3"/>
      <c r="AG8" s="3"/>
      <c r="AH8" s="3"/>
      <c r="AI8" s="3"/>
      <c r="AJ8" s="3"/>
      <c r="AK8" s="3"/>
      <c r="AL8" s="3"/>
      <c r="AM8" s="3"/>
      <c r="AN8" s="3"/>
      <c r="AO8" s="9"/>
      <c r="AP8" s="9"/>
      <c r="AQ8" s="9"/>
      <c r="AR8" s="9"/>
    </row>
    <row r="9" ht="27.0" customHeight="1" outlineLevel="1">
      <c r="A9" s="676">
        <v>3.0</v>
      </c>
      <c r="B9" s="22" t="str">
        <f>A82</f>
        <v>FOODY COMMUNITY</v>
      </c>
      <c r="C9" s="23" t="s">
        <v>9</v>
      </c>
      <c r="D9" s="28">
        <f>K83</f>
        <v>5</v>
      </c>
      <c r="E9" s="25">
        <f>Q82</f>
        <v>216000000</v>
      </c>
      <c r="J9" s="2"/>
      <c r="K9" s="2"/>
      <c r="L9" s="5"/>
      <c r="M9" s="6"/>
      <c r="N9" s="6"/>
      <c r="O9" s="6"/>
      <c r="P9" s="6"/>
      <c r="Q9" s="6"/>
      <c r="R9" s="6"/>
      <c r="S9" s="7"/>
      <c r="T9" s="7"/>
      <c r="U9" s="7"/>
      <c r="V9" s="7"/>
      <c r="W9" s="7"/>
      <c r="X9" s="672"/>
      <c r="Y9" s="672"/>
      <c r="Z9" s="673"/>
      <c r="AA9" s="672"/>
      <c r="AB9" s="674"/>
      <c r="AC9" s="219"/>
      <c r="AD9" s="3"/>
      <c r="AE9" s="3"/>
      <c r="AF9" s="3"/>
      <c r="AG9" s="3"/>
      <c r="AH9" s="3"/>
      <c r="AI9" s="3"/>
      <c r="AJ9" s="3"/>
      <c r="AK9" s="3"/>
      <c r="AL9" s="3"/>
      <c r="AM9" s="3"/>
      <c r="AN9" s="3"/>
      <c r="AO9" s="9"/>
      <c r="AP9" s="9"/>
      <c r="AQ9" s="9"/>
      <c r="AR9" s="9"/>
    </row>
    <row r="10" ht="27.0" customHeight="1" outlineLevel="1">
      <c r="A10" s="26"/>
      <c r="B10" s="26"/>
      <c r="C10" s="29" t="s">
        <v>10</v>
      </c>
      <c r="D10" s="28">
        <f>K82</f>
        <v>5</v>
      </c>
      <c r="E10" s="26"/>
      <c r="J10" s="2"/>
      <c r="K10" s="2"/>
      <c r="L10" s="5"/>
      <c r="M10" s="6"/>
      <c r="N10" s="6"/>
      <c r="O10" s="6"/>
      <c r="P10" s="6"/>
      <c r="Q10" s="6"/>
      <c r="R10" s="6"/>
      <c r="S10" s="7"/>
      <c r="T10" s="7"/>
      <c r="U10" s="7"/>
      <c r="V10" s="7"/>
      <c r="W10" s="7"/>
      <c r="X10" s="672"/>
      <c r="Y10" s="672"/>
      <c r="Z10" s="673"/>
      <c r="AA10" s="672"/>
      <c r="AB10" s="674"/>
      <c r="AC10" s="219"/>
      <c r="AD10" s="3"/>
      <c r="AE10" s="3"/>
      <c r="AF10" s="3"/>
      <c r="AG10" s="3"/>
      <c r="AH10" s="3"/>
      <c r="AI10" s="3"/>
      <c r="AJ10" s="3"/>
      <c r="AK10" s="3"/>
      <c r="AL10" s="3"/>
      <c r="AM10" s="3"/>
      <c r="AN10" s="3"/>
      <c r="AO10" s="9"/>
      <c r="AP10" s="9"/>
      <c r="AQ10" s="9"/>
      <c r="AR10" s="9"/>
    </row>
    <row r="11" ht="27.0" customHeight="1" outlineLevel="1">
      <c r="A11" s="677">
        <v>4.0</v>
      </c>
      <c r="B11" s="31" t="str">
        <f>A94</f>
        <v>SEEDING PACKAGE</v>
      </c>
      <c r="C11" s="29" t="s">
        <v>11</v>
      </c>
      <c r="D11" s="28">
        <f>K95</f>
        <v>2000</v>
      </c>
      <c r="E11" s="32">
        <f>Q94</f>
        <v>20000000</v>
      </c>
      <c r="J11" s="2"/>
      <c r="K11" s="2"/>
      <c r="L11" s="5"/>
      <c r="M11" s="6"/>
      <c r="N11" s="6"/>
      <c r="O11" s="6"/>
      <c r="P11" s="6"/>
      <c r="Q11" s="6"/>
      <c r="R11" s="6"/>
      <c r="S11" s="7"/>
      <c r="T11" s="7"/>
      <c r="U11" s="7"/>
      <c r="V11" s="7"/>
      <c r="W11" s="7"/>
      <c r="X11" s="672"/>
      <c r="Y11" s="672"/>
      <c r="Z11" s="673"/>
      <c r="AA11" s="672"/>
      <c r="AB11" s="674"/>
      <c r="AC11" s="219"/>
      <c r="AD11" s="3"/>
      <c r="AE11" s="3"/>
      <c r="AF11" s="3"/>
      <c r="AG11" s="3"/>
      <c r="AH11" s="3"/>
      <c r="AI11" s="3"/>
      <c r="AJ11" s="3"/>
      <c r="AK11" s="3"/>
      <c r="AL11" s="3"/>
      <c r="AM11" s="3"/>
      <c r="AN11" s="3"/>
      <c r="AO11" s="9"/>
      <c r="AP11" s="9"/>
      <c r="AQ11" s="9"/>
      <c r="AR11" s="9"/>
    </row>
    <row r="12" ht="27.0" customHeight="1" outlineLevel="1">
      <c r="A12" s="33"/>
      <c r="B12" s="34" t="s">
        <v>12</v>
      </c>
      <c r="C12" s="35"/>
      <c r="D12" s="35"/>
      <c r="E12" s="36">
        <f>E4</f>
        <v>616000000</v>
      </c>
      <c r="K12" s="2"/>
      <c r="L12" s="5"/>
      <c r="M12" s="6"/>
      <c r="N12" s="6"/>
      <c r="O12" s="6"/>
      <c r="P12" s="6"/>
      <c r="Q12" s="6"/>
      <c r="R12" s="681"/>
      <c r="S12" s="7"/>
      <c r="T12" s="7"/>
      <c r="U12" s="7"/>
      <c r="V12" s="7"/>
      <c r="W12" s="7"/>
      <c r="X12" s="672"/>
      <c r="Y12" s="672"/>
      <c r="Z12" s="673"/>
      <c r="AA12" s="672"/>
      <c r="AB12" s="682"/>
      <c r="AC12" s="218"/>
      <c r="AD12" s="2"/>
      <c r="AE12" s="2"/>
      <c r="AF12" s="2"/>
      <c r="AG12" s="2"/>
      <c r="AH12" s="2"/>
      <c r="AI12" s="2"/>
      <c r="AJ12" s="2"/>
      <c r="AK12" s="2"/>
      <c r="AL12" s="2"/>
      <c r="AM12" s="2"/>
      <c r="AN12" s="2"/>
      <c r="AO12" s="9"/>
      <c r="AP12" s="9"/>
      <c r="AQ12" s="9"/>
      <c r="AR12" s="9"/>
    </row>
    <row r="13" ht="27.0" customHeight="1" outlineLevel="1">
      <c r="A13" s="38"/>
      <c r="B13" s="34" t="s">
        <v>13</v>
      </c>
      <c r="C13" s="39"/>
      <c r="D13" s="40">
        <v>0.12</v>
      </c>
      <c r="E13" s="41">
        <f>E12*D13</f>
        <v>73920000</v>
      </c>
      <c r="J13" s="42"/>
      <c r="K13" s="42"/>
      <c r="L13" s="43"/>
      <c r="M13" s="43"/>
      <c r="N13" s="43"/>
      <c r="O13" s="43"/>
      <c r="P13" s="43"/>
      <c r="Q13" s="43"/>
      <c r="R13" s="7"/>
      <c r="S13" s="8"/>
      <c r="T13" s="8"/>
      <c r="U13" s="8"/>
      <c r="V13" s="8"/>
      <c r="W13" s="8"/>
      <c r="X13" s="8"/>
      <c r="Y13" s="8"/>
      <c r="Z13" s="580"/>
      <c r="AA13" s="683"/>
      <c r="AB13" s="42"/>
      <c r="AC13" s="42"/>
      <c r="AD13" s="42"/>
      <c r="AE13" s="42"/>
      <c r="AF13" s="42"/>
      <c r="AG13" s="42"/>
      <c r="AH13" s="42"/>
      <c r="AI13" s="42"/>
      <c r="AJ13" s="42"/>
      <c r="AK13" s="43"/>
      <c r="AL13" s="43"/>
      <c r="AM13" s="43"/>
      <c r="AN13" s="43"/>
      <c r="AO13" s="9"/>
      <c r="AP13" s="9"/>
      <c r="AQ13" s="9"/>
      <c r="AR13" s="9"/>
    </row>
    <row r="14" ht="27.0" customHeight="1" outlineLevel="1">
      <c r="A14" s="38"/>
      <c r="B14" s="34" t="s">
        <v>14</v>
      </c>
      <c r="C14" s="39"/>
      <c r="D14" s="39"/>
      <c r="E14" s="41">
        <f>sum(E12:E13)</f>
        <v>689920000</v>
      </c>
      <c r="J14" s="42"/>
      <c r="K14" s="42"/>
      <c r="L14" s="43"/>
      <c r="M14" s="43"/>
      <c r="N14" s="43"/>
      <c r="O14" s="43"/>
      <c r="P14" s="43"/>
      <c r="Q14" s="43"/>
      <c r="R14" s="7"/>
      <c r="S14" s="8"/>
      <c r="T14" s="8"/>
      <c r="U14" s="8"/>
      <c r="V14" s="8"/>
      <c r="W14" s="8"/>
      <c r="X14" s="8"/>
      <c r="Y14" s="8"/>
      <c r="Z14" s="580"/>
      <c r="AA14" s="683"/>
      <c r="AB14" s="42"/>
      <c r="AC14" s="42"/>
      <c r="AD14" s="42"/>
      <c r="AE14" s="42"/>
      <c r="AF14" s="42"/>
      <c r="AG14" s="42"/>
      <c r="AH14" s="42"/>
      <c r="AI14" s="42"/>
      <c r="AJ14" s="42"/>
      <c r="AK14" s="43"/>
      <c r="AL14" s="43"/>
      <c r="AM14" s="43"/>
      <c r="AN14" s="43"/>
      <c r="AO14" s="9"/>
      <c r="AP14" s="9"/>
      <c r="AQ14" s="9"/>
      <c r="AR14" s="9"/>
    </row>
    <row r="15" ht="27.0" customHeight="1" outlineLevel="1">
      <c r="A15" s="38"/>
      <c r="B15" s="34" t="s">
        <v>15</v>
      </c>
      <c r="C15" s="39"/>
      <c r="D15" s="39"/>
      <c r="E15" s="41">
        <f>E14*1.08</f>
        <v>745113600</v>
      </c>
      <c r="J15" s="42"/>
      <c r="K15" s="42"/>
      <c r="L15" s="43"/>
      <c r="M15" s="43"/>
      <c r="N15" s="43"/>
      <c r="O15" s="43"/>
      <c r="P15" s="43"/>
      <c r="Q15" s="43"/>
      <c r="R15" s="7"/>
      <c r="S15" s="8"/>
      <c r="T15" s="8"/>
      <c r="U15" s="8"/>
      <c r="V15" s="8"/>
      <c r="W15" s="8"/>
      <c r="X15" s="8"/>
      <c r="Y15" s="8"/>
      <c r="Z15" s="580"/>
      <c r="AA15" s="683"/>
      <c r="AB15" s="42"/>
      <c r="AC15" s="42"/>
      <c r="AD15" s="42"/>
      <c r="AE15" s="42"/>
      <c r="AF15" s="42"/>
      <c r="AG15" s="42"/>
      <c r="AH15" s="42"/>
      <c r="AI15" s="42"/>
      <c r="AJ15" s="42"/>
      <c r="AK15" s="43"/>
      <c r="AL15" s="43"/>
      <c r="AM15" s="43"/>
      <c r="AN15" s="43"/>
      <c r="AO15" s="9"/>
      <c r="AP15" s="9"/>
      <c r="AQ15" s="9"/>
      <c r="AR15" s="9"/>
    </row>
    <row r="16" outlineLevel="1">
      <c r="A16" s="38"/>
      <c r="B16" s="44"/>
      <c r="C16" s="42"/>
      <c r="D16" s="42"/>
      <c r="E16" s="42"/>
      <c r="J16" s="42"/>
      <c r="K16" s="42"/>
      <c r="L16" s="43"/>
      <c r="M16" s="43"/>
      <c r="N16" s="43"/>
      <c r="O16" s="43"/>
      <c r="P16" s="43"/>
      <c r="Q16" s="43"/>
      <c r="R16" s="7"/>
      <c r="S16" s="8"/>
      <c r="T16" s="8"/>
      <c r="U16" s="8"/>
      <c r="V16" s="8"/>
      <c r="W16" s="8"/>
      <c r="X16" s="8"/>
      <c r="Y16" s="8"/>
      <c r="Z16" s="580"/>
      <c r="AA16" s="683"/>
      <c r="AB16" s="42"/>
      <c r="AC16" s="42"/>
      <c r="AD16" s="42"/>
      <c r="AE16" s="42"/>
      <c r="AF16" s="42"/>
      <c r="AG16" s="42"/>
      <c r="AH16" s="42"/>
      <c r="AI16" s="42"/>
      <c r="AJ16" s="42"/>
      <c r="AK16" s="43"/>
      <c r="AL16" s="43"/>
      <c r="AM16" s="43"/>
      <c r="AN16" s="43"/>
      <c r="AO16" s="9"/>
      <c r="AP16" s="9"/>
      <c r="AQ16" s="9"/>
      <c r="AR16" s="9"/>
    </row>
    <row r="17" outlineLevel="1">
      <c r="R17" s="892"/>
      <c r="S17" s="8"/>
      <c r="T17" s="8"/>
      <c r="U17" s="8"/>
      <c r="V17" s="8"/>
      <c r="W17" s="8"/>
      <c r="X17" s="8"/>
      <c r="Y17" s="8"/>
      <c r="Z17" s="580"/>
      <c r="AA17" s="685" t="s">
        <v>891</v>
      </c>
      <c r="AB17" s="686"/>
      <c r="AC17" s="687" t="s">
        <v>892</v>
      </c>
      <c r="AD17" s="688"/>
      <c r="AE17" s="688"/>
      <c r="AF17" s="688"/>
      <c r="AG17" s="688"/>
      <c r="AH17" s="688"/>
      <c r="AI17" s="688"/>
      <c r="AJ17" s="688"/>
      <c r="AK17" s="686"/>
      <c r="AL17" s="686"/>
      <c r="AM17" s="686"/>
      <c r="AN17" s="689"/>
      <c r="AO17" s="9"/>
      <c r="AP17" s="9"/>
      <c r="AQ17" s="9"/>
      <c r="AR17" s="9"/>
    </row>
    <row r="18" ht="44.25" customHeight="1" outlineLevel="1">
      <c r="A18" s="43"/>
      <c r="B18" s="43"/>
      <c r="C18" s="43"/>
      <c r="D18" s="43"/>
      <c r="E18" s="43"/>
      <c r="G18" s="43"/>
      <c r="H18" s="43"/>
      <c r="K18" s="43"/>
      <c r="L18" s="43"/>
      <c r="M18" s="43"/>
      <c r="N18" s="43"/>
      <c r="O18" s="43"/>
      <c r="P18" s="43"/>
      <c r="Q18" s="43"/>
      <c r="R18" s="690"/>
      <c r="S18" s="47"/>
      <c r="T18" s="47"/>
      <c r="U18" s="47"/>
      <c r="V18" s="47"/>
      <c r="W18" s="47"/>
      <c r="X18" s="47"/>
      <c r="Y18" s="47"/>
      <c r="Z18" s="691"/>
      <c r="AA18" s="692" t="s">
        <v>893</v>
      </c>
      <c r="AB18" s="693" t="s">
        <v>894</v>
      </c>
      <c r="AC18" s="694" t="s">
        <v>38</v>
      </c>
      <c r="AD18" s="688"/>
      <c r="AE18" s="688"/>
      <c r="AF18" s="688"/>
      <c r="AG18" s="695" t="s">
        <v>320</v>
      </c>
      <c r="AH18" s="696"/>
      <c r="AI18" s="696"/>
      <c r="AJ18" s="697"/>
      <c r="AK18" s="698" t="s">
        <v>895</v>
      </c>
      <c r="AL18" s="693" t="s">
        <v>896</v>
      </c>
      <c r="AM18" s="693" t="s">
        <v>897</v>
      </c>
      <c r="AN18" s="693" t="s">
        <v>898</v>
      </c>
      <c r="AO18" s="9"/>
      <c r="AP18" s="9"/>
      <c r="AQ18" s="9"/>
      <c r="AR18" s="9"/>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33</v>
      </c>
      <c r="U19" s="53" t="s">
        <v>34</v>
      </c>
      <c r="V19" s="54"/>
      <c r="W19" s="54"/>
      <c r="X19" s="703" t="s">
        <v>899</v>
      </c>
      <c r="Y19" s="703" t="s">
        <v>900</v>
      </c>
      <c r="Z19" s="704"/>
      <c r="AA19" s="705"/>
      <c r="AB19" s="706"/>
      <c r="AC19" s="707" t="s">
        <v>901</v>
      </c>
      <c r="AD19" s="707" t="s">
        <v>902</v>
      </c>
      <c r="AE19" s="707" t="s">
        <v>903</v>
      </c>
      <c r="AF19" s="707" t="s">
        <v>904</v>
      </c>
      <c r="AG19" s="708" t="s">
        <v>901</v>
      </c>
      <c r="AH19" s="708" t="s">
        <v>902</v>
      </c>
      <c r="AI19" s="708" t="s">
        <v>903</v>
      </c>
      <c r="AJ19" s="708" t="s">
        <v>904</v>
      </c>
      <c r="AK19" s="707" t="s">
        <v>905</v>
      </c>
      <c r="AL19" s="706"/>
      <c r="AM19" s="706"/>
      <c r="AN19" s="706"/>
      <c r="AO19" s="9"/>
      <c r="AP19" s="9"/>
      <c r="AQ19" s="9"/>
      <c r="AR19" s="9"/>
    </row>
    <row r="20" ht="30.0" customHeight="1">
      <c r="A20" s="55" t="s">
        <v>35</v>
      </c>
      <c r="B20" s="56"/>
      <c r="C20" s="57"/>
      <c r="D20" s="58"/>
      <c r="E20" s="59"/>
      <c r="F20" s="60"/>
      <c r="G20" s="61"/>
      <c r="H20" s="61"/>
      <c r="I20" s="62"/>
      <c r="J20" s="63" t="s">
        <v>7</v>
      </c>
      <c r="K20" s="64">
        <f>SUMIFS(K22:K39,J22:J39,"Video Post")</f>
        <v>9</v>
      </c>
      <c r="L20" s="65"/>
      <c r="M20" s="66">
        <f t="shared" ref="M20:N20" si="3">sumif($I$22:$I$39,"TRUE",M22:M39)</f>
        <v>705000</v>
      </c>
      <c r="N20" s="66">
        <f t="shared" si="3"/>
        <v>28200</v>
      </c>
      <c r="O20" s="65"/>
      <c r="P20" s="65"/>
      <c r="Q20" s="66">
        <f>sum(Q22:Q39)</f>
        <v>217000000</v>
      </c>
      <c r="R20" s="67"/>
      <c r="S20" s="68"/>
      <c r="T20" s="68"/>
      <c r="U20" s="68"/>
      <c r="V20" s="69"/>
      <c r="W20" s="69"/>
      <c r="X20" s="717"/>
      <c r="Y20" s="717"/>
      <c r="Z20" s="718"/>
      <c r="AA20" s="719"/>
      <c r="AB20" s="720"/>
      <c r="AC20" s="721"/>
      <c r="AD20" s="721"/>
      <c r="AE20" s="721"/>
      <c r="AF20" s="722"/>
      <c r="AG20" s="723"/>
      <c r="AH20" s="721"/>
      <c r="AI20" s="721"/>
      <c r="AJ20" s="721"/>
      <c r="AK20" s="724"/>
      <c r="AL20" s="724"/>
      <c r="AM20" s="724"/>
      <c r="AN20" s="725"/>
      <c r="AO20" s="9"/>
      <c r="AP20" s="9"/>
      <c r="AQ20" s="9"/>
      <c r="AR20" s="9"/>
    </row>
    <row r="21" ht="30.0" customHeight="1">
      <c r="A21" s="70"/>
      <c r="B21" s="71"/>
      <c r="C21" s="57"/>
      <c r="D21" s="58"/>
      <c r="E21" s="59"/>
      <c r="F21" s="60"/>
      <c r="G21" s="61"/>
      <c r="H21" s="61"/>
      <c r="I21" s="62"/>
      <c r="J21" s="63" t="s">
        <v>8</v>
      </c>
      <c r="K21" s="64">
        <f>SUMIFS(K22:K39,J22:J39,"Tháng")</f>
        <v>9</v>
      </c>
      <c r="L21" s="65"/>
      <c r="M21" s="72"/>
      <c r="N21" s="72"/>
      <c r="O21" s="65"/>
      <c r="P21" s="65"/>
      <c r="Q21" s="72"/>
      <c r="R21" s="67"/>
      <c r="S21" s="72"/>
      <c r="T21" s="72"/>
      <c r="U21" s="72"/>
      <c r="V21" s="69"/>
      <c r="W21" s="69"/>
      <c r="X21" s="717"/>
      <c r="Y21" s="717"/>
      <c r="Z21" s="728"/>
      <c r="AA21" s="719"/>
      <c r="AB21" s="720"/>
      <c r="AC21" s="721"/>
      <c r="AD21" s="721"/>
      <c r="AE21" s="721"/>
      <c r="AF21" s="722"/>
      <c r="AG21" s="723"/>
      <c r="AH21" s="721"/>
      <c r="AI21" s="721"/>
      <c r="AJ21" s="721"/>
      <c r="AK21" s="724"/>
      <c r="AL21" s="724"/>
      <c r="AM21" s="724"/>
      <c r="AN21" s="725"/>
      <c r="AO21" s="9"/>
      <c r="AP21" s="9"/>
      <c r="AQ21" s="9"/>
      <c r="AR21" s="9"/>
    </row>
    <row r="22" ht="59.25" customHeight="1" outlineLevel="1">
      <c r="A22" s="73" t="s">
        <v>36</v>
      </c>
      <c r="B22" s="74" t="s">
        <v>37</v>
      </c>
      <c r="C22" s="75" t="s">
        <v>38</v>
      </c>
      <c r="D22" s="76" t="s">
        <v>39</v>
      </c>
      <c r="E22" s="77" t="s">
        <v>40</v>
      </c>
      <c r="F22" s="78" t="s">
        <v>21</v>
      </c>
      <c r="G22" s="79" t="s">
        <v>41</v>
      </c>
      <c r="H22" s="80" t="s">
        <v>1148</v>
      </c>
      <c r="I22" s="81" t="b">
        <v>1</v>
      </c>
      <c r="J22" s="82" t="s">
        <v>7</v>
      </c>
      <c r="K22" s="83">
        <f t="shared" ref="K22:K39" si="4">if(I22=True,1,if(I22=False,0))</f>
        <v>1</v>
      </c>
      <c r="L22" s="84">
        <v>1.6E7</v>
      </c>
      <c r="M22" s="84">
        <f t="shared" ref="M22:M32" si="5">(sum(AC22:AD22)+sum(AG22:AH22))*K22</f>
        <v>50000</v>
      </c>
      <c r="N22" s="84">
        <f t="shared" ref="N22:N32" si="6">(sum(AE22:AF22)+sum(AI22:AJ22))*K22</f>
        <v>3000</v>
      </c>
      <c r="O22" s="84">
        <f t="shared" ref="O22:O32" si="7">IFERROR(Q22/M22,"-")</f>
        <v>320</v>
      </c>
      <c r="P22" s="84">
        <f t="shared" ref="P22:P32" si="8">IFERROR(Q22/N22,"-")</f>
        <v>5333.333333</v>
      </c>
      <c r="Q22" s="84">
        <v>1.6E7</v>
      </c>
      <c r="R22" s="75" t="s">
        <v>1149</v>
      </c>
      <c r="S22" s="85" t="s">
        <v>44</v>
      </c>
      <c r="T22" s="93" t="s">
        <v>362</v>
      </c>
      <c r="U22" s="86" t="s">
        <v>45</v>
      </c>
      <c r="V22" s="87"/>
      <c r="W22" s="87"/>
      <c r="X22" s="740"/>
      <c r="Y22" s="740"/>
      <c r="Z22" s="741" t="s">
        <v>1150</v>
      </c>
      <c r="AA22" s="742">
        <f>3500000/0.9</f>
        <v>3888888.889</v>
      </c>
      <c r="AB22" s="743">
        <v>6.0</v>
      </c>
      <c r="AC22" s="744">
        <v>20000.0</v>
      </c>
      <c r="AD22" s="744">
        <v>30000.0</v>
      </c>
      <c r="AE22" s="744">
        <v>1000.0</v>
      </c>
      <c r="AF22" s="745">
        <v>2000.0</v>
      </c>
      <c r="AG22" s="746"/>
      <c r="AH22" s="744"/>
      <c r="AI22" s="744"/>
      <c r="AJ22" s="744"/>
      <c r="AK22" s="747">
        <f t="shared" ref="AK22:AK39" si="9">(AD22*2+AF22*50+AH22*10+AJ22*50)*K22</f>
        <v>160000</v>
      </c>
      <c r="AL22" s="747">
        <f t="shared" ref="AL22:AL39" si="10">sum(AA22,AK22)*K22</f>
        <v>4048888.889</v>
      </c>
      <c r="AM22" s="747">
        <f t="shared" ref="AM22:AM39" si="11">iferror(Q22-AL22,"-")</f>
        <v>11951111.11</v>
      </c>
      <c r="AN22" s="748">
        <f t="shared" ref="AN22:AN39" si="12">iferror(AM22/Q22,"-")</f>
        <v>0.7469444444</v>
      </c>
      <c r="AO22" s="9"/>
      <c r="AP22" s="9"/>
      <c r="AQ22" s="9"/>
      <c r="AR22" s="9"/>
    </row>
    <row r="23" ht="59.25" customHeight="1" outlineLevel="1">
      <c r="A23" s="72"/>
      <c r="B23" s="72"/>
      <c r="C23" s="72"/>
      <c r="D23" s="72"/>
      <c r="E23" s="72"/>
      <c r="F23" s="72"/>
      <c r="G23" s="72"/>
      <c r="H23" s="88" t="s">
        <v>1151</v>
      </c>
      <c r="I23" s="81" t="b">
        <v>1</v>
      </c>
      <c r="J23" s="82" t="s">
        <v>47</v>
      </c>
      <c r="K23" s="83">
        <f t="shared" si="4"/>
        <v>1</v>
      </c>
      <c r="L23" s="84">
        <v>8000000.0</v>
      </c>
      <c r="M23" s="84">
        <f t="shared" si="5"/>
        <v>0</v>
      </c>
      <c r="N23" s="84">
        <f t="shared" si="6"/>
        <v>0</v>
      </c>
      <c r="O23" s="84" t="str">
        <f t="shared" si="7"/>
        <v>-</v>
      </c>
      <c r="P23" s="84" t="str">
        <f t="shared" si="8"/>
        <v>-</v>
      </c>
      <c r="Q23" s="84">
        <v>8000000.0</v>
      </c>
      <c r="R23" s="72"/>
      <c r="S23" s="72"/>
      <c r="T23" s="72"/>
      <c r="U23" s="72"/>
      <c r="V23" s="87"/>
      <c r="W23" s="87"/>
      <c r="X23" s="26"/>
      <c r="Y23" s="26"/>
      <c r="Z23" s="751" t="s">
        <v>910</v>
      </c>
      <c r="AA23" s="742">
        <v>0.0</v>
      </c>
      <c r="AB23" s="743">
        <v>4.0</v>
      </c>
      <c r="AC23" s="744"/>
      <c r="AD23" s="744"/>
      <c r="AE23" s="744"/>
      <c r="AF23" s="745"/>
      <c r="AG23" s="746"/>
      <c r="AH23" s="744"/>
      <c r="AI23" s="744"/>
      <c r="AJ23" s="744"/>
      <c r="AK23" s="747">
        <f t="shared" si="9"/>
        <v>0</v>
      </c>
      <c r="AL23" s="747">
        <f t="shared" si="10"/>
        <v>0</v>
      </c>
      <c r="AM23" s="747">
        <f t="shared" si="11"/>
        <v>8000000</v>
      </c>
      <c r="AN23" s="748">
        <f t="shared" si="12"/>
        <v>1</v>
      </c>
      <c r="AO23" s="9"/>
      <c r="AP23" s="9"/>
      <c r="AQ23" s="9"/>
      <c r="AR23" s="9"/>
    </row>
    <row r="24" ht="59.25" customHeight="1" outlineLevel="1">
      <c r="A24" s="73" t="s">
        <v>36</v>
      </c>
      <c r="B24" s="89" t="s">
        <v>48</v>
      </c>
      <c r="C24" s="75" t="s">
        <v>38</v>
      </c>
      <c r="D24" s="76" t="s">
        <v>49</v>
      </c>
      <c r="E24" s="77" t="s">
        <v>40</v>
      </c>
      <c r="F24" s="78" t="s">
        <v>21</v>
      </c>
      <c r="G24" s="79" t="s">
        <v>50</v>
      </c>
      <c r="H24" s="80" t="s">
        <v>1152</v>
      </c>
      <c r="I24" s="81" t="b">
        <v>1</v>
      </c>
      <c r="J24" s="82" t="s">
        <v>7</v>
      </c>
      <c r="K24" s="83">
        <f t="shared" si="4"/>
        <v>1</v>
      </c>
      <c r="L24" s="84">
        <f>round(AA24*(1+AB24),-6)</f>
        <v>12000000</v>
      </c>
      <c r="M24" s="84">
        <f t="shared" si="5"/>
        <v>100000</v>
      </c>
      <c r="N24" s="84">
        <f t="shared" si="6"/>
        <v>3000</v>
      </c>
      <c r="O24" s="84">
        <f t="shared" si="7"/>
        <v>120</v>
      </c>
      <c r="P24" s="84">
        <f t="shared" si="8"/>
        <v>4000</v>
      </c>
      <c r="Q24" s="84">
        <v>1.2E7</v>
      </c>
      <c r="R24" s="75" t="s">
        <v>1153</v>
      </c>
      <c r="S24" s="85" t="s">
        <v>53</v>
      </c>
      <c r="T24" s="85"/>
      <c r="U24" s="86" t="s">
        <v>45</v>
      </c>
      <c r="V24" s="87"/>
      <c r="W24" s="87"/>
      <c r="X24" s="740"/>
      <c r="Y24" s="740"/>
      <c r="Z24" s="751" t="s">
        <v>913</v>
      </c>
      <c r="AA24" s="742">
        <f>5500000/0.9</f>
        <v>6111111.111</v>
      </c>
      <c r="AB24" s="743">
        <v>1.0</v>
      </c>
      <c r="AC24" s="744">
        <v>50000.0</v>
      </c>
      <c r="AD24" s="744">
        <v>50000.0</v>
      </c>
      <c r="AE24" s="744">
        <v>1000.0</v>
      </c>
      <c r="AF24" s="745">
        <v>2000.0</v>
      </c>
      <c r="AG24" s="746"/>
      <c r="AH24" s="744"/>
      <c r="AI24" s="744"/>
      <c r="AJ24" s="744"/>
      <c r="AK24" s="747">
        <f t="shared" si="9"/>
        <v>200000</v>
      </c>
      <c r="AL24" s="747">
        <f t="shared" si="10"/>
        <v>6311111.111</v>
      </c>
      <c r="AM24" s="747">
        <f t="shared" si="11"/>
        <v>5688888.889</v>
      </c>
      <c r="AN24" s="748">
        <f t="shared" si="12"/>
        <v>0.4740740741</v>
      </c>
      <c r="AO24" s="9"/>
      <c r="AP24" s="9"/>
      <c r="AQ24" s="9"/>
      <c r="AR24" s="9"/>
    </row>
    <row r="25" ht="59.25" customHeight="1" outlineLevel="1">
      <c r="A25" s="72"/>
      <c r="B25" s="72"/>
      <c r="C25" s="72"/>
      <c r="D25" s="72"/>
      <c r="E25" s="72"/>
      <c r="F25" s="72"/>
      <c r="G25" s="72"/>
      <c r="H25" s="88" t="s">
        <v>1154</v>
      </c>
      <c r="I25" s="81" t="b">
        <v>1</v>
      </c>
      <c r="J25" s="82" t="s">
        <v>47</v>
      </c>
      <c r="K25" s="83">
        <f t="shared" si="4"/>
        <v>1</v>
      </c>
      <c r="L25" s="90">
        <v>6000000.0</v>
      </c>
      <c r="M25" s="84">
        <f t="shared" si="5"/>
        <v>0</v>
      </c>
      <c r="N25" s="84">
        <f t="shared" si="6"/>
        <v>0</v>
      </c>
      <c r="O25" s="84" t="str">
        <f t="shared" si="7"/>
        <v>-</v>
      </c>
      <c r="P25" s="84" t="str">
        <f t="shared" si="8"/>
        <v>-</v>
      </c>
      <c r="Q25" s="84">
        <v>6000000.0</v>
      </c>
      <c r="R25" s="72"/>
      <c r="S25" s="72"/>
      <c r="T25" s="72"/>
      <c r="U25" s="72"/>
      <c r="V25" s="9"/>
      <c r="W25" s="9"/>
      <c r="X25" s="26"/>
      <c r="Y25" s="26"/>
      <c r="Z25" s="751" t="s">
        <v>915</v>
      </c>
      <c r="AA25" s="742">
        <v>0.0</v>
      </c>
      <c r="AB25" s="743"/>
      <c r="AC25" s="744"/>
      <c r="AD25" s="744"/>
      <c r="AE25" s="744"/>
      <c r="AF25" s="745"/>
      <c r="AG25" s="746"/>
      <c r="AH25" s="744"/>
      <c r="AI25" s="744"/>
      <c r="AJ25" s="744"/>
      <c r="AK25" s="747">
        <f t="shared" si="9"/>
        <v>0</v>
      </c>
      <c r="AL25" s="747">
        <f t="shared" si="10"/>
        <v>0</v>
      </c>
      <c r="AM25" s="747">
        <f t="shared" si="11"/>
        <v>6000000</v>
      </c>
      <c r="AN25" s="748">
        <f t="shared" si="12"/>
        <v>1</v>
      </c>
      <c r="AO25" s="9"/>
      <c r="AP25" s="9"/>
      <c r="AQ25" s="9"/>
      <c r="AR25" s="9"/>
    </row>
    <row r="26" ht="59.25" customHeight="1" outlineLevel="1">
      <c r="A26" s="73" t="s">
        <v>36</v>
      </c>
      <c r="B26" s="89" t="s">
        <v>55</v>
      </c>
      <c r="C26" s="75" t="s">
        <v>38</v>
      </c>
      <c r="D26" s="76" t="s">
        <v>56</v>
      </c>
      <c r="E26" s="77" t="s">
        <v>40</v>
      </c>
      <c r="F26" s="78" t="s">
        <v>21</v>
      </c>
      <c r="G26" s="79" t="s">
        <v>50</v>
      </c>
      <c r="H26" s="80" t="s">
        <v>1155</v>
      </c>
      <c r="I26" s="81" t="b">
        <v>1</v>
      </c>
      <c r="J26" s="82" t="s">
        <v>7</v>
      </c>
      <c r="K26" s="83">
        <f t="shared" si="4"/>
        <v>1</v>
      </c>
      <c r="L26" s="84">
        <f>round(AA26*(1+AB26),-6)</f>
        <v>20000000</v>
      </c>
      <c r="M26" s="84">
        <f t="shared" si="5"/>
        <v>130000</v>
      </c>
      <c r="N26" s="84">
        <f t="shared" si="6"/>
        <v>4000</v>
      </c>
      <c r="O26" s="84">
        <f t="shared" si="7"/>
        <v>153.8461538</v>
      </c>
      <c r="P26" s="84">
        <f t="shared" si="8"/>
        <v>5000</v>
      </c>
      <c r="Q26" s="84">
        <v>2.0E7</v>
      </c>
      <c r="R26" s="75" t="s">
        <v>1156</v>
      </c>
      <c r="S26" s="85" t="s">
        <v>59</v>
      </c>
      <c r="T26" s="93" t="s">
        <v>363</v>
      </c>
      <c r="U26" s="86" t="s">
        <v>45</v>
      </c>
      <c r="V26" s="87"/>
      <c r="W26" s="87"/>
      <c r="X26" s="740"/>
      <c r="Y26" s="740"/>
      <c r="Z26" s="1016" t="s">
        <v>1157</v>
      </c>
      <c r="AA26" s="742">
        <f>12000000/0.9</f>
        <v>13333333.33</v>
      </c>
      <c r="AB26" s="743">
        <v>0.5</v>
      </c>
      <c r="AC26" s="744">
        <v>80000.0</v>
      </c>
      <c r="AD26" s="744">
        <v>50000.0</v>
      </c>
      <c r="AE26" s="744">
        <v>2000.0</v>
      </c>
      <c r="AF26" s="745">
        <v>2000.0</v>
      </c>
      <c r="AG26" s="746"/>
      <c r="AH26" s="744"/>
      <c r="AI26" s="744"/>
      <c r="AJ26" s="744"/>
      <c r="AK26" s="747">
        <f t="shared" si="9"/>
        <v>200000</v>
      </c>
      <c r="AL26" s="747">
        <f t="shared" si="10"/>
        <v>13533333.33</v>
      </c>
      <c r="AM26" s="747">
        <f t="shared" si="11"/>
        <v>6466666.667</v>
      </c>
      <c r="AN26" s="748">
        <f t="shared" si="12"/>
        <v>0.3233333333</v>
      </c>
      <c r="AO26" s="9"/>
      <c r="AP26" s="9"/>
      <c r="AQ26" s="9"/>
      <c r="AR26" s="9"/>
    </row>
    <row r="27" ht="59.25" customHeight="1" outlineLevel="1">
      <c r="A27" s="72"/>
      <c r="B27" s="72"/>
      <c r="C27" s="72"/>
      <c r="D27" s="72"/>
      <c r="E27" s="72"/>
      <c r="F27" s="72"/>
      <c r="G27" s="72"/>
      <c r="H27" s="88" t="s">
        <v>1158</v>
      </c>
      <c r="I27" s="81" t="b">
        <v>1</v>
      </c>
      <c r="J27" s="82" t="s">
        <v>47</v>
      </c>
      <c r="K27" s="83">
        <f t="shared" si="4"/>
        <v>1</v>
      </c>
      <c r="L27" s="90">
        <v>1.3E7</v>
      </c>
      <c r="M27" s="84">
        <f t="shared" si="5"/>
        <v>0</v>
      </c>
      <c r="N27" s="84">
        <f t="shared" si="6"/>
        <v>0</v>
      </c>
      <c r="O27" s="84" t="str">
        <f t="shared" si="7"/>
        <v>-</v>
      </c>
      <c r="P27" s="84" t="str">
        <f t="shared" si="8"/>
        <v>-</v>
      </c>
      <c r="Q27" s="84">
        <v>1.3E7</v>
      </c>
      <c r="R27" s="72"/>
      <c r="S27" s="72"/>
      <c r="T27" s="72"/>
      <c r="U27" s="72"/>
      <c r="V27" s="9"/>
      <c r="W27" s="9"/>
      <c r="X27" s="26"/>
      <c r="Y27" s="26"/>
      <c r="Z27" s="751" t="s">
        <v>910</v>
      </c>
      <c r="AA27" s="742">
        <f>3000000/0.9</f>
        <v>3333333.333</v>
      </c>
      <c r="AB27" s="743">
        <v>0.5</v>
      </c>
      <c r="AC27" s="744"/>
      <c r="AD27" s="744"/>
      <c r="AE27" s="744"/>
      <c r="AF27" s="745"/>
      <c r="AG27" s="746"/>
      <c r="AH27" s="744"/>
      <c r="AI27" s="744"/>
      <c r="AJ27" s="744"/>
      <c r="AK27" s="747">
        <f t="shared" si="9"/>
        <v>0</v>
      </c>
      <c r="AL27" s="747">
        <f t="shared" si="10"/>
        <v>3333333.333</v>
      </c>
      <c r="AM27" s="747">
        <f t="shared" si="11"/>
        <v>9666666.667</v>
      </c>
      <c r="AN27" s="748">
        <f t="shared" si="12"/>
        <v>0.7435897436</v>
      </c>
      <c r="AO27" s="9"/>
      <c r="AP27" s="9"/>
      <c r="AQ27" s="9"/>
      <c r="AR27" s="9"/>
    </row>
    <row r="28" ht="59.25" customHeight="1" outlineLevel="1">
      <c r="A28" s="73" t="s">
        <v>36</v>
      </c>
      <c r="B28" s="89" t="s">
        <v>61</v>
      </c>
      <c r="C28" s="75" t="s">
        <v>38</v>
      </c>
      <c r="D28" s="76" t="s">
        <v>62</v>
      </c>
      <c r="E28" s="77" t="s">
        <v>40</v>
      </c>
      <c r="F28" s="78" t="s">
        <v>21</v>
      </c>
      <c r="G28" s="79" t="s">
        <v>50</v>
      </c>
      <c r="H28" s="80" t="s">
        <v>1159</v>
      </c>
      <c r="I28" s="81" t="b">
        <v>1</v>
      </c>
      <c r="J28" s="82" t="s">
        <v>7</v>
      </c>
      <c r="K28" s="83">
        <f t="shared" si="4"/>
        <v>1</v>
      </c>
      <c r="L28" s="84">
        <f>round(AA28*(1+AB28),-6)</f>
        <v>8000000</v>
      </c>
      <c r="M28" s="84">
        <f t="shared" si="5"/>
        <v>30000</v>
      </c>
      <c r="N28" s="84">
        <f t="shared" si="6"/>
        <v>1200</v>
      </c>
      <c r="O28" s="84">
        <f t="shared" si="7"/>
        <v>266.6666667</v>
      </c>
      <c r="P28" s="84">
        <f t="shared" si="8"/>
        <v>6666.666667</v>
      </c>
      <c r="Q28" s="84">
        <v>8000000.0</v>
      </c>
      <c r="R28" s="75" t="s">
        <v>1160</v>
      </c>
      <c r="S28" s="85" t="s">
        <v>65</v>
      </c>
      <c r="T28" s="85"/>
      <c r="U28" s="86" t="s">
        <v>45</v>
      </c>
      <c r="V28" s="87"/>
      <c r="W28" s="87"/>
      <c r="X28" s="740"/>
      <c r="Y28" s="740"/>
      <c r="Z28" s="751" t="s">
        <v>913</v>
      </c>
      <c r="AA28" s="742">
        <f>3800000/0.9</f>
        <v>4222222.222</v>
      </c>
      <c r="AB28" s="743">
        <v>1.0</v>
      </c>
      <c r="AC28" s="744">
        <v>5000.0</v>
      </c>
      <c r="AD28" s="744">
        <v>25000.0</v>
      </c>
      <c r="AE28" s="744">
        <v>200.0</v>
      </c>
      <c r="AF28" s="745">
        <v>1000.0</v>
      </c>
      <c r="AG28" s="746"/>
      <c r="AH28" s="744"/>
      <c r="AI28" s="744"/>
      <c r="AJ28" s="744"/>
      <c r="AK28" s="747">
        <f t="shared" si="9"/>
        <v>100000</v>
      </c>
      <c r="AL28" s="747">
        <f t="shared" si="10"/>
        <v>4322222.222</v>
      </c>
      <c r="AM28" s="747">
        <f t="shared" si="11"/>
        <v>3677777.778</v>
      </c>
      <c r="AN28" s="748">
        <f t="shared" si="12"/>
        <v>0.4597222222</v>
      </c>
      <c r="AO28" s="9"/>
      <c r="AP28" s="9"/>
      <c r="AQ28" s="9"/>
      <c r="AR28" s="9"/>
    </row>
    <row r="29" ht="59.25" customHeight="1" outlineLevel="1">
      <c r="A29" s="72"/>
      <c r="B29" s="72"/>
      <c r="C29" s="72"/>
      <c r="D29" s="72"/>
      <c r="E29" s="72"/>
      <c r="F29" s="72"/>
      <c r="G29" s="72"/>
      <c r="H29" s="88" t="s">
        <v>1161</v>
      </c>
      <c r="I29" s="81" t="b">
        <v>1</v>
      </c>
      <c r="J29" s="82" t="s">
        <v>47</v>
      </c>
      <c r="K29" s="83">
        <f t="shared" si="4"/>
        <v>1</v>
      </c>
      <c r="L29" s="90">
        <v>4000000.0</v>
      </c>
      <c r="M29" s="84">
        <f t="shared" si="5"/>
        <v>0</v>
      </c>
      <c r="N29" s="84">
        <f t="shared" si="6"/>
        <v>0</v>
      </c>
      <c r="O29" s="84" t="str">
        <f t="shared" si="7"/>
        <v>-</v>
      </c>
      <c r="P29" s="84" t="str">
        <f t="shared" si="8"/>
        <v>-</v>
      </c>
      <c r="Q29" s="84">
        <v>4000000.0</v>
      </c>
      <c r="R29" s="72"/>
      <c r="S29" s="72"/>
      <c r="T29" s="72"/>
      <c r="U29" s="72"/>
      <c r="V29" s="9"/>
      <c r="W29" s="9"/>
      <c r="X29" s="26"/>
      <c r="Y29" s="26"/>
      <c r="Z29" s="751" t="s">
        <v>923</v>
      </c>
      <c r="AA29" s="742">
        <v>0.0</v>
      </c>
      <c r="AB29" s="743"/>
      <c r="AC29" s="744"/>
      <c r="AD29" s="744"/>
      <c r="AE29" s="744"/>
      <c r="AF29" s="745"/>
      <c r="AG29" s="746"/>
      <c r="AH29" s="744"/>
      <c r="AI29" s="744"/>
      <c r="AJ29" s="744"/>
      <c r="AK29" s="747">
        <f t="shared" si="9"/>
        <v>0</v>
      </c>
      <c r="AL29" s="747">
        <f t="shared" si="10"/>
        <v>0</v>
      </c>
      <c r="AM29" s="747">
        <f t="shared" si="11"/>
        <v>4000000</v>
      </c>
      <c r="AN29" s="748">
        <f t="shared" si="12"/>
        <v>1</v>
      </c>
      <c r="AO29" s="9"/>
      <c r="AP29" s="9"/>
      <c r="AQ29" s="9"/>
      <c r="AR29" s="9"/>
    </row>
    <row r="30" ht="59.25" customHeight="1" outlineLevel="1">
      <c r="A30" s="73" t="s">
        <v>36</v>
      </c>
      <c r="B30" s="89" t="s">
        <v>67</v>
      </c>
      <c r="C30" s="75" t="s">
        <v>38</v>
      </c>
      <c r="D30" s="76" t="s">
        <v>68</v>
      </c>
      <c r="E30" s="77" t="s">
        <v>40</v>
      </c>
      <c r="F30" s="78" t="s">
        <v>21</v>
      </c>
      <c r="G30" s="79" t="s">
        <v>50</v>
      </c>
      <c r="H30" s="80" t="s">
        <v>1162</v>
      </c>
      <c r="I30" s="81" t="b">
        <v>1</v>
      </c>
      <c r="J30" s="82" t="s">
        <v>7</v>
      </c>
      <c r="K30" s="83">
        <f t="shared" si="4"/>
        <v>1</v>
      </c>
      <c r="L30" s="84">
        <f>round(AA30*(1+AB30),-6)</f>
        <v>10000000</v>
      </c>
      <c r="M30" s="84">
        <f t="shared" si="5"/>
        <v>50000</v>
      </c>
      <c r="N30" s="84">
        <f t="shared" si="6"/>
        <v>3000</v>
      </c>
      <c r="O30" s="84">
        <f t="shared" si="7"/>
        <v>200</v>
      </c>
      <c r="P30" s="84">
        <f t="shared" si="8"/>
        <v>3333.333333</v>
      </c>
      <c r="Q30" s="84">
        <v>1.0E7</v>
      </c>
      <c r="R30" s="75" t="s">
        <v>1163</v>
      </c>
      <c r="S30" s="85" t="s">
        <v>71</v>
      </c>
      <c r="T30" s="85"/>
      <c r="U30" s="86" t="s">
        <v>45</v>
      </c>
      <c r="V30" s="87"/>
      <c r="W30" s="87"/>
      <c r="X30" s="740"/>
      <c r="Y30" s="740"/>
      <c r="Z30" s="751" t="s">
        <v>913</v>
      </c>
      <c r="AA30" s="742">
        <f>5000000/0.9</f>
        <v>5555555.556</v>
      </c>
      <c r="AB30" s="743">
        <v>0.8</v>
      </c>
      <c r="AC30" s="744">
        <v>15000.0</v>
      </c>
      <c r="AD30" s="744">
        <v>35000.0</v>
      </c>
      <c r="AE30" s="744">
        <v>1000.0</v>
      </c>
      <c r="AF30" s="745">
        <v>2000.0</v>
      </c>
      <c r="AG30" s="746"/>
      <c r="AH30" s="744"/>
      <c r="AI30" s="744"/>
      <c r="AJ30" s="744"/>
      <c r="AK30" s="747">
        <f t="shared" si="9"/>
        <v>170000</v>
      </c>
      <c r="AL30" s="747">
        <f t="shared" si="10"/>
        <v>5725555.556</v>
      </c>
      <c r="AM30" s="747">
        <f t="shared" si="11"/>
        <v>4274444.444</v>
      </c>
      <c r="AN30" s="748">
        <f t="shared" si="12"/>
        <v>0.4274444444</v>
      </c>
      <c r="AO30" s="9"/>
      <c r="AP30" s="9"/>
      <c r="AQ30" s="9"/>
      <c r="AR30" s="9"/>
    </row>
    <row r="31" ht="59.25" customHeight="1" outlineLevel="1">
      <c r="A31" s="72"/>
      <c r="B31" s="72"/>
      <c r="C31" s="72"/>
      <c r="D31" s="72"/>
      <c r="E31" s="72"/>
      <c r="F31" s="72"/>
      <c r="G31" s="72"/>
      <c r="H31" s="88" t="s">
        <v>1164</v>
      </c>
      <c r="I31" s="81" t="b">
        <v>1</v>
      </c>
      <c r="J31" s="82" t="s">
        <v>47</v>
      </c>
      <c r="K31" s="83">
        <f t="shared" si="4"/>
        <v>1</v>
      </c>
      <c r="L31" s="90">
        <v>5000000.0</v>
      </c>
      <c r="M31" s="84">
        <f t="shared" si="5"/>
        <v>0</v>
      </c>
      <c r="N31" s="84">
        <f t="shared" si="6"/>
        <v>0</v>
      </c>
      <c r="O31" s="84" t="str">
        <f t="shared" si="7"/>
        <v>-</v>
      </c>
      <c r="P31" s="84" t="str">
        <f t="shared" si="8"/>
        <v>-</v>
      </c>
      <c r="Q31" s="84">
        <v>5000000.0</v>
      </c>
      <c r="R31" s="72"/>
      <c r="S31" s="72"/>
      <c r="T31" s="72"/>
      <c r="U31" s="72"/>
      <c r="V31" s="9"/>
      <c r="W31" s="9"/>
      <c r="X31" s="26"/>
      <c r="Y31" s="26"/>
      <c r="Z31" s="751" t="s">
        <v>927</v>
      </c>
      <c r="AA31" s="742">
        <v>0.0</v>
      </c>
      <c r="AB31" s="743"/>
      <c r="AC31" s="744"/>
      <c r="AD31" s="744"/>
      <c r="AE31" s="744"/>
      <c r="AF31" s="745"/>
      <c r="AG31" s="746"/>
      <c r="AH31" s="744"/>
      <c r="AI31" s="744"/>
      <c r="AJ31" s="744"/>
      <c r="AK31" s="747">
        <f t="shared" si="9"/>
        <v>0</v>
      </c>
      <c r="AL31" s="747">
        <f t="shared" si="10"/>
        <v>0</v>
      </c>
      <c r="AM31" s="747">
        <f t="shared" si="11"/>
        <v>5000000</v>
      </c>
      <c r="AN31" s="748">
        <f t="shared" si="12"/>
        <v>1</v>
      </c>
      <c r="AO31" s="9"/>
      <c r="AP31" s="9"/>
      <c r="AQ31" s="9"/>
      <c r="AR31" s="9"/>
    </row>
    <row r="32" ht="59.25" customHeight="1" outlineLevel="1">
      <c r="A32" s="73" t="s">
        <v>73</v>
      </c>
      <c r="B32" s="91" t="s">
        <v>74</v>
      </c>
      <c r="C32" s="75" t="s">
        <v>38</v>
      </c>
      <c r="D32" s="76" t="s">
        <v>75</v>
      </c>
      <c r="E32" s="77" t="s">
        <v>40</v>
      </c>
      <c r="F32" s="78" t="s">
        <v>21</v>
      </c>
      <c r="G32" s="79" t="s">
        <v>50</v>
      </c>
      <c r="H32" s="80" t="s">
        <v>1165</v>
      </c>
      <c r="I32" s="81" t="b">
        <v>1</v>
      </c>
      <c r="J32" s="82" t="s">
        <v>7</v>
      </c>
      <c r="K32" s="83">
        <f t="shared" si="4"/>
        <v>1</v>
      </c>
      <c r="L32" s="84">
        <f t="shared" ref="L32:L33" si="13">round(AA32*(1+AB32),-6)</f>
        <v>30000000</v>
      </c>
      <c r="M32" s="84">
        <f t="shared" si="5"/>
        <v>120000</v>
      </c>
      <c r="N32" s="84">
        <f t="shared" si="6"/>
        <v>4500</v>
      </c>
      <c r="O32" s="84">
        <f t="shared" si="7"/>
        <v>250</v>
      </c>
      <c r="P32" s="84">
        <f t="shared" si="8"/>
        <v>6666.666667</v>
      </c>
      <c r="Q32" s="84">
        <v>3.0E7</v>
      </c>
      <c r="R32" s="75" t="s">
        <v>1166</v>
      </c>
      <c r="S32" s="92" t="s">
        <v>78</v>
      </c>
      <c r="T32" s="93" t="s">
        <v>363</v>
      </c>
      <c r="U32" s="94" t="s">
        <v>45</v>
      </c>
      <c r="V32" s="9"/>
      <c r="W32" s="9"/>
      <c r="X32" s="740"/>
      <c r="Y32" s="740"/>
      <c r="Z32" s="741" t="s">
        <v>918</v>
      </c>
      <c r="AA32" s="742">
        <f>18000000/0.9</f>
        <v>20000000</v>
      </c>
      <c r="AB32" s="743">
        <v>0.5</v>
      </c>
      <c r="AC32" s="744">
        <v>30000.0</v>
      </c>
      <c r="AD32" s="744">
        <v>90000.0</v>
      </c>
      <c r="AE32" s="744">
        <v>2000.0</v>
      </c>
      <c r="AF32" s="745">
        <v>2500.0</v>
      </c>
      <c r="AG32" s="746"/>
      <c r="AH32" s="744"/>
      <c r="AI32" s="744"/>
      <c r="AJ32" s="744"/>
      <c r="AK32" s="747">
        <f t="shared" si="9"/>
        <v>305000</v>
      </c>
      <c r="AL32" s="747">
        <f t="shared" si="10"/>
        <v>20305000</v>
      </c>
      <c r="AM32" s="747">
        <f t="shared" si="11"/>
        <v>9695000</v>
      </c>
      <c r="AN32" s="748">
        <f t="shared" si="12"/>
        <v>0.3231666667</v>
      </c>
      <c r="AO32" s="9"/>
      <c r="AP32" s="9"/>
      <c r="AQ32" s="9"/>
      <c r="AR32" s="9"/>
    </row>
    <row r="33" ht="59.25" customHeight="1" outlineLevel="1">
      <c r="A33" s="72"/>
      <c r="B33" s="72"/>
      <c r="C33" s="72"/>
      <c r="D33" s="72"/>
      <c r="E33" s="72"/>
      <c r="F33" s="72"/>
      <c r="G33" s="72"/>
      <c r="H33" s="88" t="s">
        <v>1167</v>
      </c>
      <c r="I33" s="81" t="b">
        <v>1</v>
      </c>
      <c r="J33" s="82" t="s">
        <v>47</v>
      </c>
      <c r="K33" s="83">
        <f t="shared" si="4"/>
        <v>1</v>
      </c>
      <c r="L33" s="84">
        <f t="shared" si="13"/>
        <v>17000000</v>
      </c>
      <c r="M33" s="84">
        <v>0.0</v>
      </c>
      <c r="N33" s="84">
        <v>0.0</v>
      </c>
      <c r="O33" s="84" t="s">
        <v>81</v>
      </c>
      <c r="P33" s="84" t="s">
        <v>81</v>
      </c>
      <c r="Q33" s="84">
        <v>1.7E7</v>
      </c>
      <c r="R33" s="72"/>
      <c r="S33" s="72"/>
      <c r="T33" s="72"/>
      <c r="U33" s="72"/>
      <c r="V33" s="9"/>
      <c r="W33" s="9"/>
      <c r="X33" s="26"/>
      <c r="Y33" s="26"/>
      <c r="Z33" s="751" t="s">
        <v>910</v>
      </c>
      <c r="AA33" s="742">
        <f>10000000/0.9</f>
        <v>11111111.11</v>
      </c>
      <c r="AB33" s="743">
        <v>0.5</v>
      </c>
      <c r="AC33" s="744"/>
      <c r="AD33" s="744"/>
      <c r="AE33" s="744"/>
      <c r="AF33" s="745"/>
      <c r="AG33" s="746"/>
      <c r="AH33" s="744"/>
      <c r="AI33" s="744"/>
      <c r="AJ33" s="744"/>
      <c r="AK33" s="747">
        <f t="shared" si="9"/>
        <v>0</v>
      </c>
      <c r="AL33" s="747">
        <f t="shared" si="10"/>
        <v>11111111.11</v>
      </c>
      <c r="AM33" s="747">
        <f t="shared" si="11"/>
        <v>5888888.889</v>
      </c>
      <c r="AN33" s="748">
        <f t="shared" si="12"/>
        <v>0.3464052288</v>
      </c>
      <c r="AO33" s="9"/>
      <c r="AP33" s="9"/>
      <c r="AQ33" s="9"/>
      <c r="AR33" s="9"/>
    </row>
    <row r="34" ht="59.25" customHeight="1" outlineLevel="1">
      <c r="A34" s="73" t="s">
        <v>73</v>
      </c>
      <c r="B34" s="91" t="s">
        <v>89</v>
      </c>
      <c r="C34" s="75" t="s">
        <v>38</v>
      </c>
      <c r="D34" s="76" t="s">
        <v>90</v>
      </c>
      <c r="E34" s="77" t="s">
        <v>40</v>
      </c>
      <c r="F34" s="78" t="s">
        <v>21</v>
      </c>
      <c r="G34" s="79" t="s">
        <v>50</v>
      </c>
      <c r="H34" s="80" t="s">
        <v>1168</v>
      </c>
      <c r="I34" s="81" t="b">
        <v>1</v>
      </c>
      <c r="J34" s="82" t="s">
        <v>7</v>
      </c>
      <c r="K34" s="83">
        <f t="shared" si="4"/>
        <v>1</v>
      </c>
      <c r="L34" s="84">
        <v>1.7E7</v>
      </c>
      <c r="M34" s="84">
        <f t="shared" ref="M34:M39" si="14">(sum(AC34:AD34)+sum(AG34:AH34))*K34</f>
        <v>100000</v>
      </c>
      <c r="N34" s="84">
        <f t="shared" ref="N34:N39" si="15">(sum(AE34:AF34)+sum(AI34:AJ34))*K34</f>
        <v>4000</v>
      </c>
      <c r="O34" s="84">
        <f t="shared" ref="O34:O39" si="16">IFERROR(Q34/M34,"-")</f>
        <v>170</v>
      </c>
      <c r="P34" s="84">
        <f t="shared" ref="P34:P39" si="17">IFERROR(Q34/N34,"-")</f>
        <v>4250</v>
      </c>
      <c r="Q34" s="84">
        <v>1.7E7</v>
      </c>
      <c r="R34" s="75" t="s">
        <v>1169</v>
      </c>
      <c r="S34" s="85" t="s">
        <v>93</v>
      </c>
      <c r="T34" s="93" t="s">
        <v>362</v>
      </c>
      <c r="U34" s="94" t="s">
        <v>45</v>
      </c>
      <c r="V34" s="9"/>
      <c r="W34" s="9"/>
      <c r="X34" s="740"/>
      <c r="Y34" s="740"/>
      <c r="Z34" s="741" t="s">
        <v>1170</v>
      </c>
      <c r="AA34" s="742">
        <f>3500000/0.9</f>
        <v>3888888.889</v>
      </c>
      <c r="AB34" s="743">
        <v>2.5</v>
      </c>
      <c r="AC34" s="744">
        <v>50000.0</v>
      </c>
      <c r="AD34" s="744">
        <v>50000.0</v>
      </c>
      <c r="AE34" s="744">
        <v>2000.0</v>
      </c>
      <c r="AF34" s="745">
        <v>2000.0</v>
      </c>
      <c r="AG34" s="746"/>
      <c r="AH34" s="744"/>
      <c r="AI34" s="744"/>
      <c r="AJ34" s="744"/>
      <c r="AK34" s="747">
        <f t="shared" si="9"/>
        <v>200000</v>
      </c>
      <c r="AL34" s="747">
        <f t="shared" si="10"/>
        <v>4088888.889</v>
      </c>
      <c r="AM34" s="747">
        <f t="shared" si="11"/>
        <v>12911111.11</v>
      </c>
      <c r="AN34" s="748">
        <f t="shared" si="12"/>
        <v>0.7594771242</v>
      </c>
      <c r="AO34" s="9"/>
      <c r="AP34" s="9"/>
      <c r="AQ34" s="9"/>
      <c r="AR34" s="9"/>
    </row>
    <row r="35" ht="59.25" customHeight="1" outlineLevel="1">
      <c r="A35" s="72"/>
      <c r="B35" s="72"/>
      <c r="C35" s="72"/>
      <c r="D35" s="72"/>
      <c r="E35" s="72"/>
      <c r="F35" s="72"/>
      <c r="G35" s="72"/>
      <c r="H35" s="88" t="s">
        <v>1171</v>
      </c>
      <c r="I35" s="81" t="b">
        <v>1</v>
      </c>
      <c r="J35" s="82" t="s">
        <v>47</v>
      </c>
      <c r="K35" s="83">
        <f t="shared" si="4"/>
        <v>1</v>
      </c>
      <c r="L35" s="84">
        <v>7000000.0</v>
      </c>
      <c r="M35" s="84">
        <f t="shared" si="14"/>
        <v>0</v>
      </c>
      <c r="N35" s="84">
        <f t="shared" si="15"/>
        <v>0</v>
      </c>
      <c r="O35" s="84" t="str">
        <f t="shared" si="16"/>
        <v>-</v>
      </c>
      <c r="P35" s="84" t="str">
        <f t="shared" si="17"/>
        <v>-</v>
      </c>
      <c r="Q35" s="84">
        <v>7000000.0</v>
      </c>
      <c r="R35" s="72"/>
      <c r="S35" s="72"/>
      <c r="T35" s="72"/>
      <c r="U35" s="72"/>
      <c r="V35" s="9"/>
      <c r="W35" s="9"/>
      <c r="X35" s="26"/>
      <c r="Y35" s="26"/>
      <c r="Z35" s="751" t="s">
        <v>910</v>
      </c>
      <c r="AA35" s="742"/>
      <c r="AB35" s="743">
        <v>2.0</v>
      </c>
      <c r="AC35" s="744"/>
      <c r="AD35" s="744"/>
      <c r="AE35" s="744"/>
      <c r="AF35" s="745"/>
      <c r="AG35" s="746"/>
      <c r="AH35" s="744"/>
      <c r="AI35" s="744"/>
      <c r="AJ35" s="744"/>
      <c r="AK35" s="747">
        <f t="shared" si="9"/>
        <v>0</v>
      </c>
      <c r="AL35" s="747">
        <f t="shared" si="10"/>
        <v>0</v>
      </c>
      <c r="AM35" s="747">
        <f t="shared" si="11"/>
        <v>7000000</v>
      </c>
      <c r="AN35" s="748">
        <f t="shared" si="12"/>
        <v>1</v>
      </c>
      <c r="AO35" s="9"/>
      <c r="AP35" s="9"/>
      <c r="AQ35" s="9"/>
      <c r="AR35" s="9"/>
    </row>
    <row r="36" ht="59.25" customHeight="1" outlineLevel="1">
      <c r="A36" s="73" t="s">
        <v>109</v>
      </c>
      <c r="B36" s="116" t="s">
        <v>1172</v>
      </c>
      <c r="C36" s="75" t="s">
        <v>38</v>
      </c>
      <c r="D36" s="79" t="s">
        <v>1173</v>
      </c>
      <c r="E36" s="77" t="s">
        <v>40</v>
      </c>
      <c r="F36" s="117" t="s">
        <v>1174</v>
      </c>
      <c r="G36" s="79" t="s">
        <v>105</v>
      </c>
      <c r="H36" s="80" t="s">
        <v>1175</v>
      </c>
      <c r="I36" s="81" t="b">
        <v>1</v>
      </c>
      <c r="J36" s="82" t="s">
        <v>7</v>
      </c>
      <c r="K36" s="99">
        <f t="shared" si="4"/>
        <v>1</v>
      </c>
      <c r="L36" s="84">
        <v>1.5E7</v>
      </c>
      <c r="M36" s="100">
        <f t="shared" si="14"/>
        <v>60000</v>
      </c>
      <c r="N36" s="100">
        <f t="shared" si="15"/>
        <v>2500</v>
      </c>
      <c r="O36" s="100">
        <f t="shared" si="16"/>
        <v>250</v>
      </c>
      <c r="P36" s="100">
        <f t="shared" si="17"/>
        <v>6000</v>
      </c>
      <c r="Q36" s="84">
        <v>1.5E7</v>
      </c>
      <c r="R36" s="75" t="s">
        <v>1176</v>
      </c>
      <c r="S36" s="85"/>
      <c r="T36" s="93" t="s">
        <v>364</v>
      </c>
      <c r="U36" s="94" t="s">
        <v>45</v>
      </c>
      <c r="V36" s="9"/>
      <c r="W36" s="9"/>
      <c r="X36" s="740"/>
      <c r="Y36" s="740"/>
      <c r="Z36" s="759" t="s">
        <v>937</v>
      </c>
      <c r="AA36" s="742">
        <v>9000000.0</v>
      </c>
      <c r="AB36" s="743">
        <v>0.7</v>
      </c>
      <c r="AC36" s="744">
        <v>12000.0</v>
      </c>
      <c r="AD36" s="744">
        <v>48000.0</v>
      </c>
      <c r="AE36" s="744">
        <v>1500.0</v>
      </c>
      <c r="AF36" s="745">
        <v>1000.0</v>
      </c>
      <c r="AG36" s="746"/>
      <c r="AH36" s="744"/>
      <c r="AI36" s="744"/>
      <c r="AJ36" s="744"/>
      <c r="AK36" s="747">
        <f t="shared" si="9"/>
        <v>146000</v>
      </c>
      <c r="AL36" s="747">
        <f t="shared" si="10"/>
        <v>9146000</v>
      </c>
      <c r="AM36" s="747">
        <f t="shared" si="11"/>
        <v>5854000</v>
      </c>
      <c r="AN36" s="748">
        <f t="shared" si="12"/>
        <v>0.3902666667</v>
      </c>
      <c r="AO36" s="9"/>
      <c r="AP36" s="9"/>
      <c r="AQ36" s="9"/>
      <c r="AR36" s="9"/>
    </row>
    <row r="37" ht="59.25" customHeight="1" outlineLevel="1">
      <c r="A37" s="72"/>
      <c r="B37" s="72"/>
      <c r="C37" s="72"/>
      <c r="D37" s="72"/>
      <c r="E37" s="72"/>
      <c r="F37" s="72"/>
      <c r="G37" s="72"/>
      <c r="H37" s="88" t="s">
        <v>1177</v>
      </c>
      <c r="I37" s="81" t="b">
        <v>1</v>
      </c>
      <c r="J37" s="98" t="s">
        <v>47</v>
      </c>
      <c r="K37" s="99">
        <f t="shared" si="4"/>
        <v>1</v>
      </c>
      <c r="L37" s="84">
        <v>4000000.0</v>
      </c>
      <c r="M37" s="100">
        <f t="shared" si="14"/>
        <v>0</v>
      </c>
      <c r="N37" s="100">
        <f t="shared" si="15"/>
        <v>0</v>
      </c>
      <c r="O37" s="100" t="str">
        <f t="shared" si="16"/>
        <v>-</v>
      </c>
      <c r="P37" s="100" t="str">
        <f t="shared" si="17"/>
        <v>-</v>
      </c>
      <c r="Q37" s="84">
        <v>4000000.0</v>
      </c>
      <c r="R37" s="72"/>
      <c r="S37" s="72"/>
      <c r="T37" s="72"/>
      <c r="U37" s="72"/>
      <c r="V37" s="9"/>
      <c r="W37" s="9"/>
      <c r="X37" s="26"/>
      <c r="Y37" s="26"/>
      <c r="AA37" s="742" t="s">
        <v>1178</v>
      </c>
      <c r="AB37" s="743">
        <v>0.7</v>
      </c>
      <c r="AC37" s="744"/>
      <c r="AD37" s="744"/>
      <c r="AE37" s="744"/>
      <c r="AF37" s="745"/>
      <c r="AG37" s="746"/>
      <c r="AH37" s="744"/>
      <c r="AI37" s="744"/>
      <c r="AJ37" s="744"/>
      <c r="AK37" s="747">
        <f t="shared" si="9"/>
        <v>0</v>
      </c>
      <c r="AL37" s="747">
        <f t="shared" si="10"/>
        <v>0</v>
      </c>
      <c r="AM37" s="747">
        <f t="shared" si="11"/>
        <v>4000000</v>
      </c>
      <c r="AN37" s="748">
        <f t="shared" si="12"/>
        <v>1</v>
      </c>
      <c r="AO37" s="9"/>
      <c r="AP37" s="9"/>
      <c r="AQ37" s="9"/>
      <c r="AR37" s="9"/>
    </row>
    <row r="38" ht="59.25" customHeight="1" outlineLevel="1">
      <c r="A38" s="73" t="s">
        <v>109</v>
      </c>
      <c r="B38" s="116" t="s">
        <v>110</v>
      </c>
      <c r="C38" s="75" t="s">
        <v>38</v>
      </c>
      <c r="D38" s="79" t="s">
        <v>111</v>
      </c>
      <c r="E38" s="77" t="s">
        <v>40</v>
      </c>
      <c r="F38" s="117" t="s">
        <v>112</v>
      </c>
      <c r="G38" s="79" t="s">
        <v>105</v>
      </c>
      <c r="H38" s="80" t="s">
        <v>1179</v>
      </c>
      <c r="I38" s="81" t="b">
        <v>1</v>
      </c>
      <c r="J38" s="82" t="s">
        <v>7</v>
      </c>
      <c r="K38" s="99">
        <f t="shared" si="4"/>
        <v>1</v>
      </c>
      <c r="L38" s="84">
        <v>1.9E7</v>
      </c>
      <c r="M38" s="100">
        <f t="shared" si="14"/>
        <v>65000</v>
      </c>
      <c r="N38" s="100">
        <f t="shared" si="15"/>
        <v>3000</v>
      </c>
      <c r="O38" s="100">
        <f t="shared" si="16"/>
        <v>292.3076923</v>
      </c>
      <c r="P38" s="100">
        <f t="shared" si="17"/>
        <v>6333.333333</v>
      </c>
      <c r="Q38" s="84">
        <v>1.9E7</v>
      </c>
      <c r="R38" s="75" t="s">
        <v>1180</v>
      </c>
      <c r="S38" s="85"/>
      <c r="T38" s="93" t="s">
        <v>364</v>
      </c>
      <c r="U38" s="94" t="s">
        <v>45</v>
      </c>
      <c r="V38" s="9"/>
      <c r="W38" s="9"/>
      <c r="X38" s="740"/>
      <c r="Y38" s="740"/>
      <c r="Z38" s="759" t="s">
        <v>937</v>
      </c>
      <c r="AA38" s="760">
        <v>1.1E7</v>
      </c>
      <c r="AB38" s="743">
        <v>0.7</v>
      </c>
      <c r="AC38" s="744">
        <v>10000.0</v>
      </c>
      <c r="AD38" s="744">
        <v>55000.0</v>
      </c>
      <c r="AE38" s="744"/>
      <c r="AF38" s="745">
        <v>3000.0</v>
      </c>
      <c r="AG38" s="746"/>
      <c r="AH38" s="744"/>
      <c r="AI38" s="744"/>
      <c r="AJ38" s="744"/>
      <c r="AK38" s="747">
        <f t="shared" si="9"/>
        <v>260000</v>
      </c>
      <c r="AL38" s="747">
        <f t="shared" si="10"/>
        <v>11260000</v>
      </c>
      <c r="AM38" s="747">
        <f t="shared" si="11"/>
        <v>7740000</v>
      </c>
      <c r="AN38" s="748">
        <f t="shared" si="12"/>
        <v>0.4073684211</v>
      </c>
      <c r="AO38" s="9"/>
      <c r="AP38" s="9"/>
      <c r="AQ38" s="9"/>
      <c r="AR38" s="9"/>
    </row>
    <row r="39" ht="59.25" customHeight="1" outlineLevel="1">
      <c r="A39" s="72"/>
      <c r="B39" s="72"/>
      <c r="C39" s="72"/>
      <c r="D39" s="72"/>
      <c r="E39" s="72"/>
      <c r="F39" s="72"/>
      <c r="G39" s="72"/>
      <c r="H39" s="88" t="s">
        <v>1181</v>
      </c>
      <c r="I39" s="81" t="b">
        <v>1</v>
      </c>
      <c r="J39" s="98" t="s">
        <v>47</v>
      </c>
      <c r="K39" s="99">
        <f t="shared" si="4"/>
        <v>1</v>
      </c>
      <c r="L39" s="84">
        <v>6000000.0</v>
      </c>
      <c r="M39" s="100">
        <f t="shared" si="14"/>
        <v>0</v>
      </c>
      <c r="N39" s="100">
        <f t="shared" si="15"/>
        <v>0</v>
      </c>
      <c r="O39" s="100" t="str">
        <f t="shared" si="16"/>
        <v>-</v>
      </c>
      <c r="P39" s="100" t="str">
        <f t="shared" si="17"/>
        <v>-</v>
      </c>
      <c r="Q39" s="84">
        <v>6000000.0</v>
      </c>
      <c r="R39" s="72"/>
      <c r="S39" s="72"/>
      <c r="T39" s="72"/>
      <c r="U39" s="72"/>
      <c r="V39" s="9"/>
      <c r="W39" s="9"/>
      <c r="X39" s="26"/>
      <c r="Y39" s="26"/>
      <c r="AA39" s="760">
        <v>3500000.0</v>
      </c>
      <c r="AB39" s="743">
        <v>0.7</v>
      </c>
      <c r="AC39" s="744"/>
      <c r="AD39" s="744"/>
      <c r="AE39" s="744"/>
      <c r="AF39" s="745"/>
      <c r="AG39" s="746"/>
      <c r="AH39" s="744"/>
      <c r="AI39" s="744"/>
      <c r="AJ39" s="744"/>
      <c r="AK39" s="747">
        <f t="shared" si="9"/>
        <v>0</v>
      </c>
      <c r="AL39" s="747">
        <f t="shared" si="10"/>
        <v>3500000</v>
      </c>
      <c r="AM39" s="747">
        <f t="shared" si="11"/>
        <v>2500000</v>
      </c>
      <c r="AN39" s="748">
        <f t="shared" si="12"/>
        <v>0.4166666667</v>
      </c>
      <c r="AO39" s="9"/>
      <c r="AP39" s="9"/>
      <c r="AQ39" s="9"/>
      <c r="AR39" s="9"/>
    </row>
    <row r="40" ht="30.0" customHeight="1">
      <c r="A40" s="55" t="s">
        <v>134</v>
      </c>
      <c r="B40" s="56"/>
      <c r="C40" s="57"/>
      <c r="D40" s="58"/>
      <c r="E40" s="59"/>
      <c r="F40" s="59"/>
      <c r="G40" s="61"/>
      <c r="H40" s="61"/>
      <c r="I40" s="62"/>
      <c r="J40" s="63" t="s">
        <v>7</v>
      </c>
      <c r="K40" s="64">
        <f>SUMIFS(K43:K81,J43:J81,"Video Post")</f>
        <v>18</v>
      </c>
      <c r="L40" s="65"/>
      <c r="M40" s="66">
        <f t="shared" ref="M40:N40" si="18">sumif($I$43:$I$81,"TRUE",M43:M81)</f>
        <v>516500</v>
      </c>
      <c r="N40" s="66">
        <f t="shared" si="18"/>
        <v>30000</v>
      </c>
      <c r="O40" s="65"/>
      <c r="P40" s="65"/>
      <c r="Q40" s="66">
        <f>sum(Q43:Q81)</f>
        <v>163000000</v>
      </c>
      <c r="R40" s="133"/>
      <c r="S40" s="133"/>
      <c r="T40" s="133"/>
      <c r="U40" s="133"/>
      <c r="V40" s="69"/>
      <c r="W40" s="69"/>
      <c r="X40" s="717"/>
      <c r="Y40" s="717"/>
      <c r="Z40" s="718"/>
      <c r="AA40" s="719"/>
      <c r="AB40" s="720"/>
      <c r="AC40" s="721"/>
      <c r="AD40" s="721"/>
      <c r="AE40" s="721"/>
      <c r="AF40" s="722"/>
      <c r="AG40" s="723"/>
      <c r="AH40" s="721"/>
      <c r="AI40" s="721"/>
      <c r="AJ40" s="721"/>
      <c r="AK40" s="724"/>
      <c r="AL40" s="724"/>
      <c r="AM40" s="724"/>
      <c r="AN40" s="725"/>
      <c r="AO40" s="9"/>
      <c r="AP40" s="9"/>
      <c r="AQ40" s="9"/>
      <c r="AR40" s="9"/>
    </row>
    <row r="41" ht="30.0" customHeight="1">
      <c r="A41" s="70"/>
      <c r="B41" s="71"/>
      <c r="C41" s="57"/>
      <c r="D41" s="58"/>
      <c r="E41" s="59"/>
      <c r="F41" s="60"/>
      <c r="G41" s="61"/>
      <c r="H41" s="61"/>
      <c r="I41" s="62"/>
      <c r="J41" s="63" t="s">
        <v>8</v>
      </c>
      <c r="K41" s="64">
        <f>SUMIFS(K43:K81,J43:J81,"Tháng")</f>
        <v>18</v>
      </c>
      <c r="L41" s="65"/>
      <c r="M41" s="72"/>
      <c r="N41" s="72"/>
      <c r="O41" s="65"/>
      <c r="P41" s="65"/>
      <c r="Q41" s="72"/>
      <c r="R41" s="133"/>
      <c r="S41" s="133"/>
      <c r="T41" s="133"/>
      <c r="U41" s="133"/>
      <c r="V41" s="69"/>
      <c r="W41" s="69"/>
      <c r="X41" s="717"/>
      <c r="Y41" s="717"/>
      <c r="Z41" s="728"/>
      <c r="AA41" s="719"/>
      <c r="AB41" s="720"/>
      <c r="AC41" s="721"/>
      <c r="AD41" s="721"/>
      <c r="AE41" s="721"/>
      <c r="AF41" s="722"/>
      <c r="AG41" s="723"/>
      <c r="AH41" s="721"/>
      <c r="AI41" s="721"/>
      <c r="AJ41" s="721"/>
      <c r="AK41" s="724"/>
      <c r="AL41" s="724"/>
      <c r="AM41" s="724"/>
      <c r="AN41" s="725"/>
      <c r="AO41" s="9"/>
      <c r="AP41" s="9"/>
      <c r="AQ41" s="9"/>
      <c r="AR41" s="9"/>
    </row>
    <row r="42" outlineLevel="1">
      <c r="A42" s="134" t="s">
        <v>135</v>
      </c>
      <c r="B42" s="135" t="s">
        <v>136</v>
      </c>
      <c r="C42" s="136"/>
      <c r="D42" s="137"/>
      <c r="E42" s="138"/>
      <c r="F42" s="139"/>
      <c r="G42" s="140"/>
      <c r="H42" s="136"/>
      <c r="I42" s="141" t="b">
        <v>0</v>
      </c>
      <c r="J42" s="142"/>
      <c r="K42" s="143"/>
      <c r="L42" s="144"/>
      <c r="M42" s="144"/>
      <c r="N42" s="144"/>
      <c r="O42" s="144"/>
      <c r="P42" s="144"/>
      <c r="Q42" s="144"/>
      <c r="R42" s="136"/>
      <c r="S42" s="145"/>
      <c r="T42" s="145"/>
      <c r="U42" s="138"/>
      <c r="V42" s="146"/>
      <c r="W42" s="146"/>
      <c r="X42" s="773"/>
      <c r="Y42" s="773"/>
      <c r="Z42" s="774"/>
      <c r="AA42" s="775"/>
      <c r="AB42" s="776"/>
      <c r="AC42" s="777"/>
      <c r="AD42" s="777"/>
      <c r="AE42" s="777"/>
      <c r="AF42" s="778"/>
      <c r="AG42" s="779"/>
      <c r="AH42" s="777"/>
      <c r="AI42" s="777"/>
      <c r="AJ42" s="777"/>
      <c r="AK42" s="780"/>
      <c r="AL42" s="780"/>
      <c r="AM42" s="780"/>
      <c r="AN42" s="781"/>
      <c r="AO42" s="146"/>
      <c r="AP42" s="146"/>
      <c r="AQ42" s="146"/>
      <c r="AR42" s="146"/>
    </row>
    <row r="43" ht="43.5" customHeight="1" outlineLevel="1">
      <c r="A43" s="73" t="s">
        <v>45</v>
      </c>
      <c r="B43" s="147" t="s">
        <v>137</v>
      </c>
      <c r="C43" s="75" t="s">
        <v>38</v>
      </c>
      <c r="D43" s="76" t="s">
        <v>138</v>
      </c>
      <c r="E43" s="77" t="s">
        <v>40</v>
      </c>
      <c r="F43" s="78" t="s">
        <v>139</v>
      </c>
      <c r="G43" s="79" t="s">
        <v>50</v>
      </c>
      <c r="H43" s="80" t="s">
        <v>1182</v>
      </c>
      <c r="I43" s="81" t="b">
        <v>1</v>
      </c>
      <c r="J43" s="82" t="s">
        <v>7</v>
      </c>
      <c r="K43" s="83">
        <f t="shared" ref="K43:K58" si="19">if(I43=True,1,if(I43=False,0))</f>
        <v>1</v>
      </c>
      <c r="L43" s="84">
        <v>6000000.0</v>
      </c>
      <c r="M43" s="84">
        <f>(sum(AC43:AD43)+sum(AG43:AH43))*K43</f>
        <v>30000</v>
      </c>
      <c r="N43" s="84">
        <f>(sum(AE43:AF43)+sum(AI43:AJ43))*K43</f>
        <v>2000</v>
      </c>
      <c r="O43" s="84">
        <f>IFERROR(Q43/M43,"-")</f>
        <v>200</v>
      </c>
      <c r="P43" s="84">
        <f>IFERROR(Q43/N43,"-")</f>
        <v>3000</v>
      </c>
      <c r="Q43" s="84">
        <f t="shared" ref="Q43:Q58" si="20">iferror(L43*K43,"-")</f>
        <v>6000000</v>
      </c>
      <c r="R43" s="75" t="s">
        <v>1183</v>
      </c>
      <c r="S43" s="85" t="s">
        <v>142</v>
      </c>
      <c r="T43" s="93" t="s">
        <v>362</v>
      </c>
      <c r="U43" s="86" t="s">
        <v>45</v>
      </c>
      <c r="V43" s="9"/>
      <c r="W43" s="9"/>
      <c r="X43" s="740"/>
      <c r="Y43" s="740"/>
      <c r="Z43" s="741" t="s">
        <v>1184</v>
      </c>
      <c r="AA43" s="742">
        <f>3300000/0.9</f>
        <v>3666666.667</v>
      </c>
      <c r="AB43" s="743">
        <v>0.5</v>
      </c>
      <c r="AC43" s="744">
        <v>20000.0</v>
      </c>
      <c r="AD43" s="744">
        <v>10000.0</v>
      </c>
      <c r="AE43" s="744">
        <v>1000.0</v>
      </c>
      <c r="AF43" s="745">
        <v>1000.0</v>
      </c>
      <c r="AG43" s="746"/>
      <c r="AH43" s="744"/>
      <c r="AI43" s="744"/>
      <c r="AJ43" s="744"/>
      <c r="AK43" s="747">
        <f t="shared" ref="AK43:AK52" si="21">(AD43*2+AF43*50+AH43*10+AJ43*50)*K43</f>
        <v>70000</v>
      </c>
      <c r="AL43" s="747">
        <f t="shared" ref="AL43:AL52" si="22">sum(AA43,AK43)*K43</f>
        <v>3736666.667</v>
      </c>
      <c r="AM43" s="747">
        <f t="shared" ref="AM43:AM52" si="23">iferror(Q43-AL43,"-")</f>
        <v>2263333.333</v>
      </c>
      <c r="AN43" s="748">
        <f t="shared" ref="AN43:AN52" si="24">iferror(AM43/Q43,"-")</f>
        <v>0.3772222222</v>
      </c>
      <c r="AO43" s="9"/>
      <c r="AP43" s="9"/>
      <c r="AQ43" s="9"/>
      <c r="AR43" s="9"/>
    </row>
    <row r="44" ht="43.5" customHeight="1" outlineLevel="1">
      <c r="A44" s="72"/>
      <c r="B44" s="72"/>
      <c r="C44" s="72"/>
      <c r="D44" s="72"/>
      <c r="E44" s="72"/>
      <c r="F44" s="72"/>
      <c r="G44" s="72"/>
      <c r="H44" s="88" t="s">
        <v>1185</v>
      </c>
      <c r="I44" s="81" t="b">
        <v>1</v>
      </c>
      <c r="J44" s="82" t="s">
        <v>47</v>
      </c>
      <c r="K44" s="83">
        <f t="shared" si="19"/>
        <v>1</v>
      </c>
      <c r="L44" s="84">
        <v>2000000.0</v>
      </c>
      <c r="M44" s="84">
        <v>0.0</v>
      </c>
      <c r="N44" s="84">
        <v>0.0</v>
      </c>
      <c r="O44" s="84" t="s">
        <v>81</v>
      </c>
      <c r="P44" s="84" t="s">
        <v>81</v>
      </c>
      <c r="Q44" s="84">
        <f t="shared" si="20"/>
        <v>2000000</v>
      </c>
      <c r="R44" s="72"/>
      <c r="S44" s="72"/>
      <c r="T44" s="72"/>
      <c r="U44" s="72"/>
      <c r="V44" s="9"/>
      <c r="W44" s="9"/>
      <c r="X44" s="26"/>
      <c r="Y44" s="26"/>
      <c r="Z44" s="751" t="s">
        <v>910</v>
      </c>
      <c r="AA44" s="742">
        <v>0.0</v>
      </c>
      <c r="AB44" s="743">
        <v>0.5</v>
      </c>
      <c r="AC44" s="744"/>
      <c r="AD44" s="744"/>
      <c r="AE44" s="744"/>
      <c r="AF44" s="745"/>
      <c r="AG44" s="746"/>
      <c r="AH44" s="744"/>
      <c r="AI44" s="744"/>
      <c r="AJ44" s="744"/>
      <c r="AK44" s="747">
        <f t="shared" si="21"/>
        <v>0</v>
      </c>
      <c r="AL44" s="747">
        <f t="shared" si="22"/>
        <v>0</v>
      </c>
      <c r="AM44" s="747">
        <f t="shared" si="23"/>
        <v>2000000</v>
      </c>
      <c r="AN44" s="748">
        <f t="shared" si="24"/>
        <v>1</v>
      </c>
      <c r="AO44" s="9"/>
      <c r="AP44" s="9"/>
      <c r="AQ44" s="9"/>
      <c r="AR44" s="9"/>
    </row>
    <row r="45" ht="43.5" customHeight="1" outlineLevel="1">
      <c r="A45" s="73" t="s">
        <v>45</v>
      </c>
      <c r="B45" s="89" t="s">
        <v>144</v>
      </c>
      <c r="C45" s="75" t="s">
        <v>38</v>
      </c>
      <c r="D45" s="76" t="s">
        <v>145</v>
      </c>
      <c r="E45" s="77" t="s">
        <v>146</v>
      </c>
      <c r="F45" s="78" t="s">
        <v>139</v>
      </c>
      <c r="G45" s="79" t="s">
        <v>50</v>
      </c>
      <c r="H45" s="80" t="s">
        <v>1186</v>
      </c>
      <c r="I45" s="81" t="b">
        <v>1</v>
      </c>
      <c r="J45" s="82" t="s">
        <v>7</v>
      </c>
      <c r="K45" s="83">
        <f t="shared" si="19"/>
        <v>1</v>
      </c>
      <c r="L45" s="84">
        <v>5000000.0</v>
      </c>
      <c r="M45" s="84">
        <f t="shared" ref="M45:M52" si="25">(sum(AC45:AD45)+sum(AG45:AH45))*K45</f>
        <v>20000</v>
      </c>
      <c r="N45" s="84">
        <f t="shared" ref="N45:N58" si="26">(sum(AE45:AF45)+sum(AI45:AJ45))*K45</f>
        <v>1500</v>
      </c>
      <c r="O45" s="84">
        <f t="shared" ref="O45:O58" si="27">IFERROR(Q45/M45,"-")</f>
        <v>250</v>
      </c>
      <c r="P45" s="84">
        <f t="shared" ref="P45:P58" si="28">IFERROR(Q45/N45,"-")</f>
        <v>3333.333333</v>
      </c>
      <c r="Q45" s="84">
        <f t="shared" si="20"/>
        <v>5000000</v>
      </c>
      <c r="R45" s="75" t="s">
        <v>1187</v>
      </c>
      <c r="S45" s="85" t="s">
        <v>149</v>
      </c>
      <c r="T45" s="93" t="s">
        <v>362</v>
      </c>
      <c r="U45" s="86" t="s">
        <v>45</v>
      </c>
      <c r="V45" s="87"/>
      <c r="W45" s="87"/>
      <c r="X45" s="740"/>
      <c r="Y45" s="740"/>
      <c r="Z45" s="741" t="s">
        <v>1188</v>
      </c>
      <c r="AA45" s="742">
        <f>3300000/0.9</f>
        <v>3666666.667</v>
      </c>
      <c r="AB45" s="743">
        <v>0.5</v>
      </c>
      <c r="AC45" s="744">
        <v>10000.0</v>
      </c>
      <c r="AD45" s="744">
        <v>10000.0</v>
      </c>
      <c r="AE45" s="744">
        <v>500.0</v>
      </c>
      <c r="AF45" s="745">
        <v>1000.0</v>
      </c>
      <c r="AG45" s="746"/>
      <c r="AH45" s="744"/>
      <c r="AI45" s="744"/>
      <c r="AJ45" s="744"/>
      <c r="AK45" s="747">
        <f t="shared" si="21"/>
        <v>70000</v>
      </c>
      <c r="AL45" s="747">
        <f t="shared" si="22"/>
        <v>3736666.667</v>
      </c>
      <c r="AM45" s="747">
        <f t="shared" si="23"/>
        <v>1263333.333</v>
      </c>
      <c r="AN45" s="748">
        <f t="shared" si="24"/>
        <v>0.2526666667</v>
      </c>
      <c r="AO45" s="9"/>
      <c r="AP45" s="9"/>
      <c r="AQ45" s="9"/>
      <c r="AR45" s="9"/>
    </row>
    <row r="46" ht="43.5" customHeight="1" outlineLevel="1">
      <c r="A46" s="72"/>
      <c r="B46" s="72"/>
      <c r="C46" s="72"/>
      <c r="D46" s="72"/>
      <c r="E46" s="72"/>
      <c r="F46" s="72"/>
      <c r="G46" s="72"/>
      <c r="H46" s="88" t="s">
        <v>1189</v>
      </c>
      <c r="I46" s="81" t="b">
        <v>1</v>
      </c>
      <c r="J46" s="82" t="s">
        <v>47</v>
      </c>
      <c r="K46" s="83">
        <f t="shared" si="19"/>
        <v>1</v>
      </c>
      <c r="L46" s="84">
        <v>2000000.0</v>
      </c>
      <c r="M46" s="84">
        <f t="shared" si="25"/>
        <v>0</v>
      </c>
      <c r="N46" s="84">
        <f t="shared" si="26"/>
        <v>0</v>
      </c>
      <c r="O46" s="84" t="str">
        <f t="shared" si="27"/>
        <v>-</v>
      </c>
      <c r="P46" s="84" t="str">
        <f t="shared" si="28"/>
        <v>-</v>
      </c>
      <c r="Q46" s="84">
        <f t="shared" si="20"/>
        <v>2000000</v>
      </c>
      <c r="R46" s="72"/>
      <c r="S46" s="72"/>
      <c r="T46" s="72"/>
      <c r="U46" s="72"/>
      <c r="V46" s="9"/>
      <c r="W46" s="9"/>
      <c r="X46" s="26"/>
      <c r="Y46" s="26"/>
      <c r="Z46" s="751" t="s">
        <v>910</v>
      </c>
      <c r="AA46" s="742"/>
      <c r="AB46" s="743">
        <v>0.8</v>
      </c>
      <c r="AC46" s="744"/>
      <c r="AD46" s="744"/>
      <c r="AE46" s="744"/>
      <c r="AF46" s="745"/>
      <c r="AG46" s="746"/>
      <c r="AH46" s="744"/>
      <c r="AI46" s="744"/>
      <c r="AJ46" s="744"/>
      <c r="AK46" s="747">
        <f t="shared" si="21"/>
        <v>0</v>
      </c>
      <c r="AL46" s="747">
        <f t="shared" si="22"/>
        <v>0</v>
      </c>
      <c r="AM46" s="747">
        <f t="shared" si="23"/>
        <v>2000000</v>
      </c>
      <c r="AN46" s="748">
        <f t="shared" si="24"/>
        <v>1</v>
      </c>
      <c r="AO46" s="9"/>
      <c r="AP46" s="9"/>
      <c r="AQ46" s="9"/>
      <c r="AR46" s="9"/>
    </row>
    <row r="47" ht="43.5" customHeight="1" outlineLevel="1">
      <c r="A47" s="73" t="s">
        <v>45</v>
      </c>
      <c r="B47" s="147" t="s">
        <v>151</v>
      </c>
      <c r="C47" s="75" t="s">
        <v>38</v>
      </c>
      <c r="D47" s="76" t="s">
        <v>152</v>
      </c>
      <c r="E47" s="77" t="s">
        <v>146</v>
      </c>
      <c r="F47" s="78" t="s">
        <v>139</v>
      </c>
      <c r="G47" s="79" t="s">
        <v>50</v>
      </c>
      <c r="H47" s="80" t="s">
        <v>1190</v>
      </c>
      <c r="I47" s="81" t="b">
        <v>1</v>
      </c>
      <c r="J47" s="82" t="s">
        <v>7</v>
      </c>
      <c r="K47" s="83">
        <f t="shared" si="19"/>
        <v>1</v>
      </c>
      <c r="L47" s="84">
        <v>3000000.0</v>
      </c>
      <c r="M47" s="84">
        <f t="shared" si="25"/>
        <v>20000</v>
      </c>
      <c r="N47" s="84">
        <f t="shared" si="26"/>
        <v>1500</v>
      </c>
      <c r="O47" s="84">
        <f t="shared" si="27"/>
        <v>150</v>
      </c>
      <c r="P47" s="84">
        <f t="shared" si="28"/>
        <v>2000</v>
      </c>
      <c r="Q47" s="84">
        <f t="shared" si="20"/>
        <v>3000000</v>
      </c>
      <c r="R47" s="75" t="s">
        <v>1191</v>
      </c>
      <c r="S47" s="85" t="s">
        <v>155</v>
      </c>
      <c r="T47" s="93" t="s">
        <v>362</v>
      </c>
      <c r="U47" s="86" t="s">
        <v>45</v>
      </c>
      <c r="V47" s="9"/>
      <c r="W47" s="9"/>
      <c r="X47" s="740"/>
      <c r="Y47" s="740"/>
      <c r="Z47" s="741" t="s">
        <v>1192</v>
      </c>
      <c r="AA47" s="742">
        <f>2000000/0.9</f>
        <v>2222222.222</v>
      </c>
      <c r="AB47" s="743">
        <v>0.5</v>
      </c>
      <c r="AC47" s="744">
        <v>10000.0</v>
      </c>
      <c r="AD47" s="744">
        <v>10000.0</v>
      </c>
      <c r="AE47" s="744">
        <v>500.0</v>
      </c>
      <c r="AF47" s="745">
        <v>1000.0</v>
      </c>
      <c r="AG47" s="746"/>
      <c r="AH47" s="744"/>
      <c r="AI47" s="744"/>
      <c r="AJ47" s="744"/>
      <c r="AK47" s="747">
        <f t="shared" si="21"/>
        <v>70000</v>
      </c>
      <c r="AL47" s="747">
        <f t="shared" si="22"/>
        <v>2292222.222</v>
      </c>
      <c r="AM47" s="747">
        <f t="shared" si="23"/>
        <v>707777.7778</v>
      </c>
      <c r="AN47" s="748">
        <f t="shared" si="24"/>
        <v>0.2359259259</v>
      </c>
      <c r="AO47" s="9"/>
      <c r="AP47" s="9"/>
      <c r="AQ47" s="9"/>
      <c r="AR47" s="9"/>
    </row>
    <row r="48" ht="43.5" customHeight="1" outlineLevel="1">
      <c r="A48" s="72"/>
      <c r="B48" s="72"/>
      <c r="C48" s="72"/>
      <c r="D48" s="72"/>
      <c r="E48" s="72"/>
      <c r="F48" s="72"/>
      <c r="G48" s="72"/>
      <c r="H48" s="88" t="s">
        <v>1193</v>
      </c>
      <c r="I48" s="81" t="b">
        <v>1</v>
      </c>
      <c r="J48" s="82" t="s">
        <v>47</v>
      </c>
      <c r="K48" s="83">
        <f t="shared" si="19"/>
        <v>1</v>
      </c>
      <c r="L48" s="84">
        <v>2000000.0</v>
      </c>
      <c r="M48" s="84">
        <f t="shared" si="25"/>
        <v>0</v>
      </c>
      <c r="N48" s="84">
        <f t="shared" si="26"/>
        <v>0</v>
      </c>
      <c r="O48" s="84" t="str">
        <f t="shared" si="27"/>
        <v>-</v>
      </c>
      <c r="P48" s="84" t="str">
        <f t="shared" si="28"/>
        <v>-</v>
      </c>
      <c r="Q48" s="84">
        <f t="shared" si="20"/>
        <v>2000000</v>
      </c>
      <c r="R48" s="72"/>
      <c r="S48" s="72"/>
      <c r="T48" s="72"/>
      <c r="U48" s="72"/>
      <c r="V48" s="9"/>
      <c r="W48" s="9"/>
      <c r="X48" s="26"/>
      <c r="Y48" s="26"/>
      <c r="Z48" s="751" t="s">
        <v>910</v>
      </c>
      <c r="AA48" s="742">
        <v>0.0</v>
      </c>
      <c r="AB48" s="743">
        <v>1.0</v>
      </c>
      <c r="AC48" s="744"/>
      <c r="AD48" s="744"/>
      <c r="AE48" s="744"/>
      <c r="AF48" s="745"/>
      <c r="AG48" s="746"/>
      <c r="AH48" s="744"/>
      <c r="AI48" s="744"/>
      <c r="AJ48" s="744"/>
      <c r="AK48" s="747">
        <f t="shared" si="21"/>
        <v>0</v>
      </c>
      <c r="AL48" s="747">
        <f t="shared" si="22"/>
        <v>0</v>
      </c>
      <c r="AM48" s="747">
        <f t="shared" si="23"/>
        <v>2000000</v>
      </c>
      <c r="AN48" s="748">
        <f t="shared" si="24"/>
        <v>1</v>
      </c>
      <c r="AO48" s="9"/>
      <c r="AP48" s="9"/>
      <c r="AQ48" s="9"/>
      <c r="AR48" s="9"/>
    </row>
    <row r="49" ht="43.5" customHeight="1" outlineLevel="1">
      <c r="A49" s="73" t="s">
        <v>73</v>
      </c>
      <c r="B49" s="96" t="s">
        <v>163</v>
      </c>
      <c r="C49" s="75" t="s">
        <v>38</v>
      </c>
      <c r="D49" s="76" t="s">
        <v>164</v>
      </c>
      <c r="E49" s="77" t="s">
        <v>146</v>
      </c>
      <c r="F49" s="78" t="s">
        <v>21</v>
      </c>
      <c r="G49" s="79" t="s">
        <v>50</v>
      </c>
      <c r="H49" s="80" t="s">
        <v>1194</v>
      </c>
      <c r="I49" s="81" t="b">
        <v>1</v>
      </c>
      <c r="J49" s="82" t="s">
        <v>7</v>
      </c>
      <c r="K49" s="83">
        <f t="shared" si="19"/>
        <v>1</v>
      </c>
      <c r="L49" s="84">
        <v>5000000.0</v>
      </c>
      <c r="M49" s="84">
        <f t="shared" si="25"/>
        <v>20000</v>
      </c>
      <c r="N49" s="84">
        <f t="shared" si="26"/>
        <v>1500</v>
      </c>
      <c r="O49" s="84">
        <f t="shared" si="27"/>
        <v>250</v>
      </c>
      <c r="P49" s="84">
        <f t="shared" si="28"/>
        <v>3333.333333</v>
      </c>
      <c r="Q49" s="84">
        <f t="shared" si="20"/>
        <v>5000000</v>
      </c>
      <c r="R49" s="75" t="s">
        <v>1195</v>
      </c>
      <c r="S49" s="85" t="s">
        <v>167</v>
      </c>
      <c r="T49" s="93" t="s">
        <v>362</v>
      </c>
      <c r="U49" s="94" t="s">
        <v>45</v>
      </c>
      <c r="V49" s="87"/>
      <c r="W49" s="87"/>
      <c r="X49" s="740"/>
      <c r="Y49" s="740"/>
      <c r="Z49" s="741" t="s">
        <v>1196</v>
      </c>
      <c r="AA49" s="742">
        <f>2700000/0.9</f>
        <v>3000000</v>
      </c>
      <c r="AB49" s="743">
        <v>0.5</v>
      </c>
      <c r="AC49" s="744">
        <v>10000.0</v>
      </c>
      <c r="AD49" s="744">
        <v>10000.0</v>
      </c>
      <c r="AE49" s="744">
        <v>500.0</v>
      </c>
      <c r="AF49" s="745">
        <v>1000.0</v>
      </c>
      <c r="AG49" s="746"/>
      <c r="AH49" s="744"/>
      <c r="AI49" s="744"/>
      <c r="AJ49" s="744"/>
      <c r="AK49" s="747">
        <f t="shared" si="21"/>
        <v>70000</v>
      </c>
      <c r="AL49" s="747">
        <f t="shared" si="22"/>
        <v>3070000</v>
      </c>
      <c r="AM49" s="747">
        <f t="shared" si="23"/>
        <v>1930000</v>
      </c>
      <c r="AN49" s="748">
        <f t="shared" si="24"/>
        <v>0.386</v>
      </c>
      <c r="AO49" s="9"/>
      <c r="AP49" s="9"/>
      <c r="AQ49" s="9"/>
      <c r="AR49" s="9"/>
    </row>
    <row r="50" ht="43.5" customHeight="1" outlineLevel="1">
      <c r="A50" s="72"/>
      <c r="B50" s="72"/>
      <c r="C50" s="72"/>
      <c r="D50" s="72"/>
      <c r="E50" s="72"/>
      <c r="F50" s="72"/>
      <c r="G50" s="72"/>
      <c r="H50" s="88" t="s">
        <v>1197</v>
      </c>
      <c r="I50" s="81" t="b">
        <v>1</v>
      </c>
      <c r="J50" s="82" t="s">
        <v>47</v>
      </c>
      <c r="K50" s="83">
        <f t="shared" si="19"/>
        <v>1</v>
      </c>
      <c r="L50" s="84">
        <v>3000000.0</v>
      </c>
      <c r="M50" s="84">
        <f t="shared" si="25"/>
        <v>0</v>
      </c>
      <c r="N50" s="84">
        <f t="shared" si="26"/>
        <v>0</v>
      </c>
      <c r="O50" s="84" t="str">
        <f t="shared" si="27"/>
        <v>-</v>
      </c>
      <c r="P50" s="84" t="str">
        <f t="shared" si="28"/>
        <v>-</v>
      </c>
      <c r="Q50" s="84">
        <f t="shared" si="20"/>
        <v>3000000</v>
      </c>
      <c r="R50" s="72"/>
      <c r="S50" s="72"/>
      <c r="T50" s="72"/>
      <c r="U50" s="72"/>
      <c r="V50" s="9"/>
      <c r="W50" s="9"/>
      <c r="X50" s="26"/>
      <c r="Y50" s="26"/>
      <c r="Z50" s="751" t="s">
        <v>910</v>
      </c>
      <c r="AA50" s="742"/>
      <c r="AB50" s="743">
        <v>0.5</v>
      </c>
      <c r="AC50" s="744"/>
      <c r="AD50" s="744"/>
      <c r="AE50" s="744"/>
      <c r="AF50" s="745"/>
      <c r="AG50" s="746"/>
      <c r="AH50" s="744"/>
      <c r="AI50" s="744"/>
      <c r="AJ50" s="744"/>
      <c r="AK50" s="747">
        <f t="shared" si="21"/>
        <v>0</v>
      </c>
      <c r="AL50" s="747">
        <f t="shared" si="22"/>
        <v>0</v>
      </c>
      <c r="AM50" s="747">
        <f t="shared" si="23"/>
        <v>3000000</v>
      </c>
      <c r="AN50" s="748">
        <f t="shared" si="24"/>
        <v>1</v>
      </c>
      <c r="AO50" s="9"/>
      <c r="AP50" s="9"/>
      <c r="AQ50" s="9"/>
      <c r="AR50" s="9"/>
    </row>
    <row r="51" ht="43.5" customHeight="1" outlineLevel="1">
      <c r="A51" s="73" t="s">
        <v>73</v>
      </c>
      <c r="B51" s="91" t="s">
        <v>169</v>
      </c>
      <c r="C51" s="75" t="s">
        <v>38</v>
      </c>
      <c r="D51" s="76">
        <v>6489.0</v>
      </c>
      <c r="E51" s="77" t="s">
        <v>146</v>
      </c>
      <c r="F51" s="78" t="s">
        <v>139</v>
      </c>
      <c r="G51" s="79" t="s">
        <v>50</v>
      </c>
      <c r="H51" s="80" t="s">
        <v>1198</v>
      </c>
      <c r="I51" s="81" t="b">
        <v>1</v>
      </c>
      <c r="J51" s="82" t="s">
        <v>7</v>
      </c>
      <c r="K51" s="83">
        <f t="shared" si="19"/>
        <v>1</v>
      </c>
      <c r="L51" s="84">
        <v>3000000.0</v>
      </c>
      <c r="M51" s="84">
        <f t="shared" si="25"/>
        <v>15000</v>
      </c>
      <c r="N51" s="84">
        <f t="shared" si="26"/>
        <v>1000</v>
      </c>
      <c r="O51" s="84">
        <f t="shared" si="27"/>
        <v>200</v>
      </c>
      <c r="P51" s="84">
        <f t="shared" si="28"/>
        <v>3000</v>
      </c>
      <c r="Q51" s="84">
        <f t="shared" si="20"/>
        <v>3000000</v>
      </c>
      <c r="R51" s="75" t="s">
        <v>1199</v>
      </c>
      <c r="S51" s="85" t="s">
        <v>172</v>
      </c>
      <c r="T51" s="93" t="s">
        <v>362</v>
      </c>
      <c r="U51" s="94" t="s">
        <v>45</v>
      </c>
      <c r="V51" s="9"/>
      <c r="W51" s="9"/>
      <c r="X51" s="740"/>
      <c r="Y51" s="740"/>
      <c r="Z51" s="741" t="s">
        <v>1200</v>
      </c>
      <c r="AA51" s="742">
        <f>1700000/0.9</f>
        <v>1888888.889</v>
      </c>
      <c r="AB51" s="743">
        <v>0.5</v>
      </c>
      <c r="AC51" s="744">
        <v>5000.0</v>
      </c>
      <c r="AD51" s="744">
        <v>10000.0</v>
      </c>
      <c r="AE51" s="744">
        <v>500.0</v>
      </c>
      <c r="AF51" s="745">
        <v>500.0</v>
      </c>
      <c r="AG51" s="746"/>
      <c r="AH51" s="744"/>
      <c r="AI51" s="744"/>
      <c r="AJ51" s="744"/>
      <c r="AK51" s="747">
        <f t="shared" si="21"/>
        <v>45000</v>
      </c>
      <c r="AL51" s="747">
        <f t="shared" si="22"/>
        <v>1933888.889</v>
      </c>
      <c r="AM51" s="747">
        <f t="shared" si="23"/>
        <v>1066111.111</v>
      </c>
      <c r="AN51" s="748">
        <f t="shared" si="24"/>
        <v>0.3553703704</v>
      </c>
      <c r="AO51" s="9"/>
      <c r="AP51" s="9"/>
      <c r="AQ51" s="9"/>
      <c r="AR51" s="9"/>
    </row>
    <row r="52" ht="43.5" customHeight="1" outlineLevel="1">
      <c r="A52" s="72"/>
      <c r="B52" s="72"/>
      <c r="C52" s="72"/>
      <c r="D52" s="72"/>
      <c r="E52" s="72"/>
      <c r="F52" s="72"/>
      <c r="G52" s="72"/>
      <c r="H52" s="88" t="s">
        <v>1201</v>
      </c>
      <c r="I52" s="81" t="b">
        <v>1</v>
      </c>
      <c r="J52" s="82" t="s">
        <v>47</v>
      </c>
      <c r="K52" s="83">
        <f t="shared" si="19"/>
        <v>1</v>
      </c>
      <c r="L52" s="84">
        <v>2000000.0</v>
      </c>
      <c r="M52" s="84">
        <f t="shared" si="25"/>
        <v>0</v>
      </c>
      <c r="N52" s="84">
        <f t="shared" si="26"/>
        <v>0</v>
      </c>
      <c r="O52" s="84" t="str">
        <f t="shared" si="27"/>
        <v>-</v>
      </c>
      <c r="P52" s="84" t="str">
        <f t="shared" si="28"/>
        <v>-</v>
      </c>
      <c r="Q52" s="84">
        <f t="shared" si="20"/>
        <v>2000000</v>
      </c>
      <c r="R52" s="72"/>
      <c r="S52" s="72"/>
      <c r="T52" s="72"/>
      <c r="U52" s="72"/>
      <c r="V52" s="9"/>
      <c r="W52" s="9"/>
      <c r="X52" s="26"/>
      <c r="Y52" s="26"/>
      <c r="Z52" s="751" t="s">
        <v>910</v>
      </c>
      <c r="AA52" s="742"/>
      <c r="AB52" s="743">
        <v>1.2</v>
      </c>
      <c r="AC52" s="744"/>
      <c r="AD52" s="744"/>
      <c r="AE52" s="744"/>
      <c r="AF52" s="745"/>
      <c r="AG52" s="746"/>
      <c r="AH52" s="744"/>
      <c r="AI52" s="744"/>
      <c r="AJ52" s="744"/>
      <c r="AK52" s="747">
        <f t="shared" si="21"/>
        <v>0</v>
      </c>
      <c r="AL52" s="747">
        <f t="shared" si="22"/>
        <v>0</v>
      </c>
      <c r="AM52" s="747">
        <f t="shared" si="23"/>
        <v>2000000</v>
      </c>
      <c r="AN52" s="748">
        <f t="shared" si="24"/>
        <v>1</v>
      </c>
      <c r="AO52" s="9"/>
      <c r="AP52" s="9"/>
      <c r="AQ52" s="9"/>
      <c r="AR52" s="9"/>
    </row>
    <row r="53" ht="43.5" customHeight="1" outlineLevel="1">
      <c r="A53" s="73" t="s">
        <v>109</v>
      </c>
      <c r="B53" s="148" t="s">
        <v>174</v>
      </c>
      <c r="C53" s="75" t="s">
        <v>38</v>
      </c>
      <c r="D53" s="76" t="s">
        <v>175</v>
      </c>
      <c r="E53" s="77" t="s">
        <v>146</v>
      </c>
      <c r="F53" s="78" t="s">
        <v>176</v>
      </c>
      <c r="G53" s="79" t="s">
        <v>50</v>
      </c>
      <c r="H53" s="80" t="s">
        <v>1202</v>
      </c>
      <c r="I53" s="97" t="b">
        <v>1</v>
      </c>
      <c r="J53" s="82" t="s">
        <v>7</v>
      </c>
      <c r="K53" s="83">
        <f t="shared" si="19"/>
        <v>1</v>
      </c>
      <c r="L53" s="84">
        <v>1.1E7</v>
      </c>
      <c r="M53" s="84">
        <f t="shared" ref="M53:M55" si="29">(sum(AC53:AE53)+sum(AG53:AH53))*K53</f>
        <v>46000</v>
      </c>
      <c r="N53" s="84">
        <f t="shared" si="26"/>
        <v>2000</v>
      </c>
      <c r="O53" s="84">
        <f t="shared" si="27"/>
        <v>239.1304348</v>
      </c>
      <c r="P53" s="84">
        <f t="shared" si="28"/>
        <v>5500</v>
      </c>
      <c r="Q53" s="84">
        <f t="shared" si="20"/>
        <v>11000000</v>
      </c>
      <c r="R53" s="75" t="s">
        <v>1203</v>
      </c>
      <c r="S53" s="85"/>
      <c r="T53" s="93" t="s">
        <v>364</v>
      </c>
      <c r="U53" s="149" t="s">
        <v>45</v>
      </c>
      <c r="V53" s="87"/>
      <c r="W53" s="87"/>
      <c r="X53" s="740"/>
      <c r="Y53" s="740"/>
      <c r="Z53" s="741" t="s">
        <v>1204</v>
      </c>
      <c r="AA53" s="742">
        <v>6500000.0</v>
      </c>
      <c r="AB53" s="743">
        <v>0.7</v>
      </c>
      <c r="AC53" s="744">
        <v>10000.0</v>
      </c>
      <c r="AD53" s="744">
        <v>35000.0</v>
      </c>
      <c r="AE53" s="744">
        <v>1000.0</v>
      </c>
      <c r="AF53" s="744">
        <v>1000.0</v>
      </c>
      <c r="AG53" s="746"/>
      <c r="AH53" s="744"/>
      <c r="AI53" s="744"/>
      <c r="AJ53" s="744"/>
      <c r="AK53" s="747"/>
      <c r="AL53" s="747"/>
      <c r="AM53" s="747"/>
      <c r="AN53" s="748"/>
      <c r="AO53" s="9"/>
      <c r="AP53" s="9"/>
      <c r="AQ53" s="9"/>
      <c r="AR53" s="9"/>
    </row>
    <row r="54" ht="43.5" customHeight="1" outlineLevel="1">
      <c r="A54" s="72"/>
      <c r="B54" s="72"/>
      <c r="C54" s="72"/>
      <c r="D54" s="72"/>
      <c r="E54" s="72"/>
      <c r="F54" s="72"/>
      <c r="G54" s="72"/>
      <c r="H54" s="88" t="s">
        <v>1205</v>
      </c>
      <c r="I54" s="97" t="b">
        <v>1</v>
      </c>
      <c r="J54" s="82" t="s">
        <v>47</v>
      </c>
      <c r="K54" s="83">
        <f t="shared" si="19"/>
        <v>1</v>
      </c>
      <c r="L54" s="84">
        <v>2000000.0</v>
      </c>
      <c r="M54" s="84">
        <f t="shared" si="29"/>
        <v>0</v>
      </c>
      <c r="N54" s="84">
        <f t="shared" si="26"/>
        <v>0</v>
      </c>
      <c r="O54" s="84" t="str">
        <f t="shared" si="27"/>
        <v>-</v>
      </c>
      <c r="P54" s="84" t="str">
        <f t="shared" si="28"/>
        <v>-</v>
      </c>
      <c r="Q54" s="84">
        <f t="shared" si="20"/>
        <v>2000000</v>
      </c>
      <c r="R54" s="72"/>
      <c r="S54" s="72"/>
      <c r="T54" s="72"/>
      <c r="U54" s="72"/>
      <c r="V54" s="9"/>
      <c r="W54" s="9"/>
      <c r="X54" s="26"/>
      <c r="Y54" s="26"/>
      <c r="AA54" s="742">
        <v>1500000.0</v>
      </c>
      <c r="AB54" s="743">
        <v>0.5</v>
      </c>
      <c r="AC54" s="744"/>
      <c r="AD54" s="744"/>
      <c r="AE54" s="744"/>
      <c r="AF54" s="744"/>
      <c r="AG54" s="746"/>
      <c r="AH54" s="744"/>
      <c r="AI54" s="744"/>
      <c r="AJ54" s="744"/>
      <c r="AK54" s="747"/>
      <c r="AL54" s="747"/>
      <c r="AM54" s="747"/>
      <c r="AN54" s="748"/>
      <c r="AO54" s="9"/>
      <c r="AP54" s="9"/>
      <c r="AQ54" s="9"/>
      <c r="AR54" s="9"/>
    </row>
    <row r="55" ht="43.5" customHeight="1" outlineLevel="1">
      <c r="A55" s="73" t="s">
        <v>109</v>
      </c>
      <c r="B55" s="150" t="s">
        <v>180</v>
      </c>
      <c r="C55" s="75" t="s">
        <v>38</v>
      </c>
      <c r="D55" s="76" t="s">
        <v>181</v>
      </c>
      <c r="E55" s="77" t="s">
        <v>146</v>
      </c>
      <c r="F55" s="78" t="s">
        <v>182</v>
      </c>
      <c r="G55" s="79" t="s">
        <v>50</v>
      </c>
      <c r="H55" s="80" t="s">
        <v>1206</v>
      </c>
      <c r="I55" s="97" t="b">
        <v>1</v>
      </c>
      <c r="J55" s="82" t="s">
        <v>7</v>
      </c>
      <c r="K55" s="83">
        <f t="shared" si="19"/>
        <v>1</v>
      </c>
      <c r="L55" s="84">
        <v>1.0E7</v>
      </c>
      <c r="M55" s="84">
        <f t="shared" si="29"/>
        <v>40500</v>
      </c>
      <c r="N55" s="84">
        <f t="shared" si="26"/>
        <v>2000</v>
      </c>
      <c r="O55" s="84">
        <f t="shared" si="27"/>
        <v>246.9135802</v>
      </c>
      <c r="P55" s="84">
        <f t="shared" si="28"/>
        <v>5000</v>
      </c>
      <c r="Q55" s="84">
        <f t="shared" si="20"/>
        <v>10000000</v>
      </c>
      <c r="R55" s="75" t="s">
        <v>1207</v>
      </c>
      <c r="S55" s="85"/>
      <c r="T55" s="93" t="s">
        <v>364</v>
      </c>
      <c r="U55" s="149" t="s">
        <v>45</v>
      </c>
      <c r="V55" s="9"/>
      <c r="W55" s="9"/>
      <c r="X55" s="740"/>
      <c r="Y55" s="740"/>
      <c r="Z55" s="764" t="s">
        <v>1208</v>
      </c>
      <c r="AA55" s="742">
        <v>6500000.0</v>
      </c>
      <c r="AB55" s="743">
        <v>0.5</v>
      </c>
      <c r="AC55" s="744">
        <v>10000.0</v>
      </c>
      <c r="AD55" s="744">
        <v>30000.0</v>
      </c>
      <c r="AE55" s="744">
        <v>500.0</v>
      </c>
      <c r="AF55" s="744">
        <v>1500.0</v>
      </c>
      <c r="AG55" s="746"/>
      <c r="AH55" s="744"/>
      <c r="AI55" s="744"/>
      <c r="AJ55" s="744"/>
      <c r="AK55" s="747"/>
      <c r="AL55" s="747"/>
      <c r="AM55" s="747"/>
      <c r="AN55" s="748"/>
      <c r="AO55" s="9"/>
      <c r="AP55" s="9"/>
      <c r="AQ55" s="9"/>
      <c r="AR55" s="9"/>
    </row>
    <row r="56" ht="43.5" customHeight="1" outlineLevel="1">
      <c r="A56" s="72"/>
      <c r="B56" s="72"/>
      <c r="C56" s="72"/>
      <c r="D56" s="72"/>
      <c r="E56" s="72"/>
      <c r="F56" s="72"/>
      <c r="G56" s="72"/>
      <c r="H56" s="88" t="s">
        <v>1209</v>
      </c>
      <c r="I56" s="97" t="b">
        <v>1</v>
      </c>
      <c r="J56" s="82" t="s">
        <v>47</v>
      </c>
      <c r="K56" s="83">
        <f t="shared" si="19"/>
        <v>1</v>
      </c>
      <c r="L56" s="84">
        <v>3000000.0</v>
      </c>
      <c r="M56" s="84">
        <f t="shared" ref="M56:M58" si="30">(sum(AC56:AD56)+sum(AG56:AH56))*K56</f>
        <v>0</v>
      </c>
      <c r="N56" s="84">
        <f t="shared" si="26"/>
        <v>0</v>
      </c>
      <c r="O56" s="84" t="str">
        <f t="shared" si="27"/>
        <v>-</v>
      </c>
      <c r="P56" s="84" t="str">
        <f t="shared" si="28"/>
        <v>-</v>
      </c>
      <c r="Q56" s="84">
        <f t="shared" si="20"/>
        <v>3000000</v>
      </c>
      <c r="R56" s="72"/>
      <c r="S56" s="72"/>
      <c r="T56" s="72"/>
      <c r="U56" s="72"/>
      <c r="V56" s="9"/>
      <c r="W56" s="9"/>
      <c r="X56" s="26"/>
      <c r="Y56" s="26"/>
      <c r="AA56" s="742">
        <v>2000000.0</v>
      </c>
      <c r="AB56" s="743">
        <v>0.5</v>
      </c>
      <c r="AC56" s="744"/>
      <c r="AD56" s="744"/>
      <c r="AE56" s="744"/>
      <c r="AF56" s="744"/>
      <c r="AG56" s="746"/>
      <c r="AH56" s="744"/>
      <c r="AI56" s="744"/>
      <c r="AJ56" s="744"/>
      <c r="AK56" s="747"/>
      <c r="AL56" s="747"/>
      <c r="AM56" s="747"/>
      <c r="AN56" s="748"/>
      <c r="AO56" s="9"/>
      <c r="AP56" s="9"/>
      <c r="AQ56" s="9"/>
      <c r="AR56" s="9"/>
    </row>
    <row r="57" ht="43.5" customHeight="1" outlineLevel="1">
      <c r="A57" s="73" t="s">
        <v>186</v>
      </c>
      <c r="B57" s="151" t="s">
        <v>187</v>
      </c>
      <c r="C57" s="75" t="s">
        <v>38</v>
      </c>
      <c r="D57" s="76" t="s">
        <v>188</v>
      </c>
      <c r="E57" s="77" t="s">
        <v>146</v>
      </c>
      <c r="F57" s="78" t="s">
        <v>139</v>
      </c>
      <c r="G57" s="79" t="s">
        <v>50</v>
      </c>
      <c r="H57" s="80" t="s">
        <v>1210</v>
      </c>
      <c r="I57" s="81" t="b">
        <v>1</v>
      </c>
      <c r="J57" s="82" t="s">
        <v>7</v>
      </c>
      <c r="K57" s="83">
        <f t="shared" si="19"/>
        <v>1</v>
      </c>
      <c r="L57" s="84">
        <v>1.2E7</v>
      </c>
      <c r="M57" s="84">
        <f t="shared" si="30"/>
        <v>60000</v>
      </c>
      <c r="N57" s="84">
        <f t="shared" si="26"/>
        <v>3000</v>
      </c>
      <c r="O57" s="84">
        <f t="shared" si="27"/>
        <v>200</v>
      </c>
      <c r="P57" s="84">
        <f t="shared" si="28"/>
        <v>4000</v>
      </c>
      <c r="Q57" s="84">
        <f t="shared" si="20"/>
        <v>12000000</v>
      </c>
      <c r="R57" s="75" t="s">
        <v>1211</v>
      </c>
      <c r="S57" s="85"/>
      <c r="T57" s="93" t="s">
        <v>363</v>
      </c>
      <c r="U57" s="149" t="s">
        <v>45</v>
      </c>
      <c r="V57" s="87"/>
      <c r="W57" s="87"/>
      <c r="X57" s="740"/>
      <c r="Y57" s="740"/>
      <c r="Z57" s="741" t="s">
        <v>918</v>
      </c>
      <c r="AA57" s="742">
        <f>8000000/0.9</f>
        <v>8888888.889</v>
      </c>
      <c r="AB57" s="743">
        <v>0.4</v>
      </c>
      <c r="AC57" s="744">
        <v>10000.0</v>
      </c>
      <c r="AD57" s="744">
        <v>50000.0</v>
      </c>
      <c r="AE57" s="744">
        <v>500.0</v>
      </c>
      <c r="AF57" s="745">
        <v>2500.0</v>
      </c>
      <c r="AG57" s="746"/>
      <c r="AH57" s="744"/>
      <c r="AI57" s="744"/>
      <c r="AJ57" s="744"/>
      <c r="AK57" s="747">
        <f t="shared" ref="AK57:AK58" si="31">(AD57*2+AF57*50+AH57*10+AJ57*50)*K57</f>
        <v>225000</v>
      </c>
      <c r="AL57" s="747">
        <f t="shared" ref="AL57:AL58" si="32">sum(AA57,AK57)*K57</f>
        <v>9113888.889</v>
      </c>
      <c r="AM57" s="747">
        <f t="shared" ref="AM57:AM58" si="33">iferror(Q57-AL57,"-")</f>
        <v>2886111.111</v>
      </c>
      <c r="AN57" s="748">
        <f t="shared" ref="AN57:AN58" si="34">iferror(AM57/Q57,"-")</f>
        <v>0.2405092593</v>
      </c>
      <c r="AO57" s="9"/>
      <c r="AP57" s="9"/>
      <c r="AQ57" s="9"/>
      <c r="AR57" s="9"/>
    </row>
    <row r="58" ht="43.5" customHeight="1" outlineLevel="1">
      <c r="A58" s="72"/>
      <c r="B58" s="72"/>
      <c r="C58" s="72"/>
      <c r="D58" s="72"/>
      <c r="E58" s="72"/>
      <c r="F58" s="72"/>
      <c r="G58" s="72"/>
      <c r="H58" s="88" t="s">
        <v>1212</v>
      </c>
      <c r="I58" s="81" t="b">
        <v>1</v>
      </c>
      <c r="J58" s="82" t="s">
        <v>47</v>
      </c>
      <c r="K58" s="83">
        <f t="shared" si="19"/>
        <v>1</v>
      </c>
      <c r="L58" s="84">
        <v>8000000.0</v>
      </c>
      <c r="M58" s="84">
        <f t="shared" si="30"/>
        <v>0</v>
      </c>
      <c r="N58" s="84">
        <f t="shared" si="26"/>
        <v>0</v>
      </c>
      <c r="O58" s="84" t="str">
        <f t="shared" si="27"/>
        <v>-</v>
      </c>
      <c r="P58" s="84" t="str">
        <f t="shared" si="28"/>
        <v>-</v>
      </c>
      <c r="Q58" s="84">
        <f t="shared" si="20"/>
        <v>8000000</v>
      </c>
      <c r="R58" s="72"/>
      <c r="S58" s="72"/>
      <c r="T58" s="72"/>
      <c r="U58" s="72"/>
      <c r="V58" s="9"/>
      <c r="W58" s="9"/>
      <c r="X58" s="26"/>
      <c r="Y58" s="26"/>
      <c r="Z58" s="751" t="s">
        <v>910</v>
      </c>
      <c r="AA58" s="742">
        <f>3000000/0.9</f>
        <v>3333333.333</v>
      </c>
      <c r="AB58" s="743">
        <v>0.4</v>
      </c>
      <c r="AC58" s="744"/>
      <c r="AD58" s="744"/>
      <c r="AE58" s="744"/>
      <c r="AF58" s="745"/>
      <c r="AG58" s="746"/>
      <c r="AH58" s="744"/>
      <c r="AI58" s="744"/>
      <c r="AJ58" s="744"/>
      <c r="AK58" s="747">
        <f t="shared" si="31"/>
        <v>0</v>
      </c>
      <c r="AL58" s="747">
        <f t="shared" si="32"/>
        <v>3333333.333</v>
      </c>
      <c r="AM58" s="747">
        <f t="shared" si="33"/>
        <v>4666666.667</v>
      </c>
      <c r="AN58" s="748">
        <f t="shared" si="34"/>
        <v>0.5833333333</v>
      </c>
      <c r="AO58" s="9"/>
      <c r="AP58" s="9"/>
      <c r="AQ58" s="9"/>
      <c r="AR58" s="9"/>
    </row>
    <row r="59" outlineLevel="1">
      <c r="A59" s="134" t="s">
        <v>202</v>
      </c>
      <c r="B59" s="135" t="s">
        <v>203</v>
      </c>
      <c r="C59" s="136"/>
      <c r="D59" s="137"/>
      <c r="E59" s="138"/>
      <c r="F59" s="139"/>
      <c r="G59" s="140"/>
      <c r="H59" s="136"/>
      <c r="I59" s="141"/>
      <c r="J59" s="142"/>
      <c r="K59" s="143"/>
      <c r="L59" s="144"/>
      <c r="M59" s="144"/>
      <c r="N59" s="144"/>
      <c r="O59" s="144"/>
      <c r="P59" s="144"/>
      <c r="Q59" s="144"/>
      <c r="R59" s="136"/>
      <c r="S59" s="145"/>
      <c r="T59" s="145"/>
      <c r="U59" s="138"/>
      <c r="V59" s="146"/>
      <c r="W59" s="146"/>
      <c r="X59" s="773"/>
      <c r="Y59" s="773"/>
      <c r="Z59" s="774"/>
      <c r="AA59" s="775"/>
      <c r="AB59" s="776"/>
      <c r="AC59" s="777"/>
      <c r="AD59" s="777"/>
      <c r="AE59" s="777"/>
      <c r="AF59" s="778"/>
      <c r="AG59" s="779"/>
      <c r="AH59" s="777"/>
      <c r="AI59" s="777"/>
      <c r="AJ59" s="777"/>
      <c r="AK59" s="780"/>
      <c r="AL59" s="780"/>
      <c r="AM59" s="780"/>
      <c r="AN59" s="781"/>
      <c r="AO59" s="146"/>
      <c r="AP59" s="146"/>
      <c r="AQ59" s="146"/>
      <c r="AR59" s="146"/>
    </row>
    <row r="60" ht="42.0" customHeight="1" outlineLevel="1">
      <c r="A60" s="73" t="s">
        <v>101</v>
      </c>
      <c r="B60" s="147" t="s">
        <v>204</v>
      </c>
      <c r="C60" s="75" t="s">
        <v>38</v>
      </c>
      <c r="D60" s="76" t="s">
        <v>205</v>
      </c>
      <c r="E60" s="77" t="s">
        <v>146</v>
      </c>
      <c r="F60" s="78" t="s">
        <v>206</v>
      </c>
      <c r="G60" s="79" t="s">
        <v>105</v>
      </c>
      <c r="H60" s="80" t="s">
        <v>1213</v>
      </c>
      <c r="I60" s="81" t="b">
        <v>1</v>
      </c>
      <c r="J60" s="82" t="s">
        <v>7</v>
      </c>
      <c r="K60" s="83">
        <f t="shared" ref="K60:K69" si="35">if(I60=True,1,if(I60=False,0))</f>
        <v>1</v>
      </c>
      <c r="L60" s="84">
        <v>4000000.0</v>
      </c>
      <c r="M60" s="84">
        <f t="shared" ref="M60:M69" si="36">(sum(AC60:AD60)+sum(AG60:AH60))*K60</f>
        <v>20000</v>
      </c>
      <c r="N60" s="84">
        <f t="shared" ref="N60:N69" si="37">(sum(AE60:AF60)+sum(AI60:AJ60))*K60</f>
        <v>1500</v>
      </c>
      <c r="O60" s="84">
        <f t="shared" ref="O60:O69" si="38">IFERROR(Q60/M60,"-")</f>
        <v>200</v>
      </c>
      <c r="P60" s="84">
        <f t="shared" ref="P60:P69" si="39">IFERROR(Q60/N60,"-")</f>
        <v>2666.666667</v>
      </c>
      <c r="Q60" s="84">
        <f t="shared" ref="Q60:Q69" si="40">iferror(L60*K60,"-")</f>
        <v>4000000</v>
      </c>
      <c r="R60" s="75" t="s">
        <v>1214</v>
      </c>
      <c r="S60" s="85" t="s">
        <v>209</v>
      </c>
      <c r="T60" s="93" t="s">
        <v>362</v>
      </c>
      <c r="U60" s="86" t="s">
        <v>45</v>
      </c>
      <c r="V60" s="9"/>
      <c r="W60" s="9"/>
      <c r="X60" s="740"/>
      <c r="Y60" s="740"/>
      <c r="Z60" s="741" t="s">
        <v>1215</v>
      </c>
      <c r="AA60" s="742">
        <f>2300000/0.9</f>
        <v>2555555.556</v>
      </c>
      <c r="AB60" s="743">
        <v>0.5</v>
      </c>
      <c r="AC60" s="744">
        <v>10000.0</v>
      </c>
      <c r="AD60" s="744">
        <v>10000.0</v>
      </c>
      <c r="AE60" s="744">
        <v>500.0</v>
      </c>
      <c r="AF60" s="745">
        <v>1000.0</v>
      </c>
      <c r="AG60" s="746"/>
      <c r="AH60" s="744"/>
      <c r="AI60" s="744"/>
      <c r="AJ60" s="744"/>
      <c r="AK60" s="747">
        <f t="shared" ref="AK60:AK63" si="41">(AD60*2+AF60*50+AH60*10+AJ60*50)*K60</f>
        <v>70000</v>
      </c>
      <c r="AL60" s="747">
        <f t="shared" ref="AL60:AL63" si="42">sum(AA60,AK60)*K60</f>
        <v>2625555.556</v>
      </c>
      <c r="AM60" s="747">
        <f t="shared" ref="AM60:AM63" si="43">iferror(Q60-AL60,"-")</f>
        <v>1374444.444</v>
      </c>
      <c r="AN60" s="748">
        <f t="shared" ref="AN60:AN63" si="44">iferror(AM60/Q60,"-")</f>
        <v>0.3436111111</v>
      </c>
      <c r="AO60" s="9"/>
      <c r="AP60" s="9"/>
      <c r="AQ60" s="9"/>
      <c r="AR60" s="9"/>
    </row>
    <row r="61" ht="42.0" customHeight="1" outlineLevel="1">
      <c r="A61" s="72"/>
      <c r="B61" s="72"/>
      <c r="C61" s="72"/>
      <c r="D61" s="72"/>
      <c r="E61" s="72"/>
      <c r="F61" s="72"/>
      <c r="G61" s="72"/>
      <c r="H61" s="88" t="s">
        <v>1216</v>
      </c>
      <c r="I61" s="81" t="b">
        <v>1</v>
      </c>
      <c r="J61" s="82" t="s">
        <v>47</v>
      </c>
      <c r="K61" s="83">
        <f t="shared" si="35"/>
        <v>1</v>
      </c>
      <c r="L61" s="84">
        <v>2000000.0</v>
      </c>
      <c r="M61" s="84">
        <f t="shared" si="36"/>
        <v>0</v>
      </c>
      <c r="N61" s="84">
        <f t="shared" si="37"/>
        <v>0</v>
      </c>
      <c r="O61" s="84" t="str">
        <f t="shared" si="38"/>
        <v>-</v>
      </c>
      <c r="P61" s="84" t="str">
        <f t="shared" si="39"/>
        <v>-</v>
      </c>
      <c r="Q61" s="84">
        <f t="shared" si="40"/>
        <v>2000000</v>
      </c>
      <c r="R61" s="68"/>
      <c r="S61" s="72"/>
      <c r="T61" s="72"/>
      <c r="U61" s="72"/>
      <c r="V61" s="9"/>
      <c r="W61" s="9"/>
      <c r="X61" s="26"/>
      <c r="Y61" s="26"/>
      <c r="Z61" s="741" t="s">
        <v>1217</v>
      </c>
      <c r="AA61" s="742">
        <f>500000/0.9</f>
        <v>555555.5556</v>
      </c>
      <c r="AB61" s="743">
        <v>2.0</v>
      </c>
      <c r="AC61" s="744"/>
      <c r="AD61" s="744"/>
      <c r="AE61" s="744"/>
      <c r="AF61" s="745"/>
      <c r="AG61" s="746"/>
      <c r="AH61" s="744"/>
      <c r="AI61" s="744"/>
      <c r="AJ61" s="744"/>
      <c r="AK61" s="747">
        <f t="shared" si="41"/>
        <v>0</v>
      </c>
      <c r="AL61" s="747">
        <f t="shared" si="42"/>
        <v>555555.5556</v>
      </c>
      <c r="AM61" s="747">
        <f t="shared" si="43"/>
        <v>1444444.444</v>
      </c>
      <c r="AN61" s="748">
        <f t="shared" si="44"/>
        <v>0.7222222222</v>
      </c>
      <c r="AO61" s="9"/>
      <c r="AP61" s="9"/>
      <c r="AQ61" s="9"/>
      <c r="AR61" s="9"/>
    </row>
    <row r="62" ht="42.0" customHeight="1" outlineLevel="1">
      <c r="A62" s="73" t="s">
        <v>101</v>
      </c>
      <c r="B62" s="89" t="s">
        <v>211</v>
      </c>
      <c r="C62" s="75" t="s">
        <v>38</v>
      </c>
      <c r="D62" s="76">
        <v>45000.0</v>
      </c>
      <c r="E62" s="77" t="s">
        <v>146</v>
      </c>
      <c r="F62" s="78" t="s">
        <v>212</v>
      </c>
      <c r="G62" s="79" t="s">
        <v>213</v>
      </c>
      <c r="H62" s="80" t="s">
        <v>1218</v>
      </c>
      <c r="I62" s="81" t="b">
        <v>1</v>
      </c>
      <c r="J62" s="82" t="s">
        <v>7</v>
      </c>
      <c r="K62" s="83">
        <f t="shared" si="35"/>
        <v>1</v>
      </c>
      <c r="L62" s="84">
        <v>5000000.0</v>
      </c>
      <c r="M62" s="84">
        <f t="shared" si="36"/>
        <v>20000</v>
      </c>
      <c r="N62" s="84">
        <f t="shared" si="37"/>
        <v>1500</v>
      </c>
      <c r="O62" s="84">
        <f t="shared" si="38"/>
        <v>250</v>
      </c>
      <c r="P62" s="84">
        <f t="shared" si="39"/>
        <v>3333.333333</v>
      </c>
      <c r="Q62" s="84">
        <f t="shared" si="40"/>
        <v>5000000</v>
      </c>
      <c r="R62" s="68"/>
      <c r="S62" s="85" t="s">
        <v>215</v>
      </c>
      <c r="T62" s="93" t="s">
        <v>362</v>
      </c>
      <c r="U62" s="86" t="s">
        <v>45</v>
      </c>
      <c r="V62" s="9"/>
      <c r="W62" s="9"/>
      <c r="X62" s="740"/>
      <c r="Y62" s="740"/>
      <c r="Z62" s="741" t="s">
        <v>1219</v>
      </c>
      <c r="AA62" s="742">
        <f>3000000/0.9</f>
        <v>3333333.333</v>
      </c>
      <c r="AB62" s="743">
        <v>0.5</v>
      </c>
      <c r="AC62" s="744">
        <v>10000.0</v>
      </c>
      <c r="AD62" s="744">
        <v>10000.0</v>
      </c>
      <c r="AE62" s="744">
        <v>500.0</v>
      </c>
      <c r="AF62" s="745">
        <v>1000.0</v>
      </c>
      <c r="AG62" s="746"/>
      <c r="AH62" s="744"/>
      <c r="AI62" s="744"/>
      <c r="AJ62" s="744"/>
      <c r="AK62" s="747">
        <f t="shared" si="41"/>
        <v>70000</v>
      </c>
      <c r="AL62" s="747">
        <f t="shared" si="42"/>
        <v>3403333.333</v>
      </c>
      <c r="AM62" s="747">
        <f t="shared" si="43"/>
        <v>1596666.667</v>
      </c>
      <c r="AN62" s="748">
        <f t="shared" si="44"/>
        <v>0.3193333333</v>
      </c>
      <c r="AO62" s="9"/>
      <c r="AP62" s="9"/>
      <c r="AQ62" s="9"/>
      <c r="AR62" s="9"/>
    </row>
    <row r="63" ht="42.0" customHeight="1" outlineLevel="1">
      <c r="A63" s="72"/>
      <c r="B63" s="72"/>
      <c r="C63" s="72"/>
      <c r="D63" s="72"/>
      <c r="E63" s="72"/>
      <c r="F63" s="72"/>
      <c r="G63" s="72"/>
      <c r="H63" s="88" t="s">
        <v>1220</v>
      </c>
      <c r="I63" s="81" t="b">
        <v>1</v>
      </c>
      <c r="J63" s="82" t="s">
        <v>47</v>
      </c>
      <c r="K63" s="83">
        <f t="shared" si="35"/>
        <v>1</v>
      </c>
      <c r="L63" s="84">
        <v>2000000.0</v>
      </c>
      <c r="M63" s="84">
        <f t="shared" si="36"/>
        <v>0</v>
      </c>
      <c r="N63" s="84">
        <f t="shared" si="37"/>
        <v>0</v>
      </c>
      <c r="O63" s="84" t="str">
        <f t="shared" si="38"/>
        <v>-</v>
      </c>
      <c r="P63" s="84" t="str">
        <f t="shared" si="39"/>
        <v>-</v>
      </c>
      <c r="Q63" s="84">
        <f t="shared" si="40"/>
        <v>2000000</v>
      </c>
      <c r="R63" s="68"/>
      <c r="S63" s="72"/>
      <c r="T63" s="72"/>
      <c r="U63" s="72"/>
      <c r="V63" s="87"/>
      <c r="W63" s="87"/>
      <c r="X63" s="26"/>
      <c r="Y63" s="26"/>
      <c r="Z63" s="741" t="s">
        <v>1221</v>
      </c>
      <c r="AA63" s="742">
        <v>0.0</v>
      </c>
      <c r="AB63" s="743">
        <v>2.0</v>
      </c>
      <c r="AC63" s="744"/>
      <c r="AD63" s="744"/>
      <c r="AE63" s="744"/>
      <c r="AF63" s="745"/>
      <c r="AG63" s="746"/>
      <c r="AH63" s="744"/>
      <c r="AI63" s="744"/>
      <c r="AJ63" s="744"/>
      <c r="AK63" s="747">
        <f t="shared" si="41"/>
        <v>0</v>
      </c>
      <c r="AL63" s="747">
        <f t="shared" si="42"/>
        <v>0</v>
      </c>
      <c r="AM63" s="747">
        <f t="shared" si="43"/>
        <v>2000000</v>
      </c>
      <c r="AN63" s="748">
        <f t="shared" si="44"/>
        <v>1</v>
      </c>
      <c r="AO63" s="9"/>
      <c r="AP63" s="9"/>
      <c r="AQ63" s="9"/>
      <c r="AR63" s="9"/>
    </row>
    <row r="64" ht="42.0" customHeight="1" outlineLevel="1">
      <c r="A64" s="73" t="s">
        <v>109</v>
      </c>
      <c r="B64" s="148" t="s">
        <v>242</v>
      </c>
      <c r="C64" s="75" t="s">
        <v>38</v>
      </c>
      <c r="D64" s="76" t="s">
        <v>243</v>
      </c>
      <c r="E64" s="77" t="s">
        <v>146</v>
      </c>
      <c r="F64" s="78" t="s">
        <v>244</v>
      </c>
      <c r="G64" s="79" t="s">
        <v>105</v>
      </c>
      <c r="H64" s="80" t="s">
        <v>1222</v>
      </c>
      <c r="I64" s="97" t="b">
        <v>1</v>
      </c>
      <c r="J64" s="82" t="s">
        <v>7</v>
      </c>
      <c r="K64" s="83">
        <f t="shared" si="35"/>
        <v>1</v>
      </c>
      <c r="L64" s="84">
        <v>1.0E7</v>
      </c>
      <c r="M64" s="84">
        <f t="shared" si="36"/>
        <v>35000</v>
      </c>
      <c r="N64" s="84">
        <f t="shared" si="37"/>
        <v>1500</v>
      </c>
      <c r="O64" s="84">
        <f t="shared" si="38"/>
        <v>285.7142857</v>
      </c>
      <c r="P64" s="84">
        <f t="shared" si="39"/>
        <v>6666.666667</v>
      </c>
      <c r="Q64" s="84">
        <f t="shared" si="40"/>
        <v>10000000</v>
      </c>
      <c r="R64" s="75" t="s">
        <v>1223</v>
      </c>
      <c r="S64" s="85"/>
      <c r="T64" s="93" t="s">
        <v>364</v>
      </c>
      <c r="U64" s="149" t="s">
        <v>45</v>
      </c>
      <c r="V64" s="9"/>
      <c r="W64" s="9"/>
      <c r="X64" s="740"/>
      <c r="Y64" s="740"/>
      <c r="Z64" s="786" t="s">
        <v>1224</v>
      </c>
      <c r="AA64" s="742">
        <v>5000000.0</v>
      </c>
      <c r="AB64" s="743">
        <v>1.0</v>
      </c>
      <c r="AC64" s="744">
        <v>5000.0</v>
      </c>
      <c r="AD64" s="744">
        <v>30000.0</v>
      </c>
      <c r="AE64" s="744"/>
      <c r="AF64" s="745">
        <v>1500.0</v>
      </c>
      <c r="AG64" s="746"/>
      <c r="AH64" s="744"/>
      <c r="AI64" s="744"/>
      <c r="AJ64" s="744"/>
      <c r="AK64" s="747"/>
      <c r="AL64" s="747"/>
      <c r="AM64" s="747"/>
      <c r="AN64" s="748"/>
      <c r="AO64" s="9"/>
      <c r="AP64" s="9"/>
      <c r="AQ64" s="9"/>
      <c r="AR64" s="9"/>
    </row>
    <row r="65" ht="42.0" customHeight="1" outlineLevel="1">
      <c r="A65" s="72"/>
      <c r="B65" s="72"/>
      <c r="C65" s="72"/>
      <c r="D65" s="72"/>
      <c r="E65" s="72"/>
      <c r="F65" s="72"/>
      <c r="G65" s="72"/>
      <c r="H65" s="88" t="s">
        <v>1225</v>
      </c>
      <c r="I65" s="97" t="b">
        <v>1</v>
      </c>
      <c r="J65" s="82" t="s">
        <v>47</v>
      </c>
      <c r="K65" s="83">
        <f t="shared" si="35"/>
        <v>1</v>
      </c>
      <c r="L65" s="90">
        <v>2000000.0</v>
      </c>
      <c r="M65" s="84">
        <f t="shared" si="36"/>
        <v>0</v>
      </c>
      <c r="N65" s="84">
        <f t="shared" si="37"/>
        <v>0</v>
      </c>
      <c r="O65" s="84" t="str">
        <f t="shared" si="38"/>
        <v>-</v>
      </c>
      <c r="P65" s="84" t="str">
        <f t="shared" si="39"/>
        <v>-</v>
      </c>
      <c r="Q65" s="84">
        <f t="shared" si="40"/>
        <v>2000000</v>
      </c>
      <c r="R65" s="72"/>
      <c r="S65" s="72"/>
      <c r="T65" s="72"/>
      <c r="U65" s="72"/>
      <c r="V65" s="87"/>
      <c r="W65" s="87"/>
      <c r="X65" s="26"/>
      <c r="Y65" s="26"/>
      <c r="Z65" s="26"/>
      <c r="AA65" s="742">
        <v>0.0</v>
      </c>
      <c r="AB65" s="743"/>
      <c r="AC65" s="744"/>
      <c r="AD65" s="744"/>
      <c r="AE65" s="744"/>
      <c r="AF65" s="745"/>
      <c r="AG65" s="746"/>
      <c r="AH65" s="744"/>
      <c r="AI65" s="744"/>
      <c r="AJ65" s="744"/>
      <c r="AK65" s="747"/>
      <c r="AL65" s="747"/>
      <c r="AM65" s="747"/>
      <c r="AN65" s="748"/>
      <c r="AO65" s="9"/>
      <c r="AP65" s="9"/>
      <c r="AQ65" s="9"/>
      <c r="AR65" s="9"/>
    </row>
    <row r="66" ht="42.0" customHeight="1" outlineLevel="1">
      <c r="A66" s="73" t="s">
        <v>109</v>
      </c>
      <c r="B66" s="148" t="s">
        <v>248</v>
      </c>
      <c r="C66" s="75" t="s">
        <v>38</v>
      </c>
      <c r="D66" s="76" t="s">
        <v>249</v>
      </c>
      <c r="E66" s="77" t="s">
        <v>146</v>
      </c>
      <c r="F66" s="78" t="s">
        <v>250</v>
      </c>
      <c r="G66" s="79" t="s">
        <v>105</v>
      </c>
      <c r="H66" s="80" t="s">
        <v>1226</v>
      </c>
      <c r="I66" s="97" t="b">
        <v>1</v>
      </c>
      <c r="J66" s="82" t="s">
        <v>7</v>
      </c>
      <c r="K66" s="83">
        <f t="shared" si="35"/>
        <v>1</v>
      </c>
      <c r="L66" s="84">
        <v>7000000.0</v>
      </c>
      <c r="M66" s="84">
        <f t="shared" si="36"/>
        <v>25000</v>
      </c>
      <c r="N66" s="84">
        <f t="shared" si="37"/>
        <v>1500</v>
      </c>
      <c r="O66" s="84">
        <f t="shared" si="38"/>
        <v>280</v>
      </c>
      <c r="P66" s="84">
        <f t="shared" si="39"/>
        <v>4666.666667</v>
      </c>
      <c r="Q66" s="84">
        <f t="shared" si="40"/>
        <v>7000000</v>
      </c>
      <c r="R66" s="75" t="s">
        <v>1227</v>
      </c>
      <c r="S66" s="85"/>
      <c r="T66" s="93" t="s">
        <v>364</v>
      </c>
      <c r="U66" s="149" t="s">
        <v>45</v>
      </c>
      <c r="V66" s="9"/>
      <c r="W66" s="9"/>
      <c r="X66" s="740"/>
      <c r="Y66" s="740"/>
      <c r="Z66" s="786" t="s">
        <v>1228</v>
      </c>
      <c r="AA66" s="742">
        <v>3500000.0</v>
      </c>
      <c r="AB66" s="743">
        <v>1.0</v>
      </c>
      <c r="AC66" s="744">
        <v>2000.0</v>
      </c>
      <c r="AD66" s="744">
        <v>23000.0</v>
      </c>
      <c r="AE66" s="744">
        <v>500.0</v>
      </c>
      <c r="AF66" s="745">
        <v>1000.0</v>
      </c>
      <c r="AG66" s="746"/>
      <c r="AH66" s="744"/>
      <c r="AI66" s="744"/>
      <c r="AJ66" s="744"/>
      <c r="AK66" s="747"/>
      <c r="AL66" s="747"/>
      <c r="AM66" s="747"/>
      <c r="AN66" s="748"/>
      <c r="AO66" s="9"/>
      <c r="AP66" s="9"/>
      <c r="AQ66" s="9"/>
      <c r="AR66" s="9"/>
    </row>
    <row r="67" ht="42.0" customHeight="1" outlineLevel="1">
      <c r="A67" s="72"/>
      <c r="B67" s="72"/>
      <c r="C67" s="72"/>
      <c r="D67" s="72"/>
      <c r="E67" s="72"/>
      <c r="F67" s="72"/>
      <c r="G67" s="72"/>
      <c r="H67" s="88" t="s">
        <v>1229</v>
      </c>
      <c r="I67" s="97" t="b">
        <v>1</v>
      </c>
      <c r="J67" s="82" t="s">
        <v>47</v>
      </c>
      <c r="K67" s="83">
        <f t="shared" si="35"/>
        <v>1</v>
      </c>
      <c r="L67" s="84">
        <v>3000000.0</v>
      </c>
      <c r="M67" s="84">
        <f t="shared" si="36"/>
        <v>0</v>
      </c>
      <c r="N67" s="84">
        <f t="shared" si="37"/>
        <v>0</v>
      </c>
      <c r="O67" s="84" t="str">
        <f t="shared" si="38"/>
        <v>-</v>
      </c>
      <c r="P67" s="84" t="str">
        <f t="shared" si="39"/>
        <v>-</v>
      </c>
      <c r="Q67" s="84">
        <f t="shared" si="40"/>
        <v>3000000</v>
      </c>
      <c r="R67" s="72"/>
      <c r="S67" s="72"/>
      <c r="T67" s="72"/>
      <c r="U67" s="72"/>
      <c r="V67" s="9"/>
      <c r="W67" s="9"/>
      <c r="X67" s="26"/>
      <c r="Y67" s="26"/>
      <c r="Z67" s="26"/>
      <c r="AA67" s="742">
        <v>1500000.0</v>
      </c>
      <c r="AB67" s="743">
        <v>1.0</v>
      </c>
      <c r="AC67" s="744"/>
      <c r="AD67" s="744"/>
      <c r="AE67" s="744"/>
      <c r="AF67" s="745"/>
      <c r="AG67" s="746"/>
      <c r="AH67" s="744"/>
      <c r="AI67" s="744"/>
      <c r="AJ67" s="744"/>
      <c r="AK67" s="747"/>
      <c r="AL67" s="747"/>
      <c r="AM67" s="747"/>
      <c r="AN67" s="748"/>
      <c r="AO67" s="9"/>
      <c r="AP67" s="9"/>
      <c r="AQ67" s="9"/>
      <c r="AR67" s="9"/>
    </row>
    <row r="68" ht="42.0" customHeight="1" outlineLevel="1">
      <c r="A68" s="73" t="s">
        <v>109</v>
      </c>
      <c r="B68" s="148" t="s">
        <v>254</v>
      </c>
      <c r="C68" s="75" t="s">
        <v>38</v>
      </c>
      <c r="D68" s="76" t="s">
        <v>255</v>
      </c>
      <c r="E68" s="77" t="s">
        <v>146</v>
      </c>
      <c r="F68" s="78" t="s">
        <v>256</v>
      </c>
      <c r="G68" s="79" t="s">
        <v>105</v>
      </c>
      <c r="H68" s="80" t="s">
        <v>1230</v>
      </c>
      <c r="I68" s="97" t="b">
        <v>1</v>
      </c>
      <c r="J68" s="82" t="s">
        <v>7</v>
      </c>
      <c r="K68" s="83">
        <f t="shared" si="35"/>
        <v>1</v>
      </c>
      <c r="L68" s="84">
        <v>9000000.0</v>
      </c>
      <c r="M68" s="84">
        <f t="shared" si="36"/>
        <v>30000</v>
      </c>
      <c r="N68" s="84">
        <f t="shared" si="37"/>
        <v>1500</v>
      </c>
      <c r="O68" s="84">
        <f t="shared" si="38"/>
        <v>300</v>
      </c>
      <c r="P68" s="84">
        <f t="shared" si="39"/>
        <v>6000</v>
      </c>
      <c r="Q68" s="84">
        <f t="shared" si="40"/>
        <v>9000000</v>
      </c>
      <c r="R68" s="75" t="s">
        <v>1231</v>
      </c>
      <c r="S68" s="85"/>
      <c r="T68" s="93" t="s">
        <v>364</v>
      </c>
      <c r="U68" s="149" t="s">
        <v>45</v>
      </c>
      <c r="V68" s="9"/>
      <c r="W68" s="9"/>
      <c r="X68" s="740"/>
      <c r="Y68" s="740"/>
      <c r="Z68" s="786" t="s">
        <v>1232</v>
      </c>
      <c r="AA68" s="742">
        <v>5000000.0</v>
      </c>
      <c r="AB68" s="743">
        <v>0.7</v>
      </c>
      <c r="AC68" s="744">
        <v>5000.0</v>
      </c>
      <c r="AD68" s="744">
        <v>25000.0</v>
      </c>
      <c r="AE68" s="744">
        <v>200.0</v>
      </c>
      <c r="AF68" s="745">
        <v>1300.0</v>
      </c>
      <c r="AG68" s="746"/>
      <c r="AH68" s="744"/>
      <c r="AI68" s="744"/>
      <c r="AJ68" s="744"/>
      <c r="AK68" s="747"/>
      <c r="AL68" s="747"/>
      <c r="AM68" s="747"/>
      <c r="AN68" s="748"/>
      <c r="AO68" s="9"/>
      <c r="AP68" s="9"/>
      <c r="AQ68" s="9"/>
      <c r="AR68" s="9"/>
    </row>
    <row r="69" ht="42.0" customHeight="1" outlineLevel="1">
      <c r="A69" s="72"/>
      <c r="B69" s="72"/>
      <c r="C69" s="72"/>
      <c r="D69" s="72"/>
      <c r="E69" s="72"/>
      <c r="F69" s="72"/>
      <c r="G69" s="72"/>
      <c r="H69" s="88" t="s">
        <v>1233</v>
      </c>
      <c r="I69" s="97" t="b">
        <v>1</v>
      </c>
      <c r="J69" s="82" t="s">
        <v>47</v>
      </c>
      <c r="K69" s="83">
        <f t="shared" si="35"/>
        <v>1</v>
      </c>
      <c r="L69" s="84">
        <v>3000000.0</v>
      </c>
      <c r="M69" s="84">
        <f t="shared" si="36"/>
        <v>0</v>
      </c>
      <c r="N69" s="84">
        <f t="shared" si="37"/>
        <v>0</v>
      </c>
      <c r="O69" s="84" t="str">
        <f t="shared" si="38"/>
        <v>-</v>
      </c>
      <c r="P69" s="84" t="str">
        <f t="shared" si="39"/>
        <v>-</v>
      </c>
      <c r="Q69" s="84">
        <f t="shared" si="40"/>
        <v>3000000</v>
      </c>
      <c r="R69" s="72"/>
      <c r="S69" s="72"/>
      <c r="T69" s="72"/>
      <c r="U69" s="72"/>
      <c r="V69" s="9"/>
      <c r="W69" s="9"/>
      <c r="X69" s="26"/>
      <c r="Y69" s="26"/>
      <c r="Z69" s="26"/>
      <c r="AA69" s="742">
        <v>1500000.0</v>
      </c>
      <c r="AB69" s="743">
        <v>0.7</v>
      </c>
      <c r="AC69" s="744"/>
      <c r="AD69" s="744"/>
      <c r="AE69" s="744"/>
      <c r="AF69" s="745"/>
      <c r="AG69" s="746"/>
      <c r="AH69" s="744"/>
      <c r="AI69" s="744"/>
      <c r="AJ69" s="744"/>
      <c r="AK69" s="747"/>
      <c r="AL69" s="747"/>
      <c r="AM69" s="747"/>
      <c r="AN69" s="748"/>
      <c r="AO69" s="9"/>
      <c r="AP69" s="9"/>
      <c r="AQ69" s="9"/>
      <c r="AR69" s="9"/>
    </row>
    <row r="70" outlineLevel="1">
      <c r="A70" s="134" t="s">
        <v>270</v>
      </c>
      <c r="B70" s="135" t="s">
        <v>271</v>
      </c>
      <c r="C70" s="136"/>
      <c r="D70" s="137"/>
      <c r="E70" s="138"/>
      <c r="F70" s="139"/>
      <c r="G70" s="140"/>
      <c r="H70" s="136"/>
      <c r="I70" s="141" t="b">
        <v>0</v>
      </c>
      <c r="J70" s="142"/>
      <c r="K70" s="143"/>
      <c r="L70" s="144"/>
      <c r="M70" s="144"/>
      <c r="N70" s="144"/>
      <c r="O70" s="144"/>
      <c r="P70" s="144"/>
      <c r="Q70" s="144"/>
      <c r="R70" s="136"/>
      <c r="S70" s="145"/>
      <c r="T70" s="145"/>
      <c r="U70" s="138"/>
      <c r="V70" s="146"/>
      <c r="W70" s="146"/>
      <c r="X70" s="773"/>
      <c r="Y70" s="773"/>
      <c r="Z70" s="774"/>
      <c r="AA70" s="775"/>
      <c r="AB70" s="776"/>
      <c r="AC70" s="777"/>
      <c r="AD70" s="777"/>
      <c r="AE70" s="777"/>
      <c r="AF70" s="778"/>
      <c r="AG70" s="779"/>
      <c r="AH70" s="777"/>
      <c r="AI70" s="777"/>
      <c r="AJ70" s="777"/>
      <c r="AK70" s="780"/>
      <c r="AL70" s="780"/>
      <c r="AM70" s="780"/>
      <c r="AN70" s="781"/>
      <c r="AO70" s="146"/>
      <c r="AP70" s="146"/>
      <c r="AQ70" s="146"/>
      <c r="AR70" s="146"/>
    </row>
    <row r="71" ht="42.75" customHeight="1" outlineLevel="1">
      <c r="A71" s="73" t="s">
        <v>45</v>
      </c>
      <c r="B71" s="147" t="s">
        <v>272</v>
      </c>
      <c r="C71" s="75" t="s">
        <v>38</v>
      </c>
      <c r="D71" s="76" t="s">
        <v>273</v>
      </c>
      <c r="E71" s="77" t="s">
        <v>146</v>
      </c>
      <c r="F71" s="78" t="s">
        <v>274</v>
      </c>
      <c r="G71" s="79" t="s">
        <v>275</v>
      </c>
      <c r="H71" s="80" t="s">
        <v>1234</v>
      </c>
      <c r="I71" s="81" t="b">
        <v>1</v>
      </c>
      <c r="J71" s="82" t="s">
        <v>7</v>
      </c>
      <c r="K71" s="83">
        <f t="shared" ref="K71:K78" si="45">if(I71=True,1,if(I71=False,0))</f>
        <v>1</v>
      </c>
      <c r="L71" s="84">
        <v>5000000.0</v>
      </c>
      <c r="M71" s="84">
        <f t="shared" ref="M71:M78" si="46">(sum(AC71:AD71)+sum(AG71:AH71))*K71</f>
        <v>40000</v>
      </c>
      <c r="N71" s="84">
        <f t="shared" ref="N71:N78" si="47">(sum(AE71:AF71)+sum(AI71:AJ71))*K71</f>
        <v>2000</v>
      </c>
      <c r="O71" s="84">
        <f t="shared" ref="O71:O78" si="48">IFERROR(Q71/M71,"-")</f>
        <v>125</v>
      </c>
      <c r="P71" s="84">
        <f t="shared" ref="P71:P78" si="49">IFERROR(Q71/N71,"-")</f>
        <v>2500</v>
      </c>
      <c r="Q71" s="84">
        <f t="shared" ref="Q71:Q78" si="50">iferror(L71*K71,"-")</f>
        <v>5000000</v>
      </c>
      <c r="R71" s="75" t="s">
        <v>1235</v>
      </c>
      <c r="S71" s="85" t="s">
        <v>278</v>
      </c>
      <c r="T71" s="93" t="s">
        <v>362</v>
      </c>
      <c r="U71" s="86" t="s">
        <v>45</v>
      </c>
      <c r="V71" s="9"/>
      <c r="W71" s="9"/>
      <c r="X71" s="740"/>
      <c r="Y71" s="740"/>
      <c r="Z71" s="741" t="s">
        <v>1236</v>
      </c>
      <c r="AA71" s="742">
        <f>3000000/0.9</f>
        <v>3333333.333</v>
      </c>
      <c r="AB71" s="743">
        <v>0.5</v>
      </c>
      <c r="AC71" s="744">
        <v>20000.0</v>
      </c>
      <c r="AD71" s="744">
        <v>20000.0</v>
      </c>
      <c r="AE71" s="744">
        <v>1000.0</v>
      </c>
      <c r="AF71" s="745">
        <v>1000.0</v>
      </c>
      <c r="AG71" s="746"/>
      <c r="AH71" s="744"/>
      <c r="AI71" s="744"/>
      <c r="AJ71" s="744"/>
      <c r="AK71" s="747">
        <f t="shared" ref="AK71:AK78" si="51">(AD71*2+AF71*50+AH71*10+AJ71*50)*K71</f>
        <v>90000</v>
      </c>
      <c r="AL71" s="747">
        <f t="shared" ref="AL71:AL78" si="52">sum(AA71,AK71)*K71</f>
        <v>3423333.333</v>
      </c>
      <c r="AM71" s="747">
        <f t="shared" ref="AM71:AM78" si="53">iferror(Q71-AL71,"-")</f>
        <v>1576666.667</v>
      </c>
      <c r="AN71" s="748">
        <f t="shared" ref="AN71:AN78" si="54">iferror(AM71/Q71,"-")</f>
        <v>0.3153333333</v>
      </c>
      <c r="AO71" s="9"/>
      <c r="AP71" s="9"/>
      <c r="AQ71" s="9"/>
      <c r="AR71" s="9"/>
    </row>
    <row r="72" ht="42.75" customHeight="1" outlineLevel="1">
      <c r="A72" s="72"/>
      <c r="B72" s="72"/>
      <c r="C72" s="72"/>
      <c r="D72" s="72"/>
      <c r="E72" s="72"/>
      <c r="F72" s="72"/>
      <c r="G72" s="72"/>
      <c r="H72" s="88" t="s">
        <v>1237</v>
      </c>
      <c r="I72" s="81" t="b">
        <v>1</v>
      </c>
      <c r="J72" s="82" t="s">
        <v>47</v>
      </c>
      <c r="K72" s="83">
        <f t="shared" si="45"/>
        <v>1</v>
      </c>
      <c r="L72" s="84">
        <v>2000000.0</v>
      </c>
      <c r="M72" s="84">
        <f t="shared" si="46"/>
        <v>0</v>
      </c>
      <c r="N72" s="84">
        <f t="shared" si="47"/>
        <v>0</v>
      </c>
      <c r="O72" s="84" t="str">
        <f t="shared" si="48"/>
        <v>-</v>
      </c>
      <c r="P72" s="84" t="str">
        <f t="shared" si="49"/>
        <v>-</v>
      </c>
      <c r="Q72" s="84">
        <f t="shared" si="50"/>
        <v>2000000</v>
      </c>
      <c r="R72" s="68"/>
      <c r="S72" s="72"/>
      <c r="T72" s="72"/>
      <c r="U72" s="72"/>
      <c r="V72" s="9"/>
      <c r="W72" s="9"/>
      <c r="X72" s="26"/>
      <c r="Y72" s="26"/>
      <c r="Z72" s="741" t="s">
        <v>1238</v>
      </c>
      <c r="AA72" s="742"/>
      <c r="AB72" s="743">
        <v>2.0</v>
      </c>
      <c r="AC72" s="744"/>
      <c r="AD72" s="744"/>
      <c r="AE72" s="744"/>
      <c r="AF72" s="745"/>
      <c r="AG72" s="746"/>
      <c r="AH72" s="744"/>
      <c r="AI72" s="744"/>
      <c r="AJ72" s="744"/>
      <c r="AK72" s="747">
        <f t="shared" si="51"/>
        <v>0</v>
      </c>
      <c r="AL72" s="747">
        <f t="shared" si="52"/>
        <v>0</v>
      </c>
      <c r="AM72" s="747">
        <f t="shared" si="53"/>
        <v>2000000</v>
      </c>
      <c r="AN72" s="748">
        <f t="shared" si="54"/>
        <v>1</v>
      </c>
      <c r="AO72" s="9"/>
      <c r="AP72" s="9"/>
      <c r="AQ72" s="9"/>
      <c r="AR72" s="9"/>
    </row>
    <row r="73" ht="42.75" customHeight="1" outlineLevel="1">
      <c r="A73" s="73" t="s">
        <v>101</v>
      </c>
      <c r="B73" s="151" t="s">
        <v>291</v>
      </c>
      <c r="C73" s="75" t="s">
        <v>38</v>
      </c>
      <c r="D73" s="155" t="s">
        <v>292</v>
      </c>
      <c r="E73" s="77" t="s">
        <v>146</v>
      </c>
      <c r="F73" s="78" t="s">
        <v>293</v>
      </c>
      <c r="G73" s="79" t="s">
        <v>41</v>
      </c>
      <c r="H73" s="80" t="s">
        <v>1239</v>
      </c>
      <c r="I73" s="81" t="b">
        <v>1</v>
      </c>
      <c r="J73" s="82" t="s">
        <v>7</v>
      </c>
      <c r="K73" s="83">
        <f t="shared" si="45"/>
        <v>1</v>
      </c>
      <c r="L73" s="84">
        <v>5000000.0</v>
      </c>
      <c r="M73" s="84">
        <f t="shared" si="46"/>
        <v>20000</v>
      </c>
      <c r="N73" s="84">
        <f t="shared" si="47"/>
        <v>1500</v>
      </c>
      <c r="O73" s="84">
        <f t="shared" si="48"/>
        <v>250</v>
      </c>
      <c r="P73" s="84">
        <f t="shared" si="49"/>
        <v>3333.333333</v>
      </c>
      <c r="Q73" s="84">
        <f t="shared" si="50"/>
        <v>5000000</v>
      </c>
      <c r="R73" s="68"/>
      <c r="S73" s="85"/>
      <c r="T73" s="93" t="s">
        <v>362</v>
      </c>
      <c r="U73" s="149" t="s">
        <v>45</v>
      </c>
      <c r="V73" s="9"/>
      <c r="W73" s="9"/>
      <c r="X73" s="740"/>
      <c r="Y73" s="740"/>
      <c r="Z73" s="741" t="s">
        <v>1240</v>
      </c>
      <c r="AA73" s="742">
        <f>3000000/0.9</f>
        <v>3333333.333</v>
      </c>
      <c r="AB73" s="743">
        <v>0.5</v>
      </c>
      <c r="AC73" s="744">
        <v>10000.0</v>
      </c>
      <c r="AD73" s="744">
        <v>10000.0</v>
      </c>
      <c r="AE73" s="744">
        <v>500.0</v>
      </c>
      <c r="AF73" s="745">
        <v>1000.0</v>
      </c>
      <c r="AG73" s="746"/>
      <c r="AH73" s="744"/>
      <c r="AI73" s="744"/>
      <c r="AJ73" s="744"/>
      <c r="AK73" s="747">
        <f t="shared" si="51"/>
        <v>70000</v>
      </c>
      <c r="AL73" s="747">
        <f t="shared" si="52"/>
        <v>3403333.333</v>
      </c>
      <c r="AM73" s="747">
        <f t="shared" si="53"/>
        <v>1596666.667</v>
      </c>
      <c r="AN73" s="748">
        <f t="shared" si="54"/>
        <v>0.3193333333</v>
      </c>
      <c r="AO73" s="9"/>
      <c r="AP73" s="9"/>
      <c r="AQ73" s="9"/>
      <c r="AR73" s="9"/>
    </row>
    <row r="74" ht="42.75" customHeight="1" outlineLevel="1">
      <c r="A74" s="72"/>
      <c r="B74" s="72"/>
      <c r="C74" s="72"/>
      <c r="D74" s="72"/>
      <c r="E74" s="72"/>
      <c r="F74" s="72"/>
      <c r="G74" s="72"/>
      <c r="H74" s="88" t="s">
        <v>1241</v>
      </c>
      <c r="I74" s="81" t="b">
        <v>1</v>
      </c>
      <c r="J74" s="82" t="s">
        <v>47</v>
      </c>
      <c r="K74" s="83">
        <f t="shared" si="45"/>
        <v>1</v>
      </c>
      <c r="L74" s="84">
        <v>2000000.0</v>
      </c>
      <c r="M74" s="84">
        <f t="shared" si="46"/>
        <v>0</v>
      </c>
      <c r="N74" s="84">
        <f t="shared" si="47"/>
        <v>0</v>
      </c>
      <c r="O74" s="84" t="str">
        <f t="shared" si="48"/>
        <v>-</v>
      </c>
      <c r="P74" s="84" t="str">
        <f t="shared" si="49"/>
        <v>-</v>
      </c>
      <c r="Q74" s="84">
        <f t="shared" si="50"/>
        <v>2000000</v>
      </c>
      <c r="R74" s="72"/>
      <c r="S74" s="72"/>
      <c r="T74" s="72"/>
      <c r="U74" s="72"/>
      <c r="V74" s="87"/>
      <c r="W74" s="87"/>
      <c r="X74" s="26"/>
      <c r="Y74" s="26"/>
      <c r="Z74" s="741" t="s">
        <v>1242</v>
      </c>
      <c r="AA74" s="742"/>
      <c r="AB74" s="743">
        <v>2.0</v>
      </c>
      <c r="AC74" s="744"/>
      <c r="AD74" s="744"/>
      <c r="AE74" s="744"/>
      <c r="AF74" s="745"/>
      <c r="AG74" s="746"/>
      <c r="AH74" s="744"/>
      <c r="AI74" s="744"/>
      <c r="AJ74" s="744"/>
      <c r="AK74" s="747">
        <f t="shared" si="51"/>
        <v>0</v>
      </c>
      <c r="AL74" s="747">
        <f t="shared" si="52"/>
        <v>0</v>
      </c>
      <c r="AM74" s="747">
        <f t="shared" si="53"/>
        <v>2000000</v>
      </c>
      <c r="AN74" s="748">
        <f t="shared" si="54"/>
        <v>1</v>
      </c>
      <c r="AO74" s="9"/>
      <c r="AP74" s="9"/>
      <c r="AQ74" s="9"/>
      <c r="AR74" s="9"/>
    </row>
    <row r="75" ht="42.75" customHeight="1" outlineLevel="1">
      <c r="A75" s="73" t="s">
        <v>73</v>
      </c>
      <c r="B75" s="91" t="s">
        <v>280</v>
      </c>
      <c r="C75" s="75" t="s">
        <v>38</v>
      </c>
      <c r="D75" s="76">
        <v>13600.0</v>
      </c>
      <c r="E75" s="77" t="s">
        <v>146</v>
      </c>
      <c r="F75" s="78" t="s">
        <v>281</v>
      </c>
      <c r="G75" s="79" t="s">
        <v>41</v>
      </c>
      <c r="H75" s="80" t="s">
        <v>1243</v>
      </c>
      <c r="I75" s="81" t="b">
        <v>1</v>
      </c>
      <c r="J75" s="82" t="s">
        <v>7</v>
      </c>
      <c r="K75" s="83">
        <f t="shared" si="45"/>
        <v>1</v>
      </c>
      <c r="L75" s="84">
        <v>5000000.0</v>
      </c>
      <c r="M75" s="84">
        <f t="shared" si="46"/>
        <v>25000</v>
      </c>
      <c r="N75" s="84">
        <f t="shared" si="47"/>
        <v>1500</v>
      </c>
      <c r="O75" s="84">
        <f t="shared" si="48"/>
        <v>200</v>
      </c>
      <c r="P75" s="84">
        <f t="shared" si="49"/>
        <v>3333.333333</v>
      </c>
      <c r="Q75" s="84">
        <f t="shared" si="50"/>
        <v>5000000</v>
      </c>
      <c r="S75" s="85" t="s">
        <v>283</v>
      </c>
      <c r="T75" s="93" t="s">
        <v>79</v>
      </c>
      <c r="U75" s="149" t="s">
        <v>45</v>
      </c>
      <c r="V75" s="9"/>
      <c r="W75" s="9"/>
      <c r="X75" s="740"/>
      <c r="Y75" s="740"/>
      <c r="Z75" s="741" t="s">
        <v>1244</v>
      </c>
      <c r="AA75" s="742">
        <f>2800000/0.9</f>
        <v>3111111.111</v>
      </c>
      <c r="AB75" s="743">
        <v>0.5</v>
      </c>
      <c r="AC75" s="744">
        <v>10000.0</v>
      </c>
      <c r="AD75" s="744">
        <v>15000.0</v>
      </c>
      <c r="AE75" s="744">
        <v>500.0</v>
      </c>
      <c r="AF75" s="745">
        <v>1000.0</v>
      </c>
      <c r="AG75" s="746"/>
      <c r="AH75" s="744"/>
      <c r="AI75" s="744"/>
      <c r="AJ75" s="744"/>
      <c r="AK75" s="747">
        <f t="shared" si="51"/>
        <v>80000</v>
      </c>
      <c r="AL75" s="747">
        <f t="shared" si="52"/>
        <v>3191111.111</v>
      </c>
      <c r="AM75" s="747">
        <f t="shared" si="53"/>
        <v>1808888.889</v>
      </c>
      <c r="AN75" s="748">
        <f t="shared" si="54"/>
        <v>0.3617777778</v>
      </c>
      <c r="AO75" s="9"/>
      <c r="AP75" s="9"/>
      <c r="AQ75" s="9"/>
      <c r="AR75" s="9"/>
    </row>
    <row r="76" ht="42.75" customHeight="1" outlineLevel="1">
      <c r="A76" s="72"/>
      <c r="B76" s="72"/>
      <c r="C76" s="72"/>
      <c r="D76" s="72"/>
      <c r="E76" s="72"/>
      <c r="F76" s="72"/>
      <c r="G76" s="72"/>
      <c r="H76" s="88" t="s">
        <v>1245</v>
      </c>
      <c r="I76" s="81" t="b">
        <v>1</v>
      </c>
      <c r="J76" s="82" t="s">
        <v>47</v>
      </c>
      <c r="K76" s="83">
        <f t="shared" si="45"/>
        <v>1</v>
      </c>
      <c r="L76" s="84">
        <v>2000000.0</v>
      </c>
      <c r="M76" s="84">
        <f t="shared" si="46"/>
        <v>0</v>
      </c>
      <c r="N76" s="84">
        <f t="shared" si="47"/>
        <v>0</v>
      </c>
      <c r="O76" s="84" t="str">
        <f t="shared" si="48"/>
        <v>-</v>
      </c>
      <c r="P76" s="84" t="str">
        <f t="shared" si="49"/>
        <v>-</v>
      </c>
      <c r="Q76" s="84">
        <f t="shared" si="50"/>
        <v>2000000</v>
      </c>
      <c r="S76" s="72"/>
      <c r="T76" s="72"/>
      <c r="U76" s="72"/>
      <c r="V76" s="9"/>
      <c r="W76" s="9"/>
      <c r="X76" s="26"/>
      <c r="Y76" s="26"/>
      <c r="Z76" s="741" t="s">
        <v>1246</v>
      </c>
      <c r="AA76" s="742">
        <f>500000/0.9</f>
        <v>555555.5556</v>
      </c>
      <c r="AB76" s="743">
        <v>2.0</v>
      </c>
      <c r="AC76" s="744"/>
      <c r="AD76" s="744"/>
      <c r="AE76" s="744"/>
      <c r="AF76" s="745"/>
      <c r="AG76" s="746"/>
      <c r="AH76" s="744"/>
      <c r="AI76" s="744"/>
      <c r="AJ76" s="744"/>
      <c r="AK76" s="747">
        <f t="shared" si="51"/>
        <v>0</v>
      </c>
      <c r="AL76" s="747">
        <f t="shared" si="52"/>
        <v>555555.5556</v>
      </c>
      <c r="AM76" s="747">
        <f t="shared" si="53"/>
        <v>1444444.444</v>
      </c>
      <c r="AN76" s="748">
        <f t="shared" si="54"/>
        <v>0.7222222222</v>
      </c>
      <c r="AO76" s="9"/>
      <c r="AP76" s="9"/>
      <c r="AQ76" s="9"/>
      <c r="AR76" s="9"/>
    </row>
    <row r="77" ht="42.75" customHeight="1" outlineLevel="1">
      <c r="A77" s="73" t="s">
        <v>73</v>
      </c>
      <c r="B77" s="96" t="s">
        <v>285</v>
      </c>
      <c r="C77" s="75" t="s">
        <v>38</v>
      </c>
      <c r="D77" s="76" t="s">
        <v>286</v>
      </c>
      <c r="E77" s="77" t="s">
        <v>146</v>
      </c>
      <c r="F77" s="78" t="s">
        <v>287</v>
      </c>
      <c r="G77" s="79" t="s">
        <v>275</v>
      </c>
      <c r="H77" s="80" t="s">
        <v>1247</v>
      </c>
      <c r="I77" s="81" t="b">
        <v>1</v>
      </c>
      <c r="J77" s="82" t="s">
        <v>7</v>
      </c>
      <c r="K77" s="83">
        <f t="shared" si="45"/>
        <v>1</v>
      </c>
      <c r="L77" s="84">
        <v>5000000.0</v>
      </c>
      <c r="M77" s="84">
        <f t="shared" si="46"/>
        <v>20000</v>
      </c>
      <c r="N77" s="84">
        <f t="shared" si="47"/>
        <v>1000</v>
      </c>
      <c r="O77" s="84">
        <f t="shared" si="48"/>
        <v>250</v>
      </c>
      <c r="P77" s="84">
        <f t="shared" si="49"/>
        <v>5000</v>
      </c>
      <c r="Q77" s="84">
        <f t="shared" si="50"/>
        <v>5000000</v>
      </c>
      <c r="S77" s="85" t="s">
        <v>289</v>
      </c>
      <c r="T77" s="93" t="s">
        <v>79</v>
      </c>
      <c r="U77" s="149" t="s">
        <v>45</v>
      </c>
      <c r="V77" s="9"/>
      <c r="W77" s="9"/>
      <c r="X77" s="740"/>
      <c r="Y77" s="740"/>
      <c r="Z77" s="741" t="s">
        <v>1248</v>
      </c>
      <c r="AA77" s="742">
        <f>3000000/0.9</f>
        <v>3333333.333</v>
      </c>
      <c r="AB77" s="743">
        <v>0.5</v>
      </c>
      <c r="AC77" s="744">
        <v>5000.0</v>
      </c>
      <c r="AD77" s="744">
        <v>15000.0</v>
      </c>
      <c r="AE77" s="744">
        <v>500.0</v>
      </c>
      <c r="AF77" s="745">
        <v>500.0</v>
      </c>
      <c r="AG77" s="746"/>
      <c r="AH77" s="744"/>
      <c r="AI77" s="744"/>
      <c r="AJ77" s="744"/>
      <c r="AK77" s="747">
        <f t="shared" si="51"/>
        <v>55000</v>
      </c>
      <c r="AL77" s="747">
        <f t="shared" si="52"/>
        <v>3388333.333</v>
      </c>
      <c r="AM77" s="747">
        <f t="shared" si="53"/>
        <v>1611666.667</v>
      </c>
      <c r="AN77" s="748">
        <f t="shared" si="54"/>
        <v>0.3223333333</v>
      </c>
      <c r="AO77" s="9"/>
      <c r="AP77" s="9"/>
      <c r="AQ77" s="9"/>
      <c r="AR77" s="9"/>
    </row>
    <row r="78" ht="42.75" customHeight="1" outlineLevel="1">
      <c r="A78" s="72"/>
      <c r="B78" s="72"/>
      <c r="C78" s="72"/>
      <c r="D78" s="72"/>
      <c r="E78" s="72"/>
      <c r="F78" s="72"/>
      <c r="G78" s="72"/>
      <c r="H78" s="88" t="s">
        <v>1249</v>
      </c>
      <c r="I78" s="81" t="b">
        <v>1</v>
      </c>
      <c r="J78" s="82" t="s">
        <v>47</v>
      </c>
      <c r="K78" s="83">
        <f t="shared" si="45"/>
        <v>1</v>
      </c>
      <c r="L78" s="84">
        <v>3000000.0</v>
      </c>
      <c r="M78" s="84">
        <f t="shared" si="46"/>
        <v>0</v>
      </c>
      <c r="N78" s="84">
        <f t="shared" si="47"/>
        <v>0</v>
      </c>
      <c r="O78" s="84" t="str">
        <f t="shared" si="48"/>
        <v>-</v>
      </c>
      <c r="P78" s="84" t="str">
        <f t="shared" si="49"/>
        <v>-</v>
      </c>
      <c r="Q78" s="84">
        <f t="shared" si="50"/>
        <v>3000000</v>
      </c>
      <c r="S78" s="72"/>
      <c r="T78" s="72"/>
      <c r="U78" s="72"/>
      <c r="V78" s="9"/>
      <c r="W78" s="9"/>
      <c r="X78" s="26"/>
      <c r="Y78" s="26"/>
      <c r="Z78" s="741" t="s">
        <v>1250</v>
      </c>
      <c r="AA78" s="742">
        <f>500000/0.9</f>
        <v>555555.5556</v>
      </c>
      <c r="AB78" s="743">
        <v>2.0</v>
      </c>
      <c r="AC78" s="744"/>
      <c r="AD78" s="744"/>
      <c r="AE78" s="744"/>
      <c r="AF78" s="745"/>
      <c r="AG78" s="746"/>
      <c r="AH78" s="744"/>
      <c r="AI78" s="744"/>
      <c r="AJ78" s="744"/>
      <c r="AK78" s="747">
        <f t="shared" si="51"/>
        <v>0</v>
      </c>
      <c r="AL78" s="747">
        <f t="shared" si="52"/>
        <v>555555.5556</v>
      </c>
      <c r="AM78" s="747">
        <f t="shared" si="53"/>
        <v>2444444.444</v>
      </c>
      <c r="AN78" s="748">
        <f t="shared" si="54"/>
        <v>0.8148148148</v>
      </c>
      <c r="AO78" s="9"/>
      <c r="AP78" s="9"/>
      <c r="AQ78" s="9"/>
      <c r="AR78" s="9"/>
    </row>
    <row r="79" ht="42.75" customHeight="1" outlineLevel="1">
      <c r="A79" s="134" t="s">
        <v>296</v>
      </c>
      <c r="B79" s="135" t="s">
        <v>297</v>
      </c>
      <c r="C79" s="136"/>
      <c r="D79" s="137"/>
      <c r="E79" s="138"/>
      <c r="F79" s="139"/>
      <c r="G79" s="140"/>
      <c r="H79" s="136"/>
      <c r="I79" s="141" t="b">
        <v>0</v>
      </c>
      <c r="J79" s="142"/>
      <c r="K79" s="143"/>
      <c r="L79" s="144"/>
      <c r="M79" s="144"/>
      <c r="N79" s="144"/>
      <c r="O79" s="144"/>
      <c r="P79" s="144"/>
      <c r="Q79" s="144"/>
      <c r="R79" s="136"/>
      <c r="S79" s="145"/>
      <c r="T79" s="145"/>
      <c r="U79" s="138"/>
      <c r="V79" s="146"/>
      <c r="W79" s="146"/>
      <c r="X79" s="773"/>
      <c r="Y79" s="773"/>
      <c r="Z79" s="774"/>
      <c r="AA79" s="775"/>
      <c r="AB79" s="776"/>
      <c r="AC79" s="777"/>
      <c r="AD79" s="777"/>
      <c r="AE79" s="777"/>
      <c r="AF79" s="778"/>
      <c r="AG79" s="779"/>
      <c r="AH79" s="777"/>
      <c r="AI79" s="777"/>
      <c r="AJ79" s="777"/>
      <c r="AK79" s="780"/>
      <c r="AL79" s="780"/>
      <c r="AM79" s="780"/>
      <c r="AN79" s="781"/>
      <c r="AO79" s="146"/>
      <c r="AP79" s="146"/>
      <c r="AQ79" s="146"/>
      <c r="AR79" s="146"/>
    </row>
    <row r="80" ht="42.75" customHeight="1" outlineLevel="1">
      <c r="A80" s="73" t="s">
        <v>45</v>
      </c>
      <c r="B80" s="147" t="s">
        <v>298</v>
      </c>
      <c r="C80" s="75" t="s">
        <v>38</v>
      </c>
      <c r="D80" s="76">
        <v>270000.0</v>
      </c>
      <c r="E80" s="77" t="s">
        <v>40</v>
      </c>
      <c r="F80" s="78" t="s">
        <v>299</v>
      </c>
      <c r="G80" s="79" t="s">
        <v>300</v>
      </c>
      <c r="H80" s="80" t="s">
        <v>1251</v>
      </c>
      <c r="I80" s="81" t="b">
        <v>1</v>
      </c>
      <c r="J80" s="82" t="s">
        <v>7</v>
      </c>
      <c r="K80" s="83">
        <f t="shared" ref="K80:K81" si="55">if(I80=True,1,if(I80=False,0))</f>
        <v>1</v>
      </c>
      <c r="L80" s="84">
        <v>6000000.0</v>
      </c>
      <c r="M80" s="84">
        <f>(sum(AC80:AD80)+sum(AG80:AH80))*K80</f>
        <v>30000</v>
      </c>
      <c r="N80" s="84">
        <f>(sum(AE80:AF80)+sum(AI80:AJ80))*K80</f>
        <v>2000</v>
      </c>
      <c r="O80" s="84">
        <f>IFERROR(Q80/M80,"-")</f>
        <v>200</v>
      </c>
      <c r="P80" s="84">
        <f>IFERROR(Q80/N80,"-")</f>
        <v>3000</v>
      </c>
      <c r="Q80" s="84">
        <f t="shared" ref="Q80:Q81" si="56">iferror(L80*K80,"-")</f>
        <v>6000000</v>
      </c>
      <c r="R80" s="75" t="s">
        <v>1252</v>
      </c>
      <c r="S80" s="85" t="s">
        <v>303</v>
      </c>
      <c r="T80" s="93" t="s">
        <v>362</v>
      </c>
      <c r="U80" s="86" t="s">
        <v>45</v>
      </c>
      <c r="V80" s="9"/>
      <c r="W80" s="9"/>
      <c r="X80" s="740"/>
      <c r="Y80" s="740"/>
      <c r="Z80" s="741" t="s">
        <v>1253</v>
      </c>
      <c r="AA80" s="742">
        <f>3500000/0.9</f>
        <v>3888888.889</v>
      </c>
      <c r="AB80" s="743">
        <v>0.5</v>
      </c>
      <c r="AC80" s="744">
        <v>20000.0</v>
      </c>
      <c r="AD80" s="744">
        <v>10000.0</v>
      </c>
      <c r="AE80" s="744">
        <v>1000.0</v>
      </c>
      <c r="AF80" s="745">
        <v>1000.0</v>
      </c>
      <c r="AG80" s="746"/>
      <c r="AH80" s="744"/>
      <c r="AI80" s="744"/>
      <c r="AJ80" s="744"/>
      <c r="AK80" s="747">
        <f t="shared" ref="AK80:AK81" si="57">(AD80*2+AF80*50+AH80*10+AJ80*50)*K80</f>
        <v>70000</v>
      </c>
      <c r="AL80" s="747">
        <f t="shared" ref="AL80:AL81" si="58">sum(AA80,AK80)*K80</f>
        <v>3958888.889</v>
      </c>
      <c r="AM80" s="747">
        <f t="shared" ref="AM80:AM81" si="59">iferror(Q80-AL80,"-")</f>
        <v>2041111.111</v>
      </c>
      <c r="AN80" s="748">
        <f t="shared" ref="AN80:AN81" si="60">iferror(AM80/Q80,"-")</f>
        <v>0.3401851852</v>
      </c>
      <c r="AO80" s="9"/>
      <c r="AP80" s="9"/>
      <c r="AQ80" s="9"/>
      <c r="AR80" s="9"/>
    </row>
    <row r="81" ht="42.75" customHeight="1" outlineLevel="1">
      <c r="A81" s="72"/>
      <c r="B81" s="72"/>
      <c r="C81" s="72"/>
      <c r="D81" s="72"/>
      <c r="E81" s="72"/>
      <c r="F81" s="72"/>
      <c r="G81" s="72"/>
      <c r="H81" s="88" t="s">
        <v>1254</v>
      </c>
      <c r="I81" s="81" t="b">
        <v>1</v>
      </c>
      <c r="J81" s="82" t="s">
        <v>47</v>
      </c>
      <c r="K81" s="83">
        <f t="shared" si="55"/>
        <v>1</v>
      </c>
      <c r="L81" s="84">
        <v>2000000.0</v>
      </c>
      <c r="M81" s="84">
        <v>0.0</v>
      </c>
      <c r="N81" s="84">
        <v>0.0</v>
      </c>
      <c r="O81" s="84" t="s">
        <v>81</v>
      </c>
      <c r="P81" s="84" t="s">
        <v>81</v>
      </c>
      <c r="Q81" s="84">
        <f t="shared" si="56"/>
        <v>2000000</v>
      </c>
      <c r="R81" s="72"/>
      <c r="S81" s="72"/>
      <c r="T81" s="72"/>
      <c r="U81" s="72"/>
      <c r="V81" s="9"/>
      <c r="W81" s="9"/>
      <c r="X81" s="26"/>
      <c r="Y81" s="26"/>
      <c r="Z81" s="741" t="s">
        <v>1255</v>
      </c>
      <c r="AA81" s="742">
        <f>500000/0.9</f>
        <v>555555.5556</v>
      </c>
      <c r="AB81" s="743">
        <v>2.0</v>
      </c>
      <c r="AC81" s="744"/>
      <c r="AD81" s="744"/>
      <c r="AE81" s="744"/>
      <c r="AF81" s="745"/>
      <c r="AG81" s="746"/>
      <c r="AH81" s="744"/>
      <c r="AI81" s="744"/>
      <c r="AJ81" s="744"/>
      <c r="AK81" s="747">
        <f t="shared" si="57"/>
        <v>0</v>
      </c>
      <c r="AL81" s="747">
        <f t="shared" si="58"/>
        <v>555555.5556</v>
      </c>
      <c r="AM81" s="747">
        <f t="shared" si="59"/>
        <v>1444444.444</v>
      </c>
      <c r="AN81" s="748">
        <f t="shared" si="60"/>
        <v>0.7222222222</v>
      </c>
      <c r="AO81" s="9"/>
      <c r="AP81" s="9"/>
      <c r="AQ81" s="9"/>
      <c r="AR81" s="9"/>
    </row>
    <row r="82" ht="34.5" customHeight="1">
      <c r="A82" s="156" t="s">
        <v>318</v>
      </c>
      <c r="B82" s="56"/>
      <c r="C82" s="61"/>
      <c r="D82" s="61"/>
      <c r="E82" s="61"/>
      <c r="F82" s="61"/>
      <c r="G82" s="61"/>
      <c r="H82" s="61"/>
      <c r="I82" s="62"/>
      <c r="J82" s="63" t="s">
        <v>10</v>
      </c>
      <c r="K82" s="64">
        <f>SUMIFS(K84:K93,J84:J93,"Photo Post")</f>
        <v>5</v>
      </c>
      <c r="L82" s="65"/>
      <c r="M82" s="66">
        <f t="shared" ref="M82:N82" si="61">sum(M84:M93)</f>
        <v>320000</v>
      </c>
      <c r="N82" s="66">
        <f t="shared" si="61"/>
        <v>23500</v>
      </c>
      <c r="O82" s="65"/>
      <c r="P82" s="65"/>
      <c r="Q82" s="66">
        <f>sum(Q84:Q93)</f>
        <v>216000000</v>
      </c>
      <c r="R82" s="133"/>
      <c r="S82" s="133"/>
      <c r="T82" s="133"/>
      <c r="U82" s="133"/>
      <c r="V82" s="69"/>
      <c r="W82" s="69"/>
      <c r="X82" s="717"/>
      <c r="Y82" s="717"/>
      <c r="Z82" s="9"/>
      <c r="AA82" s="719"/>
      <c r="AB82" s="720"/>
      <c r="AC82" s="721"/>
      <c r="AD82" s="721"/>
      <c r="AE82" s="721"/>
      <c r="AF82" s="722"/>
      <c r="AG82" s="723"/>
      <c r="AH82" s="721"/>
      <c r="AI82" s="721"/>
      <c r="AJ82" s="721"/>
      <c r="AK82" s="724"/>
      <c r="AL82" s="724"/>
      <c r="AM82" s="724"/>
      <c r="AN82" s="725"/>
      <c r="AO82" s="9"/>
      <c r="AP82" s="9"/>
      <c r="AQ82" s="9"/>
      <c r="AR82" s="9"/>
    </row>
    <row r="83" ht="34.5" customHeight="1">
      <c r="A83" s="70"/>
      <c r="B83" s="71"/>
      <c r="C83" s="61"/>
      <c r="D83" s="61"/>
      <c r="E83" s="61"/>
      <c r="F83" s="61"/>
      <c r="G83" s="61"/>
      <c r="H83" s="61"/>
      <c r="I83" s="62"/>
      <c r="J83" s="63" t="s">
        <v>7</v>
      </c>
      <c r="K83" s="64">
        <f>SUMIFS(K84:K93,J84:J93,"Video Post")</f>
        <v>5</v>
      </c>
      <c r="L83" s="65"/>
      <c r="M83" s="72"/>
      <c r="N83" s="72"/>
      <c r="O83" s="65"/>
      <c r="P83" s="65"/>
      <c r="Q83" s="72"/>
      <c r="R83" s="133"/>
      <c r="S83" s="133"/>
      <c r="T83" s="133"/>
      <c r="U83" s="133"/>
      <c r="V83" s="69"/>
      <c r="W83" s="69"/>
      <c r="X83" s="717"/>
      <c r="Y83" s="717"/>
      <c r="Z83" s="718"/>
      <c r="AA83" s="719"/>
      <c r="AB83" s="720"/>
      <c r="AC83" s="721"/>
      <c r="AD83" s="721"/>
      <c r="AE83" s="721"/>
      <c r="AF83" s="722"/>
      <c r="AG83" s="723"/>
      <c r="AH83" s="721"/>
      <c r="AI83" s="721"/>
      <c r="AJ83" s="721"/>
      <c r="AK83" s="724"/>
      <c r="AL83" s="724"/>
      <c r="AM83" s="724"/>
      <c r="AN83" s="725"/>
      <c r="AO83" s="9"/>
      <c r="AP83" s="9"/>
      <c r="AQ83" s="9"/>
      <c r="AR83" s="9"/>
    </row>
    <row r="84" ht="75.0" customHeight="1" outlineLevel="1">
      <c r="A84" s="157" t="s">
        <v>45</v>
      </c>
      <c r="B84" s="158" t="s">
        <v>319</v>
      </c>
      <c r="C84" s="159" t="s">
        <v>320</v>
      </c>
      <c r="D84" s="160" t="s">
        <v>321</v>
      </c>
      <c r="E84" s="161" t="s">
        <v>118</v>
      </c>
      <c r="F84" s="162" t="s">
        <v>21</v>
      </c>
      <c r="G84" s="163" t="s">
        <v>322</v>
      </c>
      <c r="H84" s="164" t="s">
        <v>323</v>
      </c>
      <c r="I84" s="97" t="b">
        <v>1</v>
      </c>
      <c r="J84" s="98" t="s">
        <v>10</v>
      </c>
      <c r="K84" s="99">
        <f t="shared" ref="K84:K93" si="62">if(I84=True,1,if(I84=False,0))</f>
        <v>1</v>
      </c>
      <c r="L84" s="100">
        <v>3.2E7</v>
      </c>
      <c r="M84" s="100">
        <f t="shared" ref="M84:M93" si="63">(sum(AC84:AD84)+sum(AG84:AH84))*K84</f>
        <v>0</v>
      </c>
      <c r="N84" s="100">
        <f t="shared" ref="N84:N93" si="64">(sum(AE84:AF84)+sum(AI84:AJ84))*K84</f>
        <v>3000</v>
      </c>
      <c r="O84" s="100" t="str">
        <f t="shared" ref="O84:O93" si="65">IFERROR(Q84/M84,"-")</f>
        <v>-</v>
      </c>
      <c r="P84" s="100">
        <f t="shared" ref="P84:P93" si="66">IFERROR(Q84/N84,"-")</f>
        <v>10666.66667</v>
      </c>
      <c r="Q84" s="100">
        <f t="shared" ref="Q84:Q93" si="67">iferror(L84*K84,"-")</f>
        <v>32000000</v>
      </c>
      <c r="R84" s="165" t="s">
        <v>1256</v>
      </c>
      <c r="S84" s="166"/>
      <c r="T84" s="1017" t="s">
        <v>363</v>
      </c>
      <c r="U84" s="167" t="s">
        <v>45</v>
      </c>
      <c r="V84" s="168"/>
      <c r="W84" s="168"/>
      <c r="X84" s="798"/>
      <c r="Y84" s="798"/>
      <c r="Z84" s="799" t="s">
        <v>1017</v>
      </c>
      <c r="AA84" s="800">
        <f>14500000/0.9</f>
        <v>16111111.11</v>
      </c>
      <c r="AB84" s="743">
        <v>1.0</v>
      </c>
      <c r="AC84" s="801"/>
      <c r="AD84" s="801"/>
      <c r="AE84" s="801"/>
      <c r="AF84" s="802"/>
      <c r="AG84" s="803"/>
      <c r="AH84" s="801"/>
      <c r="AI84" s="744">
        <v>3000.0</v>
      </c>
      <c r="AJ84" s="801"/>
      <c r="AK84" s="804">
        <f>(AD84*2+AF84*50+AH84*10+AJ84*50)*K84</f>
        <v>0</v>
      </c>
      <c r="AL84" s="804">
        <f t="shared" ref="AL84:AL93" si="68">sum(AA84,AK84)*K84</f>
        <v>16111111.11</v>
      </c>
      <c r="AM84" s="804">
        <f t="shared" ref="AM84:AM93" si="69">iferror(Q84-AL84,"-")</f>
        <v>15888888.89</v>
      </c>
      <c r="AN84" s="805">
        <f t="shared" ref="AN84:AN93" si="70">iferror(AM84/Q84,"-")</f>
        <v>0.4965277778</v>
      </c>
      <c r="AO84" s="9"/>
      <c r="AP84" s="9"/>
      <c r="AQ84" s="9"/>
      <c r="AR84" s="9"/>
    </row>
    <row r="85" ht="75.0" customHeight="1" outlineLevel="1">
      <c r="A85" s="157" t="s">
        <v>45</v>
      </c>
      <c r="B85" s="158" t="s">
        <v>325</v>
      </c>
      <c r="C85" s="159" t="s">
        <v>320</v>
      </c>
      <c r="D85" s="160" t="s">
        <v>326</v>
      </c>
      <c r="E85" s="161" t="s">
        <v>118</v>
      </c>
      <c r="F85" s="162" t="s">
        <v>139</v>
      </c>
      <c r="G85" s="163" t="s">
        <v>322</v>
      </c>
      <c r="H85" s="164" t="s">
        <v>323</v>
      </c>
      <c r="I85" s="97" t="b">
        <v>1</v>
      </c>
      <c r="J85" s="98" t="s">
        <v>10</v>
      </c>
      <c r="K85" s="99">
        <f t="shared" si="62"/>
        <v>1</v>
      </c>
      <c r="L85" s="100">
        <v>2.6E7</v>
      </c>
      <c r="M85" s="100">
        <f t="shared" si="63"/>
        <v>0</v>
      </c>
      <c r="N85" s="100">
        <f t="shared" si="64"/>
        <v>3000</v>
      </c>
      <c r="O85" s="100" t="str">
        <f t="shared" si="65"/>
        <v>-</v>
      </c>
      <c r="P85" s="100">
        <f t="shared" si="66"/>
        <v>8666.666667</v>
      </c>
      <c r="Q85" s="100">
        <f t="shared" si="67"/>
        <v>26000000</v>
      </c>
      <c r="R85" s="165" t="s">
        <v>1257</v>
      </c>
      <c r="S85" s="169"/>
      <c r="T85" s="1018" t="s">
        <v>363</v>
      </c>
      <c r="U85" s="167" t="s">
        <v>45</v>
      </c>
      <c r="V85" s="170"/>
      <c r="W85" s="170"/>
      <c r="X85" s="798"/>
      <c r="Y85" s="798"/>
      <c r="Z85" s="799" t="s">
        <v>1017</v>
      </c>
      <c r="AA85" s="742">
        <f>11500000/0.9</f>
        <v>12777777.78</v>
      </c>
      <c r="AB85" s="743">
        <v>1.0</v>
      </c>
      <c r="AC85" s="744"/>
      <c r="AD85" s="744"/>
      <c r="AE85" s="744"/>
      <c r="AF85" s="745"/>
      <c r="AG85" s="746"/>
      <c r="AH85" s="744"/>
      <c r="AI85" s="744">
        <v>3000.0</v>
      </c>
      <c r="AJ85" s="744"/>
      <c r="AK85" s="747">
        <f t="shared" ref="AK85:AK86" si="71">(AJ85*50+AF85*50+AH85*20+AD85*2)*K85</f>
        <v>0</v>
      </c>
      <c r="AL85" s="747">
        <f t="shared" si="68"/>
        <v>12777777.78</v>
      </c>
      <c r="AM85" s="747">
        <f t="shared" si="69"/>
        <v>13222222.22</v>
      </c>
      <c r="AN85" s="748">
        <f t="shared" si="70"/>
        <v>0.5085470085</v>
      </c>
      <c r="AO85" s="9"/>
      <c r="AP85" s="9"/>
      <c r="AQ85" s="9"/>
      <c r="AR85" s="9"/>
    </row>
    <row r="86" ht="75.0" customHeight="1" outlineLevel="1">
      <c r="A86" s="157" t="s">
        <v>45</v>
      </c>
      <c r="B86" s="158" t="s">
        <v>328</v>
      </c>
      <c r="C86" s="159" t="s">
        <v>320</v>
      </c>
      <c r="D86" s="160" t="s">
        <v>329</v>
      </c>
      <c r="E86" s="161" t="s">
        <v>118</v>
      </c>
      <c r="F86" s="162" t="s">
        <v>21</v>
      </c>
      <c r="G86" s="163" t="s">
        <v>322</v>
      </c>
      <c r="H86" s="164" t="s">
        <v>323</v>
      </c>
      <c r="I86" s="97" t="b">
        <v>1</v>
      </c>
      <c r="J86" s="98" t="s">
        <v>10</v>
      </c>
      <c r="K86" s="99">
        <f t="shared" si="62"/>
        <v>1</v>
      </c>
      <c r="L86" s="100">
        <v>2.6E7</v>
      </c>
      <c r="M86" s="100">
        <f t="shared" si="63"/>
        <v>0</v>
      </c>
      <c r="N86" s="100">
        <f t="shared" si="64"/>
        <v>3000</v>
      </c>
      <c r="O86" s="100" t="str">
        <f t="shared" si="65"/>
        <v>-</v>
      </c>
      <c r="P86" s="100">
        <f t="shared" si="66"/>
        <v>8666.666667</v>
      </c>
      <c r="Q86" s="100">
        <f t="shared" si="67"/>
        <v>26000000</v>
      </c>
      <c r="R86" s="165" t="s">
        <v>1258</v>
      </c>
      <c r="S86" s="169"/>
      <c r="T86" s="1018" t="s">
        <v>363</v>
      </c>
      <c r="U86" s="167" t="s">
        <v>45</v>
      </c>
      <c r="V86" s="170"/>
      <c r="W86" s="170"/>
      <c r="X86" s="798"/>
      <c r="Y86" s="798"/>
      <c r="Z86" s="799" t="s">
        <v>1017</v>
      </c>
      <c r="AA86" s="742">
        <f>10000000/0.9</f>
        <v>11111111.11</v>
      </c>
      <c r="AB86" s="743">
        <v>1.3</v>
      </c>
      <c r="AC86" s="744"/>
      <c r="AD86" s="744"/>
      <c r="AE86" s="744"/>
      <c r="AF86" s="745"/>
      <c r="AG86" s="746"/>
      <c r="AH86" s="744"/>
      <c r="AI86" s="744">
        <v>3000.0</v>
      </c>
      <c r="AJ86" s="744"/>
      <c r="AK86" s="747">
        <f t="shared" si="71"/>
        <v>0</v>
      </c>
      <c r="AL86" s="747">
        <f t="shared" si="68"/>
        <v>11111111.11</v>
      </c>
      <c r="AM86" s="747">
        <f t="shared" si="69"/>
        <v>14888888.89</v>
      </c>
      <c r="AN86" s="748">
        <f t="shared" si="70"/>
        <v>0.5726495726</v>
      </c>
      <c r="AO86" s="9"/>
      <c r="AP86" s="9"/>
      <c r="AQ86" s="9"/>
      <c r="AR86" s="9"/>
    </row>
    <row r="87" ht="75.0" customHeight="1" outlineLevel="1">
      <c r="A87" s="157" t="s">
        <v>45</v>
      </c>
      <c r="B87" s="171" t="s">
        <v>331</v>
      </c>
      <c r="C87" s="159" t="s">
        <v>320</v>
      </c>
      <c r="D87" s="160" t="s">
        <v>332</v>
      </c>
      <c r="E87" s="161" t="s">
        <v>40</v>
      </c>
      <c r="F87" s="162" t="s">
        <v>21</v>
      </c>
      <c r="G87" s="163" t="s">
        <v>50</v>
      </c>
      <c r="H87" s="164" t="s">
        <v>323</v>
      </c>
      <c r="I87" s="97" t="b">
        <v>1</v>
      </c>
      <c r="J87" s="98" t="s">
        <v>10</v>
      </c>
      <c r="K87" s="99">
        <f t="shared" si="62"/>
        <v>1</v>
      </c>
      <c r="L87" s="100">
        <v>2.5E7</v>
      </c>
      <c r="M87" s="100">
        <f t="shared" si="63"/>
        <v>0</v>
      </c>
      <c r="N87" s="100">
        <f t="shared" si="64"/>
        <v>3000</v>
      </c>
      <c r="O87" s="100" t="str">
        <f t="shared" si="65"/>
        <v>-</v>
      </c>
      <c r="P87" s="100">
        <f t="shared" si="66"/>
        <v>8333.333333</v>
      </c>
      <c r="Q87" s="100">
        <f t="shared" si="67"/>
        <v>25000000</v>
      </c>
      <c r="R87" s="165" t="s">
        <v>1259</v>
      </c>
      <c r="S87" s="169"/>
      <c r="T87" s="1018" t="s">
        <v>363</v>
      </c>
      <c r="U87" s="167" t="s">
        <v>45</v>
      </c>
      <c r="V87" s="170"/>
      <c r="W87" s="170"/>
      <c r="X87" s="798"/>
      <c r="Y87" s="798"/>
      <c r="Z87" s="799" t="s">
        <v>1017</v>
      </c>
      <c r="AA87" s="742">
        <f>11500000/0.9</f>
        <v>12777777.78</v>
      </c>
      <c r="AB87" s="743">
        <v>0.95</v>
      </c>
      <c r="AC87" s="744"/>
      <c r="AD87" s="744"/>
      <c r="AE87" s="744"/>
      <c r="AF87" s="745"/>
      <c r="AG87" s="746"/>
      <c r="AH87" s="744"/>
      <c r="AI87" s="744">
        <v>3000.0</v>
      </c>
      <c r="AJ87" s="744"/>
      <c r="AK87" s="747">
        <f t="shared" ref="AK87:AK89" si="72">(AD87*2+AF87*50+AH87*10+AJ87*50)*K87</f>
        <v>0</v>
      </c>
      <c r="AL87" s="747">
        <f t="shared" si="68"/>
        <v>12777777.78</v>
      </c>
      <c r="AM87" s="747">
        <f t="shared" si="69"/>
        <v>12222222.22</v>
      </c>
      <c r="AN87" s="748">
        <f t="shared" si="70"/>
        <v>0.4888888889</v>
      </c>
      <c r="AO87" s="9"/>
      <c r="AP87" s="9"/>
      <c r="AQ87" s="9"/>
      <c r="AR87" s="9"/>
    </row>
    <row r="88" ht="75.0" customHeight="1" outlineLevel="1">
      <c r="A88" s="157" t="s">
        <v>45</v>
      </c>
      <c r="B88" s="158" t="s">
        <v>334</v>
      </c>
      <c r="C88" s="159" t="s">
        <v>320</v>
      </c>
      <c r="D88" s="160" t="s">
        <v>335</v>
      </c>
      <c r="E88" s="161" t="s">
        <v>40</v>
      </c>
      <c r="F88" s="162" t="s">
        <v>21</v>
      </c>
      <c r="G88" s="163" t="s">
        <v>322</v>
      </c>
      <c r="H88" s="164" t="s">
        <v>336</v>
      </c>
      <c r="I88" s="97" t="b">
        <v>1</v>
      </c>
      <c r="J88" s="98" t="s">
        <v>10</v>
      </c>
      <c r="K88" s="99">
        <f t="shared" si="62"/>
        <v>1</v>
      </c>
      <c r="L88" s="100">
        <v>1.7E7</v>
      </c>
      <c r="M88" s="100">
        <f t="shared" si="63"/>
        <v>0</v>
      </c>
      <c r="N88" s="100">
        <f t="shared" si="64"/>
        <v>3000</v>
      </c>
      <c r="O88" s="100" t="str">
        <f t="shared" si="65"/>
        <v>-</v>
      </c>
      <c r="P88" s="100">
        <f t="shared" si="66"/>
        <v>5666.666667</v>
      </c>
      <c r="Q88" s="100">
        <f t="shared" si="67"/>
        <v>17000000</v>
      </c>
      <c r="R88" s="165" t="s">
        <v>1260</v>
      </c>
      <c r="S88" s="169"/>
      <c r="T88" s="1018" t="s">
        <v>363</v>
      </c>
      <c r="U88" s="167" t="s">
        <v>45</v>
      </c>
      <c r="V88" s="170"/>
      <c r="W88" s="170"/>
      <c r="X88" s="798"/>
      <c r="Y88" s="798"/>
      <c r="Z88" s="799" t="s">
        <v>1017</v>
      </c>
      <c r="AA88" s="742">
        <f>7500000/0.9</f>
        <v>8333333.333</v>
      </c>
      <c r="AB88" s="743">
        <v>1.0</v>
      </c>
      <c r="AC88" s="744"/>
      <c r="AD88" s="744"/>
      <c r="AE88" s="744"/>
      <c r="AF88" s="745"/>
      <c r="AG88" s="746"/>
      <c r="AH88" s="744"/>
      <c r="AI88" s="744">
        <v>3000.0</v>
      </c>
      <c r="AJ88" s="744"/>
      <c r="AK88" s="747">
        <f t="shared" si="72"/>
        <v>0</v>
      </c>
      <c r="AL88" s="747">
        <f t="shared" si="68"/>
        <v>8333333.333</v>
      </c>
      <c r="AM88" s="747">
        <f t="shared" si="69"/>
        <v>8666666.667</v>
      </c>
      <c r="AN88" s="748">
        <f t="shared" si="70"/>
        <v>0.5098039216</v>
      </c>
      <c r="AO88" s="9"/>
      <c r="AP88" s="9"/>
      <c r="AQ88" s="9"/>
      <c r="AR88" s="9"/>
    </row>
    <row r="89" ht="75.0" customHeight="1" outlineLevel="1">
      <c r="A89" s="157" t="s">
        <v>45</v>
      </c>
      <c r="B89" s="171" t="s">
        <v>338</v>
      </c>
      <c r="C89" s="159" t="s">
        <v>38</v>
      </c>
      <c r="D89" s="160" t="s">
        <v>339</v>
      </c>
      <c r="E89" s="161" t="s">
        <v>118</v>
      </c>
      <c r="F89" s="162" t="s">
        <v>21</v>
      </c>
      <c r="G89" s="163" t="s">
        <v>105</v>
      </c>
      <c r="H89" s="164" t="s">
        <v>340</v>
      </c>
      <c r="I89" s="97" t="b">
        <v>1</v>
      </c>
      <c r="J89" s="98" t="s">
        <v>7</v>
      </c>
      <c r="K89" s="99">
        <f t="shared" si="62"/>
        <v>1</v>
      </c>
      <c r="L89" s="100">
        <v>2.5E7</v>
      </c>
      <c r="M89" s="100">
        <f t="shared" si="63"/>
        <v>80000</v>
      </c>
      <c r="N89" s="100">
        <f t="shared" si="64"/>
        <v>2000</v>
      </c>
      <c r="O89" s="100">
        <f t="shared" si="65"/>
        <v>312.5</v>
      </c>
      <c r="P89" s="100">
        <f t="shared" si="66"/>
        <v>12500</v>
      </c>
      <c r="Q89" s="100">
        <f t="shared" si="67"/>
        <v>25000000</v>
      </c>
      <c r="R89" s="165" t="s">
        <v>1261</v>
      </c>
      <c r="S89" s="169"/>
      <c r="T89" s="1018" t="s">
        <v>363</v>
      </c>
      <c r="U89" s="167" t="s">
        <v>45</v>
      </c>
      <c r="V89" s="170"/>
      <c r="W89" s="170"/>
      <c r="X89" s="798"/>
      <c r="Y89" s="798"/>
      <c r="Z89" s="799" t="s">
        <v>1017</v>
      </c>
      <c r="AA89" s="742">
        <f>15000000/0.9</f>
        <v>16666666.67</v>
      </c>
      <c r="AB89" s="743">
        <v>0.5</v>
      </c>
      <c r="AC89" s="744">
        <v>80000.0</v>
      </c>
      <c r="AD89" s="744"/>
      <c r="AE89" s="744">
        <v>1000.0</v>
      </c>
      <c r="AF89" s="745">
        <v>1000.0</v>
      </c>
      <c r="AG89" s="746"/>
      <c r="AH89" s="744"/>
      <c r="AI89" s="744"/>
      <c r="AJ89" s="744"/>
      <c r="AK89" s="747">
        <f t="shared" si="72"/>
        <v>50000</v>
      </c>
      <c r="AL89" s="747">
        <f t="shared" si="68"/>
        <v>16716666.67</v>
      </c>
      <c r="AM89" s="747">
        <f t="shared" si="69"/>
        <v>8283333.333</v>
      </c>
      <c r="AN89" s="748">
        <f t="shared" si="70"/>
        <v>0.3313333333</v>
      </c>
      <c r="AO89" s="9"/>
      <c r="AP89" s="9"/>
      <c r="AQ89" s="9"/>
      <c r="AR89" s="9"/>
    </row>
    <row r="90" ht="75.0" customHeight="1" outlineLevel="1">
      <c r="A90" s="157" t="s">
        <v>45</v>
      </c>
      <c r="B90" s="158" t="s">
        <v>342</v>
      </c>
      <c r="C90" s="159" t="s">
        <v>38</v>
      </c>
      <c r="D90" s="160" t="s">
        <v>343</v>
      </c>
      <c r="E90" s="161" t="s">
        <v>40</v>
      </c>
      <c r="F90" s="162" t="s">
        <v>21</v>
      </c>
      <c r="G90" s="163" t="s">
        <v>50</v>
      </c>
      <c r="H90" s="164" t="s">
        <v>340</v>
      </c>
      <c r="I90" s="97" t="b">
        <v>1</v>
      </c>
      <c r="J90" s="98" t="s">
        <v>7</v>
      </c>
      <c r="K90" s="99">
        <f t="shared" si="62"/>
        <v>1</v>
      </c>
      <c r="L90" s="100">
        <v>1.5E7</v>
      </c>
      <c r="M90" s="100">
        <f t="shared" si="63"/>
        <v>30000</v>
      </c>
      <c r="N90" s="100">
        <f t="shared" si="64"/>
        <v>1500</v>
      </c>
      <c r="O90" s="100">
        <f t="shared" si="65"/>
        <v>500</v>
      </c>
      <c r="P90" s="100">
        <f t="shared" si="66"/>
        <v>10000</v>
      </c>
      <c r="Q90" s="100">
        <f t="shared" si="67"/>
        <v>15000000</v>
      </c>
      <c r="R90" s="165" t="s">
        <v>1262</v>
      </c>
      <c r="S90" s="169"/>
      <c r="T90" s="169"/>
      <c r="U90" s="167" t="s">
        <v>45</v>
      </c>
      <c r="V90" s="170"/>
      <c r="W90" s="170"/>
      <c r="X90" s="798"/>
      <c r="Y90" s="798"/>
      <c r="Z90" s="808" t="s">
        <v>1024</v>
      </c>
      <c r="AA90" s="742">
        <f>7000000/0.9</f>
        <v>7777777.778</v>
      </c>
      <c r="AB90" s="743">
        <v>0.5</v>
      </c>
      <c r="AC90" s="744">
        <v>10000.0</v>
      </c>
      <c r="AD90" s="744">
        <v>20000.0</v>
      </c>
      <c r="AE90" s="744">
        <v>500.0</v>
      </c>
      <c r="AF90" s="745">
        <v>1000.0</v>
      </c>
      <c r="AG90" s="746"/>
      <c r="AH90" s="744"/>
      <c r="AI90" s="744"/>
      <c r="AJ90" s="801"/>
      <c r="AK90" s="747">
        <f>(AJ90*50+AF90*50+AH90*20+AD90*2)*K90</f>
        <v>90000</v>
      </c>
      <c r="AL90" s="747">
        <f t="shared" si="68"/>
        <v>7867777.778</v>
      </c>
      <c r="AM90" s="747">
        <f t="shared" si="69"/>
        <v>7132222.222</v>
      </c>
      <c r="AN90" s="748">
        <f t="shared" si="70"/>
        <v>0.4754814815</v>
      </c>
      <c r="AO90" s="9"/>
      <c r="AP90" s="9"/>
      <c r="AQ90" s="9"/>
      <c r="AR90" s="9"/>
    </row>
    <row r="91" ht="75.0" customHeight="1" outlineLevel="1">
      <c r="A91" s="157" t="s">
        <v>45</v>
      </c>
      <c r="B91" s="158" t="s">
        <v>345</v>
      </c>
      <c r="C91" s="159" t="s">
        <v>38</v>
      </c>
      <c r="D91" s="160" t="s">
        <v>346</v>
      </c>
      <c r="E91" s="161" t="s">
        <v>40</v>
      </c>
      <c r="F91" s="162" t="s">
        <v>21</v>
      </c>
      <c r="G91" s="163" t="s">
        <v>322</v>
      </c>
      <c r="H91" s="164" t="s">
        <v>340</v>
      </c>
      <c r="I91" s="97" t="b">
        <v>1</v>
      </c>
      <c r="J91" s="98" t="s">
        <v>7</v>
      </c>
      <c r="K91" s="99">
        <f t="shared" si="62"/>
        <v>1</v>
      </c>
      <c r="L91" s="100">
        <v>1.8E7</v>
      </c>
      <c r="M91" s="100">
        <f t="shared" si="63"/>
        <v>80000</v>
      </c>
      <c r="N91" s="100">
        <f t="shared" si="64"/>
        <v>1500</v>
      </c>
      <c r="O91" s="100">
        <f t="shared" si="65"/>
        <v>225</v>
      </c>
      <c r="P91" s="100">
        <f t="shared" si="66"/>
        <v>12000</v>
      </c>
      <c r="Q91" s="100">
        <f t="shared" si="67"/>
        <v>18000000</v>
      </c>
      <c r="R91" s="165" t="s">
        <v>1263</v>
      </c>
      <c r="S91" s="169"/>
      <c r="T91" s="1018" t="s">
        <v>363</v>
      </c>
      <c r="U91" s="167" t="s">
        <v>45</v>
      </c>
      <c r="V91" s="170"/>
      <c r="W91" s="170"/>
      <c r="X91" s="798"/>
      <c r="Y91" s="798"/>
      <c r="Z91" s="799" t="s">
        <v>1017</v>
      </c>
      <c r="AA91" s="742">
        <f>8000000/0.9</f>
        <v>8888888.889</v>
      </c>
      <c r="AB91" s="743">
        <v>1.0</v>
      </c>
      <c r="AC91" s="744">
        <v>30000.0</v>
      </c>
      <c r="AD91" s="744">
        <v>50000.0</v>
      </c>
      <c r="AE91" s="744">
        <v>500.0</v>
      </c>
      <c r="AF91" s="745">
        <v>1000.0</v>
      </c>
      <c r="AG91" s="746"/>
      <c r="AH91" s="744"/>
      <c r="AI91" s="744"/>
      <c r="AJ91" s="744"/>
      <c r="AK91" s="747">
        <f t="shared" ref="AK91:AK93" si="73">(AD91*2+AF91*50+AH91*10+AJ91*50)*K91</f>
        <v>150000</v>
      </c>
      <c r="AL91" s="747">
        <f t="shared" si="68"/>
        <v>9038888.889</v>
      </c>
      <c r="AM91" s="747">
        <f t="shared" si="69"/>
        <v>8961111.111</v>
      </c>
      <c r="AN91" s="748">
        <f t="shared" si="70"/>
        <v>0.4978395062</v>
      </c>
      <c r="AO91" s="9"/>
      <c r="AP91" s="9"/>
      <c r="AQ91" s="9"/>
      <c r="AR91" s="9"/>
    </row>
    <row r="92" ht="75.0" customHeight="1" outlineLevel="1">
      <c r="A92" s="157" t="s">
        <v>45</v>
      </c>
      <c r="B92" s="158" t="s">
        <v>348</v>
      </c>
      <c r="C92" s="159" t="s">
        <v>38</v>
      </c>
      <c r="D92" s="160" t="s">
        <v>349</v>
      </c>
      <c r="E92" s="161" t="s">
        <v>40</v>
      </c>
      <c r="F92" s="162" t="s">
        <v>21</v>
      </c>
      <c r="G92" s="163" t="s">
        <v>50</v>
      </c>
      <c r="H92" s="164" t="s">
        <v>340</v>
      </c>
      <c r="I92" s="97" t="b">
        <v>1</v>
      </c>
      <c r="J92" s="98" t="s">
        <v>7</v>
      </c>
      <c r="K92" s="99">
        <f t="shared" si="62"/>
        <v>1</v>
      </c>
      <c r="L92" s="100">
        <v>1.2E7</v>
      </c>
      <c r="M92" s="100">
        <f t="shared" si="63"/>
        <v>50000</v>
      </c>
      <c r="N92" s="100">
        <f t="shared" si="64"/>
        <v>1500</v>
      </c>
      <c r="O92" s="100">
        <f t="shared" si="65"/>
        <v>240</v>
      </c>
      <c r="P92" s="100">
        <f t="shared" si="66"/>
        <v>8000</v>
      </c>
      <c r="Q92" s="100">
        <f t="shared" si="67"/>
        <v>12000000</v>
      </c>
      <c r="R92" s="165" t="s">
        <v>1264</v>
      </c>
      <c r="S92" s="169"/>
      <c r="T92" s="169"/>
      <c r="U92" s="167" t="s">
        <v>45</v>
      </c>
      <c r="V92" s="170"/>
      <c r="W92" s="170"/>
      <c r="X92" s="798"/>
      <c r="Y92" s="798"/>
      <c r="Z92" s="808" t="s">
        <v>1024</v>
      </c>
      <c r="AA92" s="742">
        <f>2800000/0.9</f>
        <v>3111111.111</v>
      </c>
      <c r="AB92" s="743">
        <v>1.2</v>
      </c>
      <c r="AC92" s="744">
        <v>30000.0</v>
      </c>
      <c r="AD92" s="744">
        <v>20000.0</v>
      </c>
      <c r="AE92" s="744">
        <v>500.0</v>
      </c>
      <c r="AF92" s="745">
        <v>1000.0</v>
      </c>
      <c r="AG92" s="746"/>
      <c r="AH92" s="744"/>
      <c r="AI92" s="744"/>
      <c r="AJ92" s="744"/>
      <c r="AK92" s="747">
        <f t="shared" si="73"/>
        <v>90000</v>
      </c>
      <c r="AL92" s="747">
        <f t="shared" si="68"/>
        <v>3201111.111</v>
      </c>
      <c r="AM92" s="747">
        <f t="shared" si="69"/>
        <v>8798888.889</v>
      </c>
      <c r="AN92" s="748">
        <f t="shared" si="70"/>
        <v>0.7332407407</v>
      </c>
      <c r="AO92" s="9"/>
      <c r="AP92" s="9"/>
      <c r="AQ92" s="9"/>
      <c r="AR92" s="9"/>
    </row>
    <row r="93" ht="75.0" customHeight="1" outlineLevel="1">
      <c r="A93" s="157" t="s">
        <v>45</v>
      </c>
      <c r="B93" s="158" t="s">
        <v>811</v>
      </c>
      <c r="C93" s="159" t="s">
        <v>38</v>
      </c>
      <c r="D93" s="160" t="s">
        <v>352</v>
      </c>
      <c r="E93" s="161" t="s">
        <v>40</v>
      </c>
      <c r="F93" s="162" t="s">
        <v>21</v>
      </c>
      <c r="G93" s="163" t="s">
        <v>105</v>
      </c>
      <c r="H93" s="164" t="s">
        <v>340</v>
      </c>
      <c r="I93" s="97" t="b">
        <v>1</v>
      </c>
      <c r="J93" s="98" t="s">
        <v>7</v>
      </c>
      <c r="K93" s="99">
        <f t="shared" si="62"/>
        <v>1</v>
      </c>
      <c r="L93" s="100">
        <v>2.0E7</v>
      </c>
      <c r="M93" s="100">
        <f t="shared" si="63"/>
        <v>80000</v>
      </c>
      <c r="N93" s="100">
        <f t="shared" si="64"/>
        <v>2000</v>
      </c>
      <c r="O93" s="100">
        <f t="shared" si="65"/>
        <v>250</v>
      </c>
      <c r="P93" s="100">
        <f t="shared" si="66"/>
        <v>10000</v>
      </c>
      <c r="Q93" s="100">
        <f t="shared" si="67"/>
        <v>20000000</v>
      </c>
      <c r="R93" s="165" t="s">
        <v>1265</v>
      </c>
      <c r="S93" s="166"/>
      <c r="T93" s="1018" t="s">
        <v>363</v>
      </c>
      <c r="U93" s="167" t="s">
        <v>45</v>
      </c>
      <c r="V93" s="168"/>
      <c r="W93" s="168"/>
      <c r="X93" s="798"/>
      <c r="Y93" s="798"/>
      <c r="Z93" s="799" t="s">
        <v>1017</v>
      </c>
      <c r="AA93" s="800">
        <f>10000000/0.9</f>
        <v>11111111.11</v>
      </c>
      <c r="AB93" s="743">
        <v>0.5</v>
      </c>
      <c r="AC93" s="744">
        <v>80000.0</v>
      </c>
      <c r="AD93" s="801"/>
      <c r="AE93" s="744">
        <v>1000.0</v>
      </c>
      <c r="AF93" s="745">
        <v>1000.0</v>
      </c>
      <c r="AG93" s="803"/>
      <c r="AH93" s="801"/>
      <c r="AI93" s="744"/>
      <c r="AJ93" s="801"/>
      <c r="AK93" s="804">
        <f t="shared" si="73"/>
        <v>50000</v>
      </c>
      <c r="AL93" s="804">
        <f t="shared" si="68"/>
        <v>11161111.11</v>
      </c>
      <c r="AM93" s="804">
        <f t="shared" si="69"/>
        <v>8838888.889</v>
      </c>
      <c r="AN93" s="805">
        <f t="shared" si="70"/>
        <v>0.4419444444</v>
      </c>
      <c r="AO93" s="9"/>
      <c r="AP93" s="9"/>
      <c r="AQ93" s="9"/>
      <c r="AR93" s="9"/>
    </row>
    <row r="94" ht="54.0" customHeight="1">
      <c r="A94" s="172" t="s">
        <v>354</v>
      </c>
      <c r="B94" s="173"/>
      <c r="C94" s="174"/>
      <c r="D94" s="175"/>
      <c r="E94" s="174"/>
      <c r="F94" s="174"/>
      <c r="G94" s="174"/>
      <c r="H94" s="174"/>
      <c r="I94" s="176"/>
      <c r="J94" s="177"/>
      <c r="K94" s="178"/>
      <c r="L94" s="177"/>
      <c r="M94" s="177"/>
      <c r="N94" s="179">
        <f>K95</f>
        <v>2000</v>
      </c>
      <c r="O94" s="177"/>
      <c r="P94" s="177"/>
      <c r="Q94" s="179">
        <f>Q95</f>
        <v>20000000</v>
      </c>
      <c r="R94" s="812"/>
      <c r="S94" s="181"/>
      <c r="T94" s="181"/>
      <c r="U94" s="181"/>
      <c r="V94" s="181"/>
      <c r="W94" s="181"/>
      <c r="X94" s="813"/>
      <c r="Y94" s="813"/>
      <c r="Z94" s="814"/>
      <c r="AA94" s="815"/>
      <c r="AB94" s="816"/>
      <c r="AC94" s="815"/>
      <c r="AD94" s="815"/>
      <c r="AE94" s="815"/>
      <c r="AF94" s="817"/>
      <c r="AG94" s="818"/>
      <c r="AH94" s="815"/>
      <c r="AI94" s="815"/>
      <c r="AJ94" s="815"/>
      <c r="AK94" s="815"/>
      <c r="AL94" s="815"/>
      <c r="AM94" s="815"/>
      <c r="AN94" s="819"/>
      <c r="AO94" s="9"/>
      <c r="AP94" s="9"/>
      <c r="AQ94" s="9"/>
      <c r="AR94" s="9"/>
    </row>
    <row r="95" ht="67.5" customHeight="1" outlineLevel="1">
      <c r="A95" s="182">
        <v>1.0</v>
      </c>
      <c r="B95" s="183" t="s">
        <v>355</v>
      </c>
      <c r="C95" s="184" t="s">
        <v>356</v>
      </c>
      <c r="D95" s="185"/>
      <c r="E95" s="185"/>
      <c r="F95" s="185"/>
      <c r="G95" s="185"/>
      <c r="H95" s="186"/>
      <c r="I95" s="187" t="b">
        <v>1</v>
      </c>
      <c r="J95" s="188" t="s">
        <v>11</v>
      </c>
      <c r="K95" s="189">
        <v>2000.0</v>
      </c>
      <c r="L95" s="189">
        <v>10000.0</v>
      </c>
      <c r="M95" s="190"/>
      <c r="N95" s="191">
        <f>L95</f>
        <v>10000</v>
      </c>
      <c r="O95" s="190"/>
      <c r="P95" s="190"/>
      <c r="Q95" s="192">
        <f>iferror(L95*K95,"-")</f>
        <v>20000000</v>
      </c>
      <c r="R95" s="1014"/>
      <c r="S95" s="181"/>
      <c r="T95" s="181"/>
      <c r="U95" s="181"/>
      <c r="V95" s="181"/>
      <c r="W95" s="181"/>
      <c r="X95" s="826"/>
      <c r="Y95" s="826"/>
      <c r="Z95" s="814"/>
      <c r="AA95" s="827">
        <f>6000/0.9</f>
        <v>6666.666667</v>
      </c>
      <c r="AB95" s="832"/>
      <c r="AC95" s="828"/>
      <c r="AD95" s="828"/>
      <c r="AE95" s="828"/>
      <c r="AF95" s="829"/>
      <c r="AG95" s="830"/>
      <c r="AH95" s="828"/>
      <c r="AI95" s="828"/>
      <c r="AJ95" s="828"/>
      <c r="AK95" s="804">
        <f>(AD95*2+AF95*50+AH95*10+AJ95*50)*K95</f>
        <v>0</v>
      </c>
      <c r="AL95" s="804">
        <f>sum(AA95,AK95)*K95</f>
        <v>13333333.33</v>
      </c>
      <c r="AM95" s="804">
        <f>iferror(Q95-AL95,"-")</f>
        <v>6666666.667</v>
      </c>
      <c r="AN95" s="805">
        <f>iferror(AM95/Q95,"-")</f>
        <v>0.3333333333</v>
      </c>
      <c r="AO95" s="9"/>
      <c r="AP95" s="9"/>
      <c r="AQ95" s="9"/>
      <c r="AR95" s="9"/>
    </row>
    <row r="96" ht="23.25" customHeight="1">
      <c r="A96" s="194"/>
      <c r="B96" s="195"/>
      <c r="C96" s="195"/>
      <c r="D96" s="195"/>
      <c r="E96" s="195"/>
      <c r="F96" s="196"/>
      <c r="G96" s="195"/>
      <c r="H96" s="195"/>
      <c r="I96" s="197" t="s">
        <v>357</v>
      </c>
      <c r="J96" s="195"/>
      <c r="K96" s="195"/>
      <c r="L96" s="195"/>
      <c r="M96" s="198">
        <f t="shared" ref="M96:N96" si="74">sum(M94,M82,M40,M20)</f>
        <v>1541500</v>
      </c>
      <c r="N96" s="198">
        <f t="shared" si="74"/>
        <v>83700</v>
      </c>
      <c r="O96" s="199"/>
      <c r="P96" s="199"/>
      <c r="Q96" s="198">
        <f>sum(Q94,Q82,Q40,Q20)</f>
        <v>616000000</v>
      </c>
      <c r="R96" s="200"/>
      <c r="S96" s="8"/>
      <c r="T96" s="8"/>
      <c r="U96" s="8"/>
      <c r="V96" s="8"/>
      <c r="W96" s="8"/>
      <c r="X96" s="717"/>
      <c r="Y96" s="717"/>
      <c r="Z96" s="580"/>
      <c r="AA96" s="839"/>
      <c r="AB96" s="839"/>
      <c r="AC96" s="839"/>
      <c r="AD96" s="839"/>
      <c r="AE96" s="839"/>
      <c r="AF96" s="839"/>
      <c r="AG96" s="839"/>
      <c r="AH96" s="839"/>
      <c r="AI96" s="839"/>
      <c r="AJ96" s="839"/>
      <c r="AK96" s="840">
        <f t="shared" ref="AK96:AM96" si="75">sum(AK20:AK95)</f>
        <v>3226000</v>
      </c>
      <c r="AL96" s="840">
        <f t="shared" si="75"/>
        <v>271948222.2</v>
      </c>
      <c r="AM96" s="840">
        <f t="shared" si="75"/>
        <v>284051777.8</v>
      </c>
      <c r="AN96" s="841" t="str">
        <f>iferror(AM96/#REF!,"-")</f>
        <v>-</v>
      </c>
      <c r="AO96" s="9"/>
      <c r="AP96" s="9"/>
      <c r="AQ96" s="9"/>
      <c r="AR96" s="9"/>
    </row>
    <row r="97" ht="25.5" customHeight="1">
      <c r="A97" s="194"/>
      <c r="B97" s="195"/>
      <c r="C97" s="195"/>
      <c r="D97" s="195"/>
      <c r="E97" s="195"/>
      <c r="F97" s="196"/>
      <c r="G97" s="195"/>
      <c r="H97" s="195"/>
      <c r="I97" s="197" t="s">
        <v>358</v>
      </c>
      <c r="J97" s="195"/>
      <c r="K97" s="195"/>
      <c r="L97" s="195"/>
      <c r="M97" s="195"/>
      <c r="N97" s="195"/>
      <c r="O97" s="195"/>
      <c r="P97" s="201">
        <v>0.12</v>
      </c>
      <c r="Q97" s="198">
        <f>Q96*P97</f>
        <v>73920000</v>
      </c>
      <c r="R97" s="200"/>
      <c r="S97" s="8"/>
      <c r="T97" s="8"/>
      <c r="U97" s="8"/>
      <c r="V97" s="8"/>
      <c r="W97" s="8"/>
      <c r="X97" s="8"/>
      <c r="Y97" s="8"/>
      <c r="Z97" s="580"/>
      <c r="AA97" s="581"/>
      <c r="AB97" s="3"/>
      <c r="AC97" s="3"/>
      <c r="AD97" s="3"/>
      <c r="AE97" s="3"/>
      <c r="AF97" s="3"/>
      <c r="AG97" s="3"/>
      <c r="AH97" s="3"/>
      <c r="AI97" s="3"/>
      <c r="AJ97" s="3"/>
      <c r="AK97" s="844" t="s">
        <v>1032</v>
      </c>
      <c r="AL97" s="845"/>
      <c r="AM97" s="3"/>
      <c r="AN97" s="3"/>
      <c r="AO97" s="9"/>
      <c r="AP97" s="9"/>
      <c r="AQ97" s="9"/>
      <c r="AR97" s="9"/>
    </row>
    <row r="98" ht="25.5" customHeight="1">
      <c r="A98" s="202"/>
      <c r="B98" s="203"/>
      <c r="C98" s="203"/>
      <c r="D98" s="203"/>
      <c r="E98" s="203"/>
      <c r="F98" s="204"/>
      <c r="G98" s="203"/>
      <c r="H98" s="203"/>
      <c r="I98" s="205" t="s">
        <v>359</v>
      </c>
      <c r="J98" s="203"/>
      <c r="K98" s="203"/>
      <c r="L98" s="203"/>
      <c r="M98" s="203"/>
      <c r="N98" s="203"/>
      <c r="O98" s="203"/>
      <c r="P98" s="206"/>
      <c r="Q98" s="207">
        <f>SUM(Q96:Q97)</f>
        <v>689920000</v>
      </c>
      <c r="R98" s="208"/>
      <c r="S98" s="8"/>
      <c r="T98" s="8"/>
      <c r="U98" s="8"/>
      <c r="V98" s="8"/>
      <c r="W98" s="8"/>
      <c r="X98" s="8"/>
      <c r="Y98" s="8"/>
      <c r="Z98" s="580"/>
      <c r="AA98" s="581"/>
      <c r="AB98" s="3"/>
      <c r="AC98" s="3"/>
      <c r="AD98" s="3"/>
      <c r="AE98" s="3"/>
      <c r="AF98" s="3"/>
      <c r="AG98" s="3"/>
      <c r="AH98" s="3"/>
      <c r="AI98" s="3"/>
      <c r="AJ98" s="3"/>
      <c r="AK98" s="852" t="s">
        <v>1033</v>
      </c>
      <c r="AL98" s="853">
        <f>(30*600000)/0.9</f>
        <v>20000000</v>
      </c>
      <c r="AM98" s="854" t="s">
        <v>1034</v>
      </c>
      <c r="AN98" s="3"/>
      <c r="AO98" s="9"/>
      <c r="AP98" s="9"/>
      <c r="AQ98" s="9"/>
      <c r="AR98" s="9"/>
    </row>
    <row r="99" ht="25.5" customHeight="1">
      <c r="A99" s="209"/>
      <c r="B99" s="210"/>
      <c r="C99" s="210"/>
      <c r="D99" s="210"/>
      <c r="E99" s="210"/>
      <c r="F99" s="211"/>
      <c r="G99" s="210"/>
      <c r="H99" s="210"/>
      <c r="I99" s="212" t="s">
        <v>360</v>
      </c>
      <c r="J99" s="210"/>
      <c r="K99" s="210"/>
      <c r="L99" s="210"/>
      <c r="M99" s="210"/>
      <c r="N99" s="210"/>
      <c r="O99" s="210"/>
      <c r="P99" s="213"/>
      <c r="Q99" s="214">
        <f>Q98*1.08</f>
        <v>745113600</v>
      </c>
      <c r="R99" s="215"/>
      <c r="S99" s="8"/>
      <c r="T99" s="8"/>
      <c r="U99" s="8"/>
      <c r="V99" s="8"/>
      <c r="W99" s="8"/>
      <c r="X99" s="8"/>
      <c r="Y99" s="8"/>
      <c r="Z99" s="580"/>
      <c r="AA99" s="581"/>
      <c r="AB99" s="3"/>
      <c r="AC99" s="3"/>
      <c r="AD99" s="3"/>
      <c r="AE99" s="3"/>
      <c r="AF99" s="3"/>
      <c r="AG99" s="3"/>
      <c r="AH99" s="3"/>
      <c r="AI99" s="3"/>
      <c r="AJ99" s="3"/>
      <c r="AK99" s="860" t="s">
        <v>5</v>
      </c>
      <c r="AL99" s="861">
        <f>sum(AL96,AL98)</f>
        <v>291948222.2</v>
      </c>
      <c r="AM99" s="854"/>
      <c r="AN99" s="851"/>
      <c r="AO99" s="9"/>
      <c r="AP99" s="9"/>
      <c r="AQ99" s="9"/>
      <c r="AR99" s="9"/>
    </row>
    <row r="100" ht="25.5" customHeight="1">
      <c r="S100" s="8"/>
      <c r="T100" s="8"/>
      <c r="U100" s="8"/>
      <c r="V100" s="8"/>
      <c r="W100" s="8"/>
      <c r="X100" s="8"/>
      <c r="Y100" s="8"/>
      <c r="Z100" s="580"/>
      <c r="AA100" s="581"/>
      <c r="AB100" s="3"/>
      <c r="AC100" s="3"/>
      <c r="AD100" s="3"/>
      <c r="AE100" s="3"/>
      <c r="AF100" s="3"/>
      <c r="AG100" s="3"/>
      <c r="AH100" s="3"/>
      <c r="AI100" s="3"/>
      <c r="AJ100" s="3"/>
      <c r="AK100" s="852" t="s">
        <v>1035</v>
      </c>
      <c r="AL100" s="861">
        <f>Q96-AL99</f>
        <v>324051777.8</v>
      </c>
      <c r="AM100" s="3"/>
      <c r="AN100" s="3"/>
      <c r="AO100" s="9"/>
      <c r="AP100" s="9"/>
      <c r="AQ100" s="9"/>
      <c r="AR100" s="9"/>
    </row>
    <row r="101" ht="25.5" customHeight="1">
      <c r="A101" s="217"/>
      <c r="B101" s="218"/>
      <c r="C101" s="218"/>
      <c r="D101" s="219"/>
      <c r="E101" s="218"/>
      <c r="F101" s="220"/>
      <c r="G101" s="218"/>
      <c r="H101" s="218"/>
      <c r="I101" s="218"/>
      <c r="J101" s="221"/>
      <c r="K101" s="222"/>
      <c r="L101" s="221"/>
      <c r="M101" s="221"/>
      <c r="N101" s="221"/>
      <c r="O101" s="221"/>
      <c r="P101" s="221"/>
      <c r="Q101" s="221"/>
      <c r="R101" s="223"/>
      <c r="S101" s="8"/>
      <c r="T101" s="8"/>
      <c r="U101" s="8"/>
      <c r="V101" s="8"/>
      <c r="W101" s="8"/>
      <c r="X101" s="8"/>
      <c r="Y101" s="8"/>
      <c r="Z101" s="580"/>
      <c r="AA101" s="865"/>
      <c r="AB101" s="3"/>
      <c r="AC101" s="3"/>
      <c r="AD101" s="3"/>
      <c r="AE101" s="3"/>
      <c r="AF101" s="3"/>
      <c r="AG101" s="3"/>
      <c r="AH101" s="3"/>
      <c r="AI101" s="3"/>
      <c r="AJ101" s="3"/>
      <c r="AK101" s="866" t="s">
        <v>1036</v>
      </c>
      <c r="AL101" s="867">
        <f>iferror(AL100/Q96,"-")</f>
        <v>0.5260580808</v>
      </c>
      <c r="AM101" s="3"/>
      <c r="AN101" s="3"/>
      <c r="AO101" s="9"/>
      <c r="AP101" s="9"/>
      <c r="AQ101" s="9"/>
      <c r="AR101" s="9"/>
    </row>
    <row r="102" ht="29.25" customHeight="1">
      <c r="A102" s="33"/>
      <c r="B102" s="2"/>
      <c r="C102" s="2"/>
      <c r="D102" s="2"/>
      <c r="E102" s="2"/>
      <c r="F102" s="4"/>
      <c r="G102" s="2"/>
      <c r="H102" s="2"/>
      <c r="I102" s="2"/>
      <c r="J102" s="2"/>
      <c r="K102" s="5"/>
      <c r="L102" s="2"/>
      <c r="M102" s="2"/>
      <c r="N102" s="2"/>
      <c r="O102" s="2"/>
      <c r="P102" s="2"/>
      <c r="Q102" s="2"/>
      <c r="R102" s="7"/>
      <c r="S102" s="224"/>
      <c r="T102" s="224"/>
      <c r="U102" s="224"/>
      <c r="V102" s="224"/>
      <c r="W102" s="224"/>
      <c r="X102" s="224"/>
      <c r="Y102" s="224"/>
      <c r="Z102" s="868"/>
      <c r="AA102" s="865"/>
      <c r="AB102" s="2"/>
      <c r="AC102" s="2"/>
      <c r="AD102" s="2"/>
      <c r="AE102" s="2"/>
      <c r="AF102" s="2"/>
      <c r="AG102" s="2"/>
      <c r="AH102" s="2"/>
      <c r="AI102" s="2"/>
      <c r="AJ102" s="2"/>
      <c r="AM102" s="2"/>
      <c r="AN102" s="2"/>
      <c r="AO102" s="9"/>
      <c r="AP102" s="9"/>
      <c r="AQ102" s="9"/>
      <c r="AR102" s="9"/>
    </row>
    <row r="103">
      <c r="A103" s="33"/>
      <c r="B103" s="2"/>
      <c r="C103" s="2"/>
      <c r="D103" s="2"/>
      <c r="E103" s="2"/>
      <c r="F103" s="4"/>
      <c r="G103" s="2"/>
      <c r="H103" s="2"/>
      <c r="I103" s="2"/>
      <c r="J103" s="2"/>
      <c r="K103" s="5"/>
      <c r="L103" s="2"/>
      <c r="M103" s="2"/>
      <c r="N103" s="2"/>
      <c r="O103" s="2"/>
      <c r="P103" s="2"/>
      <c r="Q103" s="2"/>
      <c r="R103" s="7"/>
      <c r="S103" s="224"/>
      <c r="T103" s="224"/>
      <c r="U103" s="224"/>
      <c r="V103" s="224"/>
      <c r="W103" s="224"/>
      <c r="X103" s="224"/>
      <c r="Y103" s="224"/>
      <c r="Z103" s="868"/>
      <c r="AA103" s="865"/>
      <c r="AB103" s="2"/>
      <c r="AC103" s="2"/>
      <c r="AD103" s="2"/>
      <c r="AE103" s="2"/>
      <c r="AF103" s="2"/>
      <c r="AG103" s="2"/>
      <c r="AH103" s="2"/>
      <c r="AI103" s="2"/>
      <c r="AJ103" s="2"/>
      <c r="AK103" s="2"/>
      <c r="AL103" s="2"/>
      <c r="AM103" s="2"/>
      <c r="AN103" s="2"/>
      <c r="AO103" s="9"/>
      <c r="AP103" s="9"/>
      <c r="AQ103" s="9"/>
      <c r="AR103" s="9"/>
    </row>
    <row r="104">
      <c r="A104" s="33"/>
      <c r="B104" s="2"/>
      <c r="C104" s="225"/>
      <c r="D104" s="2"/>
      <c r="E104" s="2"/>
      <c r="F104" s="4"/>
      <c r="G104" s="2"/>
      <c r="H104" s="2"/>
      <c r="I104" s="2"/>
      <c r="J104" s="2"/>
      <c r="K104" s="5"/>
      <c r="L104" s="2"/>
      <c r="M104" s="2"/>
      <c r="N104" s="2"/>
      <c r="O104" s="2"/>
      <c r="P104" s="2"/>
      <c r="Q104" s="2"/>
      <c r="R104" s="7"/>
      <c r="S104" s="224"/>
      <c r="T104" s="224"/>
      <c r="U104" s="224"/>
      <c r="V104" s="224"/>
      <c r="W104" s="224"/>
      <c r="X104" s="224"/>
      <c r="Y104" s="224"/>
      <c r="Z104" s="868"/>
      <c r="AA104" s="865"/>
      <c r="AB104" s="2"/>
      <c r="AC104" s="2"/>
      <c r="AD104" s="2"/>
      <c r="AE104" s="2"/>
      <c r="AF104" s="2"/>
      <c r="AG104" s="2"/>
      <c r="AH104" s="2"/>
      <c r="AI104" s="2"/>
      <c r="AJ104" s="2"/>
      <c r="AK104" s="2"/>
      <c r="AL104" s="2"/>
      <c r="AM104" s="2"/>
      <c r="AN104" s="2"/>
      <c r="AO104" s="9"/>
      <c r="AP104" s="9"/>
      <c r="AQ104" s="9"/>
      <c r="AR104" s="9"/>
    </row>
    <row r="105">
      <c r="A105" s="33"/>
      <c r="B105" s="2"/>
      <c r="C105" s="2"/>
      <c r="D105" s="2"/>
      <c r="E105" s="2"/>
      <c r="F105" s="4"/>
      <c r="G105" s="2"/>
      <c r="H105" s="2"/>
      <c r="I105" s="2"/>
      <c r="J105" s="2"/>
      <c r="K105" s="5"/>
      <c r="L105" s="2"/>
      <c r="M105" s="2"/>
      <c r="N105" s="2"/>
      <c r="O105" s="2"/>
      <c r="P105" s="2"/>
      <c r="Q105" s="2"/>
      <c r="R105" s="7"/>
      <c r="S105" s="224"/>
      <c r="T105" s="224"/>
      <c r="U105" s="224"/>
      <c r="V105" s="224"/>
      <c r="W105" s="224"/>
      <c r="X105" s="224"/>
      <c r="Y105" s="224"/>
      <c r="Z105" s="868"/>
      <c r="AA105" s="865"/>
      <c r="AB105" s="2"/>
      <c r="AC105" s="2"/>
      <c r="AD105" s="2"/>
      <c r="AE105" s="2"/>
      <c r="AF105" s="2"/>
      <c r="AG105" s="2"/>
      <c r="AH105" s="2"/>
      <c r="AI105" s="2"/>
      <c r="AJ105" s="2"/>
      <c r="AK105" s="2"/>
      <c r="AL105" s="2"/>
      <c r="AM105" s="2"/>
      <c r="AN105" s="2"/>
      <c r="AO105" s="9"/>
      <c r="AP105" s="9"/>
      <c r="AQ105" s="9"/>
      <c r="AR105" s="9"/>
    </row>
    <row r="106">
      <c r="A106" s="33"/>
      <c r="B106" s="2"/>
      <c r="C106" s="2"/>
      <c r="D106" s="2"/>
      <c r="E106" s="2"/>
      <c r="F106" s="4"/>
      <c r="G106" s="2"/>
      <c r="H106" s="2"/>
      <c r="I106" s="2"/>
      <c r="J106" s="2"/>
      <c r="K106" s="5"/>
      <c r="L106" s="2"/>
      <c r="M106" s="2"/>
      <c r="N106" s="2"/>
      <c r="O106" s="2"/>
      <c r="P106" s="2"/>
      <c r="Q106" s="2"/>
      <c r="R106" s="7"/>
      <c r="S106" s="224"/>
      <c r="T106" s="224"/>
      <c r="U106" s="224"/>
      <c r="V106" s="224"/>
      <c r="W106" s="224"/>
      <c r="X106" s="224"/>
      <c r="Y106" s="224"/>
      <c r="Z106" s="868"/>
      <c r="AA106" s="865"/>
      <c r="AB106" s="2"/>
      <c r="AC106" s="2"/>
      <c r="AD106" s="2"/>
      <c r="AE106" s="2"/>
      <c r="AF106" s="2"/>
      <c r="AG106" s="2"/>
      <c r="AH106" s="2"/>
      <c r="AI106" s="2"/>
      <c r="AJ106" s="2"/>
      <c r="AK106" s="2"/>
      <c r="AL106" s="2"/>
      <c r="AM106" s="2"/>
      <c r="AN106" s="2"/>
      <c r="AO106" s="9"/>
      <c r="AP106" s="9"/>
      <c r="AQ106" s="9"/>
      <c r="AR106" s="9"/>
    </row>
    <row r="107">
      <c r="A107" s="33"/>
      <c r="B107" s="2"/>
      <c r="C107" s="2"/>
      <c r="D107" s="2"/>
      <c r="E107" s="2"/>
      <c r="F107" s="4"/>
      <c r="G107" s="2"/>
      <c r="H107" s="2"/>
      <c r="I107" s="2"/>
      <c r="J107" s="2"/>
      <c r="K107" s="5"/>
      <c r="L107" s="2"/>
      <c r="M107" s="2"/>
      <c r="N107" s="2"/>
      <c r="O107" s="2"/>
      <c r="P107" s="2"/>
      <c r="Q107" s="2"/>
      <c r="R107" s="7"/>
      <c r="S107" s="224"/>
      <c r="T107" s="224"/>
      <c r="U107" s="224"/>
      <c r="V107" s="224"/>
      <c r="W107" s="224"/>
      <c r="X107" s="224"/>
      <c r="Y107" s="224"/>
      <c r="Z107" s="868"/>
      <c r="AA107" s="865"/>
      <c r="AB107" s="2"/>
      <c r="AC107" s="2"/>
      <c r="AD107" s="2"/>
      <c r="AE107" s="2"/>
      <c r="AF107" s="2"/>
      <c r="AG107" s="2"/>
      <c r="AH107" s="2"/>
      <c r="AI107" s="2"/>
      <c r="AJ107" s="2"/>
      <c r="AK107" s="2"/>
      <c r="AL107" s="2"/>
      <c r="AM107" s="2"/>
      <c r="AN107" s="2"/>
      <c r="AO107" s="9"/>
      <c r="AP107" s="9"/>
      <c r="AQ107" s="9"/>
      <c r="AR107" s="9"/>
    </row>
    <row r="108">
      <c r="A108" s="33"/>
      <c r="B108" s="2"/>
      <c r="C108" s="2"/>
      <c r="D108" s="2"/>
      <c r="E108" s="2"/>
      <c r="F108" s="4"/>
      <c r="G108" s="2"/>
      <c r="H108" s="2"/>
      <c r="I108" s="2"/>
      <c r="J108" s="2"/>
      <c r="K108" s="5"/>
      <c r="L108" s="2"/>
      <c r="M108" s="2"/>
      <c r="N108" s="2"/>
      <c r="O108" s="2"/>
      <c r="P108" s="2"/>
      <c r="Q108" s="2"/>
      <c r="R108" s="7"/>
      <c r="S108" s="224"/>
      <c r="T108" s="224"/>
      <c r="U108" s="224"/>
      <c r="V108" s="224"/>
      <c r="W108" s="224"/>
      <c r="X108" s="224"/>
      <c r="Y108" s="224"/>
      <c r="Z108" s="868"/>
      <c r="AA108" s="865"/>
      <c r="AB108" s="2"/>
      <c r="AC108" s="2"/>
      <c r="AD108" s="2"/>
      <c r="AE108" s="2"/>
      <c r="AF108" s="2"/>
      <c r="AG108" s="2"/>
      <c r="AH108" s="2"/>
      <c r="AI108" s="2"/>
      <c r="AJ108" s="2"/>
      <c r="AK108" s="2"/>
      <c r="AL108" s="2"/>
      <c r="AM108" s="2"/>
      <c r="AN108" s="2"/>
      <c r="AO108" s="9"/>
      <c r="AP108" s="9"/>
      <c r="AQ108" s="9"/>
      <c r="AR108" s="9"/>
    </row>
    <row r="109">
      <c r="A109" s="33"/>
      <c r="B109" s="2"/>
      <c r="C109" s="2"/>
      <c r="D109" s="2"/>
      <c r="E109" s="2"/>
      <c r="F109" s="4"/>
      <c r="G109" s="2"/>
      <c r="H109" s="2"/>
      <c r="I109" s="2"/>
      <c r="J109" s="2"/>
      <c r="K109" s="5"/>
      <c r="L109" s="2"/>
      <c r="M109" s="2"/>
      <c r="N109" s="2"/>
      <c r="O109" s="2"/>
      <c r="P109" s="2"/>
      <c r="Q109" s="2"/>
      <c r="R109" s="7"/>
      <c r="S109" s="224"/>
      <c r="T109" s="224"/>
      <c r="U109" s="224"/>
      <c r="V109" s="224"/>
      <c r="W109" s="224"/>
      <c r="X109" s="224"/>
      <c r="Y109" s="224"/>
      <c r="Z109" s="868"/>
      <c r="AA109" s="865"/>
      <c r="AB109" s="2"/>
      <c r="AC109" s="2"/>
      <c r="AD109" s="2"/>
      <c r="AE109" s="2"/>
      <c r="AF109" s="2"/>
      <c r="AG109" s="2"/>
      <c r="AH109" s="2"/>
      <c r="AI109" s="2"/>
      <c r="AJ109" s="2"/>
      <c r="AK109" s="2"/>
      <c r="AL109" s="2"/>
      <c r="AM109" s="2"/>
      <c r="AN109" s="2"/>
      <c r="AO109" s="9"/>
      <c r="AP109" s="9"/>
      <c r="AQ109" s="9"/>
      <c r="AR109" s="9"/>
    </row>
    <row r="110">
      <c r="A110" s="33"/>
      <c r="B110" s="2"/>
      <c r="C110" s="2"/>
      <c r="D110" s="2"/>
      <c r="E110" s="2"/>
      <c r="F110" s="4"/>
      <c r="G110" s="2"/>
      <c r="H110" s="2"/>
      <c r="I110" s="2"/>
      <c r="J110" s="2"/>
      <c r="K110" s="5"/>
      <c r="L110" s="2"/>
      <c r="M110" s="2"/>
      <c r="N110" s="2"/>
      <c r="O110" s="2"/>
      <c r="P110" s="2"/>
      <c r="Q110" s="2"/>
      <c r="R110" s="7"/>
      <c r="S110" s="224"/>
      <c r="T110" s="224"/>
      <c r="U110" s="224"/>
      <c r="V110" s="224"/>
      <c r="W110" s="224"/>
      <c r="X110" s="224"/>
      <c r="Y110" s="224"/>
      <c r="Z110" s="868"/>
      <c r="AA110" s="865"/>
      <c r="AB110" s="2"/>
      <c r="AC110" s="2"/>
      <c r="AD110" s="2"/>
      <c r="AE110" s="2"/>
      <c r="AF110" s="2"/>
      <c r="AG110" s="2"/>
      <c r="AH110" s="2"/>
      <c r="AI110" s="2"/>
      <c r="AJ110" s="2"/>
      <c r="AK110" s="2"/>
      <c r="AL110" s="2"/>
      <c r="AM110" s="2"/>
      <c r="AN110" s="2"/>
      <c r="AO110" s="9"/>
      <c r="AP110" s="9"/>
      <c r="AQ110" s="9"/>
      <c r="AR110" s="9"/>
    </row>
    <row r="111">
      <c r="A111" s="33"/>
      <c r="B111" s="2"/>
      <c r="C111" s="2"/>
      <c r="D111" s="2"/>
      <c r="E111" s="2"/>
      <c r="F111" s="4"/>
      <c r="G111" s="2"/>
      <c r="H111" s="2"/>
      <c r="I111" s="2"/>
      <c r="J111" s="2"/>
      <c r="K111" s="5"/>
      <c r="L111" s="2"/>
      <c r="M111" s="2"/>
      <c r="N111" s="2"/>
      <c r="O111" s="2"/>
      <c r="P111" s="2"/>
      <c r="Q111" s="2"/>
      <c r="R111" s="7"/>
      <c r="S111" s="224"/>
      <c r="T111" s="224"/>
      <c r="U111" s="224"/>
      <c r="V111" s="224"/>
      <c r="W111" s="224"/>
      <c r="X111" s="224"/>
      <c r="Y111" s="224"/>
      <c r="Z111" s="868"/>
      <c r="AA111" s="865"/>
      <c r="AB111" s="2"/>
      <c r="AC111" s="2"/>
      <c r="AD111" s="2"/>
      <c r="AE111" s="2"/>
      <c r="AF111" s="2"/>
      <c r="AG111" s="2"/>
      <c r="AH111" s="2"/>
      <c r="AI111" s="2"/>
      <c r="AJ111" s="2"/>
      <c r="AK111" s="2"/>
      <c r="AL111" s="2"/>
      <c r="AM111" s="2"/>
      <c r="AN111" s="2"/>
      <c r="AO111" s="9"/>
      <c r="AP111" s="9"/>
      <c r="AQ111" s="9"/>
      <c r="AR111" s="9"/>
    </row>
    <row r="112">
      <c r="A112" s="33"/>
      <c r="B112" s="2"/>
      <c r="C112" s="2"/>
      <c r="D112" s="2"/>
      <c r="E112" s="2"/>
      <c r="F112" s="4"/>
      <c r="G112" s="2"/>
      <c r="H112" s="2"/>
      <c r="I112" s="2"/>
      <c r="J112" s="2"/>
      <c r="K112" s="5"/>
      <c r="L112" s="2"/>
      <c r="M112" s="2"/>
      <c r="N112" s="2"/>
      <c r="O112" s="2"/>
      <c r="P112" s="2"/>
      <c r="Q112" s="2"/>
      <c r="R112" s="7"/>
      <c r="S112" s="224"/>
      <c r="T112" s="224"/>
      <c r="U112" s="224"/>
      <c r="V112" s="224"/>
      <c r="W112" s="224"/>
      <c r="X112" s="224"/>
      <c r="Y112" s="224"/>
      <c r="Z112" s="868"/>
      <c r="AA112" s="865"/>
      <c r="AB112" s="2"/>
      <c r="AC112" s="2"/>
      <c r="AD112" s="2"/>
      <c r="AE112" s="2"/>
      <c r="AF112" s="2"/>
      <c r="AG112" s="2"/>
      <c r="AH112" s="2"/>
      <c r="AI112" s="2"/>
      <c r="AJ112" s="2"/>
      <c r="AK112" s="2"/>
      <c r="AL112" s="2"/>
      <c r="AM112" s="2"/>
      <c r="AN112" s="2"/>
      <c r="AO112" s="9"/>
      <c r="AP112" s="9"/>
      <c r="AQ112" s="9"/>
      <c r="AR112" s="9"/>
    </row>
    <row r="113">
      <c r="A113" s="33"/>
      <c r="B113" s="2"/>
      <c r="C113" s="2"/>
      <c r="D113" s="2"/>
      <c r="E113" s="2"/>
      <c r="F113" s="4"/>
      <c r="G113" s="2"/>
      <c r="H113" s="2"/>
      <c r="I113" s="2"/>
      <c r="J113" s="2"/>
      <c r="K113" s="5"/>
      <c r="L113" s="2"/>
      <c r="M113" s="2"/>
      <c r="N113" s="2"/>
      <c r="O113" s="2"/>
      <c r="P113" s="2"/>
      <c r="Q113" s="2"/>
      <c r="R113" s="7"/>
      <c r="S113" s="224"/>
      <c r="T113" s="224"/>
      <c r="U113" s="224"/>
      <c r="V113" s="224"/>
      <c r="W113" s="224"/>
      <c r="X113" s="224"/>
      <c r="Y113" s="224"/>
      <c r="Z113" s="868"/>
      <c r="AA113" s="865"/>
      <c r="AB113" s="2"/>
      <c r="AC113" s="2"/>
      <c r="AD113" s="2"/>
      <c r="AE113" s="2"/>
      <c r="AF113" s="2"/>
      <c r="AG113" s="2"/>
      <c r="AH113" s="2"/>
      <c r="AI113" s="2"/>
      <c r="AJ113" s="2"/>
      <c r="AK113" s="2"/>
      <c r="AL113" s="2"/>
      <c r="AM113" s="2"/>
      <c r="AN113" s="2"/>
      <c r="AO113" s="9"/>
      <c r="AP113" s="9"/>
      <c r="AQ113" s="9"/>
      <c r="AR113" s="9"/>
    </row>
    <row r="114">
      <c r="A114" s="33"/>
      <c r="B114" s="2"/>
      <c r="C114" s="2"/>
      <c r="D114" s="2"/>
      <c r="E114" s="2"/>
      <c r="F114" s="4"/>
      <c r="G114" s="2"/>
      <c r="H114" s="2"/>
      <c r="I114" s="2"/>
      <c r="J114" s="2"/>
      <c r="K114" s="5"/>
      <c r="L114" s="2"/>
      <c r="M114" s="2"/>
      <c r="N114" s="2"/>
      <c r="O114" s="2"/>
      <c r="P114" s="2"/>
      <c r="Q114" s="2"/>
      <c r="R114" s="7"/>
      <c r="S114" s="224"/>
      <c r="T114" s="224"/>
      <c r="U114" s="224"/>
      <c r="V114" s="224"/>
      <c r="W114" s="224"/>
      <c r="X114" s="224"/>
      <c r="Y114" s="224"/>
      <c r="Z114" s="868"/>
      <c r="AA114" s="865"/>
      <c r="AB114" s="2"/>
      <c r="AC114" s="2"/>
      <c r="AD114" s="2"/>
      <c r="AE114" s="2"/>
      <c r="AF114" s="2"/>
      <c r="AG114" s="2"/>
      <c r="AH114" s="2"/>
      <c r="AI114" s="2"/>
      <c r="AJ114" s="2"/>
      <c r="AK114" s="2"/>
      <c r="AL114" s="2"/>
      <c r="AM114" s="2"/>
      <c r="AN114" s="2"/>
      <c r="AO114" s="9"/>
      <c r="AP114" s="9"/>
      <c r="AQ114" s="9"/>
      <c r="AR114" s="9"/>
    </row>
    <row r="115">
      <c r="A115" s="33"/>
      <c r="B115" s="2"/>
      <c r="C115" s="2"/>
      <c r="D115" s="2"/>
      <c r="E115" s="2"/>
      <c r="F115" s="4"/>
      <c r="G115" s="2"/>
      <c r="H115" s="2"/>
      <c r="I115" s="2"/>
      <c r="J115" s="2"/>
      <c r="K115" s="5"/>
      <c r="L115" s="2"/>
      <c r="M115" s="2"/>
      <c r="N115" s="2"/>
      <c r="O115" s="2"/>
      <c r="P115" s="2"/>
      <c r="Q115" s="2"/>
      <c r="R115" s="7"/>
      <c r="S115" s="224"/>
      <c r="T115" s="224"/>
      <c r="U115" s="224"/>
      <c r="V115" s="224"/>
      <c r="W115" s="224"/>
      <c r="X115" s="224"/>
      <c r="Y115" s="224"/>
      <c r="Z115" s="868"/>
      <c r="AA115" s="865"/>
      <c r="AB115" s="2"/>
      <c r="AC115" s="2"/>
      <c r="AD115" s="2"/>
      <c r="AE115" s="2"/>
      <c r="AF115" s="2"/>
      <c r="AG115" s="2"/>
      <c r="AH115" s="2"/>
      <c r="AI115" s="2"/>
      <c r="AJ115" s="2"/>
      <c r="AK115" s="2"/>
      <c r="AL115" s="2"/>
      <c r="AM115" s="2"/>
      <c r="AN115" s="2"/>
      <c r="AO115" s="9"/>
      <c r="AP115" s="9"/>
      <c r="AQ115" s="9"/>
      <c r="AR115" s="9"/>
    </row>
    <row r="116">
      <c r="A116" s="33"/>
      <c r="B116" s="2"/>
      <c r="C116" s="2"/>
      <c r="D116" s="2"/>
      <c r="E116" s="2"/>
      <c r="F116" s="4"/>
      <c r="G116" s="2"/>
      <c r="H116" s="2"/>
      <c r="I116" s="2"/>
      <c r="J116" s="2"/>
      <c r="K116" s="5"/>
      <c r="L116" s="2"/>
      <c r="M116" s="2"/>
      <c r="N116" s="2"/>
      <c r="O116" s="2"/>
      <c r="P116" s="2"/>
      <c r="Q116" s="2"/>
      <c r="R116" s="7"/>
      <c r="S116" s="224"/>
      <c r="T116" s="224"/>
      <c r="U116" s="224"/>
      <c r="V116" s="224"/>
      <c r="W116" s="224"/>
      <c r="X116" s="224"/>
      <c r="Y116" s="224"/>
      <c r="Z116" s="868"/>
      <c r="AA116" s="865"/>
      <c r="AB116" s="2"/>
      <c r="AC116" s="2"/>
      <c r="AD116" s="2"/>
      <c r="AE116" s="2"/>
      <c r="AF116" s="2"/>
      <c r="AG116" s="2"/>
      <c r="AH116" s="2"/>
      <c r="AI116" s="2"/>
      <c r="AJ116" s="2"/>
      <c r="AK116" s="2"/>
      <c r="AL116" s="2"/>
      <c r="AM116" s="2"/>
      <c r="AN116" s="2"/>
      <c r="AO116" s="9"/>
      <c r="AP116" s="9"/>
      <c r="AQ116" s="9"/>
      <c r="AR116" s="9"/>
    </row>
    <row r="117">
      <c r="A117" s="33"/>
      <c r="B117" s="2"/>
      <c r="C117" s="2"/>
      <c r="D117" s="2"/>
      <c r="E117" s="2"/>
      <c r="F117" s="4"/>
      <c r="G117" s="2"/>
      <c r="H117" s="2"/>
      <c r="I117" s="2"/>
      <c r="J117" s="2"/>
      <c r="K117" s="5"/>
      <c r="L117" s="2"/>
      <c r="M117" s="2"/>
      <c r="N117" s="2"/>
      <c r="O117" s="2"/>
      <c r="P117" s="2"/>
      <c r="Q117" s="2"/>
      <c r="R117" s="7"/>
      <c r="S117" s="224"/>
      <c r="T117" s="224"/>
      <c r="U117" s="224"/>
      <c r="V117" s="224"/>
      <c r="W117" s="224"/>
      <c r="X117" s="224"/>
      <c r="Y117" s="224"/>
      <c r="Z117" s="868"/>
      <c r="AA117" s="865"/>
      <c r="AB117" s="2"/>
      <c r="AC117" s="2"/>
      <c r="AD117" s="2"/>
      <c r="AE117" s="2"/>
      <c r="AF117" s="2"/>
      <c r="AG117" s="2"/>
      <c r="AH117" s="2"/>
      <c r="AI117" s="2"/>
      <c r="AJ117" s="2"/>
      <c r="AK117" s="2"/>
      <c r="AL117" s="2"/>
      <c r="AM117" s="2"/>
      <c r="AN117" s="2"/>
      <c r="AO117" s="9"/>
      <c r="AP117" s="9"/>
      <c r="AQ117" s="9"/>
      <c r="AR117" s="9"/>
    </row>
    <row r="118">
      <c r="A118" s="33"/>
      <c r="B118" s="2"/>
      <c r="C118" s="2"/>
      <c r="D118" s="2"/>
      <c r="E118" s="2"/>
      <c r="F118" s="4"/>
      <c r="G118" s="2"/>
      <c r="H118" s="2"/>
      <c r="I118" s="2"/>
      <c r="J118" s="2"/>
      <c r="K118" s="5"/>
      <c r="L118" s="2"/>
      <c r="M118" s="2"/>
      <c r="N118" s="2"/>
      <c r="O118" s="2"/>
      <c r="P118" s="2"/>
      <c r="Q118" s="2"/>
      <c r="R118" s="7"/>
      <c r="S118" s="224"/>
      <c r="T118" s="224"/>
      <c r="U118" s="224"/>
      <c r="V118" s="224"/>
      <c r="W118" s="224"/>
      <c r="X118" s="224"/>
      <c r="Y118" s="224"/>
      <c r="Z118" s="868"/>
      <c r="AA118" s="865"/>
      <c r="AB118" s="2"/>
      <c r="AC118" s="2"/>
      <c r="AD118" s="2"/>
      <c r="AE118" s="2"/>
      <c r="AF118" s="2"/>
      <c r="AG118" s="2"/>
      <c r="AH118" s="2"/>
      <c r="AI118" s="2"/>
      <c r="AJ118" s="2"/>
      <c r="AK118" s="2"/>
      <c r="AL118" s="2"/>
      <c r="AM118" s="2"/>
      <c r="AN118" s="2"/>
      <c r="AO118" s="9"/>
      <c r="AP118" s="9"/>
      <c r="AQ118" s="9"/>
      <c r="AR118" s="9"/>
    </row>
    <row r="119">
      <c r="A119" s="33"/>
      <c r="B119" s="2"/>
      <c r="C119" s="2"/>
      <c r="D119" s="2"/>
      <c r="E119" s="2"/>
      <c r="F119" s="4"/>
      <c r="G119" s="2"/>
      <c r="H119" s="2"/>
      <c r="I119" s="2"/>
      <c r="J119" s="2"/>
      <c r="K119" s="5"/>
      <c r="L119" s="2"/>
      <c r="M119" s="2"/>
      <c r="N119" s="2"/>
      <c r="O119" s="2"/>
      <c r="P119" s="2"/>
      <c r="Q119" s="2"/>
      <c r="R119" s="7"/>
      <c r="S119" s="224"/>
      <c r="T119" s="224"/>
      <c r="U119" s="224"/>
      <c r="V119" s="224"/>
      <c r="W119" s="224"/>
      <c r="X119" s="224"/>
      <c r="Y119" s="224"/>
      <c r="Z119" s="868"/>
      <c r="AA119" s="865"/>
      <c r="AB119" s="2"/>
      <c r="AC119" s="2"/>
      <c r="AD119" s="2"/>
      <c r="AE119" s="2"/>
      <c r="AF119" s="2"/>
      <c r="AG119" s="2"/>
      <c r="AH119" s="2"/>
      <c r="AI119" s="2"/>
      <c r="AJ119" s="2"/>
      <c r="AK119" s="2"/>
      <c r="AL119" s="2"/>
      <c r="AM119" s="2"/>
      <c r="AN119" s="2"/>
      <c r="AO119" s="9"/>
      <c r="AP119" s="9"/>
      <c r="AQ119" s="9"/>
      <c r="AR119" s="9"/>
    </row>
    <row r="120">
      <c r="A120" s="33"/>
      <c r="B120" s="2"/>
      <c r="C120" s="2"/>
      <c r="D120" s="2"/>
      <c r="E120" s="2"/>
      <c r="F120" s="4"/>
      <c r="G120" s="2"/>
      <c r="H120" s="2"/>
      <c r="I120" s="2"/>
      <c r="J120" s="2"/>
      <c r="K120" s="5"/>
      <c r="L120" s="2"/>
      <c r="M120" s="2"/>
      <c r="N120" s="2"/>
      <c r="O120" s="2"/>
      <c r="P120" s="2"/>
      <c r="Q120" s="2"/>
      <c r="R120" s="7"/>
      <c r="S120" s="224"/>
      <c r="T120" s="224"/>
      <c r="U120" s="224"/>
      <c r="V120" s="224"/>
      <c r="W120" s="224"/>
      <c r="X120" s="224"/>
      <c r="Y120" s="224"/>
      <c r="Z120" s="868"/>
      <c r="AA120" s="865"/>
      <c r="AB120" s="2"/>
      <c r="AC120" s="2"/>
      <c r="AD120" s="2"/>
      <c r="AE120" s="2"/>
      <c r="AF120" s="2"/>
      <c r="AG120" s="2"/>
      <c r="AH120" s="2"/>
      <c r="AI120" s="2"/>
      <c r="AJ120" s="2"/>
      <c r="AK120" s="2"/>
      <c r="AL120" s="2"/>
      <c r="AM120" s="2"/>
      <c r="AN120" s="2"/>
      <c r="AO120" s="9"/>
      <c r="AP120" s="9"/>
      <c r="AQ120" s="9"/>
      <c r="AR120" s="9"/>
    </row>
    <row r="121">
      <c r="A121" s="33"/>
      <c r="B121" s="2"/>
      <c r="C121" s="2"/>
      <c r="D121" s="2"/>
      <c r="E121" s="2"/>
      <c r="F121" s="4"/>
      <c r="G121" s="2"/>
      <c r="H121" s="2"/>
      <c r="I121" s="2"/>
      <c r="J121" s="2"/>
      <c r="K121" s="5"/>
      <c r="L121" s="2"/>
      <c r="M121" s="2"/>
      <c r="N121" s="2"/>
      <c r="O121" s="2"/>
      <c r="P121" s="2"/>
      <c r="Q121" s="2"/>
      <c r="R121" s="7"/>
      <c r="S121" s="224"/>
      <c r="T121" s="224"/>
      <c r="U121" s="224"/>
      <c r="V121" s="224"/>
      <c r="W121" s="224"/>
      <c r="X121" s="224"/>
      <c r="Y121" s="224"/>
      <c r="Z121" s="868"/>
      <c r="AA121" s="865"/>
      <c r="AB121" s="2"/>
      <c r="AC121" s="2"/>
      <c r="AD121" s="2"/>
      <c r="AE121" s="2"/>
      <c r="AF121" s="2"/>
      <c r="AG121" s="2"/>
      <c r="AH121" s="2"/>
      <c r="AI121" s="2"/>
      <c r="AJ121" s="2"/>
      <c r="AK121" s="2"/>
      <c r="AL121" s="2"/>
      <c r="AM121" s="2"/>
      <c r="AN121" s="2"/>
      <c r="AO121" s="9"/>
      <c r="AP121" s="9"/>
      <c r="AQ121" s="9"/>
      <c r="AR121" s="9"/>
    </row>
    <row r="122">
      <c r="A122" s="33"/>
      <c r="B122" s="2"/>
      <c r="C122" s="2"/>
      <c r="D122" s="2"/>
      <c r="E122" s="2"/>
      <c r="F122" s="4"/>
      <c r="G122" s="2"/>
      <c r="H122" s="2"/>
      <c r="I122" s="2"/>
      <c r="J122" s="2"/>
      <c r="K122" s="5"/>
      <c r="L122" s="2"/>
      <c r="M122" s="2"/>
      <c r="N122" s="2"/>
      <c r="O122" s="2"/>
      <c r="P122" s="2"/>
      <c r="Q122" s="2"/>
      <c r="R122" s="7"/>
      <c r="S122" s="224"/>
      <c r="T122" s="224"/>
      <c r="U122" s="224"/>
      <c r="V122" s="224"/>
      <c r="W122" s="224"/>
      <c r="X122" s="224"/>
      <c r="Y122" s="224"/>
      <c r="Z122" s="868"/>
      <c r="AA122" s="865"/>
      <c r="AB122" s="2"/>
      <c r="AC122" s="2"/>
      <c r="AD122" s="2"/>
      <c r="AE122" s="2"/>
      <c r="AF122" s="2"/>
      <c r="AG122" s="2"/>
      <c r="AH122" s="2"/>
      <c r="AI122" s="2"/>
      <c r="AJ122" s="2"/>
      <c r="AK122" s="2"/>
      <c r="AL122" s="2"/>
      <c r="AM122" s="2"/>
      <c r="AN122" s="2"/>
      <c r="AO122" s="9"/>
      <c r="AP122" s="9"/>
      <c r="AQ122" s="9"/>
      <c r="AR122" s="9"/>
    </row>
    <row r="123">
      <c r="A123" s="33"/>
      <c r="B123" s="2"/>
      <c r="C123" s="2"/>
      <c r="D123" s="2"/>
      <c r="E123" s="2"/>
      <c r="F123" s="4"/>
      <c r="G123" s="2"/>
      <c r="H123" s="2"/>
      <c r="I123" s="2"/>
      <c r="J123" s="2"/>
      <c r="K123" s="5"/>
      <c r="L123" s="2"/>
      <c r="M123" s="2"/>
      <c r="N123" s="2"/>
      <c r="O123" s="2"/>
      <c r="P123" s="2"/>
      <c r="Q123" s="2"/>
      <c r="R123" s="7"/>
      <c r="S123" s="224"/>
      <c r="T123" s="224"/>
      <c r="U123" s="224"/>
      <c r="V123" s="224"/>
      <c r="W123" s="224"/>
      <c r="X123" s="224"/>
      <c r="Y123" s="224"/>
      <c r="Z123" s="868"/>
      <c r="AA123" s="865"/>
      <c r="AB123" s="2"/>
      <c r="AC123" s="2"/>
      <c r="AD123" s="2"/>
      <c r="AE123" s="2"/>
      <c r="AF123" s="2"/>
      <c r="AG123" s="2"/>
      <c r="AH123" s="2"/>
      <c r="AI123" s="2"/>
      <c r="AJ123" s="2"/>
      <c r="AK123" s="2"/>
      <c r="AL123" s="2"/>
      <c r="AM123" s="2"/>
      <c r="AN123" s="2"/>
      <c r="AO123" s="9"/>
      <c r="AP123" s="9"/>
      <c r="AQ123" s="9"/>
      <c r="AR123" s="9"/>
    </row>
    <row r="124">
      <c r="A124" s="33"/>
      <c r="B124" s="2"/>
      <c r="C124" s="2"/>
      <c r="D124" s="2"/>
      <c r="E124" s="2"/>
      <c r="F124" s="4"/>
      <c r="G124" s="2"/>
      <c r="H124" s="2"/>
      <c r="I124" s="2"/>
      <c r="J124" s="2"/>
      <c r="K124" s="5"/>
      <c r="L124" s="2"/>
      <c r="M124" s="2"/>
      <c r="N124" s="2"/>
      <c r="O124" s="2"/>
      <c r="P124" s="2"/>
      <c r="Q124" s="2"/>
      <c r="R124" s="7"/>
      <c r="S124" s="224"/>
      <c r="T124" s="224"/>
      <c r="U124" s="224"/>
      <c r="V124" s="224"/>
      <c r="W124" s="224"/>
      <c r="X124" s="224"/>
      <c r="Y124" s="224"/>
      <c r="Z124" s="868"/>
      <c r="AA124" s="865"/>
      <c r="AB124" s="2"/>
      <c r="AC124" s="2"/>
      <c r="AD124" s="2"/>
      <c r="AE124" s="2"/>
      <c r="AF124" s="2"/>
      <c r="AG124" s="2"/>
      <c r="AH124" s="2"/>
      <c r="AI124" s="2"/>
      <c r="AJ124" s="2"/>
      <c r="AK124" s="2"/>
      <c r="AL124" s="2"/>
      <c r="AM124" s="2"/>
      <c r="AN124" s="2"/>
      <c r="AO124" s="9"/>
      <c r="AP124" s="9"/>
      <c r="AQ124" s="9"/>
      <c r="AR124" s="9"/>
    </row>
    <row r="125">
      <c r="A125" s="33"/>
      <c r="B125" s="2"/>
      <c r="C125" s="2"/>
      <c r="D125" s="2"/>
      <c r="E125" s="2"/>
      <c r="F125" s="4"/>
      <c r="G125" s="2"/>
      <c r="H125" s="2"/>
      <c r="I125" s="2"/>
      <c r="J125" s="2"/>
      <c r="K125" s="5"/>
      <c r="L125" s="2"/>
      <c r="M125" s="2"/>
      <c r="N125" s="2"/>
      <c r="O125" s="2"/>
      <c r="P125" s="2"/>
      <c r="Q125" s="2"/>
      <c r="R125" s="7"/>
      <c r="S125" s="224"/>
      <c r="T125" s="224"/>
      <c r="U125" s="224"/>
      <c r="V125" s="224"/>
      <c r="W125" s="224"/>
      <c r="X125" s="224"/>
      <c r="Y125" s="224"/>
      <c r="Z125" s="868"/>
      <c r="AA125" s="865"/>
      <c r="AB125" s="2"/>
      <c r="AC125" s="2"/>
      <c r="AD125" s="2"/>
      <c r="AE125" s="2"/>
      <c r="AF125" s="2"/>
      <c r="AG125" s="2"/>
      <c r="AH125" s="2"/>
      <c r="AI125" s="2"/>
      <c r="AJ125" s="2"/>
      <c r="AK125" s="2"/>
      <c r="AL125" s="2"/>
      <c r="AM125" s="2"/>
      <c r="AN125" s="2"/>
      <c r="AO125" s="9"/>
      <c r="AP125" s="9"/>
      <c r="AQ125" s="9"/>
      <c r="AR125" s="9"/>
    </row>
    <row r="126">
      <c r="A126" s="33"/>
      <c r="B126" s="2"/>
      <c r="C126" s="2"/>
      <c r="D126" s="2"/>
      <c r="E126" s="2"/>
      <c r="F126" s="4"/>
      <c r="G126" s="2"/>
      <c r="H126" s="2"/>
      <c r="I126" s="2"/>
      <c r="J126" s="2"/>
      <c r="K126" s="5"/>
      <c r="L126" s="2"/>
      <c r="M126" s="2"/>
      <c r="N126" s="2"/>
      <c r="O126" s="2"/>
      <c r="P126" s="2"/>
      <c r="Q126" s="2"/>
      <c r="R126" s="7"/>
      <c r="S126" s="224"/>
      <c r="T126" s="224"/>
      <c r="U126" s="224"/>
      <c r="V126" s="224"/>
      <c r="W126" s="224"/>
      <c r="X126" s="224"/>
      <c r="Y126" s="224"/>
      <c r="Z126" s="868"/>
      <c r="AA126" s="865"/>
      <c r="AB126" s="2"/>
      <c r="AC126" s="2"/>
      <c r="AD126" s="2"/>
      <c r="AE126" s="2"/>
      <c r="AF126" s="2"/>
      <c r="AG126" s="2"/>
      <c r="AH126" s="2"/>
      <c r="AI126" s="2"/>
      <c r="AJ126" s="2"/>
      <c r="AK126" s="2"/>
      <c r="AL126" s="2"/>
      <c r="AM126" s="2"/>
      <c r="AN126" s="2"/>
      <c r="AO126" s="9"/>
      <c r="AP126" s="9"/>
      <c r="AQ126" s="9"/>
      <c r="AR126" s="9"/>
    </row>
    <row r="127">
      <c r="A127" s="33"/>
      <c r="B127" s="2"/>
      <c r="C127" s="2"/>
      <c r="D127" s="2"/>
      <c r="E127" s="2"/>
      <c r="F127" s="4"/>
      <c r="G127" s="2"/>
      <c r="H127" s="2"/>
      <c r="I127" s="2"/>
      <c r="J127" s="2"/>
      <c r="K127" s="5"/>
      <c r="L127" s="2"/>
      <c r="M127" s="2"/>
      <c r="N127" s="2"/>
      <c r="O127" s="2"/>
      <c r="P127" s="2"/>
      <c r="Q127" s="2"/>
      <c r="R127" s="7"/>
      <c r="S127" s="224"/>
      <c r="T127" s="224"/>
      <c r="U127" s="224"/>
      <c r="V127" s="224"/>
      <c r="W127" s="224"/>
      <c r="X127" s="224"/>
      <c r="Y127" s="224"/>
      <c r="Z127" s="868"/>
      <c r="AA127" s="865"/>
      <c r="AB127" s="2"/>
      <c r="AC127" s="2"/>
      <c r="AD127" s="2"/>
      <c r="AE127" s="2"/>
      <c r="AF127" s="2"/>
      <c r="AG127" s="2"/>
      <c r="AH127" s="2"/>
      <c r="AI127" s="2"/>
      <c r="AJ127" s="2"/>
      <c r="AK127" s="2"/>
      <c r="AL127" s="2"/>
      <c r="AM127" s="2"/>
      <c r="AN127" s="2"/>
      <c r="AO127" s="9"/>
      <c r="AP127" s="9"/>
      <c r="AQ127" s="9"/>
      <c r="AR127" s="9"/>
    </row>
    <row r="128">
      <c r="A128" s="33"/>
      <c r="B128" s="2"/>
      <c r="C128" s="2"/>
      <c r="D128" s="2"/>
      <c r="E128" s="2"/>
      <c r="F128" s="4"/>
      <c r="G128" s="2"/>
      <c r="H128" s="2"/>
      <c r="I128" s="2"/>
      <c r="J128" s="2"/>
      <c r="K128" s="5"/>
      <c r="L128" s="2"/>
      <c r="M128" s="2"/>
      <c r="N128" s="2"/>
      <c r="O128" s="2"/>
      <c r="P128" s="2"/>
      <c r="Q128" s="2"/>
      <c r="R128" s="7"/>
      <c r="S128" s="224"/>
      <c r="T128" s="224"/>
      <c r="U128" s="224"/>
      <c r="V128" s="224"/>
      <c r="W128" s="224"/>
      <c r="X128" s="224"/>
      <c r="Y128" s="224"/>
      <c r="Z128" s="868"/>
      <c r="AA128" s="865"/>
      <c r="AB128" s="2"/>
      <c r="AC128" s="2"/>
      <c r="AD128" s="2"/>
      <c r="AE128" s="2"/>
      <c r="AF128" s="2"/>
      <c r="AG128" s="2"/>
      <c r="AH128" s="2"/>
      <c r="AI128" s="2"/>
      <c r="AJ128" s="2"/>
      <c r="AK128" s="2"/>
      <c r="AL128" s="2"/>
      <c r="AM128" s="2"/>
      <c r="AN128" s="2"/>
      <c r="AO128" s="9"/>
      <c r="AP128" s="9"/>
      <c r="AQ128" s="9"/>
      <c r="AR128" s="9"/>
    </row>
    <row r="129">
      <c r="A129" s="33"/>
      <c r="B129" s="2"/>
      <c r="C129" s="2"/>
      <c r="D129" s="2"/>
      <c r="E129" s="2"/>
      <c r="F129" s="4"/>
      <c r="G129" s="2"/>
      <c r="H129" s="2"/>
      <c r="I129" s="2"/>
      <c r="J129" s="2"/>
      <c r="K129" s="5"/>
      <c r="L129" s="2"/>
      <c r="M129" s="2"/>
      <c r="N129" s="2"/>
      <c r="O129" s="2"/>
      <c r="P129" s="2"/>
      <c r="Q129" s="2"/>
      <c r="R129" s="7"/>
      <c r="S129" s="224"/>
      <c r="T129" s="224"/>
      <c r="U129" s="224"/>
      <c r="V129" s="224"/>
      <c r="W129" s="224"/>
      <c r="X129" s="224"/>
      <c r="Y129" s="224"/>
      <c r="Z129" s="868"/>
      <c r="AA129" s="865"/>
      <c r="AB129" s="2"/>
      <c r="AC129" s="2"/>
      <c r="AD129" s="2"/>
      <c r="AE129" s="2"/>
      <c r="AF129" s="2"/>
      <c r="AG129" s="2"/>
      <c r="AH129" s="2"/>
      <c r="AI129" s="2"/>
      <c r="AJ129" s="2"/>
      <c r="AK129" s="2"/>
      <c r="AL129" s="2"/>
      <c r="AM129" s="2"/>
      <c r="AN129" s="2"/>
      <c r="AO129" s="9"/>
      <c r="AP129" s="9"/>
      <c r="AQ129" s="9"/>
      <c r="AR129" s="9"/>
    </row>
    <row r="130">
      <c r="A130" s="33"/>
      <c r="B130" s="2"/>
      <c r="C130" s="2"/>
      <c r="D130" s="2"/>
      <c r="E130" s="2"/>
      <c r="F130" s="4"/>
      <c r="G130" s="2"/>
      <c r="H130" s="2"/>
      <c r="I130" s="2"/>
      <c r="J130" s="2"/>
      <c r="K130" s="5"/>
      <c r="L130" s="2"/>
      <c r="M130" s="2"/>
      <c r="N130" s="2"/>
      <c r="O130" s="2"/>
      <c r="P130" s="2"/>
      <c r="Q130" s="2"/>
      <c r="R130" s="7"/>
      <c r="S130" s="224"/>
      <c r="T130" s="224"/>
      <c r="U130" s="224"/>
      <c r="V130" s="224"/>
      <c r="W130" s="224"/>
      <c r="X130" s="224"/>
      <c r="Y130" s="224"/>
      <c r="Z130" s="868"/>
      <c r="AA130" s="865"/>
      <c r="AB130" s="2"/>
      <c r="AC130" s="2"/>
      <c r="AD130" s="2"/>
      <c r="AE130" s="2"/>
      <c r="AF130" s="2"/>
      <c r="AG130" s="2"/>
      <c r="AH130" s="2"/>
      <c r="AI130" s="2"/>
      <c r="AJ130" s="2"/>
      <c r="AK130" s="2"/>
      <c r="AL130" s="2"/>
      <c r="AM130" s="2"/>
      <c r="AN130" s="2"/>
      <c r="AO130" s="9"/>
      <c r="AP130" s="9"/>
      <c r="AQ130" s="9"/>
      <c r="AR130" s="9"/>
    </row>
    <row r="131">
      <c r="A131" s="33"/>
      <c r="B131" s="2"/>
      <c r="C131" s="2"/>
      <c r="D131" s="2"/>
      <c r="E131" s="2"/>
      <c r="F131" s="4"/>
      <c r="G131" s="2"/>
      <c r="H131" s="2"/>
      <c r="I131" s="2"/>
      <c r="J131" s="2"/>
      <c r="K131" s="5"/>
      <c r="L131" s="2"/>
      <c r="M131" s="2"/>
      <c r="N131" s="2"/>
      <c r="O131" s="2"/>
      <c r="P131" s="2"/>
      <c r="Q131" s="2"/>
      <c r="R131" s="7"/>
      <c r="S131" s="224"/>
      <c r="T131" s="224"/>
      <c r="U131" s="224"/>
      <c r="V131" s="224"/>
      <c r="W131" s="224"/>
      <c r="X131" s="224"/>
      <c r="Y131" s="224"/>
      <c r="Z131" s="868"/>
      <c r="AA131" s="865"/>
      <c r="AB131" s="2"/>
      <c r="AC131" s="2"/>
      <c r="AD131" s="2"/>
      <c r="AE131" s="2"/>
      <c r="AF131" s="2"/>
      <c r="AG131" s="2"/>
      <c r="AH131" s="2"/>
      <c r="AI131" s="2"/>
      <c r="AJ131" s="2"/>
      <c r="AK131" s="2"/>
      <c r="AL131" s="2"/>
      <c r="AM131" s="2"/>
      <c r="AN131" s="2"/>
      <c r="AO131" s="9"/>
      <c r="AP131" s="9"/>
      <c r="AQ131" s="9"/>
      <c r="AR131" s="9"/>
    </row>
    <row r="132">
      <c r="A132" s="33"/>
      <c r="B132" s="2"/>
      <c r="C132" s="2"/>
      <c r="D132" s="2"/>
      <c r="E132" s="2"/>
      <c r="F132" s="4"/>
      <c r="G132" s="2"/>
      <c r="H132" s="2"/>
      <c r="I132" s="2"/>
      <c r="J132" s="2"/>
      <c r="K132" s="5"/>
      <c r="L132" s="2"/>
      <c r="M132" s="2"/>
      <c r="N132" s="2"/>
      <c r="O132" s="2"/>
      <c r="P132" s="2"/>
      <c r="Q132" s="2"/>
      <c r="R132" s="7"/>
      <c r="S132" s="226"/>
      <c r="T132" s="226"/>
      <c r="U132" s="226"/>
      <c r="V132" s="226"/>
      <c r="W132" s="226"/>
      <c r="X132" s="224"/>
      <c r="Y132" s="224"/>
      <c r="Z132" s="868"/>
      <c r="AA132" s="865"/>
      <c r="AB132" s="2"/>
      <c r="AC132" s="2"/>
      <c r="AD132" s="2"/>
      <c r="AE132" s="2"/>
      <c r="AF132" s="2"/>
      <c r="AG132" s="2"/>
      <c r="AH132" s="2"/>
      <c r="AI132" s="2"/>
      <c r="AJ132" s="2"/>
      <c r="AK132" s="2"/>
      <c r="AL132" s="2"/>
      <c r="AM132" s="2"/>
      <c r="AN132" s="2"/>
      <c r="AO132" s="9"/>
      <c r="AP132" s="9"/>
      <c r="AQ132" s="9"/>
      <c r="AR132" s="9"/>
    </row>
    <row r="133">
      <c r="A133" s="33"/>
      <c r="B133" s="2"/>
      <c r="C133" s="2"/>
      <c r="D133" s="2"/>
      <c r="E133" s="2"/>
      <c r="F133" s="4"/>
      <c r="G133" s="2"/>
      <c r="H133" s="2"/>
      <c r="I133" s="2"/>
      <c r="J133" s="2"/>
      <c r="K133" s="5"/>
      <c r="L133" s="2"/>
      <c r="M133" s="2"/>
      <c r="N133" s="2"/>
      <c r="O133" s="2"/>
      <c r="P133" s="2"/>
      <c r="Q133" s="2"/>
      <c r="R133" s="7"/>
      <c r="S133" s="224"/>
      <c r="T133" s="224"/>
      <c r="U133" s="224"/>
      <c r="V133" s="224"/>
      <c r="W133" s="224"/>
      <c r="X133" s="224"/>
      <c r="Y133" s="224"/>
      <c r="Z133" s="868"/>
      <c r="AA133" s="865"/>
      <c r="AB133" s="2"/>
      <c r="AC133" s="2"/>
      <c r="AD133" s="2"/>
      <c r="AE133" s="2"/>
      <c r="AF133" s="2"/>
      <c r="AG133" s="2"/>
      <c r="AH133" s="2"/>
      <c r="AI133" s="2"/>
      <c r="AJ133" s="2"/>
      <c r="AK133" s="2"/>
      <c r="AL133" s="2"/>
      <c r="AM133" s="2"/>
      <c r="AN133" s="2"/>
      <c r="AO133" s="9"/>
      <c r="AP133" s="9"/>
      <c r="AQ133" s="9"/>
      <c r="AR133" s="9"/>
    </row>
    <row r="134">
      <c r="A134" s="33"/>
      <c r="B134" s="2"/>
      <c r="C134" s="2"/>
      <c r="D134" s="2"/>
      <c r="E134" s="2"/>
      <c r="F134" s="4"/>
      <c r="G134" s="2"/>
      <c r="H134" s="2"/>
      <c r="I134" s="2"/>
      <c r="J134" s="2"/>
      <c r="K134" s="5"/>
      <c r="L134" s="2"/>
      <c r="M134" s="2"/>
      <c r="N134" s="2"/>
      <c r="O134" s="2"/>
      <c r="P134" s="2"/>
      <c r="Q134" s="2"/>
      <c r="R134" s="7"/>
      <c r="S134" s="224"/>
      <c r="T134" s="224"/>
      <c r="U134" s="224"/>
      <c r="V134" s="224"/>
      <c r="W134" s="224"/>
      <c r="X134" s="224"/>
      <c r="Y134" s="224"/>
      <c r="Z134" s="868"/>
      <c r="AA134" s="865"/>
      <c r="AB134" s="2"/>
      <c r="AC134" s="2"/>
      <c r="AD134" s="2"/>
      <c r="AE134" s="2"/>
      <c r="AF134" s="2"/>
      <c r="AG134" s="2"/>
      <c r="AH134" s="2"/>
      <c r="AI134" s="2"/>
      <c r="AJ134" s="2"/>
      <c r="AK134" s="2"/>
      <c r="AL134" s="2"/>
      <c r="AM134" s="2"/>
      <c r="AN134" s="2"/>
      <c r="AO134" s="9"/>
      <c r="AP134" s="9"/>
      <c r="AQ134" s="9"/>
      <c r="AR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224"/>
      <c r="X135" s="224"/>
      <c r="Y135" s="224"/>
      <c r="Z135" s="868"/>
      <c r="AA135" s="865"/>
      <c r="AB135" s="2"/>
      <c r="AC135" s="2"/>
      <c r="AD135" s="2"/>
      <c r="AE135" s="2"/>
      <c r="AF135" s="2"/>
      <c r="AG135" s="2"/>
      <c r="AH135" s="2"/>
      <c r="AI135" s="2"/>
      <c r="AJ135" s="2"/>
      <c r="AK135" s="2"/>
      <c r="AL135" s="2"/>
      <c r="AM135" s="2"/>
      <c r="AN135" s="2"/>
      <c r="AO135" s="9"/>
      <c r="AP135" s="9"/>
      <c r="AQ135" s="9"/>
      <c r="AR135" s="9"/>
    </row>
    <row r="136">
      <c r="A136" s="33"/>
      <c r="B136" s="2"/>
      <c r="C136" s="2"/>
      <c r="D136" s="2"/>
      <c r="E136" s="2"/>
      <c r="F136" s="4"/>
      <c r="G136" s="2"/>
      <c r="H136" s="2"/>
      <c r="I136" s="2"/>
      <c r="J136" s="2"/>
      <c r="K136" s="5"/>
      <c r="L136" s="2"/>
      <c r="M136" s="2"/>
      <c r="N136" s="2"/>
      <c r="O136" s="2"/>
      <c r="P136" s="2"/>
      <c r="Q136" s="2"/>
      <c r="R136" s="7"/>
      <c r="S136" s="224"/>
      <c r="T136" s="224"/>
      <c r="U136" s="224"/>
      <c r="V136" s="224"/>
      <c r="W136" s="224"/>
      <c r="X136" s="224"/>
      <c r="Y136" s="224"/>
      <c r="Z136" s="868"/>
      <c r="AA136" s="865"/>
      <c r="AB136" s="2"/>
      <c r="AC136" s="2"/>
      <c r="AD136" s="2"/>
      <c r="AE136" s="2"/>
      <c r="AF136" s="2"/>
      <c r="AG136" s="2"/>
      <c r="AH136" s="2"/>
      <c r="AI136" s="2"/>
      <c r="AJ136" s="2"/>
      <c r="AK136" s="2"/>
      <c r="AL136" s="2"/>
      <c r="AM136" s="2"/>
      <c r="AN136" s="2"/>
      <c r="AO136" s="9"/>
      <c r="AP136" s="9"/>
      <c r="AQ136" s="9"/>
      <c r="AR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224"/>
      <c r="X137" s="224"/>
      <c r="Y137" s="224"/>
      <c r="Z137" s="868"/>
      <c r="AA137" s="865"/>
      <c r="AB137" s="2"/>
      <c r="AC137" s="2"/>
      <c r="AD137" s="2"/>
      <c r="AE137" s="2"/>
      <c r="AF137" s="2"/>
      <c r="AG137" s="2"/>
      <c r="AH137" s="2"/>
      <c r="AI137" s="2"/>
      <c r="AJ137" s="2"/>
      <c r="AK137" s="2"/>
      <c r="AL137" s="2"/>
      <c r="AM137" s="2"/>
      <c r="AN137" s="2"/>
      <c r="AO137" s="9"/>
      <c r="AP137" s="9"/>
      <c r="AQ137" s="9"/>
      <c r="AR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224"/>
      <c r="X138" s="224"/>
      <c r="Y138" s="224"/>
      <c r="Z138" s="868"/>
      <c r="AA138" s="865"/>
      <c r="AB138" s="2"/>
      <c r="AC138" s="2"/>
      <c r="AD138" s="2"/>
      <c r="AE138" s="2"/>
      <c r="AF138" s="2"/>
      <c r="AG138" s="2"/>
      <c r="AH138" s="2"/>
      <c r="AI138" s="2"/>
      <c r="AJ138" s="2"/>
      <c r="AK138" s="2"/>
      <c r="AL138" s="2"/>
      <c r="AM138" s="2"/>
      <c r="AN138" s="2"/>
      <c r="AO138" s="9"/>
      <c r="AP138" s="9"/>
      <c r="AQ138" s="9"/>
      <c r="AR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224"/>
      <c r="X139" s="224"/>
      <c r="Y139" s="224"/>
      <c r="Z139" s="868"/>
      <c r="AA139" s="865"/>
      <c r="AB139" s="2"/>
      <c r="AC139" s="2"/>
      <c r="AD139" s="2"/>
      <c r="AE139" s="2"/>
      <c r="AF139" s="2"/>
      <c r="AG139" s="2"/>
      <c r="AH139" s="2"/>
      <c r="AI139" s="2"/>
      <c r="AJ139" s="2"/>
      <c r="AK139" s="2"/>
      <c r="AL139" s="2"/>
      <c r="AM139" s="2"/>
      <c r="AN139" s="2"/>
      <c r="AO139" s="9"/>
      <c r="AP139" s="9"/>
      <c r="AQ139" s="9"/>
      <c r="AR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224"/>
      <c r="X140" s="224"/>
      <c r="Y140" s="224"/>
      <c r="Z140" s="868"/>
      <c r="AA140" s="865"/>
      <c r="AB140" s="2"/>
      <c r="AC140" s="2"/>
      <c r="AD140" s="2"/>
      <c r="AE140" s="2"/>
      <c r="AF140" s="2"/>
      <c r="AG140" s="2"/>
      <c r="AH140" s="2"/>
      <c r="AI140" s="2"/>
      <c r="AJ140" s="2"/>
      <c r="AK140" s="2"/>
      <c r="AL140" s="2"/>
      <c r="AM140" s="2"/>
      <c r="AN140" s="2"/>
      <c r="AO140" s="9"/>
      <c r="AP140" s="9"/>
      <c r="AQ140" s="9"/>
      <c r="AR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224"/>
      <c r="X141" s="224"/>
      <c r="Y141" s="224"/>
      <c r="Z141" s="868"/>
      <c r="AA141" s="865"/>
      <c r="AB141" s="2"/>
      <c r="AC141" s="2"/>
      <c r="AD141" s="2"/>
      <c r="AE141" s="2"/>
      <c r="AF141" s="2"/>
      <c r="AG141" s="2"/>
      <c r="AH141" s="2"/>
      <c r="AI141" s="2"/>
      <c r="AJ141" s="2"/>
      <c r="AK141" s="2"/>
      <c r="AL141" s="2"/>
      <c r="AM141" s="2"/>
      <c r="AN141" s="2"/>
      <c r="AO141" s="9"/>
      <c r="AP141" s="9"/>
      <c r="AQ141" s="9"/>
      <c r="AR141" s="9"/>
    </row>
    <row r="142">
      <c r="A142" s="33"/>
      <c r="B142" s="2"/>
      <c r="C142" s="2"/>
      <c r="D142" s="2"/>
      <c r="E142" s="2"/>
      <c r="F142" s="4"/>
      <c r="G142" s="2"/>
      <c r="H142" s="2"/>
      <c r="I142" s="2"/>
      <c r="J142" s="2"/>
      <c r="K142" s="5"/>
      <c r="L142" s="2"/>
      <c r="M142" s="2"/>
      <c r="N142" s="2"/>
      <c r="O142" s="2"/>
      <c r="P142" s="2"/>
      <c r="Q142" s="2"/>
      <c r="R142" s="7"/>
      <c r="S142" s="224"/>
      <c r="T142" s="224"/>
      <c r="U142" s="224"/>
      <c r="V142" s="224"/>
      <c r="W142" s="224"/>
      <c r="X142" s="224"/>
      <c r="Y142" s="224"/>
      <c r="Z142" s="868"/>
      <c r="AA142" s="865"/>
      <c r="AB142" s="2"/>
      <c r="AC142" s="2"/>
      <c r="AD142" s="2"/>
      <c r="AE142" s="2"/>
      <c r="AF142" s="2"/>
      <c r="AG142" s="2"/>
      <c r="AH142" s="2"/>
      <c r="AI142" s="2"/>
      <c r="AJ142" s="2"/>
      <c r="AK142" s="2"/>
      <c r="AL142" s="2"/>
      <c r="AM142" s="2"/>
      <c r="AN142" s="2"/>
      <c r="AO142" s="9"/>
      <c r="AP142" s="9"/>
      <c r="AQ142" s="9"/>
      <c r="AR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224"/>
      <c r="X143" s="224"/>
      <c r="Y143" s="224"/>
      <c r="Z143" s="868"/>
      <c r="AA143" s="865"/>
      <c r="AB143" s="2"/>
      <c r="AC143" s="2"/>
      <c r="AD143" s="2"/>
      <c r="AE143" s="2"/>
      <c r="AF143" s="2"/>
      <c r="AG143" s="2"/>
      <c r="AH143" s="2"/>
      <c r="AI143" s="2"/>
      <c r="AJ143" s="2"/>
      <c r="AK143" s="2"/>
      <c r="AL143" s="2"/>
      <c r="AM143" s="2"/>
      <c r="AN143" s="2"/>
      <c r="AO143" s="9"/>
      <c r="AP143" s="9"/>
      <c r="AQ143" s="9"/>
      <c r="AR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224"/>
      <c r="X144" s="224"/>
      <c r="Y144" s="224"/>
      <c r="Z144" s="868"/>
      <c r="AA144" s="865"/>
      <c r="AB144" s="2"/>
      <c r="AC144" s="2"/>
      <c r="AD144" s="2"/>
      <c r="AE144" s="2"/>
      <c r="AF144" s="2"/>
      <c r="AG144" s="2"/>
      <c r="AH144" s="2"/>
      <c r="AI144" s="2"/>
      <c r="AJ144" s="2"/>
      <c r="AK144" s="2"/>
      <c r="AL144" s="2"/>
      <c r="AM144" s="2"/>
      <c r="AN144" s="2"/>
      <c r="AO144" s="9"/>
      <c r="AP144" s="9"/>
      <c r="AQ144" s="9"/>
      <c r="AR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224"/>
      <c r="X145" s="224"/>
      <c r="Y145" s="224"/>
      <c r="Z145" s="868"/>
      <c r="AA145" s="865"/>
      <c r="AB145" s="2"/>
      <c r="AC145" s="2"/>
      <c r="AD145" s="2"/>
      <c r="AE145" s="2"/>
      <c r="AF145" s="2"/>
      <c r="AG145" s="2"/>
      <c r="AH145" s="2"/>
      <c r="AI145" s="2"/>
      <c r="AJ145" s="2"/>
      <c r="AK145" s="2"/>
      <c r="AL145" s="2"/>
      <c r="AM145" s="2"/>
      <c r="AN145" s="2"/>
      <c r="AO145" s="9"/>
      <c r="AP145" s="9"/>
      <c r="AQ145" s="9"/>
      <c r="AR145" s="9"/>
    </row>
    <row r="146">
      <c r="A146" s="33"/>
      <c r="B146" s="2"/>
      <c r="C146" s="2"/>
      <c r="D146" s="2"/>
      <c r="E146" s="2"/>
      <c r="F146" s="4"/>
      <c r="G146" s="2"/>
      <c r="H146" s="2"/>
      <c r="I146" s="2"/>
      <c r="J146" s="2"/>
      <c r="K146" s="5"/>
      <c r="L146" s="2"/>
      <c r="M146" s="2"/>
      <c r="N146" s="2"/>
      <c r="O146" s="2"/>
      <c r="P146" s="2"/>
      <c r="Q146" s="2"/>
      <c r="R146" s="7"/>
      <c r="S146" s="224"/>
      <c r="T146" s="224"/>
      <c r="U146" s="224"/>
      <c r="V146" s="224"/>
      <c r="W146" s="224"/>
      <c r="X146" s="224"/>
      <c r="Y146" s="224"/>
      <c r="Z146" s="868"/>
      <c r="AA146" s="865"/>
      <c r="AB146" s="2"/>
      <c r="AC146" s="2"/>
      <c r="AD146" s="2"/>
      <c r="AE146" s="2"/>
      <c r="AF146" s="2"/>
      <c r="AG146" s="2"/>
      <c r="AH146" s="2"/>
      <c r="AI146" s="2"/>
      <c r="AJ146" s="2"/>
      <c r="AK146" s="2"/>
      <c r="AL146" s="2"/>
      <c r="AM146" s="2"/>
      <c r="AN146" s="2"/>
      <c r="AO146" s="9"/>
      <c r="AP146" s="9"/>
      <c r="AQ146" s="9"/>
      <c r="AR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224"/>
      <c r="X147" s="224"/>
      <c r="Y147" s="224"/>
      <c r="Z147" s="868"/>
      <c r="AA147" s="865"/>
      <c r="AB147" s="2"/>
      <c r="AC147" s="2"/>
      <c r="AD147" s="2"/>
      <c r="AE147" s="2"/>
      <c r="AF147" s="2"/>
      <c r="AG147" s="2"/>
      <c r="AH147" s="2"/>
      <c r="AI147" s="2"/>
      <c r="AJ147" s="2"/>
      <c r="AK147" s="2"/>
      <c r="AL147" s="2"/>
      <c r="AM147" s="2"/>
      <c r="AN147" s="2"/>
      <c r="AO147" s="9"/>
      <c r="AP147" s="9"/>
      <c r="AQ147" s="9"/>
      <c r="AR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224"/>
      <c r="X148" s="224"/>
      <c r="Y148" s="224"/>
      <c r="Z148" s="868"/>
      <c r="AA148" s="865"/>
      <c r="AB148" s="2"/>
      <c r="AC148" s="2"/>
      <c r="AD148" s="2"/>
      <c r="AE148" s="2"/>
      <c r="AF148" s="2"/>
      <c r="AG148" s="2"/>
      <c r="AH148" s="2"/>
      <c r="AI148" s="2"/>
      <c r="AJ148" s="2"/>
      <c r="AK148" s="2"/>
      <c r="AL148" s="2"/>
      <c r="AM148" s="2"/>
      <c r="AN148" s="2"/>
      <c r="AO148" s="9"/>
      <c r="AP148" s="9"/>
      <c r="AQ148" s="9"/>
      <c r="AR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224"/>
      <c r="X149" s="224"/>
      <c r="Y149" s="224"/>
      <c r="Z149" s="868"/>
      <c r="AA149" s="865"/>
      <c r="AB149" s="2"/>
      <c r="AC149" s="2"/>
      <c r="AD149" s="2"/>
      <c r="AE149" s="2"/>
      <c r="AF149" s="2"/>
      <c r="AG149" s="2"/>
      <c r="AH149" s="2"/>
      <c r="AI149" s="2"/>
      <c r="AJ149" s="2"/>
      <c r="AK149" s="2"/>
      <c r="AL149" s="2"/>
      <c r="AM149" s="2"/>
      <c r="AN149" s="2"/>
      <c r="AO149" s="9"/>
      <c r="AP149" s="9"/>
      <c r="AQ149" s="9"/>
      <c r="AR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224"/>
      <c r="X150" s="224"/>
      <c r="Y150" s="224"/>
      <c r="Z150" s="868"/>
      <c r="AA150" s="865"/>
      <c r="AB150" s="2"/>
      <c r="AC150" s="2"/>
      <c r="AD150" s="2"/>
      <c r="AE150" s="2"/>
      <c r="AF150" s="2"/>
      <c r="AG150" s="2"/>
      <c r="AH150" s="2"/>
      <c r="AI150" s="2"/>
      <c r="AJ150" s="2"/>
      <c r="AK150" s="2"/>
      <c r="AL150" s="2"/>
      <c r="AM150" s="2"/>
      <c r="AN150" s="2"/>
      <c r="AO150" s="9"/>
      <c r="AP150" s="9"/>
      <c r="AQ150" s="9"/>
      <c r="AR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224"/>
      <c r="X151" s="224"/>
      <c r="Y151" s="224"/>
      <c r="Z151" s="868"/>
      <c r="AA151" s="865"/>
      <c r="AB151" s="2"/>
      <c r="AC151" s="2"/>
      <c r="AD151" s="2"/>
      <c r="AE151" s="2"/>
      <c r="AF151" s="2"/>
      <c r="AG151" s="2"/>
      <c r="AH151" s="2"/>
      <c r="AI151" s="2"/>
      <c r="AJ151" s="2"/>
      <c r="AK151" s="2"/>
      <c r="AL151" s="2"/>
      <c r="AM151" s="2"/>
      <c r="AN151" s="2"/>
      <c r="AO151" s="9"/>
      <c r="AP151" s="9"/>
      <c r="AQ151" s="9"/>
      <c r="AR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224"/>
      <c r="X152" s="224"/>
      <c r="Y152" s="224"/>
      <c r="Z152" s="868"/>
      <c r="AA152" s="865"/>
      <c r="AB152" s="2"/>
      <c r="AC152" s="2"/>
      <c r="AD152" s="2"/>
      <c r="AE152" s="2"/>
      <c r="AF152" s="2"/>
      <c r="AG152" s="2"/>
      <c r="AH152" s="2"/>
      <c r="AI152" s="2"/>
      <c r="AJ152" s="2"/>
      <c r="AK152" s="2"/>
      <c r="AL152" s="2"/>
      <c r="AM152" s="2"/>
      <c r="AN152" s="2"/>
      <c r="AO152" s="9"/>
      <c r="AP152" s="9"/>
      <c r="AQ152" s="9"/>
      <c r="AR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224"/>
      <c r="X153" s="224"/>
      <c r="Y153" s="224"/>
      <c r="Z153" s="868"/>
      <c r="AA153" s="865"/>
      <c r="AB153" s="2"/>
      <c r="AC153" s="2"/>
      <c r="AD153" s="2"/>
      <c r="AE153" s="2"/>
      <c r="AF153" s="2"/>
      <c r="AG153" s="2"/>
      <c r="AH153" s="2"/>
      <c r="AI153" s="2"/>
      <c r="AJ153" s="2"/>
      <c r="AK153" s="2"/>
      <c r="AL153" s="2"/>
      <c r="AM153" s="2"/>
      <c r="AN153" s="2"/>
      <c r="AO153" s="9"/>
      <c r="AP153" s="9"/>
      <c r="AQ153" s="9"/>
      <c r="AR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224"/>
      <c r="X154" s="224"/>
      <c r="Y154" s="224"/>
      <c r="Z154" s="868"/>
      <c r="AA154" s="865"/>
      <c r="AB154" s="2"/>
      <c r="AC154" s="2"/>
      <c r="AD154" s="2"/>
      <c r="AE154" s="2"/>
      <c r="AF154" s="2"/>
      <c r="AG154" s="2"/>
      <c r="AH154" s="2"/>
      <c r="AI154" s="2"/>
      <c r="AJ154" s="2"/>
      <c r="AK154" s="2"/>
      <c r="AL154" s="2"/>
      <c r="AM154" s="2"/>
      <c r="AN154" s="2"/>
      <c r="AO154" s="9"/>
      <c r="AP154" s="9"/>
      <c r="AQ154" s="9"/>
      <c r="AR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224"/>
      <c r="X155" s="224"/>
      <c r="Y155" s="224"/>
      <c r="Z155" s="868"/>
      <c r="AA155" s="865"/>
      <c r="AB155" s="2"/>
      <c r="AC155" s="2"/>
      <c r="AD155" s="2"/>
      <c r="AE155" s="2"/>
      <c r="AF155" s="2"/>
      <c r="AG155" s="2"/>
      <c r="AH155" s="2"/>
      <c r="AI155" s="2"/>
      <c r="AJ155" s="2"/>
      <c r="AK155" s="2"/>
      <c r="AL155" s="2"/>
      <c r="AM155" s="2"/>
      <c r="AN155" s="2"/>
      <c r="AO155" s="9"/>
      <c r="AP155" s="9"/>
      <c r="AQ155" s="9"/>
      <c r="AR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224"/>
      <c r="X156" s="224"/>
      <c r="Y156" s="224"/>
      <c r="Z156" s="868"/>
      <c r="AA156" s="865"/>
      <c r="AB156" s="2"/>
      <c r="AC156" s="2"/>
      <c r="AD156" s="2"/>
      <c r="AE156" s="2"/>
      <c r="AF156" s="2"/>
      <c r="AG156" s="2"/>
      <c r="AH156" s="2"/>
      <c r="AI156" s="2"/>
      <c r="AJ156" s="2"/>
      <c r="AK156" s="2"/>
      <c r="AL156" s="2"/>
      <c r="AM156" s="2"/>
      <c r="AN156" s="2"/>
      <c r="AO156" s="9"/>
      <c r="AP156" s="9"/>
      <c r="AQ156" s="9"/>
      <c r="AR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224"/>
      <c r="X157" s="224"/>
      <c r="Y157" s="224"/>
      <c r="Z157" s="868"/>
      <c r="AA157" s="865"/>
      <c r="AB157" s="2"/>
      <c r="AC157" s="2"/>
      <c r="AD157" s="2"/>
      <c r="AE157" s="2"/>
      <c r="AF157" s="2"/>
      <c r="AG157" s="2"/>
      <c r="AH157" s="2"/>
      <c r="AI157" s="2"/>
      <c r="AJ157" s="2"/>
      <c r="AK157" s="2"/>
      <c r="AL157" s="2"/>
      <c r="AM157" s="2"/>
      <c r="AN157" s="2"/>
      <c r="AO157" s="9"/>
      <c r="AP157" s="9"/>
      <c r="AQ157" s="9"/>
      <c r="AR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224"/>
      <c r="X158" s="224"/>
      <c r="Y158" s="224"/>
      <c r="Z158" s="868"/>
      <c r="AA158" s="865"/>
      <c r="AB158" s="2"/>
      <c r="AC158" s="2"/>
      <c r="AD158" s="2"/>
      <c r="AE158" s="2"/>
      <c r="AF158" s="2"/>
      <c r="AG158" s="2"/>
      <c r="AH158" s="2"/>
      <c r="AI158" s="2"/>
      <c r="AJ158" s="2"/>
      <c r="AK158" s="2"/>
      <c r="AL158" s="2"/>
      <c r="AM158" s="2"/>
      <c r="AN158" s="2"/>
      <c r="AO158" s="9"/>
      <c r="AP158" s="9"/>
      <c r="AQ158" s="9"/>
      <c r="AR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224"/>
      <c r="X159" s="224"/>
      <c r="Y159" s="224"/>
      <c r="Z159" s="868"/>
      <c r="AA159" s="865"/>
      <c r="AB159" s="2"/>
      <c r="AC159" s="2"/>
      <c r="AD159" s="2"/>
      <c r="AE159" s="2"/>
      <c r="AF159" s="2"/>
      <c r="AG159" s="2"/>
      <c r="AH159" s="2"/>
      <c r="AI159" s="2"/>
      <c r="AJ159" s="2"/>
      <c r="AK159" s="2"/>
      <c r="AL159" s="2"/>
      <c r="AM159" s="2"/>
      <c r="AN159" s="2"/>
      <c r="AO159" s="9"/>
      <c r="AP159" s="9"/>
      <c r="AQ159" s="9"/>
      <c r="AR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224"/>
      <c r="X160" s="224"/>
      <c r="Y160" s="224"/>
      <c r="Z160" s="868"/>
      <c r="AA160" s="865"/>
      <c r="AB160" s="2"/>
      <c r="AC160" s="2"/>
      <c r="AD160" s="2"/>
      <c r="AE160" s="2"/>
      <c r="AF160" s="2"/>
      <c r="AG160" s="2"/>
      <c r="AH160" s="2"/>
      <c r="AI160" s="2"/>
      <c r="AJ160" s="2"/>
      <c r="AK160" s="2"/>
      <c r="AL160" s="2"/>
      <c r="AM160" s="2"/>
      <c r="AN160" s="2"/>
      <c r="AO160" s="9"/>
      <c r="AP160" s="9"/>
      <c r="AQ160" s="9"/>
      <c r="AR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224"/>
      <c r="X161" s="224"/>
      <c r="Y161" s="224"/>
      <c r="Z161" s="868"/>
      <c r="AA161" s="865"/>
      <c r="AB161" s="2"/>
      <c r="AC161" s="2"/>
      <c r="AD161" s="2"/>
      <c r="AE161" s="2"/>
      <c r="AF161" s="2"/>
      <c r="AG161" s="2"/>
      <c r="AH161" s="2"/>
      <c r="AI161" s="2"/>
      <c r="AJ161" s="2"/>
      <c r="AK161" s="2"/>
      <c r="AL161" s="2"/>
      <c r="AM161" s="2"/>
      <c r="AN161" s="2"/>
      <c r="AO161" s="9"/>
      <c r="AP161" s="9"/>
      <c r="AQ161" s="9"/>
      <c r="AR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224"/>
      <c r="X162" s="224"/>
      <c r="Y162" s="224"/>
      <c r="Z162" s="868"/>
      <c r="AA162" s="865"/>
      <c r="AB162" s="2"/>
      <c r="AC162" s="2"/>
      <c r="AD162" s="2"/>
      <c r="AE162" s="2"/>
      <c r="AF162" s="2"/>
      <c r="AG162" s="2"/>
      <c r="AH162" s="2"/>
      <c r="AI162" s="2"/>
      <c r="AJ162" s="2"/>
      <c r="AK162" s="2"/>
      <c r="AL162" s="2"/>
      <c r="AM162" s="2"/>
      <c r="AN162" s="2"/>
      <c r="AO162" s="9"/>
      <c r="AP162" s="9"/>
      <c r="AQ162" s="9"/>
      <c r="AR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224"/>
      <c r="X163" s="224"/>
      <c r="Y163" s="224"/>
      <c r="Z163" s="868"/>
      <c r="AA163" s="865"/>
      <c r="AB163" s="2"/>
      <c r="AC163" s="2"/>
      <c r="AD163" s="2"/>
      <c r="AE163" s="2"/>
      <c r="AF163" s="2"/>
      <c r="AG163" s="2"/>
      <c r="AH163" s="2"/>
      <c r="AI163" s="2"/>
      <c r="AJ163" s="2"/>
      <c r="AK163" s="2"/>
      <c r="AL163" s="2"/>
      <c r="AM163" s="2"/>
      <c r="AN163" s="2"/>
      <c r="AO163" s="9"/>
      <c r="AP163" s="9"/>
      <c r="AQ163" s="9"/>
      <c r="AR163" s="9"/>
    </row>
    <row r="164">
      <c r="A164" s="33"/>
      <c r="B164" s="2"/>
      <c r="C164" s="2"/>
      <c r="D164" s="2"/>
      <c r="E164" s="2"/>
      <c r="F164" s="4"/>
      <c r="G164" s="2"/>
      <c r="H164" s="2"/>
      <c r="I164" s="2"/>
      <c r="J164" s="2"/>
      <c r="K164" s="5"/>
      <c r="L164" s="2"/>
      <c r="M164" s="2"/>
      <c r="N164" s="2"/>
      <c r="O164" s="2"/>
      <c r="P164" s="2"/>
      <c r="Q164" s="2"/>
      <c r="R164" s="7"/>
      <c r="S164" s="224"/>
      <c r="T164" s="224"/>
      <c r="U164" s="224"/>
      <c r="V164" s="224"/>
      <c r="W164" s="224"/>
      <c r="X164" s="224"/>
      <c r="Y164" s="224"/>
      <c r="Z164" s="868"/>
      <c r="AA164" s="865"/>
      <c r="AB164" s="2"/>
      <c r="AC164" s="2"/>
      <c r="AD164" s="2"/>
      <c r="AE164" s="2"/>
      <c r="AF164" s="2"/>
      <c r="AG164" s="2"/>
      <c r="AH164" s="2"/>
      <c r="AI164" s="2"/>
      <c r="AJ164" s="2"/>
      <c r="AK164" s="2"/>
      <c r="AL164" s="2"/>
      <c r="AM164" s="2"/>
      <c r="AN164" s="2"/>
      <c r="AO164" s="9"/>
      <c r="AP164" s="9"/>
      <c r="AQ164" s="9"/>
      <c r="AR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224"/>
      <c r="X165" s="224"/>
      <c r="Y165" s="224"/>
      <c r="Z165" s="868"/>
      <c r="AA165" s="865"/>
      <c r="AB165" s="2"/>
      <c r="AC165" s="2"/>
      <c r="AD165" s="2"/>
      <c r="AE165" s="2"/>
      <c r="AF165" s="2"/>
      <c r="AG165" s="2"/>
      <c r="AH165" s="2"/>
      <c r="AI165" s="2"/>
      <c r="AJ165" s="2"/>
      <c r="AK165" s="2"/>
      <c r="AL165" s="2"/>
      <c r="AM165" s="2"/>
      <c r="AN165" s="2"/>
      <c r="AO165" s="9"/>
      <c r="AP165" s="9"/>
      <c r="AQ165" s="9"/>
      <c r="AR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224"/>
      <c r="X166" s="224"/>
      <c r="Y166" s="224"/>
      <c r="Z166" s="868"/>
      <c r="AA166" s="865"/>
      <c r="AB166" s="2"/>
      <c r="AC166" s="2"/>
      <c r="AD166" s="2"/>
      <c r="AE166" s="2"/>
      <c r="AF166" s="2"/>
      <c r="AG166" s="2"/>
      <c r="AH166" s="2"/>
      <c r="AI166" s="2"/>
      <c r="AJ166" s="2"/>
      <c r="AK166" s="2"/>
      <c r="AL166" s="2"/>
      <c r="AM166" s="2"/>
      <c r="AN166" s="2"/>
      <c r="AO166" s="9"/>
      <c r="AP166" s="9"/>
      <c r="AQ166" s="9"/>
      <c r="AR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224"/>
      <c r="X167" s="224"/>
      <c r="Y167" s="224"/>
      <c r="Z167" s="868"/>
      <c r="AA167" s="865"/>
      <c r="AB167" s="2"/>
      <c r="AC167" s="2"/>
      <c r="AD167" s="2"/>
      <c r="AE167" s="2"/>
      <c r="AF167" s="2"/>
      <c r="AG167" s="2"/>
      <c r="AH167" s="2"/>
      <c r="AI167" s="2"/>
      <c r="AJ167" s="2"/>
      <c r="AK167" s="2"/>
      <c r="AL167" s="2"/>
      <c r="AM167" s="2"/>
      <c r="AN167" s="2"/>
      <c r="AO167" s="9"/>
      <c r="AP167" s="9"/>
      <c r="AQ167" s="9"/>
      <c r="AR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224"/>
      <c r="X168" s="224"/>
      <c r="Y168" s="224"/>
      <c r="Z168" s="868"/>
      <c r="AA168" s="865"/>
      <c r="AB168" s="2"/>
      <c r="AC168" s="2"/>
      <c r="AD168" s="2"/>
      <c r="AE168" s="2"/>
      <c r="AF168" s="2"/>
      <c r="AG168" s="2"/>
      <c r="AH168" s="2"/>
      <c r="AI168" s="2"/>
      <c r="AJ168" s="2"/>
      <c r="AK168" s="2"/>
      <c r="AL168" s="2"/>
      <c r="AM168" s="2"/>
      <c r="AN168" s="2"/>
      <c r="AO168" s="9"/>
      <c r="AP168" s="9"/>
      <c r="AQ168" s="9"/>
      <c r="AR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224"/>
      <c r="X169" s="224"/>
      <c r="Y169" s="224"/>
      <c r="Z169" s="868"/>
      <c r="AA169" s="865"/>
      <c r="AB169" s="2"/>
      <c r="AC169" s="2"/>
      <c r="AD169" s="2"/>
      <c r="AE169" s="2"/>
      <c r="AF169" s="2"/>
      <c r="AG169" s="2"/>
      <c r="AH169" s="2"/>
      <c r="AI169" s="2"/>
      <c r="AJ169" s="2"/>
      <c r="AK169" s="2"/>
      <c r="AL169" s="2"/>
      <c r="AM169" s="2"/>
      <c r="AN169" s="2"/>
      <c r="AO169" s="9"/>
      <c r="AP169" s="9"/>
      <c r="AQ169" s="9"/>
      <c r="AR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224"/>
      <c r="X170" s="224"/>
      <c r="Y170" s="224"/>
      <c r="Z170" s="868"/>
      <c r="AA170" s="865"/>
      <c r="AB170" s="2"/>
      <c r="AC170" s="2"/>
      <c r="AD170" s="2"/>
      <c r="AE170" s="2"/>
      <c r="AF170" s="2"/>
      <c r="AG170" s="2"/>
      <c r="AH170" s="2"/>
      <c r="AI170" s="2"/>
      <c r="AJ170" s="2"/>
      <c r="AK170" s="2"/>
      <c r="AL170" s="2"/>
      <c r="AM170" s="2"/>
      <c r="AN170" s="2"/>
      <c r="AO170" s="9"/>
      <c r="AP170" s="9"/>
      <c r="AQ170" s="9"/>
      <c r="AR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224"/>
      <c r="X171" s="224"/>
      <c r="Y171" s="224"/>
      <c r="Z171" s="868"/>
      <c r="AA171" s="865"/>
      <c r="AB171" s="2"/>
      <c r="AC171" s="2"/>
      <c r="AD171" s="2"/>
      <c r="AE171" s="2"/>
      <c r="AF171" s="2"/>
      <c r="AG171" s="2"/>
      <c r="AH171" s="2"/>
      <c r="AI171" s="2"/>
      <c r="AJ171" s="2"/>
      <c r="AK171" s="2"/>
      <c r="AL171" s="2"/>
      <c r="AM171" s="2"/>
      <c r="AN171" s="2"/>
      <c r="AO171" s="9"/>
      <c r="AP171" s="9"/>
      <c r="AQ171" s="9"/>
      <c r="AR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224"/>
      <c r="X172" s="224"/>
      <c r="Y172" s="224"/>
      <c r="Z172" s="868"/>
      <c r="AA172" s="865"/>
      <c r="AB172" s="2"/>
      <c r="AC172" s="2"/>
      <c r="AD172" s="2"/>
      <c r="AE172" s="2"/>
      <c r="AF172" s="2"/>
      <c r="AG172" s="2"/>
      <c r="AH172" s="2"/>
      <c r="AI172" s="2"/>
      <c r="AJ172" s="2"/>
      <c r="AK172" s="2"/>
      <c r="AL172" s="2"/>
      <c r="AM172" s="2"/>
      <c r="AN172" s="2"/>
      <c r="AO172" s="9"/>
      <c r="AP172" s="9"/>
      <c r="AQ172" s="9"/>
      <c r="AR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224"/>
      <c r="X173" s="224"/>
      <c r="Y173" s="224"/>
      <c r="Z173" s="868"/>
      <c r="AA173" s="865"/>
      <c r="AB173" s="2"/>
      <c r="AC173" s="2"/>
      <c r="AD173" s="2"/>
      <c r="AE173" s="2"/>
      <c r="AF173" s="2"/>
      <c r="AG173" s="2"/>
      <c r="AH173" s="2"/>
      <c r="AI173" s="2"/>
      <c r="AJ173" s="2"/>
      <c r="AK173" s="2"/>
      <c r="AL173" s="2"/>
      <c r="AM173" s="2"/>
      <c r="AN173" s="2"/>
      <c r="AO173" s="9"/>
      <c r="AP173" s="9"/>
      <c r="AQ173" s="9"/>
      <c r="AR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224"/>
      <c r="X174" s="224"/>
      <c r="Y174" s="224"/>
      <c r="Z174" s="868"/>
      <c r="AA174" s="865"/>
      <c r="AB174" s="2"/>
      <c r="AC174" s="2"/>
      <c r="AD174" s="2"/>
      <c r="AE174" s="2"/>
      <c r="AF174" s="2"/>
      <c r="AG174" s="2"/>
      <c r="AH174" s="2"/>
      <c r="AI174" s="2"/>
      <c r="AJ174" s="2"/>
      <c r="AK174" s="2"/>
      <c r="AL174" s="2"/>
      <c r="AM174" s="2"/>
      <c r="AN174" s="2"/>
      <c r="AO174" s="9"/>
      <c r="AP174" s="9"/>
      <c r="AQ174" s="9"/>
      <c r="AR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224"/>
      <c r="X175" s="224"/>
      <c r="Y175" s="224"/>
      <c r="Z175" s="868"/>
      <c r="AA175" s="865"/>
      <c r="AB175" s="2"/>
      <c r="AC175" s="2"/>
      <c r="AD175" s="2"/>
      <c r="AE175" s="2"/>
      <c r="AF175" s="2"/>
      <c r="AG175" s="2"/>
      <c r="AH175" s="2"/>
      <c r="AI175" s="2"/>
      <c r="AJ175" s="2"/>
      <c r="AK175" s="2"/>
      <c r="AL175" s="2"/>
      <c r="AM175" s="2"/>
      <c r="AN175" s="2"/>
      <c r="AO175" s="9"/>
      <c r="AP175" s="9"/>
      <c r="AQ175" s="9"/>
      <c r="AR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224"/>
      <c r="X176" s="224"/>
      <c r="Y176" s="224"/>
      <c r="Z176" s="868"/>
      <c r="AA176" s="865"/>
      <c r="AB176" s="2"/>
      <c r="AC176" s="2"/>
      <c r="AD176" s="2"/>
      <c r="AE176" s="2"/>
      <c r="AF176" s="2"/>
      <c r="AG176" s="2"/>
      <c r="AH176" s="2"/>
      <c r="AI176" s="2"/>
      <c r="AJ176" s="2"/>
      <c r="AK176" s="2"/>
      <c r="AL176" s="2"/>
      <c r="AM176" s="2"/>
      <c r="AN176" s="2"/>
      <c r="AO176" s="9"/>
      <c r="AP176" s="9"/>
      <c r="AQ176" s="9"/>
      <c r="AR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224"/>
      <c r="X177" s="224"/>
      <c r="Y177" s="224"/>
      <c r="Z177" s="868"/>
      <c r="AA177" s="865"/>
      <c r="AB177" s="2"/>
      <c r="AC177" s="2"/>
      <c r="AD177" s="2"/>
      <c r="AE177" s="2"/>
      <c r="AF177" s="2"/>
      <c r="AG177" s="2"/>
      <c r="AH177" s="2"/>
      <c r="AI177" s="2"/>
      <c r="AJ177" s="2"/>
      <c r="AK177" s="2"/>
      <c r="AL177" s="2"/>
      <c r="AM177" s="2"/>
      <c r="AN177" s="2"/>
      <c r="AO177" s="9"/>
      <c r="AP177" s="9"/>
      <c r="AQ177" s="9"/>
      <c r="AR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224"/>
      <c r="X178" s="224"/>
      <c r="Y178" s="224"/>
      <c r="Z178" s="868"/>
      <c r="AA178" s="865"/>
      <c r="AB178" s="2"/>
      <c r="AC178" s="2"/>
      <c r="AD178" s="2"/>
      <c r="AE178" s="2"/>
      <c r="AF178" s="2"/>
      <c r="AG178" s="2"/>
      <c r="AH178" s="2"/>
      <c r="AI178" s="2"/>
      <c r="AJ178" s="2"/>
      <c r="AK178" s="2"/>
      <c r="AL178" s="2"/>
      <c r="AM178" s="2"/>
      <c r="AN178" s="2"/>
      <c r="AO178" s="9"/>
      <c r="AP178" s="9"/>
      <c r="AQ178" s="9"/>
      <c r="AR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224"/>
      <c r="X179" s="224"/>
      <c r="Y179" s="224"/>
      <c r="Z179" s="868"/>
      <c r="AA179" s="865"/>
      <c r="AB179" s="2"/>
      <c r="AC179" s="2"/>
      <c r="AD179" s="2"/>
      <c r="AE179" s="2"/>
      <c r="AF179" s="2"/>
      <c r="AG179" s="2"/>
      <c r="AH179" s="2"/>
      <c r="AI179" s="2"/>
      <c r="AJ179" s="2"/>
      <c r="AK179" s="2"/>
      <c r="AL179" s="2"/>
      <c r="AM179" s="2"/>
      <c r="AN179" s="2"/>
      <c r="AO179" s="9"/>
      <c r="AP179" s="9"/>
      <c r="AQ179" s="9"/>
      <c r="AR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224"/>
      <c r="X180" s="224"/>
      <c r="Y180" s="224"/>
      <c r="Z180" s="868"/>
      <c r="AA180" s="865"/>
      <c r="AB180" s="2"/>
      <c r="AC180" s="2"/>
      <c r="AD180" s="2"/>
      <c r="AE180" s="2"/>
      <c r="AF180" s="2"/>
      <c r="AG180" s="2"/>
      <c r="AH180" s="2"/>
      <c r="AI180" s="2"/>
      <c r="AJ180" s="2"/>
      <c r="AK180" s="2"/>
      <c r="AL180" s="2"/>
      <c r="AM180" s="2"/>
      <c r="AN180" s="2"/>
      <c r="AO180" s="9"/>
      <c r="AP180" s="9"/>
      <c r="AQ180" s="9"/>
      <c r="AR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224"/>
      <c r="X181" s="224"/>
      <c r="Y181" s="224"/>
      <c r="Z181" s="868"/>
      <c r="AA181" s="865"/>
      <c r="AB181" s="2"/>
      <c r="AC181" s="2"/>
      <c r="AD181" s="2"/>
      <c r="AE181" s="2"/>
      <c r="AF181" s="2"/>
      <c r="AG181" s="2"/>
      <c r="AH181" s="2"/>
      <c r="AI181" s="2"/>
      <c r="AJ181" s="2"/>
      <c r="AK181" s="2"/>
      <c r="AL181" s="2"/>
      <c r="AM181" s="2"/>
      <c r="AN181" s="2"/>
      <c r="AO181" s="9"/>
      <c r="AP181" s="9"/>
      <c r="AQ181" s="9"/>
      <c r="AR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224"/>
      <c r="X182" s="224"/>
      <c r="Y182" s="224"/>
      <c r="Z182" s="868"/>
      <c r="AA182" s="865"/>
      <c r="AB182" s="2"/>
      <c r="AC182" s="2"/>
      <c r="AD182" s="2"/>
      <c r="AE182" s="2"/>
      <c r="AF182" s="2"/>
      <c r="AG182" s="2"/>
      <c r="AH182" s="2"/>
      <c r="AI182" s="2"/>
      <c r="AJ182" s="2"/>
      <c r="AK182" s="2"/>
      <c r="AL182" s="2"/>
      <c r="AM182" s="2"/>
      <c r="AN182" s="2"/>
      <c r="AO182" s="9"/>
      <c r="AP182" s="9"/>
      <c r="AQ182" s="9"/>
      <c r="AR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224"/>
      <c r="X183" s="224"/>
      <c r="Y183" s="224"/>
      <c r="Z183" s="868"/>
      <c r="AA183" s="865"/>
      <c r="AB183" s="2"/>
      <c r="AC183" s="2"/>
      <c r="AD183" s="2"/>
      <c r="AE183" s="2"/>
      <c r="AF183" s="2"/>
      <c r="AG183" s="2"/>
      <c r="AH183" s="2"/>
      <c r="AI183" s="2"/>
      <c r="AJ183" s="2"/>
      <c r="AK183" s="2"/>
      <c r="AL183" s="2"/>
      <c r="AM183" s="2"/>
      <c r="AN183" s="2"/>
      <c r="AO183" s="9"/>
      <c r="AP183" s="9"/>
      <c r="AQ183" s="9"/>
      <c r="AR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224"/>
      <c r="X184" s="224"/>
      <c r="Y184" s="224"/>
      <c r="Z184" s="868"/>
      <c r="AA184" s="865"/>
      <c r="AB184" s="2"/>
      <c r="AC184" s="2"/>
      <c r="AD184" s="2"/>
      <c r="AE184" s="2"/>
      <c r="AF184" s="2"/>
      <c r="AG184" s="2"/>
      <c r="AH184" s="2"/>
      <c r="AI184" s="2"/>
      <c r="AJ184" s="2"/>
      <c r="AK184" s="2"/>
      <c r="AL184" s="2"/>
      <c r="AM184" s="2"/>
      <c r="AN184" s="2"/>
      <c r="AO184" s="9"/>
      <c r="AP184" s="9"/>
      <c r="AQ184" s="9"/>
      <c r="AR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224"/>
      <c r="X185" s="224"/>
      <c r="Y185" s="224"/>
      <c r="Z185" s="868"/>
      <c r="AA185" s="865"/>
      <c r="AB185" s="2"/>
      <c r="AC185" s="2"/>
      <c r="AD185" s="2"/>
      <c r="AE185" s="2"/>
      <c r="AF185" s="2"/>
      <c r="AG185" s="2"/>
      <c r="AH185" s="2"/>
      <c r="AI185" s="2"/>
      <c r="AJ185" s="2"/>
      <c r="AK185" s="2"/>
      <c r="AL185" s="2"/>
      <c r="AM185" s="2"/>
      <c r="AN185" s="2"/>
      <c r="AO185" s="9"/>
      <c r="AP185" s="9"/>
      <c r="AQ185" s="9"/>
      <c r="AR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224"/>
      <c r="X186" s="224"/>
      <c r="Y186" s="224"/>
      <c r="Z186" s="868"/>
      <c r="AA186" s="865"/>
      <c r="AB186" s="2"/>
      <c r="AC186" s="2"/>
      <c r="AD186" s="2"/>
      <c r="AE186" s="2"/>
      <c r="AF186" s="2"/>
      <c r="AG186" s="2"/>
      <c r="AH186" s="2"/>
      <c r="AI186" s="2"/>
      <c r="AJ186" s="2"/>
      <c r="AK186" s="2"/>
      <c r="AL186" s="2"/>
      <c r="AM186" s="2"/>
      <c r="AN186" s="2"/>
      <c r="AO186" s="9"/>
      <c r="AP186" s="9"/>
      <c r="AQ186" s="9"/>
      <c r="AR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224"/>
      <c r="X187" s="224"/>
      <c r="Y187" s="224"/>
      <c r="Z187" s="868"/>
      <c r="AA187" s="865"/>
      <c r="AB187" s="2"/>
      <c r="AC187" s="2"/>
      <c r="AD187" s="2"/>
      <c r="AE187" s="2"/>
      <c r="AF187" s="2"/>
      <c r="AG187" s="2"/>
      <c r="AH187" s="2"/>
      <c r="AI187" s="2"/>
      <c r="AJ187" s="2"/>
      <c r="AK187" s="2"/>
      <c r="AL187" s="2"/>
      <c r="AM187" s="2"/>
      <c r="AN187" s="2"/>
      <c r="AO187" s="9"/>
      <c r="AP187" s="9"/>
      <c r="AQ187" s="9"/>
      <c r="AR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224"/>
      <c r="X188" s="224"/>
      <c r="Y188" s="224"/>
      <c r="Z188" s="868"/>
      <c r="AA188" s="865"/>
      <c r="AB188" s="2"/>
      <c r="AC188" s="2"/>
      <c r="AD188" s="2"/>
      <c r="AE188" s="2"/>
      <c r="AF188" s="2"/>
      <c r="AG188" s="2"/>
      <c r="AH188" s="2"/>
      <c r="AI188" s="2"/>
      <c r="AJ188" s="2"/>
      <c r="AK188" s="2"/>
      <c r="AL188" s="2"/>
      <c r="AM188" s="2"/>
      <c r="AN188" s="2"/>
      <c r="AO188" s="9"/>
      <c r="AP188" s="9"/>
      <c r="AQ188" s="9"/>
      <c r="AR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224"/>
      <c r="X189" s="224"/>
      <c r="Y189" s="224"/>
      <c r="Z189" s="868"/>
      <c r="AA189" s="865"/>
      <c r="AB189" s="2"/>
      <c r="AC189" s="2"/>
      <c r="AD189" s="2"/>
      <c r="AE189" s="2"/>
      <c r="AF189" s="2"/>
      <c r="AG189" s="2"/>
      <c r="AH189" s="2"/>
      <c r="AI189" s="2"/>
      <c r="AJ189" s="2"/>
      <c r="AK189" s="2"/>
      <c r="AL189" s="2"/>
      <c r="AM189" s="2"/>
      <c r="AN189" s="2"/>
      <c r="AO189" s="9"/>
      <c r="AP189" s="9"/>
      <c r="AQ189" s="9"/>
      <c r="AR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224"/>
      <c r="X190" s="224"/>
      <c r="Y190" s="224"/>
      <c r="Z190" s="868"/>
      <c r="AA190" s="865"/>
      <c r="AB190" s="2"/>
      <c r="AC190" s="2"/>
      <c r="AD190" s="2"/>
      <c r="AE190" s="2"/>
      <c r="AF190" s="2"/>
      <c r="AG190" s="2"/>
      <c r="AH190" s="2"/>
      <c r="AI190" s="2"/>
      <c r="AJ190" s="2"/>
      <c r="AK190" s="2"/>
      <c r="AL190" s="2"/>
      <c r="AM190" s="2"/>
      <c r="AN190" s="2"/>
      <c r="AO190" s="9"/>
      <c r="AP190" s="9"/>
      <c r="AQ190" s="9"/>
      <c r="AR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224"/>
      <c r="X191" s="224"/>
      <c r="Y191" s="224"/>
      <c r="Z191" s="868"/>
      <c r="AA191" s="865"/>
      <c r="AB191" s="2"/>
      <c r="AC191" s="2"/>
      <c r="AD191" s="2"/>
      <c r="AE191" s="2"/>
      <c r="AF191" s="2"/>
      <c r="AG191" s="2"/>
      <c r="AH191" s="2"/>
      <c r="AI191" s="2"/>
      <c r="AJ191" s="2"/>
      <c r="AK191" s="2"/>
      <c r="AL191" s="2"/>
      <c r="AM191" s="2"/>
      <c r="AN191" s="2"/>
      <c r="AO191" s="9"/>
      <c r="AP191" s="9"/>
      <c r="AQ191" s="9"/>
      <c r="AR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224"/>
      <c r="X192" s="224"/>
      <c r="Y192" s="224"/>
      <c r="Z192" s="868"/>
      <c r="AA192" s="865"/>
      <c r="AB192" s="2"/>
      <c r="AC192" s="2"/>
      <c r="AD192" s="2"/>
      <c r="AE192" s="2"/>
      <c r="AF192" s="2"/>
      <c r="AG192" s="2"/>
      <c r="AH192" s="2"/>
      <c r="AI192" s="2"/>
      <c r="AJ192" s="2"/>
      <c r="AK192" s="2"/>
      <c r="AL192" s="2"/>
      <c r="AM192" s="2"/>
      <c r="AN192" s="2"/>
      <c r="AO192" s="9"/>
      <c r="AP192" s="9"/>
      <c r="AQ192" s="9"/>
      <c r="AR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224"/>
      <c r="X193" s="224"/>
      <c r="Y193" s="224"/>
      <c r="Z193" s="868"/>
      <c r="AA193" s="865"/>
      <c r="AB193" s="2"/>
      <c r="AC193" s="2"/>
      <c r="AD193" s="2"/>
      <c r="AE193" s="2"/>
      <c r="AF193" s="2"/>
      <c r="AG193" s="2"/>
      <c r="AH193" s="2"/>
      <c r="AI193" s="2"/>
      <c r="AJ193" s="2"/>
      <c r="AK193" s="2"/>
      <c r="AL193" s="2"/>
      <c r="AM193" s="2"/>
      <c r="AN193" s="2"/>
      <c r="AO193" s="9"/>
      <c r="AP193" s="9"/>
      <c r="AQ193" s="9"/>
      <c r="AR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224"/>
      <c r="X194" s="224"/>
      <c r="Y194" s="224"/>
      <c r="Z194" s="868"/>
      <c r="AA194" s="865"/>
      <c r="AB194" s="2"/>
      <c r="AC194" s="2"/>
      <c r="AD194" s="2"/>
      <c r="AE194" s="2"/>
      <c r="AF194" s="2"/>
      <c r="AG194" s="2"/>
      <c r="AH194" s="2"/>
      <c r="AI194" s="2"/>
      <c r="AJ194" s="2"/>
      <c r="AK194" s="2"/>
      <c r="AL194" s="2"/>
      <c r="AM194" s="2"/>
      <c r="AN194" s="2"/>
      <c r="AO194" s="9"/>
      <c r="AP194" s="9"/>
      <c r="AQ194" s="9"/>
      <c r="AR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224"/>
      <c r="X195" s="224"/>
      <c r="Y195" s="224"/>
      <c r="Z195" s="868"/>
      <c r="AA195" s="865"/>
      <c r="AB195" s="2"/>
      <c r="AC195" s="2"/>
      <c r="AD195" s="2"/>
      <c r="AE195" s="2"/>
      <c r="AF195" s="2"/>
      <c r="AG195" s="2"/>
      <c r="AH195" s="2"/>
      <c r="AI195" s="2"/>
      <c r="AJ195" s="2"/>
      <c r="AK195" s="2"/>
      <c r="AL195" s="2"/>
      <c r="AM195" s="2"/>
      <c r="AN195" s="2"/>
      <c r="AO195" s="9"/>
      <c r="AP195" s="9"/>
      <c r="AQ195" s="9"/>
      <c r="AR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224"/>
      <c r="X196" s="224"/>
      <c r="Y196" s="224"/>
      <c r="Z196" s="868"/>
      <c r="AA196" s="865"/>
      <c r="AB196" s="2"/>
      <c r="AC196" s="2"/>
      <c r="AD196" s="2"/>
      <c r="AE196" s="2"/>
      <c r="AF196" s="2"/>
      <c r="AG196" s="2"/>
      <c r="AH196" s="2"/>
      <c r="AI196" s="2"/>
      <c r="AJ196" s="2"/>
      <c r="AK196" s="2"/>
      <c r="AL196" s="2"/>
      <c r="AM196" s="2"/>
      <c r="AN196" s="2"/>
      <c r="AO196" s="9"/>
      <c r="AP196" s="9"/>
      <c r="AQ196" s="9"/>
      <c r="AR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224"/>
      <c r="X197" s="224"/>
      <c r="Y197" s="224"/>
      <c r="Z197" s="868"/>
      <c r="AA197" s="865"/>
      <c r="AB197" s="2"/>
      <c r="AC197" s="2"/>
      <c r="AD197" s="2"/>
      <c r="AE197" s="2"/>
      <c r="AF197" s="2"/>
      <c r="AG197" s="2"/>
      <c r="AH197" s="2"/>
      <c r="AI197" s="2"/>
      <c r="AJ197" s="2"/>
      <c r="AK197" s="2"/>
      <c r="AL197" s="2"/>
      <c r="AM197" s="2"/>
      <c r="AN197" s="2"/>
      <c r="AO197" s="9"/>
      <c r="AP197" s="9"/>
      <c r="AQ197" s="9"/>
      <c r="AR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224"/>
      <c r="X198" s="224"/>
      <c r="Y198" s="224"/>
      <c r="Z198" s="868"/>
      <c r="AA198" s="865"/>
      <c r="AB198" s="2"/>
      <c r="AC198" s="2"/>
      <c r="AD198" s="2"/>
      <c r="AE198" s="2"/>
      <c r="AF198" s="2"/>
      <c r="AG198" s="2"/>
      <c r="AH198" s="2"/>
      <c r="AI198" s="2"/>
      <c r="AJ198" s="2"/>
      <c r="AK198" s="2"/>
      <c r="AL198" s="2"/>
      <c r="AM198" s="2"/>
      <c r="AN198" s="2"/>
      <c r="AO198" s="9"/>
      <c r="AP198" s="9"/>
      <c r="AQ198" s="9"/>
      <c r="AR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224"/>
      <c r="X199" s="224"/>
      <c r="Y199" s="224"/>
      <c r="Z199" s="868"/>
      <c r="AA199" s="865"/>
      <c r="AB199" s="2"/>
      <c r="AC199" s="2"/>
      <c r="AD199" s="2"/>
      <c r="AE199" s="2"/>
      <c r="AF199" s="2"/>
      <c r="AG199" s="2"/>
      <c r="AH199" s="2"/>
      <c r="AI199" s="2"/>
      <c r="AJ199" s="2"/>
      <c r="AK199" s="2"/>
      <c r="AL199" s="2"/>
      <c r="AM199" s="2"/>
      <c r="AN199" s="2"/>
      <c r="AO199" s="9"/>
      <c r="AP199" s="9"/>
      <c r="AQ199" s="9"/>
      <c r="AR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224"/>
      <c r="X200" s="224"/>
      <c r="Y200" s="224"/>
      <c r="Z200" s="868"/>
      <c r="AA200" s="865"/>
      <c r="AB200" s="2"/>
      <c r="AC200" s="2"/>
      <c r="AD200" s="2"/>
      <c r="AE200" s="2"/>
      <c r="AF200" s="2"/>
      <c r="AG200" s="2"/>
      <c r="AH200" s="2"/>
      <c r="AI200" s="2"/>
      <c r="AJ200" s="2"/>
      <c r="AK200" s="2"/>
      <c r="AL200" s="2"/>
      <c r="AM200" s="2"/>
      <c r="AN200" s="2"/>
      <c r="AO200" s="9"/>
      <c r="AP200" s="9"/>
      <c r="AQ200" s="9"/>
      <c r="AR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224"/>
      <c r="X201" s="224"/>
      <c r="Y201" s="224"/>
      <c r="Z201" s="868"/>
      <c r="AA201" s="865"/>
      <c r="AB201" s="2"/>
      <c r="AC201" s="2"/>
      <c r="AD201" s="2"/>
      <c r="AE201" s="2"/>
      <c r="AF201" s="2"/>
      <c r="AG201" s="2"/>
      <c r="AH201" s="2"/>
      <c r="AI201" s="2"/>
      <c r="AJ201" s="2"/>
      <c r="AK201" s="2"/>
      <c r="AL201" s="2"/>
      <c r="AM201" s="2"/>
      <c r="AN201" s="2"/>
      <c r="AO201" s="9"/>
      <c r="AP201" s="9"/>
      <c r="AQ201" s="9"/>
      <c r="AR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224"/>
      <c r="X202" s="224"/>
      <c r="Y202" s="224"/>
      <c r="Z202" s="868"/>
      <c r="AA202" s="865"/>
      <c r="AB202" s="2"/>
      <c r="AC202" s="2"/>
      <c r="AD202" s="2"/>
      <c r="AE202" s="2"/>
      <c r="AF202" s="2"/>
      <c r="AG202" s="2"/>
      <c r="AH202" s="2"/>
      <c r="AI202" s="2"/>
      <c r="AJ202" s="2"/>
      <c r="AK202" s="2"/>
      <c r="AL202" s="2"/>
      <c r="AM202" s="2"/>
      <c r="AN202" s="2"/>
      <c r="AO202" s="9"/>
      <c r="AP202" s="9"/>
      <c r="AQ202" s="9"/>
      <c r="AR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224"/>
      <c r="X203" s="224"/>
      <c r="Y203" s="224"/>
      <c r="Z203" s="868"/>
      <c r="AA203" s="865"/>
      <c r="AB203" s="2"/>
      <c r="AC203" s="2"/>
      <c r="AD203" s="2"/>
      <c r="AE203" s="2"/>
      <c r="AF203" s="2"/>
      <c r="AG203" s="2"/>
      <c r="AH203" s="2"/>
      <c r="AI203" s="2"/>
      <c r="AJ203" s="2"/>
      <c r="AK203" s="2"/>
      <c r="AL203" s="2"/>
      <c r="AM203" s="2"/>
      <c r="AN203" s="2"/>
      <c r="AO203" s="9"/>
      <c r="AP203" s="9"/>
      <c r="AQ203" s="9"/>
      <c r="AR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224"/>
      <c r="X204" s="224"/>
      <c r="Y204" s="224"/>
      <c r="Z204" s="868"/>
      <c r="AA204" s="865"/>
      <c r="AB204" s="2"/>
      <c r="AC204" s="2"/>
      <c r="AD204" s="2"/>
      <c r="AE204" s="2"/>
      <c r="AF204" s="2"/>
      <c r="AG204" s="2"/>
      <c r="AH204" s="2"/>
      <c r="AI204" s="2"/>
      <c r="AJ204" s="2"/>
      <c r="AK204" s="2"/>
      <c r="AL204" s="2"/>
      <c r="AM204" s="2"/>
      <c r="AN204" s="2"/>
      <c r="AO204" s="9"/>
      <c r="AP204" s="9"/>
      <c r="AQ204" s="9"/>
      <c r="AR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224"/>
      <c r="X205" s="224"/>
      <c r="Y205" s="224"/>
      <c r="Z205" s="868"/>
      <c r="AA205" s="865"/>
      <c r="AB205" s="2"/>
      <c r="AC205" s="2"/>
      <c r="AD205" s="2"/>
      <c r="AE205" s="2"/>
      <c r="AF205" s="2"/>
      <c r="AG205" s="2"/>
      <c r="AH205" s="2"/>
      <c r="AI205" s="2"/>
      <c r="AJ205" s="2"/>
      <c r="AK205" s="2"/>
      <c r="AL205" s="2"/>
      <c r="AM205" s="2"/>
      <c r="AN205" s="2"/>
      <c r="AO205" s="9"/>
      <c r="AP205" s="9"/>
      <c r="AQ205" s="9"/>
      <c r="AR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224"/>
      <c r="X206" s="224"/>
      <c r="Y206" s="224"/>
      <c r="Z206" s="868"/>
      <c r="AA206" s="865"/>
      <c r="AB206" s="2"/>
      <c r="AC206" s="2"/>
      <c r="AD206" s="2"/>
      <c r="AE206" s="2"/>
      <c r="AF206" s="2"/>
      <c r="AG206" s="2"/>
      <c r="AH206" s="2"/>
      <c r="AI206" s="2"/>
      <c r="AJ206" s="2"/>
      <c r="AK206" s="2"/>
      <c r="AL206" s="2"/>
      <c r="AM206" s="2"/>
      <c r="AN206" s="2"/>
      <c r="AO206" s="9"/>
      <c r="AP206" s="9"/>
      <c r="AQ206" s="9"/>
      <c r="AR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224"/>
      <c r="X207" s="224"/>
      <c r="Y207" s="224"/>
      <c r="Z207" s="868"/>
      <c r="AA207" s="865"/>
      <c r="AB207" s="2"/>
      <c r="AC207" s="2"/>
      <c r="AD207" s="2"/>
      <c r="AE207" s="2"/>
      <c r="AF207" s="2"/>
      <c r="AG207" s="2"/>
      <c r="AH207" s="2"/>
      <c r="AI207" s="2"/>
      <c r="AJ207" s="2"/>
      <c r="AK207" s="2"/>
      <c r="AL207" s="2"/>
      <c r="AM207" s="2"/>
      <c r="AN207" s="2"/>
      <c r="AO207" s="9"/>
      <c r="AP207" s="9"/>
      <c r="AQ207" s="9"/>
      <c r="AR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224"/>
      <c r="X208" s="224"/>
      <c r="Y208" s="224"/>
      <c r="Z208" s="868"/>
      <c r="AA208" s="865"/>
      <c r="AB208" s="2"/>
      <c r="AC208" s="2"/>
      <c r="AD208" s="2"/>
      <c r="AE208" s="2"/>
      <c r="AF208" s="2"/>
      <c r="AG208" s="2"/>
      <c r="AH208" s="2"/>
      <c r="AI208" s="2"/>
      <c r="AJ208" s="2"/>
      <c r="AK208" s="2"/>
      <c r="AL208" s="2"/>
      <c r="AM208" s="2"/>
      <c r="AN208" s="2"/>
      <c r="AO208" s="9"/>
      <c r="AP208" s="9"/>
      <c r="AQ208" s="9"/>
      <c r="AR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224"/>
      <c r="X209" s="224"/>
      <c r="Y209" s="224"/>
      <c r="Z209" s="868"/>
      <c r="AA209" s="865"/>
      <c r="AB209" s="2"/>
      <c r="AC209" s="2"/>
      <c r="AD209" s="2"/>
      <c r="AE209" s="2"/>
      <c r="AF209" s="2"/>
      <c r="AG209" s="2"/>
      <c r="AH209" s="2"/>
      <c r="AI209" s="2"/>
      <c r="AJ209" s="2"/>
      <c r="AK209" s="2"/>
      <c r="AL209" s="2"/>
      <c r="AM209" s="2"/>
      <c r="AN209" s="2"/>
      <c r="AO209" s="9"/>
      <c r="AP209" s="9"/>
      <c r="AQ209" s="9"/>
      <c r="AR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224"/>
      <c r="X210" s="224"/>
      <c r="Y210" s="224"/>
      <c r="Z210" s="868"/>
      <c r="AA210" s="865"/>
      <c r="AB210" s="2"/>
      <c r="AC210" s="2"/>
      <c r="AD210" s="2"/>
      <c r="AE210" s="2"/>
      <c r="AF210" s="2"/>
      <c r="AG210" s="2"/>
      <c r="AH210" s="2"/>
      <c r="AI210" s="2"/>
      <c r="AJ210" s="2"/>
      <c r="AK210" s="2"/>
      <c r="AL210" s="2"/>
      <c r="AM210" s="2"/>
      <c r="AN210" s="2"/>
      <c r="AO210" s="9"/>
      <c r="AP210" s="9"/>
      <c r="AQ210" s="9"/>
      <c r="AR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224"/>
      <c r="X211" s="224"/>
      <c r="Y211" s="224"/>
      <c r="Z211" s="868"/>
      <c r="AA211" s="865"/>
      <c r="AB211" s="2"/>
      <c r="AC211" s="2"/>
      <c r="AD211" s="2"/>
      <c r="AE211" s="2"/>
      <c r="AF211" s="2"/>
      <c r="AG211" s="2"/>
      <c r="AH211" s="2"/>
      <c r="AI211" s="2"/>
      <c r="AJ211" s="2"/>
      <c r="AK211" s="2"/>
      <c r="AL211" s="2"/>
      <c r="AM211" s="2"/>
      <c r="AN211" s="2"/>
      <c r="AO211" s="9"/>
      <c r="AP211" s="9"/>
      <c r="AQ211" s="9"/>
      <c r="AR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224"/>
      <c r="X212" s="224"/>
      <c r="Y212" s="224"/>
      <c r="Z212" s="868"/>
      <c r="AA212" s="865"/>
      <c r="AB212" s="2"/>
      <c r="AC212" s="2"/>
      <c r="AD212" s="2"/>
      <c r="AE212" s="2"/>
      <c r="AF212" s="2"/>
      <c r="AG212" s="2"/>
      <c r="AH212" s="2"/>
      <c r="AI212" s="2"/>
      <c r="AJ212" s="2"/>
      <c r="AK212" s="2"/>
      <c r="AL212" s="2"/>
      <c r="AM212" s="2"/>
      <c r="AN212" s="2"/>
      <c r="AO212" s="9"/>
      <c r="AP212" s="9"/>
      <c r="AQ212" s="9"/>
      <c r="AR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224"/>
      <c r="X213" s="224"/>
      <c r="Y213" s="224"/>
      <c r="Z213" s="868"/>
      <c r="AA213" s="865"/>
      <c r="AB213" s="2"/>
      <c r="AC213" s="2"/>
      <c r="AD213" s="2"/>
      <c r="AE213" s="2"/>
      <c r="AF213" s="2"/>
      <c r="AG213" s="2"/>
      <c r="AH213" s="2"/>
      <c r="AI213" s="2"/>
      <c r="AJ213" s="2"/>
      <c r="AK213" s="2"/>
      <c r="AL213" s="2"/>
      <c r="AM213" s="2"/>
      <c r="AN213" s="2"/>
      <c r="AO213" s="9"/>
      <c r="AP213" s="9"/>
      <c r="AQ213" s="9"/>
      <c r="AR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224"/>
      <c r="X214" s="224"/>
      <c r="Y214" s="224"/>
      <c r="Z214" s="868"/>
      <c r="AA214" s="865"/>
      <c r="AB214" s="2"/>
      <c r="AC214" s="2"/>
      <c r="AD214" s="2"/>
      <c r="AE214" s="2"/>
      <c r="AF214" s="2"/>
      <c r="AG214" s="2"/>
      <c r="AH214" s="2"/>
      <c r="AI214" s="2"/>
      <c r="AJ214" s="2"/>
      <c r="AK214" s="2"/>
      <c r="AL214" s="2"/>
      <c r="AM214" s="2"/>
      <c r="AN214" s="2"/>
      <c r="AO214" s="9"/>
      <c r="AP214" s="9"/>
      <c r="AQ214" s="9"/>
      <c r="AR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224"/>
      <c r="X215" s="224"/>
      <c r="Y215" s="224"/>
      <c r="Z215" s="868"/>
      <c r="AA215" s="865"/>
      <c r="AB215" s="2"/>
      <c r="AC215" s="2"/>
      <c r="AD215" s="2"/>
      <c r="AE215" s="2"/>
      <c r="AF215" s="2"/>
      <c r="AG215" s="2"/>
      <c r="AH215" s="2"/>
      <c r="AI215" s="2"/>
      <c r="AJ215" s="2"/>
      <c r="AK215" s="2"/>
      <c r="AL215" s="2"/>
      <c r="AM215" s="2"/>
      <c r="AN215" s="2"/>
      <c r="AO215" s="9"/>
      <c r="AP215" s="9"/>
      <c r="AQ215" s="9"/>
      <c r="AR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224"/>
      <c r="X216" s="224"/>
      <c r="Y216" s="224"/>
      <c r="Z216" s="868"/>
      <c r="AA216" s="865"/>
      <c r="AB216" s="2"/>
      <c r="AC216" s="2"/>
      <c r="AD216" s="2"/>
      <c r="AE216" s="2"/>
      <c r="AF216" s="2"/>
      <c r="AG216" s="2"/>
      <c r="AH216" s="2"/>
      <c r="AI216" s="2"/>
      <c r="AJ216" s="2"/>
      <c r="AK216" s="2"/>
      <c r="AL216" s="2"/>
      <c r="AM216" s="2"/>
      <c r="AN216" s="2"/>
      <c r="AO216" s="9"/>
      <c r="AP216" s="9"/>
      <c r="AQ216" s="9"/>
      <c r="AR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224"/>
      <c r="X217" s="224"/>
      <c r="Y217" s="224"/>
      <c r="Z217" s="868"/>
      <c r="AA217" s="865"/>
      <c r="AB217" s="2"/>
      <c r="AC217" s="2"/>
      <c r="AD217" s="2"/>
      <c r="AE217" s="2"/>
      <c r="AF217" s="2"/>
      <c r="AG217" s="2"/>
      <c r="AH217" s="2"/>
      <c r="AI217" s="2"/>
      <c r="AJ217" s="2"/>
      <c r="AK217" s="2"/>
      <c r="AL217" s="2"/>
      <c r="AM217" s="2"/>
      <c r="AN217" s="2"/>
      <c r="AO217" s="9"/>
      <c r="AP217" s="9"/>
      <c r="AQ217" s="9"/>
      <c r="AR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224"/>
      <c r="X218" s="224"/>
      <c r="Y218" s="224"/>
      <c r="Z218" s="868"/>
      <c r="AA218" s="865"/>
      <c r="AB218" s="2"/>
      <c r="AC218" s="2"/>
      <c r="AD218" s="2"/>
      <c r="AE218" s="2"/>
      <c r="AF218" s="2"/>
      <c r="AG218" s="2"/>
      <c r="AH218" s="2"/>
      <c r="AI218" s="2"/>
      <c r="AJ218" s="2"/>
      <c r="AK218" s="2"/>
      <c r="AL218" s="2"/>
      <c r="AM218" s="2"/>
      <c r="AN218" s="2"/>
      <c r="AO218" s="9"/>
      <c r="AP218" s="9"/>
      <c r="AQ218" s="9"/>
      <c r="AR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224"/>
      <c r="X219" s="224"/>
      <c r="Y219" s="224"/>
      <c r="Z219" s="868"/>
      <c r="AA219" s="865"/>
      <c r="AB219" s="2"/>
      <c r="AC219" s="2"/>
      <c r="AD219" s="2"/>
      <c r="AE219" s="2"/>
      <c r="AF219" s="2"/>
      <c r="AG219" s="2"/>
      <c r="AH219" s="2"/>
      <c r="AI219" s="2"/>
      <c r="AJ219" s="2"/>
      <c r="AK219" s="2"/>
      <c r="AL219" s="2"/>
      <c r="AM219" s="2"/>
      <c r="AN219" s="2"/>
      <c r="AO219" s="9"/>
      <c r="AP219" s="9"/>
      <c r="AQ219" s="9"/>
      <c r="AR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224"/>
      <c r="X220" s="224"/>
      <c r="Y220" s="224"/>
      <c r="Z220" s="868"/>
      <c r="AA220" s="865"/>
      <c r="AB220" s="2"/>
      <c r="AC220" s="2"/>
      <c r="AD220" s="2"/>
      <c r="AE220" s="2"/>
      <c r="AF220" s="2"/>
      <c r="AG220" s="2"/>
      <c r="AH220" s="2"/>
      <c r="AI220" s="2"/>
      <c r="AJ220" s="2"/>
      <c r="AK220" s="2"/>
      <c r="AL220" s="2"/>
      <c r="AM220" s="2"/>
      <c r="AN220" s="2"/>
      <c r="AO220" s="9"/>
      <c r="AP220" s="9"/>
      <c r="AQ220" s="9"/>
      <c r="AR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224"/>
      <c r="X221" s="224"/>
      <c r="Y221" s="224"/>
      <c r="Z221" s="868"/>
      <c r="AA221" s="865"/>
      <c r="AB221" s="2"/>
      <c r="AC221" s="2"/>
      <c r="AD221" s="2"/>
      <c r="AE221" s="2"/>
      <c r="AF221" s="2"/>
      <c r="AG221" s="2"/>
      <c r="AH221" s="2"/>
      <c r="AI221" s="2"/>
      <c r="AJ221" s="2"/>
      <c r="AK221" s="2"/>
      <c r="AL221" s="2"/>
      <c r="AM221" s="2"/>
      <c r="AN221" s="2"/>
      <c r="AO221" s="9"/>
      <c r="AP221" s="9"/>
      <c r="AQ221" s="9"/>
      <c r="AR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224"/>
      <c r="X222" s="224"/>
      <c r="Y222" s="224"/>
      <c r="Z222" s="868"/>
      <c r="AA222" s="865"/>
      <c r="AB222" s="2"/>
      <c r="AC222" s="2"/>
      <c r="AD222" s="2"/>
      <c r="AE222" s="2"/>
      <c r="AF222" s="2"/>
      <c r="AG222" s="2"/>
      <c r="AH222" s="2"/>
      <c r="AI222" s="2"/>
      <c r="AJ222" s="2"/>
      <c r="AK222" s="2"/>
      <c r="AL222" s="2"/>
      <c r="AM222" s="2"/>
      <c r="AN222" s="2"/>
      <c r="AO222" s="9"/>
      <c r="AP222" s="9"/>
      <c r="AQ222" s="9"/>
      <c r="AR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224"/>
      <c r="X223" s="224"/>
      <c r="Y223" s="224"/>
      <c r="Z223" s="868"/>
      <c r="AA223" s="865"/>
      <c r="AB223" s="2"/>
      <c r="AC223" s="2"/>
      <c r="AD223" s="2"/>
      <c r="AE223" s="2"/>
      <c r="AF223" s="2"/>
      <c r="AG223" s="2"/>
      <c r="AH223" s="2"/>
      <c r="AI223" s="2"/>
      <c r="AJ223" s="2"/>
      <c r="AK223" s="2"/>
      <c r="AL223" s="2"/>
      <c r="AM223" s="2"/>
      <c r="AN223" s="2"/>
      <c r="AO223" s="9"/>
      <c r="AP223" s="9"/>
      <c r="AQ223" s="9"/>
      <c r="AR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224"/>
      <c r="X224" s="224"/>
      <c r="Y224" s="224"/>
      <c r="Z224" s="868"/>
      <c r="AA224" s="865"/>
      <c r="AB224" s="2"/>
      <c r="AC224" s="2"/>
      <c r="AD224" s="2"/>
      <c r="AE224" s="2"/>
      <c r="AF224" s="2"/>
      <c r="AG224" s="2"/>
      <c r="AH224" s="2"/>
      <c r="AI224" s="2"/>
      <c r="AJ224" s="2"/>
      <c r="AK224" s="2"/>
      <c r="AL224" s="2"/>
      <c r="AM224" s="2"/>
      <c r="AN224" s="2"/>
      <c r="AO224" s="9"/>
      <c r="AP224" s="9"/>
      <c r="AQ224" s="9"/>
      <c r="AR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224"/>
      <c r="X225" s="224"/>
      <c r="Y225" s="224"/>
      <c r="Z225" s="868"/>
      <c r="AA225" s="865"/>
      <c r="AB225" s="2"/>
      <c r="AC225" s="2"/>
      <c r="AD225" s="2"/>
      <c r="AE225" s="2"/>
      <c r="AF225" s="2"/>
      <c r="AG225" s="2"/>
      <c r="AH225" s="2"/>
      <c r="AI225" s="2"/>
      <c r="AJ225" s="2"/>
      <c r="AK225" s="2"/>
      <c r="AL225" s="2"/>
      <c r="AM225" s="2"/>
      <c r="AN225" s="2"/>
      <c r="AO225" s="9"/>
      <c r="AP225" s="9"/>
      <c r="AQ225" s="9"/>
      <c r="AR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224"/>
      <c r="X226" s="224"/>
      <c r="Y226" s="224"/>
      <c r="Z226" s="868"/>
      <c r="AA226" s="865"/>
      <c r="AB226" s="2"/>
      <c r="AC226" s="2"/>
      <c r="AD226" s="2"/>
      <c r="AE226" s="2"/>
      <c r="AF226" s="2"/>
      <c r="AG226" s="2"/>
      <c r="AH226" s="2"/>
      <c r="AI226" s="2"/>
      <c r="AJ226" s="2"/>
      <c r="AK226" s="2"/>
      <c r="AL226" s="2"/>
      <c r="AM226" s="2"/>
      <c r="AN226" s="2"/>
      <c r="AO226" s="9"/>
      <c r="AP226" s="9"/>
      <c r="AQ226" s="9"/>
      <c r="AR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224"/>
      <c r="X227" s="224"/>
      <c r="Y227" s="224"/>
      <c r="Z227" s="868"/>
      <c r="AA227" s="865"/>
      <c r="AB227" s="2"/>
      <c r="AC227" s="2"/>
      <c r="AD227" s="2"/>
      <c r="AE227" s="2"/>
      <c r="AF227" s="2"/>
      <c r="AG227" s="2"/>
      <c r="AH227" s="2"/>
      <c r="AI227" s="2"/>
      <c r="AJ227" s="2"/>
      <c r="AK227" s="2"/>
      <c r="AL227" s="2"/>
      <c r="AM227" s="2"/>
      <c r="AN227" s="2"/>
      <c r="AO227" s="9"/>
      <c r="AP227" s="9"/>
      <c r="AQ227" s="9"/>
      <c r="AR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224"/>
      <c r="X228" s="224"/>
      <c r="Y228" s="224"/>
      <c r="Z228" s="868"/>
      <c r="AA228" s="865"/>
      <c r="AB228" s="2"/>
      <c r="AC228" s="2"/>
      <c r="AD228" s="2"/>
      <c r="AE228" s="2"/>
      <c r="AF228" s="2"/>
      <c r="AG228" s="2"/>
      <c r="AH228" s="2"/>
      <c r="AI228" s="2"/>
      <c r="AJ228" s="2"/>
      <c r="AK228" s="2"/>
      <c r="AL228" s="2"/>
      <c r="AM228" s="2"/>
      <c r="AN228" s="2"/>
      <c r="AO228" s="9"/>
      <c r="AP228" s="9"/>
      <c r="AQ228" s="9"/>
      <c r="AR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224"/>
      <c r="X229" s="224"/>
      <c r="Y229" s="224"/>
      <c r="Z229" s="868"/>
      <c r="AA229" s="865"/>
      <c r="AB229" s="2"/>
      <c r="AC229" s="2"/>
      <c r="AD229" s="2"/>
      <c r="AE229" s="2"/>
      <c r="AF229" s="2"/>
      <c r="AG229" s="2"/>
      <c r="AH229" s="2"/>
      <c r="AI229" s="2"/>
      <c r="AJ229" s="2"/>
      <c r="AK229" s="2"/>
      <c r="AL229" s="2"/>
      <c r="AM229" s="2"/>
      <c r="AN229" s="2"/>
      <c r="AO229" s="9"/>
      <c r="AP229" s="9"/>
      <c r="AQ229" s="9"/>
      <c r="AR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224"/>
      <c r="X230" s="224"/>
      <c r="Y230" s="224"/>
      <c r="Z230" s="868"/>
      <c r="AA230" s="865"/>
      <c r="AB230" s="2"/>
      <c r="AC230" s="2"/>
      <c r="AD230" s="2"/>
      <c r="AE230" s="2"/>
      <c r="AF230" s="2"/>
      <c r="AG230" s="2"/>
      <c r="AH230" s="2"/>
      <c r="AI230" s="2"/>
      <c r="AJ230" s="2"/>
      <c r="AK230" s="2"/>
      <c r="AL230" s="2"/>
      <c r="AM230" s="2"/>
      <c r="AN230" s="2"/>
      <c r="AO230" s="9"/>
      <c r="AP230" s="9"/>
      <c r="AQ230" s="9"/>
      <c r="AR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224"/>
      <c r="X231" s="224"/>
      <c r="Y231" s="224"/>
      <c r="Z231" s="868"/>
      <c r="AA231" s="865"/>
      <c r="AB231" s="2"/>
      <c r="AC231" s="2"/>
      <c r="AD231" s="2"/>
      <c r="AE231" s="2"/>
      <c r="AF231" s="2"/>
      <c r="AG231" s="2"/>
      <c r="AH231" s="2"/>
      <c r="AI231" s="2"/>
      <c r="AJ231" s="2"/>
      <c r="AK231" s="2"/>
      <c r="AL231" s="2"/>
      <c r="AM231" s="2"/>
      <c r="AN231" s="2"/>
      <c r="AO231" s="9"/>
      <c r="AP231" s="9"/>
      <c r="AQ231" s="9"/>
      <c r="AR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224"/>
      <c r="X232" s="224"/>
      <c r="Y232" s="224"/>
      <c r="Z232" s="868"/>
      <c r="AA232" s="865"/>
      <c r="AB232" s="2"/>
      <c r="AC232" s="2"/>
      <c r="AD232" s="2"/>
      <c r="AE232" s="2"/>
      <c r="AF232" s="2"/>
      <c r="AG232" s="2"/>
      <c r="AH232" s="2"/>
      <c r="AI232" s="2"/>
      <c r="AJ232" s="2"/>
      <c r="AK232" s="2"/>
      <c r="AL232" s="2"/>
      <c r="AM232" s="2"/>
      <c r="AN232" s="2"/>
      <c r="AO232" s="9"/>
      <c r="AP232" s="9"/>
      <c r="AQ232" s="9"/>
      <c r="AR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224"/>
      <c r="X233" s="224"/>
      <c r="Y233" s="224"/>
      <c r="Z233" s="868"/>
      <c r="AA233" s="865"/>
      <c r="AB233" s="2"/>
      <c r="AC233" s="2"/>
      <c r="AD233" s="2"/>
      <c r="AE233" s="2"/>
      <c r="AF233" s="2"/>
      <c r="AG233" s="2"/>
      <c r="AH233" s="2"/>
      <c r="AI233" s="2"/>
      <c r="AJ233" s="2"/>
      <c r="AK233" s="2"/>
      <c r="AL233" s="2"/>
      <c r="AM233" s="2"/>
      <c r="AN233" s="2"/>
      <c r="AO233" s="9"/>
      <c r="AP233" s="9"/>
      <c r="AQ233" s="9"/>
      <c r="AR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224"/>
      <c r="X234" s="224"/>
      <c r="Y234" s="224"/>
      <c r="Z234" s="868"/>
      <c r="AA234" s="865"/>
      <c r="AB234" s="2"/>
      <c r="AC234" s="2"/>
      <c r="AD234" s="2"/>
      <c r="AE234" s="2"/>
      <c r="AF234" s="2"/>
      <c r="AG234" s="2"/>
      <c r="AH234" s="2"/>
      <c r="AI234" s="2"/>
      <c r="AJ234" s="2"/>
      <c r="AK234" s="2"/>
      <c r="AL234" s="2"/>
      <c r="AM234" s="2"/>
      <c r="AN234" s="2"/>
      <c r="AO234" s="9"/>
      <c r="AP234" s="9"/>
      <c r="AQ234" s="9"/>
      <c r="AR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224"/>
      <c r="X235" s="224"/>
      <c r="Y235" s="224"/>
      <c r="Z235" s="868"/>
      <c r="AA235" s="865"/>
      <c r="AB235" s="2"/>
      <c r="AC235" s="2"/>
      <c r="AD235" s="2"/>
      <c r="AE235" s="2"/>
      <c r="AF235" s="2"/>
      <c r="AG235" s="2"/>
      <c r="AH235" s="2"/>
      <c r="AI235" s="2"/>
      <c r="AJ235" s="2"/>
      <c r="AK235" s="2"/>
      <c r="AL235" s="2"/>
      <c r="AM235" s="2"/>
      <c r="AN235" s="2"/>
      <c r="AO235" s="9"/>
      <c r="AP235" s="9"/>
      <c r="AQ235" s="9"/>
      <c r="AR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224"/>
      <c r="X236" s="224"/>
      <c r="Y236" s="224"/>
      <c r="Z236" s="868"/>
      <c r="AA236" s="865"/>
      <c r="AB236" s="2"/>
      <c r="AC236" s="2"/>
      <c r="AD236" s="2"/>
      <c r="AE236" s="2"/>
      <c r="AF236" s="2"/>
      <c r="AG236" s="2"/>
      <c r="AH236" s="2"/>
      <c r="AI236" s="2"/>
      <c r="AJ236" s="2"/>
      <c r="AK236" s="2"/>
      <c r="AL236" s="2"/>
      <c r="AM236" s="2"/>
      <c r="AN236" s="2"/>
      <c r="AO236" s="9"/>
      <c r="AP236" s="9"/>
      <c r="AQ236" s="9"/>
      <c r="AR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224"/>
      <c r="X237" s="224"/>
      <c r="Y237" s="224"/>
      <c r="Z237" s="868"/>
      <c r="AA237" s="865"/>
      <c r="AB237" s="2"/>
      <c r="AC237" s="2"/>
      <c r="AD237" s="2"/>
      <c r="AE237" s="2"/>
      <c r="AF237" s="2"/>
      <c r="AG237" s="2"/>
      <c r="AH237" s="2"/>
      <c r="AI237" s="2"/>
      <c r="AJ237" s="2"/>
      <c r="AK237" s="2"/>
      <c r="AL237" s="2"/>
      <c r="AM237" s="2"/>
      <c r="AN237" s="2"/>
      <c r="AO237" s="9"/>
      <c r="AP237" s="9"/>
      <c r="AQ237" s="9"/>
      <c r="AR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224"/>
      <c r="X238" s="224"/>
      <c r="Y238" s="224"/>
      <c r="Z238" s="868"/>
      <c r="AA238" s="865"/>
      <c r="AB238" s="2"/>
      <c r="AC238" s="2"/>
      <c r="AD238" s="2"/>
      <c r="AE238" s="2"/>
      <c r="AF238" s="2"/>
      <c r="AG238" s="2"/>
      <c r="AH238" s="2"/>
      <c r="AI238" s="2"/>
      <c r="AJ238" s="2"/>
      <c r="AK238" s="2"/>
      <c r="AL238" s="2"/>
      <c r="AM238" s="2"/>
      <c r="AN238" s="2"/>
      <c r="AO238" s="9"/>
      <c r="AP238" s="9"/>
      <c r="AQ238" s="9"/>
      <c r="AR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224"/>
      <c r="X239" s="224"/>
      <c r="Y239" s="224"/>
      <c r="Z239" s="868"/>
      <c r="AA239" s="865"/>
      <c r="AB239" s="2"/>
      <c r="AC239" s="2"/>
      <c r="AD239" s="2"/>
      <c r="AE239" s="2"/>
      <c r="AF239" s="2"/>
      <c r="AG239" s="2"/>
      <c r="AH239" s="2"/>
      <c r="AI239" s="2"/>
      <c r="AJ239" s="2"/>
      <c r="AK239" s="2"/>
      <c r="AL239" s="2"/>
      <c r="AM239" s="2"/>
      <c r="AN239" s="2"/>
      <c r="AO239" s="9"/>
      <c r="AP239" s="9"/>
      <c r="AQ239" s="9"/>
      <c r="AR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224"/>
      <c r="X240" s="224"/>
      <c r="Y240" s="224"/>
      <c r="Z240" s="868"/>
      <c r="AA240" s="865"/>
      <c r="AB240" s="2"/>
      <c r="AC240" s="2"/>
      <c r="AD240" s="2"/>
      <c r="AE240" s="2"/>
      <c r="AF240" s="2"/>
      <c r="AG240" s="2"/>
      <c r="AH240" s="2"/>
      <c r="AI240" s="2"/>
      <c r="AJ240" s="2"/>
      <c r="AK240" s="2"/>
      <c r="AL240" s="2"/>
      <c r="AM240" s="2"/>
      <c r="AN240" s="2"/>
      <c r="AO240" s="9"/>
      <c r="AP240" s="9"/>
      <c r="AQ240" s="9"/>
      <c r="AR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224"/>
      <c r="X241" s="224"/>
      <c r="Y241" s="224"/>
      <c r="Z241" s="868"/>
      <c r="AA241" s="865"/>
      <c r="AB241" s="2"/>
      <c r="AC241" s="2"/>
      <c r="AD241" s="2"/>
      <c r="AE241" s="2"/>
      <c r="AF241" s="2"/>
      <c r="AG241" s="2"/>
      <c r="AH241" s="2"/>
      <c r="AI241" s="2"/>
      <c r="AJ241" s="2"/>
      <c r="AK241" s="2"/>
      <c r="AL241" s="2"/>
      <c r="AM241" s="2"/>
      <c r="AN241" s="2"/>
      <c r="AO241" s="9"/>
      <c r="AP241" s="9"/>
      <c r="AQ241" s="9"/>
      <c r="AR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224"/>
      <c r="X242" s="224"/>
      <c r="Y242" s="224"/>
      <c r="Z242" s="868"/>
      <c r="AA242" s="865"/>
      <c r="AB242" s="2"/>
      <c r="AC242" s="2"/>
      <c r="AD242" s="2"/>
      <c r="AE242" s="2"/>
      <c r="AF242" s="2"/>
      <c r="AG242" s="2"/>
      <c r="AH242" s="2"/>
      <c r="AI242" s="2"/>
      <c r="AJ242" s="2"/>
      <c r="AK242" s="2"/>
      <c r="AL242" s="2"/>
      <c r="AM242" s="2"/>
      <c r="AN242" s="2"/>
      <c r="AO242" s="9"/>
      <c r="AP242" s="9"/>
      <c r="AQ242" s="9"/>
      <c r="AR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224"/>
      <c r="X243" s="224"/>
      <c r="Y243" s="224"/>
      <c r="Z243" s="868"/>
      <c r="AA243" s="865"/>
      <c r="AB243" s="2"/>
      <c r="AC243" s="2"/>
      <c r="AD243" s="2"/>
      <c r="AE243" s="2"/>
      <c r="AF243" s="2"/>
      <c r="AG243" s="2"/>
      <c r="AH243" s="2"/>
      <c r="AI243" s="2"/>
      <c r="AJ243" s="2"/>
      <c r="AK243" s="2"/>
      <c r="AL243" s="2"/>
      <c r="AM243" s="2"/>
      <c r="AN243" s="2"/>
      <c r="AO243" s="9"/>
      <c r="AP243" s="9"/>
      <c r="AQ243" s="9"/>
      <c r="AR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224"/>
      <c r="X244" s="224"/>
      <c r="Y244" s="224"/>
      <c r="Z244" s="868"/>
      <c r="AA244" s="865"/>
      <c r="AB244" s="2"/>
      <c r="AC244" s="2"/>
      <c r="AD244" s="2"/>
      <c r="AE244" s="2"/>
      <c r="AF244" s="2"/>
      <c r="AG244" s="2"/>
      <c r="AH244" s="2"/>
      <c r="AI244" s="2"/>
      <c r="AJ244" s="2"/>
      <c r="AK244" s="2"/>
      <c r="AL244" s="2"/>
      <c r="AM244" s="2"/>
      <c r="AN244" s="2"/>
      <c r="AO244" s="9"/>
      <c r="AP244" s="9"/>
      <c r="AQ244" s="9"/>
      <c r="AR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224"/>
      <c r="X245" s="224"/>
      <c r="Y245" s="224"/>
      <c r="Z245" s="868"/>
      <c r="AA245" s="865"/>
      <c r="AB245" s="2"/>
      <c r="AC245" s="2"/>
      <c r="AD245" s="2"/>
      <c r="AE245" s="2"/>
      <c r="AF245" s="2"/>
      <c r="AG245" s="2"/>
      <c r="AH245" s="2"/>
      <c r="AI245" s="2"/>
      <c r="AJ245" s="2"/>
      <c r="AK245" s="2"/>
      <c r="AL245" s="2"/>
      <c r="AM245" s="2"/>
      <c r="AN245" s="2"/>
      <c r="AO245" s="9"/>
      <c r="AP245" s="9"/>
      <c r="AQ245" s="9"/>
      <c r="AR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224"/>
      <c r="X246" s="224"/>
      <c r="Y246" s="224"/>
      <c r="Z246" s="868"/>
      <c r="AA246" s="865"/>
      <c r="AB246" s="2"/>
      <c r="AC246" s="2"/>
      <c r="AD246" s="2"/>
      <c r="AE246" s="2"/>
      <c r="AF246" s="2"/>
      <c r="AG246" s="2"/>
      <c r="AH246" s="2"/>
      <c r="AI246" s="2"/>
      <c r="AJ246" s="2"/>
      <c r="AK246" s="2"/>
      <c r="AL246" s="2"/>
      <c r="AM246" s="2"/>
      <c r="AN246" s="2"/>
      <c r="AO246" s="9"/>
      <c r="AP246" s="9"/>
      <c r="AQ246" s="9"/>
      <c r="AR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224"/>
      <c r="X247" s="224"/>
      <c r="Y247" s="224"/>
      <c r="Z247" s="868"/>
      <c r="AA247" s="865"/>
      <c r="AB247" s="2"/>
      <c r="AC247" s="2"/>
      <c r="AD247" s="2"/>
      <c r="AE247" s="2"/>
      <c r="AF247" s="2"/>
      <c r="AG247" s="2"/>
      <c r="AH247" s="2"/>
      <c r="AI247" s="2"/>
      <c r="AJ247" s="2"/>
      <c r="AK247" s="2"/>
      <c r="AL247" s="2"/>
      <c r="AM247" s="2"/>
      <c r="AN247" s="2"/>
      <c r="AO247" s="9"/>
      <c r="AP247" s="9"/>
      <c r="AQ247" s="9"/>
      <c r="AR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224"/>
      <c r="X248" s="224"/>
      <c r="Y248" s="224"/>
      <c r="Z248" s="868"/>
      <c r="AA248" s="865"/>
      <c r="AB248" s="2"/>
      <c r="AC248" s="2"/>
      <c r="AD248" s="2"/>
      <c r="AE248" s="2"/>
      <c r="AF248" s="2"/>
      <c r="AG248" s="2"/>
      <c r="AH248" s="2"/>
      <c r="AI248" s="2"/>
      <c r="AJ248" s="2"/>
      <c r="AK248" s="2"/>
      <c r="AL248" s="2"/>
      <c r="AM248" s="2"/>
      <c r="AN248" s="2"/>
      <c r="AO248" s="9"/>
      <c r="AP248" s="9"/>
      <c r="AQ248" s="9"/>
      <c r="AR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224"/>
      <c r="X249" s="224"/>
      <c r="Y249" s="224"/>
      <c r="Z249" s="868"/>
      <c r="AA249" s="865"/>
      <c r="AB249" s="2"/>
      <c r="AC249" s="2"/>
      <c r="AD249" s="2"/>
      <c r="AE249" s="2"/>
      <c r="AF249" s="2"/>
      <c r="AG249" s="2"/>
      <c r="AH249" s="2"/>
      <c r="AI249" s="2"/>
      <c r="AJ249" s="2"/>
      <c r="AK249" s="2"/>
      <c r="AL249" s="2"/>
      <c r="AM249" s="2"/>
      <c r="AN249" s="2"/>
      <c r="AO249" s="9"/>
      <c r="AP249" s="9"/>
      <c r="AQ249" s="9"/>
      <c r="AR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224"/>
      <c r="X250" s="224"/>
      <c r="Y250" s="224"/>
      <c r="Z250" s="868"/>
      <c r="AA250" s="865"/>
      <c r="AB250" s="2"/>
      <c r="AC250" s="2"/>
      <c r="AD250" s="2"/>
      <c r="AE250" s="2"/>
      <c r="AF250" s="2"/>
      <c r="AG250" s="2"/>
      <c r="AH250" s="2"/>
      <c r="AI250" s="2"/>
      <c r="AJ250" s="2"/>
      <c r="AK250" s="2"/>
      <c r="AL250" s="2"/>
      <c r="AM250" s="2"/>
      <c r="AN250" s="2"/>
      <c r="AO250" s="9"/>
      <c r="AP250" s="9"/>
      <c r="AQ250" s="9"/>
      <c r="AR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224"/>
      <c r="X251" s="224"/>
      <c r="Y251" s="224"/>
      <c r="Z251" s="868"/>
      <c r="AA251" s="865"/>
      <c r="AB251" s="2"/>
      <c r="AC251" s="2"/>
      <c r="AD251" s="2"/>
      <c r="AE251" s="2"/>
      <c r="AF251" s="2"/>
      <c r="AG251" s="2"/>
      <c r="AH251" s="2"/>
      <c r="AI251" s="2"/>
      <c r="AJ251" s="2"/>
      <c r="AK251" s="2"/>
      <c r="AL251" s="2"/>
      <c r="AM251" s="2"/>
      <c r="AN251" s="2"/>
      <c r="AO251" s="9"/>
      <c r="AP251" s="9"/>
      <c r="AQ251" s="9"/>
      <c r="AR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224"/>
      <c r="X252" s="224"/>
      <c r="Y252" s="224"/>
      <c r="Z252" s="868"/>
      <c r="AA252" s="865"/>
      <c r="AB252" s="2"/>
      <c r="AC252" s="2"/>
      <c r="AD252" s="2"/>
      <c r="AE252" s="2"/>
      <c r="AF252" s="2"/>
      <c r="AG252" s="2"/>
      <c r="AH252" s="2"/>
      <c r="AI252" s="2"/>
      <c r="AJ252" s="2"/>
      <c r="AK252" s="2"/>
      <c r="AL252" s="2"/>
      <c r="AM252" s="2"/>
      <c r="AN252" s="2"/>
      <c r="AO252" s="9"/>
      <c r="AP252" s="9"/>
      <c r="AQ252" s="9"/>
      <c r="AR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224"/>
      <c r="X253" s="224"/>
      <c r="Y253" s="224"/>
      <c r="Z253" s="868"/>
      <c r="AA253" s="865"/>
      <c r="AB253" s="2"/>
      <c r="AC253" s="2"/>
      <c r="AD253" s="2"/>
      <c r="AE253" s="2"/>
      <c r="AF253" s="2"/>
      <c r="AG253" s="2"/>
      <c r="AH253" s="2"/>
      <c r="AI253" s="2"/>
      <c r="AJ253" s="2"/>
      <c r="AK253" s="2"/>
      <c r="AL253" s="2"/>
      <c r="AM253" s="2"/>
      <c r="AN253" s="2"/>
      <c r="AO253" s="9"/>
      <c r="AP253" s="9"/>
      <c r="AQ253" s="9"/>
      <c r="AR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224"/>
      <c r="X254" s="224"/>
      <c r="Y254" s="224"/>
      <c r="Z254" s="868"/>
      <c r="AA254" s="865"/>
      <c r="AB254" s="2"/>
      <c r="AC254" s="2"/>
      <c r="AD254" s="2"/>
      <c r="AE254" s="2"/>
      <c r="AF254" s="2"/>
      <c r="AG254" s="2"/>
      <c r="AH254" s="2"/>
      <c r="AI254" s="2"/>
      <c r="AJ254" s="2"/>
      <c r="AK254" s="2"/>
      <c r="AL254" s="2"/>
      <c r="AM254" s="2"/>
      <c r="AN254" s="2"/>
      <c r="AO254" s="9"/>
      <c r="AP254" s="9"/>
      <c r="AQ254" s="9"/>
      <c r="AR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224"/>
      <c r="X255" s="224"/>
      <c r="Y255" s="224"/>
      <c r="Z255" s="868"/>
      <c r="AA255" s="865"/>
      <c r="AB255" s="2"/>
      <c r="AC255" s="2"/>
      <c r="AD255" s="2"/>
      <c r="AE255" s="2"/>
      <c r="AF255" s="2"/>
      <c r="AG255" s="2"/>
      <c r="AH255" s="2"/>
      <c r="AI255" s="2"/>
      <c r="AJ255" s="2"/>
      <c r="AK255" s="2"/>
      <c r="AL255" s="2"/>
      <c r="AM255" s="2"/>
      <c r="AN255" s="2"/>
      <c r="AO255" s="9"/>
      <c r="AP255" s="9"/>
      <c r="AQ255" s="9"/>
      <c r="AR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224"/>
      <c r="X256" s="224"/>
      <c r="Y256" s="224"/>
      <c r="Z256" s="868"/>
      <c r="AA256" s="865"/>
      <c r="AB256" s="2"/>
      <c r="AC256" s="2"/>
      <c r="AD256" s="2"/>
      <c r="AE256" s="2"/>
      <c r="AF256" s="2"/>
      <c r="AG256" s="2"/>
      <c r="AH256" s="2"/>
      <c r="AI256" s="2"/>
      <c r="AJ256" s="2"/>
      <c r="AK256" s="2"/>
      <c r="AL256" s="2"/>
      <c r="AM256" s="2"/>
      <c r="AN256" s="2"/>
      <c r="AO256" s="9"/>
      <c r="AP256" s="9"/>
      <c r="AQ256" s="9"/>
      <c r="AR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224"/>
      <c r="X257" s="224"/>
      <c r="Y257" s="224"/>
      <c r="Z257" s="868"/>
      <c r="AA257" s="865"/>
      <c r="AB257" s="2"/>
      <c r="AC257" s="2"/>
      <c r="AD257" s="2"/>
      <c r="AE257" s="2"/>
      <c r="AF257" s="2"/>
      <c r="AG257" s="2"/>
      <c r="AH257" s="2"/>
      <c r="AI257" s="2"/>
      <c r="AJ257" s="2"/>
      <c r="AK257" s="2"/>
      <c r="AL257" s="2"/>
      <c r="AM257" s="2"/>
      <c r="AN257" s="2"/>
      <c r="AO257" s="9"/>
      <c r="AP257" s="9"/>
      <c r="AQ257" s="9"/>
      <c r="AR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224"/>
      <c r="X258" s="224"/>
      <c r="Y258" s="224"/>
      <c r="Z258" s="868"/>
      <c r="AA258" s="865"/>
      <c r="AB258" s="2"/>
      <c r="AC258" s="2"/>
      <c r="AD258" s="2"/>
      <c r="AE258" s="2"/>
      <c r="AF258" s="2"/>
      <c r="AG258" s="2"/>
      <c r="AH258" s="2"/>
      <c r="AI258" s="2"/>
      <c r="AJ258" s="2"/>
      <c r="AK258" s="2"/>
      <c r="AL258" s="2"/>
      <c r="AM258" s="2"/>
      <c r="AN258" s="2"/>
      <c r="AO258" s="9"/>
      <c r="AP258" s="9"/>
      <c r="AQ258" s="9"/>
      <c r="AR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224"/>
      <c r="X259" s="224"/>
      <c r="Y259" s="224"/>
      <c r="Z259" s="868"/>
      <c r="AA259" s="865"/>
      <c r="AB259" s="2"/>
      <c r="AC259" s="2"/>
      <c r="AD259" s="2"/>
      <c r="AE259" s="2"/>
      <c r="AF259" s="2"/>
      <c r="AG259" s="2"/>
      <c r="AH259" s="2"/>
      <c r="AI259" s="2"/>
      <c r="AJ259" s="2"/>
      <c r="AK259" s="2"/>
      <c r="AL259" s="2"/>
      <c r="AM259" s="2"/>
      <c r="AN259" s="2"/>
      <c r="AO259" s="9"/>
      <c r="AP259" s="9"/>
      <c r="AQ259" s="9"/>
      <c r="AR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224"/>
      <c r="X260" s="224"/>
      <c r="Y260" s="224"/>
      <c r="Z260" s="868"/>
      <c r="AA260" s="865"/>
      <c r="AB260" s="2"/>
      <c r="AC260" s="2"/>
      <c r="AD260" s="2"/>
      <c r="AE260" s="2"/>
      <c r="AF260" s="2"/>
      <c r="AG260" s="2"/>
      <c r="AH260" s="2"/>
      <c r="AI260" s="2"/>
      <c r="AJ260" s="2"/>
      <c r="AK260" s="2"/>
      <c r="AL260" s="2"/>
      <c r="AM260" s="2"/>
      <c r="AN260" s="2"/>
      <c r="AO260" s="9"/>
      <c r="AP260" s="9"/>
      <c r="AQ260" s="9"/>
      <c r="AR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224"/>
      <c r="X261" s="224"/>
      <c r="Y261" s="224"/>
      <c r="Z261" s="868"/>
      <c r="AA261" s="865"/>
      <c r="AB261" s="2"/>
      <c r="AC261" s="2"/>
      <c r="AD261" s="2"/>
      <c r="AE261" s="2"/>
      <c r="AF261" s="2"/>
      <c r="AG261" s="2"/>
      <c r="AH261" s="2"/>
      <c r="AI261" s="2"/>
      <c r="AJ261" s="2"/>
      <c r="AK261" s="2"/>
      <c r="AL261" s="2"/>
      <c r="AM261" s="2"/>
      <c r="AN261" s="2"/>
      <c r="AO261" s="9"/>
      <c r="AP261" s="9"/>
      <c r="AQ261" s="9"/>
      <c r="AR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224"/>
      <c r="X262" s="224"/>
      <c r="Y262" s="224"/>
      <c r="Z262" s="868"/>
      <c r="AA262" s="865"/>
      <c r="AB262" s="2"/>
      <c r="AC262" s="2"/>
      <c r="AD262" s="2"/>
      <c r="AE262" s="2"/>
      <c r="AF262" s="2"/>
      <c r="AG262" s="2"/>
      <c r="AH262" s="2"/>
      <c r="AI262" s="2"/>
      <c r="AJ262" s="2"/>
      <c r="AK262" s="2"/>
      <c r="AL262" s="2"/>
      <c r="AM262" s="2"/>
      <c r="AN262" s="2"/>
      <c r="AO262" s="9"/>
      <c r="AP262" s="9"/>
      <c r="AQ262" s="9"/>
      <c r="AR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224"/>
      <c r="X263" s="224"/>
      <c r="Y263" s="224"/>
      <c r="Z263" s="868"/>
      <c r="AA263" s="865"/>
      <c r="AB263" s="2"/>
      <c r="AC263" s="2"/>
      <c r="AD263" s="2"/>
      <c r="AE263" s="2"/>
      <c r="AF263" s="2"/>
      <c r="AG263" s="2"/>
      <c r="AH263" s="2"/>
      <c r="AI263" s="2"/>
      <c r="AJ263" s="2"/>
      <c r="AK263" s="2"/>
      <c r="AL263" s="2"/>
      <c r="AM263" s="2"/>
      <c r="AN263" s="2"/>
      <c r="AO263" s="9"/>
      <c r="AP263" s="9"/>
      <c r="AQ263" s="9"/>
      <c r="AR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224"/>
      <c r="X264" s="224"/>
      <c r="Y264" s="224"/>
      <c r="Z264" s="868"/>
      <c r="AA264" s="865"/>
      <c r="AB264" s="2"/>
      <c r="AC264" s="2"/>
      <c r="AD264" s="2"/>
      <c r="AE264" s="2"/>
      <c r="AF264" s="2"/>
      <c r="AG264" s="2"/>
      <c r="AH264" s="2"/>
      <c r="AI264" s="2"/>
      <c r="AJ264" s="2"/>
      <c r="AK264" s="2"/>
      <c r="AL264" s="2"/>
      <c r="AM264" s="2"/>
      <c r="AN264" s="2"/>
      <c r="AO264" s="9"/>
      <c r="AP264" s="9"/>
      <c r="AQ264" s="9"/>
      <c r="AR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224"/>
      <c r="X265" s="224"/>
      <c r="Y265" s="224"/>
      <c r="Z265" s="868"/>
      <c r="AA265" s="865"/>
      <c r="AB265" s="2"/>
      <c r="AC265" s="2"/>
      <c r="AD265" s="2"/>
      <c r="AE265" s="2"/>
      <c r="AF265" s="2"/>
      <c r="AG265" s="2"/>
      <c r="AH265" s="2"/>
      <c r="AI265" s="2"/>
      <c r="AJ265" s="2"/>
      <c r="AK265" s="2"/>
      <c r="AL265" s="2"/>
      <c r="AM265" s="2"/>
      <c r="AN265" s="2"/>
      <c r="AO265" s="9"/>
      <c r="AP265" s="9"/>
      <c r="AQ265" s="9"/>
      <c r="AR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224"/>
      <c r="X266" s="224"/>
      <c r="Y266" s="224"/>
      <c r="Z266" s="868"/>
      <c r="AA266" s="865"/>
      <c r="AB266" s="2"/>
      <c r="AC266" s="2"/>
      <c r="AD266" s="2"/>
      <c r="AE266" s="2"/>
      <c r="AF266" s="2"/>
      <c r="AG266" s="2"/>
      <c r="AH266" s="2"/>
      <c r="AI266" s="2"/>
      <c r="AJ266" s="2"/>
      <c r="AK266" s="2"/>
      <c r="AL266" s="2"/>
      <c r="AM266" s="2"/>
      <c r="AN266" s="2"/>
      <c r="AO266" s="9"/>
      <c r="AP266" s="9"/>
      <c r="AQ266" s="9"/>
      <c r="AR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224"/>
      <c r="X267" s="224"/>
      <c r="Y267" s="224"/>
      <c r="Z267" s="868"/>
      <c r="AA267" s="865"/>
      <c r="AB267" s="2"/>
      <c r="AC267" s="2"/>
      <c r="AD267" s="2"/>
      <c r="AE267" s="2"/>
      <c r="AF267" s="2"/>
      <c r="AG267" s="2"/>
      <c r="AH267" s="2"/>
      <c r="AI267" s="2"/>
      <c r="AJ267" s="2"/>
      <c r="AK267" s="2"/>
      <c r="AL267" s="2"/>
      <c r="AM267" s="2"/>
      <c r="AN267" s="2"/>
      <c r="AO267" s="9"/>
      <c r="AP267" s="9"/>
      <c r="AQ267" s="9"/>
      <c r="AR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224"/>
      <c r="X268" s="224"/>
      <c r="Y268" s="224"/>
      <c r="Z268" s="868"/>
      <c r="AA268" s="865"/>
      <c r="AB268" s="2"/>
      <c r="AC268" s="2"/>
      <c r="AD268" s="2"/>
      <c r="AE268" s="2"/>
      <c r="AF268" s="2"/>
      <c r="AG268" s="2"/>
      <c r="AH268" s="2"/>
      <c r="AI268" s="2"/>
      <c r="AJ268" s="2"/>
      <c r="AK268" s="2"/>
      <c r="AL268" s="2"/>
      <c r="AM268" s="2"/>
      <c r="AN268" s="2"/>
      <c r="AO268" s="9"/>
      <c r="AP268" s="9"/>
      <c r="AQ268" s="9"/>
      <c r="AR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224"/>
      <c r="X269" s="224"/>
      <c r="Y269" s="224"/>
      <c r="Z269" s="868"/>
      <c r="AA269" s="865"/>
      <c r="AB269" s="2"/>
      <c r="AC269" s="2"/>
      <c r="AD269" s="2"/>
      <c r="AE269" s="2"/>
      <c r="AF269" s="2"/>
      <c r="AG269" s="2"/>
      <c r="AH269" s="2"/>
      <c r="AI269" s="2"/>
      <c r="AJ269" s="2"/>
      <c r="AK269" s="2"/>
      <c r="AL269" s="2"/>
      <c r="AM269" s="2"/>
      <c r="AN269" s="2"/>
      <c r="AO269" s="9"/>
      <c r="AP269" s="9"/>
      <c r="AQ269" s="9"/>
      <c r="AR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224"/>
      <c r="X270" s="224"/>
      <c r="Y270" s="224"/>
      <c r="Z270" s="868"/>
      <c r="AA270" s="865"/>
      <c r="AB270" s="2"/>
      <c r="AC270" s="2"/>
      <c r="AD270" s="2"/>
      <c r="AE270" s="2"/>
      <c r="AF270" s="2"/>
      <c r="AG270" s="2"/>
      <c r="AH270" s="2"/>
      <c r="AI270" s="2"/>
      <c r="AJ270" s="2"/>
      <c r="AK270" s="2"/>
      <c r="AL270" s="2"/>
      <c r="AM270" s="2"/>
      <c r="AN270" s="2"/>
      <c r="AO270" s="9"/>
      <c r="AP270" s="9"/>
      <c r="AQ270" s="9"/>
      <c r="AR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224"/>
      <c r="X271" s="224"/>
      <c r="Y271" s="224"/>
      <c r="Z271" s="868"/>
      <c r="AA271" s="865"/>
      <c r="AB271" s="2"/>
      <c r="AC271" s="2"/>
      <c r="AD271" s="2"/>
      <c r="AE271" s="2"/>
      <c r="AF271" s="2"/>
      <c r="AG271" s="2"/>
      <c r="AH271" s="2"/>
      <c r="AI271" s="2"/>
      <c r="AJ271" s="2"/>
      <c r="AK271" s="2"/>
      <c r="AL271" s="2"/>
      <c r="AM271" s="2"/>
      <c r="AN271" s="2"/>
      <c r="AO271" s="9"/>
      <c r="AP271" s="9"/>
      <c r="AQ271" s="9"/>
      <c r="AR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224"/>
      <c r="X272" s="224"/>
      <c r="Y272" s="224"/>
      <c r="Z272" s="868"/>
      <c r="AA272" s="865"/>
      <c r="AB272" s="2"/>
      <c r="AC272" s="2"/>
      <c r="AD272" s="2"/>
      <c r="AE272" s="2"/>
      <c r="AF272" s="2"/>
      <c r="AG272" s="2"/>
      <c r="AH272" s="2"/>
      <c r="AI272" s="2"/>
      <c r="AJ272" s="2"/>
      <c r="AK272" s="2"/>
      <c r="AL272" s="2"/>
      <c r="AM272" s="2"/>
      <c r="AN272" s="2"/>
      <c r="AO272" s="9"/>
      <c r="AP272" s="9"/>
      <c r="AQ272" s="9"/>
      <c r="AR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224"/>
      <c r="X273" s="224"/>
      <c r="Y273" s="224"/>
      <c r="Z273" s="868"/>
      <c r="AA273" s="865"/>
      <c r="AB273" s="2"/>
      <c r="AC273" s="2"/>
      <c r="AD273" s="2"/>
      <c r="AE273" s="2"/>
      <c r="AF273" s="2"/>
      <c r="AG273" s="2"/>
      <c r="AH273" s="2"/>
      <c r="AI273" s="2"/>
      <c r="AJ273" s="2"/>
      <c r="AK273" s="2"/>
      <c r="AL273" s="2"/>
      <c r="AM273" s="2"/>
      <c r="AN273" s="2"/>
      <c r="AO273" s="9"/>
      <c r="AP273" s="9"/>
      <c r="AQ273" s="9"/>
      <c r="AR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224"/>
      <c r="X274" s="224"/>
      <c r="Y274" s="224"/>
      <c r="Z274" s="868"/>
      <c r="AA274" s="865"/>
      <c r="AB274" s="2"/>
      <c r="AC274" s="2"/>
      <c r="AD274" s="2"/>
      <c r="AE274" s="2"/>
      <c r="AF274" s="2"/>
      <c r="AG274" s="2"/>
      <c r="AH274" s="2"/>
      <c r="AI274" s="2"/>
      <c r="AJ274" s="2"/>
      <c r="AK274" s="2"/>
      <c r="AL274" s="2"/>
      <c r="AM274" s="2"/>
      <c r="AN274" s="2"/>
      <c r="AO274" s="9"/>
      <c r="AP274" s="9"/>
      <c r="AQ274" s="9"/>
      <c r="AR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224"/>
      <c r="X275" s="224"/>
      <c r="Y275" s="224"/>
      <c r="Z275" s="868"/>
      <c r="AA275" s="865"/>
      <c r="AB275" s="2"/>
      <c r="AC275" s="2"/>
      <c r="AD275" s="2"/>
      <c r="AE275" s="2"/>
      <c r="AF275" s="2"/>
      <c r="AG275" s="2"/>
      <c r="AH275" s="2"/>
      <c r="AI275" s="2"/>
      <c r="AJ275" s="2"/>
      <c r="AK275" s="2"/>
      <c r="AL275" s="2"/>
      <c r="AM275" s="2"/>
      <c r="AN275" s="2"/>
      <c r="AO275" s="9"/>
      <c r="AP275" s="9"/>
      <c r="AQ275" s="9"/>
      <c r="AR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224"/>
      <c r="X276" s="224"/>
      <c r="Y276" s="224"/>
      <c r="Z276" s="868"/>
      <c r="AA276" s="865"/>
      <c r="AB276" s="2"/>
      <c r="AC276" s="2"/>
      <c r="AD276" s="2"/>
      <c r="AE276" s="2"/>
      <c r="AF276" s="2"/>
      <c r="AG276" s="2"/>
      <c r="AH276" s="2"/>
      <c r="AI276" s="2"/>
      <c r="AJ276" s="2"/>
      <c r="AK276" s="2"/>
      <c r="AL276" s="2"/>
      <c r="AM276" s="2"/>
      <c r="AN276" s="2"/>
      <c r="AO276" s="9"/>
      <c r="AP276" s="9"/>
      <c r="AQ276" s="9"/>
      <c r="AR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224"/>
      <c r="X277" s="224"/>
      <c r="Y277" s="224"/>
      <c r="Z277" s="868"/>
      <c r="AA277" s="865"/>
      <c r="AB277" s="2"/>
      <c r="AC277" s="2"/>
      <c r="AD277" s="2"/>
      <c r="AE277" s="2"/>
      <c r="AF277" s="2"/>
      <c r="AG277" s="2"/>
      <c r="AH277" s="2"/>
      <c r="AI277" s="2"/>
      <c r="AJ277" s="2"/>
      <c r="AK277" s="2"/>
      <c r="AL277" s="2"/>
      <c r="AM277" s="2"/>
      <c r="AN277" s="2"/>
      <c r="AO277" s="9"/>
      <c r="AP277" s="9"/>
      <c r="AQ277" s="9"/>
      <c r="AR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224"/>
      <c r="X278" s="224"/>
      <c r="Y278" s="224"/>
      <c r="Z278" s="868"/>
      <c r="AA278" s="865"/>
      <c r="AB278" s="2"/>
      <c r="AC278" s="2"/>
      <c r="AD278" s="2"/>
      <c r="AE278" s="2"/>
      <c r="AF278" s="2"/>
      <c r="AG278" s="2"/>
      <c r="AH278" s="2"/>
      <c r="AI278" s="2"/>
      <c r="AJ278" s="2"/>
      <c r="AK278" s="2"/>
      <c r="AL278" s="2"/>
      <c r="AM278" s="2"/>
      <c r="AN278" s="2"/>
      <c r="AO278" s="9"/>
      <c r="AP278" s="9"/>
      <c r="AQ278" s="9"/>
      <c r="AR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224"/>
      <c r="X279" s="224"/>
      <c r="Y279" s="224"/>
      <c r="Z279" s="868"/>
      <c r="AA279" s="865"/>
      <c r="AB279" s="2"/>
      <c r="AC279" s="2"/>
      <c r="AD279" s="2"/>
      <c r="AE279" s="2"/>
      <c r="AF279" s="2"/>
      <c r="AG279" s="2"/>
      <c r="AH279" s="2"/>
      <c r="AI279" s="2"/>
      <c r="AJ279" s="2"/>
      <c r="AK279" s="2"/>
      <c r="AL279" s="2"/>
      <c r="AM279" s="2"/>
      <c r="AN279" s="2"/>
      <c r="AO279" s="9"/>
      <c r="AP279" s="9"/>
      <c r="AQ279" s="9"/>
      <c r="AR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224"/>
      <c r="X280" s="224"/>
      <c r="Y280" s="224"/>
      <c r="Z280" s="868"/>
      <c r="AA280" s="865"/>
      <c r="AB280" s="2"/>
      <c r="AC280" s="2"/>
      <c r="AD280" s="2"/>
      <c r="AE280" s="2"/>
      <c r="AF280" s="2"/>
      <c r="AG280" s="2"/>
      <c r="AH280" s="2"/>
      <c r="AI280" s="2"/>
      <c r="AJ280" s="2"/>
      <c r="AK280" s="2"/>
      <c r="AL280" s="2"/>
      <c r="AM280" s="2"/>
      <c r="AN280" s="2"/>
      <c r="AO280" s="9"/>
      <c r="AP280" s="9"/>
      <c r="AQ280" s="9"/>
      <c r="AR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224"/>
      <c r="X281" s="224"/>
      <c r="Y281" s="224"/>
      <c r="Z281" s="868"/>
      <c r="AA281" s="865"/>
      <c r="AB281" s="2"/>
      <c r="AC281" s="2"/>
      <c r="AD281" s="2"/>
      <c r="AE281" s="2"/>
      <c r="AF281" s="2"/>
      <c r="AG281" s="2"/>
      <c r="AH281" s="2"/>
      <c r="AI281" s="2"/>
      <c r="AJ281" s="2"/>
      <c r="AK281" s="2"/>
      <c r="AL281" s="2"/>
      <c r="AM281" s="2"/>
      <c r="AN281" s="2"/>
      <c r="AO281" s="9"/>
      <c r="AP281" s="9"/>
      <c r="AQ281" s="9"/>
      <c r="AR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224"/>
      <c r="X282" s="224"/>
      <c r="Y282" s="224"/>
      <c r="Z282" s="868"/>
      <c r="AA282" s="865"/>
      <c r="AB282" s="2"/>
      <c r="AC282" s="2"/>
      <c r="AD282" s="2"/>
      <c r="AE282" s="2"/>
      <c r="AF282" s="2"/>
      <c r="AG282" s="2"/>
      <c r="AH282" s="2"/>
      <c r="AI282" s="2"/>
      <c r="AJ282" s="2"/>
      <c r="AK282" s="2"/>
      <c r="AL282" s="2"/>
      <c r="AM282" s="2"/>
      <c r="AN282" s="2"/>
      <c r="AO282" s="9"/>
      <c r="AP282" s="9"/>
      <c r="AQ282" s="9"/>
      <c r="AR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224"/>
      <c r="X283" s="224"/>
      <c r="Y283" s="224"/>
      <c r="Z283" s="868"/>
      <c r="AA283" s="865"/>
      <c r="AB283" s="2"/>
      <c r="AC283" s="2"/>
      <c r="AD283" s="2"/>
      <c r="AE283" s="2"/>
      <c r="AF283" s="2"/>
      <c r="AG283" s="2"/>
      <c r="AH283" s="2"/>
      <c r="AI283" s="2"/>
      <c r="AJ283" s="2"/>
      <c r="AK283" s="2"/>
      <c r="AL283" s="2"/>
      <c r="AM283" s="2"/>
      <c r="AN283" s="2"/>
      <c r="AO283" s="9"/>
      <c r="AP283" s="9"/>
      <c r="AQ283" s="9"/>
      <c r="AR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224"/>
      <c r="X284" s="224"/>
      <c r="Y284" s="224"/>
      <c r="Z284" s="868"/>
      <c r="AA284" s="865"/>
      <c r="AB284" s="2"/>
      <c r="AC284" s="2"/>
      <c r="AD284" s="2"/>
      <c r="AE284" s="2"/>
      <c r="AF284" s="2"/>
      <c r="AG284" s="2"/>
      <c r="AH284" s="2"/>
      <c r="AI284" s="2"/>
      <c r="AJ284" s="2"/>
      <c r="AK284" s="2"/>
      <c r="AL284" s="2"/>
      <c r="AM284" s="2"/>
      <c r="AN284" s="2"/>
      <c r="AO284" s="9"/>
      <c r="AP284" s="9"/>
      <c r="AQ284" s="9"/>
      <c r="AR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224"/>
      <c r="X285" s="224"/>
      <c r="Y285" s="224"/>
      <c r="Z285" s="868"/>
      <c r="AA285" s="865"/>
      <c r="AB285" s="2"/>
      <c r="AC285" s="2"/>
      <c r="AD285" s="2"/>
      <c r="AE285" s="2"/>
      <c r="AF285" s="2"/>
      <c r="AG285" s="2"/>
      <c r="AH285" s="2"/>
      <c r="AI285" s="2"/>
      <c r="AJ285" s="2"/>
      <c r="AK285" s="2"/>
      <c r="AL285" s="2"/>
      <c r="AM285" s="2"/>
      <c r="AN285" s="2"/>
      <c r="AO285" s="9"/>
      <c r="AP285" s="9"/>
      <c r="AQ285" s="9"/>
      <c r="AR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224"/>
      <c r="X286" s="224"/>
      <c r="Y286" s="224"/>
      <c r="Z286" s="868"/>
      <c r="AA286" s="865"/>
      <c r="AB286" s="2"/>
      <c r="AC286" s="2"/>
      <c r="AD286" s="2"/>
      <c r="AE286" s="2"/>
      <c r="AF286" s="2"/>
      <c r="AG286" s="2"/>
      <c r="AH286" s="2"/>
      <c r="AI286" s="2"/>
      <c r="AJ286" s="2"/>
      <c r="AK286" s="2"/>
      <c r="AL286" s="2"/>
      <c r="AM286" s="2"/>
      <c r="AN286" s="2"/>
      <c r="AO286" s="9"/>
      <c r="AP286" s="9"/>
      <c r="AQ286" s="9"/>
      <c r="AR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224"/>
      <c r="X287" s="224"/>
      <c r="Y287" s="224"/>
      <c r="Z287" s="868"/>
      <c r="AA287" s="865"/>
      <c r="AB287" s="2"/>
      <c r="AC287" s="2"/>
      <c r="AD287" s="2"/>
      <c r="AE287" s="2"/>
      <c r="AF287" s="2"/>
      <c r="AG287" s="2"/>
      <c r="AH287" s="2"/>
      <c r="AI287" s="2"/>
      <c r="AJ287" s="2"/>
      <c r="AK287" s="2"/>
      <c r="AL287" s="2"/>
      <c r="AM287" s="2"/>
      <c r="AN287" s="2"/>
      <c r="AO287" s="9"/>
      <c r="AP287" s="9"/>
      <c r="AQ287" s="9"/>
      <c r="AR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224"/>
      <c r="X288" s="224"/>
      <c r="Y288" s="224"/>
      <c r="Z288" s="868"/>
      <c r="AA288" s="865"/>
      <c r="AB288" s="2"/>
      <c r="AC288" s="2"/>
      <c r="AD288" s="2"/>
      <c r="AE288" s="2"/>
      <c r="AF288" s="2"/>
      <c r="AG288" s="2"/>
      <c r="AH288" s="2"/>
      <c r="AI288" s="2"/>
      <c r="AJ288" s="2"/>
      <c r="AK288" s="2"/>
      <c r="AL288" s="2"/>
      <c r="AM288" s="2"/>
      <c r="AN288" s="2"/>
      <c r="AO288" s="9"/>
      <c r="AP288" s="9"/>
      <c r="AQ288" s="9"/>
      <c r="AR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224"/>
      <c r="X289" s="224"/>
      <c r="Y289" s="224"/>
      <c r="Z289" s="868"/>
      <c r="AA289" s="865"/>
      <c r="AB289" s="2"/>
      <c r="AC289" s="2"/>
      <c r="AD289" s="2"/>
      <c r="AE289" s="2"/>
      <c r="AF289" s="2"/>
      <c r="AG289" s="2"/>
      <c r="AH289" s="2"/>
      <c r="AI289" s="2"/>
      <c r="AJ289" s="2"/>
      <c r="AK289" s="2"/>
      <c r="AL289" s="2"/>
      <c r="AM289" s="2"/>
      <c r="AN289" s="2"/>
      <c r="AO289" s="9"/>
      <c r="AP289" s="9"/>
      <c r="AQ289" s="9"/>
      <c r="AR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224"/>
      <c r="X290" s="224"/>
      <c r="Y290" s="224"/>
      <c r="Z290" s="868"/>
      <c r="AA290" s="865"/>
      <c r="AB290" s="2"/>
      <c r="AC290" s="2"/>
      <c r="AD290" s="2"/>
      <c r="AE290" s="2"/>
      <c r="AF290" s="2"/>
      <c r="AG290" s="2"/>
      <c r="AH290" s="2"/>
      <c r="AI290" s="2"/>
      <c r="AJ290" s="2"/>
      <c r="AK290" s="2"/>
      <c r="AL290" s="2"/>
      <c r="AM290" s="2"/>
      <c r="AN290" s="2"/>
      <c r="AO290" s="9"/>
      <c r="AP290" s="9"/>
      <c r="AQ290" s="9"/>
      <c r="AR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224"/>
      <c r="X291" s="224"/>
      <c r="Y291" s="224"/>
      <c r="Z291" s="868"/>
      <c r="AA291" s="865"/>
      <c r="AB291" s="2"/>
      <c r="AC291" s="2"/>
      <c r="AD291" s="2"/>
      <c r="AE291" s="2"/>
      <c r="AF291" s="2"/>
      <c r="AG291" s="2"/>
      <c r="AH291" s="2"/>
      <c r="AI291" s="2"/>
      <c r="AJ291" s="2"/>
      <c r="AK291" s="2"/>
      <c r="AL291" s="2"/>
      <c r="AM291" s="2"/>
      <c r="AN291" s="2"/>
      <c r="AO291" s="9"/>
      <c r="AP291" s="9"/>
      <c r="AQ291" s="9"/>
      <c r="AR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224"/>
      <c r="X292" s="224"/>
      <c r="Y292" s="224"/>
      <c r="Z292" s="868"/>
      <c r="AA292" s="865"/>
      <c r="AB292" s="2"/>
      <c r="AC292" s="2"/>
      <c r="AD292" s="2"/>
      <c r="AE292" s="2"/>
      <c r="AF292" s="2"/>
      <c r="AG292" s="2"/>
      <c r="AH292" s="2"/>
      <c r="AI292" s="2"/>
      <c r="AJ292" s="2"/>
      <c r="AK292" s="2"/>
      <c r="AL292" s="2"/>
      <c r="AM292" s="2"/>
      <c r="AN292" s="2"/>
      <c r="AO292" s="9"/>
      <c r="AP292" s="9"/>
      <c r="AQ292" s="9"/>
      <c r="AR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224"/>
      <c r="X293" s="224"/>
      <c r="Y293" s="224"/>
      <c r="Z293" s="868"/>
      <c r="AA293" s="865"/>
      <c r="AB293" s="2"/>
      <c r="AC293" s="2"/>
      <c r="AD293" s="2"/>
      <c r="AE293" s="2"/>
      <c r="AF293" s="2"/>
      <c r="AG293" s="2"/>
      <c r="AH293" s="2"/>
      <c r="AI293" s="2"/>
      <c r="AJ293" s="2"/>
      <c r="AK293" s="2"/>
      <c r="AL293" s="2"/>
      <c r="AM293" s="2"/>
      <c r="AN293" s="2"/>
      <c r="AO293" s="9"/>
      <c r="AP293" s="9"/>
      <c r="AQ293" s="9"/>
      <c r="AR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224"/>
      <c r="X294" s="224"/>
      <c r="Y294" s="224"/>
      <c r="Z294" s="868"/>
      <c r="AA294" s="865"/>
      <c r="AB294" s="2"/>
      <c r="AC294" s="2"/>
      <c r="AD294" s="2"/>
      <c r="AE294" s="2"/>
      <c r="AF294" s="2"/>
      <c r="AG294" s="2"/>
      <c r="AH294" s="2"/>
      <c r="AI294" s="2"/>
      <c r="AJ294" s="2"/>
      <c r="AK294" s="2"/>
      <c r="AL294" s="2"/>
      <c r="AM294" s="2"/>
      <c r="AN294" s="2"/>
      <c r="AO294" s="9"/>
      <c r="AP294" s="9"/>
      <c r="AQ294" s="9"/>
      <c r="AR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224"/>
      <c r="X295" s="224"/>
      <c r="Y295" s="224"/>
      <c r="Z295" s="868"/>
      <c r="AA295" s="865"/>
      <c r="AB295" s="2"/>
      <c r="AC295" s="2"/>
      <c r="AD295" s="2"/>
      <c r="AE295" s="2"/>
      <c r="AF295" s="2"/>
      <c r="AG295" s="2"/>
      <c r="AH295" s="2"/>
      <c r="AI295" s="2"/>
      <c r="AJ295" s="2"/>
      <c r="AK295" s="2"/>
      <c r="AL295" s="2"/>
      <c r="AM295" s="2"/>
      <c r="AN295" s="2"/>
      <c r="AO295" s="9"/>
      <c r="AP295" s="9"/>
      <c r="AQ295" s="9"/>
      <c r="AR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224"/>
      <c r="X296" s="224"/>
      <c r="Y296" s="224"/>
      <c r="Z296" s="868"/>
      <c r="AA296" s="865"/>
      <c r="AB296" s="2"/>
      <c r="AC296" s="2"/>
      <c r="AD296" s="2"/>
      <c r="AE296" s="2"/>
      <c r="AF296" s="2"/>
      <c r="AG296" s="2"/>
      <c r="AH296" s="2"/>
      <c r="AI296" s="2"/>
      <c r="AJ296" s="2"/>
      <c r="AK296" s="2"/>
      <c r="AL296" s="2"/>
      <c r="AM296" s="2"/>
      <c r="AN296" s="2"/>
      <c r="AO296" s="9"/>
      <c r="AP296" s="9"/>
      <c r="AQ296" s="9"/>
      <c r="AR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224"/>
      <c r="X297" s="224"/>
      <c r="Y297" s="224"/>
      <c r="Z297" s="868"/>
      <c r="AA297" s="865"/>
      <c r="AB297" s="2"/>
      <c r="AC297" s="2"/>
      <c r="AD297" s="2"/>
      <c r="AE297" s="2"/>
      <c r="AF297" s="2"/>
      <c r="AG297" s="2"/>
      <c r="AH297" s="2"/>
      <c r="AI297" s="2"/>
      <c r="AJ297" s="2"/>
      <c r="AK297" s="2"/>
      <c r="AL297" s="2"/>
      <c r="AM297" s="2"/>
      <c r="AN297" s="2"/>
      <c r="AO297" s="9"/>
      <c r="AP297" s="9"/>
      <c r="AQ297" s="9"/>
      <c r="AR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224"/>
      <c r="X298" s="224"/>
      <c r="Y298" s="224"/>
      <c r="Z298" s="868"/>
      <c r="AA298" s="865"/>
      <c r="AB298" s="2"/>
      <c r="AC298" s="2"/>
      <c r="AD298" s="2"/>
      <c r="AE298" s="2"/>
      <c r="AF298" s="2"/>
      <c r="AG298" s="2"/>
      <c r="AH298" s="2"/>
      <c r="AI298" s="2"/>
      <c r="AJ298" s="2"/>
      <c r="AK298" s="2"/>
      <c r="AL298" s="2"/>
      <c r="AM298" s="2"/>
      <c r="AN298" s="2"/>
      <c r="AO298" s="9"/>
      <c r="AP298" s="9"/>
      <c r="AQ298" s="9"/>
      <c r="AR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224"/>
      <c r="X299" s="224"/>
      <c r="Y299" s="224"/>
      <c r="Z299" s="868"/>
      <c r="AA299" s="865"/>
      <c r="AB299" s="2"/>
      <c r="AC299" s="2"/>
      <c r="AD299" s="2"/>
      <c r="AE299" s="2"/>
      <c r="AF299" s="2"/>
      <c r="AG299" s="2"/>
      <c r="AH299" s="2"/>
      <c r="AI299" s="2"/>
      <c r="AJ299" s="2"/>
      <c r="AK299" s="2"/>
      <c r="AL299" s="2"/>
      <c r="AM299" s="2"/>
      <c r="AN299" s="2"/>
      <c r="AO299" s="9"/>
      <c r="AP299" s="9"/>
      <c r="AQ299" s="9"/>
      <c r="AR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224"/>
      <c r="X300" s="224"/>
      <c r="Y300" s="224"/>
      <c r="Z300" s="868"/>
      <c r="AA300" s="865"/>
      <c r="AB300" s="2"/>
      <c r="AC300" s="2"/>
      <c r="AD300" s="2"/>
      <c r="AE300" s="2"/>
      <c r="AF300" s="2"/>
      <c r="AG300" s="2"/>
      <c r="AH300" s="2"/>
      <c r="AI300" s="2"/>
      <c r="AJ300" s="2"/>
      <c r="AK300" s="2"/>
      <c r="AL300" s="2"/>
      <c r="AM300" s="2"/>
      <c r="AN300" s="2"/>
      <c r="AO300" s="9"/>
      <c r="AP300" s="9"/>
      <c r="AQ300" s="9"/>
      <c r="AR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224"/>
      <c r="X301" s="224"/>
      <c r="Y301" s="224"/>
      <c r="Z301" s="868"/>
      <c r="AA301" s="865"/>
      <c r="AB301" s="2"/>
      <c r="AC301" s="2"/>
      <c r="AD301" s="2"/>
      <c r="AE301" s="2"/>
      <c r="AF301" s="2"/>
      <c r="AG301" s="2"/>
      <c r="AH301" s="2"/>
      <c r="AI301" s="2"/>
      <c r="AJ301" s="2"/>
      <c r="AK301" s="2"/>
      <c r="AL301" s="2"/>
      <c r="AM301" s="2"/>
      <c r="AN301" s="2"/>
      <c r="AO301" s="9"/>
      <c r="AP301" s="9"/>
      <c r="AQ301" s="9"/>
      <c r="AR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224"/>
      <c r="X302" s="224"/>
      <c r="Y302" s="224"/>
      <c r="Z302" s="868"/>
      <c r="AA302" s="865"/>
      <c r="AB302" s="2"/>
      <c r="AC302" s="2"/>
      <c r="AD302" s="2"/>
      <c r="AE302" s="2"/>
      <c r="AF302" s="2"/>
      <c r="AG302" s="2"/>
      <c r="AH302" s="2"/>
      <c r="AI302" s="2"/>
      <c r="AJ302" s="2"/>
      <c r="AK302" s="2"/>
      <c r="AL302" s="2"/>
      <c r="AM302" s="2"/>
      <c r="AN302" s="2"/>
      <c r="AO302" s="9"/>
      <c r="AP302" s="9"/>
      <c r="AQ302" s="9"/>
      <c r="AR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224"/>
      <c r="X303" s="224"/>
      <c r="Y303" s="224"/>
      <c r="Z303" s="868"/>
      <c r="AA303" s="865"/>
      <c r="AB303" s="2"/>
      <c r="AC303" s="2"/>
      <c r="AD303" s="2"/>
      <c r="AE303" s="2"/>
      <c r="AF303" s="2"/>
      <c r="AG303" s="2"/>
      <c r="AH303" s="2"/>
      <c r="AI303" s="2"/>
      <c r="AJ303" s="2"/>
      <c r="AK303" s="2"/>
      <c r="AL303" s="2"/>
      <c r="AM303" s="2"/>
      <c r="AN303" s="2"/>
      <c r="AO303" s="9"/>
      <c r="AP303" s="9"/>
      <c r="AQ303" s="9"/>
      <c r="AR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224"/>
      <c r="X304" s="224"/>
      <c r="Y304" s="224"/>
      <c r="Z304" s="868"/>
      <c r="AA304" s="865"/>
      <c r="AB304" s="2"/>
      <c r="AC304" s="2"/>
      <c r="AD304" s="2"/>
      <c r="AE304" s="2"/>
      <c r="AF304" s="2"/>
      <c r="AG304" s="2"/>
      <c r="AH304" s="2"/>
      <c r="AI304" s="2"/>
      <c r="AJ304" s="2"/>
      <c r="AK304" s="2"/>
      <c r="AL304" s="2"/>
      <c r="AM304" s="2"/>
      <c r="AN304" s="2"/>
      <c r="AO304" s="9"/>
      <c r="AP304" s="9"/>
      <c r="AQ304" s="9"/>
      <c r="AR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224"/>
      <c r="X305" s="224"/>
      <c r="Y305" s="224"/>
      <c r="Z305" s="868"/>
      <c r="AA305" s="865"/>
      <c r="AB305" s="2"/>
      <c r="AC305" s="2"/>
      <c r="AD305" s="2"/>
      <c r="AE305" s="2"/>
      <c r="AF305" s="2"/>
      <c r="AG305" s="2"/>
      <c r="AH305" s="2"/>
      <c r="AI305" s="2"/>
      <c r="AJ305" s="2"/>
      <c r="AK305" s="2"/>
      <c r="AL305" s="2"/>
      <c r="AM305" s="2"/>
      <c r="AN305" s="2"/>
      <c r="AO305" s="9"/>
      <c r="AP305" s="9"/>
      <c r="AQ305" s="9"/>
      <c r="AR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224"/>
      <c r="X306" s="224"/>
      <c r="Y306" s="224"/>
      <c r="Z306" s="868"/>
      <c r="AA306" s="865"/>
      <c r="AB306" s="2"/>
      <c r="AC306" s="2"/>
      <c r="AD306" s="2"/>
      <c r="AE306" s="2"/>
      <c r="AF306" s="2"/>
      <c r="AG306" s="2"/>
      <c r="AH306" s="2"/>
      <c r="AI306" s="2"/>
      <c r="AJ306" s="2"/>
      <c r="AK306" s="2"/>
      <c r="AL306" s="2"/>
      <c r="AM306" s="2"/>
      <c r="AN306" s="2"/>
      <c r="AO306" s="9"/>
      <c r="AP306" s="9"/>
      <c r="AQ306" s="9"/>
      <c r="AR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224"/>
      <c r="X307" s="224"/>
      <c r="Y307" s="224"/>
      <c r="Z307" s="868"/>
      <c r="AA307" s="865"/>
      <c r="AB307" s="2"/>
      <c r="AC307" s="2"/>
      <c r="AD307" s="2"/>
      <c r="AE307" s="2"/>
      <c r="AF307" s="2"/>
      <c r="AG307" s="2"/>
      <c r="AH307" s="2"/>
      <c r="AI307" s="2"/>
      <c r="AJ307" s="2"/>
      <c r="AK307" s="2"/>
      <c r="AL307" s="2"/>
      <c r="AM307" s="2"/>
      <c r="AN307" s="2"/>
      <c r="AO307" s="9"/>
      <c r="AP307" s="9"/>
      <c r="AQ307" s="9"/>
      <c r="AR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224"/>
      <c r="X308" s="224"/>
      <c r="Y308" s="224"/>
      <c r="Z308" s="868"/>
      <c r="AA308" s="865"/>
      <c r="AB308" s="2"/>
      <c r="AC308" s="2"/>
      <c r="AD308" s="2"/>
      <c r="AE308" s="2"/>
      <c r="AF308" s="2"/>
      <c r="AG308" s="2"/>
      <c r="AH308" s="2"/>
      <c r="AI308" s="2"/>
      <c r="AJ308" s="2"/>
      <c r="AK308" s="2"/>
      <c r="AL308" s="2"/>
      <c r="AM308" s="2"/>
      <c r="AN308" s="2"/>
      <c r="AO308" s="9"/>
      <c r="AP308" s="9"/>
      <c r="AQ308" s="9"/>
      <c r="AR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224"/>
      <c r="X309" s="224"/>
      <c r="Y309" s="224"/>
      <c r="Z309" s="868"/>
      <c r="AA309" s="865"/>
      <c r="AB309" s="2"/>
      <c r="AC309" s="2"/>
      <c r="AD309" s="2"/>
      <c r="AE309" s="2"/>
      <c r="AF309" s="2"/>
      <c r="AG309" s="2"/>
      <c r="AH309" s="2"/>
      <c r="AI309" s="2"/>
      <c r="AJ309" s="2"/>
      <c r="AK309" s="2"/>
      <c r="AL309" s="2"/>
      <c r="AM309" s="2"/>
      <c r="AN309" s="2"/>
      <c r="AO309" s="9"/>
      <c r="AP309" s="9"/>
      <c r="AQ309" s="9"/>
      <c r="AR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224"/>
      <c r="X310" s="224"/>
      <c r="Y310" s="224"/>
      <c r="Z310" s="868"/>
      <c r="AA310" s="865"/>
      <c r="AB310" s="2"/>
      <c r="AC310" s="2"/>
      <c r="AD310" s="2"/>
      <c r="AE310" s="2"/>
      <c r="AF310" s="2"/>
      <c r="AG310" s="2"/>
      <c r="AH310" s="2"/>
      <c r="AI310" s="2"/>
      <c r="AJ310" s="2"/>
      <c r="AK310" s="2"/>
      <c r="AL310" s="2"/>
      <c r="AM310" s="2"/>
      <c r="AN310" s="2"/>
      <c r="AO310" s="9"/>
      <c r="AP310" s="9"/>
      <c r="AQ310" s="9"/>
      <c r="AR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224"/>
      <c r="X311" s="224"/>
      <c r="Y311" s="224"/>
      <c r="Z311" s="868"/>
      <c r="AA311" s="865"/>
      <c r="AB311" s="2"/>
      <c r="AC311" s="2"/>
      <c r="AD311" s="2"/>
      <c r="AE311" s="2"/>
      <c r="AF311" s="2"/>
      <c r="AG311" s="2"/>
      <c r="AH311" s="2"/>
      <c r="AI311" s="2"/>
      <c r="AJ311" s="2"/>
      <c r="AK311" s="2"/>
      <c r="AL311" s="2"/>
      <c r="AM311" s="2"/>
      <c r="AN311" s="2"/>
      <c r="AO311" s="9"/>
      <c r="AP311" s="9"/>
      <c r="AQ311" s="9"/>
      <c r="AR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224"/>
      <c r="X312" s="224"/>
      <c r="Y312" s="224"/>
      <c r="Z312" s="868"/>
      <c r="AA312" s="865"/>
      <c r="AB312" s="2"/>
      <c r="AC312" s="2"/>
      <c r="AD312" s="2"/>
      <c r="AE312" s="2"/>
      <c r="AF312" s="2"/>
      <c r="AG312" s="2"/>
      <c r="AH312" s="2"/>
      <c r="AI312" s="2"/>
      <c r="AJ312" s="2"/>
      <c r="AK312" s="2"/>
      <c r="AL312" s="2"/>
      <c r="AM312" s="2"/>
      <c r="AN312" s="2"/>
      <c r="AO312" s="9"/>
      <c r="AP312" s="9"/>
      <c r="AQ312" s="9"/>
      <c r="AR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224"/>
      <c r="X313" s="224"/>
      <c r="Y313" s="224"/>
      <c r="Z313" s="868"/>
      <c r="AA313" s="865"/>
      <c r="AB313" s="2"/>
      <c r="AC313" s="2"/>
      <c r="AD313" s="2"/>
      <c r="AE313" s="2"/>
      <c r="AF313" s="2"/>
      <c r="AG313" s="2"/>
      <c r="AH313" s="2"/>
      <c r="AI313" s="2"/>
      <c r="AJ313" s="2"/>
      <c r="AK313" s="2"/>
      <c r="AL313" s="2"/>
      <c r="AM313" s="2"/>
      <c r="AN313" s="2"/>
      <c r="AO313" s="9"/>
      <c r="AP313" s="9"/>
      <c r="AQ313" s="9"/>
      <c r="AR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224"/>
      <c r="X314" s="224"/>
      <c r="Y314" s="224"/>
      <c r="Z314" s="868"/>
      <c r="AA314" s="865"/>
      <c r="AB314" s="2"/>
      <c r="AC314" s="2"/>
      <c r="AD314" s="2"/>
      <c r="AE314" s="2"/>
      <c r="AF314" s="2"/>
      <c r="AG314" s="2"/>
      <c r="AH314" s="2"/>
      <c r="AI314" s="2"/>
      <c r="AJ314" s="2"/>
      <c r="AK314" s="2"/>
      <c r="AL314" s="2"/>
      <c r="AM314" s="2"/>
      <c r="AN314" s="2"/>
      <c r="AO314" s="9"/>
      <c r="AP314" s="9"/>
      <c r="AQ314" s="9"/>
      <c r="AR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224"/>
      <c r="X315" s="224"/>
      <c r="Y315" s="224"/>
      <c r="Z315" s="868"/>
      <c r="AA315" s="865"/>
      <c r="AB315" s="2"/>
      <c r="AC315" s="2"/>
      <c r="AD315" s="2"/>
      <c r="AE315" s="2"/>
      <c r="AF315" s="2"/>
      <c r="AG315" s="2"/>
      <c r="AH315" s="2"/>
      <c r="AI315" s="2"/>
      <c r="AJ315" s="2"/>
      <c r="AK315" s="2"/>
      <c r="AL315" s="2"/>
      <c r="AM315" s="2"/>
      <c r="AN315" s="2"/>
      <c r="AO315" s="9"/>
      <c r="AP315" s="9"/>
      <c r="AQ315" s="9"/>
      <c r="AR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224"/>
      <c r="X316" s="224"/>
      <c r="Y316" s="224"/>
      <c r="Z316" s="868"/>
      <c r="AA316" s="865"/>
      <c r="AB316" s="2"/>
      <c r="AC316" s="2"/>
      <c r="AD316" s="2"/>
      <c r="AE316" s="2"/>
      <c r="AF316" s="2"/>
      <c r="AG316" s="2"/>
      <c r="AH316" s="2"/>
      <c r="AI316" s="2"/>
      <c r="AJ316" s="2"/>
      <c r="AK316" s="2"/>
      <c r="AL316" s="2"/>
      <c r="AM316" s="2"/>
      <c r="AN316" s="2"/>
      <c r="AO316" s="9"/>
      <c r="AP316" s="9"/>
      <c r="AQ316" s="9"/>
      <c r="AR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224"/>
      <c r="X317" s="224"/>
      <c r="Y317" s="224"/>
      <c r="Z317" s="868"/>
      <c r="AA317" s="865"/>
      <c r="AB317" s="2"/>
      <c r="AC317" s="2"/>
      <c r="AD317" s="2"/>
      <c r="AE317" s="2"/>
      <c r="AF317" s="2"/>
      <c r="AG317" s="2"/>
      <c r="AH317" s="2"/>
      <c r="AI317" s="2"/>
      <c r="AJ317" s="2"/>
      <c r="AK317" s="2"/>
      <c r="AL317" s="2"/>
      <c r="AM317" s="2"/>
      <c r="AN317" s="2"/>
      <c r="AO317" s="9"/>
      <c r="AP317" s="9"/>
      <c r="AQ317" s="9"/>
      <c r="AR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224"/>
      <c r="X318" s="224"/>
      <c r="Y318" s="224"/>
      <c r="Z318" s="868"/>
      <c r="AA318" s="865"/>
      <c r="AB318" s="2"/>
      <c r="AC318" s="2"/>
      <c r="AD318" s="2"/>
      <c r="AE318" s="2"/>
      <c r="AF318" s="2"/>
      <c r="AG318" s="2"/>
      <c r="AH318" s="2"/>
      <c r="AI318" s="2"/>
      <c r="AJ318" s="2"/>
      <c r="AK318" s="2"/>
      <c r="AL318" s="2"/>
      <c r="AM318" s="2"/>
      <c r="AN318" s="2"/>
      <c r="AO318" s="9"/>
      <c r="AP318" s="9"/>
      <c r="AQ318" s="9"/>
      <c r="AR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224"/>
      <c r="X319" s="224"/>
      <c r="Y319" s="224"/>
      <c r="Z319" s="868"/>
      <c r="AA319" s="865"/>
      <c r="AB319" s="2"/>
      <c r="AC319" s="2"/>
      <c r="AD319" s="2"/>
      <c r="AE319" s="2"/>
      <c r="AF319" s="2"/>
      <c r="AG319" s="2"/>
      <c r="AH319" s="2"/>
      <c r="AI319" s="2"/>
      <c r="AJ319" s="2"/>
      <c r="AK319" s="2"/>
      <c r="AL319" s="2"/>
      <c r="AM319" s="2"/>
      <c r="AN319" s="2"/>
      <c r="AO319" s="9"/>
      <c r="AP319" s="9"/>
      <c r="AQ319" s="9"/>
      <c r="AR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224"/>
      <c r="X320" s="224"/>
      <c r="Y320" s="224"/>
      <c r="Z320" s="868"/>
      <c r="AA320" s="865"/>
      <c r="AB320" s="2"/>
      <c r="AC320" s="2"/>
      <c r="AD320" s="2"/>
      <c r="AE320" s="2"/>
      <c r="AF320" s="2"/>
      <c r="AG320" s="2"/>
      <c r="AH320" s="2"/>
      <c r="AI320" s="2"/>
      <c r="AJ320" s="2"/>
      <c r="AK320" s="2"/>
      <c r="AL320" s="2"/>
      <c r="AM320" s="2"/>
      <c r="AN320" s="2"/>
      <c r="AO320" s="9"/>
      <c r="AP320" s="9"/>
      <c r="AQ320" s="9"/>
      <c r="AR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224"/>
      <c r="X321" s="224"/>
      <c r="Y321" s="224"/>
      <c r="Z321" s="868"/>
      <c r="AA321" s="865"/>
      <c r="AB321" s="2"/>
      <c r="AC321" s="2"/>
      <c r="AD321" s="2"/>
      <c r="AE321" s="2"/>
      <c r="AF321" s="2"/>
      <c r="AG321" s="2"/>
      <c r="AH321" s="2"/>
      <c r="AI321" s="2"/>
      <c r="AJ321" s="2"/>
      <c r="AK321" s="2"/>
      <c r="AL321" s="2"/>
      <c r="AM321" s="2"/>
      <c r="AN321" s="2"/>
      <c r="AO321" s="9"/>
      <c r="AP321" s="9"/>
      <c r="AQ321" s="9"/>
      <c r="AR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224"/>
      <c r="X322" s="224"/>
      <c r="Y322" s="224"/>
      <c r="Z322" s="868"/>
      <c r="AA322" s="865"/>
      <c r="AB322" s="2"/>
      <c r="AC322" s="2"/>
      <c r="AD322" s="2"/>
      <c r="AE322" s="2"/>
      <c r="AF322" s="2"/>
      <c r="AG322" s="2"/>
      <c r="AH322" s="2"/>
      <c r="AI322" s="2"/>
      <c r="AJ322" s="2"/>
      <c r="AK322" s="2"/>
      <c r="AL322" s="2"/>
      <c r="AM322" s="2"/>
      <c r="AN322" s="2"/>
      <c r="AO322" s="9"/>
      <c r="AP322" s="9"/>
      <c r="AQ322" s="9"/>
      <c r="AR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224"/>
      <c r="X323" s="224"/>
      <c r="Y323" s="224"/>
      <c r="Z323" s="868"/>
      <c r="AA323" s="865"/>
      <c r="AB323" s="2"/>
      <c r="AC323" s="2"/>
      <c r="AD323" s="2"/>
      <c r="AE323" s="2"/>
      <c r="AF323" s="2"/>
      <c r="AG323" s="2"/>
      <c r="AH323" s="2"/>
      <c r="AI323" s="2"/>
      <c r="AJ323" s="2"/>
      <c r="AK323" s="2"/>
      <c r="AL323" s="2"/>
      <c r="AM323" s="2"/>
      <c r="AN323" s="2"/>
      <c r="AO323" s="9"/>
      <c r="AP323" s="9"/>
      <c r="AQ323" s="9"/>
      <c r="AR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224"/>
      <c r="X324" s="224"/>
      <c r="Y324" s="224"/>
      <c r="Z324" s="868"/>
      <c r="AA324" s="865"/>
      <c r="AB324" s="2"/>
      <c r="AC324" s="2"/>
      <c r="AD324" s="2"/>
      <c r="AE324" s="2"/>
      <c r="AF324" s="2"/>
      <c r="AG324" s="2"/>
      <c r="AH324" s="2"/>
      <c r="AI324" s="2"/>
      <c r="AJ324" s="2"/>
      <c r="AK324" s="2"/>
      <c r="AL324" s="2"/>
      <c r="AM324" s="2"/>
      <c r="AN324" s="2"/>
      <c r="AO324" s="9"/>
      <c r="AP324" s="9"/>
      <c r="AQ324" s="9"/>
      <c r="AR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224"/>
      <c r="X325" s="224"/>
      <c r="Y325" s="224"/>
      <c r="Z325" s="868"/>
      <c r="AA325" s="865"/>
      <c r="AB325" s="2"/>
      <c r="AC325" s="2"/>
      <c r="AD325" s="2"/>
      <c r="AE325" s="2"/>
      <c r="AF325" s="2"/>
      <c r="AG325" s="2"/>
      <c r="AH325" s="2"/>
      <c r="AI325" s="2"/>
      <c r="AJ325" s="2"/>
      <c r="AK325" s="2"/>
      <c r="AL325" s="2"/>
      <c r="AM325" s="2"/>
      <c r="AN325" s="2"/>
      <c r="AO325" s="9"/>
      <c r="AP325" s="9"/>
      <c r="AQ325" s="9"/>
      <c r="AR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224"/>
      <c r="X326" s="224"/>
      <c r="Y326" s="224"/>
      <c r="Z326" s="868"/>
      <c r="AA326" s="865"/>
      <c r="AB326" s="2"/>
      <c r="AC326" s="2"/>
      <c r="AD326" s="2"/>
      <c r="AE326" s="2"/>
      <c r="AF326" s="2"/>
      <c r="AG326" s="2"/>
      <c r="AH326" s="2"/>
      <c r="AI326" s="2"/>
      <c r="AJ326" s="2"/>
      <c r="AK326" s="2"/>
      <c r="AL326" s="2"/>
      <c r="AM326" s="2"/>
      <c r="AN326" s="2"/>
      <c r="AO326" s="9"/>
      <c r="AP326" s="9"/>
      <c r="AQ326" s="9"/>
      <c r="AR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224"/>
      <c r="X327" s="224"/>
      <c r="Y327" s="224"/>
      <c r="Z327" s="868"/>
      <c r="AA327" s="865"/>
      <c r="AB327" s="2"/>
      <c r="AC327" s="2"/>
      <c r="AD327" s="2"/>
      <c r="AE327" s="2"/>
      <c r="AF327" s="2"/>
      <c r="AG327" s="2"/>
      <c r="AH327" s="2"/>
      <c r="AI327" s="2"/>
      <c r="AJ327" s="2"/>
      <c r="AK327" s="2"/>
      <c r="AL327" s="2"/>
      <c r="AM327" s="2"/>
      <c r="AN327" s="2"/>
      <c r="AO327" s="9"/>
      <c r="AP327" s="9"/>
      <c r="AQ327" s="9"/>
      <c r="AR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224"/>
      <c r="X328" s="224"/>
      <c r="Y328" s="224"/>
      <c r="Z328" s="868"/>
      <c r="AA328" s="865"/>
      <c r="AB328" s="2"/>
      <c r="AC328" s="2"/>
      <c r="AD328" s="2"/>
      <c r="AE328" s="2"/>
      <c r="AF328" s="2"/>
      <c r="AG328" s="2"/>
      <c r="AH328" s="2"/>
      <c r="AI328" s="2"/>
      <c r="AJ328" s="2"/>
      <c r="AK328" s="2"/>
      <c r="AL328" s="2"/>
      <c r="AM328" s="2"/>
      <c r="AN328" s="2"/>
      <c r="AO328" s="9"/>
      <c r="AP328" s="9"/>
      <c r="AQ328" s="9"/>
      <c r="AR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224"/>
      <c r="X329" s="224"/>
      <c r="Y329" s="224"/>
      <c r="Z329" s="868"/>
      <c r="AA329" s="865"/>
      <c r="AB329" s="2"/>
      <c r="AC329" s="2"/>
      <c r="AD329" s="2"/>
      <c r="AE329" s="2"/>
      <c r="AF329" s="2"/>
      <c r="AG329" s="2"/>
      <c r="AH329" s="2"/>
      <c r="AI329" s="2"/>
      <c r="AJ329" s="2"/>
      <c r="AK329" s="2"/>
      <c r="AL329" s="2"/>
      <c r="AM329" s="2"/>
      <c r="AN329" s="2"/>
      <c r="AO329" s="9"/>
      <c r="AP329" s="9"/>
      <c r="AQ329" s="9"/>
      <c r="AR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224"/>
      <c r="X330" s="224"/>
      <c r="Y330" s="224"/>
      <c r="Z330" s="868"/>
      <c r="AA330" s="865"/>
      <c r="AB330" s="2"/>
      <c r="AC330" s="2"/>
      <c r="AD330" s="2"/>
      <c r="AE330" s="2"/>
      <c r="AF330" s="2"/>
      <c r="AG330" s="2"/>
      <c r="AH330" s="2"/>
      <c r="AI330" s="2"/>
      <c r="AJ330" s="2"/>
      <c r="AK330" s="2"/>
      <c r="AL330" s="2"/>
      <c r="AM330" s="2"/>
      <c r="AN330" s="2"/>
      <c r="AO330" s="9"/>
      <c r="AP330" s="9"/>
      <c r="AQ330" s="9"/>
      <c r="AR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224"/>
      <c r="X331" s="224"/>
      <c r="Y331" s="224"/>
      <c r="Z331" s="868"/>
      <c r="AA331" s="865"/>
      <c r="AB331" s="2"/>
      <c r="AC331" s="2"/>
      <c r="AD331" s="2"/>
      <c r="AE331" s="2"/>
      <c r="AF331" s="2"/>
      <c r="AG331" s="2"/>
      <c r="AH331" s="2"/>
      <c r="AI331" s="2"/>
      <c r="AJ331" s="2"/>
      <c r="AK331" s="2"/>
      <c r="AL331" s="2"/>
      <c r="AM331" s="2"/>
      <c r="AN331" s="2"/>
      <c r="AO331" s="9"/>
      <c r="AP331" s="9"/>
      <c r="AQ331" s="9"/>
      <c r="AR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224"/>
      <c r="X332" s="224"/>
      <c r="Y332" s="224"/>
      <c r="Z332" s="868"/>
      <c r="AA332" s="865"/>
      <c r="AB332" s="2"/>
      <c r="AC332" s="2"/>
      <c r="AD332" s="2"/>
      <c r="AE332" s="2"/>
      <c r="AF332" s="2"/>
      <c r="AG332" s="2"/>
      <c r="AH332" s="2"/>
      <c r="AI332" s="2"/>
      <c r="AJ332" s="2"/>
      <c r="AK332" s="2"/>
      <c r="AL332" s="2"/>
      <c r="AM332" s="2"/>
      <c r="AN332" s="2"/>
      <c r="AO332" s="9"/>
      <c r="AP332" s="9"/>
      <c r="AQ332" s="9"/>
      <c r="AR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224"/>
      <c r="X333" s="224"/>
      <c r="Y333" s="224"/>
      <c r="Z333" s="868"/>
      <c r="AA333" s="865"/>
      <c r="AB333" s="2"/>
      <c r="AC333" s="2"/>
      <c r="AD333" s="2"/>
      <c r="AE333" s="2"/>
      <c r="AF333" s="2"/>
      <c r="AG333" s="2"/>
      <c r="AH333" s="2"/>
      <c r="AI333" s="2"/>
      <c r="AJ333" s="2"/>
      <c r="AK333" s="2"/>
      <c r="AL333" s="2"/>
      <c r="AM333" s="2"/>
      <c r="AN333" s="2"/>
      <c r="AO333" s="9"/>
      <c r="AP333" s="9"/>
      <c r="AQ333" s="9"/>
      <c r="AR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224"/>
      <c r="X334" s="224"/>
      <c r="Y334" s="224"/>
      <c r="Z334" s="868"/>
      <c r="AA334" s="865"/>
      <c r="AB334" s="2"/>
      <c r="AC334" s="2"/>
      <c r="AD334" s="2"/>
      <c r="AE334" s="2"/>
      <c r="AF334" s="2"/>
      <c r="AG334" s="2"/>
      <c r="AH334" s="2"/>
      <c r="AI334" s="2"/>
      <c r="AJ334" s="2"/>
      <c r="AK334" s="2"/>
      <c r="AL334" s="2"/>
      <c r="AM334" s="2"/>
      <c r="AN334" s="2"/>
      <c r="AO334" s="9"/>
      <c r="AP334" s="9"/>
      <c r="AQ334" s="9"/>
      <c r="AR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224"/>
      <c r="X335" s="224"/>
      <c r="Y335" s="224"/>
      <c r="Z335" s="868"/>
      <c r="AA335" s="865"/>
      <c r="AB335" s="2"/>
      <c r="AC335" s="2"/>
      <c r="AD335" s="2"/>
      <c r="AE335" s="2"/>
      <c r="AF335" s="2"/>
      <c r="AG335" s="2"/>
      <c r="AH335" s="2"/>
      <c r="AI335" s="2"/>
      <c r="AJ335" s="2"/>
      <c r="AK335" s="2"/>
      <c r="AL335" s="2"/>
      <c r="AM335" s="2"/>
      <c r="AN335" s="2"/>
      <c r="AO335" s="9"/>
      <c r="AP335" s="9"/>
      <c r="AQ335" s="9"/>
      <c r="AR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224"/>
      <c r="X336" s="224"/>
      <c r="Y336" s="224"/>
      <c r="Z336" s="868"/>
      <c r="AA336" s="865"/>
      <c r="AB336" s="2"/>
      <c r="AC336" s="2"/>
      <c r="AD336" s="2"/>
      <c r="AE336" s="2"/>
      <c r="AF336" s="2"/>
      <c r="AG336" s="2"/>
      <c r="AH336" s="2"/>
      <c r="AI336" s="2"/>
      <c r="AJ336" s="2"/>
      <c r="AK336" s="2"/>
      <c r="AL336" s="2"/>
      <c r="AM336" s="2"/>
      <c r="AN336" s="2"/>
      <c r="AO336" s="9"/>
      <c r="AP336" s="9"/>
      <c r="AQ336" s="9"/>
      <c r="AR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224"/>
      <c r="X337" s="224"/>
      <c r="Y337" s="224"/>
      <c r="Z337" s="868"/>
      <c r="AA337" s="865"/>
      <c r="AB337" s="2"/>
      <c r="AC337" s="2"/>
      <c r="AD337" s="2"/>
      <c r="AE337" s="2"/>
      <c r="AF337" s="2"/>
      <c r="AG337" s="2"/>
      <c r="AH337" s="2"/>
      <c r="AI337" s="2"/>
      <c r="AJ337" s="2"/>
      <c r="AK337" s="2"/>
      <c r="AL337" s="2"/>
      <c r="AM337" s="2"/>
      <c r="AN337" s="2"/>
      <c r="AO337" s="9"/>
      <c r="AP337" s="9"/>
      <c r="AQ337" s="9"/>
      <c r="AR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224"/>
      <c r="X338" s="224"/>
      <c r="Y338" s="224"/>
      <c r="Z338" s="868"/>
      <c r="AA338" s="865"/>
      <c r="AB338" s="2"/>
      <c r="AC338" s="2"/>
      <c r="AD338" s="2"/>
      <c r="AE338" s="2"/>
      <c r="AF338" s="2"/>
      <c r="AG338" s="2"/>
      <c r="AH338" s="2"/>
      <c r="AI338" s="2"/>
      <c r="AJ338" s="2"/>
      <c r="AK338" s="2"/>
      <c r="AL338" s="2"/>
      <c r="AM338" s="2"/>
      <c r="AN338" s="2"/>
      <c r="AO338" s="9"/>
      <c r="AP338" s="9"/>
      <c r="AQ338" s="9"/>
      <c r="AR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224"/>
      <c r="X339" s="224"/>
      <c r="Y339" s="224"/>
      <c r="Z339" s="868"/>
      <c r="AA339" s="865"/>
      <c r="AB339" s="2"/>
      <c r="AC339" s="2"/>
      <c r="AD339" s="2"/>
      <c r="AE339" s="2"/>
      <c r="AF339" s="2"/>
      <c r="AG339" s="2"/>
      <c r="AH339" s="2"/>
      <c r="AI339" s="2"/>
      <c r="AJ339" s="2"/>
      <c r="AK339" s="2"/>
      <c r="AL339" s="2"/>
      <c r="AM339" s="2"/>
      <c r="AN339" s="2"/>
      <c r="AO339" s="9"/>
      <c r="AP339" s="9"/>
      <c r="AQ339" s="9"/>
      <c r="AR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224"/>
      <c r="X340" s="224"/>
      <c r="Y340" s="224"/>
      <c r="Z340" s="868"/>
      <c r="AA340" s="865"/>
      <c r="AB340" s="2"/>
      <c r="AC340" s="2"/>
      <c r="AD340" s="2"/>
      <c r="AE340" s="2"/>
      <c r="AF340" s="2"/>
      <c r="AG340" s="2"/>
      <c r="AH340" s="2"/>
      <c r="AI340" s="2"/>
      <c r="AJ340" s="2"/>
      <c r="AK340" s="2"/>
      <c r="AL340" s="2"/>
      <c r="AM340" s="2"/>
      <c r="AN340" s="2"/>
      <c r="AO340" s="9"/>
      <c r="AP340" s="9"/>
      <c r="AQ340" s="9"/>
      <c r="AR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224"/>
      <c r="X341" s="224"/>
      <c r="Y341" s="224"/>
      <c r="Z341" s="868"/>
      <c r="AA341" s="865"/>
      <c r="AB341" s="2"/>
      <c r="AC341" s="2"/>
      <c r="AD341" s="2"/>
      <c r="AE341" s="2"/>
      <c r="AF341" s="2"/>
      <c r="AG341" s="2"/>
      <c r="AH341" s="2"/>
      <c r="AI341" s="2"/>
      <c r="AJ341" s="2"/>
      <c r="AK341" s="2"/>
      <c r="AL341" s="2"/>
      <c r="AM341" s="2"/>
      <c r="AN341" s="2"/>
      <c r="AO341" s="9"/>
      <c r="AP341" s="9"/>
      <c r="AQ341" s="9"/>
      <c r="AR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224"/>
      <c r="X342" s="224"/>
      <c r="Y342" s="224"/>
      <c r="Z342" s="868"/>
      <c r="AA342" s="865"/>
      <c r="AB342" s="2"/>
      <c r="AC342" s="2"/>
      <c r="AD342" s="2"/>
      <c r="AE342" s="2"/>
      <c r="AF342" s="2"/>
      <c r="AG342" s="2"/>
      <c r="AH342" s="2"/>
      <c r="AI342" s="2"/>
      <c r="AJ342" s="2"/>
      <c r="AK342" s="2"/>
      <c r="AL342" s="2"/>
      <c r="AM342" s="2"/>
      <c r="AN342" s="2"/>
      <c r="AO342" s="9"/>
      <c r="AP342" s="9"/>
      <c r="AQ342" s="9"/>
      <c r="AR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224"/>
      <c r="X343" s="224"/>
      <c r="Y343" s="224"/>
      <c r="Z343" s="868"/>
      <c r="AA343" s="865"/>
      <c r="AB343" s="2"/>
      <c r="AC343" s="2"/>
      <c r="AD343" s="2"/>
      <c r="AE343" s="2"/>
      <c r="AF343" s="2"/>
      <c r="AG343" s="2"/>
      <c r="AH343" s="2"/>
      <c r="AI343" s="2"/>
      <c r="AJ343" s="2"/>
      <c r="AK343" s="2"/>
      <c r="AL343" s="2"/>
      <c r="AM343" s="2"/>
      <c r="AN343" s="2"/>
      <c r="AO343" s="9"/>
      <c r="AP343" s="9"/>
      <c r="AQ343" s="9"/>
      <c r="AR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224"/>
      <c r="X344" s="224"/>
      <c r="Y344" s="224"/>
      <c r="Z344" s="868"/>
      <c r="AA344" s="865"/>
      <c r="AB344" s="2"/>
      <c r="AC344" s="2"/>
      <c r="AD344" s="2"/>
      <c r="AE344" s="2"/>
      <c r="AF344" s="2"/>
      <c r="AG344" s="2"/>
      <c r="AH344" s="2"/>
      <c r="AI344" s="2"/>
      <c r="AJ344" s="2"/>
      <c r="AK344" s="2"/>
      <c r="AL344" s="2"/>
      <c r="AM344" s="2"/>
      <c r="AN344" s="2"/>
      <c r="AO344" s="9"/>
      <c r="AP344" s="9"/>
      <c r="AQ344" s="9"/>
      <c r="AR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224"/>
      <c r="X345" s="224"/>
      <c r="Y345" s="224"/>
      <c r="Z345" s="868"/>
      <c r="AA345" s="865"/>
      <c r="AB345" s="2"/>
      <c r="AC345" s="2"/>
      <c r="AD345" s="2"/>
      <c r="AE345" s="2"/>
      <c r="AF345" s="2"/>
      <c r="AG345" s="2"/>
      <c r="AH345" s="2"/>
      <c r="AI345" s="2"/>
      <c r="AJ345" s="2"/>
      <c r="AK345" s="2"/>
      <c r="AL345" s="2"/>
      <c r="AM345" s="2"/>
      <c r="AN345" s="2"/>
      <c r="AO345" s="9"/>
      <c r="AP345" s="9"/>
      <c r="AQ345" s="9"/>
      <c r="AR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224"/>
      <c r="X346" s="224"/>
      <c r="Y346" s="224"/>
      <c r="Z346" s="868"/>
      <c r="AA346" s="865"/>
      <c r="AB346" s="2"/>
      <c r="AC346" s="2"/>
      <c r="AD346" s="2"/>
      <c r="AE346" s="2"/>
      <c r="AF346" s="2"/>
      <c r="AG346" s="2"/>
      <c r="AH346" s="2"/>
      <c r="AI346" s="2"/>
      <c r="AJ346" s="2"/>
      <c r="AK346" s="2"/>
      <c r="AL346" s="2"/>
      <c r="AM346" s="2"/>
      <c r="AN346" s="2"/>
      <c r="AO346" s="9"/>
      <c r="AP346" s="9"/>
      <c r="AQ346" s="9"/>
      <c r="AR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224"/>
      <c r="X347" s="224"/>
      <c r="Y347" s="224"/>
      <c r="Z347" s="868"/>
      <c r="AA347" s="865"/>
      <c r="AB347" s="2"/>
      <c r="AC347" s="2"/>
      <c r="AD347" s="2"/>
      <c r="AE347" s="2"/>
      <c r="AF347" s="2"/>
      <c r="AG347" s="2"/>
      <c r="AH347" s="2"/>
      <c r="AI347" s="2"/>
      <c r="AJ347" s="2"/>
      <c r="AK347" s="2"/>
      <c r="AL347" s="2"/>
      <c r="AM347" s="2"/>
      <c r="AN347" s="2"/>
      <c r="AO347" s="9"/>
      <c r="AP347" s="9"/>
      <c r="AQ347" s="9"/>
      <c r="AR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224"/>
      <c r="X348" s="224"/>
      <c r="Y348" s="224"/>
      <c r="Z348" s="868"/>
      <c r="AA348" s="865"/>
      <c r="AB348" s="2"/>
      <c r="AC348" s="2"/>
      <c r="AD348" s="2"/>
      <c r="AE348" s="2"/>
      <c r="AF348" s="2"/>
      <c r="AG348" s="2"/>
      <c r="AH348" s="2"/>
      <c r="AI348" s="2"/>
      <c r="AJ348" s="2"/>
      <c r="AK348" s="2"/>
      <c r="AL348" s="2"/>
      <c r="AM348" s="2"/>
      <c r="AN348" s="2"/>
      <c r="AO348" s="9"/>
      <c r="AP348" s="9"/>
      <c r="AQ348" s="9"/>
      <c r="AR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224"/>
      <c r="X349" s="224"/>
      <c r="Y349" s="224"/>
      <c r="Z349" s="868"/>
      <c r="AA349" s="865"/>
      <c r="AB349" s="2"/>
      <c r="AC349" s="2"/>
      <c r="AD349" s="2"/>
      <c r="AE349" s="2"/>
      <c r="AF349" s="2"/>
      <c r="AG349" s="2"/>
      <c r="AH349" s="2"/>
      <c r="AI349" s="2"/>
      <c r="AJ349" s="2"/>
      <c r="AK349" s="2"/>
      <c r="AL349" s="2"/>
      <c r="AM349" s="2"/>
      <c r="AN349" s="2"/>
      <c r="AO349" s="9"/>
      <c r="AP349" s="9"/>
      <c r="AQ349" s="9"/>
      <c r="AR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224"/>
      <c r="X350" s="224"/>
      <c r="Y350" s="224"/>
      <c r="Z350" s="868"/>
      <c r="AA350" s="865"/>
      <c r="AB350" s="2"/>
      <c r="AC350" s="2"/>
      <c r="AD350" s="2"/>
      <c r="AE350" s="2"/>
      <c r="AF350" s="2"/>
      <c r="AG350" s="2"/>
      <c r="AH350" s="2"/>
      <c r="AI350" s="2"/>
      <c r="AJ350" s="2"/>
      <c r="AK350" s="2"/>
      <c r="AL350" s="2"/>
      <c r="AM350" s="2"/>
      <c r="AN350" s="2"/>
      <c r="AO350" s="9"/>
      <c r="AP350" s="9"/>
      <c r="AQ350" s="9"/>
      <c r="AR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224"/>
      <c r="X351" s="224"/>
      <c r="Y351" s="224"/>
      <c r="Z351" s="868"/>
      <c r="AA351" s="865"/>
      <c r="AB351" s="2"/>
      <c r="AC351" s="2"/>
      <c r="AD351" s="2"/>
      <c r="AE351" s="2"/>
      <c r="AF351" s="2"/>
      <c r="AG351" s="2"/>
      <c r="AH351" s="2"/>
      <c r="AI351" s="2"/>
      <c r="AJ351" s="2"/>
      <c r="AK351" s="2"/>
      <c r="AL351" s="2"/>
      <c r="AM351" s="2"/>
      <c r="AN351" s="2"/>
      <c r="AO351" s="9"/>
      <c r="AP351" s="9"/>
      <c r="AQ351" s="9"/>
      <c r="AR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224"/>
      <c r="X352" s="224"/>
      <c r="Y352" s="224"/>
      <c r="Z352" s="868"/>
      <c r="AA352" s="865"/>
      <c r="AB352" s="2"/>
      <c r="AC352" s="2"/>
      <c r="AD352" s="2"/>
      <c r="AE352" s="2"/>
      <c r="AF352" s="2"/>
      <c r="AG352" s="2"/>
      <c r="AH352" s="2"/>
      <c r="AI352" s="2"/>
      <c r="AJ352" s="2"/>
      <c r="AK352" s="2"/>
      <c r="AL352" s="2"/>
      <c r="AM352" s="2"/>
      <c r="AN352" s="2"/>
      <c r="AO352" s="9"/>
      <c r="AP352" s="9"/>
      <c r="AQ352" s="9"/>
      <c r="AR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224"/>
      <c r="X353" s="224"/>
      <c r="Y353" s="224"/>
      <c r="Z353" s="868"/>
      <c r="AA353" s="865"/>
      <c r="AB353" s="2"/>
      <c r="AC353" s="2"/>
      <c r="AD353" s="2"/>
      <c r="AE353" s="2"/>
      <c r="AF353" s="2"/>
      <c r="AG353" s="2"/>
      <c r="AH353" s="2"/>
      <c r="AI353" s="2"/>
      <c r="AJ353" s="2"/>
      <c r="AK353" s="2"/>
      <c r="AL353" s="2"/>
      <c r="AM353" s="2"/>
      <c r="AN353" s="2"/>
      <c r="AO353" s="9"/>
      <c r="AP353" s="9"/>
      <c r="AQ353" s="9"/>
      <c r="AR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224"/>
      <c r="X354" s="224"/>
      <c r="Y354" s="224"/>
      <c r="Z354" s="868"/>
      <c r="AA354" s="865"/>
      <c r="AB354" s="2"/>
      <c r="AC354" s="2"/>
      <c r="AD354" s="2"/>
      <c r="AE354" s="2"/>
      <c r="AF354" s="2"/>
      <c r="AG354" s="2"/>
      <c r="AH354" s="2"/>
      <c r="AI354" s="2"/>
      <c r="AJ354" s="2"/>
      <c r="AK354" s="2"/>
      <c r="AL354" s="2"/>
      <c r="AM354" s="2"/>
      <c r="AN354" s="2"/>
      <c r="AO354" s="9"/>
      <c r="AP354" s="9"/>
      <c r="AQ354" s="9"/>
      <c r="AR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224"/>
      <c r="X355" s="224"/>
      <c r="Y355" s="224"/>
      <c r="Z355" s="868"/>
      <c r="AA355" s="865"/>
      <c r="AB355" s="2"/>
      <c r="AC355" s="2"/>
      <c r="AD355" s="2"/>
      <c r="AE355" s="2"/>
      <c r="AF355" s="2"/>
      <c r="AG355" s="2"/>
      <c r="AH355" s="2"/>
      <c r="AI355" s="2"/>
      <c r="AJ355" s="2"/>
      <c r="AK355" s="2"/>
      <c r="AL355" s="2"/>
      <c r="AM355" s="2"/>
      <c r="AN355" s="2"/>
      <c r="AO355" s="9"/>
      <c r="AP355" s="9"/>
      <c r="AQ355" s="9"/>
      <c r="AR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224"/>
      <c r="X356" s="224"/>
      <c r="Y356" s="224"/>
      <c r="Z356" s="868"/>
      <c r="AA356" s="865"/>
      <c r="AB356" s="2"/>
      <c r="AC356" s="2"/>
      <c r="AD356" s="2"/>
      <c r="AE356" s="2"/>
      <c r="AF356" s="2"/>
      <c r="AG356" s="2"/>
      <c r="AH356" s="2"/>
      <c r="AI356" s="2"/>
      <c r="AJ356" s="2"/>
      <c r="AK356" s="2"/>
      <c r="AL356" s="2"/>
      <c r="AM356" s="2"/>
      <c r="AN356" s="2"/>
      <c r="AO356" s="9"/>
      <c r="AP356" s="9"/>
      <c r="AQ356" s="9"/>
      <c r="AR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224"/>
      <c r="X357" s="224"/>
      <c r="Y357" s="224"/>
      <c r="Z357" s="868"/>
      <c r="AA357" s="865"/>
      <c r="AB357" s="2"/>
      <c r="AC357" s="2"/>
      <c r="AD357" s="2"/>
      <c r="AE357" s="2"/>
      <c r="AF357" s="2"/>
      <c r="AG357" s="2"/>
      <c r="AH357" s="2"/>
      <c r="AI357" s="2"/>
      <c r="AJ357" s="2"/>
      <c r="AK357" s="2"/>
      <c r="AL357" s="2"/>
      <c r="AM357" s="2"/>
      <c r="AN357" s="2"/>
      <c r="AO357" s="9"/>
      <c r="AP357" s="9"/>
      <c r="AQ357" s="9"/>
      <c r="AR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224"/>
      <c r="X358" s="224"/>
      <c r="Y358" s="224"/>
      <c r="Z358" s="868"/>
      <c r="AA358" s="865"/>
      <c r="AB358" s="2"/>
      <c r="AC358" s="2"/>
      <c r="AD358" s="2"/>
      <c r="AE358" s="2"/>
      <c r="AF358" s="2"/>
      <c r="AG358" s="2"/>
      <c r="AH358" s="2"/>
      <c r="AI358" s="2"/>
      <c r="AJ358" s="2"/>
      <c r="AK358" s="2"/>
      <c r="AL358" s="2"/>
      <c r="AM358" s="2"/>
      <c r="AN358" s="2"/>
      <c r="AO358" s="9"/>
      <c r="AP358" s="9"/>
      <c r="AQ358" s="9"/>
      <c r="AR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224"/>
      <c r="X359" s="224"/>
      <c r="Y359" s="224"/>
      <c r="Z359" s="868"/>
      <c r="AA359" s="865"/>
      <c r="AB359" s="2"/>
      <c r="AC359" s="2"/>
      <c r="AD359" s="2"/>
      <c r="AE359" s="2"/>
      <c r="AF359" s="2"/>
      <c r="AG359" s="2"/>
      <c r="AH359" s="2"/>
      <c r="AI359" s="2"/>
      <c r="AJ359" s="2"/>
      <c r="AK359" s="2"/>
      <c r="AL359" s="2"/>
      <c r="AM359" s="2"/>
      <c r="AN359" s="2"/>
      <c r="AO359" s="9"/>
      <c r="AP359" s="9"/>
      <c r="AQ359" s="9"/>
      <c r="AR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224"/>
      <c r="X360" s="224"/>
      <c r="Y360" s="224"/>
      <c r="Z360" s="868"/>
      <c r="AA360" s="865"/>
      <c r="AB360" s="2"/>
      <c r="AC360" s="2"/>
      <c r="AD360" s="2"/>
      <c r="AE360" s="2"/>
      <c r="AF360" s="2"/>
      <c r="AG360" s="2"/>
      <c r="AH360" s="2"/>
      <c r="AI360" s="2"/>
      <c r="AJ360" s="2"/>
      <c r="AK360" s="2"/>
      <c r="AL360" s="2"/>
      <c r="AM360" s="2"/>
      <c r="AN360" s="2"/>
      <c r="AO360" s="9"/>
      <c r="AP360" s="9"/>
      <c r="AQ360" s="9"/>
      <c r="AR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224"/>
      <c r="X361" s="224"/>
      <c r="Y361" s="224"/>
      <c r="Z361" s="868"/>
      <c r="AA361" s="865"/>
      <c r="AB361" s="2"/>
      <c r="AC361" s="2"/>
      <c r="AD361" s="2"/>
      <c r="AE361" s="2"/>
      <c r="AF361" s="2"/>
      <c r="AG361" s="2"/>
      <c r="AH361" s="2"/>
      <c r="AI361" s="2"/>
      <c r="AJ361" s="2"/>
      <c r="AK361" s="2"/>
      <c r="AL361" s="2"/>
      <c r="AM361" s="2"/>
      <c r="AN361" s="2"/>
      <c r="AO361" s="9"/>
      <c r="AP361" s="9"/>
      <c r="AQ361" s="9"/>
      <c r="AR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224"/>
      <c r="X362" s="224"/>
      <c r="Y362" s="224"/>
      <c r="Z362" s="868"/>
      <c r="AA362" s="865"/>
      <c r="AB362" s="2"/>
      <c r="AC362" s="2"/>
      <c r="AD362" s="2"/>
      <c r="AE362" s="2"/>
      <c r="AF362" s="2"/>
      <c r="AG362" s="2"/>
      <c r="AH362" s="2"/>
      <c r="AI362" s="2"/>
      <c r="AJ362" s="2"/>
      <c r="AK362" s="2"/>
      <c r="AL362" s="2"/>
      <c r="AM362" s="2"/>
      <c r="AN362" s="2"/>
      <c r="AO362" s="9"/>
      <c r="AP362" s="9"/>
      <c r="AQ362" s="9"/>
      <c r="AR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224"/>
      <c r="X363" s="224"/>
      <c r="Y363" s="224"/>
      <c r="Z363" s="868"/>
      <c r="AA363" s="865"/>
      <c r="AB363" s="2"/>
      <c r="AC363" s="2"/>
      <c r="AD363" s="2"/>
      <c r="AE363" s="2"/>
      <c r="AF363" s="2"/>
      <c r="AG363" s="2"/>
      <c r="AH363" s="2"/>
      <c r="AI363" s="2"/>
      <c r="AJ363" s="2"/>
      <c r="AK363" s="2"/>
      <c r="AL363" s="2"/>
      <c r="AM363" s="2"/>
      <c r="AN363" s="2"/>
      <c r="AO363" s="9"/>
      <c r="AP363" s="9"/>
      <c r="AQ363" s="9"/>
      <c r="AR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224"/>
      <c r="X364" s="224"/>
      <c r="Y364" s="224"/>
      <c r="Z364" s="868"/>
      <c r="AA364" s="865"/>
      <c r="AB364" s="2"/>
      <c r="AC364" s="2"/>
      <c r="AD364" s="2"/>
      <c r="AE364" s="2"/>
      <c r="AF364" s="2"/>
      <c r="AG364" s="2"/>
      <c r="AH364" s="2"/>
      <c r="AI364" s="2"/>
      <c r="AJ364" s="2"/>
      <c r="AK364" s="2"/>
      <c r="AL364" s="2"/>
      <c r="AM364" s="2"/>
      <c r="AN364" s="2"/>
      <c r="AO364" s="9"/>
      <c r="AP364" s="9"/>
      <c r="AQ364" s="9"/>
      <c r="AR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224"/>
      <c r="X365" s="224"/>
      <c r="Y365" s="224"/>
      <c r="Z365" s="868"/>
      <c r="AA365" s="865"/>
      <c r="AB365" s="2"/>
      <c r="AC365" s="2"/>
      <c r="AD365" s="2"/>
      <c r="AE365" s="2"/>
      <c r="AF365" s="2"/>
      <c r="AG365" s="2"/>
      <c r="AH365" s="2"/>
      <c r="AI365" s="2"/>
      <c r="AJ365" s="2"/>
      <c r="AK365" s="2"/>
      <c r="AL365" s="2"/>
      <c r="AM365" s="2"/>
      <c r="AN365" s="2"/>
      <c r="AO365" s="9"/>
      <c r="AP365" s="9"/>
      <c r="AQ365" s="9"/>
      <c r="AR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224"/>
      <c r="X366" s="224"/>
      <c r="Y366" s="224"/>
      <c r="Z366" s="868"/>
      <c r="AA366" s="865"/>
      <c r="AB366" s="2"/>
      <c r="AC366" s="2"/>
      <c r="AD366" s="2"/>
      <c r="AE366" s="2"/>
      <c r="AF366" s="2"/>
      <c r="AG366" s="2"/>
      <c r="AH366" s="2"/>
      <c r="AI366" s="2"/>
      <c r="AJ366" s="2"/>
      <c r="AK366" s="2"/>
      <c r="AL366" s="2"/>
      <c r="AM366" s="2"/>
      <c r="AN366" s="2"/>
      <c r="AO366" s="9"/>
      <c r="AP366" s="9"/>
      <c r="AQ366" s="9"/>
      <c r="AR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224"/>
      <c r="X367" s="224"/>
      <c r="Y367" s="224"/>
      <c r="Z367" s="868"/>
      <c r="AA367" s="865"/>
      <c r="AB367" s="2"/>
      <c r="AC367" s="2"/>
      <c r="AD367" s="2"/>
      <c r="AE367" s="2"/>
      <c r="AF367" s="2"/>
      <c r="AG367" s="2"/>
      <c r="AH367" s="2"/>
      <c r="AI367" s="2"/>
      <c r="AJ367" s="2"/>
      <c r="AK367" s="2"/>
      <c r="AL367" s="2"/>
      <c r="AM367" s="2"/>
      <c r="AN367" s="2"/>
      <c r="AO367" s="9"/>
      <c r="AP367" s="9"/>
      <c r="AQ367" s="9"/>
      <c r="AR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224"/>
      <c r="X368" s="224"/>
      <c r="Y368" s="224"/>
      <c r="Z368" s="868"/>
      <c r="AA368" s="865"/>
      <c r="AB368" s="2"/>
      <c r="AC368" s="2"/>
      <c r="AD368" s="2"/>
      <c r="AE368" s="2"/>
      <c r="AF368" s="2"/>
      <c r="AG368" s="2"/>
      <c r="AH368" s="2"/>
      <c r="AI368" s="2"/>
      <c r="AJ368" s="2"/>
      <c r="AK368" s="2"/>
      <c r="AL368" s="2"/>
      <c r="AM368" s="2"/>
      <c r="AN368" s="2"/>
      <c r="AO368" s="9"/>
      <c r="AP368" s="9"/>
      <c r="AQ368" s="9"/>
      <c r="AR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224"/>
      <c r="X369" s="224"/>
      <c r="Y369" s="224"/>
      <c r="Z369" s="868"/>
      <c r="AA369" s="865"/>
      <c r="AB369" s="2"/>
      <c r="AC369" s="2"/>
      <c r="AD369" s="2"/>
      <c r="AE369" s="2"/>
      <c r="AF369" s="2"/>
      <c r="AG369" s="2"/>
      <c r="AH369" s="2"/>
      <c r="AI369" s="2"/>
      <c r="AJ369" s="2"/>
      <c r="AK369" s="2"/>
      <c r="AL369" s="2"/>
      <c r="AM369" s="2"/>
      <c r="AN369" s="2"/>
      <c r="AO369" s="9"/>
      <c r="AP369" s="9"/>
      <c r="AQ369" s="9"/>
      <c r="AR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224"/>
      <c r="X370" s="224"/>
      <c r="Y370" s="224"/>
      <c r="Z370" s="868"/>
      <c r="AA370" s="865"/>
      <c r="AB370" s="2"/>
      <c r="AC370" s="2"/>
      <c r="AD370" s="2"/>
      <c r="AE370" s="2"/>
      <c r="AF370" s="2"/>
      <c r="AG370" s="2"/>
      <c r="AH370" s="2"/>
      <c r="AI370" s="2"/>
      <c r="AJ370" s="2"/>
      <c r="AK370" s="2"/>
      <c r="AL370" s="2"/>
      <c r="AM370" s="2"/>
      <c r="AN370" s="2"/>
      <c r="AO370" s="9"/>
      <c r="AP370" s="9"/>
      <c r="AQ370" s="9"/>
      <c r="AR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224"/>
      <c r="X371" s="224"/>
      <c r="Y371" s="224"/>
      <c r="Z371" s="868"/>
      <c r="AA371" s="865"/>
      <c r="AB371" s="2"/>
      <c r="AC371" s="2"/>
      <c r="AD371" s="2"/>
      <c r="AE371" s="2"/>
      <c r="AF371" s="2"/>
      <c r="AG371" s="2"/>
      <c r="AH371" s="2"/>
      <c r="AI371" s="2"/>
      <c r="AJ371" s="2"/>
      <c r="AK371" s="2"/>
      <c r="AL371" s="2"/>
      <c r="AM371" s="2"/>
      <c r="AN371" s="2"/>
      <c r="AO371" s="9"/>
      <c r="AP371" s="9"/>
      <c r="AQ371" s="9"/>
      <c r="AR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224"/>
      <c r="X372" s="224"/>
      <c r="Y372" s="224"/>
      <c r="Z372" s="868"/>
      <c r="AA372" s="865"/>
      <c r="AB372" s="2"/>
      <c r="AC372" s="2"/>
      <c r="AD372" s="2"/>
      <c r="AE372" s="2"/>
      <c r="AF372" s="2"/>
      <c r="AG372" s="2"/>
      <c r="AH372" s="2"/>
      <c r="AI372" s="2"/>
      <c r="AJ372" s="2"/>
      <c r="AK372" s="2"/>
      <c r="AL372" s="2"/>
      <c r="AM372" s="2"/>
      <c r="AN372" s="2"/>
      <c r="AO372" s="9"/>
      <c r="AP372" s="9"/>
      <c r="AQ372" s="9"/>
      <c r="AR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224"/>
      <c r="X373" s="224"/>
      <c r="Y373" s="224"/>
      <c r="Z373" s="868"/>
      <c r="AA373" s="865"/>
      <c r="AB373" s="2"/>
      <c r="AC373" s="2"/>
      <c r="AD373" s="2"/>
      <c r="AE373" s="2"/>
      <c r="AF373" s="2"/>
      <c r="AG373" s="2"/>
      <c r="AH373" s="2"/>
      <c r="AI373" s="2"/>
      <c r="AJ373" s="2"/>
      <c r="AK373" s="2"/>
      <c r="AL373" s="2"/>
      <c r="AM373" s="2"/>
      <c r="AN373" s="2"/>
      <c r="AO373" s="9"/>
      <c r="AP373" s="9"/>
      <c r="AQ373" s="9"/>
      <c r="AR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224"/>
      <c r="X374" s="224"/>
      <c r="Y374" s="224"/>
      <c r="Z374" s="868"/>
      <c r="AA374" s="865"/>
      <c r="AB374" s="2"/>
      <c r="AC374" s="2"/>
      <c r="AD374" s="2"/>
      <c r="AE374" s="2"/>
      <c r="AF374" s="2"/>
      <c r="AG374" s="2"/>
      <c r="AH374" s="2"/>
      <c r="AI374" s="2"/>
      <c r="AJ374" s="2"/>
      <c r="AK374" s="2"/>
      <c r="AL374" s="2"/>
      <c r="AM374" s="2"/>
      <c r="AN374" s="2"/>
      <c r="AO374" s="9"/>
      <c r="AP374" s="9"/>
      <c r="AQ374" s="9"/>
      <c r="AR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224"/>
      <c r="X375" s="224"/>
      <c r="Y375" s="224"/>
      <c r="Z375" s="868"/>
      <c r="AA375" s="865"/>
      <c r="AB375" s="2"/>
      <c r="AC375" s="2"/>
      <c r="AD375" s="2"/>
      <c r="AE375" s="2"/>
      <c r="AF375" s="2"/>
      <c r="AG375" s="2"/>
      <c r="AH375" s="2"/>
      <c r="AI375" s="2"/>
      <c r="AJ375" s="2"/>
      <c r="AK375" s="2"/>
      <c r="AL375" s="2"/>
      <c r="AM375" s="2"/>
      <c r="AN375" s="2"/>
      <c r="AO375" s="9"/>
      <c r="AP375" s="9"/>
      <c r="AQ375" s="9"/>
      <c r="AR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224"/>
      <c r="X376" s="224"/>
      <c r="Y376" s="224"/>
      <c r="Z376" s="868"/>
      <c r="AA376" s="865"/>
      <c r="AB376" s="2"/>
      <c r="AC376" s="2"/>
      <c r="AD376" s="2"/>
      <c r="AE376" s="2"/>
      <c r="AF376" s="2"/>
      <c r="AG376" s="2"/>
      <c r="AH376" s="2"/>
      <c r="AI376" s="2"/>
      <c r="AJ376" s="2"/>
      <c r="AK376" s="2"/>
      <c r="AL376" s="2"/>
      <c r="AM376" s="2"/>
      <c r="AN376" s="2"/>
      <c r="AO376" s="9"/>
      <c r="AP376" s="9"/>
      <c r="AQ376" s="9"/>
      <c r="AR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224"/>
      <c r="X377" s="224"/>
      <c r="Y377" s="224"/>
      <c r="Z377" s="868"/>
      <c r="AA377" s="865"/>
      <c r="AB377" s="2"/>
      <c r="AC377" s="2"/>
      <c r="AD377" s="2"/>
      <c r="AE377" s="2"/>
      <c r="AF377" s="2"/>
      <c r="AG377" s="2"/>
      <c r="AH377" s="2"/>
      <c r="AI377" s="2"/>
      <c r="AJ377" s="2"/>
      <c r="AK377" s="2"/>
      <c r="AL377" s="2"/>
      <c r="AM377" s="2"/>
      <c r="AN377" s="2"/>
      <c r="AO377" s="9"/>
      <c r="AP377" s="9"/>
      <c r="AQ377" s="9"/>
      <c r="AR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224"/>
      <c r="X378" s="224"/>
      <c r="Y378" s="224"/>
      <c r="Z378" s="868"/>
      <c r="AA378" s="865"/>
      <c r="AB378" s="2"/>
      <c r="AC378" s="2"/>
      <c r="AD378" s="2"/>
      <c r="AE378" s="2"/>
      <c r="AF378" s="2"/>
      <c r="AG378" s="2"/>
      <c r="AH378" s="2"/>
      <c r="AI378" s="2"/>
      <c r="AJ378" s="2"/>
      <c r="AK378" s="2"/>
      <c r="AL378" s="2"/>
      <c r="AM378" s="2"/>
      <c r="AN378" s="2"/>
      <c r="AO378" s="9"/>
      <c r="AP378" s="9"/>
      <c r="AQ378" s="9"/>
      <c r="AR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224"/>
      <c r="X379" s="224"/>
      <c r="Y379" s="224"/>
      <c r="Z379" s="868"/>
      <c r="AA379" s="865"/>
      <c r="AB379" s="2"/>
      <c r="AC379" s="2"/>
      <c r="AD379" s="2"/>
      <c r="AE379" s="2"/>
      <c r="AF379" s="2"/>
      <c r="AG379" s="2"/>
      <c r="AH379" s="2"/>
      <c r="AI379" s="2"/>
      <c r="AJ379" s="2"/>
      <c r="AK379" s="2"/>
      <c r="AL379" s="2"/>
      <c r="AM379" s="2"/>
      <c r="AN379" s="2"/>
      <c r="AO379" s="9"/>
      <c r="AP379" s="9"/>
      <c r="AQ379" s="9"/>
      <c r="AR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224"/>
      <c r="X380" s="224"/>
      <c r="Y380" s="224"/>
      <c r="Z380" s="868"/>
      <c r="AA380" s="865"/>
      <c r="AB380" s="2"/>
      <c r="AC380" s="2"/>
      <c r="AD380" s="2"/>
      <c r="AE380" s="2"/>
      <c r="AF380" s="2"/>
      <c r="AG380" s="2"/>
      <c r="AH380" s="2"/>
      <c r="AI380" s="2"/>
      <c r="AJ380" s="2"/>
      <c r="AK380" s="2"/>
      <c r="AL380" s="2"/>
      <c r="AM380" s="2"/>
      <c r="AN380" s="2"/>
      <c r="AO380" s="9"/>
      <c r="AP380" s="9"/>
      <c r="AQ380" s="9"/>
      <c r="AR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224"/>
      <c r="X381" s="224"/>
      <c r="Y381" s="224"/>
      <c r="Z381" s="868"/>
      <c r="AA381" s="865"/>
      <c r="AB381" s="2"/>
      <c r="AC381" s="2"/>
      <c r="AD381" s="2"/>
      <c r="AE381" s="2"/>
      <c r="AF381" s="2"/>
      <c r="AG381" s="2"/>
      <c r="AH381" s="2"/>
      <c r="AI381" s="2"/>
      <c r="AJ381" s="2"/>
      <c r="AK381" s="2"/>
      <c r="AL381" s="2"/>
      <c r="AM381" s="2"/>
      <c r="AN381" s="2"/>
      <c r="AO381" s="9"/>
      <c r="AP381" s="9"/>
      <c r="AQ381" s="9"/>
      <c r="AR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224"/>
      <c r="X382" s="224"/>
      <c r="Y382" s="224"/>
      <c r="Z382" s="868"/>
      <c r="AA382" s="865"/>
      <c r="AB382" s="2"/>
      <c r="AC382" s="2"/>
      <c r="AD382" s="2"/>
      <c r="AE382" s="2"/>
      <c r="AF382" s="2"/>
      <c r="AG382" s="2"/>
      <c r="AH382" s="2"/>
      <c r="AI382" s="2"/>
      <c r="AJ382" s="2"/>
      <c r="AK382" s="2"/>
      <c r="AL382" s="2"/>
      <c r="AM382" s="2"/>
      <c r="AN382" s="2"/>
      <c r="AO382" s="9"/>
      <c r="AP382" s="9"/>
      <c r="AQ382" s="9"/>
      <c r="AR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224"/>
      <c r="X383" s="224"/>
      <c r="Y383" s="224"/>
      <c r="Z383" s="868"/>
      <c r="AA383" s="865"/>
      <c r="AB383" s="2"/>
      <c r="AC383" s="2"/>
      <c r="AD383" s="2"/>
      <c r="AE383" s="2"/>
      <c r="AF383" s="2"/>
      <c r="AG383" s="2"/>
      <c r="AH383" s="2"/>
      <c r="AI383" s="2"/>
      <c r="AJ383" s="2"/>
      <c r="AK383" s="2"/>
      <c r="AL383" s="2"/>
      <c r="AM383" s="2"/>
      <c r="AN383" s="2"/>
      <c r="AO383" s="9"/>
      <c r="AP383" s="9"/>
      <c r="AQ383" s="9"/>
      <c r="AR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224"/>
      <c r="X384" s="224"/>
      <c r="Y384" s="224"/>
      <c r="Z384" s="868"/>
      <c r="AA384" s="865"/>
      <c r="AB384" s="2"/>
      <c r="AC384" s="2"/>
      <c r="AD384" s="2"/>
      <c r="AE384" s="2"/>
      <c r="AF384" s="2"/>
      <c r="AG384" s="2"/>
      <c r="AH384" s="2"/>
      <c r="AI384" s="2"/>
      <c r="AJ384" s="2"/>
      <c r="AK384" s="2"/>
      <c r="AL384" s="2"/>
      <c r="AM384" s="2"/>
      <c r="AN384" s="2"/>
      <c r="AO384" s="9"/>
      <c r="AP384" s="9"/>
      <c r="AQ384" s="9"/>
      <c r="AR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224"/>
      <c r="X385" s="224"/>
      <c r="Y385" s="224"/>
      <c r="Z385" s="868"/>
      <c r="AA385" s="865"/>
      <c r="AB385" s="2"/>
      <c r="AC385" s="2"/>
      <c r="AD385" s="2"/>
      <c r="AE385" s="2"/>
      <c r="AF385" s="2"/>
      <c r="AG385" s="2"/>
      <c r="AH385" s="2"/>
      <c r="AI385" s="2"/>
      <c r="AJ385" s="2"/>
      <c r="AK385" s="2"/>
      <c r="AL385" s="2"/>
      <c r="AM385" s="2"/>
      <c r="AN385" s="2"/>
      <c r="AO385" s="9"/>
      <c r="AP385" s="9"/>
      <c r="AQ385" s="9"/>
      <c r="AR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224"/>
      <c r="X386" s="224"/>
      <c r="Y386" s="224"/>
      <c r="Z386" s="868"/>
      <c r="AA386" s="865"/>
      <c r="AB386" s="2"/>
      <c r="AC386" s="2"/>
      <c r="AD386" s="2"/>
      <c r="AE386" s="2"/>
      <c r="AF386" s="2"/>
      <c r="AG386" s="2"/>
      <c r="AH386" s="2"/>
      <c r="AI386" s="2"/>
      <c r="AJ386" s="2"/>
      <c r="AK386" s="2"/>
      <c r="AL386" s="2"/>
      <c r="AM386" s="2"/>
      <c r="AN386" s="2"/>
      <c r="AO386" s="9"/>
      <c r="AP386" s="9"/>
      <c r="AQ386" s="9"/>
      <c r="AR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224"/>
      <c r="X387" s="224"/>
      <c r="Y387" s="224"/>
      <c r="Z387" s="868"/>
      <c r="AA387" s="865"/>
      <c r="AB387" s="2"/>
      <c r="AC387" s="2"/>
      <c r="AD387" s="2"/>
      <c r="AE387" s="2"/>
      <c r="AF387" s="2"/>
      <c r="AG387" s="2"/>
      <c r="AH387" s="2"/>
      <c r="AI387" s="2"/>
      <c r="AJ387" s="2"/>
      <c r="AK387" s="2"/>
      <c r="AL387" s="2"/>
      <c r="AM387" s="2"/>
      <c r="AN387" s="2"/>
      <c r="AO387" s="9"/>
      <c r="AP387" s="9"/>
      <c r="AQ387" s="9"/>
      <c r="AR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224"/>
      <c r="X388" s="224"/>
      <c r="Y388" s="224"/>
      <c r="Z388" s="868"/>
      <c r="AA388" s="865"/>
      <c r="AB388" s="2"/>
      <c r="AC388" s="2"/>
      <c r="AD388" s="2"/>
      <c r="AE388" s="2"/>
      <c r="AF388" s="2"/>
      <c r="AG388" s="2"/>
      <c r="AH388" s="2"/>
      <c r="AI388" s="2"/>
      <c r="AJ388" s="2"/>
      <c r="AK388" s="2"/>
      <c r="AL388" s="2"/>
      <c r="AM388" s="2"/>
      <c r="AN388" s="2"/>
      <c r="AO388" s="9"/>
      <c r="AP388" s="9"/>
      <c r="AQ388" s="9"/>
      <c r="AR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224"/>
      <c r="X389" s="224"/>
      <c r="Y389" s="224"/>
      <c r="Z389" s="868"/>
      <c r="AA389" s="865"/>
      <c r="AB389" s="2"/>
      <c r="AC389" s="2"/>
      <c r="AD389" s="2"/>
      <c r="AE389" s="2"/>
      <c r="AF389" s="2"/>
      <c r="AG389" s="2"/>
      <c r="AH389" s="2"/>
      <c r="AI389" s="2"/>
      <c r="AJ389" s="2"/>
      <c r="AK389" s="2"/>
      <c r="AL389" s="2"/>
      <c r="AM389" s="2"/>
      <c r="AN389" s="2"/>
      <c r="AO389" s="9"/>
      <c r="AP389" s="9"/>
      <c r="AQ389" s="9"/>
      <c r="AR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224"/>
      <c r="X390" s="224"/>
      <c r="Y390" s="224"/>
      <c r="Z390" s="868"/>
      <c r="AA390" s="865"/>
      <c r="AB390" s="2"/>
      <c r="AC390" s="2"/>
      <c r="AD390" s="2"/>
      <c r="AE390" s="2"/>
      <c r="AF390" s="2"/>
      <c r="AG390" s="2"/>
      <c r="AH390" s="2"/>
      <c r="AI390" s="2"/>
      <c r="AJ390" s="2"/>
      <c r="AK390" s="2"/>
      <c r="AL390" s="2"/>
      <c r="AM390" s="2"/>
      <c r="AN390" s="2"/>
      <c r="AO390" s="9"/>
      <c r="AP390" s="9"/>
      <c r="AQ390" s="9"/>
      <c r="AR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224"/>
      <c r="X391" s="224"/>
      <c r="Y391" s="224"/>
      <c r="Z391" s="868"/>
      <c r="AA391" s="865"/>
      <c r="AB391" s="2"/>
      <c r="AC391" s="2"/>
      <c r="AD391" s="2"/>
      <c r="AE391" s="2"/>
      <c r="AF391" s="2"/>
      <c r="AG391" s="2"/>
      <c r="AH391" s="2"/>
      <c r="AI391" s="2"/>
      <c r="AJ391" s="2"/>
      <c r="AK391" s="2"/>
      <c r="AL391" s="2"/>
      <c r="AM391" s="2"/>
      <c r="AN391" s="2"/>
      <c r="AO391" s="9"/>
      <c r="AP391" s="9"/>
      <c r="AQ391" s="9"/>
      <c r="AR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224"/>
      <c r="X392" s="224"/>
      <c r="Y392" s="224"/>
      <c r="Z392" s="868"/>
      <c r="AA392" s="865"/>
      <c r="AB392" s="2"/>
      <c r="AC392" s="2"/>
      <c r="AD392" s="2"/>
      <c r="AE392" s="2"/>
      <c r="AF392" s="2"/>
      <c r="AG392" s="2"/>
      <c r="AH392" s="2"/>
      <c r="AI392" s="2"/>
      <c r="AJ392" s="2"/>
      <c r="AK392" s="2"/>
      <c r="AL392" s="2"/>
      <c r="AM392" s="2"/>
      <c r="AN392" s="2"/>
      <c r="AO392" s="9"/>
      <c r="AP392" s="9"/>
      <c r="AQ392" s="9"/>
      <c r="AR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224"/>
      <c r="X393" s="224"/>
      <c r="Y393" s="224"/>
      <c r="Z393" s="868"/>
      <c r="AA393" s="865"/>
      <c r="AB393" s="2"/>
      <c r="AC393" s="2"/>
      <c r="AD393" s="2"/>
      <c r="AE393" s="2"/>
      <c r="AF393" s="2"/>
      <c r="AG393" s="2"/>
      <c r="AH393" s="2"/>
      <c r="AI393" s="2"/>
      <c r="AJ393" s="2"/>
      <c r="AK393" s="2"/>
      <c r="AL393" s="2"/>
      <c r="AM393" s="2"/>
      <c r="AN393" s="2"/>
      <c r="AO393" s="9"/>
      <c r="AP393" s="9"/>
      <c r="AQ393" s="9"/>
      <c r="AR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224"/>
      <c r="X394" s="224"/>
      <c r="Y394" s="224"/>
      <c r="Z394" s="868"/>
      <c r="AA394" s="865"/>
      <c r="AB394" s="2"/>
      <c r="AC394" s="2"/>
      <c r="AD394" s="2"/>
      <c r="AE394" s="2"/>
      <c r="AF394" s="2"/>
      <c r="AG394" s="2"/>
      <c r="AH394" s="2"/>
      <c r="AI394" s="2"/>
      <c r="AJ394" s="2"/>
      <c r="AK394" s="2"/>
      <c r="AL394" s="2"/>
      <c r="AM394" s="2"/>
      <c r="AN394" s="2"/>
      <c r="AO394" s="9"/>
      <c r="AP394" s="9"/>
      <c r="AQ394" s="9"/>
      <c r="AR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224"/>
      <c r="X395" s="224"/>
      <c r="Y395" s="224"/>
      <c r="Z395" s="868"/>
      <c r="AA395" s="865"/>
      <c r="AB395" s="2"/>
      <c r="AC395" s="2"/>
      <c r="AD395" s="2"/>
      <c r="AE395" s="2"/>
      <c r="AF395" s="2"/>
      <c r="AG395" s="2"/>
      <c r="AH395" s="2"/>
      <c r="AI395" s="2"/>
      <c r="AJ395" s="2"/>
      <c r="AK395" s="2"/>
      <c r="AL395" s="2"/>
      <c r="AM395" s="2"/>
      <c r="AN395" s="2"/>
      <c r="AO395" s="9"/>
      <c r="AP395" s="9"/>
      <c r="AQ395" s="9"/>
      <c r="AR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224"/>
      <c r="X396" s="224"/>
      <c r="Y396" s="224"/>
      <c r="Z396" s="868"/>
      <c r="AA396" s="865"/>
      <c r="AB396" s="2"/>
      <c r="AC396" s="2"/>
      <c r="AD396" s="2"/>
      <c r="AE396" s="2"/>
      <c r="AF396" s="2"/>
      <c r="AG396" s="2"/>
      <c r="AH396" s="2"/>
      <c r="AI396" s="2"/>
      <c r="AJ396" s="2"/>
      <c r="AK396" s="2"/>
      <c r="AL396" s="2"/>
      <c r="AM396" s="2"/>
      <c r="AN396" s="2"/>
      <c r="AO396" s="9"/>
      <c r="AP396" s="9"/>
      <c r="AQ396" s="9"/>
      <c r="AR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224"/>
      <c r="X397" s="224"/>
      <c r="Y397" s="224"/>
      <c r="Z397" s="868"/>
      <c r="AA397" s="865"/>
      <c r="AB397" s="2"/>
      <c r="AC397" s="2"/>
      <c r="AD397" s="2"/>
      <c r="AE397" s="2"/>
      <c r="AF397" s="2"/>
      <c r="AG397" s="2"/>
      <c r="AH397" s="2"/>
      <c r="AI397" s="2"/>
      <c r="AJ397" s="2"/>
      <c r="AK397" s="2"/>
      <c r="AL397" s="2"/>
      <c r="AM397" s="2"/>
      <c r="AN397" s="2"/>
      <c r="AO397" s="9"/>
      <c r="AP397" s="9"/>
      <c r="AQ397" s="9"/>
      <c r="AR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224"/>
      <c r="X398" s="224"/>
      <c r="Y398" s="224"/>
      <c r="Z398" s="868"/>
      <c r="AA398" s="865"/>
      <c r="AB398" s="2"/>
      <c r="AC398" s="2"/>
      <c r="AD398" s="2"/>
      <c r="AE398" s="2"/>
      <c r="AF398" s="2"/>
      <c r="AG398" s="2"/>
      <c r="AH398" s="2"/>
      <c r="AI398" s="2"/>
      <c r="AJ398" s="2"/>
      <c r="AK398" s="2"/>
      <c r="AL398" s="2"/>
      <c r="AM398" s="2"/>
      <c r="AN398" s="2"/>
      <c r="AO398" s="9"/>
      <c r="AP398" s="9"/>
      <c r="AQ398" s="9"/>
      <c r="AR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224"/>
      <c r="X399" s="224"/>
      <c r="Y399" s="224"/>
      <c r="Z399" s="868"/>
      <c r="AA399" s="865"/>
      <c r="AB399" s="2"/>
      <c r="AC399" s="2"/>
      <c r="AD399" s="2"/>
      <c r="AE399" s="2"/>
      <c r="AF399" s="2"/>
      <c r="AG399" s="2"/>
      <c r="AH399" s="2"/>
      <c r="AI399" s="2"/>
      <c r="AJ399" s="2"/>
      <c r="AK399" s="2"/>
      <c r="AL399" s="2"/>
      <c r="AM399" s="2"/>
      <c r="AN399" s="2"/>
      <c r="AO399" s="9"/>
      <c r="AP399" s="9"/>
      <c r="AQ399" s="9"/>
      <c r="AR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224"/>
      <c r="X400" s="224"/>
      <c r="Y400" s="224"/>
      <c r="Z400" s="868"/>
      <c r="AA400" s="865"/>
      <c r="AB400" s="2"/>
      <c r="AC400" s="2"/>
      <c r="AD400" s="2"/>
      <c r="AE400" s="2"/>
      <c r="AF400" s="2"/>
      <c r="AG400" s="2"/>
      <c r="AH400" s="2"/>
      <c r="AI400" s="2"/>
      <c r="AJ400" s="2"/>
      <c r="AK400" s="2"/>
      <c r="AL400" s="2"/>
      <c r="AM400" s="2"/>
      <c r="AN400" s="2"/>
      <c r="AO400" s="9"/>
      <c r="AP400" s="9"/>
      <c r="AQ400" s="9"/>
      <c r="AR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224"/>
      <c r="X401" s="224"/>
      <c r="Y401" s="224"/>
      <c r="Z401" s="868"/>
      <c r="AA401" s="865"/>
      <c r="AB401" s="2"/>
      <c r="AC401" s="2"/>
      <c r="AD401" s="2"/>
      <c r="AE401" s="2"/>
      <c r="AF401" s="2"/>
      <c r="AG401" s="2"/>
      <c r="AH401" s="2"/>
      <c r="AI401" s="2"/>
      <c r="AJ401" s="2"/>
      <c r="AK401" s="2"/>
      <c r="AL401" s="2"/>
      <c r="AM401" s="2"/>
      <c r="AN401" s="2"/>
      <c r="AO401" s="9"/>
      <c r="AP401" s="9"/>
      <c r="AQ401" s="9"/>
      <c r="AR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224"/>
      <c r="X402" s="224"/>
      <c r="Y402" s="224"/>
      <c r="Z402" s="868"/>
      <c r="AA402" s="865"/>
      <c r="AB402" s="2"/>
      <c r="AC402" s="2"/>
      <c r="AD402" s="2"/>
      <c r="AE402" s="2"/>
      <c r="AF402" s="2"/>
      <c r="AG402" s="2"/>
      <c r="AH402" s="2"/>
      <c r="AI402" s="2"/>
      <c r="AJ402" s="2"/>
      <c r="AK402" s="2"/>
      <c r="AL402" s="2"/>
      <c r="AM402" s="2"/>
      <c r="AN402" s="2"/>
      <c r="AO402" s="9"/>
      <c r="AP402" s="9"/>
      <c r="AQ402" s="9"/>
      <c r="AR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224"/>
      <c r="X403" s="224"/>
      <c r="Y403" s="224"/>
      <c r="Z403" s="868"/>
      <c r="AA403" s="865"/>
      <c r="AB403" s="2"/>
      <c r="AC403" s="2"/>
      <c r="AD403" s="2"/>
      <c r="AE403" s="2"/>
      <c r="AF403" s="2"/>
      <c r="AG403" s="2"/>
      <c r="AH403" s="2"/>
      <c r="AI403" s="2"/>
      <c r="AJ403" s="2"/>
      <c r="AK403" s="2"/>
      <c r="AL403" s="2"/>
      <c r="AM403" s="2"/>
      <c r="AN403" s="2"/>
      <c r="AO403" s="9"/>
      <c r="AP403" s="9"/>
      <c r="AQ403" s="9"/>
      <c r="AR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224"/>
      <c r="X404" s="224"/>
      <c r="Y404" s="224"/>
      <c r="Z404" s="868"/>
      <c r="AA404" s="865"/>
      <c r="AB404" s="2"/>
      <c r="AC404" s="2"/>
      <c r="AD404" s="2"/>
      <c r="AE404" s="2"/>
      <c r="AF404" s="2"/>
      <c r="AG404" s="2"/>
      <c r="AH404" s="2"/>
      <c r="AI404" s="2"/>
      <c r="AJ404" s="2"/>
      <c r="AK404" s="2"/>
      <c r="AL404" s="2"/>
      <c r="AM404" s="2"/>
      <c r="AN404" s="2"/>
      <c r="AO404" s="9"/>
      <c r="AP404" s="9"/>
      <c r="AQ404" s="9"/>
      <c r="AR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224"/>
      <c r="X405" s="224"/>
      <c r="Y405" s="224"/>
      <c r="Z405" s="868"/>
      <c r="AA405" s="865"/>
      <c r="AB405" s="2"/>
      <c r="AC405" s="2"/>
      <c r="AD405" s="2"/>
      <c r="AE405" s="2"/>
      <c r="AF405" s="2"/>
      <c r="AG405" s="2"/>
      <c r="AH405" s="2"/>
      <c r="AI405" s="2"/>
      <c r="AJ405" s="2"/>
      <c r="AK405" s="2"/>
      <c r="AL405" s="2"/>
      <c r="AM405" s="2"/>
      <c r="AN405" s="2"/>
      <c r="AO405" s="9"/>
      <c r="AP405" s="9"/>
      <c r="AQ405" s="9"/>
      <c r="AR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224"/>
      <c r="X406" s="224"/>
      <c r="Y406" s="224"/>
      <c r="Z406" s="868"/>
      <c r="AA406" s="865"/>
      <c r="AB406" s="2"/>
      <c r="AC406" s="2"/>
      <c r="AD406" s="2"/>
      <c r="AE406" s="2"/>
      <c r="AF406" s="2"/>
      <c r="AG406" s="2"/>
      <c r="AH406" s="2"/>
      <c r="AI406" s="2"/>
      <c r="AJ406" s="2"/>
      <c r="AK406" s="2"/>
      <c r="AL406" s="2"/>
      <c r="AM406" s="2"/>
      <c r="AN406" s="2"/>
      <c r="AO406" s="9"/>
      <c r="AP406" s="9"/>
      <c r="AQ406" s="9"/>
      <c r="AR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224"/>
      <c r="X407" s="224"/>
      <c r="Y407" s="224"/>
      <c r="Z407" s="868"/>
      <c r="AA407" s="865"/>
      <c r="AB407" s="2"/>
      <c r="AC407" s="2"/>
      <c r="AD407" s="2"/>
      <c r="AE407" s="2"/>
      <c r="AF407" s="2"/>
      <c r="AG407" s="2"/>
      <c r="AH407" s="2"/>
      <c r="AI407" s="2"/>
      <c r="AJ407" s="2"/>
      <c r="AK407" s="2"/>
      <c r="AL407" s="2"/>
      <c r="AM407" s="2"/>
      <c r="AN407" s="2"/>
      <c r="AO407" s="9"/>
      <c r="AP407" s="9"/>
      <c r="AQ407" s="9"/>
      <c r="AR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224"/>
      <c r="X408" s="224"/>
      <c r="Y408" s="224"/>
      <c r="Z408" s="868"/>
      <c r="AA408" s="865"/>
      <c r="AB408" s="2"/>
      <c r="AC408" s="2"/>
      <c r="AD408" s="2"/>
      <c r="AE408" s="2"/>
      <c r="AF408" s="2"/>
      <c r="AG408" s="2"/>
      <c r="AH408" s="2"/>
      <c r="AI408" s="2"/>
      <c r="AJ408" s="2"/>
      <c r="AK408" s="2"/>
      <c r="AL408" s="2"/>
      <c r="AM408" s="2"/>
      <c r="AN408" s="2"/>
      <c r="AO408" s="9"/>
      <c r="AP408" s="9"/>
      <c r="AQ408" s="9"/>
      <c r="AR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224"/>
      <c r="X409" s="224"/>
      <c r="Y409" s="224"/>
      <c r="Z409" s="868"/>
      <c r="AA409" s="865"/>
      <c r="AB409" s="2"/>
      <c r="AC409" s="2"/>
      <c r="AD409" s="2"/>
      <c r="AE409" s="2"/>
      <c r="AF409" s="2"/>
      <c r="AG409" s="2"/>
      <c r="AH409" s="2"/>
      <c r="AI409" s="2"/>
      <c r="AJ409" s="2"/>
      <c r="AK409" s="2"/>
      <c r="AL409" s="2"/>
      <c r="AM409" s="2"/>
      <c r="AN409" s="2"/>
      <c r="AO409" s="9"/>
      <c r="AP409" s="9"/>
      <c r="AQ409" s="9"/>
      <c r="AR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224"/>
      <c r="X410" s="224"/>
      <c r="Y410" s="224"/>
      <c r="Z410" s="868"/>
      <c r="AA410" s="865"/>
      <c r="AB410" s="2"/>
      <c r="AC410" s="2"/>
      <c r="AD410" s="2"/>
      <c r="AE410" s="2"/>
      <c r="AF410" s="2"/>
      <c r="AG410" s="2"/>
      <c r="AH410" s="2"/>
      <c r="AI410" s="2"/>
      <c r="AJ410" s="2"/>
      <c r="AK410" s="2"/>
      <c r="AL410" s="2"/>
      <c r="AM410" s="2"/>
      <c r="AN410" s="2"/>
      <c r="AO410" s="9"/>
      <c r="AP410" s="9"/>
      <c r="AQ410" s="9"/>
      <c r="AR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224"/>
      <c r="X411" s="224"/>
      <c r="Y411" s="224"/>
      <c r="Z411" s="868"/>
      <c r="AA411" s="865"/>
      <c r="AB411" s="2"/>
      <c r="AC411" s="2"/>
      <c r="AD411" s="2"/>
      <c r="AE411" s="2"/>
      <c r="AF411" s="2"/>
      <c r="AG411" s="2"/>
      <c r="AH411" s="2"/>
      <c r="AI411" s="2"/>
      <c r="AJ411" s="2"/>
      <c r="AK411" s="2"/>
      <c r="AL411" s="2"/>
      <c r="AM411" s="2"/>
      <c r="AN411" s="2"/>
      <c r="AO411" s="9"/>
      <c r="AP411" s="9"/>
      <c r="AQ411" s="9"/>
      <c r="AR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224"/>
      <c r="X412" s="224"/>
      <c r="Y412" s="224"/>
      <c r="Z412" s="868"/>
      <c r="AA412" s="865"/>
      <c r="AB412" s="2"/>
      <c r="AC412" s="2"/>
      <c r="AD412" s="2"/>
      <c r="AE412" s="2"/>
      <c r="AF412" s="2"/>
      <c r="AG412" s="2"/>
      <c r="AH412" s="2"/>
      <c r="AI412" s="2"/>
      <c r="AJ412" s="2"/>
      <c r="AK412" s="2"/>
      <c r="AL412" s="2"/>
      <c r="AM412" s="2"/>
      <c r="AN412" s="2"/>
      <c r="AO412" s="9"/>
      <c r="AP412" s="9"/>
      <c r="AQ412" s="9"/>
      <c r="AR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224"/>
      <c r="X413" s="224"/>
      <c r="Y413" s="224"/>
      <c r="Z413" s="868"/>
      <c r="AA413" s="865"/>
      <c r="AB413" s="2"/>
      <c r="AC413" s="2"/>
      <c r="AD413" s="2"/>
      <c r="AE413" s="2"/>
      <c r="AF413" s="2"/>
      <c r="AG413" s="2"/>
      <c r="AH413" s="2"/>
      <c r="AI413" s="2"/>
      <c r="AJ413" s="2"/>
      <c r="AK413" s="2"/>
      <c r="AL413" s="2"/>
      <c r="AM413" s="2"/>
      <c r="AN413" s="2"/>
      <c r="AO413" s="9"/>
      <c r="AP413" s="9"/>
      <c r="AQ413" s="9"/>
      <c r="AR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224"/>
      <c r="X414" s="224"/>
      <c r="Y414" s="224"/>
      <c r="Z414" s="868"/>
      <c r="AA414" s="865"/>
      <c r="AB414" s="2"/>
      <c r="AC414" s="2"/>
      <c r="AD414" s="2"/>
      <c r="AE414" s="2"/>
      <c r="AF414" s="2"/>
      <c r="AG414" s="2"/>
      <c r="AH414" s="2"/>
      <c r="AI414" s="2"/>
      <c r="AJ414" s="2"/>
      <c r="AK414" s="2"/>
      <c r="AL414" s="2"/>
      <c r="AM414" s="2"/>
      <c r="AN414" s="2"/>
      <c r="AO414" s="9"/>
      <c r="AP414" s="9"/>
      <c r="AQ414" s="9"/>
      <c r="AR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224"/>
      <c r="X415" s="224"/>
      <c r="Y415" s="224"/>
      <c r="Z415" s="868"/>
      <c r="AA415" s="865"/>
      <c r="AB415" s="2"/>
      <c r="AC415" s="2"/>
      <c r="AD415" s="2"/>
      <c r="AE415" s="2"/>
      <c r="AF415" s="2"/>
      <c r="AG415" s="2"/>
      <c r="AH415" s="2"/>
      <c r="AI415" s="2"/>
      <c r="AJ415" s="2"/>
      <c r="AK415" s="2"/>
      <c r="AL415" s="2"/>
      <c r="AM415" s="2"/>
      <c r="AN415" s="2"/>
      <c r="AO415" s="9"/>
      <c r="AP415" s="9"/>
      <c r="AQ415" s="9"/>
      <c r="AR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224"/>
      <c r="X416" s="224"/>
      <c r="Y416" s="224"/>
      <c r="Z416" s="868"/>
      <c r="AA416" s="865"/>
      <c r="AB416" s="2"/>
      <c r="AC416" s="2"/>
      <c r="AD416" s="2"/>
      <c r="AE416" s="2"/>
      <c r="AF416" s="2"/>
      <c r="AG416" s="2"/>
      <c r="AH416" s="2"/>
      <c r="AI416" s="2"/>
      <c r="AJ416" s="2"/>
      <c r="AK416" s="2"/>
      <c r="AL416" s="2"/>
      <c r="AM416" s="2"/>
      <c r="AN416" s="2"/>
      <c r="AO416" s="9"/>
      <c r="AP416" s="9"/>
      <c r="AQ416" s="9"/>
      <c r="AR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224"/>
      <c r="X417" s="224"/>
      <c r="Y417" s="224"/>
      <c r="Z417" s="868"/>
      <c r="AA417" s="865"/>
      <c r="AB417" s="2"/>
      <c r="AC417" s="2"/>
      <c r="AD417" s="2"/>
      <c r="AE417" s="2"/>
      <c r="AF417" s="2"/>
      <c r="AG417" s="2"/>
      <c r="AH417" s="2"/>
      <c r="AI417" s="2"/>
      <c r="AJ417" s="2"/>
      <c r="AK417" s="2"/>
      <c r="AL417" s="2"/>
      <c r="AM417" s="2"/>
      <c r="AN417" s="2"/>
      <c r="AO417" s="9"/>
      <c r="AP417" s="9"/>
      <c r="AQ417" s="9"/>
      <c r="AR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224"/>
      <c r="X418" s="224"/>
      <c r="Y418" s="224"/>
      <c r="Z418" s="868"/>
      <c r="AA418" s="865"/>
      <c r="AB418" s="2"/>
      <c r="AC418" s="2"/>
      <c r="AD418" s="2"/>
      <c r="AE418" s="2"/>
      <c r="AF418" s="2"/>
      <c r="AG418" s="2"/>
      <c r="AH418" s="2"/>
      <c r="AI418" s="2"/>
      <c r="AJ418" s="2"/>
      <c r="AK418" s="2"/>
      <c r="AL418" s="2"/>
      <c r="AM418" s="2"/>
      <c r="AN418" s="2"/>
      <c r="AO418" s="9"/>
      <c r="AP418" s="9"/>
      <c r="AQ418" s="9"/>
      <c r="AR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224"/>
      <c r="X419" s="224"/>
      <c r="Y419" s="224"/>
      <c r="Z419" s="868"/>
      <c r="AA419" s="865"/>
      <c r="AB419" s="2"/>
      <c r="AC419" s="2"/>
      <c r="AD419" s="2"/>
      <c r="AE419" s="2"/>
      <c r="AF419" s="2"/>
      <c r="AG419" s="2"/>
      <c r="AH419" s="2"/>
      <c r="AI419" s="2"/>
      <c r="AJ419" s="2"/>
      <c r="AK419" s="2"/>
      <c r="AL419" s="2"/>
      <c r="AM419" s="2"/>
      <c r="AN419" s="2"/>
      <c r="AO419" s="9"/>
      <c r="AP419" s="9"/>
      <c r="AQ419" s="9"/>
      <c r="AR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224"/>
      <c r="X420" s="224"/>
      <c r="Y420" s="224"/>
      <c r="Z420" s="868"/>
      <c r="AA420" s="865"/>
      <c r="AB420" s="2"/>
      <c r="AC420" s="2"/>
      <c r="AD420" s="2"/>
      <c r="AE420" s="2"/>
      <c r="AF420" s="2"/>
      <c r="AG420" s="2"/>
      <c r="AH420" s="2"/>
      <c r="AI420" s="2"/>
      <c r="AJ420" s="2"/>
      <c r="AK420" s="2"/>
      <c r="AL420" s="2"/>
      <c r="AM420" s="2"/>
      <c r="AN420" s="2"/>
      <c r="AO420" s="9"/>
      <c r="AP420" s="9"/>
      <c r="AQ420" s="9"/>
      <c r="AR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224"/>
      <c r="X421" s="224"/>
      <c r="Y421" s="224"/>
      <c r="Z421" s="868"/>
      <c r="AA421" s="865"/>
      <c r="AB421" s="2"/>
      <c r="AC421" s="2"/>
      <c r="AD421" s="2"/>
      <c r="AE421" s="2"/>
      <c r="AF421" s="2"/>
      <c r="AG421" s="2"/>
      <c r="AH421" s="2"/>
      <c r="AI421" s="2"/>
      <c r="AJ421" s="2"/>
      <c r="AK421" s="2"/>
      <c r="AL421" s="2"/>
      <c r="AM421" s="2"/>
      <c r="AN421" s="2"/>
      <c r="AO421" s="9"/>
      <c r="AP421" s="9"/>
      <c r="AQ421" s="9"/>
      <c r="AR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224"/>
      <c r="X422" s="224"/>
      <c r="Y422" s="224"/>
      <c r="Z422" s="868"/>
      <c r="AA422" s="865"/>
      <c r="AB422" s="2"/>
      <c r="AC422" s="2"/>
      <c r="AD422" s="2"/>
      <c r="AE422" s="2"/>
      <c r="AF422" s="2"/>
      <c r="AG422" s="2"/>
      <c r="AH422" s="2"/>
      <c r="AI422" s="2"/>
      <c r="AJ422" s="2"/>
      <c r="AK422" s="2"/>
      <c r="AL422" s="2"/>
      <c r="AM422" s="2"/>
      <c r="AN422" s="2"/>
      <c r="AO422" s="9"/>
      <c r="AP422" s="9"/>
      <c r="AQ422" s="9"/>
      <c r="AR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224"/>
      <c r="X423" s="224"/>
      <c r="Y423" s="224"/>
      <c r="Z423" s="868"/>
      <c r="AA423" s="865"/>
      <c r="AB423" s="2"/>
      <c r="AC423" s="2"/>
      <c r="AD423" s="2"/>
      <c r="AE423" s="2"/>
      <c r="AF423" s="2"/>
      <c r="AG423" s="2"/>
      <c r="AH423" s="2"/>
      <c r="AI423" s="2"/>
      <c r="AJ423" s="2"/>
      <c r="AK423" s="2"/>
      <c r="AL423" s="2"/>
      <c r="AM423" s="2"/>
      <c r="AN423" s="2"/>
      <c r="AO423" s="9"/>
      <c r="AP423" s="9"/>
      <c r="AQ423" s="9"/>
      <c r="AR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224"/>
      <c r="X424" s="224"/>
      <c r="Y424" s="224"/>
      <c r="Z424" s="868"/>
      <c r="AA424" s="865"/>
      <c r="AB424" s="2"/>
      <c r="AC424" s="2"/>
      <c r="AD424" s="2"/>
      <c r="AE424" s="2"/>
      <c r="AF424" s="2"/>
      <c r="AG424" s="2"/>
      <c r="AH424" s="2"/>
      <c r="AI424" s="2"/>
      <c r="AJ424" s="2"/>
      <c r="AK424" s="2"/>
      <c r="AL424" s="2"/>
      <c r="AM424" s="2"/>
      <c r="AN424" s="2"/>
      <c r="AO424" s="9"/>
      <c r="AP424" s="9"/>
      <c r="AQ424" s="9"/>
      <c r="AR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224"/>
      <c r="X425" s="224"/>
      <c r="Y425" s="224"/>
      <c r="Z425" s="868"/>
      <c r="AA425" s="865"/>
      <c r="AB425" s="2"/>
      <c r="AC425" s="2"/>
      <c r="AD425" s="2"/>
      <c r="AE425" s="2"/>
      <c r="AF425" s="2"/>
      <c r="AG425" s="2"/>
      <c r="AH425" s="2"/>
      <c r="AI425" s="2"/>
      <c r="AJ425" s="2"/>
      <c r="AK425" s="2"/>
      <c r="AL425" s="2"/>
      <c r="AM425" s="2"/>
      <c r="AN425" s="2"/>
      <c r="AO425" s="9"/>
      <c r="AP425" s="9"/>
      <c r="AQ425" s="9"/>
      <c r="AR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224"/>
      <c r="X426" s="224"/>
      <c r="Y426" s="224"/>
      <c r="Z426" s="868"/>
      <c r="AA426" s="865"/>
      <c r="AB426" s="2"/>
      <c r="AC426" s="2"/>
      <c r="AD426" s="2"/>
      <c r="AE426" s="2"/>
      <c r="AF426" s="2"/>
      <c r="AG426" s="2"/>
      <c r="AH426" s="2"/>
      <c r="AI426" s="2"/>
      <c r="AJ426" s="2"/>
      <c r="AK426" s="2"/>
      <c r="AL426" s="2"/>
      <c r="AM426" s="2"/>
      <c r="AN426" s="2"/>
      <c r="AO426" s="9"/>
      <c r="AP426" s="9"/>
      <c r="AQ426" s="9"/>
      <c r="AR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224"/>
      <c r="X427" s="224"/>
      <c r="Y427" s="224"/>
      <c r="Z427" s="868"/>
      <c r="AA427" s="865"/>
      <c r="AB427" s="2"/>
      <c r="AC427" s="2"/>
      <c r="AD427" s="2"/>
      <c r="AE427" s="2"/>
      <c r="AF427" s="2"/>
      <c r="AG427" s="2"/>
      <c r="AH427" s="2"/>
      <c r="AI427" s="2"/>
      <c r="AJ427" s="2"/>
      <c r="AK427" s="2"/>
      <c r="AL427" s="2"/>
      <c r="AM427" s="2"/>
      <c r="AN427" s="2"/>
      <c r="AO427" s="9"/>
      <c r="AP427" s="9"/>
      <c r="AQ427" s="9"/>
      <c r="AR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224"/>
      <c r="X428" s="224"/>
      <c r="Y428" s="224"/>
      <c r="Z428" s="868"/>
      <c r="AA428" s="865"/>
      <c r="AB428" s="2"/>
      <c r="AC428" s="2"/>
      <c r="AD428" s="2"/>
      <c r="AE428" s="2"/>
      <c r="AF428" s="2"/>
      <c r="AG428" s="2"/>
      <c r="AH428" s="2"/>
      <c r="AI428" s="2"/>
      <c r="AJ428" s="2"/>
      <c r="AK428" s="2"/>
      <c r="AL428" s="2"/>
      <c r="AM428" s="2"/>
      <c r="AN428" s="2"/>
      <c r="AO428" s="9"/>
      <c r="AP428" s="9"/>
      <c r="AQ428" s="9"/>
      <c r="AR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224"/>
      <c r="X429" s="224"/>
      <c r="Y429" s="224"/>
      <c r="Z429" s="868"/>
      <c r="AA429" s="865"/>
      <c r="AB429" s="2"/>
      <c r="AC429" s="2"/>
      <c r="AD429" s="2"/>
      <c r="AE429" s="2"/>
      <c r="AF429" s="2"/>
      <c r="AG429" s="2"/>
      <c r="AH429" s="2"/>
      <c r="AI429" s="2"/>
      <c r="AJ429" s="2"/>
      <c r="AK429" s="2"/>
      <c r="AL429" s="2"/>
      <c r="AM429" s="2"/>
      <c r="AN429" s="2"/>
      <c r="AO429" s="9"/>
      <c r="AP429" s="9"/>
      <c r="AQ429" s="9"/>
      <c r="AR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224"/>
      <c r="X430" s="224"/>
      <c r="Y430" s="224"/>
      <c r="Z430" s="868"/>
      <c r="AA430" s="865"/>
      <c r="AB430" s="2"/>
      <c r="AC430" s="2"/>
      <c r="AD430" s="2"/>
      <c r="AE430" s="2"/>
      <c r="AF430" s="2"/>
      <c r="AG430" s="2"/>
      <c r="AH430" s="2"/>
      <c r="AI430" s="2"/>
      <c r="AJ430" s="2"/>
      <c r="AK430" s="2"/>
      <c r="AL430" s="2"/>
      <c r="AM430" s="2"/>
      <c r="AN430" s="2"/>
      <c r="AO430" s="9"/>
      <c r="AP430" s="9"/>
      <c r="AQ430" s="9"/>
      <c r="AR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224"/>
      <c r="X431" s="224"/>
      <c r="Y431" s="224"/>
      <c r="Z431" s="868"/>
      <c r="AA431" s="865"/>
      <c r="AB431" s="2"/>
      <c r="AC431" s="2"/>
      <c r="AD431" s="2"/>
      <c r="AE431" s="2"/>
      <c r="AF431" s="2"/>
      <c r="AG431" s="2"/>
      <c r="AH431" s="2"/>
      <c r="AI431" s="2"/>
      <c r="AJ431" s="2"/>
      <c r="AK431" s="2"/>
      <c r="AL431" s="2"/>
      <c r="AM431" s="2"/>
      <c r="AN431" s="2"/>
      <c r="AO431" s="9"/>
      <c r="AP431" s="9"/>
      <c r="AQ431" s="9"/>
      <c r="AR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224"/>
      <c r="X432" s="224"/>
      <c r="Y432" s="224"/>
      <c r="Z432" s="868"/>
      <c r="AA432" s="865"/>
      <c r="AB432" s="2"/>
      <c r="AC432" s="2"/>
      <c r="AD432" s="2"/>
      <c r="AE432" s="2"/>
      <c r="AF432" s="2"/>
      <c r="AG432" s="2"/>
      <c r="AH432" s="2"/>
      <c r="AI432" s="2"/>
      <c r="AJ432" s="2"/>
      <c r="AK432" s="2"/>
      <c r="AL432" s="2"/>
      <c r="AM432" s="2"/>
      <c r="AN432" s="2"/>
      <c r="AO432" s="9"/>
      <c r="AP432" s="9"/>
      <c r="AQ432" s="9"/>
      <c r="AR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224"/>
      <c r="X433" s="224"/>
      <c r="Y433" s="224"/>
      <c r="Z433" s="868"/>
      <c r="AA433" s="865"/>
      <c r="AB433" s="2"/>
      <c r="AC433" s="2"/>
      <c r="AD433" s="2"/>
      <c r="AE433" s="2"/>
      <c r="AF433" s="2"/>
      <c r="AG433" s="2"/>
      <c r="AH433" s="2"/>
      <c r="AI433" s="2"/>
      <c r="AJ433" s="2"/>
      <c r="AK433" s="2"/>
      <c r="AL433" s="2"/>
      <c r="AM433" s="2"/>
      <c r="AN433" s="2"/>
      <c r="AO433" s="9"/>
      <c r="AP433" s="9"/>
      <c r="AQ433" s="9"/>
      <c r="AR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224"/>
      <c r="X434" s="224"/>
      <c r="Y434" s="224"/>
      <c r="Z434" s="868"/>
      <c r="AA434" s="865"/>
      <c r="AB434" s="2"/>
      <c r="AC434" s="2"/>
      <c r="AD434" s="2"/>
      <c r="AE434" s="2"/>
      <c r="AF434" s="2"/>
      <c r="AG434" s="2"/>
      <c r="AH434" s="2"/>
      <c r="AI434" s="2"/>
      <c r="AJ434" s="2"/>
      <c r="AK434" s="2"/>
      <c r="AL434" s="2"/>
      <c r="AM434" s="2"/>
      <c r="AN434" s="2"/>
      <c r="AO434" s="9"/>
      <c r="AP434" s="9"/>
      <c r="AQ434" s="9"/>
      <c r="AR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224"/>
      <c r="X435" s="224"/>
      <c r="Y435" s="224"/>
      <c r="Z435" s="868"/>
      <c r="AA435" s="865"/>
      <c r="AB435" s="2"/>
      <c r="AC435" s="2"/>
      <c r="AD435" s="2"/>
      <c r="AE435" s="2"/>
      <c r="AF435" s="2"/>
      <c r="AG435" s="2"/>
      <c r="AH435" s="2"/>
      <c r="AI435" s="2"/>
      <c r="AJ435" s="2"/>
      <c r="AK435" s="2"/>
      <c r="AL435" s="2"/>
      <c r="AM435" s="2"/>
      <c r="AN435" s="2"/>
      <c r="AO435" s="9"/>
      <c r="AP435" s="9"/>
      <c r="AQ435" s="9"/>
      <c r="AR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224"/>
      <c r="X436" s="224"/>
      <c r="Y436" s="224"/>
      <c r="Z436" s="868"/>
      <c r="AA436" s="865"/>
      <c r="AB436" s="2"/>
      <c r="AC436" s="2"/>
      <c r="AD436" s="2"/>
      <c r="AE436" s="2"/>
      <c r="AF436" s="2"/>
      <c r="AG436" s="2"/>
      <c r="AH436" s="2"/>
      <c r="AI436" s="2"/>
      <c r="AJ436" s="2"/>
      <c r="AK436" s="2"/>
      <c r="AL436" s="2"/>
      <c r="AM436" s="2"/>
      <c r="AN436" s="2"/>
      <c r="AO436" s="9"/>
      <c r="AP436" s="9"/>
      <c r="AQ436" s="9"/>
      <c r="AR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224"/>
      <c r="X437" s="224"/>
      <c r="Y437" s="224"/>
      <c r="Z437" s="868"/>
      <c r="AA437" s="865"/>
      <c r="AB437" s="2"/>
      <c r="AC437" s="2"/>
      <c r="AD437" s="2"/>
      <c r="AE437" s="2"/>
      <c r="AF437" s="2"/>
      <c r="AG437" s="2"/>
      <c r="AH437" s="2"/>
      <c r="AI437" s="2"/>
      <c r="AJ437" s="2"/>
      <c r="AK437" s="2"/>
      <c r="AL437" s="2"/>
      <c r="AM437" s="2"/>
      <c r="AN437" s="2"/>
      <c r="AO437" s="9"/>
      <c r="AP437" s="9"/>
      <c r="AQ437" s="9"/>
      <c r="AR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224"/>
      <c r="X438" s="224"/>
      <c r="Y438" s="224"/>
      <c r="Z438" s="868"/>
      <c r="AA438" s="865"/>
      <c r="AB438" s="2"/>
      <c r="AC438" s="2"/>
      <c r="AD438" s="2"/>
      <c r="AE438" s="2"/>
      <c r="AF438" s="2"/>
      <c r="AG438" s="2"/>
      <c r="AH438" s="2"/>
      <c r="AI438" s="2"/>
      <c r="AJ438" s="2"/>
      <c r="AK438" s="2"/>
      <c r="AL438" s="2"/>
      <c r="AM438" s="2"/>
      <c r="AN438" s="2"/>
      <c r="AO438" s="9"/>
      <c r="AP438" s="9"/>
      <c r="AQ438" s="9"/>
      <c r="AR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224"/>
      <c r="X439" s="224"/>
      <c r="Y439" s="224"/>
      <c r="Z439" s="868"/>
      <c r="AA439" s="865"/>
      <c r="AB439" s="2"/>
      <c r="AC439" s="2"/>
      <c r="AD439" s="2"/>
      <c r="AE439" s="2"/>
      <c r="AF439" s="2"/>
      <c r="AG439" s="2"/>
      <c r="AH439" s="2"/>
      <c r="AI439" s="2"/>
      <c r="AJ439" s="2"/>
      <c r="AK439" s="2"/>
      <c r="AL439" s="2"/>
      <c r="AM439" s="2"/>
      <c r="AN439" s="2"/>
      <c r="AO439" s="9"/>
      <c r="AP439" s="9"/>
      <c r="AQ439" s="9"/>
      <c r="AR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224"/>
      <c r="X440" s="224"/>
      <c r="Y440" s="224"/>
      <c r="Z440" s="868"/>
      <c r="AA440" s="865"/>
      <c r="AB440" s="2"/>
      <c r="AC440" s="2"/>
      <c r="AD440" s="2"/>
      <c r="AE440" s="2"/>
      <c r="AF440" s="2"/>
      <c r="AG440" s="2"/>
      <c r="AH440" s="2"/>
      <c r="AI440" s="2"/>
      <c r="AJ440" s="2"/>
      <c r="AK440" s="2"/>
      <c r="AL440" s="2"/>
      <c r="AM440" s="2"/>
      <c r="AN440" s="2"/>
      <c r="AO440" s="9"/>
      <c r="AP440" s="9"/>
      <c r="AQ440" s="9"/>
      <c r="AR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224"/>
      <c r="X441" s="224"/>
      <c r="Y441" s="224"/>
      <c r="Z441" s="868"/>
      <c r="AA441" s="865"/>
      <c r="AB441" s="2"/>
      <c r="AC441" s="2"/>
      <c r="AD441" s="2"/>
      <c r="AE441" s="2"/>
      <c r="AF441" s="2"/>
      <c r="AG441" s="2"/>
      <c r="AH441" s="2"/>
      <c r="AI441" s="2"/>
      <c r="AJ441" s="2"/>
      <c r="AK441" s="2"/>
      <c r="AL441" s="2"/>
      <c r="AM441" s="2"/>
      <c r="AN441" s="2"/>
      <c r="AO441" s="9"/>
      <c r="AP441" s="9"/>
      <c r="AQ441" s="9"/>
      <c r="AR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224"/>
      <c r="X442" s="224"/>
      <c r="Y442" s="224"/>
      <c r="Z442" s="868"/>
      <c r="AA442" s="865"/>
      <c r="AB442" s="2"/>
      <c r="AC442" s="2"/>
      <c r="AD442" s="2"/>
      <c r="AE442" s="2"/>
      <c r="AF442" s="2"/>
      <c r="AG442" s="2"/>
      <c r="AH442" s="2"/>
      <c r="AI442" s="2"/>
      <c r="AJ442" s="2"/>
      <c r="AK442" s="2"/>
      <c r="AL442" s="2"/>
      <c r="AM442" s="2"/>
      <c r="AN442" s="2"/>
      <c r="AO442" s="9"/>
      <c r="AP442" s="9"/>
      <c r="AQ442" s="9"/>
      <c r="AR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224"/>
      <c r="X443" s="224"/>
      <c r="Y443" s="224"/>
      <c r="Z443" s="868"/>
      <c r="AA443" s="865"/>
      <c r="AB443" s="2"/>
      <c r="AC443" s="2"/>
      <c r="AD443" s="2"/>
      <c r="AE443" s="2"/>
      <c r="AF443" s="2"/>
      <c r="AG443" s="2"/>
      <c r="AH443" s="2"/>
      <c r="AI443" s="2"/>
      <c r="AJ443" s="2"/>
      <c r="AK443" s="2"/>
      <c r="AL443" s="2"/>
      <c r="AM443" s="2"/>
      <c r="AN443" s="2"/>
      <c r="AO443" s="9"/>
      <c r="AP443" s="9"/>
      <c r="AQ443" s="9"/>
      <c r="AR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224"/>
      <c r="X444" s="224"/>
      <c r="Y444" s="224"/>
      <c r="Z444" s="868"/>
      <c r="AA444" s="865"/>
      <c r="AB444" s="2"/>
      <c r="AC444" s="2"/>
      <c r="AD444" s="2"/>
      <c r="AE444" s="2"/>
      <c r="AF444" s="2"/>
      <c r="AG444" s="2"/>
      <c r="AH444" s="2"/>
      <c r="AI444" s="2"/>
      <c r="AJ444" s="2"/>
      <c r="AK444" s="2"/>
      <c r="AL444" s="2"/>
      <c r="AM444" s="2"/>
      <c r="AN444" s="2"/>
      <c r="AO444" s="9"/>
      <c r="AP444" s="9"/>
      <c r="AQ444" s="9"/>
      <c r="AR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224"/>
      <c r="X445" s="224"/>
      <c r="Y445" s="224"/>
      <c r="Z445" s="868"/>
      <c r="AA445" s="865"/>
      <c r="AB445" s="2"/>
      <c r="AC445" s="2"/>
      <c r="AD445" s="2"/>
      <c r="AE445" s="2"/>
      <c r="AF445" s="2"/>
      <c r="AG445" s="2"/>
      <c r="AH445" s="2"/>
      <c r="AI445" s="2"/>
      <c r="AJ445" s="2"/>
      <c r="AK445" s="2"/>
      <c r="AL445" s="2"/>
      <c r="AM445" s="2"/>
      <c r="AN445" s="2"/>
      <c r="AO445" s="9"/>
      <c r="AP445" s="9"/>
      <c r="AQ445" s="9"/>
      <c r="AR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224"/>
      <c r="X446" s="224"/>
      <c r="Y446" s="224"/>
      <c r="Z446" s="868"/>
      <c r="AA446" s="865"/>
      <c r="AB446" s="2"/>
      <c r="AC446" s="2"/>
      <c r="AD446" s="2"/>
      <c r="AE446" s="2"/>
      <c r="AF446" s="2"/>
      <c r="AG446" s="2"/>
      <c r="AH446" s="2"/>
      <c r="AI446" s="2"/>
      <c r="AJ446" s="2"/>
      <c r="AK446" s="2"/>
      <c r="AL446" s="2"/>
      <c r="AM446" s="2"/>
      <c r="AN446" s="2"/>
      <c r="AO446" s="9"/>
      <c r="AP446" s="9"/>
      <c r="AQ446" s="9"/>
      <c r="AR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224"/>
      <c r="X447" s="224"/>
      <c r="Y447" s="224"/>
      <c r="Z447" s="868"/>
      <c r="AA447" s="865"/>
      <c r="AB447" s="2"/>
      <c r="AC447" s="2"/>
      <c r="AD447" s="2"/>
      <c r="AE447" s="2"/>
      <c r="AF447" s="2"/>
      <c r="AG447" s="2"/>
      <c r="AH447" s="2"/>
      <c r="AI447" s="2"/>
      <c r="AJ447" s="2"/>
      <c r="AK447" s="2"/>
      <c r="AL447" s="2"/>
      <c r="AM447" s="2"/>
      <c r="AN447" s="2"/>
      <c r="AO447" s="9"/>
      <c r="AP447" s="9"/>
      <c r="AQ447" s="9"/>
      <c r="AR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224"/>
      <c r="X448" s="224"/>
      <c r="Y448" s="224"/>
      <c r="Z448" s="868"/>
      <c r="AA448" s="865"/>
      <c r="AB448" s="2"/>
      <c r="AC448" s="2"/>
      <c r="AD448" s="2"/>
      <c r="AE448" s="2"/>
      <c r="AF448" s="2"/>
      <c r="AG448" s="2"/>
      <c r="AH448" s="2"/>
      <c r="AI448" s="2"/>
      <c r="AJ448" s="2"/>
      <c r="AK448" s="2"/>
      <c r="AL448" s="2"/>
      <c r="AM448" s="2"/>
      <c r="AN448" s="2"/>
      <c r="AO448" s="9"/>
      <c r="AP448" s="9"/>
      <c r="AQ448" s="9"/>
      <c r="AR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224"/>
      <c r="X449" s="224"/>
      <c r="Y449" s="224"/>
      <c r="Z449" s="868"/>
      <c r="AA449" s="865"/>
      <c r="AB449" s="2"/>
      <c r="AC449" s="2"/>
      <c r="AD449" s="2"/>
      <c r="AE449" s="2"/>
      <c r="AF449" s="2"/>
      <c r="AG449" s="2"/>
      <c r="AH449" s="2"/>
      <c r="AI449" s="2"/>
      <c r="AJ449" s="2"/>
      <c r="AK449" s="2"/>
      <c r="AL449" s="2"/>
      <c r="AM449" s="2"/>
      <c r="AN449" s="2"/>
      <c r="AO449" s="9"/>
      <c r="AP449" s="9"/>
      <c r="AQ449" s="9"/>
      <c r="AR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224"/>
      <c r="X450" s="224"/>
      <c r="Y450" s="224"/>
      <c r="Z450" s="868"/>
      <c r="AA450" s="865"/>
      <c r="AB450" s="2"/>
      <c r="AC450" s="2"/>
      <c r="AD450" s="2"/>
      <c r="AE450" s="2"/>
      <c r="AF450" s="2"/>
      <c r="AG450" s="2"/>
      <c r="AH450" s="2"/>
      <c r="AI450" s="2"/>
      <c r="AJ450" s="2"/>
      <c r="AK450" s="2"/>
      <c r="AL450" s="2"/>
      <c r="AM450" s="2"/>
      <c r="AN450" s="2"/>
      <c r="AO450" s="9"/>
      <c r="AP450" s="9"/>
      <c r="AQ450" s="9"/>
      <c r="AR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224"/>
      <c r="X451" s="224"/>
      <c r="Y451" s="224"/>
      <c r="Z451" s="868"/>
      <c r="AA451" s="865"/>
      <c r="AB451" s="2"/>
      <c r="AC451" s="2"/>
      <c r="AD451" s="2"/>
      <c r="AE451" s="2"/>
      <c r="AF451" s="2"/>
      <c r="AG451" s="2"/>
      <c r="AH451" s="2"/>
      <c r="AI451" s="2"/>
      <c r="AJ451" s="2"/>
      <c r="AK451" s="2"/>
      <c r="AL451" s="2"/>
      <c r="AM451" s="2"/>
      <c r="AN451" s="2"/>
      <c r="AO451" s="9"/>
      <c r="AP451" s="9"/>
      <c r="AQ451" s="9"/>
      <c r="AR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224"/>
      <c r="X452" s="224"/>
      <c r="Y452" s="224"/>
      <c r="Z452" s="868"/>
      <c r="AA452" s="865"/>
      <c r="AB452" s="2"/>
      <c r="AC452" s="2"/>
      <c r="AD452" s="2"/>
      <c r="AE452" s="2"/>
      <c r="AF452" s="2"/>
      <c r="AG452" s="2"/>
      <c r="AH452" s="2"/>
      <c r="AI452" s="2"/>
      <c r="AJ452" s="2"/>
      <c r="AK452" s="2"/>
      <c r="AL452" s="2"/>
      <c r="AM452" s="2"/>
      <c r="AN452" s="2"/>
      <c r="AO452" s="9"/>
      <c r="AP452" s="9"/>
      <c r="AQ452" s="9"/>
      <c r="AR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224"/>
      <c r="X453" s="224"/>
      <c r="Y453" s="224"/>
      <c r="Z453" s="868"/>
      <c r="AA453" s="865"/>
      <c r="AB453" s="2"/>
      <c r="AC453" s="2"/>
      <c r="AD453" s="2"/>
      <c r="AE453" s="2"/>
      <c r="AF453" s="2"/>
      <c r="AG453" s="2"/>
      <c r="AH453" s="2"/>
      <c r="AI453" s="2"/>
      <c r="AJ453" s="2"/>
      <c r="AK453" s="2"/>
      <c r="AL453" s="2"/>
      <c r="AM453" s="2"/>
      <c r="AN453" s="2"/>
      <c r="AO453" s="9"/>
      <c r="AP453" s="9"/>
      <c r="AQ453" s="9"/>
      <c r="AR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224"/>
      <c r="X454" s="224"/>
      <c r="Y454" s="224"/>
      <c r="Z454" s="868"/>
      <c r="AA454" s="865"/>
      <c r="AB454" s="2"/>
      <c r="AC454" s="2"/>
      <c r="AD454" s="2"/>
      <c r="AE454" s="2"/>
      <c r="AF454" s="2"/>
      <c r="AG454" s="2"/>
      <c r="AH454" s="2"/>
      <c r="AI454" s="2"/>
      <c r="AJ454" s="2"/>
      <c r="AK454" s="2"/>
      <c r="AL454" s="2"/>
      <c r="AM454" s="2"/>
      <c r="AN454" s="2"/>
      <c r="AO454" s="9"/>
      <c r="AP454" s="9"/>
      <c r="AQ454" s="9"/>
      <c r="AR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224"/>
      <c r="X455" s="224"/>
      <c r="Y455" s="224"/>
      <c r="Z455" s="868"/>
      <c r="AA455" s="865"/>
      <c r="AB455" s="2"/>
      <c r="AC455" s="2"/>
      <c r="AD455" s="2"/>
      <c r="AE455" s="2"/>
      <c r="AF455" s="2"/>
      <c r="AG455" s="2"/>
      <c r="AH455" s="2"/>
      <c r="AI455" s="2"/>
      <c r="AJ455" s="2"/>
      <c r="AK455" s="2"/>
      <c r="AL455" s="2"/>
      <c r="AM455" s="2"/>
      <c r="AN455" s="2"/>
      <c r="AO455" s="9"/>
      <c r="AP455" s="9"/>
      <c r="AQ455" s="9"/>
      <c r="AR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224"/>
      <c r="X456" s="224"/>
      <c r="Y456" s="224"/>
      <c r="Z456" s="868"/>
      <c r="AA456" s="865"/>
      <c r="AB456" s="2"/>
      <c r="AC456" s="2"/>
      <c r="AD456" s="2"/>
      <c r="AE456" s="2"/>
      <c r="AF456" s="2"/>
      <c r="AG456" s="2"/>
      <c r="AH456" s="2"/>
      <c r="AI456" s="2"/>
      <c r="AJ456" s="2"/>
      <c r="AK456" s="2"/>
      <c r="AL456" s="2"/>
      <c r="AM456" s="2"/>
      <c r="AN456" s="2"/>
      <c r="AO456" s="9"/>
      <c r="AP456" s="9"/>
      <c r="AQ456" s="9"/>
      <c r="AR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224"/>
      <c r="X457" s="224"/>
      <c r="Y457" s="224"/>
      <c r="Z457" s="868"/>
      <c r="AA457" s="865"/>
      <c r="AB457" s="2"/>
      <c r="AC457" s="2"/>
      <c r="AD457" s="2"/>
      <c r="AE457" s="2"/>
      <c r="AF457" s="2"/>
      <c r="AG457" s="2"/>
      <c r="AH457" s="2"/>
      <c r="AI457" s="2"/>
      <c r="AJ457" s="2"/>
      <c r="AK457" s="2"/>
      <c r="AL457" s="2"/>
      <c r="AM457" s="2"/>
      <c r="AN457" s="2"/>
      <c r="AO457" s="9"/>
      <c r="AP457" s="9"/>
      <c r="AQ457" s="9"/>
      <c r="AR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224"/>
      <c r="X458" s="224"/>
      <c r="Y458" s="224"/>
      <c r="Z458" s="868"/>
      <c r="AA458" s="865"/>
      <c r="AB458" s="2"/>
      <c r="AC458" s="2"/>
      <c r="AD458" s="2"/>
      <c r="AE458" s="2"/>
      <c r="AF458" s="2"/>
      <c r="AG458" s="2"/>
      <c r="AH458" s="2"/>
      <c r="AI458" s="2"/>
      <c r="AJ458" s="2"/>
      <c r="AK458" s="2"/>
      <c r="AL458" s="2"/>
      <c r="AM458" s="2"/>
      <c r="AN458" s="2"/>
      <c r="AO458" s="9"/>
      <c r="AP458" s="9"/>
      <c r="AQ458" s="9"/>
      <c r="AR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224"/>
      <c r="X459" s="224"/>
      <c r="Y459" s="224"/>
      <c r="Z459" s="868"/>
      <c r="AA459" s="865"/>
      <c r="AB459" s="2"/>
      <c r="AC459" s="2"/>
      <c r="AD459" s="2"/>
      <c r="AE459" s="2"/>
      <c r="AF459" s="2"/>
      <c r="AG459" s="2"/>
      <c r="AH459" s="2"/>
      <c r="AI459" s="2"/>
      <c r="AJ459" s="2"/>
      <c r="AK459" s="2"/>
      <c r="AL459" s="2"/>
      <c r="AM459" s="2"/>
      <c r="AN459" s="2"/>
      <c r="AO459" s="9"/>
      <c r="AP459" s="9"/>
      <c r="AQ459" s="9"/>
      <c r="AR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224"/>
      <c r="X460" s="224"/>
      <c r="Y460" s="224"/>
      <c r="Z460" s="868"/>
      <c r="AA460" s="865"/>
      <c r="AB460" s="2"/>
      <c r="AC460" s="2"/>
      <c r="AD460" s="2"/>
      <c r="AE460" s="2"/>
      <c r="AF460" s="2"/>
      <c r="AG460" s="2"/>
      <c r="AH460" s="2"/>
      <c r="AI460" s="2"/>
      <c r="AJ460" s="2"/>
      <c r="AK460" s="2"/>
      <c r="AL460" s="2"/>
      <c r="AM460" s="2"/>
      <c r="AN460" s="2"/>
      <c r="AO460" s="9"/>
      <c r="AP460" s="9"/>
      <c r="AQ460" s="9"/>
      <c r="AR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224"/>
      <c r="X461" s="224"/>
      <c r="Y461" s="224"/>
      <c r="Z461" s="868"/>
      <c r="AA461" s="865"/>
      <c r="AB461" s="2"/>
      <c r="AC461" s="2"/>
      <c r="AD461" s="2"/>
      <c r="AE461" s="2"/>
      <c r="AF461" s="2"/>
      <c r="AG461" s="2"/>
      <c r="AH461" s="2"/>
      <c r="AI461" s="2"/>
      <c r="AJ461" s="2"/>
      <c r="AK461" s="2"/>
      <c r="AL461" s="2"/>
      <c r="AM461" s="2"/>
      <c r="AN461" s="2"/>
      <c r="AO461" s="9"/>
      <c r="AP461" s="9"/>
      <c r="AQ461" s="9"/>
      <c r="AR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224"/>
      <c r="X462" s="224"/>
      <c r="Y462" s="224"/>
      <c r="Z462" s="868"/>
      <c r="AA462" s="865"/>
      <c r="AB462" s="2"/>
      <c r="AC462" s="2"/>
      <c r="AD462" s="2"/>
      <c r="AE462" s="2"/>
      <c r="AF462" s="2"/>
      <c r="AG462" s="2"/>
      <c r="AH462" s="2"/>
      <c r="AI462" s="2"/>
      <c r="AJ462" s="2"/>
      <c r="AK462" s="2"/>
      <c r="AL462" s="2"/>
      <c r="AM462" s="2"/>
      <c r="AN462" s="2"/>
      <c r="AO462" s="9"/>
      <c r="AP462" s="9"/>
      <c r="AQ462" s="9"/>
      <c r="AR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224"/>
      <c r="X463" s="224"/>
      <c r="Y463" s="224"/>
      <c r="Z463" s="868"/>
      <c r="AA463" s="865"/>
      <c r="AB463" s="2"/>
      <c r="AC463" s="2"/>
      <c r="AD463" s="2"/>
      <c r="AE463" s="2"/>
      <c r="AF463" s="2"/>
      <c r="AG463" s="2"/>
      <c r="AH463" s="2"/>
      <c r="AI463" s="2"/>
      <c r="AJ463" s="2"/>
      <c r="AK463" s="2"/>
      <c r="AL463" s="2"/>
      <c r="AM463" s="2"/>
      <c r="AN463" s="2"/>
      <c r="AO463" s="9"/>
      <c r="AP463" s="9"/>
      <c r="AQ463" s="9"/>
      <c r="AR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224"/>
      <c r="X464" s="224"/>
      <c r="Y464" s="224"/>
      <c r="Z464" s="868"/>
      <c r="AA464" s="865"/>
      <c r="AB464" s="2"/>
      <c r="AC464" s="2"/>
      <c r="AD464" s="2"/>
      <c r="AE464" s="2"/>
      <c r="AF464" s="2"/>
      <c r="AG464" s="2"/>
      <c r="AH464" s="2"/>
      <c r="AI464" s="2"/>
      <c r="AJ464" s="2"/>
      <c r="AK464" s="2"/>
      <c r="AL464" s="2"/>
      <c r="AM464" s="2"/>
      <c r="AN464" s="2"/>
      <c r="AO464" s="9"/>
      <c r="AP464" s="9"/>
      <c r="AQ464" s="9"/>
      <c r="AR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224"/>
      <c r="X465" s="224"/>
      <c r="Y465" s="224"/>
      <c r="Z465" s="868"/>
      <c r="AA465" s="865"/>
      <c r="AB465" s="2"/>
      <c r="AC465" s="2"/>
      <c r="AD465" s="2"/>
      <c r="AE465" s="2"/>
      <c r="AF465" s="2"/>
      <c r="AG465" s="2"/>
      <c r="AH465" s="2"/>
      <c r="AI465" s="2"/>
      <c r="AJ465" s="2"/>
      <c r="AK465" s="2"/>
      <c r="AL465" s="2"/>
      <c r="AM465" s="2"/>
      <c r="AN465" s="2"/>
      <c r="AO465" s="9"/>
      <c r="AP465" s="9"/>
      <c r="AQ465" s="9"/>
      <c r="AR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224"/>
      <c r="X466" s="224"/>
      <c r="Y466" s="224"/>
      <c r="Z466" s="868"/>
      <c r="AA466" s="865"/>
      <c r="AB466" s="2"/>
      <c r="AC466" s="2"/>
      <c r="AD466" s="2"/>
      <c r="AE466" s="2"/>
      <c r="AF466" s="2"/>
      <c r="AG466" s="2"/>
      <c r="AH466" s="2"/>
      <c r="AI466" s="2"/>
      <c r="AJ466" s="2"/>
      <c r="AK466" s="2"/>
      <c r="AL466" s="2"/>
      <c r="AM466" s="2"/>
      <c r="AN466" s="2"/>
      <c r="AO466" s="9"/>
      <c r="AP466" s="9"/>
      <c r="AQ466" s="9"/>
      <c r="AR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224"/>
      <c r="X467" s="224"/>
      <c r="Y467" s="224"/>
      <c r="Z467" s="868"/>
      <c r="AA467" s="865"/>
      <c r="AB467" s="2"/>
      <c r="AC467" s="2"/>
      <c r="AD467" s="2"/>
      <c r="AE467" s="2"/>
      <c r="AF467" s="2"/>
      <c r="AG467" s="2"/>
      <c r="AH467" s="2"/>
      <c r="AI467" s="2"/>
      <c r="AJ467" s="2"/>
      <c r="AK467" s="2"/>
      <c r="AL467" s="2"/>
      <c r="AM467" s="2"/>
      <c r="AN467" s="2"/>
      <c r="AO467" s="9"/>
      <c r="AP467" s="9"/>
      <c r="AQ467" s="9"/>
      <c r="AR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224"/>
      <c r="X468" s="224"/>
      <c r="Y468" s="224"/>
      <c r="Z468" s="868"/>
      <c r="AA468" s="865"/>
      <c r="AB468" s="2"/>
      <c r="AC468" s="2"/>
      <c r="AD468" s="2"/>
      <c r="AE468" s="2"/>
      <c r="AF468" s="2"/>
      <c r="AG468" s="2"/>
      <c r="AH468" s="2"/>
      <c r="AI468" s="2"/>
      <c r="AJ468" s="2"/>
      <c r="AK468" s="2"/>
      <c r="AL468" s="2"/>
      <c r="AM468" s="2"/>
      <c r="AN468" s="2"/>
      <c r="AO468" s="9"/>
      <c r="AP468" s="9"/>
      <c r="AQ468" s="9"/>
      <c r="AR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224"/>
      <c r="X469" s="224"/>
      <c r="Y469" s="224"/>
      <c r="Z469" s="868"/>
      <c r="AA469" s="865"/>
      <c r="AB469" s="2"/>
      <c r="AC469" s="2"/>
      <c r="AD469" s="2"/>
      <c r="AE469" s="2"/>
      <c r="AF469" s="2"/>
      <c r="AG469" s="2"/>
      <c r="AH469" s="2"/>
      <c r="AI469" s="2"/>
      <c r="AJ469" s="2"/>
      <c r="AK469" s="2"/>
      <c r="AL469" s="2"/>
      <c r="AM469" s="2"/>
      <c r="AN469" s="2"/>
      <c r="AO469" s="9"/>
      <c r="AP469" s="9"/>
      <c r="AQ469" s="9"/>
      <c r="AR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224"/>
      <c r="X470" s="224"/>
      <c r="Y470" s="224"/>
      <c r="Z470" s="868"/>
      <c r="AA470" s="865"/>
      <c r="AB470" s="2"/>
      <c r="AC470" s="2"/>
      <c r="AD470" s="2"/>
      <c r="AE470" s="2"/>
      <c r="AF470" s="2"/>
      <c r="AG470" s="2"/>
      <c r="AH470" s="2"/>
      <c r="AI470" s="2"/>
      <c r="AJ470" s="2"/>
      <c r="AK470" s="2"/>
      <c r="AL470" s="2"/>
      <c r="AM470" s="2"/>
      <c r="AN470" s="2"/>
      <c r="AO470" s="9"/>
      <c r="AP470" s="9"/>
      <c r="AQ470" s="9"/>
      <c r="AR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224"/>
      <c r="X471" s="224"/>
      <c r="Y471" s="224"/>
      <c r="Z471" s="868"/>
      <c r="AA471" s="865"/>
      <c r="AB471" s="2"/>
      <c r="AC471" s="2"/>
      <c r="AD471" s="2"/>
      <c r="AE471" s="2"/>
      <c r="AF471" s="2"/>
      <c r="AG471" s="2"/>
      <c r="AH471" s="2"/>
      <c r="AI471" s="2"/>
      <c r="AJ471" s="2"/>
      <c r="AK471" s="2"/>
      <c r="AL471" s="2"/>
      <c r="AM471" s="2"/>
      <c r="AN471" s="2"/>
      <c r="AO471" s="9"/>
      <c r="AP471" s="9"/>
      <c r="AQ471" s="9"/>
      <c r="AR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224"/>
      <c r="X472" s="224"/>
      <c r="Y472" s="224"/>
      <c r="Z472" s="868"/>
      <c r="AA472" s="865"/>
      <c r="AB472" s="2"/>
      <c r="AC472" s="2"/>
      <c r="AD472" s="2"/>
      <c r="AE472" s="2"/>
      <c r="AF472" s="2"/>
      <c r="AG472" s="2"/>
      <c r="AH472" s="2"/>
      <c r="AI472" s="2"/>
      <c r="AJ472" s="2"/>
      <c r="AK472" s="2"/>
      <c r="AL472" s="2"/>
      <c r="AM472" s="2"/>
      <c r="AN472" s="2"/>
      <c r="AO472" s="9"/>
      <c r="AP472" s="9"/>
      <c r="AQ472" s="9"/>
      <c r="AR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224"/>
      <c r="X473" s="224"/>
      <c r="Y473" s="224"/>
      <c r="Z473" s="868"/>
      <c r="AA473" s="865"/>
      <c r="AB473" s="2"/>
      <c r="AC473" s="2"/>
      <c r="AD473" s="2"/>
      <c r="AE473" s="2"/>
      <c r="AF473" s="2"/>
      <c r="AG473" s="2"/>
      <c r="AH473" s="2"/>
      <c r="AI473" s="2"/>
      <c r="AJ473" s="2"/>
      <c r="AK473" s="2"/>
      <c r="AL473" s="2"/>
      <c r="AM473" s="2"/>
      <c r="AN473" s="2"/>
      <c r="AO473" s="9"/>
      <c r="AP473" s="9"/>
      <c r="AQ473" s="9"/>
      <c r="AR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224"/>
      <c r="X474" s="224"/>
      <c r="Y474" s="224"/>
      <c r="Z474" s="868"/>
      <c r="AA474" s="865"/>
      <c r="AB474" s="2"/>
      <c r="AC474" s="2"/>
      <c r="AD474" s="2"/>
      <c r="AE474" s="2"/>
      <c r="AF474" s="2"/>
      <c r="AG474" s="2"/>
      <c r="AH474" s="2"/>
      <c r="AI474" s="2"/>
      <c r="AJ474" s="2"/>
      <c r="AK474" s="2"/>
      <c r="AL474" s="2"/>
      <c r="AM474" s="2"/>
      <c r="AN474" s="2"/>
      <c r="AO474" s="9"/>
      <c r="AP474" s="9"/>
      <c r="AQ474" s="9"/>
      <c r="AR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224"/>
      <c r="X475" s="224"/>
      <c r="Y475" s="224"/>
      <c r="Z475" s="868"/>
      <c r="AA475" s="865"/>
      <c r="AB475" s="2"/>
      <c r="AC475" s="2"/>
      <c r="AD475" s="2"/>
      <c r="AE475" s="2"/>
      <c r="AF475" s="2"/>
      <c r="AG475" s="2"/>
      <c r="AH475" s="2"/>
      <c r="AI475" s="2"/>
      <c r="AJ475" s="2"/>
      <c r="AK475" s="2"/>
      <c r="AL475" s="2"/>
      <c r="AM475" s="2"/>
      <c r="AN475" s="2"/>
      <c r="AO475" s="9"/>
      <c r="AP475" s="9"/>
      <c r="AQ475" s="9"/>
      <c r="AR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224"/>
      <c r="X476" s="224"/>
      <c r="Y476" s="224"/>
      <c r="Z476" s="868"/>
      <c r="AA476" s="865"/>
      <c r="AB476" s="2"/>
      <c r="AC476" s="2"/>
      <c r="AD476" s="2"/>
      <c r="AE476" s="2"/>
      <c r="AF476" s="2"/>
      <c r="AG476" s="2"/>
      <c r="AH476" s="2"/>
      <c r="AI476" s="2"/>
      <c r="AJ476" s="2"/>
      <c r="AK476" s="2"/>
      <c r="AL476" s="2"/>
      <c r="AM476" s="2"/>
      <c r="AN476" s="2"/>
      <c r="AO476" s="9"/>
      <c r="AP476" s="9"/>
      <c r="AQ476" s="9"/>
      <c r="AR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224"/>
      <c r="X477" s="224"/>
      <c r="Y477" s="224"/>
      <c r="Z477" s="868"/>
      <c r="AA477" s="865"/>
      <c r="AB477" s="2"/>
      <c r="AC477" s="2"/>
      <c r="AD477" s="2"/>
      <c r="AE477" s="2"/>
      <c r="AF477" s="2"/>
      <c r="AG477" s="2"/>
      <c r="AH477" s="2"/>
      <c r="AI477" s="2"/>
      <c r="AJ477" s="2"/>
      <c r="AK477" s="2"/>
      <c r="AL477" s="2"/>
      <c r="AM477" s="2"/>
      <c r="AN477" s="2"/>
      <c r="AO477" s="9"/>
      <c r="AP477" s="9"/>
      <c r="AQ477" s="9"/>
      <c r="AR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224"/>
      <c r="X478" s="224"/>
      <c r="Y478" s="224"/>
      <c r="Z478" s="868"/>
      <c r="AA478" s="865"/>
      <c r="AB478" s="2"/>
      <c r="AC478" s="2"/>
      <c r="AD478" s="2"/>
      <c r="AE478" s="2"/>
      <c r="AF478" s="2"/>
      <c r="AG478" s="2"/>
      <c r="AH478" s="2"/>
      <c r="AI478" s="2"/>
      <c r="AJ478" s="2"/>
      <c r="AK478" s="2"/>
      <c r="AL478" s="2"/>
      <c r="AM478" s="2"/>
      <c r="AN478" s="2"/>
      <c r="AO478" s="9"/>
      <c r="AP478" s="9"/>
      <c r="AQ478" s="9"/>
      <c r="AR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224"/>
      <c r="X479" s="224"/>
      <c r="Y479" s="224"/>
      <c r="Z479" s="868"/>
      <c r="AA479" s="865"/>
      <c r="AB479" s="2"/>
      <c r="AC479" s="2"/>
      <c r="AD479" s="2"/>
      <c r="AE479" s="2"/>
      <c r="AF479" s="2"/>
      <c r="AG479" s="2"/>
      <c r="AH479" s="2"/>
      <c r="AI479" s="2"/>
      <c r="AJ479" s="2"/>
      <c r="AK479" s="2"/>
      <c r="AL479" s="2"/>
      <c r="AM479" s="2"/>
      <c r="AN479" s="2"/>
      <c r="AO479" s="9"/>
      <c r="AP479" s="9"/>
      <c r="AQ479" s="9"/>
      <c r="AR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224"/>
      <c r="X480" s="224"/>
      <c r="Y480" s="224"/>
      <c r="Z480" s="868"/>
      <c r="AA480" s="865"/>
      <c r="AB480" s="2"/>
      <c r="AC480" s="2"/>
      <c r="AD480" s="2"/>
      <c r="AE480" s="2"/>
      <c r="AF480" s="2"/>
      <c r="AG480" s="2"/>
      <c r="AH480" s="2"/>
      <c r="AI480" s="2"/>
      <c r="AJ480" s="2"/>
      <c r="AK480" s="2"/>
      <c r="AL480" s="2"/>
      <c r="AM480" s="2"/>
      <c r="AN480" s="2"/>
      <c r="AO480" s="9"/>
      <c r="AP480" s="9"/>
      <c r="AQ480" s="9"/>
      <c r="AR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224"/>
      <c r="X481" s="224"/>
      <c r="Y481" s="224"/>
      <c r="Z481" s="868"/>
      <c r="AA481" s="865"/>
      <c r="AB481" s="2"/>
      <c r="AC481" s="2"/>
      <c r="AD481" s="2"/>
      <c r="AE481" s="2"/>
      <c r="AF481" s="2"/>
      <c r="AG481" s="2"/>
      <c r="AH481" s="2"/>
      <c r="AI481" s="2"/>
      <c r="AJ481" s="2"/>
      <c r="AK481" s="2"/>
      <c r="AL481" s="2"/>
      <c r="AM481" s="2"/>
      <c r="AN481" s="2"/>
      <c r="AO481" s="9"/>
      <c r="AP481" s="9"/>
      <c r="AQ481" s="9"/>
      <c r="AR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224"/>
      <c r="X482" s="224"/>
      <c r="Y482" s="224"/>
      <c r="Z482" s="868"/>
      <c r="AA482" s="865"/>
      <c r="AB482" s="2"/>
      <c r="AC482" s="2"/>
      <c r="AD482" s="2"/>
      <c r="AE482" s="2"/>
      <c r="AF482" s="2"/>
      <c r="AG482" s="2"/>
      <c r="AH482" s="2"/>
      <c r="AI482" s="2"/>
      <c r="AJ482" s="2"/>
      <c r="AK482" s="2"/>
      <c r="AL482" s="2"/>
      <c r="AM482" s="2"/>
      <c r="AN482" s="2"/>
      <c r="AO482" s="9"/>
      <c r="AP482" s="9"/>
      <c r="AQ482" s="9"/>
      <c r="AR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224"/>
      <c r="X483" s="224"/>
      <c r="Y483" s="224"/>
      <c r="Z483" s="868"/>
      <c r="AA483" s="865"/>
      <c r="AB483" s="2"/>
      <c r="AC483" s="2"/>
      <c r="AD483" s="2"/>
      <c r="AE483" s="2"/>
      <c r="AF483" s="2"/>
      <c r="AG483" s="2"/>
      <c r="AH483" s="2"/>
      <c r="AI483" s="2"/>
      <c r="AJ483" s="2"/>
      <c r="AK483" s="2"/>
      <c r="AL483" s="2"/>
      <c r="AM483" s="2"/>
      <c r="AN483" s="2"/>
      <c r="AO483" s="9"/>
      <c r="AP483" s="9"/>
      <c r="AQ483" s="9"/>
      <c r="AR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224"/>
      <c r="X484" s="224"/>
      <c r="Y484" s="224"/>
      <c r="Z484" s="868"/>
      <c r="AA484" s="865"/>
      <c r="AB484" s="2"/>
      <c r="AC484" s="2"/>
      <c r="AD484" s="2"/>
      <c r="AE484" s="2"/>
      <c r="AF484" s="2"/>
      <c r="AG484" s="2"/>
      <c r="AH484" s="2"/>
      <c r="AI484" s="2"/>
      <c r="AJ484" s="2"/>
      <c r="AK484" s="2"/>
      <c r="AL484" s="2"/>
      <c r="AM484" s="2"/>
      <c r="AN484" s="2"/>
      <c r="AO484" s="9"/>
      <c r="AP484" s="9"/>
      <c r="AQ484" s="9"/>
      <c r="AR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224"/>
      <c r="X485" s="224"/>
      <c r="Y485" s="224"/>
      <c r="Z485" s="868"/>
      <c r="AA485" s="865"/>
      <c r="AB485" s="2"/>
      <c r="AC485" s="2"/>
      <c r="AD485" s="2"/>
      <c r="AE485" s="2"/>
      <c r="AF485" s="2"/>
      <c r="AG485" s="2"/>
      <c r="AH485" s="2"/>
      <c r="AI485" s="2"/>
      <c r="AJ485" s="2"/>
      <c r="AK485" s="2"/>
      <c r="AL485" s="2"/>
      <c r="AM485" s="2"/>
      <c r="AN485" s="2"/>
      <c r="AO485" s="9"/>
      <c r="AP485" s="9"/>
      <c r="AQ485" s="9"/>
      <c r="AR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224"/>
      <c r="X486" s="224"/>
      <c r="Y486" s="224"/>
      <c r="Z486" s="868"/>
      <c r="AA486" s="865"/>
      <c r="AB486" s="2"/>
      <c r="AC486" s="2"/>
      <c r="AD486" s="2"/>
      <c r="AE486" s="2"/>
      <c r="AF486" s="2"/>
      <c r="AG486" s="2"/>
      <c r="AH486" s="2"/>
      <c r="AI486" s="2"/>
      <c r="AJ486" s="2"/>
      <c r="AK486" s="2"/>
      <c r="AL486" s="2"/>
      <c r="AM486" s="2"/>
      <c r="AN486" s="2"/>
      <c r="AO486" s="9"/>
      <c r="AP486" s="9"/>
      <c r="AQ486" s="9"/>
      <c r="AR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224"/>
      <c r="X487" s="224"/>
      <c r="Y487" s="224"/>
      <c r="Z487" s="868"/>
      <c r="AA487" s="865"/>
      <c r="AB487" s="2"/>
      <c r="AC487" s="2"/>
      <c r="AD487" s="2"/>
      <c r="AE487" s="2"/>
      <c r="AF487" s="2"/>
      <c r="AG487" s="2"/>
      <c r="AH487" s="2"/>
      <c r="AI487" s="2"/>
      <c r="AJ487" s="2"/>
      <c r="AK487" s="2"/>
      <c r="AL487" s="2"/>
      <c r="AM487" s="2"/>
      <c r="AN487" s="2"/>
      <c r="AO487" s="9"/>
      <c r="AP487" s="9"/>
      <c r="AQ487" s="9"/>
      <c r="AR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224"/>
      <c r="X488" s="224"/>
      <c r="Y488" s="224"/>
      <c r="Z488" s="868"/>
      <c r="AA488" s="865"/>
      <c r="AB488" s="2"/>
      <c r="AC488" s="2"/>
      <c r="AD488" s="2"/>
      <c r="AE488" s="2"/>
      <c r="AF488" s="2"/>
      <c r="AG488" s="2"/>
      <c r="AH488" s="2"/>
      <c r="AI488" s="2"/>
      <c r="AJ488" s="2"/>
      <c r="AK488" s="2"/>
      <c r="AL488" s="2"/>
      <c r="AM488" s="2"/>
      <c r="AN488" s="2"/>
      <c r="AO488" s="9"/>
      <c r="AP488" s="9"/>
      <c r="AQ488" s="9"/>
      <c r="AR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224"/>
      <c r="X489" s="224"/>
      <c r="Y489" s="224"/>
      <c r="Z489" s="868"/>
      <c r="AA489" s="865"/>
      <c r="AB489" s="2"/>
      <c r="AC489" s="2"/>
      <c r="AD489" s="2"/>
      <c r="AE489" s="2"/>
      <c r="AF489" s="2"/>
      <c r="AG489" s="2"/>
      <c r="AH489" s="2"/>
      <c r="AI489" s="2"/>
      <c r="AJ489" s="2"/>
      <c r="AK489" s="2"/>
      <c r="AL489" s="2"/>
      <c r="AM489" s="2"/>
      <c r="AN489" s="2"/>
      <c r="AO489" s="9"/>
      <c r="AP489" s="9"/>
      <c r="AQ489" s="9"/>
      <c r="AR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224"/>
      <c r="X490" s="224"/>
      <c r="Y490" s="224"/>
      <c r="Z490" s="868"/>
      <c r="AA490" s="865"/>
      <c r="AB490" s="2"/>
      <c r="AC490" s="2"/>
      <c r="AD490" s="2"/>
      <c r="AE490" s="2"/>
      <c r="AF490" s="2"/>
      <c r="AG490" s="2"/>
      <c r="AH490" s="2"/>
      <c r="AI490" s="2"/>
      <c r="AJ490" s="2"/>
      <c r="AK490" s="2"/>
      <c r="AL490" s="2"/>
      <c r="AM490" s="2"/>
      <c r="AN490" s="2"/>
      <c r="AO490" s="9"/>
      <c r="AP490" s="9"/>
      <c r="AQ490" s="9"/>
      <c r="AR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224"/>
      <c r="X491" s="224"/>
      <c r="Y491" s="224"/>
      <c r="Z491" s="868"/>
      <c r="AA491" s="865"/>
      <c r="AB491" s="2"/>
      <c r="AC491" s="2"/>
      <c r="AD491" s="2"/>
      <c r="AE491" s="2"/>
      <c r="AF491" s="2"/>
      <c r="AG491" s="2"/>
      <c r="AH491" s="2"/>
      <c r="AI491" s="2"/>
      <c r="AJ491" s="2"/>
      <c r="AK491" s="2"/>
      <c r="AL491" s="2"/>
      <c r="AM491" s="2"/>
      <c r="AN491" s="2"/>
      <c r="AO491" s="9"/>
      <c r="AP491" s="9"/>
      <c r="AQ491" s="9"/>
      <c r="AR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224"/>
      <c r="X492" s="224"/>
      <c r="Y492" s="224"/>
      <c r="Z492" s="868"/>
      <c r="AA492" s="865"/>
      <c r="AB492" s="2"/>
      <c r="AC492" s="2"/>
      <c r="AD492" s="2"/>
      <c r="AE492" s="2"/>
      <c r="AF492" s="2"/>
      <c r="AG492" s="2"/>
      <c r="AH492" s="2"/>
      <c r="AI492" s="2"/>
      <c r="AJ492" s="2"/>
      <c r="AK492" s="2"/>
      <c r="AL492" s="2"/>
      <c r="AM492" s="2"/>
      <c r="AN492" s="2"/>
      <c r="AO492" s="9"/>
      <c r="AP492" s="9"/>
      <c r="AQ492" s="9"/>
      <c r="AR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224"/>
      <c r="X493" s="224"/>
      <c r="Y493" s="224"/>
      <c r="Z493" s="868"/>
      <c r="AA493" s="865"/>
      <c r="AB493" s="2"/>
      <c r="AC493" s="2"/>
      <c r="AD493" s="2"/>
      <c r="AE493" s="2"/>
      <c r="AF493" s="2"/>
      <c r="AG493" s="2"/>
      <c r="AH493" s="2"/>
      <c r="AI493" s="2"/>
      <c r="AJ493" s="2"/>
      <c r="AK493" s="2"/>
      <c r="AL493" s="2"/>
      <c r="AM493" s="2"/>
      <c r="AN493" s="2"/>
      <c r="AO493" s="9"/>
      <c r="AP493" s="9"/>
      <c r="AQ493" s="9"/>
      <c r="AR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224"/>
      <c r="X494" s="224"/>
      <c r="Y494" s="224"/>
      <c r="Z494" s="868"/>
      <c r="AA494" s="865"/>
      <c r="AB494" s="2"/>
      <c r="AC494" s="2"/>
      <c r="AD494" s="2"/>
      <c r="AE494" s="2"/>
      <c r="AF494" s="2"/>
      <c r="AG494" s="2"/>
      <c r="AH494" s="2"/>
      <c r="AI494" s="2"/>
      <c r="AJ494" s="2"/>
      <c r="AK494" s="2"/>
      <c r="AL494" s="2"/>
      <c r="AM494" s="2"/>
      <c r="AN494" s="2"/>
      <c r="AO494" s="9"/>
      <c r="AP494" s="9"/>
      <c r="AQ494" s="9"/>
      <c r="AR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224"/>
      <c r="X495" s="224"/>
      <c r="Y495" s="224"/>
      <c r="Z495" s="868"/>
      <c r="AA495" s="865"/>
      <c r="AB495" s="2"/>
      <c r="AC495" s="2"/>
      <c r="AD495" s="2"/>
      <c r="AE495" s="2"/>
      <c r="AF495" s="2"/>
      <c r="AG495" s="2"/>
      <c r="AH495" s="2"/>
      <c r="AI495" s="2"/>
      <c r="AJ495" s="2"/>
      <c r="AK495" s="2"/>
      <c r="AL495" s="2"/>
      <c r="AM495" s="2"/>
      <c r="AN495" s="2"/>
      <c r="AO495" s="9"/>
      <c r="AP495" s="9"/>
      <c r="AQ495" s="9"/>
      <c r="AR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224"/>
      <c r="X496" s="224"/>
      <c r="Y496" s="224"/>
      <c r="Z496" s="868"/>
      <c r="AA496" s="865"/>
      <c r="AB496" s="2"/>
      <c r="AC496" s="2"/>
      <c r="AD496" s="2"/>
      <c r="AE496" s="2"/>
      <c r="AF496" s="2"/>
      <c r="AG496" s="2"/>
      <c r="AH496" s="2"/>
      <c r="AI496" s="2"/>
      <c r="AJ496" s="2"/>
      <c r="AK496" s="2"/>
      <c r="AL496" s="2"/>
      <c r="AM496" s="2"/>
      <c r="AN496" s="2"/>
      <c r="AO496" s="9"/>
      <c r="AP496" s="9"/>
      <c r="AQ496" s="9"/>
      <c r="AR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224"/>
      <c r="X497" s="224"/>
      <c r="Y497" s="224"/>
      <c r="Z497" s="868"/>
      <c r="AA497" s="865"/>
      <c r="AB497" s="2"/>
      <c r="AC497" s="2"/>
      <c r="AD497" s="2"/>
      <c r="AE497" s="2"/>
      <c r="AF497" s="2"/>
      <c r="AG497" s="2"/>
      <c r="AH497" s="2"/>
      <c r="AI497" s="2"/>
      <c r="AJ497" s="2"/>
      <c r="AK497" s="2"/>
      <c r="AL497" s="2"/>
      <c r="AM497" s="2"/>
      <c r="AN497" s="2"/>
      <c r="AO497" s="9"/>
      <c r="AP497" s="9"/>
      <c r="AQ497" s="9"/>
      <c r="AR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224"/>
      <c r="X498" s="224"/>
      <c r="Y498" s="224"/>
      <c r="Z498" s="868"/>
      <c r="AA498" s="865"/>
      <c r="AB498" s="2"/>
      <c r="AC498" s="2"/>
      <c r="AD498" s="2"/>
      <c r="AE498" s="2"/>
      <c r="AF498" s="2"/>
      <c r="AG498" s="2"/>
      <c r="AH498" s="2"/>
      <c r="AI498" s="2"/>
      <c r="AJ498" s="2"/>
      <c r="AK498" s="2"/>
      <c r="AL498" s="2"/>
      <c r="AM498" s="2"/>
      <c r="AN498" s="2"/>
      <c r="AO498" s="9"/>
      <c r="AP498" s="9"/>
      <c r="AQ498" s="9"/>
      <c r="AR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224"/>
      <c r="X499" s="224"/>
      <c r="Y499" s="224"/>
      <c r="Z499" s="868"/>
      <c r="AA499" s="865"/>
      <c r="AB499" s="2"/>
      <c r="AC499" s="2"/>
      <c r="AD499" s="2"/>
      <c r="AE499" s="2"/>
      <c r="AF499" s="2"/>
      <c r="AG499" s="2"/>
      <c r="AH499" s="2"/>
      <c r="AI499" s="2"/>
      <c r="AJ499" s="2"/>
      <c r="AK499" s="2"/>
      <c r="AL499" s="2"/>
      <c r="AM499" s="2"/>
      <c r="AN499" s="2"/>
      <c r="AO499" s="9"/>
      <c r="AP499" s="9"/>
      <c r="AQ499" s="9"/>
      <c r="AR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224"/>
      <c r="X500" s="224"/>
      <c r="Y500" s="224"/>
      <c r="Z500" s="868"/>
      <c r="AA500" s="865"/>
      <c r="AB500" s="2"/>
      <c r="AC500" s="2"/>
      <c r="AD500" s="2"/>
      <c r="AE500" s="2"/>
      <c r="AF500" s="2"/>
      <c r="AG500" s="2"/>
      <c r="AH500" s="2"/>
      <c r="AI500" s="2"/>
      <c r="AJ500" s="2"/>
      <c r="AK500" s="2"/>
      <c r="AL500" s="2"/>
      <c r="AM500" s="2"/>
      <c r="AN500" s="2"/>
      <c r="AO500" s="9"/>
      <c r="AP500" s="9"/>
      <c r="AQ500" s="9"/>
      <c r="AR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224"/>
      <c r="X501" s="224"/>
      <c r="Y501" s="224"/>
      <c r="Z501" s="868"/>
      <c r="AA501" s="865"/>
      <c r="AB501" s="2"/>
      <c r="AC501" s="2"/>
      <c r="AD501" s="2"/>
      <c r="AE501" s="2"/>
      <c r="AF501" s="2"/>
      <c r="AG501" s="2"/>
      <c r="AH501" s="2"/>
      <c r="AI501" s="2"/>
      <c r="AJ501" s="2"/>
      <c r="AK501" s="2"/>
      <c r="AL501" s="2"/>
      <c r="AM501" s="2"/>
      <c r="AN501" s="2"/>
      <c r="AO501" s="9"/>
      <c r="AP501" s="9"/>
      <c r="AQ501" s="9"/>
      <c r="AR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224"/>
      <c r="X502" s="224"/>
      <c r="Y502" s="224"/>
      <c r="Z502" s="868"/>
      <c r="AA502" s="865"/>
      <c r="AB502" s="2"/>
      <c r="AC502" s="2"/>
      <c r="AD502" s="2"/>
      <c r="AE502" s="2"/>
      <c r="AF502" s="2"/>
      <c r="AG502" s="2"/>
      <c r="AH502" s="2"/>
      <c r="AI502" s="2"/>
      <c r="AJ502" s="2"/>
      <c r="AK502" s="2"/>
      <c r="AL502" s="2"/>
      <c r="AM502" s="2"/>
      <c r="AN502" s="2"/>
      <c r="AO502" s="9"/>
      <c r="AP502" s="9"/>
      <c r="AQ502" s="9"/>
      <c r="AR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224"/>
      <c r="X503" s="224"/>
      <c r="Y503" s="224"/>
      <c r="Z503" s="868"/>
      <c r="AA503" s="865"/>
      <c r="AB503" s="2"/>
      <c r="AC503" s="2"/>
      <c r="AD503" s="2"/>
      <c r="AE503" s="2"/>
      <c r="AF503" s="2"/>
      <c r="AG503" s="2"/>
      <c r="AH503" s="2"/>
      <c r="AI503" s="2"/>
      <c r="AJ503" s="2"/>
      <c r="AK503" s="2"/>
      <c r="AL503" s="2"/>
      <c r="AM503" s="2"/>
      <c r="AN503" s="2"/>
      <c r="AO503" s="9"/>
      <c r="AP503" s="9"/>
      <c r="AQ503" s="9"/>
      <c r="AR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224"/>
      <c r="X504" s="224"/>
      <c r="Y504" s="224"/>
      <c r="Z504" s="868"/>
      <c r="AA504" s="865"/>
      <c r="AB504" s="2"/>
      <c r="AC504" s="2"/>
      <c r="AD504" s="2"/>
      <c r="AE504" s="2"/>
      <c r="AF504" s="2"/>
      <c r="AG504" s="2"/>
      <c r="AH504" s="2"/>
      <c r="AI504" s="2"/>
      <c r="AJ504" s="2"/>
      <c r="AK504" s="2"/>
      <c r="AL504" s="2"/>
      <c r="AM504" s="2"/>
      <c r="AN504" s="2"/>
      <c r="AO504" s="9"/>
      <c r="AP504" s="9"/>
      <c r="AQ504" s="9"/>
      <c r="AR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224"/>
      <c r="X505" s="224"/>
      <c r="Y505" s="224"/>
      <c r="Z505" s="868"/>
      <c r="AA505" s="865"/>
      <c r="AB505" s="2"/>
      <c r="AC505" s="2"/>
      <c r="AD505" s="2"/>
      <c r="AE505" s="2"/>
      <c r="AF505" s="2"/>
      <c r="AG505" s="2"/>
      <c r="AH505" s="2"/>
      <c r="AI505" s="2"/>
      <c r="AJ505" s="2"/>
      <c r="AK505" s="2"/>
      <c r="AL505" s="2"/>
      <c r="AM505" s="2"/>
      <c r="AN505" s="2"/>
      <c r="AO505" s="9"/>
      <c r="AP505" s="9"/>
      <c r="AQ505" s="9"/>
      <c r="AR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224"/>
      <c r="X506" s="224"/>
      <c r="Y506" s="224"/>
      <c r="Z506" s="868"/>
      <c r="AA506" s="865"/>
      <c r="AB506" s="2"/>
      <c r="AC506" s="2"/>
      <c r="AD506" s="2"/>
      <c r="AE506" s="2"/>
      <c r="AF506" s="2"/>
      <c r="AG506" s="2"/>
      <c r="AH506" s="2"/>
      <c r="AI506" s="2"/>
      <c r="AJ506" s="2"/>
      <c r="AK506" s="2"/>
      <c r="AL506" s="2"/>
      <c r="AM506" s="2"/>
      <c r="AN506" s="2"/>
      <c r="AO506" s="9"/>
      <c r="AP506" s="9"/>
      <c r="AQ506" s="9"/>
      <c r="AR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224"/>
      <c r="X507" s="224"/>
      <c r="Y507" s="224"/>
      <c r="Z507" s="868"/>
      <c r="AA507" s="865"/>
      <c r="AB507" s="2"/>
      <c r="AC507" s="2"/>
      <c r="AD507" s="2"/>
      <c r="AE507" s="2"/>
      <c r="AF507" s="2"/>
      <c r="AG507" s="2"/>
      <c r="AH507" s="2"/>
      <c r="AI507" s="2"/>
      <c r="AJ507" s="2"/>
      <c r="AK507" s="2"/>
      <c r="AL507" s="2"/>
      <c r="AM507" s="2"/>
      <c r="AN507" s="2"/>
      <c r="AO507" s="9"/>
      <c r="AP507" s="9"/>
      <c r="AQ507" s="9"/>
      <c r="AR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224"/>
      <c r="X508" s="224"/>
      <c r="Y508" s="224"/>
      <c r="Z508" s="868"/>
      <c r="AA508" s="865"/>
      <c r="AB508" s="2"/>
      <c r="AC508" s="2"/>
      <c r="AD508" s="2"/>
      <c r="AE508" s="2"/>
      <c r="AF508" s="2"/>
      <c r="AG508" s="2"/>
      <c r="AH508" s="2"/>
      <c r="AI508" s="2"/>
      <c r="AJ508" s="2"/>
      <c r="AK508" s="2"/>
      <c r="AL508" s="2"/>
      <c r="AM508" s="2"/>
      <c r="AN508" s="2"/>
      <c r="AO508" s="9"/>
      <c r="AP508" s="9"/>
      <c r="AQ508" s="9"/>
      <c r="AR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224"/>
      <c r="X509" s="224"/>
      <c r="Y509" s="224"/>
      <c r="Z509" s="868"/>
      <c r="AA509" s="865"/>
      <c r="AB509" s="2"/>
      <c r="AC509" s="2"/>
      <c r="AD509" s="2"/>
      <c r="AE509" s="2"/>
      <c r="AF509" s="2"/>
      <c r="AG509" s="2"/>
      <c r="AH509" s="2"/>
      <c r="AI509" s="2"/>
      <c r="AJ509" s="2"/>
      <c r="AK509" s="2"/>
      <c r="AL509" s="2"/>
      <c r="AM509" s="2"/>
      <c r="AN509" s="2"/>
      <c r="AO509" s="9"/>
      <c r="AP509" s="9"/>
      <c r="AQ509" s="9"/>
      <c r="AR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224"/>
      <c r="X510" s="224"/>
      <c r="Y510" s="224"/>
      <c r="Z510" s="868"/>
      <c r="AA510" s="865"/>
      <c r="AB510" s="2"/>
      <c r="AC510" s="2"/>
      <c r="AD510" s="2"/>
      <c r="AE510" s="2"/>
      <c r="AF510" s="2"/>
      <c r="AG510" s="2"/>
      <c r="AH510" s="2"/>
      <c r="AI510" s="2"/>
      <c r="AJ510" s="2"/>
      <c r="AK510" s="2"/>
      <c r="AL510" s="2"/>
      <c r="AM510" s="2"/>
      <c r="AN510" s="2"/>
      <c r="AO510" s="9"/>
      <c r="AP510" s="9"/>
      <c r="AQ510" s="9"/>
      <c r="AR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224"/>
      <c r="X511" s="224"/>
      <c r="Y511" s="224"/>
      <c r="Z511" s="868"/>
      <c r="AA511" s="865"/>
      <c r="AB511" s="2"/>
      <c r="AC511" s="2"/>
      <c r="AD511" s="2"/>
      <c r="AE511" s="2"/>
      <c r="AF511" s="2"/>
      <c r="AG511" s="2"/>
      <c r="AH511" s="2"/>
      <c r="AI511" s="2"/>
      <c r="AJ511" s="2"/>
      <c r="AK511" s="2"/>
      <c r="AL511" s="2"/>
      <c r="AM511" s="2"/>
      <c r="AN511" s="2"/>
      <c r="AO511" s="9"/>
      <c r="AP511" s="9"/>
      <c r="AQ511" s="9"/>
      <c r="AR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224"/>
      <c r="X512" s="224"/>
      <c r="Y512" s="224"/>
      <c r="Z512" s="868"/>
      <c r="AA512" s="865"/>
      <c r="AB512" s="2"/>
      <c r="AC512" s="2"/>
      <c r="AD512" s="2"/>
      <c r="AE512" s="2"/>
      <c r="AF512" s="2"/>
      <c r="AG512" s="2"/>
      <c r="AH512" s="2"/>
      <c r="AI512" s="2"/>
      <c r="AJ512" s="2"/>
      <c r="AK512" s="2"/>
      <c r="AL512" s="2"/>
      <c r="AM512" s="2"/>
      <c r="AN512" s="2"/>
      <c r="AO512" s="9"/>
      <c r="AP512" s="9"/>
      <c r="AQ512" s="9"/>
      <c r="AR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224"/>
      <c r="X513" s="224"/>
      <c r="Y513" s="224"/>
      <c r="Z513" s="868"/>
      <c r="AA513" s="865"/>
      <c r="AB513" s="2"/>
      <c r="AC513" s="2"/>
      <c r="AD513" s="2"/>
      <c r="AE513" s="2"/>
      <c r="AF513" s="2"/>
      <c r="AG513" s="2"/>
      <c r="AH513" s="2"/>
      <c r="AI513" s="2"/>
      <c r="AJ513" s="2"/>
      <c r="AK513" s="2"/>
      <c r="AL513" s="2"/>
      <c r="AM513" s="2"/>
      <c r="AN513" s="2"/>
      <c r="AO513" s="9"/>
      <c r="AP513" s="9"/>
      <c r="AQ513" s="9"/>
      <c r="AR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224"/>
      <c r="X514" s="224"/>
      <c r="Y514" s="224"/>
      <c r="Z514" s="868"/>
      <c r="AA514" s="865"/>
      <c r="AB514" s="2"/>
      <c r="AC514" s="2"/>
      <c r="AD514" s="2"/>
      <c r="AE514" s="2"/>
      <c r="AF514" s="2"/>
      <c r="AG514" s="2"/>
      <c r="AH514" s="2"/>
      <c r="AI514" s="2"/>
      <c r="AJ514" s="2"/>
      <c r="AK514" s="2"/>
      <c r="AL514" s="2"/>
      <c r="AM514" s="2"/>
      <c r="AN514" s="2"/>
      <c r="AO514" s="9"/>
      <c r="AP514" s="9"/>
      <c r="AQ514" s="9"/>
      <c r="AR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224"/>
      <c r="X515" s="224"/>
      <c r="Y515" s="224"/>
      <c r="Z515" s="868"/>
      <c r="AA515" s="865"/>
      <c r="AB515" s="2"/>
      <c r="AC515" s="2"/>
      <c r="AD515" s="2"/>
      <c r="AE515" s="2"/>
      <c r="AF515" s="2"/>
      <c r="AG515" s="2"/>
      <c r="AH515" s="2"/>
      <c r="AI515" s="2"/>
      <c r="AJ515" s="2"/>
      <c r="AK515" s="2"/>
      <c r="AL515" s="2"/>
      <c r="AM515" s="2"/>
      <c r="AN515" s="2"/>
      <c r="AO515" s="9"/>
      <c r="AP515" s="9"/>
      <c r="AQ515" s="9"/>
      <c r="AR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224"/>
      <c r="X516" s="224"/>
      <c r="Y516" s="224"/>
      <c r="Z516" s="868"/>
      <c r="AA516" s="865"/>
      <c r="AB516" s="2"/>
      <c r="AC516" s="2"/>
      <c r="AD516" s="2"/>
      <c r="AE516" s="2"/>
      <c r="AF516" s="2"/>
      <c r="AG516" s="2"/>
      <c r="AH516" s="2"/>
      <c r="AI516" s="2"/>
      <c r="AJ516" s="2"/>
      <c r="AK516" s="2"/>
      <c r="AL516" s="2"/>
      <c r="AM516" s="2"/>
      <c r="AN516" s="2"/>
      <c r="AO516" s="9"/>
      <c r="AP516" s="9"/>
      <c r="AQ516" s="9"/>
      <c r="AR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224"/>
      <c r="X517" s="224"/>
      <c r="Y517" s="224"/>
      <c r="Z517" s="868"/>
      <c r="AA517" s="865"/>
      <c r="AB517" s="2"/>
      <c r="AC517" s="2"/>
      <c r="AD517" s="2"/>
      <c r="AE517" s="2"/>
      <c r="AF517" s="2"/>
      <c r="AG517" s="2"/>
      <c r="AH517" s="2"/>
      <c r="AI517" s="2"/>
      <c r="AJ517" s="2"/>
      <c r="AK517" s="2"/>
      <c r="AL517" s="2"/>
      <c r="AM517" s="2"/>
      <c r="AN517" s="2"/>
      <c r="AO517" s="9"/>
      <c r="AP517" s="9"/>
      <c r="AQ517" s="9"/>
      <c r="AR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224"/>
      <c r="X518" s="224"/>
      <c r="Y518" s="224"/>
      <c r="Z518" s="868"/>
      <c r="AA518" s="865"/>
      <c r="AB518" s="2"/>
      <c r="AC518" s="2"/>
      <c r="AD518" s="2"/>
      <c r="AE518" s="2"/>
      <c r="AF518" s="2"/>
      <c r="AG518" s="2"/>
      <c r="AH518" s="2"/>
      <c r="AI518" s="2"/>
      <c r="AJ518" s="2"/>
      <c r="AK518" s="2"/>
      <c r="AL518" s="2"/>
      <c r="AM518" s="2"/>
      <c r="AN518" s="2"/>
      <c r="AO518" s="9"/>
      <c r="AP518" s="9"/>
      <c r="AQ518" s="9"/>
      <c r="AR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224"/>
      <c r="X519" s="224"/>
      <c r="Y519" s="224"/>
      <c r="Z519" s="868"/>
      <c r="AA519" s="865"/>
      <c r="AB519" s="2"/>
      <c r="AC519" s="2"/>
      <c r="AD519" s="2"/>
      <c r="AE519" s="2"/>
      <c r="AF519" s="2"/>
      <c r="AG519" s="2"/>
      <c r="AH519" s="2"/>
      <c r="AI519" s="2"/>
      <c r="AJ519" s="2"/>
      <c r="AK519" s="2"/>
      <c r="AL519" s="2"/>
      <c r="AM519" s="2"/>
      <c r="AN519" s="2"/>
      <c r="AO519" s="9"/>
      <c r="AP519" s="9"/>
      <c r="AQ519" s="9"/>
      <c r="AR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224"/>
      <c r="X520" s="224"/>
      <c r="Y520" s="224"/>
      <c r="Z520" s="868"/>
      <c r="AA520" s="865"/>
      <c r="AB520" s="2"/>
      <c r="AC520" s="2"/>
      <c r="AD520" s="2"/>
      <c r="AE520" s="2"/>
      <c r="AF520" s="2"/>
      <c r="AG520" s="2"/>
      <c r="AH520" s="2"/>
      <c r="AI520" s="2"/>
      <c r="AJ520" s="2"/>
      <c r="AK520" s="2"/>
      <c r="AL520" s="2"/>
      <c r="AM520" s="2"/>
      <c r="AN520" s="2"/>
      <c r="AO520" s="9"/>
      <c r="AP520" s="9"/>
      <c r="AQ520" s="9"/>
      <c r="AR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224"/>
      <c r="X521" s="224"/>
      <c r="Y521" s="224"/>
      <c r="Z521" s="868"/>
      <c r="AA521" s="865"/>
      <c r="AB521" s="2"/>
      <c r="AC521" s="2"/>
      <c r="AD521" s="2"/>
      <c r="AE521" s="2"/>
      <c r="AF521" s="2"/>
      <c r="AG521" s="2"/>
      <c r="AH521" s="2"/>
      <c r="AI521" s="2"/>
      <c r="AJ521" s="2"/>
      <c r="AK521" s="2"/>
      <c r="AL521" s="2"/>
      <c r="AM521" s="2"/>
      <c r="AN521" s="2"/>
      <c r="AO521" s="9"/>
      <c r="AP521" s="9"/>
      <c r="AQ521" s="9"/>
      <c r="AR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224"/>
      <c r="X522" s="224"/>
      <c r="Y522" s="224"/>
      <c r="Z522" s="868"/>
      <c r="AA522" s="865"/>
      <c r="AB522" s="2"/>
      <c r="AC522" s="2"/>
      <c r="AD522" s="2"/>
      <c r="AE522" s="2"/>
      <c r="AF522" s="2"/>
      <c r="AG522" s="2"/>
      <c r="AH522" s="2"/>
      <c r="AI522" s="2"/>
      <c r="AJ522" s="2"/>
      <c r="AK522" s="2"/>
      <c r="AL522" s="2"/>
      <c r="AM522" s="2"/>
      <c r="AN522" s="2"/>
      <c r="AO522" s="9"/>
      <c r="AP522" s="9"/>
      <c r="AQ522" s="9"/>
      <c r="AR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224"/>
      <c r="X523" s="224"/>
      <c r="Y523" s="224"/>
      <c r="Z523" s="868"/>
      <c r="AA523" s="865"/>
      <c r="AB523" s="2"/>
      <c r="AC523" s="2"/>
      <c r="AD523" s="2"/>
      <c r="AE523" s="2"/>
      <c r="AF523" s="2"/>
      <c r="AG523" s="2"/>
      <c r="AH523" s="2"/>
      <c r="AI523" s="2"/>
      <c r="AJ523" s="2"/>
      <c r="AK523" s="2"/>
      <c r="AL523" s="2"/>
      <c r="AM523" s="2"/>
      <c r="AN523" s="2"/>
      <c r="AO523" s="9"/>
      <c r="AP523" s="9"/>
      <c r="AQ523" s="9"/>
      <c r="AR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224"/>
      <c r="X524" s="224"/>
      <c r="Y524" s="224"/>
      <c r="Z524" s="868"/>
      <c r="AA524" s="865"/>
      <c r="AB524" s="2"/>
      <c r="AC524" s="2"/>
      <c r="AD524" s="2"/>
      <c r="AE524" s="2"/>
      <c r="AF524" s="2"/>
      <c r="AG524" s="2"/>
      <c r="AH524" s="2"/>
      <c r="AI524" s="2"/>
      <c r="AJ524" s="2"/>
      <c r="AK524" s="2"/>
      <c r="AL524" s="2"/>
      <c r="AM524" s="2"/>
      <c r="AN524" s="2"/>
      <c r="AO524" s="9"/>
      <c r="AP524" s="9"/>
      <c r="AQ524" s="9"/>
      <c r="AR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224"/>
      <c r="X525" s="224"/>
      <c r="Y525" s="224"/>
      <c r="Z525" s="868"/>
      <c r="AA525" s="865"/>
      <c r="AB525" s="2"/>
      <c r="AC525" s="2"/>
      <c r="AD525" s="2"/>
      <c r="AE525" s="2"/>
      <c r="AF525" s="2"/>
      <c r="AG525" s="2"/>
      <c r="AH525" s="2"/>
      <c r="AI525" s="2"/>
      <c r="AJ525" s="2"/>
      <c r="AK525" s="2"/>
      <c r="AL525" s="2"/>
      <c r="AM525" s="2"/>
      <c r="AN525" s="2"/>
      <c r="AO525" s="9"/>
      <c r="AP525" s="9"/>
      <c r="AQ525" s="9"/>
      <c r="AR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224"/>
      <c r="X526" s="224"/>
      <c r="Y526" s="224"/>
      <c r="Z526" s="868"/>
      <c r="AA526" s="865"/>
      <c r="AB526" s="2"/>
      <c r="AC526" s="2"/>
      <c r="AD526" s="2"/>
      <c r="AE526" s="2"/>
      <c r="AF526" s="2"/>
      <c r="AG526" s="2"/>
      <c r="AH526" s="2"/>
      <c r="AI526" s="2"/>
      <c r="AJ526" s="2"/>
      <c r="AK526" s="2"/>
      <c r="AL526" s="2"/>
      <c r="AM526" s="2"/>
      <c r="AN526" s="2"/>
      <c r="AO526" s="9"/>
      <c r="AP526" s="9"/>
      <c r="AQ526" s="9"/>
      <c r="AR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224"/>
      <c r="X527" s="224"/>
      <c r="Y527" s="224"/>
      <c r="Z527" s="868"/>
      <c r="AA527" s="865"/>
      <c r="AB527" s="2"/>
      <c r="AC527" s="2"/>
      <c r="AD527" s="2"/>
      <c r="AE527" s="2"/>
      <c r="AF527" s="2"/>
      <c r="AG527" s="2"/>
      <c r="AH527" s="2"/>
      <c r="AI527" s="2"/>
      <c r="AJ527" s="2"/>
      <c r="AK527" s="2"/>
      <c r="AL527" s="2"/>
      <c r="AM527" s="2"/>
      <c r="AN527" s="2"/>
      <c r="AO527" s="9"/>
      <c r="AP527" s="9"/>
      <c r="AQ527" s="9"/>
      <c r="AR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224"/>
      <c r="X528" s="224"/>
      <c r="Y528" s="224"/>
      <c r="Z528" s="868"/>
      <c r="AA528" s="865"/>
      <c r="AB528" s="2"/>
      <c r="AC528" s="2"/>
      <c r="AD528" s="2"/>
      <c r="AE528" s="2"/>
      <c r="AF528" s="2"/>
      <c r="AG528" s="2"/>
      <c r="AH528" s="2"/>
      <c r="AI528" s="2"/>
      <c r="AJ528" s="2"/>
      <c r="AK528" s="2"/>
      <c r="AL528" s="2"/>
      <c r="AM528" s="2"/>
      <c r="AN528" s="2"/>
      <c r="AO528" s="9"/>
      <c r="AP528" s="9"/>
      <c r="AQ528" s="9"/>
      <c r="AR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224"/>
      <c r="X529" s="224"/>
      <c r="Y529" s="224"/>
      <c r="Z529" s="868"/>
      <c r="AA529" s="865"/>
      <c r="AB529" s="2"/>
      <c r="AC529" s="2"/>
      <c r="AD529" s="2"/>
      <c r="AE529" s="2"/>
      <c r="AF529" s="2"/>
      <c r="AG529" s="2"/>
      <c r="AH529" s="2"/>
      <c r="AI529" s="2"/>
      <c r="AJ529" s="2"/>
      <c r="AK529" s="2"/>
      <c r="AL529" s="2"/>
      <c r="AM529" s="2"/>
      <c r="AN529" s="2"/>
      <c r="AO529" s="9"/>
      <c r="AP529" s="9"/>
      <c r="AQ529" s="9"/>
      <c r="AR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224"/>
      <c r="X530" s="224"/>
      <c r="Y530" s="224"/>
      <c r="Z530" s="868"/>
      <c r="AA530" s="865"/>
      <c r="AB530" s="2"/>
      <c r="AC530" s="2"/>
      <c r="AD530" s="2"/>
      <c r="AE530" s="2"/>
      <c r="AF530" s="2"/>
      <c r="AG530" s="2"/>
      <c r="AH530" s="2"/>
      <c r="AI530" s="2"/>
      <c r="AJ530" s="2"/>
      <c r="AK530" s="2"/>
      <c r="AL530" s="2"/>
      <c r="AM530" s="2"/>
      <c r="AN530" s="2"/>
      <c r="AO530" s="9"/>
      <c r="AP530" s="9"/>
      <c r="AQ530" s="9"/>
      <c r="AR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224"/>
      <c r="X531" s="224"/>
      <c r="Y531" s="224"/>
      <c r="Z531" s="868"/>
      <c r="AA531" s="865"/>
      <c r="AB531" s="2"/>
      <c r="AC531" s="2"/>
      <c r="AD531" s="2"/>
      <c r="AE531" s="2"/>
      <c r="AF531" s="2"/>
      <c r="AG531" s="2"/>
      <c r="AH531" s="2"/>
      <c r="AI531" s="2"/>
      <c r="AJ531" s="2"/>
      <c r="AK531" s="2"/>
      <c r="AL531" s="2"/>
      <c r="AM531" s="2"/>
      <c r="AN531" s="2"/>
      <c r="AO531" s="9"/>
      <c r="AP531" s="9"/>
      <c r="AQ531" s="9"/>
      <c r="AR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224"/>
      <c r="X532" s="224"/>
      <c r="Y532" s="224"/>
      <c r="Z532" s="868"/>
      <c r="AA532" s="865"/>
      <c r="AB532" s="2"/>
      <c r="AC532" s="2"/>
      <c r="AD532" s="2"/>
      <c r="AE532" s="2"/>
      <c r="AF532" s="2"/>
      <c r="AG532" s="2"/>
      <c r="AH532" s="2"/>
      <c r="AI532" s="2"/>
      <c r="AJ532" s="2"/>
      <c r="AK532" s="2"/>
      <c r="AL532" s="2"/>
      <c r="AM532" s="2"/>
      <c r="AN532" s="2"/>
      <c r="AO532" s="9"/>
      <c r="AP532" s="9"/>
      <c r="AQ532" s="9"/>
      <c r="AR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224"/>
      <c r="X533" s="224"/>
      <c r="Y533" s="224"/>
      <c r="Z533" s="868"/>
      <c r="AA533" s="865"/>
      <c r="AB533" s="2"/>
      <c r="AC533" s="2"/>
      <c r="AD533" s="2"/>
      <c r="AE533" s="2"/>
      <c r="AF533" s="2"/>
      <c r="AG533" s="2"/>
      <c r="AH533" s="2"/>
      <c r="AI533" s="2"/>
      <c r="AJ533" s="2"/>
      <c r="AK533" s="2"/>
      <c r="AL533" s="2"/>
      <c r="AM533" s="2"/>
      <c r="AN533" s="2"/>
      <c r="AO533" s="9"/>
      <c r="AP533" s="9"/>
      <c r="AQ533" s="9"/>
      <c r="AR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224"/>
      <c r="X534" s="224"/>
      <c r="Y534" s="224"/>
      <c r="Z534" s="868"/>
      <c r="AA534" s="865"/>
      <c r="AB534" s="2"/>
      <c r="AC534" s="2"/>
      <c r="AD534" s="2"/>
      <c r="AE534" s="2"/>
      <c r="AF534" s="2"/>
      <c r="AG534" s="2"/>
      <c r="AH534" s="2"/>
      <c r="AI534" s="2"/>
      <c r="AJ534" s="2"/>
      <c r="AK534" s="2"/>
      <c r="AL534" s="2"/>
      <c r="AM534" s="2"/>
      <c r="AN534" s="2"/>
      <c r="AO534" s="9"/>
      <c r="AP534" s="9"/>
      <c r="AQ534" s="9"/>
      <c r="AR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224"/>
      <c r="X535" s="224"/>
      <c r="Y535" s="224"/>
      <c r="Z535" s="868"/>
      <c r="AA535" s="865"/>
      <c r="AB535" s="2"/>
      <c r="AC535" s="2"/>
      <c r="AD535" s="2"/>
      <c r="AE535" s="2"/>
      <c r="AF535" s="2"/>
      <c r="AG535" s="2"/>
      <c r="AH535" s="2"/>
      <c r="AI535" s="2"/>
      <c r="AJ535" s="2"/>
      <c r="AK535" s="2"/>
      <c r="AL535" s="2"/>
      <c r="AM535" s="2"/>
      <c r="AN535" s="2"/>
      <c r="AO535" s="9"/>
      <c r="AP535" s="9"/>
      <c r="AQ535" s="9"/>
      <c r="AR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224"/>
      <c r="X536" s="224"/>
      <c r="Y536" s="224"/>
      <c r="Z536" s="868"/>
      <c r="AA536" s="865"/>
      <c r="AB536" s="2"/>
      <c r="AC536" s="2"/>
      <c r="AD536" s="2"/>
      <c r="AE536" s="2"/>
      <c r="AF536" s="2"/>
      <c r="AG536" s="2"/>
      <c r="AH536" s="2"/>
      <c r="AI536" s="2"/>
      <c r="AJ536" s="2"/>
      <c r="AK536" s="2"/>
      <c r="AL536" s="2"/>
      <c r="AM536" s="2"/>
      <c r="AN536" s="2"/>
      <c r="AO536" s="9"/>
      <c r="AP536" s="9"/>
      <c r="AQ536" s="9"/>
      <c r="AR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224"/>
      <c r="X537" s="224"/>
      <c r="Y537" s="224"/>
      <c r="Z537" s="868"/>
      <c r="AA537" s="865"/>
      <c r="AB537" s="2"/>
      <c r="AC537" s="2"/>
      <c r="AD537" s="2"/>
      <c r="AE537" s="2"/>
      <c r="AF537" s="2"/>
      <c r="AG537" s="2"/>
      <c r="AH537" s="2"/>
      <c r="AI537" s="2"/>
      <c r="AJ537" s="2"/>
      <c r="AK537" s="2"/>
      <c r="AL537" s="2"/>
      <c r="AM537" s="2"/>
      <c r="AN537" s="2"/>
      <c r="AO537" s="9"/>
      <c r="AP537" s="9"/>
      <c r="AQ537" s="9"/>
      <c r="AR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224"/>
      <c r="X538" s="224"/>
      <c r="Y538" s="224"/>
      <c r="Z538" s="868"/>
      <c r="AA538" s="865"/>
      <c r="AB538" s="2"/>
      <c r="AC538" s="2"/>
      <c r="AD538" s="2"/>
      <c r="AE538" s="2"/>
      <c r="AF538" s="2"/>
      <c r="AG538" s="2"/>
      <c r="AH538" s="2"/>
      <c r="AI538" s="2"/>
      <c r="AJ538" s="2"/>
      <c r="AK538" s="2"/>
      <c r="AL538" s="2"/>
      <c r="AM538" s="2"/>
      <c r="AN538" s="2"/>
      <c r="AO538" s="9"/>
      <c r="AP538" s="9"/>
      <c r="AQ538" s="9"/>
      <c r="AR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224"/>
      <c r="X539" s="224"/>
      <c r="Y539" s="224"/>
      <c r="Z539" s="868"/>
      <c r="AA539" s="865"/>
      <c r="AB539" s="2"/>
      <c r="AC539" s="2"/>
      <c r="AD539" s="2"/>
      <c r="AE539" s="2"/>
      <c r="AF539" s="2"/>
      <c r="AG539" s="2"/>
      <c r="AH539" s="2"/>
      <c r="AI539" s="2"/>
      <c r="AJ539" s="2"/>
      <c r="AK539" s="2"/>
      <c r="AL539" s="2"/>
      <c r="AM539" s="2"/>
      <c r="AN539" s="2"/>
      <c r="AO539" s="9"/>
      <c r="AP539" s="9"/>
      <c r="AQ539" s="9"/>
      <c r="AR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224"/>
      <c r="X540" s="224"/>
      <c r="Y540" s="224"/>
      <c r="Z540" s="868"/>
      <c r="AA540" s="865"/>
      <c r="AB540" s="2"/>
      <c r="AC540" s="2"/>
      <c r="AD540" s="2"/>
      <c r="AE540" s="2"/>
      <c r="AF540" s="2"/>
      <c r="AG540" s="2"/>
      <c r="AH540" s="2"/>
      <c r="AI540" s="2"/>
      <c r="AJ540" s="2"/>
      <c r="AK540" s="2"/>
      <c r="AL540" s="2"/>
      <c r="AM540" s="2"/>
      <c r="AN540" s="2"/>
      <c r="AO540" s="9"/>
      <c r="AP540" s="9"/>
      <c r="AQ540" s="9"/>
      <c r="AR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224"/>
      <c r="X541" s="224"/>
      <c r="Y541" s="224"/>
      <c r="Z541" s="868"/>
      <c r="AA541" s="865"/>
      <c r="AB541" s="2"/>
      <c r="AC541" s="2"/>
      <c r="AD541" s="2"/>
      <c r="AE541" s="2"/>
      <c r="AF541" s="2"/>
      <c r="AG541" s="2"/>
      <c r="AH541" s="2"/>
      <c r="AI541" s="2"/>
      <c r="AJ541" s="2"/>
      <c r="AK541" s="2"/>
      <c r="AL541" s="2"/>
      <c r="AM541" s="2"/>
      <c r="AN541" s="2"/>
      <c r="AO541" s="9"/>
      <c r="AP541" s="9"/>
      <c r="AQ541" s="9"/>
      <c r="AR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224"/>
      <c r="X542" s="224"/>
      <c r="Y542" s="224"/>
      <c r="Z542" s="868"/>
      <c r="AA542" s="865"/>
      <c r="AB542" s="2"/>
      <c r="AC542" s="2"/>
      <c r="AD542" s="2"/>
      <c r="AE542" s="2"/>
      <c r="AF542" s="2"/>
      <c r="AG542" s="2"/>
      <c r="AH542" s="2"/>
      <c r="AI542" s="2"/>
      <c r="AJ542" s="2"/>
      <c r="AK542" s="2"/>
      <c r="AL542" s="2"/>
      <c r="AM542" s="2"/>
      <c r="AN542" s="2"/>
      <c r="AO542" s="9"/>
      <c r="AP542" s="9"/>
      <c r="AQ542" s="9"/>
      <c r="AR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224"/>
      <c r="X543" s="224"/>
      <c r="Y543" s="224"/>
      <c r="Z543" s="868"/>
      <c r="AA543" s="865"/>
      <c r="AB543" s="2"/>
      <c r="AC543" s="2"/>
      <c r="AD543" s="2"/>
      <c r="AE543" s="2"/>
      <c r="AF543" s="2"/>
      <c r="AG543" s="2"/>
      <c r="AH543" s="2"/>
      <c r="AI543" s="2"/>
      <c r="AJ543" s="2"/>
      <c r="AK543" s="2"/>
      <c r="AL543" s="2"/>
      <c r="AM543" s="2"/>
      <c r="AN543" s="2"/>
      <c r="AO543" s="9"/>
      <c r="AP543" s="9"/>
      <c r="AQ543" s="9"/>
      <c r="AR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224"/>
      <c r="X544" s="224"/>
      <c r="Y544" s="224"/>
      <c r="Z544" s="868"/>
      <c r="AA544" s="865"/>
      <c r="AB544" s="2"/>
      <c r="AC544" s="2"/>
      <c r="AD544" s="2"/>
      <c r="AE544" s="2"/>
      <c r="AF544" s="2"/>
      <c r="AG544" s="2"/>
      <c r="AH544" s="2"/>
      <c r="AI544" s="2"/>
      <c r="AJ544" s="2"/>
      <c r="AK544" s="2"/>
      <c r="AL544" s="2"/>
      <c r="AM544" s="2"/>
      <c r="AN544" s="2"/>
      <c r="AO544" s="9"/>
      <c r="AP544" s="9"/>
      <c r="AQ544" s="9"/>
      <c r="AR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224"/>
      <c r="X545" s="224"/>
      <c r="Y545" s="224"/>
      <c r="Z545" s="868"/>
      <c r="AA545" s="865"/>
      <c r="AB545" s="2"/>
      <c r="AC545" s="2"/>
      <c r="AD545" s="2"/>
      <c r="AE545" s="2"/>
      <c r="AF545" s="2"/>
      <c r="AG545" s="2"/>
      <c r="AH545" s="2"/>
      <c r="AI545" s="2"/>
      <c r="AJ545" s="2"/>
      <c r="AK545" s="2"/>
      <c r="AL545" s="2"/>
      <c r="AM545" s="2"/>
      <c r="AN545" s="2"/>
      <c r="AO545" s="9"/>
      <c r="AP545" s="9"/>
      <c r="AQ545" s="9"/>
      <c r="AR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224"/>
      <c r="X546" s="224"/>
      <c r="Y546" s="224"/>
      <c r="Z546" s="868"/>
      <c r="AA546" s="865"/>
      <c r="AB546" s="2"/>
      <c r="AC546" s="2"/>
      <c r="AD546" s="2"/>
      <c r="AE546" s="2"/>
      <c r="AF546" s="2"/>
      <c r="AG546" s="2"/>
      <c r="AH546" s="2"/>
      <c r="AI546" s="2"/>
      <c r="AJ546" s="2"/>
      <c r="AK546" s="2"/>
      <c r="AL546" s="2"/>
      <c r="AM546" s="2"/>
      <c r="AN546" s="2"/>
      <c r="AO546" s="9"/>
      <c r="AP546" s="9"/>
      <c r="AQ546" s="9"/>
      <c r="AR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224"/>
      <c r="X547" s="224"/>
      <c r="Y547" s="224"/>
      <c r="Z547" s="868"/>
      <c r="AA547" s="865"/>
      <c r="AB547" s="2"/>
      <c r="AC547" s="2"/>
      <c r="AD547" s="2"/>
      <c r="AE547" s="2"/>
      <c r="AF547" s="2"/>
      <c r="AG547" s="2"/>
      <c r="AH547" s="2"/>
      <c r="AI547" s="2"/>
      <c r="AJ547" s="2"/>
      <c r="AK547" s="2"/>
      <c r="AL547" s="2"/>
      <c r="AM547" s="2"/>
      <c r="AN547" s="2"/>
      <c r="AO547" s="9"/>
      <c r="AP547" s="9"/>
      <c r="AQ547" s="9"/>
      <c r="AR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224"/>
      <c r="X548" s="224"/>
      <c r="Y548" s="224"/>
      <c r="Z548" s="868"/>
      <c r="AA548" s="865"/>
      <c r="AB548" s="2"/>
      <c r="AC548" s="2"/>
      <c r="AD548" s="2"/>
      <c r="AE548" s="2"/>
      <c r="AF548" s="2"/>
      <c r="AG548" s="2"/>
      <c r="AH548" s="2"/>
      <c r="AI548" s="2"/>
      <c r="AJ548" s="2"/>
      <c r="AK548" s="2"/>
      <c r="AL548" s="2"/>
      <c r="AM548" s="2"/>
      <c r="AN548" s="2"/>
      <c r="AO548" s="9"/>
      <c r="AP548" s="9"/>
      <c r="AQ548" s="9"/>
      <c r="AR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224"/>
      <c r="X549" s="224"/>
      <c r="Y549" s="224"/>
      <c r="Z549" s="868"/>
      <c r="AA549" s="865"/>
      <c r="AB549" s="2"/>
      <c r="AC549" s="2"/>
      <c r="AD549" s="2"/>
      <c r="AE549" s="2"/>
      <c r="AF549" s="2"/>
      <c r="AG549" s="2"/>
      <c r="AH549" s="2"/>
      <c r="AI549" s="2"/>
      <c r="AJ549" s="2"/>
      <c r="AK549" s="2"/>
      <c r="AL549" s="2"/>
      <c r="AM549" s="2"/>
      <c r="AN549" s="2"/>
      <c r="AO549" s="9"/>
      <c r="AP549" s="9"/>
      <c r="AQ549" s="9"/>
      <c r="AR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224"/>
      <c r="X550" s="224"/>
      <c r="Y550" s="224"/>
      <c r="Z550" s="868"/>
      <c r="AA550" s="865"/>
      <c r="AB550" s="2"/>
      <c r="AC550" s="2"/>
      <c r="AD550" s="2"/>
      <c r="AE550" s="2"/>
      <c r="AF550" s="2"/>
      <c r="AG550" s="2"/>
      <c r="AH550" s="2"/>
      <c r="AI550" s="2"/>
      <c r="AJ550" s="2"/>
      <c r="AK550" s="2"/>
      <c r="AL550" s="2"/>
      <c r="AM550" s="2"/>
      <c r="AN550" s="2"/>
      <c r="AO550" s="9"/>
      <c r="AP550" s="9"/>
      <c r="AQ550" s="9"/>
      <c r="AR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224"/>
      <c r="X551" s="224"/>
      <c r="Y551" s="224"/>
      <c r="Z551" s="868"/>
      <c r="AA551" s="865"/>
      <c r="AB551" s="2"/>
      <c r="AC551" s="2"/>
      <c r="AD551" s="2"/>
      <c r="AE551" s="2"/>
      <c r="AF551" s="2"/>
      <c r="AG551" s="2"/>
      <c r="AH551" s="2"/>
      <c r="AI551" s="2"/>
      <c r="AJ551" s="2"/>
      <c r="AK551" s="2"/>
      <c r="AL551" s="2"/>
      <c r="AM551" s="2"/>
      <c r="AN551" s="2"/>
      <c r="AO551" s="9"/>
      <c r="AP551" s="9"/>
      <c r="AQ551" s="9"/>
      <c r="AR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224"/>
      <c r="X552" s="224"/>
      <c r="Y552" s="224"/>
      <c r="Z552" s="868"/>
      <c r="AA552" s="865"/>
      <c r="AB552" s="2"/>
      <c r="AC552" s="2"/>
      <c r="AD552" s="2"/>
      <c r="AE552" s="2"/>
      <c r="AF552" s="2"/>
      <c r="AG552" s="2"/>
      <c r="AH552" s="2"/>
      <c r="AI552" s="2"/>
      <c r="AJ552" s="2"/>
      <c r="AK552" s="2"/>
      <c r="AL552" s="2"/>
      <c r="AM552" s="2"/>
      <c r="AN552" s="2"/>
      <c r="AO552" s="9"/>
      <c r="AP552" s="9"/>
      <c r="AQ552" s="9"/>
      <c r="AR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224"/>
      <c r="X553" s="224"/>
      <c r="Y553" s="224"/>
      <c r="Z553" s="868"/>
      <c r="AA553" s="865"/>
      <c r="AB553" s="2"/>
      <c r="AC553" s="2"/>
      <c r="AD553" s="2"/>
      <c r="AE553" s="2"/>
      <c r="AF553" s="2"/>
      <c r="AG553" s="2"/>
      <c r="AH553" s="2"/>
      <c r="AI553" s="2"/>
      <c r="AJ553" s="2"/>
      <c r="AK553" s="2"/>
      <c r="AL553" s="2"/>
      <c r="AM553" s="2"/>
      <c r="AN553" s="2"/>
      <c r="AO553" s="9"/>
      <c r="AP553" s="9"/>
      <c r="AQ553" s="9"/>
      <c r="AR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224"/>
      <c r="X554" s="224"/>
      <c r="Y554" s="224"/>
      <c r="Z554" s="868"/>
      <c r="AA554" s="865"/>
      <c r="AB554" s="2"/>
      <c r="AC554" s="2"/>
      <c r="AD554" s="2"/>
      <c r="AE554" s="2"/>
      <c r="AF554" s="2"/>
      <c r="AG554" s="2"/>
      <c r="AH554" s="2"/>
      <c r="AI554" s="2"/>
      <c r="AJ554" s="2"/>
      <c r="AK554" s="2"/>
      <c r="AL554" s="2"/>
      <c r="AM554" s="2"/>
      <c r="AN554" s="2"/>
      <c r="AO554" s="9"/>
      <c r="AP554" s="9"/>
      <c r="AQ554" s="9"/>
      <c r="AR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224"/>
      <c r="X555" s="224"/>
      <c r="Y555" s="224"/>
      <c r="Z555" s="868"/>
      <c r="AA555" s="865"/>
      <c r="AB555" s="2"/>
      <c r="AC555" s="2"/>
      <c r="AD555" s="2"/>
      <c r="AE555" s="2"/>
      <c r="AF555" s="2"/>
      <c r="AG555" s="2"/>
      <c r="AH555" s="2"/>
      <c r="AI555" s="2"/>
      <c r="AJ555" s="2"/>
      <c r="AK555" s="2"/>
      <c r="AL555" s="2"/>
      <c r="AM555" s="2"/>
      <c r="AN555" s="2"/>
      <c r="AO555" s="9"/>
      <c r="AP555" s="9"/>
      <c r="AQ555" s="9"/>
      <c r="AR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224"/>
      <c r="X556" s="224"/>
      <c r="Y556" s="224"/>
      <c r="Z556" s="868"/>
      <c r="AA556" s="865"/>
      <c r="AB556" s="2"/>
      <c r="AC556" s="2"/>
      <c r="AD556" s="2"/>
      <c r="AE556" s="2"/>
      <c r="AF556" s="2"/>
      <c r="AG556" s="2"/>
      <c r="AH556" s="2"/>
      <c r="AI556" s="2"/>
      <c r="AJ556" s="2"/>
      <c r="AK556" s="2"/>
      <c r="AL556" s="2"/>
      <c r="AM556" s="2"/>
      <c r="AN556" s="2"/>
      <c r="AO556" s="9"/>
      <c r="AP556" s="9"/>
      <c r="AQ556" s="9"/>
      <c r="AR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224"/>
      <c r="X557" s="224"/>
      <c r="Y557" s="224"/>
      <c r="Z557" s="868"/>
      <c r="AA557" s="865"/>
      <c r="AB557" s="2"/>
      <c r="AC557" s="2"/>
      <c r="AD557" s="2"/>
      <c r="AE557" s="2"/>
      <c r="AF557" s="2"/>
      <c r="AG557" s="2"/>
      <c r="AH557" s="2"/>
      <c r="AI557" s="2"/>
      <c r="AJ557" s="2"/>
      <c r="AK557" s="2"/>
      <c r="AL557" s="2"/>
      <c r="AM557" s="2"/>
      <c r="AN557" s="2"/>
      <c r="AO557" s="9"/>
      <c r="AP557" s="9"/>
      <c r="AQ557" s="9"/>
      <c r="AR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224"/>
      <c r="X558" s="224"/>
      <c r="Y558" s="224"/>
      <c r="Z558" s="868"/>
      <c r="AA558" s="865"/>
      <c r="AB558" s="2"/>
      <c r="AC558" s="2"/>
      <c r="AD558" s="2"/>
      <c r="AE558" s="2"/>
      <c r="AF558" s="2"/>
      <c r="AG558" s="2"/>
      <c r="AH558" s="2"/>
      <c r="AI558" s="2"/>
      <c r="AJ558" s="2"/>
      <c r="AK558" s="2"/>
      <c r="AL558" s="2"/>
      <c r="AM558" s="2"/>
      <c r="AN558" s="2"/>
      <c r="AO558" s="9"/>
      <c r="AP558" s="9"/>
      <c r="AQ558" s="9"/>
      <c r="AR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224"/>
      <c r="X559" s="224"/>
      <c r="Y559" s="224"/>
      <c r="Z559" s="868"/>
      <c r="AA559" s="865"/>
      <c r="AB559" s="2"/>
      <c r="AC559" s="2"/>
      <c r="AD559" s="2"/>
      <c r="AE559" s="2"/>
      <c r="AF559" s="2"/>
      <c r="AG559" s="2"/>
      <c r="AH559" s="2"/>
      <c r="AI559" s="2"/>
      <c r="AJ559" s="2"/>
      <c r="AK559" s="2"/>
      <c r="AL559" s="2"/>
      <c r="AM559" s="2"/>
      <c r="AN559" s="2"/>
      <c r="AO559" s="9"/>
      <c r="AP559" s="9"/>
      <c r="AQ559" s="9"/>
      <c r="AR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224"/>
      <c r="X560" s="224"/>
      <c r="Y560" s="224"/>
      <c r="Z560" s="868"/>
      <c r="AA560" s="865"/>
      <c r="AB560" s="2"/>
      <c r="AC560" s="2"/>
      <c r="AD560" s="2"/>
      <c r="AE560" s="2"/>
      <c r="AF560" s="2"/>
      <c r="AG560" s="2"/>
      <c r="AH560" s="2"/>
      <c r="AI560" s="2"/>
      <c r="AJ560" s="2"/>
      <c r="AK560" s="2"/>
      <c r="AL560" s="2"/>
      <c r="AM560" s="2"/>
      <c r="AN560" s="2"/>
      <c r="AO560" s="9"/>
      <c r="AP560" s="9"/>
      <c r="AQ560" s="9"/>
      <c r="AR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224"/>
      <c r="X561" s="224"/>
      <c r="Y561" s="224"/>
      <c r="Z561" s="868"/>
      <c r="AA561" s="865"/>
      <c r="AB561" s="2"/>
      <c r="AC561" s="2"/>
      <c r="AD561" s="2"/>
      <c r="AE561" s="2"/>
      <c r="AF561" s="2"/>
      <c r="AG561" s="2"/>
      <c r="AH561" s="2"/>
      <c r="AI561" s="2"/>
      <c r="AJ561" s="2"/>
      <c r="AK561" s="2"/>
      <c r="AL561" s="2"/>
      <c r="AM561" s="2"/>
      <c r="AN561" s="2"/>
      <c r="AO561" s="9"/>
      <c r="AP561" s="9"/>
      <c r="AQ561" s="9"/>
      <c r="AR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224"/>
      <c r="X562" s="224"/>
      <c r="Y562" s="224"/>
      <c r="Z562" s="868"/>
      <c r="AA562" s="865"/>
      <c r="AB562" s="2"/>
      <c r="AC562" s="2"/>
      <c r="AD562" s="2"/>
      <c r="AE562" s="2"/>
      <c r="AF562" s="2"/>
      <c r="AG562" s="2"/>
      <c r="AH562" s="2"/>
      <c r="AI562" s="2"/>
      <c r="AJ562" s="2"/>
      <c r="AK562" s="2"/>
      <c r="AL562" s="2"/>
      <c r="AM562" s="2"/>
      <c r="AN562" s="2"/>
      <c r="AO562" s="9"/>
      <c r="AP562" s="9"/>
      <c r="AQ562" s="9"/>
      <c r="AR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224"/>
      <c r="X563" s="224"/>
      <c r="Y563" s="224"/>
      <c r="Z563" s="868"/>
      <c r="AA563" s="865"/>
      <c r="AB563" s="2"/>
      <c r="AC563" s="2"/>
      <c r="AD563" s="2"/>
      <c r="AE563" s="2"/>
      <c r="AF563" s="2"/>
      <c r="AG563" s="2"/>
      <c r="AH563" s="2"/>
      <c r="AI563" s="2"/>
      <c r="AJ563" s="2"/>
      <c r="AK563" s="2"/>
      <c r="AL563" s="2"/>
      <c r="AM563" s="2"/>
      <c r="AN563" s="2"/>
      <c r="AO563" s="9"/>
      <c r="AP563" s="9"/>
      <c r="AQ563" s="9"/>
      <c r="AR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224"/>
      <c r="X564" s="224"/>
      <c r="Y564" s="224"/>
      <c r="Z564" s="868"/>
      <c r="AA564" s="865"/>
      <c r="AB564" s="2"/>
      <c r="AC564" s="2"/>
      <c r="AD564" s="2"/>
      <c r="AE564" s="2"/>
      <c r="AF564" s="2"/>
      <c r="AG564" s="2"/>
      <c r="AH564" s="2"/>
      <c r="AI564" s="2"/>
      <c r="AJ564" s="2"/>
      <c r="AK564" s="2"/>
      <c r="AL564" s="2"/>
      <c r="AM564" s="2"/>
      <c r="AN564" s="2"/>
      <c r="AO564" s="9"/>
      <c r="AP564" s="9"/>
      <c r="AQ564" s="9"/>
      <c r="AR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224"/>
      <c r="X565" s="224"/>
      <c r="Y565" s="224"/>
      <c r="Z565" s="868"/>
      <c r="AA565" s="865"/>
      <c r="AB565" s="2"/>
      <c r="AC565" s="2"/>
      <c r="AD565" s="2"/>
      <c r="AE565" s="2"/>
      <c r="AF565" s="2"/>
      <c r="AG565" s="2"/>
      <c r="AH565" s="2"/>
      <c r="AI565" s="2"/>
      <c r="AJ565" s="2"/>
      <c r="AK565" s="2"/>
      <c r="AL565" s="2"/>
      <c r="AM565" s="2"/>
      <c r="AN565" s="2"/>
      <c r="AO565" s="9"/>
      <c r="AP565" s="9"/>
      <c r="AQ565" s="9"/>
      <c r="AR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224"/>
      <c r="X566" s="224"/>
      <c r="Y566" s="224"/>
      <c r="Z566" s="868"/>
      <c r="AA566" s="865"/>
      <c r="AB566" s="2"/>
      <c r="AC566" s="2"/>
      <c r="AD566" s="2"/>
      <c r="AE566" s="2"/>
      <c r="AF566" s="2"/>
      <c r="AG566" s="2"/>
      <c r="AH566" s="2"/>
      <c r="AI566" s="2"/>
      <c r="AJ566" s="2"/>
      <c r="AK566" s="2"/>
      <c r="AL566" s="2"/>
      <c r="AM566" s="2"/>
      <c r="AN566" s="2"/>
      <c r="AO566" s="9"/>
      <c r="AP566" s="9"/>
      <c r="AQ566" s="9"/>
      <c r="AR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224"/>
      <c r="X567" s="224"/>
      <c r="Y567" s="224"/>
      <c r="Z567" s="868"/>
      <c r="AA567" s="865"/>
      <c r="AB567" s="2"/>
      <c r="AC567" s="2"/>
      <c r="AD567" s="2"/>
      <c r="AE567" s="2"/>
      <c r="AF567" s="2"/>
      <c r="AG567" s="2"/>
      <c r="AH567" s="2"/>
      <c r="AI567" s="2"/>
      <c r="AJ567" s="2"/>
      <c r="AK567" s="2"/>
      <c r="AL567" s="2"/>
      <c r="AM567" s="2"/>
      <c r="AN567" s="2"/>
      <c r="AO567" s="9"/>
      <c r="AP567" s="9"/>
      <c r="AQ567" s="9"/>
      <c r="AR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224"/>
      <c r="X568" s="224"/>
      <c r="Y568" s="224"/>
      <c r="Z568" s="868"/>
      <c r="AA568" s="865"/>
      <c r="AB568" s="2"/>
      <c r="AC568" s="2"/>
      <c r="AD568" s="2"/>
      <c r="AE568" s="2"/>
      <c r="AF568" s="2"/>
      <c r="AG568" s="2"/>
      <c r="AH568" s="2"/>
      <c r="AI568" s="2"/>
      <c r="AJ568" s="2"/>
      <c r="AK568" s="2"/>
      <c r="AL568" s="2"/>
      <c r="AM568" s="2"/>
      <c r="AN568" s="2"/>
      <c r="AO568" s="9"/>
      <c r="AP568" s="9"/>
      <c r="AQ568" s="9"/>
      <c r="AR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224"/>
      <c r="X569" s="224"/>
      <c r="Y569" s="224"/>
      <c r="Z569" s="868"/>
      <c r="AA569" s="865"/>
      <c r="AB569" s="2"/>
      <c r="AC569" s="2"/>
      <c r="AD569" s="2"/>
      <c r="AE569" s="2"/>
      <c r="AF569" s="2"/>
      <c r="AG569" s="2"/>
      <c r="AH569" s="2"/>
      <c r="AI569" s="2"/>
      <c r="AJ569" s="2"/>
      <c r="AK569" s="2"/>
      <c r="AL569" s="2"/>
      <c r="AM569" s="2"/>
      <c r="AN569" s="2"/>
      <c r="AO569" s="9"/>
      <c r="AP569" s="9"/>
      <c r="AQ569" s="9"/>
      <c r="AR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224"/>
      <c r="X570" s="224"/>
      <c r="Y570" s="224"/>
      <c r="Z570" s="868"/>
      <c r="AA570" s="865"/>
      <c r="AB570" s="2"/>
      <c r="AC570" s="2"/>
      <c r="AD570" s="2"/>
      <c r="AE570" s="2"/>
      <c r="AF570" s="2"/>
      <c r="AG570" s="2"/>
      <c r="AH570" s="2"/>
      <c r="AI570" s="2"/>
      <c r="AJ570" s="2"/>
      <c r="AK570" s="2"/>
      <c r="AL570" s="2"/>
      <c r="AM570" s="2"/>
      <c r="AN570" s="2"/>
      <c r="AO570" s="9"/>
      <c r="AP570" s="9"/>
      <c r="AQ570" s="9"/>
      <c r="AR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224"/>
      <c r="X571" s="224"/>
      <c r="Y571" s="224"/>
      <c r="Z571" s="868"/>
      <c r="AA571" s="865"/>
      <c r="AB571" s="2"/>
      <c r="AC571" s="2"/>
      <c r="AD571" s="2"/>
      <c r="AE571" s="2"/>
      <c r="AF571" s="2"/>
      <c r="AG571" s="2"/>
      <c r="AH571" s="2"/>
      <c r="AI571" s="2"/>
      <c r="AJ571" s="2"/>
      <c r="AK571" s="2"/>
      <c r="AL571" s="2"/>
      <c r="AM571" s="2"/>
      <c r="AN571" s="2"/>
      <c r="AO571" s="9"/>
      <c r="AP571" s="9"/>
      <c r="AQ571" s="9"/>
      <c r="AR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224"/>
      <c r="X572" s="224"/>
      <c r="Y572" s="224"/>
      <c r="Z572" s="868"/>
      <c r="AA572" s="865"/>
      <c r="AB572" s="2"/>
      <c r="AC572" s="2"/>
      <c r="AD572" s="2"/>
      <c r="AE572" s="2"/>
      <c r="AF572" s="2"/>
      <c r="AG572" s="2"/>
      <c r="AH572" s="2"/>
      <c r="AI572" s="2"/>
      <c r="AJ572" s="2"/>
      <c r="AK572" s="2"/>
      <c r="AL572" s="2"/>
      <c r="AM572" s="2"/>
      <c r="AN572" s="2"/>
      <c r="AO572" s="9"/>
      <c r="AP572" s="9"/>
      <c r="AQ572" s="9"/>
      <c r="AR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224"/>
      <c r="X573" s="224"/>
      <c r="Y573" s="224"/>
      <c r="Z573" s="868"/>
      <c r="AA573" s="865"/>
      <c r="AB573" s="2"/>
      <c r="AC573" s="2"/>
      <c r="AD573" s="2"/>
      <c r="AE573" s="2"/>
      <c r="AF573" s="2"/>
      <c r="AG573" s="2"/>
      <c r="AH573" s="2"/>
      <c r="AI573" s="2"/>
      <c r="AJ573" s="2"/>
      <c r="AK573" s="2"/>
      <c r="AL573" s="2"/>
      <c r="AM573" s="2"/>
      <c r="AN573" s="2"/>
      <c r="AO573" s="9"/>
      <c r="AP573" s="9"/>
      <c r="AQ573" s="9"/>
      <c r="AR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224"/>
      <c r="X574" s="224"/>
      <c r="Y574" s="224"/>
      <c r="Z574" s="868"/>
      <c r="AA574" s="865"/>
      <c r="AB574" s="2"/>
      <c r="AC574" s="2"/>
      <c r="AD574" s="2"/>
      <c r="AE574" s="2"/>
      <c r="AF574" s="2"/>
      <c r="AG574" s="2"/>
      <c r="AH574" s="2"/>
      <c r="AI574" s="2"/>
      <c r="AJ574" s="2"/>
      <c r="AK574" s="2"/>
      <c r="AL574" s="2"/>
      <c r="AM574" s="2"/>
      <c r="AN574" s="2"/>
      <c r="AO574" s="9"/>
      <c r="AP574" s="9"/>
      <c r="AQ574" s="9"/>
      <c r="AR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224"/>
      <c r="X575" s="224"/>
      <c r="Y575" s="224"/>
      <c r="Z575" s="868"/>
      <c r="AA575" s="865"/>
      <c r="AB575" s="2"/>
      <c r="AC575" s="2"/>
      <c r="AD575" s="2"/>
      <c r="AE575" s="2"/>
      <c r="AF575" s="2"/>
      <c r="AG575" s="2"/>
      <c r="AH575" s="2"/>
      <c r="AI575" s="2"/>
      <c r="AJ575" s="2"/>
      <c r="AK575" s="2"/>
      <c r="AL575" s="2"/>
      <c r="AM575" s="2"/>
      <c r="AN575" s="2"/>
      <c r="AO575" s="9"/>
      <c r="AP575" s="9"/>
      <c r="AQ575" s="9"/>
      <c r="AR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224"/>
      <c r="X576" s="224"/>
      <c r="Y576" s="224"/>
      <c r="Z576" s="868"/>
      <c r="AA576" s="865"/>
      <c r="AB576" s="2"/>
      <c r="AC576" s="2"/>
      <c r="AD576" s="2"/>
      <c r="AE576" s="2"/>
      <c r="AF576" s="2"/>
      <c r="AG576" s="2"/>
      <c r="AH576" s="2"/>
      <c r="AI576" s="2"/>
      <c r="AJ576" s="2"/>
      <c r="AK576" s="2"/>
      <c r="AL576" s="2"/>
      <c r="AM576" s="2"/>
      <c r="AN576" s="2"/>
      <c r="AO576" s="9"/>
      <c r="AP576" s="9"/>
      <c r="AQ576" s="9"/>
      <c r="AR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224"/>
      <c r="X577" s="224"/>
      <c r="Y577" s="224"/>
      <c r="Z577" s="868"/>
      <c r="AA577" s="865"/>
      <c r="AB577" s="2"/>
      <c r="AC577" s="2"/>
      <c r="AD577" s="2"/>
      <c r="AE577" s="2"/>
      <c r="AF577" s="2"/>
      <c r="AG577" s="2"/>
      <c r="AH577" s="2"/>
      <c r="AI577" s="2"/>
      <c r="AJ577" s="2"/>
      <c r="AK577" s="2"/>
      <c r="AL577" s="2"/>
      <c r="AM577" s="2"/>
      <c r="AN577" s="2"/>
      <c r="AO577" s="9"/>
      <c r="AP577" s="9"/>
      <c r="AQ577" s="9"/>
      <c r="AR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224"/>
      <c r="X578" s="224"/>
      <c r="Y578" s="224"/>
      <c r="Z578" s="868"/>
      <c r="AA578" s="865"/>
      <c r="AB578" s="2"/>
      <c r="AC578" s="2"/>
      <c r="AD578" s="2"/>
      <c r="AE578" s="2"/>
      <c r="AF578" s="2"/>
      <c r="AG578" s="2"/>
      <c r="AH578" s="2"/>
      <c r="AI578" s="2"/>
      <c r="AJ578" s="2"/>
      <c r="AK578" s="2"/>
      <c r="AL578" s="2"/>
      <c r="AM578" s="2"/>
      <c r="AN578" s="2"/>
      <c r="AO578" s="9"/>
      <c r="AP578" s="9"/>
      <c r="AQ578" s="9"/>
      <c r="AR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224"/>
      <c r="X579" s="224"/>
      <c r="Y579" s="224"/>
      <c r="Z579" s="868"/>
      <c r="AA579" s="865"/>
      <c r="AB579" s="2"/>
      <c r="AC579" s="2"/>
      <c r="AD579" s="2"/>
      <c r="AE579" s="2"/>
      <c r="AF579" s="2"/>
      <c r="AG579" s="2"/>
      <c r="AH579" s="2"/>
      <c r="AI579" s="2"/>
      <c r="AJ579" s="2"/>
      <c r="AK579" s="2"/>
      <c r="AL579" s="2"/>
      <c r="AM579" s="2"/>
      <c r="AN579" s="2"/>
      <c r="AO579" s="9"/>
      <c r="AP579" s="9"/>
      <c r="AQ579" s="9"/>
      <c r="AR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224"/>
      <c r="X580" s="224"/>
      <c r="Y580" s="224"/>
      <c r="Z580" s="868"/>
      <c r="AA580" s="865"/>
      <c r="AB580" s="2"/>
      <c r="AC580" s="2"/>
      <c r="AD580" s="2"/>
      <c r="AE580" s="2"/>
      <c r="AF580" s="2"/>
      <c r="AG580" s="2"/>
      <c r="AH580" s="2"/>
      <c r="AI580" s="2"/>
      <c r="AJ580" s="2"/>
      <c r="AK580" s="2"/>
      <c r="AL580" s="2"/>
      <c r="AM580" s="2"/>
      <c r="AN580" s="2"/>
      <c r="AO580" s="9"/>
      <c r="AP580" s="9"/>
      <c r="AQ580" s="9"/>
      <c r="AR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224"/>
      <c r="X581" s="224"/>
      <c r="Y581" s="224"/>
      <c r="Z581" s="868"/>
      <c r="AA581" s="865"/>
      <c r="AB581" s="2"/>
      <c r="AC581" s="2"/>
      <c r="AD581" s="2"/>
      <c r="AE581" s="2"/>
      <c r="AF581" s="2"/>
      <c r="AG581" s="2"/>
      <c r="AH581" s="2"/>
      <c r="AI581" s="2"/>
      <c r="AJ581" s="2"/>
      <c r="AK581" s="2"/>
      <c r="AL581" s="2"/>
      <c r="AM581" s="2"/>
      <c r="AN581" s="2"/>
      <c r="AO581" s="9"/>
      <c r="AP581" s="9"/>
      <c r="AQ581" s="9"/>
      <c r="AR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224"/>
      <c r="X582" s="224"/>
      <c r="Y582" s="224"/>
      <c r="Z582" s="868"/>
      <c r="AA582" s="865"/>
      <c r="AB582" s="2"/>
      <c r="AC582" s="2"/>
      <c r="AD582" s="2"/>
      <c r="AE582" s="2"/>
      <c r="AF582" s="2"/>
      <c r="AG582" s="2"/>
      <c r="AH582" s="2"/>
      <c r="AI582" s="2"/>
      <c r="AJ582" s="2"/>
      <c r="AK582" s="2"/>
      <c r="AL582" s="2"/>
      <c r="AM582" s="2"/>
      <c r="AN582" s="2"/>
      <c r="AO582" s="9"/>
      <c r="AP582" s="9"/>
      <c r="AQ582" s="9"/>
      <c r="AR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224"/>
      <c r="X583" s="224"/>
      <c r="Y583" s="224"/>
      <c r="Z583" s="868"/>
      <c r="AA583" s="865"/>
      <c r="AB583" s="2"/>
      <c r="AC583" s="2"/>
      <c r="AD583" s="2"/>
      <c r="AE583" s="2"/>
      <c r="AF583" s="2"/>
      <c r="AG583" s="2"/>
      <c r="AH583" s="2"/>
      <c r="AI583" s="2"/>
      <c r="AJ583" s="2"/>
      <c r="AK583" s="2"/>
      <c r="AL583" s="2"/>
      <c r="AM583" s="2"/>
      <c r="AN583" s="2"/>
      <c r="AO583" s="9"/>
      <c r="AP583" s="9"/>
      <c r="AQ583" s="9"/>
      <c r="AR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224"/>
      <c r="X584" s="224"/>
      <c r="Y584" s="224"/>
      <c r="Z584" s="868"/>
      <c r="AA584" s="865"/>
      <c r="AB584" s="2"/>
      <c r="AC584" s="2"/>
      <c r="AD584" s="2"/>
      <c r="AE584" s="2"/>
      <c r="AF584" s="2"/>
      <c r="AG584" s="2"/>
      <c r="AH584" s="2"/>
      <c r="AI584" s="2"/>
      <c r="AJ584" s="2"/>
      <c r="AK584" s="2"/>
      <c r="AL584" s="2"/>
      <c r="AM584" s="2"/>
      <c r="AN584" s="2"/>
      <c r="AO584" s="9"/>
      <c r="AP584" s="9"/>
      <c r="AQ584" s="9"/>
      <c r="AR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224"/>
      <c r="X585" s="224"/>
      <c r="Y585" s="224"/>
      <c r="Z585" s="868"/>
      <c r="AA585" s="865"/>
      <c r="AB585" s="2"/>
      <c r="AC585" s="2"/>
      <c r="AD585" s="2"/>
      <c r="AE585" s="2"/>
      <c r="AF585" s="2"/>
      <c r="AG585" s="2"/>
      <c r="AH585" s="2"/>
      <c r="AI585" s="2"/>
      <c r="AJ585" s="2"/>
      <c r="AK585" s="2"/>
      <c r="AL585" s="2"/>
      <c r="AM585" s="2"/>
      <c r="AN585" s="2"/>
      <c r="AO585" s="9"/>
      <c r="AP585" s="9"/>
      <c r="AQ585" s="9"/>
      <c r="AR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224"/>
      <c r="X586" s="224"/>
      <c r="Y586" s="224"/>
      <c r="Z586" s="868"/>
      <c r="AA586" s="865"/>
      <c r="AB586" s="2"/>
      <c r="AC586" s="2"/>
      <c r="AD586" s="2"/>
      <c r="AE586" s="2"/>
      <c r="AF586" s="2"/>
      <c r="AG586" s="2"/>
      <c r="AH586" s="2"/>
      <c r="AI586" s="2"/>
      <c r="AJ586" s="2"/>
      <c r="AK586" s="2"/>
      <c r="AL586" s="2"/>
      <c r="AM586" s="2"/>
      <c r="AN586" s="2"/>
      <c r="AO586" s="9"/>
      <c r="AP586" s="9"/>
      <c r="AQ586" s="9"/>
      <c r="AR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224"/>
      <c r="X587" s="224"/>
      <c r="Y587" s="224"/>
      <c r="Z587" s="868"/>
      <c r="AA587" s="865"/>
      <c r="AB587" s="2"/>
      <c r="AC587" s="2"/>
      <c r="AD587" s="2"/>
      <c r="AE587" s="2"/>
      <c r="AF587" s="2"/>
      <c r="AG587" s="2"/>
      <c r="AH587" s="2"/>
      <c r="AI587" s="2"/>
      <c r="AJ587" s="2"/>
      <c r="AK587" s="2"/>
      <c r="AL587" s="2"/>
      <c r="AM587" s="2"/>
      <c r="AN587" s="2"/>
      <c r="AO587" s="9"/>
      <c r="AP587" s="9"/>
      <c r="AQ587" s="9"/>
      <c r="AR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224"/>
      <c r="X588" s="224"/>
      <c r="Y588" s="224"/>
      <c r="Z588" s="868"/>
      <c r="AA588" s="865"/>
      <c r="AB588" s="2"/>
      <c r="AC588" s="2"/>
      <c r="AD588" s="2"/>
      <c r="AE588" s="2"/>
      <c r="AF588" s="2"/>
      <c r="AG588" s="2"/>
      <c r="AH588" s="2"/>
      <c r="AI588" s="2"/>
      <c r="AJ588" s="2"/>
      <c r="AK588" s="2"/>
      <c r="AL588" s="2"/>
      <c r="AM588" s="2"/>
      <c r="AN588" s="2"/>
      <c r="AO588" s="9"/>
      <c r="AP588" s="9"/>
      <c r="AQ588" s="9"/>
      <c r="AR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224"/>
      <c r="X589" s="224"/>
      <c r="Y589" s="224"/>
      <c r="Z589" s="868"/>
      <c r="AA589" s="865"/>
      <c r="AB589" s="2"/>
      <c r="AC589" s="2"/>
      <c r="AD589" s="2"/>
      <c r="AE589" s="2"/>
      <c r="AF589" s="2"/>
      <c r="AG589" s="2"/>
      <c r="AH589" s="2"/>
      <c r="AI589" s="2"/>
      <c r="AJ589" s="2"/>
      <c r="AK589" s="2"/>
      <c r="AL589" s="2"/>
      <c r="AM589" s="2"/>
      <c r="AN589" s="2"/>
      <c r="AO589" s="9"/>
      <c r="AP589" s="9"/>
      <c r="AQ589" s="9"/>
      <c r="AR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224"/>
      <c r="X590" s="224"/>
      <c r="Y590" s="224"/>
      <c r="Z590" s="868"/>
      <c r="AA590" s="865"/>
      <c r="AB590" s="2"/>
      <c r="AC590" s="2"/>
      <c r="AD590" s="2"/>
      <c r="AE590" s="2"/>
      <c r="AF590" s="2"/>
      <c r="AG590" s="2"/>
      <c r="AH590" s="2"/>
      <c r="AI590" s="2"/>
      <c r="AJ590" s="2"/>
      <c r="AK590" s="2"/>
      <c r="AL590" s="2"/>
      <c r="AM590" s="2"/>
      <c r="AN590" s="2"/>
      <c r="AO590" s="9"/>
      <c r="AP590" s="9"/>
      <c r="AQ590" s="9"/>
      <c r="AR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224"/>
      <c r="X591" s="224"/>
      <c r="Y591" s="224"/>
      <c r="Z591" s="868"/>
      <c r="AA591" s="865"/>
      <c r="AB591" s="2"/>
      <c r="AC591" s="2"/>
      <c r="AD591" s="2"/>
      <c r="AE591" s="2"/>
      <c r="AF591" s="2"/>
      <c r="AG591" s="2"/>
      <c r="AH591" s="2"/>
      <c r="AI591" s="2"/>
      <c r="AJ591" s="2"/>
      <c r="AK591" s="2"/>
      <c r="AL591" s="2"/>
      <c r="AM591" s="2"/>
      <c r="AN591" s="2"/>
      <c r="AO591" s="9"/>
      <c r="AP591" s="9"/>
      <c r="AQ591" s="9"/>
      <c r="AR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224"/>
      <c r="X592" s="224"/>
      <c r="Y592" s="224"/>
      <c r="Z592" s="868"/>
      <c r="AA592" s="865"/>
      <c r="AB592" s="2"/>
      <c r="AC592" s="2"/>
      <c r="AD592" s="2"/>
      <c r="AE592" s="2"/>
      <c r="AF592" s="2"/>
      <c r="AG592" s="2"/>
      <c r="AH592" s="2"/>
      <c r="AI592" s="2"/>
      <c r="AJ592" s="2"/>
      <c r="AK592" s="2"/>
      <c r="AL592" s="2"/>
      <c r="AM592" s="2"/>
      <c r="AN592" s="2"/>
      <c r="AO592" s="9"/>
      <c r="AP592" s="9"/>
      <c r="AQ592" s="9"/>
      <c r="AR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224"/>
      <c r="X593" s="224"/>
      <c r="Y593" s="224"/>
      <c r="Z593" s="868"/>
      <c r="AA593" s="865"/>
      <c r="AB593" s="2"/>
      <c r="AC593" s="2"/>
      <c r="AD593" s="2"/>
      <c r="AE593" s="2"/>
      <c r="AF593" s="2"/>
      <c r="AG593" s="2"/>
      <c r="AH593" s="2"/>
      <c r="AI593" s="2"/>
      <c r="AJ593" s="2"/>
      <c r="AK593" s="2"/>
      <c r="AL593" s="2"/>
      <c r="AM593" s="2"/>
      <c r="AN593" s="2"/>
      <c r="AO593" s="9"/>
      <c r="AP593" s="9"/>
      <c r="AQ593" s="9"/>
      <c r="AR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224"/>
      <c r="X594" s="224"/>
      <c r="Y594" s="224"/>
      <c r="Z594" s="868"/>
      <c r="AA594" s="865"/>
      <c r="AB594" s="2"/>
      <c r="AC594" s="2"/>
      <c r="AD594" s="2"/>
      <c r="AE594" s="2"/>
      <c r="AF594" s="2"/>
      <c r="AG594" s="2"/>
      <c r="AH594" s="2"/>
      <c r="AI594" s="2"/>
      <c r="AJ594" s="2"/>
      <c r="AK594" s="2"/>
      <c r="AL594" s="2"/>
      <c r="AM594" s="2"/>
      <c r="AN594" s="2"/>
      <c r="AO594" s="9"/>
      <c r="AP594" s="9"/>
      <c r="AQ594" s="9"/>
      <c r="AR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224"/>
      <c r="X595" s="224"/>
      <c r="Y595" s="224"/>
      <c r="Z595" s="868"/>
      <c r="AA595" s="865"/>
      <c r="AB595" s="2"/>
      <c r="AC595" s="2"/>
      <c r="AD595" s="2"/>
      <c r="AE595" s="2"/>
      <c r="AF595" s="2"/>
      <c r="AG595" s="2"/>
      <c r="AH595" s="2"/>
      <c r="AI595" s="2"/>
      <c r="AJ595" s="2"/>
      <c r="AK595" s="2"/>
      <c r="AL595" s="2"/>
      <c r="AM595" s="2"/>
      <c r="AN595" s="2"/>
      <c r="AO595" s="9"/>
      <c r="AP595" s="9"/>
      <c r="AQ595" s="9"/>
      <c r="AR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224"/>
      <c r="X596" s="224"/>
      <c r="Y596" s="224"/>
      <c r="Z596" s="868"/>
      <c r="AA596" s="865"/>
      <c r="AB596" s="2"/>
      <c r="AC596" s="2"/>
      <c r="AD596" s="2"/>
      <c r="AE596" s="2"/>
      <c r="AF596" s="2"/>
      <c r="AG596" s="2"/>
      <c r="AH596" s="2"/>
      <c r="AI596" s="2"/>
      <c r="AJ596" s="2"/>
      <c r="AK596" s="2"/>
      <c r="AL596" s="2"/>
      <c r="AM596" s="2"/>
      <c r="AN596" s="2"/>
      <c r="AO596" s="9"/>
      <c r="AP596" s="9"/>
      <c r="AQ596" s="9"/>
      <c r="AR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224"/>
      <c r="X597" s="224"/>
      <c r="Y597" s="224"/>
      <c r="Z597" s="868"/>
      <c r="AA597" s="865"/>
      <c r="AB597" s="2"/>
      <c r="AC597" s="2"/>
      <c r="AD597" s="2"/>
      <c r="AE597" s="2"/>
      <c r="AF597" s="2"/>
      <c r="AG597" s="2"/>
      <c r="AH597" s="2"/>
      <c r="AI597" s="2"/>
      <c r="AJ597" s="2"/>
      <c r="AK597" s="2"/>
      <c r="AL597" s="2"/>
      <c r="AM597" s="2"/>
      <c r="AN597" s="2"/>
      <c r="AO597" s="9"/>
      <c r="AP597" s="9"/>
      <c r="AQ597" s="9"/>
      <c r="AR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224"/>
      <c r="X598" s="224"/>
      <c r="Y598" s="224"/>
      <c r="Z598" s="868"/>
      <c r="AA598" s="865"/>
      <c r="AB598" s="2"/>
      <c r="AC598" s="2"/>
      <c r="AD598" s="2"/>
      <c r="AE598" s="2"/>
      <c r="AF598" s="2"/>
      <c r="AG598" s="2"/>
      <c r="AH598" s="2"/>
      <c r="AI598" s="2"/>
      <c r="AJ598" s="2"/>
      <c r="AK598" s="2"/>
      <c r="AL598" s="2"/>
      <c r="AM598" s="2"/>
      <c r="AN598" s="2"/>
      <c r="AO598" s="9"/>
      <c r="AP598" s="9"/>
      <c r="AQ598" s="9"/>
      <c r="AR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224"/>
      <c r="X599" s="224"/>
      <c r="Y599" s="224"/>
      <c r="Z599" s="868"/>
      <c r="AA599" s="865"/>
      <c r="AB599" s="2"/>
      <c r="AC599" s="2"/>
      <c r="AD599" s="2"/>
      <c r="AE599" s="2"/>
      <c r="AF599" s="2"/>
      <c r="AG599" s="2"/>
      <c r="AH599" s="2"/>
      <c r="AI599" s="2"/>
      <c r="AJ599" s="2"/>
      <c r="AK599" s="2"/>
      <c r="AL599" s="2"/>
      <c r="AM599" s="2"/>
      <c r="AN599" s="2"/>
      <c r="AO599" s="9"/>
      <c r="AP599" s="9"/>
      <c r="AQ599" s="9"/>
      <c r="AR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224"/>
      <c r="X600" s="224"/>
      <c r="Y600" s="224"/>
      <c r="Z600" s="868"/>
      <c r="AA600" s="865"/>
      <c r="AB600" s="2"/>
      <c r="AC600" s="2"/>
      <c r="AD600" s="2"/>
      <c r="AE600" s="2"/>
      <c r="AF600" s="2"/>
      <c r="AG600" s="2"/>
      <c r="AH600" s="2"/>
      <c r="AI600" s="2"/>
      <c r="AJ600" s="2"/>
      <c r="AK600" s="2"/>
      <c r="AL600" s="2"/>
      <c r="AM600" s="2"/>
      <c r="AN600" s="2"/>
      <c r="AO600" s="9"/>
      <c r="AP600" s="9"/>
      <c r="AQ600" s="9"/>
      <c r="AR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224"/>
      <c r="X601" s="224"/>
      <c r="Y601" s="224"/>
      <c r="Z601" s="868"/>
      <c r="AA601" s="865"/>
      <c r="AB601" s="2"/>
      <c r="AC601" s="2"/>
      <c r="AD601" s="2"/>
      <c r="AE601" s="2"/>
      <c r="AF601" s="2"/>
      <c r="AG601" s="2"/>
      <c r="AH601" s="2"/>
      <c r="AI601" s="2"/>
      <c r="AJ601" s="2"/>
      <c r="AK601" s="2"/>
      <c r="AL601" s="2"/>
      <c r="AM601" s="2"/>
      <c r="AN601" s="2"/>
      <c r="AO601" s="9"/>
      <c r="AP601" s="9"/>
      <c r="AQ601" s="9"/>
      <c r="AR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224"/>
      <c r="X602" s="224"/>
      <c r="Y602" s="224"/>
      <c r="Z602" s="868"/>
      <c r="AA602" s="865"/>
      <c r="AB602" s="2"/>
      <c r="AC602" s="2"/>
      <c r="AD602" s="2"/>
      <c r="AE602" s="2"/>
      <c r="AF602" s="2"/>
      <c r="AG602" s="2"/>
      <c r="AH602" s="2"/>
      <c r="AI602" s="2"/>
      <c r="AJ602" s="2"/>
      <c r="AK602" s="2"/>
      <c r="AL602" s="2"/>
      <c r="AM602" s="2"/>
      <c r="AN602" s="2"/>
      <c r="AO602" s="9"/>
      <c r="AP602" s="9"/>
      <c r="AQ602" s="9"/>
      <c r="AR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224"/>
      <c r="X603" s="224"/>
      <c r="Y603" s="224"/>
      <c r="Z603" s="868"/>
      <c r="AA603" s="865"/>
      <c r="AB603" s="2"/>
      <c r="AC603" s="2"/>
      <c r="AD603" s="2"/>
      <c r="AE603" s="2"/>
      <c r="AF603" s="2"/>
      <c r="AG603" s="2"/>
      <c r="AH603" s="2"/>
      <c r="AI603" s="2"/>
      <c r="AJ603" s="2"/>
      <c r="AK603" s="2"/>
      <c r="AL603" s="2"/>
      <c r="AM603" s="2"/>
      <c r="AN603" s="2"/>
      <c r="AO603" s="9"/>
      <c r="AP603" s="9"/>
      <c r="AQ603" s="9"/>
      <c r="AR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224"/>
      <c r="X604" s="224"/>
      <c r="Y604" s="224"/>
      <c r="Z604" s="868"/>
      <c r="AA604" s="865"/>
      <c r="AB604" s="2"/>
      <c r="AC604" s="2"/>
      <c r="AD604" s="2"/>
      <c r="AE604" s="2"/>
      <c r="AF604" s="2"/>
      <c r="AG604" s="2"/>
      <c r="AH604" s="2"/>
      <c r="AI604" s="2"/>
      <c r="AJ604" s="2"/>
      <c r="AK604" s="2"/>
      <c r="AL604" s="2"/>
      <c r="AM604" s="2"/>
      <c r="AN604" s="2"/>
      <c r="AO604" s="9"/>
      <c r="AP604" s="9"/>
      <c r="AQ604" s="9"/>
      <c r="AR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224"/>
      <c r="X605" s="224"/>
      <c r="Y605" s="224"/>
      <c r="Z605" s="868"/>
      <c r="AA605" s="865"/>
      <c r="AB605" s="2"/>
      <c r="AC605" s="2"/>
      <c r="AD605" s="2"/>
      <c r="AE605" s="2"/>
      <c r="AF605" s="2"/>
      <c r="AG605" s="2"/>
      <c r="AH605" s="2"/>
      <c r="AI605" s="2"/>
      <c r="AJ605" s="2"/>
      <c r="AK605" s="2"/>
      <c r="AL605" s="2"/>
      <c r="AM605" s="2"/>
      <c r="AN605" s="2"/>
      <c r="AO605" s="9"/>
      <c r="AP605" s="9"/>
      <c r="AQ605" s="9"/>
      <c r="AR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224"/>
      <c r="X606" s="224"/>
      <c r="Y606" s="224"/>
      <c r="Z606" s="868"/>
      <c r="AA606" s="865"/>
      <c r="AB606" s="2"/>
      <c r="AC606" s="2"/>
      <c r="AD606" s="2"/>
      <c r="AE606" s="2"/>
      <c r="AF606" s="2"/>
      <c r="AG606" s="2"/>
      <c r="AH606" s="2"/>
      <c r="AI606" s="2"/>
      <c r="AJ606" s="2"/>
      <c r="AK606" s="2"/>
      <c r="AL606" s="2"/>
      <c r="AM606" s="2"/>
      <c r="AN606" s="2"/>
      <c r="AO606" s="9"/>
      <c r="AP606" s="9"/>
      <c r="AQ606" s="9"/>
      <c r="AR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224"/>
      <c r="X607" s="224"/>
      <c r="Y607" s="224"/>
      <c r="Z607" s="868"/>
      <c r="AA607" s="865"/>
      <c r="AB607" s="2"/>
      <c r="AC607" s="2"/>
      <c r="AD607" s="2"/>
      <c r="AE607" s="2"/>
      <c r="AF607" s="2"/>
      <c r="AG607" s="2"/>
      <c r="AH607" s="2"/>
      <c r="AI607" s="2"/>
      <c r="AJ607" s="2"/>
      <c r="AK607" s="2"/>
      <c r="AL607" s="2"/>
      <c r="AM607" s="2"/>
      <c r="AN607" s="2"/>
      <c r="AO607" s="9"/>
      <c r="AP607" s="9"/>
      <c r="AQ607" s="9"/>
      <c r="AR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224"/>
      <c r="X608" s="224"/>
      <c r="Y608" s="224"/>
      <c r="Z608" s="868"/>
      <c r="AA608" s="865"/>
      <c r="AB608" s="2"/>
      <c r="AC608" s="2"/>
      <c r="AD608" s="2"/>
      <c r="AE608" s="2"/>
      <c r="AF608" s="2"/>
      <c r="AG608" s="2"/>
      <c r="AH608" s="2"/>
      <c r="AI608" s="2"/>
      <c r="AJ608" s="2"/>
      <c r="AK608" s="2"/>
      <c r="AL608" s="2"/>
      <c r="AM608" s="2"/>
      <c r="AN608" s="2"/>
      <c r="AO608" s="9"/>
      <c r="AP608" s="9"/>
      <c r="AQ608" s="9"/>
      <c r="AR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224"/>
      <c r="X609" s="224"/>
      <c r="Y609" s="224"/>
      <c r="Z609" s="868"/>
      <c r="AA609" s="865"/>
      <c r="AB609" s="2"/>
      <c r="AC609" s="2"/>
      <c r="AD609" s="2"/>
      <c r="AE609" s="2"/>
      <c r="AF609" s="2"/>
      <c r="AG609" s="2"/>
      <c r="AH609" s="2"/>
      <c r="AI609" s="2"/>
      <c r="AJ609" s="2"/>
      <c r="AK609" s="2"/>
      <c r="AL609" s="2"/>
      <c r="AM609" s="2"/>
      <c r="AN609" s="2"/>
      <c r="AO609" s="9"/>
      <c r="AP609" s="9"/>
      <c r="AQ609" s="9"/>
      <c r="AR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224"/>
      <c r="X610" s="224"/>
      <c r="Y610" s="224"/>
      <c r="Z610" s="868"/>
      <c r="AA610" s="865"/>
      <c r="AB610" s="2"/>
      <c r="AC610" s="2"/>
      <c r="AD610" s="2"/>
      <c r="AE610" s="2"/>
      <c r="AF610" s="2"/>
      <c r="AG610" s="2"/>
      <c r="AH610" s="2"/>
      <c r="AI610" s="2"/>
      <c r="AJ610" s="2"/>
      <c r="AK610" s="2"/>
      <c r="AL610" s="2"/>
      <c r="AM610" s="2"/>
      <c r="AN610" s="2"/>
      <c r="AO610" s="9"/>
      <c r="AP610" s="9"/>
      <c r="AQ610" s="9"/>
      <c r="AR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224"/>
      <c r="X611" s="224"/>
      <c r="Y611" s="224"/>
      <c r="Z611" s="868"/>
      <c r="AA611" s="865"/>
      <c r="AB611" s="2"/>
      <c r="AC611" s="2"/>
      <c r="AD611" s="2"/>
      <c r="AE611" s="2"/>
      <c r="AF611" s="2"/>
      <c r="AG611" s="2"/>
      <c r="AH611" s="2"/>
      <c r="AI611" s="2"/>
      <c r="AJ611" s="2"/>
      <c r="AK611" s="2"/>
      <c r="AL611" s="2"/>
      <c r="AM611" s="2"/>
      <c r="AN611" s="2"/>
      <c r="AO611" s="9"/>
      <c r="AP611" s="9"/>
      <c r="AQ611" s="9"/>
      <c r="AR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224"/>
      <c r="X612" s="224"/>
      <c r="Y612" s="224"/>
      <c r="Z612" s="868"/>
      <c r="AA612" s="865"/>
      <c r="AB612" s="2"/>
      <c r="AC612" s="2"/>
      <c r="AD612" s="2"/>
      <c r="AE612" s="2"/>
      <c r="AF612" s="2"/>
      <c r="AG612" s="2"/>
      <c r="AH612" s="2"/>
      <c r="AI612" s="2"/>
      <c r="AJ612" s="2"/>
      <c r="AK612" s="2"/>
      <c r="AL612" s="2"/>
      <c r="AM612" s="2"/>
      <c r="AN612" s="2"/>
      <c r="AO612" s="9"/>
      <c r="AP612" s="9"/>
      <c r="AQ612" s="9"/>
      <c r="AR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224"/>
      <c r="X613" s="224"/>
      <c r="Y613" s="224"/>
      <c r="Z613" s="868"/>
      <c r="AA613" s="865"/>
      <c r="AB613" s="2"/>
      <c r="AC613" s="2"/>
      <c r="AD613" s="2"/>
      <c r="AE613" s="2"/>
      <c r="AF613" s="2"/>
      <c r="AG613" s="2"/>
      <c r="AH613" s="2"/>
      <c r="AI613" s="2"/>
      <c r="AJ613" s="2"/>
      <c r="AK613" s="2"/>
      <c r="AL613" s="2"/>
      <c r="AM613" s="2"/>
      <c r="AN613" s="2"/>
      <c r="AO613" s="9"/>
      <c r="AP613" s="9"/>
      <c r="AQ613" s="9"/>
      <c r="AR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224"/>
      <c r="X614" s="224"/>
      <c r="Y614" s="224"/>
      <c r="Z614" s="868"/>
      <c r="AA614" s="865"/>
      <c r="AB614" s="2"/>
      <c r="AC614" s="2"/>
      <c r="AD614" s="2"/>
      <c r="AE614" s="2"/>
      <c r="AF614" s="2"/>
      <c r="AG614" s="2"/>
      <c r="AH614" s="2"/>
      <c r="AI614" s="2"/>
      <c r="AJ614" s="2"/>
      <c r="AK614" s="2"/>
      <c r="AL614" s="2"/>
      <c r="AM614" s="2"/>
      <c r="AN614" s="2"/>
      <c r="AO614" s="9"/>
      <c r="AP614" s="9"/>
      <c r="AQ614" s="9"/>
      <c r="AR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224"/>
      <c r="X615" s="224"/>
      <c r="Y615" s="224"/>
      <c r="Z615" s="868"/>
      <c r="AA615" s="865"/>
      <c r="AB615" s="2"/>
      <c r="AC615" s="2"/>
      <c r="AD615" s="2"/>
      <c r="AE615" s="2"/>
      <c r="AF615" s="2"/>
      <c r="AG615" s="2"/>
      <c r="AH615" s="2"/>
      <c r="AI615" s="2"/>
      <c r="AJ615" s="2"/>
      <c r="AK615" s="2"/>
      <c r="AL615" s="2"/>
      <c r="AM615" s="2"/>
      <c r="AN615" s="2"/>
      <c r="AO615" s="9"/>
      <c r="AP615" s="9"/>
      <c r="AQ615" s="9"/>
      <c r="AR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224"/>
      <c r="X616" s="224"/>
      <c r="Y616" s="224"/>
      <c r="Z616" s="868"/>
      <c r="AA616" s="865"/>
      <c r="AB616" s="2"/>
      <c r="AC616" s="2"/>
      <c r="AD616" s="2"/>
      <c r="AE616" s="2"/>
      <c r="AF616" s="2"/>
      <c r="AG616" s="2"/>
      <c r="AH616" s="2"/>
      <c r="AI616" s="2"/>
      <c r="AJ616" s="2"/>
      <c r="AK616" s="2"/>
      <c r="AL616" s="2"/>
      <c r="AM616" s="2"/>
      <c r="AN616" s="2"/>
      <c r="AO616" s="9"/>
      <c r="AP616" s="9"/>
      <c r="AQ616" s="9"/>
      <c r="AR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224"/>
      <c r="X617" s="224"/>
      <c r="Y617" s="224"/>
      <c r="Z617" s="868"/>
      <c r="AA617" s="865"/>
      <c r="AB617" s="2"/>
      <c r="AC617" s="2"/>
      <c r="AD617" s="2"/>
      <c r="AE617" s="2"/>
      <c r="AF617" s="2"/>
      <c r="AG617" s="2"/>
      <c r="AH617" s="2"/>
      <c r="AI617" s="2"/>
      <c r="AJ617" s="2"/>
      <c r="AK617" s="2"/>
      <c r="AL617" s="2"/>
      <c r="AM617" s="2"/>
      <c r="AN617" s="2"/>
      <c r="AO617" s="9"/>
      <c r="AP617" s="9"/>
      <c r="AQ617" s="9"/>
      <c r="AR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224"/>
      <c r="X618" s="224"/>
      <c r="Y618" s="224"/>
      <c r="Z618" s="868"/>
      <c r="AA618" s="865"/>
      <c r="AB618" s="2"/>
      <c r="AC618" s="2"/>
      <c r="AD618" s="2"/>
      <c r="AE618" s="2"/>
      <c r="AF618" s="2"/>
      <c r="AG618" s="2"/>
      <c r="AH618" s="2"/>
      <c r="AI618" s="2"/>
      <c r="AJ618" s="2"/>
      <c r="AK618" s="2"/>
      <c r="AL618" s="2"/>
      <c r="AM618" s="2"/>
      <c r="AN618" s="2"/>
      <c r="AO618" s="9"/>
      <c r="AP618" s="9"/>
      <c r="AQ618" s="9"/>
      <c r="AR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224"/>
      <c r="X619" s="224"/>
      <c r="Y619" s="224"/>
      <c r="Z619" s="868"/>
      <c r="AA619" s="865"/>
      <c r="AB619" s="2"/>
      <c r="AC619" s="2"/>
      <c r="AD619" s="2"/>
      <c r="AE619" s="2"/>
      <c r="AF619" s="2"/>
      <c r="AG619" s="2"/>
      <c r="AH619" s="2"/>
      <c r="AI619" s="2"/>
      <c r="AJ619" s="2"/>
      <c r="AK619" s="2"/>
      <c r="AL619" s="2"/>
      <c r="AM619" s="2"/>
      <c r="AN619" s="2"/>
      <c r="AO619" s="9"/>
      <c r="AP619" s="9"/>
      <c r="AQ619" s="9"/>
      <c r="AR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224"/>
      <c r="X620" s="224"/>
      <c r="Y620" s="224"/>
      <c r="Z620" s="868"/>
      <c r="AA620" s="865"/>
      <c r="AB620" s="2"/>
      <c r="AC620" s="2"/>
      <c r="AD620" s="2"/>
      <c r="AE620" s="2"/>
      <c r="AF620" s="2"/>
      <c r="AG620" s="2"/>
      <c r="AH620" s="2"/>
      <c r="AI620" s="2"/>
      <c r="AJ620" s="2"/>
      <c r="AK620" s="2"/>
      <c r="AL620" s="2"/>
      <c r="AM620" s="2"/>
      <c r="AN620" s="2"/>
      <c r="AO620" s="9"/>
      <c r="AP620" s="9"/>
      <c r="AQ620" s="9"/>
      <c r="AR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224"/>
      <c r="X621" s="224"/>
      <c r="Y621" s="224"/>
      <c r="Z621" s="868"/>
      <c r="AA621" s="865"/>
      <c r="AB621" s="2"/>
      <c r="AC621" s="2"/>
      <c r="AD621" s="2"/>
      <c r="AE621" s="2"/>
      <c r="AF621" s="2"/>
      <c r="AG621" s="2"/>
      <c r="AH621" s="2"/>
      <c r="AI621" s="2"/>
      <c r="AJ621" s="2"/>
      <c r="AK621" s="2"/>
      <c r="AL621" s="2"/>
      <c r="AM621" s="2"/>
      <c r="AN621" s="2"/>
      <c r="AO621" s="9"/>
      <c r="AP621" s="9"/>
      <c r="AQ621" s="9"/>
      <c r="AR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224"/>
      <c r="X622" s="224"/>
      <c r="Y622" s="224"/>
      <c r="Z622" s="868"/>
      <c r="AA622" s="865"/>
      <c r="AB622" s="2"/>
      <c r="AC622" s="2"/>
      <c r="AD622" s="2"/>
      <c r="AE622" s="2"/>
      <c r="AF622" s="2"/>
      <c r="AG622" s="2"/>
      <c r="AH622" s="2"/>
      <c r="AI622" s="2"/>
      <c r="AJ622" s="2"/>
      <c r="AK622" s="2"/>
      <c r="AL622" s="2"/>
      <c r="AM622" s="2"/>
      <c r="AN622" s="2"/>
      <c r="AO622" s="9"/>
      <c r="AP622" s="9"/>
      <c r="AQ622" s="9"/>
      <c r="AR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224"/>
      <c r="X623" s="224"/>
      <c r="Y623" s="224"/>
      <c r="Z623" s="868"/>
      <c r="AA623" s="865"/>
      <c r="AB623" s="2"/>
      <c r="AC623" s="2"/>
      <c r="AD623" s="2"/>
      <c r="AE623" s="2"/>
      <c r="AF623" s="2"/>
      <c r="AG623" s="2"/>
      <c r="AH623" s="2"/>
      <c r="AI623" s="2"/>
      <c r="AJ623" s="2"/>
      <c r="AK623" s="2"/>
      <c r="AL623" s="2"/>
      <c r="AM623" s="2"/>
      <c r="AN623" s="2"/>
      <c r="AO623" s="9"/>
      <c r="AP623" s="9"/>
      <c r="AQ623" s="9"/>
      <c r="AR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224"/>
      <c r="X624" s="224"/>
      <c r="Y624" s="224"/>
      <c r="Z624" s="868"/>
      <c r="AA624" s="865"/>
      <c r="AB624" s="2"/>
      <c r="AC624" s="2"/>
      <c r="AD624" s="2"/>
      <c r="AE624" s="2"/>
      <c r="AF624" s="2"/>
      <c r="AG624" s="2"/>
      <c r="AH624" s="2"/>
      <c r="AI624" s="2"/>
      <c r="AJ624" s="2"/>
      <c r="AK624" s="2"/>
      <c r="AL624" s="2"/>
      <c r="AM624" s="2"/>
      <c r="AN624" s="2"/>
      <c r="AO624" s="9"/>
      <c r="AP624" s="9"/>
      <c r="AQ624" s="9"/>
      <c r="AR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224"/>
      <c r="X625" s="224"/>
      <c r="Y625" s="224"/>
      <c r="Z625" s="868"/>
      <c r="AA625" s="865"/>
      <c r="AB625" s="2"/>
      <c r="AC625" s="2"/>
      <c r="AD625" s="2"/>
      <c r="AE625" s="2"/>
      <c r="AF625" s="2"/>
      <c r="AG625" s="2"/>
      <c r="AH625" s="2"/>
      <c r="AI625" s="2"/>
      <c r="AJ625" s="2"/>
      <c r="AK625" s="2"/>
      <c r="AL625" s="2"/>
      <c r="AM625" s="2"/>
      <c r="AN625" s="2"/>
      <c r="AO625" s="9"/>
      <c r="AP625" s="9"/>
      <c r="AQ625" s="9"/>
      <c r="AR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224"/>
      <c r="X626" s="224"/>
      <c r="Y626" s="224"/>
      <c r="Z626" s="868"/>
      <c r="AA626" s="865"/>
      <c r="AB626" s="2"/>
      <c r="AC626" s="2"/>
      <c r="AD626" s="2"/>
      <c r="AE626" s="2"/>
      <c r="AF626" s="2"/>
      <c r="AG626" s="2"/>
      <c r="AH626" s="2"/>
      <c r="AI626" s="2"/>
      <c r="AJ626" s="2"/>
      <c r="AK626" s="2"/>
      <c r="AL626" s="2"/>
      <c r="AM626" s="2"/>
      <c r="AN626" s="2"/>
      <c r="AO626" s="9"/>
      <c r="AP626" s="9"/>
      <c r="AQ626" s="9"/>
      <c r="AR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224"/>
      <c r="X627" s="224"/>
      <c r="Y627" s="224"/>
      <c r="Z627" s="868"/>
      <c r="AA627" s="865"/>
      <c r="AB627" s="2"/>
      <c r="AC627" s="2"/>
      <c r="AD627" s="2"/>
      <c r="AE627" s="2"/>
      <c r="AF627" s="2"/>
      <c r="AG627" s="2"/>
      <c r="AH627" s="2"/>
      <c r="AI627" s="2"/>
      <c r="AJ627" s="2"/>
      <c r="AK627" s="2"/>
      <c r="AL627" s="2"/>
      <c r="AM627" s="2"/>
      <c r="AN627" s="2"/>
      <c r="AO627" s="9"/>
      <c r="AP627" s="9"/>
      <c r="AQ627" s="9"/>
      <c r="AR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224"/>
      <c r="X628" s="224"/>
      <c r="Y628" s="224"/>
      <c r="Z628" s="868"/>
      <c r="AA628" s="865"/>
      <c r="AB628" s="2"/>
      <c r="AC628" s="2"/>
      <c r="AD628" s="2"/>
      <c r="AE628" s="2"/>
      <c r="AF628" s="2"/>
      <c r="AG628" s="2"/>
      <c r="AH628" s="2"/>
      <c r="AI628" s="2"/>
      <c r="AJ628" s="2"/>
      <c r="AK628" s="2"/>
      <c r="AL628" s="2"/>
      <c r="AM628" s="2"/>
      <c r="AN628" s="2"/>
      <c r="AO628" s="9"/>
      <c r="AP628" s="9"/>
      <c r="AQ628" s="9"/>
      <c r="AR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224"/>
      <c r="X629" s="224"/>
      <c r="Y629" s="224"/>
      <c r="Z629" s="868"/>
      <c r="AA629" s="865"/>
      <c r="AB629" s="2"/>
      <c r="AC629" s="2"/>
      <c r="AD629" s="2"/>
      <c r="AE629" s="2"/>
      <c r="AF629" s="2"/>
      <c r="AG629" s="2"/>
      <c r="AH629" s="2"/>
      <c r="AI629" s="2"/>
      <c r="AJ629" s="2"/>
      <c r="AK629" s="2"/>
      <c r="AL629" s="2"/>
      <c r="AM629" s="2"/>
      <c r="AN629" s="2"/>
      <c r="AO629" s="9"/>
      <c r="AP629" s="9"/>
      <c r="AQ629" s="9"/>
      <c r="AR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224"/>
      <c r="X630" s="224"/>
      <c r="Y630" s="224"/>
      <c r="Z630" s="868"/>
      <c r="AA630" s="865"/>
      <c r="AB630" s="2"/>
      <c r="AC630" s="2"/>
      <c r="AD630" s="2"/>
      <c r="AE630" s="2"/>
      <c r="AF630" s="2"/>
      <c r="AG630" s="2"/>
      <c r="AH630" s="2"/>
      <c r="AI630" s="2"/>
      <c r="AJ630" s="2"/>
      <c r="AK630" s="2"/>
      <c r="AL630" s="2"/>
      <c r="AM630" s="2"/>
      <c r="AN630" s="2"/>
      <c r="AO630" s="9"/>
      <c r="AP630" s="9"/>
      <c r="AQ630" s="9"/>
      <c r="AR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224"/>
      <c r="X631" s="224"/>
      <c r="Y631" s="224"/>
      <c r="Z631" s="868"/>
      <c r="AA631" s="865"/>
      <c r="AB631" s="2"/>
      <c r="AC631" s="2"/>
      <c r="AD631" s="2"/>
      <c r="AE631" s="2"/>
      <c r="AF631" s="2"/>
      <c r="AG631" s="2"/>
      <c r="AH631" s="2"/>
      <c r="AI631" s="2"/>
      <c r="AJ631" s="2"/>
      <c r="AK631" s="2"/>
      <c r="AL631" s="2"/>
      <c r="AM631" s="2"/>
      <c r="AN631" s="2"/>
      <c r="AO631" s="9"/>
      <c r="AP631" s="9"/>
      <c r="AQ631" s="9"/>
      <c r="AR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224"/>
      <c r="X632" s="224"/>
      <c r="Y632" s="224"/>
      <c r="Z632" s="868"/>
      <c r="AA632" s="865"/>
      <c r="AB632" s="2"/>
      <c r="AC632" s="2"/>
      <c r="AD632" s="2"/>
      <c r="AE632" s="2"/>
      <c r="AF632" s="2"/>
      <c r="AG632" s="2"/>
      <c r="AH632" s="2"/>
      <c r="AI632" s="2"/>
      <c r="AJ632" s="2"/>
      <c r="AK632" s="2"/>
      <c r="AL632" s="2"/>
      <c r="AM632" s="2"/>
      <c r="AN632" s="2"/>
      <c r="AO632" s="9"/>
      <c r="AP632" s="9"/>
      <c r="AQ632" s="9"/>
      <c r="AR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224"/>
      <c r="X633" s="224"/>
      <c r="Y633" s="224"/>
      <c r="Z633" s="868"/>
      <c r="AA633" s="865"/>
      <c r="AB633" s="2"/>
      <c r="AC633" s="2"/>
      <c r="AD633" s="2"/>
      <c r="AE633" s="2"/>
      <c r="AF633" s="2"/>
      <c r="AG633" s="2"/>
      <c r="AH633" s="2"/>
      <c r="AI633" s="2"/>
      <c r="AJ633" s="2"/>
      <c r="AK633" s="2"/>
      <c r="AL633" s="2"/>
      <c r="AM633" s="2"/>
      <c r="AN633" s="2"/>
      <c r="AO633" s="9"/>
      <c r="AP633" s="9"/>
      <c r="AQ633" s="9"/>
      <c r="AR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224"/>
      <c r="X634" s="224"/>
      <c r="Y634" s="224"/>
      <c r="Z634" s="868"/>
      <c r="AA634" s="865"/>
      <c r="AB634" s="2"/>
      <c r="AC634" s="2"/>
      <c r="AD634" s="2"/>
      <c r="AE634" s="2"/>
      <c r="AF634" s="2"/>
      <c r="AG634" s="2"/>
      <c r="AH634" s="2"/>
      <c r="AI634" s="2"/>
      <c r="AJ634" s="2"/>
      <c r="AK634" s="2"/>
      <c r="AL634" s="2"/>
      <c r="AM634" s="2"/>
      <c r="AN634" s="2"/>
      <c r="AO634" s="9"/>
      <c r="AP634" s="9"/>
      <c r="AQ634" s="9"/>
      <c r="AR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224"/>
      <c r="X635" s="224"/>
      <c r="Y635" s="224"/>
      <c r="Z635" s="868"/>
      <c r="AA635" s="865"/>
      <c r="AB635" s="2"/>
      <c r="AC635" s="2"/>
      <c r="AD635" s="2"/>
      <c r="AE635" s="2"/>
      <c r="AF635" s="2"/>
      <c r="AG635" s="2"/>
      <c r="AH635" s="2"/>
      <c r="AI635" s="2"/>
      <c r="AJ635" s="2"/>
      <c r="AK635" s="2"/>
      <c r="AL635" s="2"/>
      <c r="AM635" s="2"/>
      <c r="AN635" s="2"/>
      <c r="AO635" s="9"/>
      <c r="AP635" s="9"/>
      <c r="AQ635" s="9"/>
      <c r="AR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224"/>
      <c r="X636" s="224"/>
      <c r="Y636" s="224"/>
      <c r="Z636" s="868"/>
      <c r="AA636" s="865"/>
      <c r="AB636" s="2"/>
      <c r="AC636" s="2"/>
      <c r="AD636" s="2"/>
      <c r="AE636" s="2"/>
      <c r="AF636" s="2"/>
      <c r="AG636" s="2"/>
      <c r="AH636" s="2"/>
      <c r="AI636" s="2"/>
      <c r="AJ636" s="2"/>
      <c r="AK636" s="2"/>
      <c r="AL636" s="2"/>
      <c r="AM636" s="2"/>
      <c r="AN636" s="2"/>
      <c r="AO636" s="9"/>
      <c r="AP636" s="9"/>
      <c r="AQ636" s="9"/>
      <c r="AR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224"/>
      <c r="X637" s="224"/>
      <c r="Y637" s="224"/>
      <c r="Z637" s="868"/>
      <c r="AA637" s="865"/>
      <c r="AB637" s="2"/>
      <c r="AC637" s="2"/>
      <c r="AD637" s="2"/>
      <c r="AE637" s="2"/>
      <c r="AF637" s="2"/>
      <c r="AG637" s="2"/>
      <c r="AH637" s="2"/>
      <c r="AI637" s="2"/>
      <c r="AJ637" s="2"/>
      <c r="AK637" s="2"/>
      <c r="AL637" s="2"/>
      <c r="AM637" s="2"/>
      <c r="AN637" s="2"/>
      <c r="AO637" s="9"/>
      <c r="AP637" s="9"/>
      <c r="AQ637" s="9"/>
      <c r="AR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224"/>
      <c r="X638" s="224"/>
      <c r="Y638" s="224"/>
      <c r="Z638" s="868"/>
      <c r="AA638" s="865"/>
      <c r="AB638" s="2"/>
      <c r="AC638" s="2"/>
      <c r="AD638" s="2"/>
      <c r="AE638" s="2"/>
      <c r="AF638" s="2"/>
      <c r="AG638" s="2"/>
      <c r="AH638" s="2"/>
      <c r="AI638" s="2"/>
      <c r="AJ638" s="2"/>
      <c r="AK638" s="2"/>
      <c r="AL638" s="2"/>
      <c r="AM638" s="2"/>
      <c r="AN638" s="2"/>
      <c r="AO638" s="9"/>
      <c r="AP638" s="9"/>
      <c r="AQ638" s="9"/>
      <c r="AR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224"/>
      <c r="X639" s="224"/>
      <c r="Y639" s="224"/>
      <c r="Z639" s="868"/>
      <c r="AA639" s="865"/>
      <c r="AB639" s="2"/>
      <c r="AC639" s="2"/>
      <c r="AD639" s="2"/>
      <c r="AE639" s="2"/>
      <c r="AF639" s="2"/>
      <c r="AG639" s="2"/>
      <c r="AH639" s="2"/>
      <c r="AI639" s="2"/>
      <c r="AJ639" s="2"/>
      <c r="AK639" s="2"/>
      <c r="AL639" s="2"/>
      <c r="AM639" s="2"/>
      <c r="AN639" s="2"/>
      <c r="AO639" s="9"/>
      <c r="AP639" s="9"/>
      <c r="AQ639" s="9"/>
      <c r="AR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224"/>
      <c r="X640" s="224"/>
      <c r="Y640" s="224"/>
      <c r="Z640" s="868"/>
      <c r="AA640" s="865"/>
      <c r="AB640" s="2"/>
      <c r="AC640" s="2"/>
      <c r="AD640" s="2"/>
      <c r="AE640" s="2"/>
      <c r="AF640" s="2"/>
      <c r="AG640" s="2"/>
      <c r="AH640" s="2"/>
      <c r="AI640" s="2"/>
      <c r="AJ640" s="2"/>
      <c r="AK640" s="2"/>
      <c r="AL640" s="2"/>
      <c r="AM640" s="2"/>
      <c r="AN640" s="2"/>
      <c r="AO640" s="9"/>
      <c r="AP640" s="9"/>
      <c r="AQ640" s="9"/>
      <c r="AR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224"/>
      <c r="X641" s="224"/>
      <c r="Y641" s="224"/>
      <c r="Z641" s="868"/>
      <c r="AA641" s="865"/>
      <c r="AB641" s="2"/>
      <c r="AC641" s="2"/>
      <c r="AD641" s="2"/>
      <c r="AE641" s="2"/>
      <c r="AF641" s="2"/>
      <c r="AG641" s="2"/>
      <c r="AH641" s="2"/>
      <c r="AI641" s="2"/>
      <c r="AJ641" s="2"/>
      <c r="AK641" s="2"/>
      <c r="AL641" s="2"/>
      <c r="AM641" s="2"/>
      <c r="AN641" s="2"/>
      <c r="AO641" s="9"/>
      <c r="AP641" s="9"/>
      <c r="AQ641" s="9"/>
      <c r="AR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224"/>
      <c r="X642" s="224"/>
      <c r="Y642" s="224"/>
      <c r="Z642" s="868"/>
      <c r="AA642" s="865"/>
      <c r="AB642" s="2"/>
      <c r="AC642" s="2"/>
      <c r="AD642" s="2"/>
      <c r="AE642" s="2"/>
      <c r="AF642" s="2"/>
      <c r="AG642" s="2"/>
      <c r="AH642" s="2"/>
      <c r="AI642" s="2"/>
      <c r="AJ642" s="2"/>
      <c r="AK642" s="2"/>
      <c r="AL642" s="2"/>
      <c r="AM642" s="2"/>
      <c r="AN642" s="2"/>
      <c r="AO642" s="9"/>
      <c r="AP642" s="9"/>
      <c r="AQ642" s="9"/>
      <c r="AR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224"/>
      <c r="X643" s="224"/>
      <c r="Y643" s="224"/>
      <c r="Z643" s="868"/>
      <c r="AA643" s="865"/>
      <c r="AB643" s="2"/>
      <c r="AC643" s="2"/>
      <c r="AD643" s="2"/>
      <c r="AE643" s="2"/>
      <c r="AF643" s="2"/>
      <c r="AG643" s="2"/>
      <c r="AH643" s="2"/>
      <c r="AI643" s="2"/>
      <c r="AJ643" s="2"/>
      <c r="AK643" s="2"/>
      <c r="AL643" s="2"/>
      <c r="AM643" s="2"/>
      <c r="AN643" s="2"/>
      <c r="AO643" s="9"/>
      <c r="AP643" s="9"/>
      <c r="AQ643" s="9"/>
      <c r="AR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224"/>
      <c r="X644" s="224"/>
      <c r="Y644" s="224"/>
      <c r="Z644" s="868"/>
      <c r="AA644" s="865"/>
      <c r="AB644" s="2"/>
      <c r="AC644" s="2"/>
      <c r="AD644" s="2"/>
      <c r="AE644" s="2"/>
      <c r="AF644" s="2"/>
      <c r="AG644" s="2"/>
      <c r="AH644" s="2"/>
      <c r="AI644" s="2"/>
      <c r="AJ644" s="2"/>
      <c r="AK644" s="2"/>
      <c r="AL644" s="2"/>
      <c r="AM644" s="2"/>
      <c r="AN644" s="2"/>
      <c r="AO644" s="9"/>
      <c r="AP644" s="9"/>
      <c r="AQ644" s="9"/>
      <c r="AR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224"/>
      <c r="X645" s="224"/>
      <c r="Y645" s="224"/>
      <c r="Z645" s="868"/>
      <c r="AA645" s="865"/>
      <c r="AB645" s="2"/>
      <c r="AC645" s="2"/>
      <c r="AD645" s="2"/>
      <c r="AE645" s="2"/>
      <c r="AF645" s="2"/>
      <c r="AG645" s="2"/>
      <c r="AH645" s="2"/>
      <c r="AI645" s="2"/>
      <c r="AJ645" s="2"/>
      <c r="AK645" s="2"/>
      <c r="AL645" s="2"/>
      <c r="AM645" s="2"/>
      <c r="AN645" s="2"/>
      <c r="AO645" s="9"/>
      <c r="AP645" s="9"/>
      <c r="AQ645" s="9"/>
      <c r="AR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224"/>
      <c r="X646" s="224"/>
      <c r="Y646" s="224"/>
      <c r="Z646" s="868"/>
      <c r="AA646" s="865"/>
      <c r="AB646" s="2"/>
      <c r="AC646" s="2"/>
      <c r="AD646" s="2"/>
      <c r="AE646" s="2"/>
      <c r="AF646" s="2"/>
      <c r="AG646" s="2"/>
      <c r="AH646" s="2"/>
      <c r="AI646" s="2"/>
      <c r="AJ646" s="2"/>
      <c r="AK646" s="2"/>
      <c r="AL646" s="2"/>
      <c r="AM646" s="2"/>
      <c r="AN646" s="2"/>
      <c r="AO646" s="9"/>
      <c r="AP646" s="9"/>
      <c r="AQ646" s="9"/>
      <c r="AR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224"/>
      <c r="X647" s="224"/>
      <c r="Y647" s="224"/>
      <c r="Z647" s="868"/>
      <c r="AA647" s="865"/>
      <c r="AB647" s="2"/>
      <c r="AC647" s="2"/>
      <c r="AD647" s="2"/>
      <c r="AE647" s="2"/>
      <c r="AF647" s="2"/>
      <c r="AG647" s="2"/>
      <c r="AH647" s="2"/>
      <c r="AI647" s="2"/>
      <c r="AJ647" s="2"/>
      <c r="AK647" s="2"/>
      <c r="AL647" s="2"/>
      <c r="AM647" s="2"/>
      <c r="AN647" s="2"/>
      <c r="AO647" s="9"/>
      <c r="AP647" s="9"/>
      <c r="AQ647" s="9"/>
      <c r="AR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224"/>
      <c r="X648" s="224"/>
      <c r="Y648" s="224"/>
      <c r="Z648" s="868"/>
      <c r="AA648" s="865"/>
      <c r="AB648" s="2"/>
      <c r="AC648" s="2"/>
      <c r="AD648" s="2"/>
      <c r="AE648" s="2"/>
      <c r="AF648" s="2"/>
      <c r="AG648" s="2"/>
      <c r="AH648" s="2"/>
      <c r="AI648" s="2"/>
      <c r="AJ648" s="2"/>
      <c r="AK648" s="2"/>
      <c r="AL648" s="2"/>
      <c r="AM648" s="2"/>
      <c r="AN648" s="2"/>
      <c r="AO648" s="9"/>
      <c r="AP648" s="9"/>
      <c r="AQ648" s="9"/>
      <c r="AR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224"/>
      <c r="X649" s="224"/>
      <c r="Y649" s="224"/>
      <c r="Z649" s="868"/>
      <c r="AA649" s="865"/>
      <c r="AB649" s="2"/>
      <c r="AC649" s="2"/>
      <c r="AD649" s="2"/>
      <c r="AE649" s="2"/>
      <c r="AF649" s="2"/>
      <c r="AG649" s="2"/>
      <c r="AH649" s="2"/>
      <c r="AI649" s="2"/>
      <c r="AJ649" s="2"/>
      <c r="AK649" s="2"/>
      <c r="AL649" s="2"/>
      <c r="AM649" s="2"/>
      <c r="AN649" s="2"/>
      <c r="AO649" s="9"/>
      <c r="AP649" s="9"/>
      <c r="AQ649" s="9"/>
      <c r="AR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224"/>
      <c r="X650" s="224"/>
      <c r="Y650" s="224"/>
      <c r="Z650" s="868"/>
      <c r="AA650" s="865"/>
      <c r="AB650" s="2"/>
      <c r="AC650" s="2"/>
      <c r="AD650" s="2"/>
      <c r="AE650" s="2"/>
      <c r="AF650" s="2"/>
      <c r="AG650" s="2"/>
      <c r="AH650" s="2"/>
      <c r="AI650" s="2"/>
      <c r="AJ650" s="2"/>
      <c r="AK650" s="2"/>
      <c r="AL650" s="2"/>
      <c r="AM650" s="2"/>
      <c r="AN650" s="2"/>
      <c r="AO650" s="9"/>
      <c r="AP650" s="9"/>
      <c r="AQ650" s="9"/>
      <c r="AR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224"/>
      <c r="X651" s="224"/>
      <c r="Y651" s="224"/>
      <c r="Z651" s="868"/>
      <c r="AA651" s="865"/>
      <c r="AB651" s="2"/>
      <c r="AC651" s="2"/>
      <c r="AD651" s="2"/>
      <c r="AE651" s="2"/>
      <c r="AF651" s="2"/>
      <c r="AG651" s="2"/>
      <c r="AH651" s="2"/>
      <c r="AI651" s="2"/>
      <c r="AJ651" s="2"/>
      <c r="AK651" s="2"/>
      <c r="AL651" s="2"/>
      <c r="AM651" s="2"/>
      <c r="AN651" s="2"/>
      <c r="AO651" s="9"/>
      <c r="AP651" s="9"/>
      <c r="AQ651" s="9"/>
      <c r="AR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224"/>
      <c r="X652" s="224"/>
      <c r="Y652" s="224"/>
      <c r="Z652" s="868"/>
      <c r="AA652" s="865"/>
      <c r="AB652" s="2"/>
      <c r="AC652" s="2"/>
      <c r="AD652" s="2"/>
      <c r="AE652" s="2"/>
      <c r="AF652" s="2"/>
      <c r="AG652" s="2"/>
      <c r="AH652" s="2"/>
      <c r="AI652" s="2"/>
      <c r="AJ652" s="2"/>
      <c r="AK652" s="2"/>
      <c r="AL652" s="2"/>
      <c r="AM652" s="2"/>
      <c r="AN652" s="2"/>
      <c r="AO652" s="9"/>
      <c r="AP652" s="9"/>
      <c r="AQ652" s="9"/>
      <c r="AR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224"/>
      <c r="X653" s="224"/>
      <c r="Y653" s="224"/>
      <c r="Z653" s="868"/>
      <c r="AA653" s="865"/>
      <c r="AB653" s="2"/>
      <c r="AC653" s="2"/>
      <c r="AD653" s="2"/>
      <c r="AE653" s="2"/>
      <c r="AF653" s="2"/>
      <c r="AG653" s="2"/>
      <c r="AH653" s="2"/>
      <c r="AI653" s="2"/>
      <c r="AJ653" s="2"/>
      <c r="AK653" s="2"/>
      <c r="AL653" s="2"/>
      <c r="AM653" s="2"/>
      <c r="AN653" s="2"/>
      <c r="AO653" s="9"/>
      <c r="AP653" s="9"/>
      <c r="AQ653" s="9"/>
      <c r="AR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224"/>
      <c r="X654" s="224"/>
      <c r="Y654" s="224"/>
      <c r="Z654" s="868"/>
      <c r="AA654" s="865"/>
      <c r="AB654" s="2"/>
      <c r="AC654" s="2"/>
      <c r="AD654" s="2"/>
      <c r="AE654" s="2"/>
      <c r="AF654" s="2"/>
      <c r="AG654" s="2"/>
      <c r="AH654" s="2"/>
      <c r="AI654" s="2"/>
      <c r="AJ654" s="2"/>
      <c r="AK654" s="2"/>
      <c r="AL654" s="2"/>
      <c r="AM654" s="2"/>
      <c r="AN654" s="2"/>
      <c r="AO654" s="9"/>
      <c r="AP654" s="9"/>
      <c r="AQ654" s="9"/>
      <c r="AR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224"/>
      <c r="X655" s="224"/>
      <c r="Y655" s="224"/>
      <c r="Z655" s="868"/>
      <c r="AA655" s="865"/>
      <c r="AB655" s="2"/>
      <c r="AC655" s="2"/>
      <c r="AD655" s="2"/>
      <c r="AE655" s="2"/>
      <c r="AF655" s="2"/>
      <c r="AG655" s="2"/>
      <c r="AH655" s="2"/>
      <c r="AI655" s="2"/>
      <c r="AJ655" s="2"/>
      <c r="AK655" s="2"/>
      <c r="AL655" s="2"/>
      <c r="AM655" s="2"/>
      <c r="AN655" s="2"/>
      <c r="AO655" s="9"/>
      <c r="AP655" s="9"/>
      <c r="AQ655" s="9"/>
      <c r="AR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224"/>
      <c r="X656" s="224"/>
      <c r="Y656" s="224"/>
      <c r="Z656" s="868"/>
      <c r="AA656" s="865"/>
      <c r="AB656" s="2"/>
      <c r="AC656" s="2"/>
      <c r="AD656" s="2"/>
      <c r="AE656" s="2"/>
      <c r="AF656" s="2"/>
      <c r="AG656" s="2"/>
      <c r="AH656" s="2"/>
      <c r="AI656" s="2"/>
      <c r="AJ656" s="2"/>
      <c r="AK656" s="2"/>
      <c r="AL656" s="2"/>
      <c r="AM656" s="2"/>
      <c r="AN656" s="2"/>
      <c r="AO656" s="9"/>
      <c r="AP656" s="9"/>
      <c r="AQ656" s="9"/>
      <c r="AR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224"/>
      <c r="X657" s="224"/>
      <c r="Y657" s="224"/>
      <c r="Z657" s="868"/>
      <c r="AA657" s="865"/>
      <c r="AB657" s="2"/>
      <c r="AC657" s="2"/>
      <c r="AD657" s="2"/>
      <c r="AE657" s="2"/>
      <c r="AF657" s="2"/>
      <c r="AG657" s="2"/>
      <c r="AH657" s="2"/>
      <c r="AI657" s="2"/>
      <c r="AJ657" s="2"/>
      <c r="AK657" s="2"/>
      <c r="AL657" s="2"/>
      <c r="AM657" s="2"/>
      <c r="AN657" s="2"/>
      <c r="AO657" s="9"/>
      <c r="AP657" s="9"/>
      <c r="AQ657" s="9"/>
      <c r="AR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224"/>
      <c r="X658" s="224"/>
      <c r="Y658" s="224"/>
      <c r="Z658" s="868"/>
      <c r="AA658" s="865"/>
      <c r="AB658" s="2"/>
      <c r="AC658" s="2"/>
      <c r="AD658" s="2"/>
      <c r="AE658" s="2"/>
      <c r="AF658" s="2"/>
      <c r="AG658" s="2"/>
      <c r="AH658" s="2"/>
      <c r="AI658" s="2"/>
      <c r="AJ658" s="2"/>
      <c r="AK658" s="2"/>
      <c r="AL658" s="2"/>
      <c r="AM658" s="2"/>
      <c r="AN658" s="2"/>
      <c r="AO658" s="9"/>
      <c r="AP658" s="9"/>
      <c r="AQ658" s="9"/>
      <c r="AR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224"/>
      <c r="X659" s="224"/>
      <c r="Y659" s="224"/>
      <c r="Z659" s="868"/>
      <c r="AA659" s="865"/>
      <c r="AB659" s="2"/>
      <c r="AC659" s="2"/>
      <c r="AD659" s="2"/>
      <c r="AE659" s="2"/>
      <c r="AF659" s="2"/>
      <c r="AG659" s="2"/>
      <c r="AH659" s="2"/>
      <c r="AI659" s="2"/>
      <c r="AJ659" s="2"/>
      <c r="AK659" s="2"/>
      <c r="AL659" s="2"/>
      <c r="AM659" s="2"/>
      <c r="AN659" s="2"/>
      <c r="AO659" s="9"/>
      <c r="AP659" s="9"/>
      <c r="AQ659" s="9"/>
      <c r="AR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224"/>
      <c r="X660" s="224"/>
      <c r="Y660" s="224"/>
      <c r="Z660" s="868"/>
      <c r="AA660" s="865"/>
      <c r="AB660" s="2"/>
      <c r="AC660" s="2"/>
      <c r="AD660" s="2"/>
      <c r="AE660" s="2"/>
      <c r="AF660" s="2"/>
      <c r="AG660" s="2"/>
      <c r="AH660" s="2"/>
      <c r="AI660" s="2"/>
      <c r="AJ660" s="2"/>
      <c r="AK660" s="2"/>
      <c r="AL660" s="2"/>
      <c r="AM660" s="2"/>
      <c r="AN660" s="2"/>
      <c r="AO660" s="9"/>
      <c r="AP660" s="9"/>
      <c r="AQ660" s="9"/>
      <c r="AR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224"/>
      <c r="X661" s="224"/>
      <c r="Y661" s="224"/>
      <c r="Z661" s="868"/>
      <c r="AA661" s="865"/>
      <c r="AB661" s="2"/>
      <c r="AC661" s="2"/>
      <c r="AD661" s="2"/>
      <c r="AE661" s="2"/>
      <c r="AF661" s="2"/>
      <c r="AG661" s="2"/>
      <c r="AH661" s="2"/>
      <c r="AI661" s="2"/>
      <c r="AJ661" s="2"/>
      <c r="AK661" s="2"/>
      <c r="AL661" s="2"/>
      <c r="AM661" s="2"/>
      <c r="AN661" s="2"/>
      <c r="AO661" s="9"/>
      <c r="AP661" s="9"/>
      <c r="AQ661" s="9"/>
      <c r="AR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224"/>
      <c r="X662" s="224"/>
      <c r="Y662" s="224"/>
      <c r="Z662" s="868"/>
      <c r="AA662" s="865"/>
      <c r="AB662" s="2"/>
      <c r="AC662" s="2"/>
      <c r="AD662" s="2"/>
      <c r="AE662" s="2"/>
      <c r="AF662" s="2"/>
      <c r="AG662" s="2"/>
      <c r="AH662" s="2"/>
      <c r="AI662" s="2"/>
      <c r="AJ662" s="2"/>
      <c r="AK662" s="2"/>
      <c r="AL662" s="2"/>
      <c r="AM662" s="2"/>
      <c r="AN662" s="2"/>
      <c r="AO662" s="9"/>
      <c r="AP662" s="9"/>
      <c r="AQ662" s="9"/>
      <c r="AR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224"/>
      <c r="X663" s="224"/>
      <c r="Y663" s="224"/>
      <c r="Z663" s="868"/>
      <c r="AA663" s="865"/>
      <c r="AB663" s="2"/>
      <c r="AC663" s="2"/>
      <c r="AD663" s="2"/>
      <c r="AE663" s="2"/>
      <c r="AF663" s="2"/>
      <c r="AG663" s="2"/>
      <c r="AH663" s="2"/>
      <c r="AI663" s="2"/>
      <c r="AJ663" s="2"/>
      <c r="AK663" s="2"/>
      <c r="AL663" s="2"/>
      <c r="AM663" s="2"/>
      <c r="AN663" s="2"/>
      <c r="AO663" s="9"/>
      <c r="AP663" s="9"/>
      <c r="AQ663" s="9"/>
      <c r="AR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224"/>
      <c r="X664" s="224"/>
      <c r="Y664" s="224"/>
      <c r="Z664" s="868"/>
      <c r="AA664" s="865"/>
      <c r="AB664" s="2"/>
      <c r="AC664" s="2"/>
      <c r="AD664" s="2"/>
      <c r="AE664" s="2"/>
      <c r="AF664" s="2"/>
      <c r="AG664" s="2"/>
      <c r="AH664" s="2"/>
      <c r="AI664" s="2"/>
      <c r="AJ664" s="2"/>
      <c r="AK664" s="2"/>
      <c r="AL664" s="2"/>
      <c r="AM664" s="2"/>
      <c r="AN664" s="2"/>
      <c r="AO664" s="9"/>
      <c r="AP664" s="9"/>
      <c r="AQ664" s="9"/>
      <c r="AR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224"/>
      <c r="X665" s="224"/>
      <c r="Y665" s="224"/>
      <c r="Z665" s="868"/>
      <c r="AA665" s="865"/>
      <c r="AB665" s="2"/>
      <c r="AC665" s="2"/>
      <c r="AD665" s="2"/>
      <c r="AE665" s="2"/>
      <c r="AF665" s="2"/>
      <c r="AG665" s="2"/>
      <c r="AH665" s="2"/>
      <c r="AI665" s="2"/>
      <c r="AJ665" s="2"/>
      <c r="AK665" s="2"/>
      <c r="AL665" s="2"/>
      <c r="AM665" s="2"/>
      <c r="AN665" s="2"/>
      <c r="AO665" s="9"/>
      <c r="AP665" s="9"/>
      <c r="AQ665" s="9"/>
      <c r="AR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224"/>
      <c r="X666" s="224"/>
      <c r="Y666" s="224"/>
      <c r="Z666" s="868"/>
      <c r="AA666" s="865"/>
      <c r="AB666" s="2"/>
      <c r="AC666" s="2"/>
      <c r="AD666" s="2"/>
      <c r="AE666" s="2"/>
      <c r="AF666" s="2"/>
      <c r="AG666" s="2"/>
      <c r="AH666" s="2"/>
      <c r="AI666" s="2"/>
      <c r="AJ666" s="2"/>
      <c r="AK666" s="2"/>
      <c r="AL666" s="2"/>
      <c r="AM666" s="2"/>
      <c r="AN666" s="2"/>
      <c r="AO666" s="9"/>
      <c r="AP666" s="9"/>
      <c r="AQ666" s="9"/>
      <c r="AR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224"/>
      <c r="X667" s="224"/>
      <c r="Y667" s="224"/>
      <c r="Z667" s="868"/>
      <c r="AA667" s="865"/>
      <c r="AB667" s="2"/>
      <c r="AC667" s="2"/>
      <c r="AD667" s="2"/>
      <c r="AE667" s="2"/>
      <c r="AF667" s="2"/>
      <c r="AG667" s="2"/>
      <c r="AH667" s="2"/>
      <c r="AI667" s="2"/>
      <c r="AJ667" s="2"/>
      <c r="AK667" s="2"/>
      <c r="AL667" s="2"/>
      <c r="AM667" s="2"/>
      <c r="AN667" s="2"/>
      <c r="AO667" s="9"/>
      <c r="AP667" s="9"/>
      <c r="AQ667" s="9"/>
      <c r="AR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224"/>
      <c r="X668" s="224"/>
      <c r="Y668" s="224"/>
      <c r="Z668" s="868"/>
      <c r="AA668" s="865"/>
      <c r="AB668" s="2"/>
      <c r="AC668" s="2"/>
      <c r="AD668" s="2"/>
      <c r="AE668" s="2"/>
      <c r="AF668" s="2"/>
      <c r="AG668" s="2"/>
      <c r="AH668" s="2"/>
      <c r="AI668" s="2"/>
      <c r="AJ668" s="2"/>
      <c r="AK668" s="2"/>
      <c r="AL668" s="2"/>
      <c r="AM668" s="2"/>
      <c r="AN668" s="2"/>
      <c r="AO668" s="9"/>
      <c r="AP668" s="9"/>
      <c r="AQ668" s="9"/>
      <c r="AR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224"/>
      <c r="X669" s="224"/>
      <c r="Y669" s="224"/>
      <c r="Z669" s="868"/>
      <c r="AA669" s="865"/>
      <c r="AB669" s="2"/>
      <c r="AC669" s="2"/>
      <c r="AD669" s="2"/>
      <c r="AE669" s="2"/>
      <c r="AF669" s="2"/>
      <c r="AG669" s="2"/>
      <c r="AH669" s="2"/>
      <c r="AI669" s="2"/>
      <c r="AJ669" s="2"/>
      <c r="AK669" s="2"/>
      <c r="AL669" s="2"/>
      <c r="AM669" s="2"/>
      <c r="AN669" s="2"/>
      <c r="AO669" s="9"/>
      <c r="AP669" s="9"/>
      <c r="AQ669" s="9"/>
      <c r="AR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224"/>
      <c r="X670" s="224"/>
      <c r="Y670" s="224"/>
      <c r="Z670" s="868"/>
      <c r="AA670" s="865"/>
      <c r="AB670" s="2"/>
      <c r="AC670" s="2"/>
      <c r="AD670" s="2"/>
      <c r="AE670" s="2"/>
      <c r="AF670" s="2"/>
      <c r="AG670" s="2"/>
      <c r="AH670" s="2"/>
      <c r="AI670" s="2"/>
      <c r="AJ670" s="2"/>
      <c r="AK670" s="2"/>
      <c r="AL670" s="2"/>
      <c r="AM670" s="2"/>
      <c r="AN670" s="2"/>
      <c r="AO670" s="9"/>
      <c r="AP670" s="9"/>
      <c r="AQ670" s="9"/>
      <c r="AR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224"/>
      <c r="X671" s="224"/>
      <c r="Y671" s="224"/>
      <c r="Z671" s="868"/>
      <c r="AA671" s="865"/>
      <c r="AB671" s="2"/>
      <c r="AC671" s="2"/>
      <c r="AD671" s="2"/>
      <c r="AE671" s="2"/>
      <c r="AF671" s="2"/>
      <c r="AG671" s="2"/>
      <c r="AH671" s="2"/>
      <c r="AI671" s="2"/>
      <c r="AJ671" s="2"/>
      <c r="AK671" s="2"/>
      <c r="AL671" s="2"/>
      <c r="AM671" s="2"/>
      <c r="AN671" s="2"/>
      <c r="AO671" s="9"/>
      <c r="AP671" s="9"/>
      <c r="AQ671" s="9"/>
      <c r="AR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224"/>
      <c r="X672" s="224"/>
      <c r="Y672" s="224"/>
      <c r="Z672" s="868"/>
      <c r="AA672" s="865"/>
      <c r="AB672" s="2"/>
      <c r="AC672" s="2"/>
      <c r="AD672" s="2"/>
      <c r="AE672" s="2"/>
      <c r="AF672" s="2"/>
      <c r="AG672" s="2"/>
      <c r="AH672" s="2"/>
      <c r="AI672" s="2"/>
      <c r="AJ672" s="2"/>
      <c r="AK672" s="2"/>
      <c r="AL672" s="2"/>
      <c r="AM672" s="2"/>
      <c r="AN672" s="2"/>
      <c r="AO672" s="9"/>
      <c r="AP672" s="9"/>
      <c r="AQ672" s="9"/>
      <c r="AR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224"/>
      <c r="X673" s="224"/>
      <c r="Y673" s="224"/>
      <c r="Z673" s="868"/>
      <c r="AA673" s="865"/>
      <c r="AB673" s="2"/>
      <c r="AC673" s="2"/>
      <c r="AD673" s="2"/>
      <c r="AE673" s="2"/>
      <c r="AF673" s="2"/>
      <c r="AG673" s="2"/>
      <c r="AH673" s="2"/>
      <c r="AI673" s="2"/>
      <c r="AJ673" s="2"/>
      <c r="AK673" s="2"/>
      <c r="AL673" s="2"/>
      <c r="AM673" s="2"/>
      <c r="AN673" s="2"/>
      <c r="AO673" s="9"/>
      <c r="AP673" s="9"/>
      <c r="AQ673" s="9"/>
      <c r="AR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224"/>
      <c r="X674" s="224"/>
      <c r="Y674" s="224"/>
      <c r="Z674" s="868"/>
      <c r="AA674" s="865"/>
      <c r="AB674" s="2"/>
      <c r="AC674" s="2"/>
      <c r="AD674" s="2"/>
      <c r="AE674" s="2"/>
      <c r="AF674" s="2"/>
      <c r="AG674" s="2"/>
      <c r="AH674" s="2"/>
      <c r="AI674" s="2"/>
      <c r="AJ674" s="2"/>
      <c r="AK674" s="2"/>
      <c r="AL674" s="2"/>
      <c r="AM674" s="2"/>
      <c r="AN674" s="2"/>
      <c r="AO674" s="9"/>
      <c r="AP674" s="9"/>
      <c r="AQ674" s="9"/>
      <c r="AR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224"/>
      <c r="X675" s="224"/>
      <c r="Y675" s="224"/>
      <c r="Z675" s="868"/>
      <c r="AA675" s="865"/>
      <c r="AB675" s="2"/>
      <c r="AC675" s="2"/>
      <c r="AD675" s="2"/>
      <c r="AE675" s="2"/>
      <c r="AF675" s="2"/>
      <c r="AG675" s="2"/>
      <c r="AH675" s="2"/>
      <c r="AI675" s="2"/>
      <c r="AJ675" s="2"/>
      <c r="AK675" s="2"/>
      <c r="AL675" s="2"/>
      <c r="AM675" s="2"/>
      <c r="AN675" s="2"/>
      <c r="AO675" s="9"/>
      <c r="AP675" s="9"/>
      <c r="AQ675" s="9"/>
      <c r="AR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224"/>
      <c r="X676" s="224"/>
      <c r="Y676" s="224"/>
      <c r="Z676" s="868"/>
      <c r="AA676" s="865"/>
      <c r="AB676" s="2"/>
      <c r="AC676" s="2"/>
      <c r="AD676" s="2"/>
      <c r="AE676" s="2"/>
      <c r="AF676" s="2"/>
      <c r="AG676" s="2"/>
      <c r="AH676" s="2"/>
      <c r="AI676" s="2"/>
      <c r="AJ676" s="2"/>
      <c r="AK676" s="2"/>
      <c r="AL676" s="2"/>
      <c r="AM676" s="2"/>
      <c r="AN676" s="2"/>
      <c r="AO676" s="9"/>
      <c r="AP676" s="9"/>
      <c r="AQ676" s="9"/>
      <c r="AR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224"/>
      <c r="X677" s="224"/>
      <c r="Y677" s="224"/>
      <c r="Z677" s="868"/>
      <c r="AA677" s="865"/>
      <c r="AB677" s="2"/>
      <c r="AC677" s="2"/>
      <c r="AD677" s="2"/>
      <c r="AE677" s="2"/>
      <c r="AF677" s="2"/>
      <c r="AG677" s="2"/>
      <c r="AH677" s="2"/>
      <c r="AI677" s="2"/>
      <c r="AJ677" s="2"/>
      <c r="AK677" s="2"/>
      <c r="AL677" s="2"/>
      <c r="AM677" s="2"/>
      <c r="AN677" s="2"/>
      <c r="AO677" s="9"/>
      <c r="AP677" s="9"/>
      <c r="AQ677" s="9"/>
      <c r="AR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224"/>
      <c r="X678" s="224"/>
      <c r="Y678" s="224"/>
      <c r="Z678" s="868"/>
      <c r="AA678" s="865"/>
      <c r="AB678" s="2"/>
      <c r="AC678" s="2"/>
      <c r="AD678" s="2"/>
      <c r="AE678" s="2"/>
      <c r="AF678" s="2"/>
      <c r="AG678" s="2"/>
      <c r="AH678" s="2"/>
      <c r="AI678" s="2"/>
      <c r="AJ678" s="2"/>
      <c r="AK678" s="2"/>
      <c r="AL678" s="2"/>
      <c r="AM678" s="2"/>
      <c r="AN678" s="2"/>
      <c r="AO678" s="9"/>
      <c r="AP678" s="9"/>
      <c r="AQ678" s="9"/>
      <c r="AR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224"/>
      <c r="X679" s="224"/>
      <c r="Y679" s="224"/>
      <c r="Z679" s="868"/>
      <c r="AA679" s="865"/>
      <c r="AB679" s="2"/>
      <c r="AC679" s="2"/>
      <c r="AD679" s="2"/>
      <c r="AE679" s="2"/>
      <c r="AF679" s="2"/>
      <c r="AG679" s="2"/>
      <c r="AH679" s="2"/>
      <c r="AI679" s="2"/>
      <c r="AJ679" s="2"/>
      <c r="AK679" s="2"/>
      <c r="AL679" s="2"/>
      <c r="AM679" s="2"/>
      <c r="AN679" s="2"/>
      <c r="AO679" s="9"/>
      <c r="AP679" s="9"/>
      <c r="AQ679" s="9"/>
      <c r="AR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224"/>
      <c r="X680" s="224"/>
      <c r="Y680" s="224"/>
      <c r="Z680" s="868"/>
      <c r="AA680" s="865"/>
      <c r="AB680" s="2"/>
      <c r="AC680" s="2"/>
      <c r="AD680" s="2"/>
      <c r="AE680" s="2"/>
      <c r="AF680" s="2"/>
      <c r="AG680" s="2"/>
      <c r="AH680" s="2"/>
      <c r="AI680" s="2"/>
      <c r="AJ680" s="2"/>
      <c r="AK680" s="2"/>
      <c r="AL680" s="2"/>
      <c r="AM680" s="2"/>
      <c r="AN680" s="2"/>
      <c r="AO680" s="9"/>
      <c r="AP680" s="9"/>
      <c r="AQ680" s="9"/>
      <c r="AR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224"/>
      <c r="X681" s="224"/>
      <c r="Y681" s="224"/>
      <c r="Z681" s="868"/>
      <c r="AA681" s="865"/>
      <c r="AB681" s="2"/>
      <c r="AC681" s="2"/>
      <c r="AD681" s="2"/>
      <c r="AE681" s="2"/>
      <c r="AF681" s="2"/>
      <c r="AG681" s="2"/>
      <c r="AH681" s="2"/>
      <c r="AI681" s="2"/>
      <c r="AJ681" s="2"/>
      <c r="AK681" s="2"/>
      <c r="AL681" s="2"/>
      <c r="AM681" s="2"/>
      <c r="AN681" s="2"/>
      <c r="AO681" s="9"/>
      <c r="AP681" s="9"/>
      <c r="AQ681" s="9"/>
      <c r="AR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224"/>
      <c r="X682" s="224"/>
      <c r="Y682" s="224"/>
      <c r="Z682" s="868"/>
      <c r="AA682" s="865"/>
      <c r="AB682" s="2"/>
      <c r="AC682" s="2"/>
      <c r="AD682" s="2"/>
      <c r="AE682" s="2"/>
      <c r="AF682" s="2"/>
      <c r="AG682" s="2"/>
      <c r="AH682" s="2"/>
      <c r="AI682" s="2"/>
      <c r="AJ682" s="2"/>
      <c r="AK682" s="2"/>
      <c r="AL682" s="2"/>
      <c r="AM682" s="2"/>
      <c r="AN682" s="2"/>
      <c r="AO682" s="9"/>
      <c r="AP682" s="9"/>
      <c r="AQ682" s="9"/>
      <c r="AR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224"/>
      <c r="X683" s="224"/>
      <c r="Y683" s="224"/>
      <c r="Z683" s="868"/>
      <c r="AA683" s="865"/>
      <c r="AB683" s="2"/>
      <c r="AC683" s="2"/>
      <c r="AD683" s="2"/>
      <c r="AE683" s="2"/>
      <c r="AF683" s="2"/>
      <c r="AG683" s="2"/>
      <c r="AH683" s="2"/>
      <c r="AI683" s="2"/>
      <c r="AJ683" s="2"/>
      <c r="AK683" s="2"/>
      <c r="AL683" s="2"/>
      <c r="AM683" s="2"/>
      <c r="AN683" s="2"/>
      <c r="AO683" s="9"/>
      <c r="AP683" s="9"/>
      <c r="AQ683" s="9"/>
      <c r="AR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224"/>
      <c r="X684" s="224"/>
      <c r="Y684" s="224"/>
      <c r="Z684" s="868"/>
      <c r="AA684" s="865"/>
      <c r="AB684" s="2"/>
      <c r="AC684" s="2"/>
      <c r="AD684" s="2"/>
      <c r="AE684" s="2"/>
      <c r="AF684" s="2"/>
      <c r="AG684" s="2"/>
      <c r="AH684" s="2"/>
      <c r="AI684" s="2"/>
      <c r="AJ684" s="2"/>
      <c r="AK684" s="2"/>
      <c r="AL684" s="2"/>
      <c r="AM684" s="2"/>
      <c r="AN684" s="2"/>
      <c r="AO684" s="9"/>
      <c r="AP684" s="9"/>
      <c r="AQ684" s="9"/>
      <c r="AR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224"/>
      <c r="X685" s="224"/>
      <c r="Y685" s="224"/>
      <c r="Z685" s="868"/>
      <c r="AA685" s="865"/>
      <c r="AB685" s="2"/>
      <c r="AC685" s="2"/>
      <c r="AD685" s="2"/>
      <c r="AE685" s="2"/>
      <c r="AF685" s="2"/>
      <c r="AG685" s="2"/>
      <c r="AH685" s="2"/>
      <c r="AI685" s="2"/>
      <c r="AJ685" s="2"/>
      <c r="AK685" s="2"/>
      <c r="AL685" s="2"/>
      <c r="AM685" s="2"/>
      <c r="AN685" s="2"/>
      <c r="AO685" s="9"/>
      <c r="AP685" s="9"/>
      <c r="AQ685" s="9"/>
      <c r="AR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224"/>
      <c r="X686" s="224"/>
      <c r="Y686" s="224"/>
      <c r="Z686" s="868"/>
      <c r="AA686" s="865"/>
      <c r="AB686" s="2"/>
      <c r="AC686" s="2"/>
      <c r="AD686" s="2"/>
      <c r="AE686" s="2"/>
      <c r="AF686" s="2"/>
      <c r="AG686" s="2"/>
      <c r="AH686" s="2"/>
      <c r="AI686" s="2"/>
      <c r="AJ686" s="2"/>
      <c r="AK686" s="2"/>
      <c r="AL686" s="2"/>
      <c r="AM686" s="2"/>
      <c r="AN686" s="2"/>
      <c r="AO686" s="9"/>
      <c r="AP686" s="9"/>
      <c r="AQ686" s="9"/>
      <c r="AR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224"/>
      <c r="X687" s="224"/>
      <c r="Y687" s="224"/>
      <c r="Z687" s="868"/>
      <c r="AA687" s="865"/>
      <c r="AB687" s="2"/>
      <c r="AC687" s="2"/>
      <c r="AD687" s="2"/>
      <c r="AE687" s="2"/>
      <c r="AF687" s="2"/>
      <c r="AG687" s="2"/>
      <c r="AH687" s="2"/>
      <c r="AI687" s="2"/>
      <c r="AJ687" s="2"/>
      <c r="AK687" s="2"/>
      <c r="AL687" s="2"/>
      <c r="AM687" s="2"/>
      <c r="AN687" s="2"/>
      <c r="AO687" s="9"/>
      <c r="AP687" s="9"/>
      <c r="AQ687" s="9"/>
      <c r="AR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224"/>
      <c r="X688" s="224"/>
      <c r="Y688" s="224"/>
      <c r="Z688" s="868"/>
      <c r="AA688" s="865"/>
      <c r="AB688" s="2"/>
      <c r="AC688" s="2"/>
      <c r="AD688" s="2"/>
      <c r="AE688" s="2"/>
      <c r="AF688" s="2"/>
      <c r="AG688" s="2"/>
      <c r="AH688" s="2"/>
      <c r="AI688" s="2"/>
      <c r="AJ688" s="2"/>
      <c r="AK688" s="2"/>
      <c r="AL688" s="2"/>
      <c r="AM688" s="2"/>
      <c r="AN688" s="2"/>
      <c r="AO688" s="9"/>
      <c r="AP688" s="9"/>
      <c r="AQ688" s="9"/>
      <c r="AR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224"/>
      <c r="X689" s="224"/>
      <c r="Y689" s="224"/>
      <c r="Z689" s="868"/>
      <c r="AA689" s="865"/>
      <c r="AB689" s="2"/>
      <c r="AC689" s="2"/>
      <c r="AD689" s="2"/>
      <c r="AE689" s="2"/>
      <c r="AF689" s="2"/>
      <c r="AG689" s="2"/>
      <c r="AH689" s="2"/>
      <c r="AI689" s="2"/>
      <c r="AJ689" s="2"/>
      <c r="AK689" s="2"/>
      <c r="AL689" s="2"/>
      <c r="AM689" s="2"/>
      <c r="AN689" s="2"/>
      <c r="AO689" s="9"/>
      <c r="AP689" s="9"/>
      <c r="AQ689" s="9"/>
      <c r="AR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224"/>
      <c r="X690" s="224"/>
      <c r="Y690" s="224"/>
      <c r="Z690" s="868"/>
      <c r="AA690" s="865"/>
      <c r="AB690" s="2"/>
      <c r="AC690" s="2"/>
      <c r="AD690" s="2"/>
      <c r="AE690" s="2"/>
      <c r="AF690" s="2"/>
      <c r="AG690" s="2"/>
      <c r="AH690" s="2"/>
      <c r="AI690" s="2"/>
      <c r="AJ690" s="2"/>
      <c r="AK690" s="2"/>
      <c r="AL690" s="2"/>
      <c r="AM690" s="2"/>
      <c r="AN690" s="2"/>
      <c r="AO690" s="9"/>
      <c r="AP690" s="9"/>
      <c r="AQ690" s="9"/>
      <c r="AR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224"/>
      <c r="X691" s="224"/>
      <c r="Y691" s="224"/>
      <c r="Z691" s="868"/>
      <c r="AA691" s="865"/>
      <c r="AB691" s="2"/>
      <c r="AC691" s="2"/>
      <c r="AD691" s="2"/>
      <c r="AE691" s="2"/>
      <c r="AF691" s="2"/>
      <c r="AG691" s="2"/>
      <c r="AH691" s="2"/>
      <c r="AI691" s="2"/>
      <c r="AJ691" s="2"/>
      <c r="AK691" s="2"/>
      <c r="AL691" s="2"/>
      <c r="AM691" s="2"/>
      <c r="AN691" s="2"/>
      <c r="AO691" s="9"/>
      <c r="AP691" s="9"/>
      <c r="AQ691" s="9"/>
      <c r="AR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224"/>
      <c r="X692" s="224"/>
      <c r="Y692" s="224"/>
      <c r="Z692" s="868"/>
      <c r="AA692" s="865"/>
      <c r="AB692" s="2"/>
      <c r="AC692" s="2"/>
      <c r="AD692" s="2"/>
      <c r="AE692" s="2"/>
      <c r="AF692" s="2"/>
      <c r="AG692" s="2"/>
      <c r="AH692" s="2"/>
      <c r="AI692" s="2"/>
      <c r="AJ692" s="2"/>
      <c r="AK692" s="2"/>
      <c r="AL692" s="2"/>
      <c r="AM692" s="2"/>
      <c r="AN692" s="2"/>
      <c r="AO692" s="9"/>
      <c r="AP692" s="9"/>
      <c r="AQ692" s="9"/>
      <c r="AR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224"/>
      <c r="X693" s="224"/>
      <c r="Y693" s="224"/>
      <c r="Z693" s="868"/>
      <c r="AA693" s="865"/>
      <c r="AB693" s="2"/>
      <c r="AC693" s="2"/>
      <c r="AD693" s="2"/>
      <c r="AE693" s="2"/>
      <c r="AF693" s="2"/>
      <c r="AG693" s="2"/>
      <c r="AH693" s="2"/>
      <c r="AI693" s="2"/>
      <c r="AJ693" s="2"/>
      <c r="AK693" s="2"/>
      <c r="AL693" s="2"/>
      <c r="AM693" s="2"/>
      <c r="AN693" s="2"/>
      <c r="AO693" s="9"/>
      <c r="AP693" s="9"/>
      <c r="AQ693" s="9"/>
      <c r="AR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224"/>
      <c r="X694" s="224"/>
      <c r="Y694" s="224"/>
      <c r="Z694" s="868"/>
      <c r="AA694" s="865"/>
      <c r="AB694" s="2"/>
      <c r="AC694" s="2"/>
      <c r="AD694" s="2"/>
      <c r="AE694" s="2"/>
      <c r="AF694" s="2"/>
      <c r="AG694" s="2"/>
      <c r="AH694" s="2"/>
      <c r="AI694" s="2"/>
      <c r="AJ694" s="2"/>
      <c r="AK694" s="2"/>
      <c r="AL694" s="2"/>
      <c r="AM694" s="2"/>
      <c r="AN694" s="2"/>
      <c r="AO694" s="9"/>
      <c r="AP694" s="9"/>
      <c r="AQ694" s="9"/>
      <c r="AR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224"/>
      <c r="X695" s="224"/>
      <c r="Y695" s="224"/>
      <c r="Z695" s="868"/>
      <c r="AA695" s="865"/>
      <c r="AB695" s="2"/>
      <c r="AC695" s="2"/>
      <c r="AD695" s="2"/>
      <c r="AE695" s="2"/>
      <c r="AF695" s="2"/>
      <c r="AG695" s="2"/>
      <c r="AH695" s="2"/>
      <c r="AI695" s="2"/>
      <c r="AJ695" s="2"/>
      <c r="AK695" s="2"/>
      <c r="AL695" s="2"/>
      <c r="AM695" s="2"/>
      <c r="AN695" s="2"/>
      <c r="AO695" s="9"/>
      <c r="AP695" s="9"/>
      <c r="AQ695" s="9"/>
      <c r="AR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224"/>
      <c r="X696" s="224"/>
      <c r="Y696" s="224"/>
      <c r="Z696" s="868"/>
      <c r="AA696" s="865"/>
      <c r="AB696" s="2"/>
      <c r="AC696" s="2"/>
      <c r="AD696" s="2"/>
      <c r="AE696" s="2"/>
      <c r="AF696" s="2"/>
      <c r="AG696" s="2"/>
      <c r="AH696" s="2"/>
      <c r="AI696" s="2"/>
      <c r="AJ696" s="2"/>
      <c r="AK696" s="2"/>
      <c r="AL696" s="2"/>
      <c r="AM696" s="2"/>
      <c r="AN696" s="2"/>
      <c r="AO696" s="9"/>
      <c r="AP696" s="9"/>
      <c r="AQ696" s="9"/>
      <c r="AR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224"/>
      <c r="X697" s="224"/>
      <c r="Y697" s="224"/>
      <c r="Z697" s="868"/>
      <c r="AA697" s="865"/>
      <c r="AB697" s="2"/>
      <c r="AC697" s="2"/>
      <c r="AD697" s="2"/>
      <c r="AE697" s="2"/>
      <c r="AF697" s="2"/>
      <c r="AG697" s="2"/>
      <c r="AH697" s="2"/>
      <c r="AI697" s="2"/>
      <c r="AJ697" s="2"/>
      <c r="AK697" s="2"/>
      <c r="AL697" s="2"/>
      <c r="AM697" s="2"/>
      <c r="AN697" s="2"/>
      <c r="AO697" s="9"/>
      <c r="AP697" s="9"/>
      <c r="AQ697" s="9"/>
      <c r="AR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224"/>
      <c r="X698" s="224"/>
      <c r="Y698" s="224"/>
      <c r="Z698" s="868"/>
      <c r="AA698" s="865"/>
      <c r="AB698" s="2"/>
      <c r="AC698" s="2"/>
      <c r="AD698" s="2"/>
      <c r="AE698" s="2"/>
      <c r="AF698" s="2"/>
      <c r="AG698" s="2"/>
      <c r="AH698" s="2"/>
      <c r="AI698" s="2"/>
      <c r="AJ698" s="2"/>
      <c r="AK698" s="2"/>
      <c r="AL698" s="2"/>
      <c r="AM698" s="2"/>
      <c r="AN698" s="2"/>
      <c r="AO698" s="9"/>
      <c r="AP698" s="9"/>
      <c r="AQ698" s="9"/>
      <c r="AR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224"/>
      <c r="X699" s="224"/>
      <c r="Y699" s="224"/>
      <c r="Z699" s="868"/>
      <c r="AA699" s="865"/>
      <c r="AB699" s="2"/>
      <c r="AC699" s="2"/>
      <c r="AD699" s="2"/>
      <c r="AE699" s="2"/>
      <c r="AF699" s="2"/>
      <c r="AG699" s="2"/>
      <c r="AH699" s="2"/>
      <c r="AI699" s="2"/>
      <c r="AJ699" s="2"/>
      <c r="AK699" s="2"/>
      <c r="AL699" s="2"/>
      <c r="AM699" s="2"/>
      <c r="AN699" s="2"/>
      <c r="AO699" s="9"/>
      <c r="AP699" s="9"/>
      <c r="AQ699" s="9"/>
      <c r="AR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224"/>
      <c r="X700" s="224"/>
      <c r="Y700" s="224"/>
      <c r="Z700" s="868"/>
      <c r="AA700" s="865"/>
      <c r="AB700" s="2"/>
      <c r="AC700" s="2"/>
      <c r="AD700" s="2"/>
      <c r="AE700" s="2"/>
      <c r="AF700" s="2"/>
      <c r="AG700" s="2"/>
      <c r="AH700" s="2"/>
      <c r="AI700" s="2"/>
      <c r="AJ700" s="2"/>
      <c r="AK700" s="2"/>
      <c r="AL700" s="2"/>
      <c r="AM700" s="2"/>
      <c r="AN700" s="2"/>
      <c r="AO700" s="9"/>
      <c r="AP700" s="9"/>
      <c r="AQ700" s="9"/>
      <c r="AR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224"/>
      <c r="X701" s="224"/>
      <c r="Y701" s="224"/>
      <c r="Z701" s="868"/>
      <c r="AA701" s="865"/>
      <c r="AB701" s="2"/>
      <c r="AC701" s="2"/>
      <c r="AD701" s="2"/>
      <c r="AE701" s="2"/>
      <c r="AF701" s="2"/>
      <c r="AG701" s="2"/>
      <c r="AH701" s="2"/>
      <c r="AI701" s="2"/>
      <c r="AJ701" s="2"/>
      <c r="AK701" s="2"/>
      <c r="AL701" s="2"/>
      <c r="AM701" s="2"/>
      <c r="AN701" s="2"/>
      <c r="AO701" s="9"/>
      <c r="AP701" s="9"/>
      <c r="AQ701" s="9"/>
      <c r="AR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224"/>
      <c r="X702" s="224"/>
      <c r="Y702" s="224"/>
      <c r="Z702" s="868"/>
      <c r="AA702" s="865"/>
      <c r="AB702" s="2"/>
      <c r="AC702" s="2"/>
      <c r="AD702" s="2"/>
      <c r="AE702" s="2"/>
      <c r="AF702" s="2"/>
      <c r="AG702" s="2"/>
      <c r="AH702" s="2"/>
      <c r="AI702" s="2"/>
      <c r="AJ702" s="2"/>
      <c r="AK702" s="2"/>
      <c r="AL702" s="2"/>
      <c r="AM702" s="2"/>
      <c r="AN702" s="2"/>
      <c r="AO702" s="9"/>
      <c r="AP702" s="9"/>
      <c r="AQ702" s="9"/>
      <c r="AR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224"/>
      <c r="X703" s="224"/>
      <c r="Y703" s="224"/>
      <c r="Z703" s="868"/>
      <c r="AA703" s="865"/>
      <c r="AB703" s="2"/>
      <c r="AC703" s="2"/>
      <c r="AD703" s="2"/>
      <c r="AE703" s="2"/>
      <c r="AF703" s="2"/>
      <c r="AG703" s="2"/>
      <c r="AH703" s="2"/>
      <c r="AI703" s="2"/>
      <c r="AJ703" s="2"/>
      <c r="AK703" s="2"/>
      <c r="AL703" s="2"/>
      <c r="AM703" s="2"/>
      <c r="AN703" s="2"/>
      <c r="AO703" s="9"/>
      <c r="AP703" s="9"/>
      <c r="AQ703" s="9"/>
      <c r="AR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224"/>
      <c r="X704" s="224"/>
      <c r="Y704" s="224"/>
      <c r="Z704" s="868"/>
      <c r="AA704" s="865"/>
      <c r="AB704" s="2"/>
      <c r="AC704" s="2"/>
      <c r="AD704" s="2"/>
      <c r="AE704" s="2"/>
      <c r="AF704" s="2"/>
      <c r="AG704" s="2"/>
      <c r="AH704" s="2"/>
      <c r="AI704" s="2"/>
      <c r="AJ704" s="2"/>
      <c r="AK704" s="2"/>
      <c r="AL704" s="2"/>
      <c r="AM704" s="2"/>
      <c r="AN704" s="2"/>
      <c r="AO704" s="9"/>
      <c r="AP704" s="9"/>
      <c r="AQ704" s="9"/>
      <c r="AR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224"/>
      <c r="X705" s="224"/>
      <c r="Y705" s="224"/>
      <c r="Z705" s="868"/>
      <c r="AA705" s="865"/>
      <c r="AB705" s="2"/>
      <c r="AC705" s="2"/>
      <c r="AD705" s="2"/>
      <c r="AE705" s="2"/>
      <c r="AF705" s="2"/>
      <c r="AG705" s="2"/>
      <c r="AH705" s="2"/>
      <c r="AI705" s="2"/>
      <c r="AJ705" s="2"/>
      <c r="AK705" s="2"/>
      <c r="AL705" s="2"/>
      <c r="AM705" s="2"/>
      <c r="AN705" s="2"/>
      <c r="AO705" s="9"/>
      <c r="AP705" s="9"/>
      <c r="AQ705" s="9"/>
      <c r="AR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224"/>
      <c r="X706" s="224"/>
      <c r="Y706" s="224"/>
      <c r="Z706" s="868"/>
      <c r="AA706" s="865"/>
      <c r="AB706" s="2"/>
      <c r="AC706" s="2"/>
      <c r="AD706" s="2"/>
      <c r="AE706" s="2"/>
      <c r="AF706" s="2"/>
      <c r="AG706" s="2"/>
      <c r="AH706" s="2"/>
      <c r="AI706" s="2"/>
      <c r="AJ706" s="2"/>
      <c r="AK706" s="2"/>
      <c r="AL706" s="2"/>
      <c r="AM706" s="2"/>
      <c r="AN706" s="2"/>
      <c r="AO706" s="9"/>
      <c r="AP706" s="9"/>
      <c r="AQ706" s="9"/>
      <c r="AR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224"/>
      <c r="X707" s="224"/>
      <c r="Y707" s="224"/>
      <c r="Z707" s="868"/>
      <c r="AA707" s="865"/>
      <c r="AB707" s="2"/>
      <c r="AC707" s="2"/>
      <c r="AD707" s="2"/>
      <c r="AE707" s="2"/>
      <c r="AF707" s="2"/>
      <c r="AG707" s="2"/>
      <c r="AH707" s="2"/>
      <c r="AI707" s="2"/>
      <c r="AJ707" s="2"/>
      <c r="AK707" s="2"/>
      <c r="AL707" s="2"/>
      <c r="AM707" s="2"/>
      <c r="AN707" s="2"/>
      <c r="AO707" s="9"/>
      <c r="AP707" s="9"/>
      <c r="AQ707" s="9"/>
      <c r="AR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224"/>
      <c r="X708" s="224"/>
      <c r="Y708" s="224"/>
      <c r="Z708" s="868"/>
      <c r="AA708" s="865"/>
      <c r="AB708" s="2"/>
      <c r="AC708" s="2"/>
      <c r="AD708" s="2"/>
      <c r="AE708" s="2"/>
      <c r="AF708" s="2"/>
      <c r="AG708" s="2"/>
      <c r="AH708" s="2"/>
      <c r="AI708" s="2"/>
      <c r="AJ708" s="2"/>
      <c r="AK708" s="2"/>
      <c r="AL708" s="2"/>
      <c r="AM708" s="2"/>
      <c r="AN708" s="2"/>
      <c r="AO708" s="9"/>
      <c r="AP708" s="9"/>
      <c r="AQ708" s="9"/>
      <c r="AR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224"/>
      <c r="X709" s="224"/>
      <c r="Y709" s="224"/>
      <c r="Z709" s="868"/>
      <c r="AA709" s="865"/>
      <c r="AB709" s="2"/>
      <c r="AC709" s="2"/>
      <c r="AD709" s="2"/>
      <c r="AE709" s="2"/>
      <c r="AF709" s="2"/>
      <c r="AG709" s="2"/>
      <c r="AH709" s="2"/>
      <c r="AI709" s="2"/>
      <c r="AJ709" s="2"/>
      <c r="AK709" s="2"/>
      <c r="AL709" s="2"/>
      <c r="AM709" s="2"/>
      <c r="AN709" s="2"/>
      <c r="AO709" s="9"/>
      <c r="AP709" s="9"/>
      <c r="AQ709" s="9"/>
      <c r="AR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224"/>
      <c r="X710" s="224"/>
      <c r="Y710" s="224"/>
      <c r="Z710" s="868"/>
      <c r="AA710" s="865"/>
      <c r="AB710" s="2"/>
      <c r="AC710" s="2"/>
      <c r="AD710" s="2"/>
      <c r="AE710" s="2"/>
      <c r="AF710" s="2"/>
      <c r="AG710" s="2"/>
      <c r="AH710" s="2"/>
      <c r="AI710" s="2"/>
      <c r="AJ710" s="2"/>
      <c r="AK710" s="2"/>
      <c r="AL710" s="2"/>
      <c r="AM710" s="2"/>
      <c r="AN710" s="2"/>
      <c r="AO710" s="9"/>
      <c r="AP710" s="9"/>
      <c r="AQ710" s="9"/>
      <c r="AR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224"/>
      <c r="X711" s="224"/>
      <c r="Y711" s="224"/>
      <c r="Z711" s="868"/>
      <c r="AA711" s="865"/>
      <c r="AB711" s="2"/>
      <c r="AC711" s="2"/>
      <c r="AD711" s="2"/>
      <c r="AE711" s="2"/>
      <c r="AF711" s="2"/>
      <c r="AG711" s="2"/>
      <c r="AH711" s="2"/>
      <c r="AI711" s="2"/>
      <c r="AJ711" s="2"/>
      <c r="AK711" s="2"/>
      <c r="AL711" s="2"/>
      <c r="AM711" s="2"/>
      <c r="AN711" s="2"/>
      <c r="AO711" s="9"/>
      <c r="AP711" s="9"/>
      <c r="AQ711" s="9"/>
      <c r="AR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224"/>
      <c r="X712" s="224"/>
      <c r="Y712" s="224"/>
      <c r="Z712" s="868"/>
      <c r="AA712" s="865"/>
      <c r="AB712" s="2"/>
      <c r="AC712" s="2"/>
      <c r="AD712" s="2"/>
      <c r="AE712" s="2"/>
      <c r="AF712" s="2"/>
      <c r="AG712" s="2"/>
      <c r="AH712" s="2"/>
      <c r="AI712" s="2"/>
      <c r="AJ712" s="2"/>
      <c r="AK712" s="2"/>
      <c r="AL712" s="2"/>
      <c r="AM712" s="2"/>
      <c r="AN712" s="2"/>
      <c r="AO712" s="9"/>
      <c r="AP712" s="9"/>
      <c r="AQ712" s="9"/>
      <c r="AR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224"/>
      <c r="X713" s="224"/>
      <c r="Y713" s="224"/>
      <c r="Z713" s="868"/>
      <c r="AA713" s="865"/>
      <c r="AB713" s="2"/>
      <c r="AC713" s="2"/>
      <c r="AD713" s="2"/>
      <c r="AE713" s="2"/>
      <c r="AF713" s="2"/>
      <c r="AG713" s="2"/>
      <c r="AH713" s="2"/>
      <c r="AI713" s="2"/>
      <c r="AJ713" s="2"/>
      <c r="AK713" s="2"/>
      <c r="AL713" s="2"/>
      <c r="AM713" s="2"/>
      <c r="AN713" s="2"/>
      <c r="AO713" s="9"/>
      <c r="AP713" s="9"/>
      <c r="AQ713" s="9"/>
      <c r="AR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224"/>
      <c r="X714" s="224"/>
      <c r="Y714" s="224"/>
      <c r="Z714" s="868"/>
      <c r="AA714" s="865"/>
      <c r="AB714" s="2"/>
      <c r="AC714" s="2"/>
      <c r="AD714" s="2"/>
      <c r="AE714" s="2"/>
      <c r="AF714" s="2"/>
      <c r="AG714" s="2"/>
      <c r="AH714" s="2"/>
      <c r="AI714" s="2"/>
      <c r="AJ714" s="2"/>
      <c r="AK714" s="2"/>
      <c r="AL714" s="2"/>
      <c r="AM714" s="2"/>
      <c r="AN714" s="2"/>
      <c r="AO714" s="9"/>
      <c r="AP714" s="9"/>
      <c r="AQ714" s="9"/>
      <c r="AR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224"/>
      <c r="X715" s="224"/>
      <c r="Y715" s="224"/>
      <c r="Z715" s="868"/>
      <c r="AA715" s="865"/>
      <c r="AB715" s="2"/>
      <c r="AC715" s="2"/>
      <c r="AD715" s="2"/>
      <c r="AE715" s="2"/>
      <c r="AF715" s="2"/>
      <c r="AG715" s="2"/>
      <c r="AH715" s="2"/>
      <c r="AI715" s="2"/>
      <c r="AJ715" s="2"/>
      <c r="AK715" s="2"/>
      <c r="AL715" s="2"/>
      <c r="AM715" s="2"/>
      <c r="AN715" s="2"/>
      <c r="AO715" s="9"/>
      <c r="AP715" s="9"/>
      <c r="AQ715" s="9"/>
      <c r="AR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224"/>
      <c r="X716" s="224"/>
      <c r="Y716" s="224"/>
      <c r="Z716" s="868"/>
      <c r="AA716" s="865"/>
      <c r="AB716" s="2"/>
      <c r="AC716" s="2"/>
      <c r="AD716" s="2"/>
      <c r="AE716" s="2"/>
      <c r="AF716" s="2"/>
      <c r="AG716" s="2"/>
      <c r="AH716" s="2"/>
      <c r="AI716" s="2"/>
      <c r="AJ716" s="2"/>
      <c r="AK716" s="2"/>
      <c r="AL716" s="2"/>
      <c r="AM716" s="2"/>
      <c r="AN716" s="2"/>
      <c r="AO716" s="9"/>
      <c r="AP716" s="9"/>
      <c r="AQ716" s="9"/>
      <c r="AR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224"/>
      <c r="X717" s="224"/>
      <c r="Y717" s="224"/>
      <c r="Z717" s="868"/>
      <c r="AA717" s="865"/>
      <c r="AB717" s="2"/>
      <c r="AC717" s="2"/>
      <c r="AD717" s="2"/>
      <c r="AE717" s="2"/>
      <c r="AF717" s="2"/>
      <c r="AG717" s="2"/>
      <c r="AH717" s="2"/>
      <c r="AI717" s="2"/>
      <c r="AJ717" s="2"/>
      <c r="AK717" s="2"/>
      <c r="AL717" s="2"/>
      <c r="AM717" s="2"/>
      <c r="AN717" s="2"/>
      <c r="AO717" s="9"/>
      <c r="AP717" s="9"/>
      <c r="AQ717" s="9"/>
      <c r="AR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224"/>
      <c r="X718" s="224"/>
      <c r="Y718" s="224"/>
      <c r="Z718" s="868"/>
      <c r="AA718" s="865"/>
      <c r="AB718" s="2"/>
      <c r="AC718" s="2"/>
      <c r="AD718" s="2"/>
      <c r="AE718" s="2"/>
      <c r="AF718" s="2"/>
      <c r="AG718" s="2"/>
      <c r="AH718" s="2"/>
      <c r="AI718" s="2"/>
      <c r="AJ718" s="2"/>
      <c r="AK718" s="2"/>
      <c r="AL718" s="2"/>
      <c r="AM718" s="2"/>
      <c r="AN718" s="2"/>
      <c r="AO718" s="9"/>
      <c r="AP718" s="9"/>
      <c r="AQ718" s="9"/>
      <c r="AR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224"/>
      <c r="X719" s="224"/>
      <c r="Y719" s="224"/>
      <c r="Z719" s="868"/>
      <c r="AA719" s="865"/>
      <c r="AB719" s="2"/>
      <c r="AC719" s="2"/>
      <c r="AD719" s="2"/>
      <c r="AE719" s="2"/>
      <c r="AF719" s="2"/>
      <c r="AG719" s="2"/>
      <c r="AH719" s="2"/>
      <c r="AI719" s="2"/>
      <c r="AJ719" s="2"/>
      <c r="AK719" s="2"/>
      <c r="AL719" s="2"/>
      <c r="AM719" s="2"/>
      <c r="AN719" s="2"/>
      <c r="AO719" s="9"/>
      <c r="AP719" s="9"/>
      <c r="AQ719" s="9"/>
      <c r="AR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224"/>
      <c r="X720" s="224"/>
      <c r="Y720" s="224"/>
      <c r="Z720" s="868"/>
      <c r="AA720" s="865"/>
      <c r="AB720" s="2"/>
      <c r="AC720" s="2"/>
      <c r="AD720" s="2"/>
      <c r="AE720" s="2"/>
      <c r="AF720" s="2"/>
      <c r="AG720" s="2"/>
      <c r="AH720" s="2"/>
      <c r="AI720" s="2"/>
      <c r="AJ720" s="2"/>
      <c r="AK720" s="2"/>
      <c r="AL720" s="2"/>
      <c r="AM720" s="2"/>
      <c r="AN720" s="2"/>
      <c r="AO720" s="9"/>
      <c r="AP720" s="9"/>
      <c r="AQ720" s="9"/>
      <c r="AR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224"/>
      <c r="X721" s="224"/>
      <c r="Y721" s="224"/>
      <c r="Z721" s="868"/>
      <c r="AA721" s="865"/>
      <c r="AB721" s="2"/>
      <c r="AC721" s="2"/>
      <c r="AD721" s="2"/>
      <c r="AE721" s="2"/>
      <c r="AF721" s="2"/>
      <c r="AG721" s="2"/>
      <c r="AH721" s="2"/>
      <c r="AI721" s="2"/>
      <c r="AJ721" s="2"/>
      <c r="AK721" s="2"/>
      <c r="AL721" s="2"/>
      <c r="AM721" s="2"/>
      <c r="AN721" s="2"/>
      <c r="AO721" s="9"/>
      <c r="AP721" s="9"/>
      <c r="AQ721" s="9"/>
      <c r="AR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224"/>
      <c r="X722" s="224"/>
      <c r="Y722" s="224"/>
      <c r="Z722" s="868"/>
      <c r="AA722" s="865"/>
      <c r="AB722" s="2"/>
      <c r="AC722" s="2"/>
      <c r="AD722" s="2"/>
      <c r="AE722" s="2"/>
      <c r="AF722" s="2"/>
      <c r="AG722" s="2"/>
      <c r="AH722" s="2"/>
      <c r="AI722" s="2"/>
      <c r="AJ722" s="2"/>
      <c r="AK722" s="2"/>
      <c r="AL722" s="2"/>
      <c r="AM722" s="2"/>
      <c r="AN722" s="2"/>
      <c r="AO722" s="9"/>
      <c r="AP722" s="9"/>
      <c r="AQ722" s="9"/>
      <c r="AR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224"/>
      <c r="X723" s="224"/>
      <c r="Y723" s="224"/>
      <c r="Z723" s="868"/>
      <c r="AA723" s="865"/>
      <c r="AB723" s="2"/>
      <c r="AC723" s="2"/>
      <c r="AD723" s="2"/>
      <c r="AE723" s="2"/>
      <c r="AF723" s="2"/>
      <c r="AG723" s="2"/>
      <c r="AH723" s="2"/>
      <c r="AI723" s="2"/>
      <c r="AJ723" s="2"/>
      <c r="AK723" s="2"/>
      <c r="AL723" s="2"/>
      <c r="AM723" s="2"/>
      <c r="AN723" s="2"/>
      <c r="AO723" s="9"/>
      <c r="AP723" s="9"/>
      <c r="AQ723" s="9"/>
      <c r="AR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224"/>
      <c r="X724" s="224"/>
      <c r="Y724" s="224"/>
      <c r="Z724" s="868"/>
      <c r="AA724" s="865"/>
      <c r="AB724" s="2"/>
      <c r="AC724" s="2"/>
      <c r="AD724" s="2"/>
      <c r="AE724" s="2"/>
      <c r="AF724" s="2"/>
      <c r="AG724" s="2"/>
      <c r="AH724" s="2"/>
      <c r="AI724" s="2"/>
      <c r="AJ724" s="2"/>
      <c r="AK724" s="2"/>
      <c r="AL724" s="2"/>
      <c r="AM724" s="2"/>
      <c r="AN724" s="2"/>
      <c r="AO724" s="9"/>
      <c r="AP724" s="9"/>
      <c r="AQ724" s="9"/>
      <c r="AR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224"/>
      <c r="X725" s="224"/>
      <c r="Y725" s="224"/>
      <c r="Z725" s="868"/>
      <c r="AA725" s="865"/>
      <c r="AB725" s="2"/>
      <c r="AC725" s="2"/>
      <c r="AD725" s="2"/>
      <c r="AE725" s="2"/>
      <c r="AF725" s="2"/>
      <c r="AG725" s="2"/>
      <c r="AH725" s="2"/>
      <c r="AI725" s="2"/>
      <c r="AJ725" s="2"/>
      <c r="AK725" s="2"/>
      <c r="AL725" s="2"/>
      <c r="AM725" s="2"/>
      <c r="AN725" s="2"/>
      <c r="AO725" s="9"/>
      <c r="AP725" s="9"/>
      <c r="AQ725" s="9"/>
      <c r="AR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224"/>
      <c r="X726" s="224"/>
      <c r="Y726" s="224"/>
      <c r="Z726" s="868"/>
      <c r="AA726" s="865"/>
      <c r="AB726" s="2"/>
      <c r="AC726" s="2"/>
      <c r="AD726" s="2"/>
      <c r="AE726" s="2"/>
      <c r="AF726" s="2"/>
      <c r="AG726" s="2"/>
      <c r="AH726" s="2"/>
      <c r="AI726" s="2"/>
      <c r="AJ726" s="2"/>
      <c r="AK726" s="2"/>
      <c r="AL726" s="2"/>
      <c r="AM726" s="2"/>
      <c r="AN726" s="2"/>
      <c r="AO726" s="9"/>
      <c r="AP726" s="9"/>
      <c r="AQ726" s="9"/>
      <c r="AR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224"/>
      <c r="X727" s="224"/>
      <c r="Y727" s="224"/>
      <c r="Z727" s="868"/>
      <c r="AA727" s="865"/>
      <c r="AB727" s="2"/>
      <c r="AC727" s="2"/>
      <c r="AD727" s="2"/>
      <c r="AE727" s="2"/>
      <c r="AF727" s="2"/>
      <c r="AG727" s="2"/>
      <c r="AH727" s="2"/>
      <c r="AI727" s="2"/>
      <c r="AJ727" s="2"/>
      <c r="AK727" s="2"/>
      <c r="AL727" s="2"/>
      <c r="AM727" s="2"/>
      <c r="AN727" s="2"/>
      <c r="AO727" s="9"/>
      <c r="AP727" s="9"/>
      <c r="AQ727" s="9"/>
      <c r="AR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224"/>
      <c r="X728" s="224"/>
      <c r="Y728" s="224"/>
      <c r="Z728" s="868"/>
      <c r="AA728" s="865"/>
      <c r="AB728" s="2"/>
      <c r="AC728" s="2"/>
      <c r="AD728" s="2"/>
      <c r="AE728" s="2"/>
      <c r="AF728" s="2"/>
      <c r="AG728" s="2"/>
      <c r="AH728" s="2"/>
      <c r="AI728" s="2"/>
      <c r="AJ728" s="2"/>
      <c r="AK728" s="2"/>
      <c r="AL728" s="2"/>
      <c r="AM728" s="2"/>
      <c r="AN728" s="2"/>
      <c r="AO728" s="9"/>
      <c r="AP728" s="9"/>
      <c r="AQ728" s="9"/>
      <c r="AR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224"/>
      <c r="X729" s="224"/>
      <c r="Y729" s="224"/>
      <c r="Z729" s="868"/>
      <c r="AA729" s="865"/>
      <c r="AB729" s="2"/>
      <c r="AC729" s="2"/>
      <c r="AD729" s="2"/>
      <c r="AE729" s="2"/>
      <c r="AF729" s="2"/>
      <c r="AG729" s="2"/>
      <c r="AH729" s="2"/>
      <c r="AI729" s="2"/>
      <c r="AJ729" s="2"/>
      <c r="AK729" s="2"/>
      <c r="AL729" s="2"/>
      <c r="AM729" s="2"/>
      <c r="AN729" s="2"/>
      <c r="AO729" s="9"/>
      <c r="AP729" s="9"/>
      <c r="AQ729" s="9"/>
      <c r="AR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224"/>
      <c r="X730" s="224"/>
      <c r="Y730" s="224"/>
      <c r="Z730" s="868"/>
      <c r="AA730" s="865"/>
      <c r="AB730" s="2"/>
      <c r="AC730" s="2"/>
      <c r="AD730" s="2"/>
      <c r="AE730" s="2"/>
      <c r="AF730" s="2"/>
      <c r="AG730" s="2"/>
      <c r="AH730" s="2"/>
      <c r="AI730" s="2"/>
      <c r="AJ730" s="2"/>
      <c r="AK730" s="2"/>
      <c r="AL730" s="2"/>
      <c r="AM730" s="2"/>
      <c r="AN730" s="2"/>
      <c r="AO730" s="9"/>
      <c r="AP730" s="9"/>
      <c r="AQ730" s="9"/>
      <c r="AR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224"/>
      <c r="X731" s="224"/>
      <c r="Y731" s="224"/>
      <c r="Z731" s="868"/>
      <c r="AA731" s="865"/>
      <c r="AB731" s="2"/>
      <c r="AC731" s="2"/>
      <c r="AD731" s="2"/>
      <c r="AE731" s="2"/>
      <c r="AF731" s="2"/>
      <c r="AG731" s="2"/>
      <c r="AH731" s="2"/>
      <c r="AI731" s="2"/>
      <c r="AJ731" s="2"/>
      <c r="AK731" s="2"/>
      <c r="AL731" s="2"/>
      <c r="AM731" s="2"/>
      <c r="AN731" s="2"/>
      <c r="AO731" s="9"/>
      <c r="AP731" s="9"/>
      <c r="AQ731" s="9"/>
      <c r="AR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224"/>
      <c r="X732" s="224"/>
      <c r="Y732" s="224"/>
      <c r="Z732" s="868"/>
      <c r="AA732" s="865"/>
      <c r="AB732" s="2"/>
      <c r="AC732" s="2"/>
      <c r="AD732" s="2"/>
      <c r="AE732" s="2"/>
      <c r="AF732" s="2"/>
      <c r="AG732" s="2"/>
      <c r="AH732" s="2"/>
      <c r="AI732" s="2"/>
      <c r="AJ732" s="2"/>
      <c r="AK732" s="2"/>
      <c r="AL732" s="2"/>
      <c r="AM732" s="2"/>
      <c r="AN732" s="2"/>
      <c r="AO732" s="9"/>
      <c r="AP732" s="9"/>
      <c r="AQ732" s="9"/>
      <c r="AR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224"/>
      <c r="X733" s="224"/>
      <c r="Y733" s="224"/>
      <c r="Z733" s="868"/>
      <c r="AA733" s="865"/>
      <c r="AB733" s="2"/>
      <c r="AC733" s="2"/>
      <c r="AD733" s="2"/>
      <c r="AE733" s="2"/>
      <c r="AF733" s="2"/>
      <c r="AG733" s="2"/>
      <c r="AH733" s="2"/>
      <c r="AI733" s="2"/>
      <c r="AJ733" s="2"/>
      <c r="AK733" s="2"/>
      <c r="AL733" s="2"/>
      <c r="AM733" s="2"/>
      <c r="AN733" s="2"/>
      <c r="AO733" s="9"/>
      <c r="AP733" s="9"/>
      <c r="AQ733" s="9"/>
      <c r="AR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224"/>
      <c r="X734" s="224"/>
      <c r="Y734" s="224"/>
      <c r="Z734" s="868"/>
      <c r="AA734" s="865"/>
      <c r="AB734" s="2"/>
      <c r="AC734" s="2"/>
      <c r="AD734" s="2"/>
      <c r="AE734" s="2"/>
      <c r="AF734" s="2"/>
      <c r="AG734" s="2"/>
      <c r="AH734" s="2"/>
      <c r="AI734" s="2"/>
      <c r="AJ734" s="2"/>
      <c r="AK734" s="2"/>
      <c r="AL734" s="2"/>
      <c r="AM734" s="2"/>
      <c r="AN734" s="2"/>
      <c r="AO734" s="9"/>
      <c r="AP734" s="9"/>
      <c r="AQ734" s="9"/>
      <c r="AR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224"/>
      <c r="X735" s="224"/>
      <c r="Y735" s="224"/>
      <c r="Z735" s="868"/>
      <c r="AA735" s="865"/>
      <c r="AB735" s="2"/>
      <c r="AC735" s="2"/>
      <c r="AD735" s="2"/>
      <c r="AE735" s="2"/>
      <c r="AF735" s="2"/>
      <c r="AG735" s="2"/>
      <c r="AH735" s="2"/>
      <c r="AI735" s="2"/>
      <c r="AJ735" s="2"/>
      <c r="AK735" s="2"/>
      <c r="AL735" s="2"/>
      <c r="AM735" s="2"/>
      <c r="AN735" s="2"/>
      <c r="AO735" s="9"/>
      <c r="AP735" s="9"/>
      <c r="AQ735" s="9"/>
      <c r="AR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224"/>
      <c r="X736" s="224"/>
      <c r="Y736" s="224"/>
      <c r="Z736" s="868"/>
      <c r="AA736" s="865"/>
      <c r="AB736" s="2"/>
      <c r="AC736" s="2"/>
      <c r="AD736" s="2"/>
      <c r="AE736" s="2"/>
      <c r="AF736" s="2"/>
      <c r="AG736" s="2"/>
      <c r="AH736" s="2"/>
      <c r="AI736" s="2"/>
      <c r="AJ736" s="2"/>
      <c r="AK736" s="2"/>
      <c r="AL736" s="2"/>
      <c r="AM736" s="2"/>
      <c r="AN736" s="2"/>
      <c r="AO736" s="9"/>
      <c r="AP736" s="9"/>
      <c r="AQ736" s="9"/>
      <c r="AR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224"/>
      <c r="X737" s="224"/>
      <c r="Y737" s="224"/>
      <c r="Z737" s="868"/>
      <c r="AA737" s="865"/>
      <c r="AB737" s="2"/>
      <c r="AC737" s="2"/>
      <c r="AD737" s="2"/>
      <c r="AE737" s="2"/>
      <c r="AF737" s="2"/>
      <c r="AG737" s="2"/>
      <c r="AH737" s="2"/>
      <c r="AI737" s="2"/>
      <c r="AJ737" s="2"/>
      <c r="AK737" s="2"/>
      <c r="AL737" s="2"/>
      <c r="AM737" s="2"/>
      <c r="AN737" s="2"/>
      <c r="AO737" s="9"/>
      <c r="AP737" s="9"/>
      <c r="AQ737" s="9"/>
      <c r="AR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224"/>
      <c r="X738" s="224"/>
      <c r="Y738" s="224"/>
      <c r="Z738" s="868"/>
      <c r="AA738" s="865"/>
      <c r="AB738" s="2"/>
      <c r="AC738" s="2"/>
      <c r="AD738" s="2"/>
      <c r="AE738" s="2"/>
      <c r="AF738" s="2"/>
      <c r="AG738" s="2"/>
      <c r="AH738" s="2"/>
      <c r="AI738" s="2"/>
      <c r="AJ738" s="2"/>
      <c r="AK738" s="2"/>
      <c r="AL738" s="2"/>
      <c r="AM738" s="2"/>
      <c r="AN738" s="2"/>
      <c r="AO738" s="9"/>
      <c r="AP738" s="9"/>
      <c r="AQ738" s="9"/>
      <c r="AR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224"/>
      <c r="X739" s="224"/>
      <c r="Y739" s="224"/>
      <c r="Z739" s="868"/>
      <c r="AA739" s="865"/>
      <c r="AB739" s="2"/>
      <c r="AC739" s="2"/>
      <c r="AD739" s="2"/>
      <c r="AE739" s="2"/>
      <c r="AF739" s="2"/>
      <c r="AG739" s="2"/>
      <c r="AH739" s="2"/>
      <c r="AI739" s="2"/>
      <c r="AJ739" s="2"/>
      <c r="AK739" s="2"/>
      <c r="AL739" s="2"/>
      <c r="AM739" s="2"/>
      <c r="AN739" s="2"/>
      <c r="AO739" s="9"/>
      <c r="AP739" s="9"/>
      <c r="AQ739" s="9"/>
      <c r="AR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224"/>
      <c r="X740" s="224"/>
      <c r="Y740" s="224"/>
      <c r="Z740" s="868"/>
      <c r="AA740" s="865"/>
      <c r="AB740" s="2"/>
      <c r="AC740" s="2"/>
      <c r="AD740" s="2"/>
      <c r="AE740" s="2"/>
      <c r="AF740" s="2"/>
      <c r="AG740" s="2"/>
      <c r="AH740" s="2"/>
      <c r="AI740" s="2"/>
      <c r="AJ740" s="2"/>
      <c r="AK740" s="2"/>
      <c r="AL740" s="2"/>
      <c r="AM740" s="2"/>
      <c r="AN740" s="2"/>
      <c r="AO740" s="9"/>
      <c r="AP740" s="9"/>
      <c r="AQ740" s="9"/>
      <c r="AR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224"/>
      <c r="X741" s="224"/>
      <c r="Y741" s="224"/>
      <c r="Z741" s="868"/>
      <c r="AA741" s="865"/>
      <c r="AB741" s="2"/>
      <c r="AC741" s="2"/>
      <c r="AD741" s="2"/>
      <c r="AE741" s="2"/>
      <c r="AF741" s="2"/>
      <c r="AG741" s="2"/>
      <c r="AH741" s="2"/>
      <c r="AI741" s="2"/>
      <c r="AJ741" s="2"/>
      <c r="AK741" s="2"/>
      <c r="AL741" s="2"/>
      <c r="AM741" s="2"/>
      <c r="AN741" s="2"/>
      <c r="AO741" s="9"/>
      <c r="AP741" s="9"/>
      <c r="AQ741" s="9"/>
      <c r="AR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224"/>
      <c r="X742" s="224"/>
      <c r="Y742" s="224"/>
      <c r="Z742" s="868"/>
      <c r="AA742" s="865"/>
      <c r="AB742" s="2"/>
      <c r="AC742" s="2"/>
      <c r="AD742" s="2"/>
      <c r="AE742" s="2"/>
      <c r="AF742" s="2"/>
      <c r="AG742" s="2"/>
      <c r="AH742" s="2"/>
      <c r="AI742" s="2"/>
      <c r="AJ742" s="2"/>
      <c r="AK742" s="2"/>
      <c r="AL742" s="2"/>
      <c r="AM742" s="2"/>
      <c r="AN742" s="2"/>
      <c r="AO742" s="9"/>
      <c r="AP742" s="9"/>
      <c r="AQ742" s="9"/>
      <c r="AR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224"/>
      <c r="X743" s="224"/>
      <c r="Y743" s="224"/>
      <c r="Z743" s="868"/>
      <c r="AA743" s="865"/>
      <c r="AB743" s="2"/>
      <c r="AC743" s="2"/>
      <c r="AD743" s="2"/>
      <c r="AE743" s="2"/>
      <c r="AF743" s="2"/>
      <c r="AG743" s="2"/>
      <c r="AH743" s="2"/>
      <c r="AI743" s="2"/>
      <c r="AJ743" s="2"/>
      <c r="AK743" s="2"/>
      <c r="AL743" s="2"/>
      <c r="AM743" s="2"/>
      <c r="AN743" s="2"/>
      <c r="AO743" s="9"/>
      <c r="AP743" s="9"/>
      <c r="AQ743" s="9"/>
      <c r="AR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224"/>
      <c r="X744" s="224"/>
      <c r="Y744" s="224"/>
      <c r="Z744" s="868"/>
      <c r="AA744" s="865"/>
      <c r="AB744" s="2"/>
      <c r="AC744" s="2"/>
      <c r="AD744" s="2"/>
      <c r="AE744" s="2"/>
      <c r="AF744" s="2"/>
      <c r="AG744" s="2"/>
      <c r="AH744" s="2"/>
      <c r="AI744" s="2"/>
      <c r="AJ744" s="2"/>
      <c r="AK744" s="2"/>
      <c r="AL744" s="2"/>
      <c r="AM744" s="2"/>
      <c r="AN744" s="2"/>
      <c r="AO744" s="9"/>
      <c r="AP744" s="9"/>
      <c r="AQ744" s="9"/>
      <c r="AR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224"/>
      <c r="X745" s="224"/>
      <c r="Y745" s="224"/>
      <c r="Z745" s="868"/>
      <c r="AA745" s="865"/>
      <c r="AB745" s="2"/>
      <c r="AC745" s="2"/>
      <c r="AD745" s="2"/>
      <c r="AE745" s="2"/>
      <c r="AF745" s="2"/>
      <c r="AG745" s="2"/>
      <c r="AH745" s="2"/>
      <c r="AI745" s="2"/>
      <c r="AJ745" s="2"/>
      <c r="AK745" s="2"/>
      <c r="AL745" s="2"/>
      <c r="AM745" s="2"/>
      <c r="AN745" s="2"/>
      <c r="AO745" s="9"/>
      <c r="AP745" s="9"/>
      <c r="AQ745" s="9"/>
      <c r="AR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224"/>
      <c r="X746" s="224"/>
      <c r="Y746" s="224"/>
      <c r="Z746" s="868"/>
      <c r="AA746" s="865"/>
      <c r="AB746" s="2"/>
      <c r="AC746" s="2"/>
      <c r="AD746" s="2"/>
      <c r="AE746" s="2"/>
      <c r="AF746" s="2"/>
      <c r="AG746" s="2"/>
      <c r="AH746" s="2"/>
      <c r="AI746" s="2"/>
      <c r="AJ746" s="2"/>
      <c r="AK746" s="2"/>
      <c r="AL746" s="2"/>
      <c r="AM746" s="2"/>
      <c r="AN746" s="2"/>
      <c r="AO746" s="9"/>
      <c r="AP746" s="9"/>
      <c r="AQ746" s="9"/>
      <c r="AR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224"/>
      <c r="X747" s="224"/>
      <c r="Y747" s="224"/>
      <c r="Z747" s="868"/>
      <c r="AA747" s="865"/>
      <c r="AB747" s="2"/>
      <c r="AC747" s="2"/>
      <c r="AD747" s="2"/>
      <c r="AE747" s="2"/>
      <c r="AF747" s="2"/>
      <c r="AG747" s="2"/>
      <c r="AH747" s="2"/>
      <c r="AI747" s="2"/>
      <c r="AJ747" s="2"/>
      <c r="AK747" s="2"/>
      <c r="AL747" s="2"/>
      <c r="AM747" s="2"/>
      <c r="AN747" s="2"/>
      <c r="AO747" s="9"/>
      <c r="AP747" s="9"/>
      <c r="AQ747" s="9"/>
      <c r="AR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224"/>
      <c r="X748" s="224"/>
      <c r="Y748" s="224"/>
      <c r="Z748" s="868"/>
      <c r="AA748" s="865"/>
      <c r="AB748" s="2"/>
      <c r="AC748" s="2"/>
      <c r="AD748" s="2"/>
      <c r="AE748" s="2"/>
      <c r="AF748" s="2"/>
      <c r="AG748" s="2"/>
      <c r="AH748" s="2"/>
      <c r="AI748" s="2"/>
      <c r="AJ748" s="2"/>
      <c r="AK748" s="2"/>
      <c r="AL748" s="2"/>
      <c r="AM748" s="2"/>
      <c r="AN748" s="2"/>
      <c r="AO748" s="9"/>
      <c r="AP748" s="9"/>
      <c r="AQ748" s="9"/>
      <c r="AR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224"/>
      <c r="X749" s="224"/>
      <c r="Y749" s="224"/>
      <c r="Z749" s="868"/>
      <c r="AA749" s="865"/>
      <c r="AB749" s="2"/>
      <c r="AC749" s="2"/>
      <c r="AD749" s="2"/>
      <c r="AE749" s="2"/>
      <c r="AF749" s="2"/>
      <c r="AG749" s="2"/>
      <c r="AH749" s="2"/>
      <c r="AI749" s="2"/>
      <c r="AJ749" s="2"/>
      <c r="AK749" s="2"/>
      <c r="AL749" s="2"/>
      <c r="AM749" s="2"/>
      <c r="AN749" s="2"/>
      <c r="AO749" s="9"/>
      <c r="AP749" s="9"/>
      <c r="AQ749" s="9"/>
      <c r="AR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224"/>
      <c r="X750" s="224"/>
      <c r="Y750" s="224"/>
      <c r="Z750" s="868"/>
      <c r="AA750" s="865"/>
      <c r="AB750" s="2"/>
      <c r="AC750" s="2"/>
      <c r="AD750" s="2"/>
      <c r="AE750" s="2"/>
      <c r="AF750" s="2"/>
      <c r="AG750" s="2"/>
      <c r="AH750" s="2"/>
      <c r="AI750" s="2"/>
      <c r="AJ750" s="2"/>
      <c r="AK750" s="2"/>
      <c r="AL750" s="2"/>
      <c r="AM750" s="2"/>
      <c r="AN750" s="2"/>
      <c r="AO750" s="9"/>
      <c r="AP750" s="9"/>
      <c r="AQ750" s="9"/>
      <c r="AR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224"/>
      <c r="X751" s="224"/>
      <c r="Y751" s="224"/>
      <c r="Z751" s="868"/>
      <c r="AA751" s="865"/>
      <c r="AB751" s="2"/>
      <c r="AC751" s="2"/>
      <c r="AD751" s="2"/>
      <c r="AE751" s="2"/>
      <c r="AF751" s="2"/>
      <c r="AG751" s="2"/>
      <c r="AH751" s="2"/>
      <c r="AI751" s="2"/>
      <c r="AJ751" s="2"/>
      <c r="AK751" s="2"/>
      <c r="AL751" s="2"/>
      <c r="AM751" s="2"/>
      <c r="AN751" s="2"/>
      <c r="AO751" s="9"/>
      <c r="AP751" s="9"/>
      <c r="AQ751" s="9"/>
      <c r="AR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224"/>
      <c r="X752" s="224"/>
      <c r="Y752" s="224"/>
      <c r="Z752" s="868"/>
      <c r="AA752" s="865"/>
      <c r="AB752" s="2"/>
      <c r="AC752" s="2"/>
      <c r="AD752" s="2"/>
      <c r="AE752" s="2"/>
      <c r="AF752" s="2"/>
      <c r="AG752" s="2"/>
      <c r="AH752" s="2"/>
      <c r="AI752" s="2"/>
      <c r="AJ752" s="2"/>
      <c r="AK752" s="2"/>
      <c r="AL752" s="2"/>
      <c r="AM752" s="2"/>
      <c r="AN752" s="2"/>
      <c r="AO752" s="9"/>
      <c r="AP752" s="9"/>
      <c r="AQ752" s="9"/>
      <c r="AR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224"/>
      <c r="X753" s="224"/>
      <c r="Y753" s="224"/>
      <c r="Z753" s="868"/>
      <c r="AA753" s="865"/>
      <c r="AB753" s="2"/>
      <c r="AC753" s="2"/>
      <c r="AD753" s="2"/>
      <c r="AE753" s="2"/>
      <c r="AF753" s="2"/>
      <c r="AG753" s="2"/>
      <c r="AH753" s="2"/>
      <c r="AI753" s="2"/>
      <c r="AJ753" s="2"/>
      <c r="AK753" s="2"/>
      <c r="AL753" s="2"/>
      <c r="AM753" s="2"/>
      <c r="AN753" s="2"/>
      <c r="AO753" s="9"/>
      <c r="AP753" s="9"/>
      <c r="AQ753" s="9"/>
      <c r="AR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224"/>
      <c r="X754" s="224"/>
      <c r="Y754" s="224"/>
      <c r="Z754" s="868"/>
      <c r="AA754" s="865"/>
      <c r="AB754" s="2"/>
      <c r="AC754" s="2"/>
      <c r="AD754" s="2"/>
      <c r="AE754" s="2"/>
      <c r="AF754" s="2"/>
      <c r="AG754" s="2"/>
      <c r="AH754" s="2"/>
      <c r="AI754" s="2"/>
      <c r="AJ754" s="2"/>
      <c r="AK754" s="2"/>
      <c r="AL754" s="2"/>
      <c r="AM754" s="2"/>
      <c r="AN754" s="2"/>
      <c r="AO754" s="9"/>
      <c r="AP754" s="9"/>
      <c r="AQ754" s="9"/>
      <c r="AR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224"/>
      <c r="X755" s="224"/>
      <c r="Y755" s="224"/>
      <c r="Z755" s="868"/>
      <c r="AA755" s="865"/>
      <c r="AB755" s="2"/>
      <c r="AC755" s="2"/>
      <c r="AD755" s="2"/>
      <c r="AE755" s="2"/>
      <c r="AF755" s="2"/>
      <c r="AG755" s="2"/>
      <c r="AH755" s="2"/>
      <c r="AI755" s="2"/>
      <c r="AJ755" s="2"/>
      <c r="AK755" s="2"/>
      <c r="AL755" s="2"/>
      <c r="AM755" s="2"/>
      <c r="AN755" s="2"/>
      <c r="AO755" s="9"/>
      <c r="AP755" s="9"/>
      <c r="AQ755" s="9"/>
      <c r="AR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224"/>
      <c r="X756" s="224"/>
      <c r="Y756" s="224"/>
      <c r="Z756" s="868"/>
      <c r="AA756" s="865"/>
      <c r="AB756" s="2"/>
      <c r="AC756" s="2"/>
      <c r="AD756" s="2"/>
      <c r="AE756" s="2"/>
      <c r="AF756" s="2"/>
      <c r="AG756" s="2"/>
      <c r="AH756" s="2"/>
      <c r="AI756" s="2"/>
      <c r="AJ756" s="2"/>
      <c r="AK756" s="2"/>
      <c r="AL756" s="2"/>
      <c r="AM756" s="2"/>
      <c r="AN756" s="2"/>
      <c r="AO756" s="9"/>
      <c r="AP756" s="9"/>
      <c r="AQ756" s="9"/>
      <c r="AR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224"/>
      <c r="X757" s="224"/>
      <c r="Y757" s="224"/>
      <c r="Z757" s="868"/>
      <c r="AA757" s="865"/>
      <c r="AB757" s="2"/>
      <c r="AC757" s="2"/>
      <c r="AD757" s="2"/>
      <c r="AE757" s="2"/>
      <c r="AF757" s="2"/>
      <c r="AG757" s="2"/>
      <c r="AH757" s="2"/>
      <c r="AI757" s="2"/>
      <c r="AJ757" s="2"/>
      <c r="AK757" s="2"/>
      <c r="AL757" s="2"/>
      <c r="AM757" s="2"/>
      <c r="AN757" s="2"/>
      <c r="AO757" s="9"/>
      <c r="AP757" s="9"/>
      <c r="AQ757" s="9"/>
      <c r="AR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224"/>
      <c r="X758" s="224"/>
      <c r="Y758" s="224"/>
      <c r="Z758" s="868"/>
      <c r="AA758" s="865"/>
      <c r="AB758" s="2"/>
      <c r="AC758" s="2"/>
      <c r="AD758" s="2"/>
      <c r="AE758" s="2"/>
      <c r="AF758" s="2"/>
      <c r="AG758" s="2"/>
      <c r="AH758" s="2"/>
      <c r="AI758" s="2"/>
      <c r="AJ758" s="2"/>
      <c r="AK758" s="2"/>
      <c r="AL758" s="2"/>
      <c r="AM758" s="2"/>
      <c r="AN758" s="2"/>
      <c r="AO758" s="9"/>
      <c r="AP758" s="9"/>
      <c r="AQ758" s="9"/>
      <c r="AR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224"/>
      <c r="X759" s="224"/>
      <c r="Y759" s="224"/>
      <c r="Z759" s="868"/>
      <c r="AA759" s="865"/>
      <c r="AB759" s="2"/>
      <c r="AC759" s="2"/>
      <c r="AD759" s="2"/>
      <c r="AE759" s="2"/>
      <c r="AF759" s="2"/>
      <c r="AG759" s="2"/>
      <c r="AH759" s="2"/>
      <c r="AI759" s="2"/>
      <c r="AJ759" s="2"/>
      <c r="AK759" s="2"/>
      <c r="AL759" s="2"/>
      <c r="AM759" s="2"/>
      <c r="AN759" s="2"/>
      <c r="AO759" s="9"/>
      <c r="AP759" s="9"/>
      <c r="AQ759" s="9"/>
      <c r="AR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224"/>
      <c r="X760" s="224"/>
      <c r="Y760" s="224"/>
      <c r="Z760" s="868"/>
      <c r="AA760" s="865"/>
      <c r="AB760" s="2"/>
      <c r="AC760" s="2"/>
      <c r="AD760" s="2"/>
      <c r="AE760" s="2"/>
      <c r="AF760" s="2"/>
      <c r="AG760" s="2"/>
      <c r="AH760" s="2"/>
      <c r="AI760" s="2"/>
      <c r="AJ760" s="2"/>
      <c r="AK760" s="2"/>
      <c r="AL760" s="2"/>
      <c r="AM760" s="2"/>
      <c r="AN760" s="2"/>
      <c r="AO760" s="9"/>
      <c r="AP760" s="9"/>
      <c r="AQ760" s="9"/>
      <c r="AR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224"/>
      <c r="X761" s="224"/>
      <c r="Y761" s="224"/>
      <c r="Z761" s="868"/>
      <c r="AA761" s="865"/>
      <c r="AB761" s="2"/>
      <c r="AC761" s="2"/>
      <c r="AD761" s="2"/>
      <c r="AE761" s="2"/>
      <c r="AF761" s="2"/>
      <c r="AG761" s="2"/>
      <c r="AH761" s="2"/>
      <c r="AI761" s="2"/>
      <c r="AJ761" s="2"/>
      <c r="AK761" s="2"/>
      <c r="AL761" s="2"/>
      <c r="AM761" s="2"/>
      <c r="AN761" s="2"/>
      <c r="AO761" s="9"/>
      <c r="AP761" s="9"/>
      <c r="AQ761" s="9"/>
      <c r="AR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224"/>
      <c r="X762" s="224"/>
      <c r="Y762" s="224"/>
      <c r="Z762" s="868"/>
      <c r="AA762" s="865"/>
      <c r="AB762" s="2"/>
      <c r="AC762" s="2"/>
      <c r="AD762" s="2"/>
      <c r="AE762" s="2"/>
      <c r="AF762" s="2"/>
      <c r="AG762" s="2"/>
      <c r="AH762" s="2"/>
      <c r="AI762" s="2"/>
      <c r="AJ762" s="2"/>
      <c r="AK762" s="2"/>
      <c r="AL762" s="2"/>
      <c r="AM762" s="2"/>
      <c r="AN762" s="2"/>
      <c r="AO762" s="9"/>
      <c r="AP762" s="9"/>
      <c r="AQ762" s="9"/>
      <c r="AR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224"/>
      <c r="X763" s="224"/>
      <c r="Y763" s="224"/>
      <c r="Z763" s="868"/>
      <c r="AA763" s="865"/>
      <c r="AB763" s="2"/>
      <c r="AC763" s="2"/>
      <c r="AD763" s="2"/>
      <c r="AE763" s="2"/>
      <c r="AF763" s="2"/>
      <c r="AG763" s="2"/>
      <c r="AH763" s="2"/>
      <c r="AI763" s="2"/>
      <c r="AJ763" s="2"/>
      <c r="AK763" s="2"/>
      <c r="AL763" s="2"/>
      <c r="AM763" s="2"/>
      <c r="AN763" s="2"/>
      <c r="AO763" s="9"/>
      <c r="AP763" s="9"/>
      <c r="AQ763" s="9"/>
      <c r="AR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224"/>
      <c r="X764" s="224"/>
      <c r="Y764" s="224"/>
      <c r="Z764" s="868"/>
      <c r="AA764" s="865"/>
      <c r="AB764" s="2"/>
      <c r="AC764" s="2"/>
      <c r="AD764" s="2"/>
      <c r="AE764" s="2"/>
      <c r="AF764" s="2"/>
      <c r="AG764" s="2"/>
      <c r="AH764" s="2"/>
      <c r="AI764" s="2"/>
      <c r="AJ764" s="2"/>
      <c r="AK764" s="2"/>
      <c r="AL764" s="2"/>
      <c r="AM764" s="2"/>
      <c r="AN764" s="2"/>
      <c r="AO764" s="9"/>
      <c r="AP764" s="9"/>
      <c r="AQ764" s="9"/>
      <c r="AR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224"/>
      <c r="X765" s="224"/>
      <c r="Y765" s="224"/>
      <c r="Z765" s="868"/>
      <c r="AA765" s="865"/>
      <c r="AB765" s="2"/>
      <c r="AC765" s="2"/>
      <c r="AD765" s="2"/>
      <c r="AE765" s="2"/>
      <c r="AF765" s="2"/>
      <c r="AG765" s="2"/>
      <c r="AH765" s="2"/>
      <c r="AI765" s="2"/>
      <c r="AJ765" s="2"/>
      <c r="AK765" s="2"/>
      <c r="AL765" s="2"/>
      <c r="AM765" s="2"/>
      <c r="AN765" s="2"/>
      <c r="AO765" s="9"/>
      <c r="AP765" s="9"/>
      <c r="AQ765" s="9"/>
      <c r="AR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224"/>
      <c r="X766" s="224"/>
      <c r="Y766" s="224"/>
      <c r="Z766" s="868"/>
      <c r="AA766" s="865"/>
      <c r="AB766" s="2"/>
      <c r="AC766" s="2"/>
      <c r="AD766" s="2"/>
      <c r="AE766" s="2"/>
      <c r="AF766" s="2"/>
      <c r="AG766" s="2"/>
      <c r="AH766" s="2"/>
      <c r="AI766" s="2"/>
      <c r="AJ766" s="2"/>
      <c r="AK766" s="2"/>
      <c r="AL766" s="2"/>
      <c r="AM766" s="2"/>
      <c r="AN766" s="2"/>
      <c r="AO766" s="9"/>
      <c r="AP766" s="9"/>
      <c r="AQ766" s="9"/>
      <c r="AR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224"/>
      <c r="X767" s="224"/>
      <c r="Y767" s="224"/>
      <c r="Z767" s="868"/>
      <c r="AA767" s="865"/>
      <c r="AB767" s="2"/>
      <c r="AC767" s="2"/>
      <c r="AD767" s="2"/>
      <c r="AE767" s="2"/>
      <c r="AF767" s="2"/>
      <c r="AG767" s="2"/>
      <c r="AH767" s="2"/>
      <c r="AI767" s="2"/>
      <c r="AJ767" s="2"/>
      <c r="AK767" s="2"/>
      <c r="AL767" s="2"/>
      <c r="AM767" s="2"/>
      <c r="AN767" s="2"/>
      <c r="AO767" s="9"/>
      <c r="AP767" s="9"/>
      <c r="AQ767" s="9"/>
      <c r="AR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224"/>
      <c r="X768" s="224"/>
      <c r="Y768" s="224"/>
      <c r="Z768" s="868"/>
      <c r="AA768" s="865"/>
      <c r="AB768" s="2"/>
      <c r="AC768" s="2"/>
      <c r="AD768" s="2"/>
      <c r="AE768" s="2"/>
      <c r="AF768" s="2"/>
      <c r="AG768" s="2"/>
      <c r="AH768" s="2"/>
      <c r="AI768" s="2"/>
      <c r="AJ768" s="2"/>
      <c r="AK768" s="2"/>
      <c r="AL768" s="2"/>
      <c r="AM768" s="2"/>
      <c r="AN768" s="2"/>
      <c r="AO768" s="9"/>
      <c r="AP768" s="9"/>
      <c r="AQ768" s="9"/>
      <c r="AR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224"/>
      <c r="X769" s="224"/>
      <c r="Y769" s="224"/>
      <c r="Z769" s="868"/>
      <c r="AA769" s="865"/>
      <c r="AB769" s="2"/>
      <c r="AC769" s="2"/>
      <c r="AD769" s="2"/>
      <c r="AE769" s="2"/>
      <c r="AF769" s="2"/>
      <c r="AG769" s="2"/>
      <c r="AH769" s="2"/>
      <c r="AI769" s="2"/>
      <c r="AJ769" s="2"/>
      <c r="AK769" s="2"/>
      <c r="AL769" s="2"/>
      <c r="AM769" s="2"/>
      <c r="AN769" s="2"/>
      <c r="AO769" s="9"/>
      <c r="AP769" s="9"/>
      <c r="AQ769" s="9"/>
      <c r="AR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224"/>
      <c r="X770" s="224"/>
      <c r="Y770" s="224"/>
      <c r="Z770" s="868"/>
      <c r="AA770" s="865"/>
      <c r="AB770" s="2"/>
      <c r="AC770" s="2"/>
      <c r="AD770" s="2"/>
      <c r="AE770" s="2"/>
      <c r="AF770" s="2"/>
      <c r="AG770" s="2"/>
      <c r="AH770" s="2"/>
      <c r="AI770" s="2"/>
      <c r="AJ770" s="2"/>
      <c r="AK770" s="2"/>
      <c r="AL770" s="2"/>
      <c r="AM770" s="2"/>
      <c r="AN770" s="2"/>
      <c r="AO770" s="9"/>
      <c r="AP770" s="9"/>
      <c r="AQ770" s="9"/>
      <c r="AR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224"/>
      <c r="X771" s="224"/>
      <c r="Y771" s="224"/>
      <c r="Z771" s="868"/>
      <c r="AA771" s="865"/>
      <c r="AB771" s="2"/>
      <c r="AC771" s="2"/>
      <c r="AD771" s="2"/>
      <c r="AE771" s="2"/>
      <c r="AF771" s="2"/>
      <c r="AG771" s="2"/>
      <c r="AH771" s="2"/>
      <c r="AI771" s="2"/>
      <c r="AJ771" s="2"/>
      <c r="AK771" s="2"/>
      <c r="AL771" s="2"/>
      <c r="AM771" s="2"/>
      <c r="AN771" s="2"/>
      <c r="AO771" s="9"/>
      <c r="AP771" s="9"/>
      <c r="AQ771" s="9"/>
      <c r="AR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224"/>
      <c r="X772" s="224"/>
      <c r="Y772" s="224"/>
      <c r="Z772" s="868"/>
      <c r="AA772" s="865"/>
      <c r="AB772" s="2"/>
      <c r="AC772" s="2"/>
      <c r="AD772" s="2"/>
      <c r="AE772" s="2"/>
      <c r="AF772" s="2"/>
      <c r="AG772" s="2"/>
      <c r="AH772" s="2"/>
      <c r="AI772" s="2"/>
      <c r="AJ772" s="2"/>
      <c r="AK772" s="2"/>
      <c r="AL772" s="2"/>
      <c r="AM772" s="2"/>
      <c r="AN772" s="2"/>
      <c r="AO772" s="9"/>
      <c r="AP772" s="9"/>
      <c r="AQ772" s="9"/>
      <c r="AR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224"/>
      <c r="X773" s="224"/>
      <c r="Y773" s="224"/>
      <c r="Z773" s="868"/>
      <c r="AA773" s="865"/>
      <c r="AB773" s="2"/>
      <c r="AC773" s="2"/>
      <c r="AD773" s="2"/>
      <c r="AE773" s="2"/>
      <c r="AF773" s="2"/>
      <c r="AG773" s="2"/>
      <c r="AH773" s="2"/>
      <c r="AI773" s="2"/>
      <c r="AJ773" s="2"/>
      <c r="AK773" s="2"/>
      <c r="AL773" s="2"/>
      <c r="AM773" s="2"/>
      <c r="AN773" s="2"/>
      <c r="AO773" s="9"/>
      <c r="AP773" s="9"/>
      <c r="AQ773" s="9"/>
      <c r="AR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224"/>
      <c r="X774" s="224"/>
      <c r="Y774" s="224"/>
      <c r="Z774" s="868"/>
      <c r="AA774" s="865"/>
      <c r="AB774" s="2"/>
      <c r="AC774" s="2"/>
      <c r="AD774" s="2"/>
      <c r="AE774" s="2"/>
      <c r="AF774" s="2"/>
      <c r="AG774" s="2"/>
      <c r="AH774" s="2"/>
      <c r="AI774" s="2"/>
      <c r="AJ774" s="2"/>
      <c r="AK774" s="2"/>
      <c r="AL774" s="2"/>
      <c r="AM774" s="2"/>
      <c r="AN774" s="2"/>
      <c r="AO774" s="9"/>
      <c r="AP774" s="9"/>
      <c r="AQ774" s="9"/>
      <c r="AR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224"/>
      <c r="X775" s="224"/>
      <c r="Y775" s="224"/>
      <c r="Z775" s="868"/>
      <c r="AA775" s="865"/>
      <c r="AB775" s="2"/>
      <c r="AC775" s="2"/>
      <c r="AD775" s="2"/>
      <c r="AE775" s="2"/>
      <c r="AF775" s="2"/>
      <c r="AG775" s="2"/>
      <c r="AH775" s="2"/>
      <c r="AI775" s="2"/>
      <c r="AJ775" s="2"/>
      <c r="AK775" s="2"/>
      <c r="AL775" s="2"/>
      <c r="AM775" s="2"/>
      <c r="AN775" s="2"/>
      <c r="AO775" s="9"/>
      <c r="AP775" s="9"/>
      <c r="AQ775" s="9"/>
      <c r="AR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224"/>
      <c r="X776" s="224"/>
      <c r="Y776" s="224"/>
      <c r="Z776" s="868"/>
      <c r="AA776" s="865"/>
      <c r="AB776" s="2"/>
      <c r="AC776" s="2"/>
      <c r="AD776" s="2"/>
      <c r="AE776" s="2"/>
      <c r="AF776" s="2"/>
      <c r="AG776" s="2"/>
      <c r="AH776" s="2"/>
      <c r="AI776" s="2"/>
      <c r="AJ776" s="2"/>
      <c r="AK776" s="2"/>
      <c r="AL776" s="2"/>
      <c r="AM776" s="2"/>
      <c r="AN776" s="2"/>
      <c r="AO776" s="9"/>
      <c r="AP776" s="9"/>
      <c r="AQ776" s="9"/>
      <c r="AR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224"/>
      <c r="X777" s="224"/>
      <c r="Y777" s="224"/>
      <c r="Z777" s="868"/>
      <c r="AA777" s="865"/>
      <c r="AB777" s="2"/>
      <c r="AC777" s="2"/>
      <c r="AD777" s="2"/>
      <c r="AE777" s="2"/>
      <c r="AF777" s="2"/>
      <c r="AG777" s="2"/>
      <c r="AH777" s="2"/>
      <c r="AI777" s="2"/>
      <c r="AJ777" s="2"/>
      <c r="AK777" s="2"/>
      <c r="AL777" s="2"/>
      <c r="AM777" s="2"/>
      <c r="AN777" s="2"/>
      <c r="AO777" s="9"/>
      <c r="AP777" s="9"/>
      <c r="AQ777" s="9"/>
      <c r="AR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224"/>
      <c r="X778" s="224"/>
      <c r="Y778" s="224"/>
      <c r="Z778" s="868"/>
      <c r="AA778" s="865"/>
      <c r="AB778" s="2"/>
      <c r="AC778" s="2"/>
      <c r="AD778" s="2"/>
      <c r="AE778" s="2"/>
      <c r="AF778" s="2"/>
      <c r="AG778" s="2"/>
      <c r="AH778" s="2"/>
      <c r="AI778" s="2"/>
      <c r="AJ778" s="2"/>
      <c r="AK778" s="2"/>
      <c r="AL778" s="2"/>
      <c r="AM778" s="2"/>
      <c r="AN778" s="2"/>
      <c r="AO778" s="9"/>
      <c r="AP778" s="9"/>
      <c r="AQ778" s="9"/>
      <c r="AR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224"/>
      <c r="X779" s="224"/>
      <c r="Y779" s="224"/>
      <c r="Z779" s="868"/>
      <c r="AA779" s="865"/>
      <c r="AB779" s="2"/>
      <c r="AC779" s="2"/>
      <c r="AD779" s="2"/>
      <c r="AE779" s="2"/>
      <c r="AF779" s="2"/>
      <c r="AG779" s="2"/>
      <c r="AH779" s="2"/>
      <c r="AI779" s="2"/>
      <c r="AJ779" s="2"/>
      <c r="AK779" s="2"/>
      <c r="AL779" s="2"/>
      <c r="AM779" s="2"/>
      <c r="AN779" s="2"/>
      <c r="AO779" s="9"/>
      <c r="AP779" s="9"/>
      <c r="AQ779" s="9"/>
      <c r="AR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224"/>
      <c r="X780" s="224"/>
      <c r="Y780" s="224"/>
      <c r="Z780" s="868"/>
      <c r="AA780" s="865"/>
      <c r="AB780" s="2"/>
      <c r="AC780" s="2"/>
      <c r="AD780" s="2"/>
      <c r="AE780" s="2"/>
      <c r="AF780" s="2"/>
      <c r="AG780" s="2"/>
      <c r="AH780" s="2"/>
      <c r="AI780" s="2"/>
      <c r="AJ780" s="2"/>
      <c r="AK780" s="2"/>
      <c r="AL780" s="2"/>
      <c r="AM780" s="2"/>
      <c r="AN780" s="2"/>
      <c r="AO780" s="9"/>
      <c r="AP780" s="9"/>
      <c r="AQ780" s="9"/>
      <c r="AR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224"/>
      <c r="X781" s="224"/>
      <c r="Y781" s="224"/>
      <c r="Z781" s="868"/>
      <c r="AA781" s="865"/>
      <c r="AB781" s="2"/>
      <c r="AC781" s="2"/>
      <c r="AD781" s="2"/>
      <c r="AE781" s="2"/>
      <c r="AF781" s="2"/>
      <c r="AG781" s="2"/>
      <c r="AH781" s="2"/>
      <c r="AI781" s="2"/>
      <c r="AJ781" s="2"/>
      <c r="AK781" s="2"/>
      <c r="AL781" s="2"/>
      <c r="AM781" s="2"/>
      <c r="AN781" s="2"/>
      <c r="AO781" s="9"/>
      <c r="AP781" s="9"/>
      <c r="AQ781" s="9"/>
      <c r="AR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224"/>
      <c r="X782" s="224"/>
      <c r="Y782" s="224"/>
      <c r="Z782" s="868"/>
      <c r="AA782" s="865"/>
      <c r="AB782" s="2"/>
      <c r="AC782" s="2"/>
      <c r="AD782" s="2"/>
      <c r="AE782" s="2"/>
      <c r="AF782" s="2"/>
      <c r="AG782" s="2"/>
      <c r="AH782" s="2"/>
      <c r="AI782" s="2"/>
      <c r="AJ782" s="2"/>
      <c r="AK782" s="2"/>
      <c r="AL782" s="2"/>
      <c r="AM782" s="2"/>
      <c r="AN782" s="2"/>
      <c r="AO782" s="9"/>
      <c r="AP782" s="9"/>
      <c r="AQ782" s="9"/>
      <c r="AR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224"/>
      <c r="X783" s="224"/>
      <c r="Y783" s="224"/>
      <c r="Z783" s="868"/>
      <c r="AA783" s="865"/>
      <c r="AB783" s="2"/>
      <c r="AC783" s="2"/>
      <c r="AD783" s="2"/>
      <c r="AE783" s="2"/>
      <c r="AF783" s="2"/>
      <c r="AG783" s="2"/>
      <c r="AH783" s="2"/>
      <c r="AI783" s="2"/>
      <c r="AJ783" s="2"/>
      <c r="AK783" s="2"/>
      <c r="AL783" s="2"/>
      <c r="AM783" s="2"/>
      <c r="AN783" s="2"/>
      <c r="AO783" s="9"/>
      <c r="AP783" s="9"/>
      <c r="AQ783" s="9"/>
      <c r="AR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224"/>
      <c r="X784" s="224"/>
      <c r="Y784" s="224"/>
      <c r="Z784" s="868"/>
      <c r="AA784" s="865"/>
      <c r="AB784" s="2"/>
      <c r="AC784" s="2"/>
      <c r="AD784" s="2"/>
      <c r="AE784" s="2"/>
      <c r="AF784" s="2"/>
      <c r="AG784" s="2"/>
      <c r="AH784" s="2"/>
      <c r="AI784" s="2"/>
      <c r="AJ784" s="2"/>
      <c r="AK784" s="2"/>
      <c r="AL784" s="2"/>
      <c r="AM784" s="2"/>
      <c r="AN784" s="2"/>
      <c r="AO784" s="9"/>
      <c r="AP784" s="9"/>
      <c r="AQ784" s="9"/>
      <c r="AR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224"/>
      <c r="X785" s="224"/>
      <c r="Y785" s="224"/>
      <c r="Z785" s="868"/>
      <c r="AA785" s="865"/>
      <c r="AB785" s="2"/>
      <c r="AC785" s="2"/>
      <c r="AD785" s="2"/>
      <c r="AE785" s="2"/>
      <c r="AF785" s="2"/>
      <c r="AG785" s="2"/>
      <c r="AH785" s="2"/>
      <c r="AI785" s="2"/>
      <c r="AJ785" s="2"/>
      <c r="AK785" s="2"/>
      <c r="AL785" s="2"/>
      <c r="AM785" s="2"/>
      <c r="AN785" s="2"/>
      <c r="AO785" s="9"/>
      <c r="AP785" s="9"/>
      <c r="AQ785" s="9"/>
      <c r="AR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224"/>
      <c r="X786" s="224"/>
      <c r="Y786" s="224"/>
      <c r="Z786" s="868"/>
      <c r="AA786" s="865"/>
      <c r="AB786" s="2"/>
      <c r="AC786" s="2"/>
      <c r="AD786" s="2"/>
      <c r="AE786" s="2"/>
      <c r="AF786" s="2"/>
      <c r="AG786" s="2"/>
      <c r="AH786" s="2"/>
      <c r="AI786" s="2"/>
      <c r="AJ786" s="2"/>
      <c r="AK786" s="2"/>
      <c r="AL786" s="2"/>
      <c r="AM786" s="2"/>
      <c r="AN786" s="2"/>
      <c r="AO786" s="9"/>
      <c r="AP786" s="9"/>
      <c r="AQ786" s="9"/>
      <c r="AR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224"/>
      <c r="X787" s="224"/>
      <c r="Y787" s="224"/>
      <c r="Z787" s="868"/>
      <c r="AA787" s="865"/>
      <c r="AB787" s="2"/>
      <c r="AC787" s="2"/>
      <c r="AD787" s="2"/>
      <c r="AE787" s="2"/>
      <c r="AF787" s="2"/>
      <c r="AG787" s="2"/>
      <c r="AH787" s="2"/>
      <c r="AI787" s="2"/>
      <c r="AJ787" s="2"/>
      <c r="AK787" s="2"/>
      <c r="AL787" s="2"/>
      <c r="AM787" s="2"/>
      <c r="AN787" s="2"/>
      <c r="AO787" s="9"/>
      <c r="AP787" s="9"/>
      <c r="AQ787" s="9"/>
      <c r="AR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224"/>
      <c r="X788" s="224"/>
      <c r="Y788" s="224"/>
      <c r="Z788" s="868"/>
      <c r="AA788" s="865"/>
      <c r="AB788" s="2"/>
      <c r="AC788" s="2"/>
      <c r="AD788" s="2"/>
      <c r="AE788" s="2"/>
      <c r="AF788" s="2"/>
      <c r="AG788" s="2"/>
      <c r="AH788" s="2"/>
      <c r="AI788" s="2"/>
      <c r="AJ788" s="2"/>
      <c r="AK788" s="2"/>
      <c r="AL788" s="2"/>
      <c r="AM788" s="2"/>
      <c r="AN788" s="2"/>
      <c r="AO788" s="9"/>
      <c r="AP788" s="9"/>
      <c r="AQ788" s="9"/>
      <c r="AR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224"/>
      <c r="X789" s="224"/>
      <c r="Y789" s="224"/>
      <c r="Z789" s="868"/>
      <c r="AA789" s="865"/>
      <c r="AB789" s="2"/>
      <c r="AC789" s="2"/>
      <c r="AD789" s="2"/>
      <c r="AE789" s="2"/>
      <c r="AF789" s="2"/>
      <c r="AG789" s="2"/>
      <c r="AH789" s="2"/>
      <c r="AI789" s="2"/>
      <c r="AJ789" s="2"/>
      <c r="AK789" s="2"/>
      <c r="AL789" s="2"/>
      <c r="AM789" s="2"/>
      <c r="AN789" s="2"/>
      <c r="AO789" s="9"/>
      <c r="AP789" s="9"/>
      <c r="AQ789" s="9"/>
      <c r="AR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224"/>
      <c r="X790" s="224"/>
      <c r="Y790" s="224"/>
      <c r="Z790" s="868"/>
      <c r="AA790" s="865"/>
      <c r="AB790" s="2"/>
      <c r="AC790" s="2"/>
      <c r="AD790" s="2"/>
      <c r="AE790" s="2"/>
      <c r="AF790" s="2"/>
      <c r="AG790" s="2"/>
      <c r="AH790" s="2"/>
      <c r="AI790" s="2"/>
      <c r="AJ790" s="2"/>
      <c r="AK790" s="2"/>
      <c r="AL790" s="2"/>
      <c r="AM790" s="2"/>
      <c r="AN790" s="2"/>
      <c r="AO790" s="9"/>
      <c r="AP790" s="9"/>
      <c r="AQ790" s="9"/>
      <c r="AR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224"/>
      <c r="X791" s="224"/>
      <c r="Y791" s="224"/>
      <c r="Z791" s="868"/>
      <c r="AA791" s="865"/>
      <c r="AB791" s="2"/>
      <c r="AC791" s="2"/>
      <c r="AD791" s="2"/>
      <c r="AE791" s="2"/>
      <c r="AF791" s="2"/>
      <c r="AG791" s="2"/>
      <c r="AH791" s="2"/>
      <c r="AI791" s="2"/>
      <c r="AJ791" s="2"/>
      <c r="AK791" s="2"/>
      <c r="AL791" s="2"/>
      <c r="AM791" s="2"/>
      <c r="AN791" s="2"/>
      <c r="AO791" s="9"/>
      <c r="AP791" s="9"/>
      <c r="AQ791" s="9"/>
      <c r="AR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224"/>
      <c r="X792" s="224"/>
      <c r="Y792" s="224"/>
      <c r="Z792" s="868"/>
      <c r="AA792" s="865"/>
      <c r="AB792" s="2"/>
      <c r="AC792" s="2"/>
      <c r="AD792" s="2"/>
      <c r="AE792" s="2"/>
      <c r="AF792" s="2"/>
      <c r="AG792" s="2"/>
      <c r="AH792" s="2"/>
      <c r="AI792" s="2"/>
      <c r="AJ792" s="2"/>
      <c r="AK792" s="2"/>
      <c r="AL792" s="2"/>
      <c r="AM792" s="2"/>
      <c r="AN792" s="2"/>
      <c r="AO792" s="9"/>
      <c r="AP792" s="9"/>
      <c r="AQ792" s="9"/>
      <c r="AR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224"/>
      <c r="X793" s="224"/>
      <c r="Y793" s="224"/>
      <c r="Z793" s="868"/>
      <c r="AA793" s="865"/>
      <c r="AB793" s="2"/>
      <c r="AC793" s="2"/>
      <c r="AD793" s="2"/>
      <c r="AE793" s="2"/>
      <c r="AF793" s="2"/>
      <c r="AG793" s="2"/>
      <c r="AH793" s="2"/>
      <c r="AI793" s="2"/>
      <c r="AJ793" s="2"/>
      <c r="AK793" s="2"/>
      <c r="AL793" s="2"/>
      <c r="AM793" s="2"/>
      <c r="AN793" s="2"/>
      <c r="AO793" s="9"/>
      <c r="AP793" s="9"/>
      <c r="AQ793" s="9"/>
      <c r="AR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224"/>
      <c r="X794" s="224"/>
      <c r="Y794" s="224"/>
      <c r="Z794" s="868"/>
      <c r="AA794" s="865"/>
      <c r="AB794" s="2"/>
      <c r="AC794" s="2"/>
      <c r="AD794" s="2"/>
      <c r="AE794" s="2"/>
      <c r="AF794" s="2"/>
      <c r="AG794" s="2"/>
      <c r="AH794" s="2"/>
      <c r="AI794" s="2"/>
      <c r="AJ794" s="2"/>
      <c r="AK794" s="2"/>
      <c r="AL794" s="2"/>
      <c r="AM794" s="2"/>
      <c r="AN794" s="2"/>
      <c r="AO794" s="9"/>
      <c r="AP794" s="9"/>
      <c r="AQ794" s="9"/>
      <c r="AR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224"/>
      <c r="X795" s="224"/>
      <c r="Y795" s="224"/>
      <c r="Z795" s="868"/>
      <c r="AA795" s="865"/>
      <c r="AB795" s="2"/>
      <c r="AC795" s="2"/>
      <c r="AD795" s="2"/>
      <c r="AE795" s="2"/>
      <c r="AF795" s="2"/>
      <c r="AG795" s="2"/>
      <c r="AH795" s="2"/>
      <c r="AI795" s="2"/>
      <c r="AJ795" s="2"/>
      <c r="AK795" s="2"/>
      <c r="AL795" s="2"/>
      <c r="AM795" s="2"/>
      <c r="AN795" s="2"/>
      <c r="AO795" s="9"/>
      <c r="AP795" s="9"/>
      <c r="AQ795" s="9"/>
      <c r="AR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224"/>
      <c r="X796" s="224"/>
      <c r="Y796" s="224"/>
      <c r="Z796" s="868"/>
      <c r="AA796" s="865"/>
      <c r="AB796" s="2"/>
      <c r="AC796" s="2"/>
      <c r="AD796" s="2"/>
      <c r="AE796" s="2"/>
      <c r="AF796" s="2"/>
      <c r="AG796" s="2"/>
      <c r="AH796" s="2"/>
      <c r="AI796" s="2"/>
      <c r="AJ796" s="2"/>
      <c r="AK796" s="2"/>
      <c r="AL796" s="2"/>
      <c r="AM796" s="2"/>
      <c r="AN796" s="2"/>
      <c r="AO796" s="9"/>
      <c r="AP796" s="9"/>
      <c r="AQ796" s="9"/>
      <c r="AR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224"/>
      <c r="X797" s="224"/>
      <c r="Y797" s="224"/>
      <c r="Z797" s="868"/>
      <c r="AA797" s="865"/>
      <c r="AB797" s="2"/>
      <c r="AC797" s="2"/>
      <c r="AD797" s="2"/>
      <c r="AE797" s="2"/>
      <c r="AF797" s="2"/>
      <c r="AG797" s="2"/>
      <c r="AH797" s="2"/>
      <c r="AI797" s="2"/>
      <c r="AJ797" s="2"/>
      <c r="AK797" s="2"/>
      <c r="AL797" s="2"/>
      <c r="AM797" s="2"/>
      <c r="AN797" s="2"/>
      <c r="AO797" s="9"/>
      <c r="AP797" s="9"/>
      <c r="AQ797" s="9"/>
      <c r="AR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224"/>
      <c r="X798" s="224"/>
      <c r="Y798" s="224"/>
      <c r="Z798" s="868"/>
      <c r="AA798" s="865"/>
      <c r="AB798" s="2"/>
      <c r="AC798" s="2"/>
      <c r="AD798" s="2"/>
      <c r="AE798" s="2"/>
      <c r="AF798" s="2"/>
      <c r="AG798" s="2"/>
      <c r="AH798" s="2"/>
      <c r="AI798" s="2"/>
      <c r="AJ798" s="2"/>
      <c r="AK798" s="2"/>
      <c r="AL798" s="2"/>
      <c r="AM798" s="2"/>
      <c r="AN798" s="2"/>
      <c r="AO798" s="9"/>
      <c r="AP798" s="9"/>
      <c r="AQ798" s="9"/>
      <c r="AR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224"/>
      <c r="X799" s="224"/>
      <c r="Y799" s="224"/>
      <c r="Z799" s="868"/>
      <c r="AA799" s="865"/>
      <c r="AB799" s="2"/>
      <c r="AC799" s="2"/>
      <c r="AD799" s="2"/>
      <c r="AE799" s="2"/>
      <c r="AF799" s="2"/>
      <c r="AG799" s="2"/>
      <c r="AH799" s="2"/>
      <c r="AI799" s="2"/>
      <c r="AJ799" s="2"/>
      <c r="AK799" s="2"/>
      <c r="AL799" s="2"/>
      <c r="AM799" s="2"/>
      <c r="AN799" s="2"/>
      <c r="AO799" s="9"/>
      <c r="AP799" s="9"/>
      <c r="AQ799" s="9"/>
      <c r="AR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224"/>
      <c r="X800" s="224"/>
      <c r="Y800" s="224"/>
      <c r="Z800" s="868"/>
      <c r="AA800" s="865"/>
      <c r="AB800" s="2"/>
      <c r="AC800" s="2"/>
      <c r="AD800" s="2"/>
      <c r="AE800" s="2"/>
      <c r="AF800" s="2"/>
      <c r="AG800" s="2"/>
      <c r="AH800" s="2"/>
      <c r="AI800" s="2"/>
      <c r="AJ800" s="2"/>
      <c r="AK800" s="2"/>
      <c r="AL800" s="2"/>
      <c r="AM800" s="2"/>
      <c r="AN800" s="2"/>
      <c r="AO800" s="9"/>
      <c r="AP800" s="9"/>
      <c r="AQ800" s="9"/>
      <c r="AR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224"/>
      <c r="X801" s="224"/>
      <c r="Y801" s="224"/>
      <c r="Z801" s="868"/>
      <c r="AA801" s="865"/>
      <c r="AB801" s="2"/>
      <c r="AC801" s="2"/>
      <c r="AD801" s="2"/>
      <c r="AE801" s="2"/>
      <c r="AF801" s="2"/>
      <c r="AG801" s="2"/>
      <c r="AH801" s="2"/>
      <c r="AI801" s="2"/>
      <c r="AJ801" s="2"/>
      <c r="AK801" s="2"/>
      <c r="AL801" s="2"/>
      <c r="AM801" s="2"/>
      <c r="AN801" s="2"/>
      <c r="AO801" s="9"/>
      <c r="AP801" s="9"/>
      <c r="AQ801" s="9"/>
      <c r="AR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224"/>
      <c r="X802" s="224"/>
      <c r="Y802" s="224"/>
      <c r="Z802" s="868"/>
      <c r="AA802" s="865"/>
      <c r="AB802" s="2"/>
      <c r="AC802" s="2"/>
      <c r="AD802" s="2"/>
      <c r="AE802" s="2"/>
      <c r="AF802" s="2"/>
      <c r="AG802" s="2"/>
      <c r="AH802" s="2"/>
      <c r="AI802" s="2"/>
      <c r="AJ802" s="2"/>
      <c r="AK802" s="2"/>
      <c r="AL802" s="2"/>
      <c r="AM802" s="2"/>
      <c r="AN802" s="2"/>
      <c r="AO802" s="9"/>
      <c r="AP802" s="9"/>
      <c r="AQ802" s="9"/>
      <c r="AR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224"/>
      <c r="X803" s="224"/>
      <c r="Y803" s="224"/>
      <c r="Z803" s="868"/>
      <c r="AA803" s="865"/>
      <c r="AB803" s="2"/>
      <c r="AC803" s="2"/>
      <c r="AD803" s="2"/>
      <c r="AE803" s="2"/>
      <c r="AF803" s="2"/>
      <c r="AG803" s="2"/>
      <c r="AH803" s="2"/>
      <c r="AI803" s="2"/>
      <c r="AJ803" s="2"/>
      <c r="AK803" s="2"/>
      <c r="AL803" s="2"/>
      <c r="AM803" s="2"/>
      <c r="AN803" s="2"/>
      <c r="AO803" s="9"/>
      <c r="AP803" s="9"/>
      <c r="AQ803" s="9"/>
      <c r="AR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224"/>
      <c r="X804" s="224"/>
      <c r="Y804" s="224"/>
      <c r="Z804" s="868"/>
      <c r="AA804" s="865"/>
      <c r="AB804" s="2"/>
      <c r="AC804" s="2"/>
      <c r="AD804" s="2"/>
      <c r="AE804" s="2"/>
      <c r="AF804" s="2"/>
      <c r="AG804" s="2"/>
      <c r="AH804" s="2"/>
      <c r="AI804" s="2"/>
      <c r="AJ804" s="2"/>
      <c r="AK804" s="2"/>
      <c r="AL804" s="2"/>
      <c r="AM804" s="2"/>
      <c r="AN804" s="2"/>
      <c r="AO804" s="9"/>
      <c r="AP804" s="9"/>
      <c r="AQ804" s="9"/>
      <c r="AR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224"/>
      <c r="X805" s="224"/>
      <c r="Y805" s="224"/>
      <c r="Z805" s="868"/>
      <c r="AA805" s="865"/>
      <c r="AB805" s="2"/>
      <c r="AC805" s="2"/>
      <c r="AD805" s="2"/>
      <c r="AE805" s="2"/>
      <c r="AF805" s="2"/>
      <c r="AG805" s="2"/>
      <c r="AH805" s="2"/>
      <c r="AI805" s="2"/>
      <c r="AJ805" s="2"/>
      <c r="AK805" s="2"/>
      <c r="AL805" s="2"/>
      <c r="AM805" s="2"/>
      <c r="AN805" s="2"/>
      <c r="AO805" s="9"/>
      <c r="AP805" s="9"/>
      <c r="AQ805" s="9"/>
      <c r="AR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224"/>
      <c r="X806" s="224"/>
      <c r="Y806" s="224"/>
      <c r="Z806" s="868"/>
      <c r="AA806" s="865"/>
      <c r="AB806" s="2"/>
      <c r="AC806" s="2"/>
      <c r="AD806" s="2"/>
      <c r="AE806" s="2"/>
      <c r="AF806" s="2"/>
      <c r="AG806" s="2"/>
      <c r="AH806" s="2"/>
      <c r="AI806" s="2"/>
      <c r="AJ806" s="2"/>
      <c r="AK806" s="2"/>
      <c r="AL806" s="2"/>
      <c r="AM806" s="2"/>
      <c r="AN806" s="2"/>
      <c r="AO806" s="9"/>
      <c r="AP806" s="9"/>
      <c r="AQ806" s="9"/>
      <c r="AR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224"/>
      <c r="X807" s="224"/>
      <c r="Y807" s="224"/>
      <c r="Z807" s="868"/>
      <c r="AA807" s="865"/>
      <c r="AB807" s="2"/>
      <c r="AC807" s="2"/>
      <c r="AD807" s="2"/>
      <c r="AE807" s="2"/>
      <c r="AF807" s="2"/>
      <c r="AG807" s="2"/>
      <c r="AH807" s="2"/>
      <c r="AI807" s="2"/>
      <c r="AJ807" s="2"/>
      <c r="AK807" s="2"/>
      <c r="AL807" s="2"/>
      <c r="AM807" s="2"/>
      <c r="AN807" s="2"/>
      <c r="AO807" s="9"/>
      <c r="AP807" s="9"/>
      <c r="AQ807" s="9"/>
      <c r="AR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224"/>
      <c r="X808" s="224"/>
      <c r="Y808" s="224"/>
      <c r="Z808" s="868"/>
      <c r="AA808" s="865"/>
      <c r="AB808" s="2"/>
      <c r="AC808" s="2"/>
      <c r="AD808" s="2"/>
      <c r="AE808" s="2"/>
      <c r="AF808" s="2"/>
      <c r="AG808" s="2"/>
      <c r="AH808" s="2"/>
      <c r="AI808" s="2"/>
      <c r="AJ808" s="2"/>
      <c r="AK808" s="2"/>
      <c r="AL808" s="2"/>
      <c r="AM808" s="2"/>
      <c r="AN808" s="2"/>
      <c r="AO808" s="9"/>
      <c r="AP808" s="9"/>
      <c r="AQ808" s="9"/>
      <c r="AR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224"/>
      <c r="X809" s="224"/>
      <c r="Y809" s="224"/>
      <c r="Z809" s="868"/>
      <c r="AA809" s="865"/>
      <c r="AB809" s="2"/>
      <c r="AC809" s="2"/>
      <c r="AD809" s="2"/>
      <c r="AE809" s="2"/>
      <c r="AF809" s="2"/>
      <c r="AG809" s="2"/>
      <c r="AH809" s="2"/>
      <c r="AI809" s="2"/>
      <c r="AJ809" s="2"/>
      <c r="AK809" s="2"/>
      <c r="AL809" s="2"/>
      <c r="AM809" s="2"/>
      <c r="AN809" s="2"/>
      <c r="AO809" s="9"/>
      <c r="AP809" s="9"/>
      <c r="AQ809" s="9"/>
      <c r="AR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224"/>
      <c r="X810" s="224"/>
      <c r="Y810" s="224"/>
      <c r="Z810" s="868"/>
      <c r="AA810" s="865"/>
      <c r="AB810" s="2"/>
      <c r="AC810" s="2"/>
      <c r="AD810" s="2"/>
      <c r="AE810" s="2"/>
      <c r="AF810" s="2"/>
      <c r="AG810" s="2"/>
      <c r="AH810" s="2"/>
      <c r="AI810" s="2"/>
      <c r="AJ810" s="2"/>
      <c r="AK810" s="2"/>
      <c r="AL810" s="2"/>
      <c r="AM810" s="2"/>
      <c r="AN810" s="2"/>
      <c r="AO810" s="9"/>
      <c r="AP810" s="9"/>
      <c r="AQ810" s="9"/>
      <c r="AR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224"/>
      <c r="X811" s="224"/>
      <c r="Y811" s="224"/>
      <c r="Z811" s="868"/>
      <c r="AA811" s="865"/>
      <c r="AB811" s="2"/>
      <c r="AC811" s="2"/>
      <c r="AD811" s="2"/>
      <c r="AE811" s="2"/>
      <c r="AF811" s="2"/>
      <c r="AG811" s="2"/>
      <c r="AH811" s="2"/>
      <c r="AI811" s="2"/>
      <c r="AJ811" s="2"/>
      <c r="AK811" s="2"/>
      <c r="AL811" s="2"/>
      <c r="AM811" s="2"/>
      <c r="AN811" s="2"/>
      <c r="AO811" s="9"/>
      <c r="AP811" s="9"/>
      <c r="AQ811" s="9"/>
      <c r="AR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224"/>
      <c r="X812" s="224"/>
      <c r="Y812" s="224"/>
      <c r="Z812" s="868"/>
      <c r="AA812" s="865"/>
      <c r="AB812" s="2"/>
      <c r="AC812" s="2"/>
      <c r="AD812" s="2"/>
      <c r="AE812" s="2"/>
      <c r="AF812" s="2"/>
      <c r="AG812" s="2"/>
      <c r="AH812" s="2"/>
      <c r="AI812" s="2"/>
      <c r="AJ812" s="2"/>
      <c r="AK812" s="2"/>
      <c r="AL812" s="2"/>
      <c r="AM812" s="2"/>
      <c r="AN812" s="2"/>
      <c r="AO812" s="9"/>
      <c r="AP812" s="9"/>
      <c r="AQ812" s="9"/>
      <c r="AR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224"/>
      <c r="X813" s="224"/>
      <c r="Y813" s="224"/>
      <c r="Z813" s="868"/>
      <c r="AA813" s="865"/>
      <c r="AB813" s="2"/>
      <c r="AC813" s="2"/>
      <c r="AD813" s="2"/>
      <c r="AE813" s="2"/>
      <c r="AF813" s="2"/>
      <c r="AG813" s="2"/>
      <c r="AH813" s="2"/>
      <c r="AI813" s="2"/>
      <c r="AJ813" s="2"/>
      <c r="AK813" s="2"/>
      <c r="AL813" s="2"/>
      <c r="AM813" s="2"/>
      <c r="AN813" s="2"/>
      <c r="AO813" s="9"/>
      <c r="AP813" s="9"/>
      <c r="AQ813" s="9"/>
      <c r="AR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224"/>
      <c r="X814" s="224"/>
      <c r="Y814" s="224"/>
      <c r="Z814" s="868"/>
      <c r="AA814" s="865"/>
      <c r="AB814" s="2"/>
      <c r="AC814" s="2"/>
      <c r="AD814" s="2"/>
      <c r="AE814" s="2"/>
      <c r="AF814" s="2"/>
      <c r="AG814" s="2"/>
      <c r="AH814" s="2"/>
      <c r="AI814" s="2"/>
      <c r="AJ814" s="2"/>
      <c r="AK814" s="2"/>
      <c r="AL814" s="2"/>
      <c r="AM814" s="2"/>
      <c r="AN814" s="2"/>
      <c r="AO814" s="9"/>
      <c r="AP814" s="9"/>
      <c r="AQ814" s="9"/>
      <c r="AR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224"/>
      <c r="X815" s="224"/>
      <c r="Y815" s="224"/>
      <c r="Z815" s="868"/>
      <c r="AA815" s="865"/>
      <c r="AB815" s="2"/>
      <c r="AC815" s="2"/>
      <c r="AD815" s="2"/>
      <c r="AE815" s="2"/>
      <c r="AF815" s="2"/>
      <c r="AG815" s="2"/>
      <c r="AH815" s="2"/>
      <c r="AI815" s="2"/>
      <c r="AJ815" s="2"/>
      <c r="AK815" s="2"/>
      <c r="AL815" s="2"/>
      <c r="AM815" s="2"/>
      <c r="AN815" s="2"/>
      <c r="AO815" s="9"/>
      <c r="AP815" s="9"/>
      <c r="AQ815" s="9"/>
      <c r="AR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224"/>
      <c r="X816" s="224"/>
      <c r="Y816" s="224"/>
      <c r="Z816" s="868"/>
      <c r="AA816" s="865"/>
      <c r="AB816" s="2"/>
      <c r="AC816" s="2"/>
      <c r="AD816" s="2"/>
      <c r="AE816" s="2"/>
      <c r="AF816" s="2"/>
      <c r="AG816" s="2"/>
      <c r="AH816" s="2"/>
      <c r="AI816" s="2"/>
      <c r="AJ816" s="2"/>
      <c r="AK816" s="2"/>
      <c r="AL816" s="2"/>
      <c r="AM816" s="2"/>
      <c r="AN816" s="2"/>
      <c r="AO816" s="9"/>
      <c r="AP816" s="9"/>
      <c r="AQ816" s="9"/>
      <c r="AR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224"/>
      <c r="X817" s="224"/>
      <c r="Y817" s="224"/>
      <c r="Z817" s="868"/>
      <c r="AA817" s="865"/>
      <c r="AB817" s="2"/>
      <c r="AC817" s="2"/>
      <c r="AD817" s="2"/>
      <c r="AE817" s="2"/>
      <c r="AF817" s="2"/>
      <c r="AG817" s="2"/>
      <c r="AH817" s="2"/>
      <c r="AI817" s="2"/>
      <c r="AJ817" s="2"/>
      <c r="AK817" s="2"/>
      <c r="AL817" s="2"/>
      <c r="AM817" s="2"/>
      <c r="AN817" s="2"/>
      <c r="AO817" s="9"/>
      <c r="AP817" s="9"/>
      <c r="AQ817" s="9"/>
      <c r="AR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224"/>
      <c r="X818" s="224"/>
      <c r="Y818" s="224"/>
      <c r="Z818" s="868"/>
      <c r="AA818" s="865"/>
      <c r="AB818" s="2"/>
      <c r="AC818" s="2"/>
      <c r="AD818" s="2"/>
      <c r="AE818" s="2"/>
      <c r="AF818" s="2"/>
      <c r="AG818" s="2"/>
      <c r="AH818" s="2"/>
      <c r="AI818" s="2"/>
      <c r="AJ818" s="2"/>
      <c r="AK818" s="2"/>
      <c r="AL818" s="2"/>
      <c r="AM818" s="2"/>
      <c r="AN818" s="2"/>
      <c r="AO818" s="9"/>
      <c r="AP818" s="9"/>
      <c r="AQ818" s="9"/>
      <c r="AR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224"/>
      <c r="X819" s="224"/>
      <c r="Y819" s="224"/>
      <c r="Z819" s="868"/>
      <c r="AA819" s="865"/>
      <c r="AB819" s="2"/>
      <c r="AC819" s="2"/>
      <c r="AD819" s="2"/>
      <c r="AE819" s="2"/>
      <c r="AF819" s="2"/>
      <c r="AG819" s="2"/>
      <c r="AH819" s="2"/>
      <c r="AI819" s="2"/>
      <c r="AJ819" s="2"/>
      <c r="AK819" s="2"/>
      <c r="AL819" s="2"/>
      <c r="AM819" s="2"/>
      <c r="AN819" s="2"/>
      <c r="AO819" s="9"/>
      <c r="AP819" s="9"/>
      <c r="AQ819" s="9"/>
      <c r="AR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224"/>
      <c r="X820" s="224"/>
      <c r="Y820" s="224"/>
      <c r="Z820" s="868"/>
      <c r="AA820" s="865"/>
      <c r="AB820" s="2"/>
      <c r="AC820" s="2"/>
      <c r="AD820" s="2"/>
      <c r="AE820" s="2"/>
      <c r="AF820" s="2"/>
      <c r="AG820" s="2"/>
      <c r="AH820" s="2"/>
      <c r="AI820" s="2"/>
      <c r="AJ820" s="2"/>
      <c r="AK820" s="2"/>
      <c r="AL820" s="2"/>
      <c r="AM820" s="2"/>
      <c r="AN820" s="2"/>
      <c r="AO820" s="9"/>
      <c r="AP820" s="9"/>
      <c r="AQ820" s="9"/>
      <c r="AR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224"/>
      <c r="X821" s="224"/>
      <c r="Y821" s="224"/>
      <c r="Z821" s="868"/>
      <c r="AA821" s="865"/>
      <c r="AB821" s="2"/>
      <c r="AC821" s="2"/>
      <c r="AD821" s="2"/>
      <c r="AE821" s="2"/>
      <c r="AF821" s="2"/>
      <c r="AG821" s="2"/>
      <c r="AH821" s="2"/>
      <c r="AI821" s="2"/>
      <c r="AJ821" s="2"/>
      <c r="AK821" s="2"/>
      <c r="AL821" s="2"/>
      <c r="AM821" s="2"/>
      <c r="AN821" s="2"/>
      <c r="AO821" s="9"/>
      <c r="AP821" s="9"/>
      <c r="AQ821" s="9"/>
      <c r="AR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224"/>
      <c r="X822" s="224"/>
      <c r="Y822" s="224"/>
      <c r="Z822" s="868"/>
      <c r="AA822" s="865"/>
      <c r="AB822" s="2"/>
      <c r="AC822" s="2"/>
      <c r="AD822" s="2"/>
      <c r="AE822" s="2"/>
      <c r="AF822" s="2"/>
      <c r="AG822" s="2"/>
      <c r="AH822" s="2"/>
      <c r="AI822" s="2"/>
      <c r="AJ822" s="2"/>
      <c r="AK822" s="2"/>
      <c r="AL822" s="2"/>
      <c r="AM822" s="2"/>
      <c r="AN822" s="2"/>
      <c r="AO822" s="9"/>
      <c r="AP822" s="9"/>
      <c r="AQ822" s="9"/>
      <c r="AR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224"/>
      <c r="X823" s="224"/>
      <c r="Y823" s="224"/>
      <c r="Z823" s="868"/>
      <c r="AA823" s="865"/>
      <c r="AB823" s="2"/>
      <c r="AC823" s="2"/>
      <c r="AD823" s="2"/>
      <c r="AE823" s="2"/>
      <c r="AF823" s="2"/>
      <c r="AG823" s="2"/>
      <c r="AH823" s="2"/>
      <c r="AI823" s="2"/>
      <c r="AJ823" s="2"/>
      <c r="AK823" s="2"/>
      <c r="AL823" s="2"/>
      <c r="AM823" s="2"/>
      <c r="AN823" s="2"/>
      <c r="AO823" s="9"/>
      <c r="AP823" s="9"/>
      <c r="AQ823" s="9"/>
      <c r="AR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224"/>
      <c r="X824" s="224"/>
      <c r="Y824" s="224"/>
      <c r="Z824" s="868"/>
      <c r="AA824" s="865"/>
      <c r="AB824" s="2"/>
      <c r="AC824" s="2"/>
      <c r="AD824" s="2"/>
      <c r="AE824" s="2"/>
      <c r="AF824" s="2"/>
      <c r="AG824" s="2"/>
      <c r="AH824" s="2"/>
      <c r="AI824" s="2"/>
      <c r="AJ824" s="2"/>
      <c r="AK824" s="2"/>
      <c r="AL824" s="2"/>
      <c r="AM824" s="2"/>
      <c r="AN824" s="2"/>
      <c r="AO824" s="9"/>
      <c r="AP824" s="9"/>
      <c r="AQ824" s="9"/>
      <c r="AR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224"/>
      <c r="X825" s="224"/>
      <c r="Y825" s="224"/>
      <c r="Z825" s="868"/>
      <c r="AA825" s="865"/>
      <c r="AB825" s="2"/>
      <c r="AC825" s="2"/>
      <c r="AD825" s="2"/>
      <c r="AE825" s="2"/>
      <c r="AF825" s="2"/>
      <c r="AG825" s="2"/>
      <c r="AH825" s="2"/>
      <c r="AI825" s="2"/>
      <c r="AJ825" s="2"/>
      <c r="AK825" s="2"/>
      <c r="AL825" s="2"/>
      <c r="AM825" s="2"/>
      <c r="AN825" s="2"/>
      <c r="AO825" s="9"/>
      <c r="AP825" s="9"/>
      <c r="AQ825" s="9"/>
      <c r="AR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224"/>
      <c r="X826" s="224"/>
      <c r="Y826" s="224"/>
      <c r="Z826" s="868"/>
      <c r="AA826" s="865"/>
      <c r="AB826" s="2"/>
      <c r="AC826" s="2"/>
      <c r="AD826" s="2"/>
      <c r="AE826" s="2"/>
      <c r="AF826" s="2"/>
      <c r="AG826" s="2"/>
      <c r="AH826" s="2"/>
      <c r="AI826" s="2"/>
      <c r="AJ826" s="2"/>
      <c r="AK826" s="2"/>
      <c r="AL826" s="2"/>
      <c r="AM826" s="2"/>
      <c r="AN826" s="2"/>
      <c r="AO826" s="9"/>
      <c r="AP826" s="9"/>
      <c r="AQ826" s="9"/>
      <c r="AR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224"/>
      <c r="X827" s="224"/>
      <c r="Y827" s="224"/>
      <c r="Z827" s="868"/>
      <c r="AA827" s="865"/>
      <c r="AB827" s="2"/>
      <c r="AC827" s="2"/>
      <c r="AD827" s="2"/>
      <c r="AE827" s="2"/>
      <c r="AF827" s="2"/>
      <c r="AG827" s="2"/>
      <c r="AH827" s="2"/>
      <c r="AI827" s="2"/>
      <c r="AJ827" s="2"/>
      <c r="AK827" s="2"/>
      <c r="AL827" s="2"/>
      <c r="AM827" s="2"/>
      <c r="AN827" s="2"/>
      <c r="AO827" s="9"/>
      <c r="AP827" s="9"/>
      <c r="AQ827" s="9"/>
      <c r="AR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224"/>
      <c r="X828" s="224"/>
      <c r="Y828" s="224"/>
      <c r="Z828" s="868"/>
      <c r="AA828" s="865"/>
      <c r="AB828" s="2"/>
      <c r="AC828" s="2"/>
      <c r="AD828" s="2"/>
      <c r="AE828" s="2"/>
      <c r="AF828" s="2"/>
      <c r="AG828" s="2"/>
      <c r="AH828" s="2"/>
      <c r="AI828" s="2"/>
      <c r="AJ828" s="2"/>
      <c r="AK828" s="2"/>
      <c r="AL828" s="2"/>
      <c r="AM828" s="2"/>
      <c r="AN828" s="2"/>
      <c r="AO828" s="9"/>
      <c r="AP828" s="9"/>
      <c r="AQ828" s="9"/>
      <c r="AR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224"/>
      <c r="X829" s="224"/>
      <c r="Y829" s="224"/>
      <c r="Z829" s="868"/>
      <c r="AA829" s="865"/>
      <c r="AB829" s="2"/>
      <c r="AC829" s="2"/>
      <c r="AD829" s="2"/>
      <c r="AE829" s="2"/>
      <c r="AF829" s="2"/>
      <c r="AG829" s="2"/>
      <c r="AH829" s="2"/>
      <c r="AI829" s="2"/>
      <c r="AJ829" s="2"/>
      <c r="AK829" s="2"/>
      <c r="AL829" s="2"/>
      <c r="AM829" s="2"/>
      <c r="AN829" s="2"/>
      <c r="AO829" s="9"/>
      <c r="AP829" s="9"/>
      <c r="AQ829" s="9"/>
      <c r="AR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224"/>
      <c r="X830" s="224"/>
      <c r="Y830" s="224"/>
      <c r="Z830" s="868"/>
      <c r="AA830" s="865"/>
      <c r="AB830" s="2"/>
      <c r="AC830" s="2"/>
      <c r="AD830" s="2"/>
      <c r="AE830" s="2"/>
      <c r="AF830" s="2"/>
      <c r="AG830" s="2"/>
      <c r="AH830" s="2"/>
      <c r="AI830" s="2"/>
      <c r="AJ830" s="2"/>
      <c r="AK830" s="2"/>
      <c r="AL830" s="2"/>
      <c r="AM830" s="2"/>
      <c r="AN830" s="2"/>
      <c r="AO830" s="9"/>
      <c r="AP830" s="9"/>
      <c r="AQ830" s="9"/>
      <c r="AR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224"/>
      <c r="X831" s="224"/>
      <c r="Y831" s="224"/>
      <c r="Z831" s="868"/>
      <c r="AA831" s="865"/>
      <c r="AB831" s="2"/>
      <c r="AC831" s="2"/>
      <c r="AD831" s="2"/>
      <c r="AE831" s="2"/>
      <c r="AF831" s="2"/>
      <c r="AG831" s="2"/>
      <c r="AH831" s="2"/>
      <c r="AI831" s="2"/>
      <c r="AJ831" s="2"/>
      <c r="AK831" s="2"/>
      <c r="AL831" s="2"/>
      <c r="AM831" s="2"/>
      <c r="AN831" s="2"/>
      <c r="AO831" s="9"/>
      <c r="AP831" s="9"/>
      <c r="AQ831" s="9"/>
      <c r="AR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224"/>
      <c r="X832" s="224"/>
      <c r="Y832" s="224"/>
      <c r="Z832" s="868"/>
      <c r="AA832" s="865"/>
      <c r="AB832" s="2"/>
      <c r="AC832" s="2"/>
      <c r="AD832" s="2"/>
      <c r="AE832" s="2"/>
      <c r="AF832" s="2"/>
      <c r="AG832" s="2"/>
      <c r="AH832" s="2"/>
      <c r="AI832" s="2"/>
      <c r="AJ832" s="2"/>
      <c r="AK832" s="2"/>
      <c r="AL832" s="2"/>
      <c r="AM832" s="2"/>
      <c r="AN832" s="2"/>
      <c r="AO832" s="9"/>
      <c r="AP832" s="9"/>
      <c r="AQ832" s="9"/>
      <c r="AR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224"/>
      <c r="X833" s="224"/>
      <c r="Y833" s="224"/>
      <c r="Z833" s="868"/>
      <c r="AA833" s="865"/>
      <c r="AB833" s="2"/>
      <c r="AC833" s="2"/>
      <c r="AD833" s="2"/>
      <c r="AE833" s="2"/>
      <c r="AF833" s="2"/>
      <c r="AG833" s="2"/>
      <c r="AH833" s="2"/>
      <c r="AI833" s="2"/>
      <c r="AJ833" s="2"/>
      <c r="AK833" s="2"/>
      <c r="AL833" s="2"/>
      <c r="AM833" s="2"/>
      <c r="AN833" s="2"/>
      <c r="AO833" s="9"/>
      <c r="AP833" s="9"/>
      <c r="AQ833" s="9"/>
      <c r="AR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224"/>
      <c r="X834" s="224"/>
      <c r="Y834" s="224"/>
      <c r="Z834" s="868"/>
      <c r="AA834" s="865"/>
      <c r="AB834" s="2"/>
      <c r="AC834" s="2"/>
      <c r="AD834" s="2"/>
      <c r="AE834" s="2"/>
      <c r="AF834" s="2"/>
      <c r="AG834" s="2"/>
      <c r="AH834" s="2"/>
      <c r="AI834" s="2"/>
      <c r="AJ834" s="2"/>
      <c r="AK834" s="2"/>
      <c r="AL834" s="2"/>
      <c r="AM834" s="2"/>
      <c r="AN834" s="2"/>
      <c r="AO834" s="9"/>
      <c r="AP834" s="9"/>
      <c r="AQ834" s="9"/>
      <c r="AR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224"/>
      <c r="X835" s="224"/>
      <c r="Y835" s="224"/>
      <c r="Z835" s="868"/>
      <c r="AA835" s="865"/>
      <c r="AB835" s="2"/>
      <c r="AC835" s="2"/>
      <c r="AD835" s="2"/>
      <c r="AE835" s="2"/>
      <c r="AF835" s="2"/>
      <c r="AG835" s="2"/>
      <c r="AH835" s="2"/>
      <c r="AI835" s="2"/>
      <c r="AJ835" s="2"/>
      <c r="AK835" s="2"/>
      <c r="AL835" s="2"/>
      <c r="AM835" s="2"/>
      <c r="AN835" s="2"/>
      <c r="AO835" s="9"/>
      <c r="AP835" s="9"/>
      <c r="AQ835" s="9"/>
      <c r="AR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224"/>
      <c r="X836" s="224"/>
      <c r="Y836" s="224"/>
      <c r="Z836" s="868"/>
      <c r="AA836" s="865"/>
      <c r="AB836" s="2"/>
      <c r="AC836" s="2"/>
      <c r="AD836" s="2"/>
      <c r="AE836" s="2"/>
      <c r="AF836" s="2"/>
      <c r="AG836" s="2"/>
      <c r="AH836" s="2"/>
      <c r="AI836" s="2"/>
      <c r="AJ836" s="2"/>
      <c r="AK836" s="2"/>
      <c r="AL836" s="2"/>
      <c r="AM836" s="2"/>
      <c r="AN836" s="2"/>
      <c r="AO836" s="9"/>
      <c r="AP836" s="9"/>
      <c r="AQ836" s="9"/>
      <c r="AR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224"/>
      <c r="X837" s="224"/>
      <c r="Y837" s="224"/>
      <c r="Z837" s="868"/>
      <c r="AA837" s="865"/>
      <c r="AB837" s="2"/>
      <c r="AC837" s="2"/>
      <c r="AD837" s="2"/>
      <c r="AE837" s="2"/>
      <c r="AF837" s="2"/>
      <c r="AG837" s="2"/>
      <c r="AH837" s="2"/>
      <c r="AI837" s="2"/>
      <c r="AJ837" s="2"/>
      <c r="AK837" s="2"/>
      <c r="AL837" s="2"/>
      <c r="AM837" s="2"/>
      <c r="AN837" s="2"/>
      <c r="AO837" s="9"/>
      <c r="AP837" s="9"/>
      <c r="AQ837" s="9"/>
      <c r="AR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224"/>
      <c r="X838" s="224"/>
      <c r="Y838" s="224"/>
      <c r="Z838" s="868"/>
      <c r="AA838" s="865"/>
      <c r="AB838" s="2"/>
      <c r="AC838" s="2"/>
      <c r="AD838" s="2"/>
      <c r="AE838" s="2"/>
      <c r="AF838" s="2"/>
      <c r="AG838" s="2"/>
      <c r="AH838" s="2"/>
      <c r="AI838" s="2"/>
      <c r="AJ838" s="2"/>
      <c r="AK838" s="2"/>
      <c r="AL838" s="2"/>
      <c r="AM838" s="2"/>
      <c r="AN838" s="2"/>
      <c r="AO838" s="9"/>
      <c r="AP838" s="9"/>
      <c r="AQ838" s="9"/>
      <c r="AR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224"/>
      <c r="X839" s="224"/>
      <c r="Y839" s="224"/>
      <c r="Z839" s="868"/>
      <c r="AA839" s="865"/>
      <c r="AB839" s="2"/>
      <c r="AC839" s="2"/>
      <c r="AD839" s="2"/>
      <c r="AE839" s="2"/>
      <c r="AF839" s="2"/>
      <c r="AG839" s="2"/>
      <c r="AH839" s="2"/>
      <c r="AI839" s="2"/>
      <c r="AJ839" s="2"/>
      <c r="AK839" s="2"/>
      <c r="AL839" s="2"/>
      <c r="AM839" s="2"/>
      <c r="AN839" s="2"/>
      <c r="AO839" s="9"/>
      <c r="AP839" s="9"/>
      <c r="AQ839" s="9"/>
      <c r="AR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224"/>
      <c r="X840" s="224"/>
      <c r="Y840" s="224"/>
      <c r="Z840" s="868"/>
      <c r="AA840" s="865"/>
      <c r="AB840" s="2"/>
      <c r="AC840" s="2"/>
      <c r="AD840" s="2"/>
      <c r="AE840" s="2"/>
      <c r="AF840" s="2"/>
      <c r="AG840" s="2"/>
      <c r="AH840" s="2"/>
      <c r="AI840" s="2"/>
      <c r="AJ840" s="2"/>
      <c r="AK840" s="2"/>
      <c r="AL840" s="2"/>
      <c r="AM840" s="2"/>
      <c r="AN840" s="2"/>
      <c r="AO840" s="9"/>
      <c r="AP840" s="9"/>
      <c r="AQ840" s="9"/>
      <c r="AR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224"/>
      <c r="X841" s="224"/>
      <c r="Y841" s="224"/>
      <c r="Z841" s="868"/>
      <c r="AA841" s="865"/>
      <c r="AB841" s="2"/>
      <c r="AC841" s="2"/>
      <c r="AD841" s="2"/>
      <c r="AE841" s="2"/>
      <c r="AF841" s="2"/>
      <c r="AG841" s="2"/>
      <c r="AH841" s="2"/>
      <c r="AI841" s="2"/>
      <c r="AJ841" s="2"/>
      <c r="AK841" s="2"/>
      <c r="AL841" s="2"/>
      <c r="AM841" s="2"/>
      <c r="AN841" s="2"/>
      <c r="AO841" s="9"/>
      <c r="AP841" s="9"/>
      <c r="AQ841" s="9"/>
      <c r="AR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224"/>
      <c r="X842" s="224"/>
      <c r="Y842" s="224"/>
      <c r="Z842" s="868"/>
      <c r="AA842" s="865"/>
      <c r="AB842" s="2"/>
      <c r="AC842" s="2"/>
      <c r="AD842" s="2"/>
      <c r="AE842" s="2"/>
      <c r="AF842" s="2"/>
      <c r="AG842" s="2"/>
      <c r="AH842" s="2"/>
      <c r="AI842" s="2"/>
      <c r="AJ842" s="2"/>
      <c r="AK842" s="2"/>
      <c r="AL842" s="2"/>
      <c r="AM842" s="2"/>
      <c r="AN842" s="2"/>
      <c r="AO842" s="9"/>
      <c r="AP842" s="9"/>
      <c r="AQ842" s="9"/>
      <c r="AR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224"/>
      <c r="X843" s="224"/>
      <c r="Y843" s="224"/>
      <c r="Z843" s="868"/>
      <c r="AA843" s="865"/>
      <c r="AB843" s="2"/>
      <c r="AC843" s="2"/>
      <c r="AD843" s="2"/>
      <c r="AE843" s="2"/>
      <c r="AF843" s="2"/>
      <c r="AG843" s="2"/>
      <c r="AH843" s="2"/>
      <c r="AI843" s="2"/>
      <c r="AJ843" s="2"/>
      <c r="AK843" s="2"/>
      <c r="AL843" s="2"/>
      <c r="AM843" s="2"/>
      <c r="AN843" s="2"/>
      <c r="AO843" s="9"/>
      <c r="AP843" s="9"/>
      <c r="AQ843" s="9"/>
      <c r="AR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224"/>
      <c r="X844" s="224"/>
      <c r="Y844" s="224"/>
      <c r="Z844" s="868"/>
      <c r="AA844" s="865"/>
      <c r="AB844" s="2"/>
      <c r="AC844" s="2"/>
      <c r="AD844" s="2"/>
      <c r="AE844" s="2"/>
      <c r="AF844" s="2"/>
      <c r="AG844" s="2"/>
      <c r="AH844" s="2"/>
      <c r="AI844" s="2"/>
      <c r="AJ844" s="2"/>
      <c r="AK844" s="2"/>
      <c r="AL844" s="2"/>
      <c r="AM844" s="2"/>
      <c r="AN844" s="2"/>
      <c r="AO844" s="9"/>
      <c r="AP844" s="9"/>
      <c r="AQ844" s="9"/>
      <c r="AR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224"/>
      <c r="X845" s="224"/>
      <c r="Y845" s="224"/>
      <c r="Z845" s="868"/>
      <c r="AA845" s="865"/>
      <c r="AB845" s="2"/>
      <c r="AC845" s="2"/>
      <c r="AD845" s="2"/>
      <c r="AE845" s="2"/>
      <c r="AF845" s="2"/>
      <c r="AG845" s="2"/>
      <c r="AH845" s="2"/>
      <c r="AI845" s="2"/>
      <c r="AJ845" s="2"/>
      <c r="AK845" s="2"/>
      <c r="AL845" s="2"/>
      <c r="AM845" s="2"/>
      <c r="AN845" s="2"/>
      <c r="AO845" s="9"/>
      <c r="AP845" s="9"/>
      <c r="AQ845" s="9"/>
      <c r="AR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224"/>
      <c r="X846" s="224"/>
      <c r="Y846" s="224"/>
      <c r="Z846" s="868"/>
      <c r="AA846" s="865"/>
      <c r="AB846" s="2"/>
      <c r="AC846" s="2"/>
      <c r="AD846" s="2"/>
      <c r="AE846" s="2"/>
      <c r="AF846" s="2"/>
      <c r="AG846" s="2"/>
      <c r="AH846" s="2"/>
      <c r="AI846" s="2"/>
      <c r="AJ846" s="2"/>
      <c r="AK846" s="2"/>
      <c r="AL846" s="2"/>
      <c r="AM846" s="2"/>
      <c r="AN846" s="2"/>
      <c r="AO846" s="9"/>
      <c r="AP846" s="9"/>
      <c r="AQ846" s="9"/>
      <c r="AR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224"/>
      <c r="X847" s="224"/>
      <c r="Y847" s="224"/>
      <c r="Z847" s="868"/>
      <c r="AA847" s="865"/>
      <c r="AB847" s="2"/>
      <c r="AC847" s="2"/>
      <c r="AD847" s="2"/>
      <c r="AE847" s="2"/>
      <c r="AF847" s="2"/>
      <c r="AG847" s="2"/>
      <c r="AH847" s="2"/>
      <c r="AI847" s="2"/>
      <c r="AJ847" s="2"/>
      <c r="AK847" s="2"/>
      <c r="AL847" s="2"/>
      <c r="AM847" s="2"/>
      <c r="AN847" s="2"/>
      <c r="AO847" s="9"/>
      <c r="AP847" s="9"/>
      <c r="AQ847" s="9"/>
      <c r="AR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224"/>
      <c r="X848" s="224"/>
      <c r="Y848" s="224"/>
      <c r="Z848" s="868"/>
      <c r="AA848" s="865"/>
      <c r="AB848" s="2"/>
      <c r="AC848" s="2"/>
      <c r="AD848" s="2"/>
      <c r="AE848" s="2"/>
      <c r="AF848" s="2"/>
      <c r="AG848" s="2"/>
      <c r="AH848" s="2"/>
      <c r="AI848" s="2"/>
      <c r="AJ848" s="2"/>
      <c r="AK848" s="2"/>
      <c r="AL848" s="2"/>
      <c r="AM848" s="2"/>
      <c r="AN848" s="2"/>
      <c r="AO848" s="9"/>
      <c r="AP848" s="9"/>
      <c r="AQ848" s="9"/>
      <c r="AR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224"/>
      <c r="X849" s="224"/>
      <c r="Y849" s="224"/>
      <c r="Z849" s="868"/>
      <c r="AA849" s="865"/>
      <c r="AB849" s="2"/>
      <c r="AC849" s="2"/>
      <c r="AD849" s="2"/>
      <c r="AE849" s="2"/>
      <c r="AF849" s="2"/>
      <c r="AG849" s="2"/>
      <c r="AH849" s="2"/>
      <c r="AI849" s="2"/>
      <c r="AJ849" s="2"/>
      <c r="AK849" s="2"/>
      <c r="AL849" s="2"/>
      <c r="AM849" s="2"/>
      <c r="AN849" s="2"/>
      <c r="AO849" s="9"/>
      <c r="AP849" s="9"/>
      <c r="AQ849" s="9"/>
      <c r="AR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224"/>
      <c r="X850" s="224"/>
      <c r="Y850" s="224"/>
      <c r="Z850" s="868"/>
      <c r="AA850" s="865"/>
      <c r="AB850" s="2"/>
      <c r="AC850" s="2"/>
      <c r="AD850" s="2"/>
      <c r="AE850" s="2"/>
      <c r="AF850" s="2"/>
      <c r="AG850" s="2"/>
      <c r="AH850" s="2"/>
      <c r="AI850" s="2"/>
      <c r="AJ850" s="2"/>
      <c r="AK850" s="2"/>
      <c r="AL850" s="2"/>
      <c r="AM850" s="2"/>
      <c r="AN850" s="2"/>
      <c r="AO850" s="9"/>
      <c r="AP850" s="9"/>
      <c r="AQ850" s="9"/>
      <c r="AR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224"/>
      <c r="X851" s="224"/>
      <c r="Y851" s="224"/>
      <c r="Z851" s="868"/>
      <c r="AA851" s="865"/>
      <c r="AB851" s="2"/>
      <c r="AC851" s="2"/>
      <c r="AD851" s="2"/>
      <c r="AE851" s="2"/>
      <c r="AF851" s="2"/>
      <c r="AG851" s="2"/>
      <c r="AH851" s="2"/>
      <c r="AI851" s="2"/>
      <c r="AJ851" s="2"/>
      <c r="AK851" s="2"/>
      <c r="AL851" s="2"/>
      <c r="AM851" s="2"/>
      <c r="AN851" s="2"/>
      <c r="AO851" s="9"/>
      <c r="AP851" s="9"/>
      <c r="AQ851" s="9"/>
      <c r="AR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224"/>
      <c r="X852" s="224"/>
      <c r="Y852" s="224"/>
      <c r="Z852" s="868"/>
      <c r="AA852" s="865"/>
      <c r="AB852" s="2"/>
      <c r="AC852" s="2"/>
      <c r="AD852" s="2"/>
      <c r="AE852" s="2"/>
      <c r="AF852" s="2"/>
      <c r="AG852" s="2"/>
      <c r="AH852" s="2"/>
      <c r="AI852" s="2"/>
      <c r="AJ852" s="2"/>
      <c r="AK852" s="2"/>
      <c r="AL852" s="2"/>
      <c r="AM852" s="2"/>
      <c r="AN852" s="2"/>
      <c r="AO852" s="9"/>
      <c r="AP852" s="9"/>
      <c r="AQ852" s="9"/>
      <c r="AR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224"/>
      <c r="X853" s="224"/>
      <c r="Y853" s="224"/>
      <c r="Z853" s="868"/>
      <c r="AA853" s="865"/>
      <c r="AB853" s="2"/>
      <c r="AC853" s="2"/>
      <c r="AD853" s="2"/>
      <c r="AE853" s="2"/>
      <c r="AF853" s="2"/>
      <c r="AG853" s="2"/>
      <c r="AH853" s="2"/>
      <c r="AI853" s="2"/>
      <c r="AJ853" s="2"/>
      <c r="AK853" s="2"/>
      <c r="AL853" s="2"/>
      <c r="AM853" s="2"/>
      <c r="AN853" s="2"/>
      <c r="AO853" s="9"/>
      <c r="AP853" s="9"/>
      <c r="AQ853" s="9"/>
      <c r="AR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224"/>
      <c r="X854" s="224"/>
      <c r="Y854" s="224"/>
      <c r="Z854" s="868"/>
      <c r="AA854" s="865"/>
      <c r="AB854" s="2"/>
      <c r="AC854" s="2"/>
      <c r="AD854" s="2"/>
      <c r="AE854" s="2"/>
      <c r="AF854" s="2"/>
      <c r="AG854" s="2"/>
      <c r="AH854" s="2"/>
      <c r="AI854" s="2"/>
      <c r="AJ854" s="2"/>
      <c r="AK854" s="2"/>
      <c r="AL854" s="2"/>
      <c r="AM854" s="2"/>
      <c r="AN854" s="2"/>
      <c r="AO854" s="9"/>
      <c r="AP854" s="9"/>
      <c r="AQ854" s="9"/>
      <c r="AR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224"/>
      <c r="X855" s="224"/>
      <c r="Y855" s="224"/>
      <c r="Z855" s="868"/>
      <c r="AA855" s="865"/>
      <c r="AB855" s="2"/>
      <c r="AC855" s="2"/>
      <c r="AD855" s="2"/>
      <c r="AE855" s="2"/>
      <c r="AF855" s="2"/>
      <c r="AG855" s="2"/>
      <c r="AH855" s="2"/>
      <c r="AI855" s="2"/>
      <c r="AJ855" s="2"/>
      <c r="AK855" s="2"/>
      <c r="AL855" s="2"/>
      <c r="AM855" s="2"/>
      <c r="AN855" s="2"/>
      <c r="AO855" s="9"/>
      <c r="AP855" s="9"/>
      <c r="AQ855" s="9"/>
      <c r="AR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224"/>
      <c r="X856" s="224"/>
      <c r="Y856" s="224"/>
      <c r="Z856" s="868"/>
      <c r="AA856" s="865"/>
      <c r="AB856" s="2"/>
      <c r="AC856" s="2"/>
      <c r="AD856" s="2"/>
      <c r="AE856" s="2"/>
      <c r="AF856" s="2"/>
      <c r="AG856" s="2"/>
      <c r="AH856" s="2"/>
      <c r="AI856" s="2"/>
      <c r="AJ856" s="2"/>
      <c r="AK856" s="2"/>
      <c r="AL856" s="2"/>
      <c r="AM856" s="2"/>
      <c r="AN856" s="2"/>
      <c r="AO856" s="9"/>
      <c r="AP856" s="9"/>
      <c r="AQ856" s="9"/>
      <c r="AR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224"/>
      <c r="X857" s="224"/>
      <c r="Y857" s="224"/>
      <c r="Z857" s="868"/>
      <c r="AA857" s="865"/>
      <c r="AB857" s="2"/>
      <c r="AC857" s="2"/>
      <c r="AD857" s="2"/>
      <c r="AE857" s="2"/>
      <c r="AF857" s="2"/>
      <c r="AG857" s="2"/>
      <c r="AH857" s="2"/>
      <c r="AI857" s="2"/>
      <c r="AJ857" s="2"/>
      <c r="AK857" s="2"/>
      <c r="AL857" s="2"/>
      <c r="AM857" s="2"/>
      <c r="AN857" s="2"/>
      <c r="AO857" s="9"/>
      <c r="AP857" s="9"/>
      <c r="AQ857" s="9"/>
      <c r="AR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224"/>
      <c r="X858" s="224"/>
      <c r="Y858" s="224"/>
      <c r="Z858" s="868"/>
      <c r="AA858" s="865"/>
      <c r="AB858" s="2"/>
      <c r="AC858" s="2"/>
      <c r="AD858" s="2"/>
      <c r="AE858" s="2"/>
      <c r="AF858" s="2"/>
      <c r="AG858" s="2"/>
      <c r="AH858" s="2"/>
      <c r="AI858" s="2"/>
      <c r="AJ858" s="2"/>
      <c r="AK858" s="2"/>
      <c r="AL858" s="2"/>
      <c r="AM858" s="2"/>
      <c r="AN858" s="2"/>
      <c r="AO858" s="9"/>
      <c r="AP858" s="9"/>
      <c r="AQ858" s="9"/>
      <c r="AR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224"/>
      <c r="X859" s="224"/>
      <c r="Y859" s="224"/>
      <c r="Z859" s="868"/>
      <c r="AA859" s="865"/>
      <c r="AB859" s="2"/>
      <c r="AC859" s="2"/>
      <c r="AD859" s="2"/>
      <c r="AE859" s="2"/>
      <c r="AF859" s="2"/>
      <c r="AG859" s="2"/>
      <c r="AH859" s="2"/>
      <c r="AI859" s="2"/>
      <c r="AJ859" s="2"/>
      <c r="AK859" s="2"/>
      <c r="AL859" s="2"/>
      <c r="AM859" s="2"/>
      <c r="AN859" s="2"/>
      <c r="AO859" s="9"/>
      <c r="AP859" s="9"/>
      <c r="AQ859" s="9"/>
      <c r="AR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224"/>
      <c r="X860" s="224"/>
      <c r="Y860" s="224"/>
      <c r="Z860" s="868"/>
      <c r="AA860" s="865"/>
      <c r="AB860" s="2"/>
      <c r="AC860" s="2"/>
      <c r="AD860" s="2"/>
      <c r="AE860" s="2"/>
      <c r="AF860" s="2"/>
      <c r="AG860" s="2"/>
      <c r="AH860" s="2"/>
      <c r="AI860" s="2"/>
      <c r="AJ860" s="2"/>
      <c r="AK860" s="2"/>
      <c r="AL860" s="2"/>
      <c r="AM860" s="2"/>
      <c r="AN860" s="2"/>
      <c r="AO860" s="9"/>
      <c r="AP860" s="9"/>
      <c r="AQ860" s="9"/>
      <c r="AR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224"/>
      <c r="X861" s="224"/>
      <c r="Y861" s="224"/>
      <c r="Z861" s="868"/>
      <c r="AA861" s="865"/>
      <c r="AB861" s="2"/>
      <c r="AC861" s="2"/>
      <c r="AD861" s="2"/>
      <c r="AE861" s="2"/>
      <c r="AF861" s="2"/>
      <c r="AG861" s="2"/>
      <c r="AH861" s="2"/>
      <c r="AI861" s="2"/>
      <c r="AJ861" s="2"/>
      <c r="AK861" s="2"/>
      <c r="AL861" s="2"/>
      <c r="AM861" s="2"/>
      <c r="AN861" s="2"/>
      <c r="AO861" s="9"/>
      <c r="AP861" s="9"/>
      <c r="AQ861" s="9"/>
      <c r="AR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224"/>
      <c r="X862" s="224"/>
      <c r="Y862" s="224"/>
      <c r="Z862" s="868"/>
      <c r="AA862" s="865"/>
      <c r="AB862" s="2"/>
      <c r="AC862" s="2"/>
      <c r="AD862" s="2"/>
      <c r="AE862" s="2"/>
      <c r="AF862" s="2"/>
      <c r="AG862" s="2"/>
      <c r="AH862" s="2"/>
      <c r="AI862" s="2"/>
      <c r="AJ862" s="2"/>
      <c r="AK862" s="2"/>
      <c r="AL862" s="2"/>
      <c r="AM862" s="2"/>
      <c r="AN862" s="2"/>
      <c r="AO862" s="9"/>
      <c r="AP862" s="9"/>
      <c r="AQ862" s="9"/>
      <c r="AR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224"/>
      <c r="X863" s="224"/>
      <c r="Y863" s="224"/>
      <c r="Z863" s="868"/>
      <c r="AA863" s="865"/>
      <c r="AB863" s="2"/>
      <c r="AC863" s="2"/>
      <c r="AD863" s="2"/>
      <c r="AE863" s="2"/>
      <c r="AF863" s="2"/>
      <c r="AG863" s="2"/>
      <c r="AH863" s="2"/>
      <c r="AI863" s="2"/>
      <c r="AJ863" s="2"/>
      <c r="AK863" s="2"/>
      <c r="AL863" s="2"/>
      <c r="AM863" s="2"/>
      <c r="AN863" s="2"/>
      <c r="AO863" s="9"/>
      <c r="AP863" s="9"/>
      <c r="AQ863" s="9"/>
      <c r="AR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224"/>
      <c r="X864" s="224"/>
      <c r="Y864" s="224"/>
      <c r="Z864" s="868"/>
      <c r="AA864" s="865"/>
      <c r="AB864" s="2"/>
      <c r="AC864" s="2"/>
      <c r="AD864" s="2"/>
      <c r="AE864" s="2"/>
      <c r="AF864" s="2"/>
      <c r="AG864" s="2"/>
      <c r="AH864" s="2"/>
      <c r="AI864" s="2"/>
      <c r="AJ864" s="2"/>
      <c r="AK864" s="2"/>
      <c r="AL864" s="2"/>
      <c r="AM864" s="2"/>
      <c r="AN864" s="2"/>
      <c r="AO864" s="9"/>
      <c r="AP864" s="9"/>
      <c r="AQ864" s="9"/>
      <c r="AR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224"/>
      <c r="X865" s="224"/>
      <c r="Y865" s="224"/>
      <c r="Z865" s="868"/>
      <c r="AA865" s="865"/>
      <c r="AB865" s="2"/>
      <c r="AC865" s="2"/>
      <c r="AD865" s="2"/>
      <c r="AE865" s="2"/>
      <c r="AF865" s="2"/>
      <c r="AG865" s="2"/>
      <c r="AH865" s="2"/>
      <c r="AI865" s="2"/>
      <c r="AJ865" s="2"/>
      <c r="AK865" s="2"/>
      <c r="AL865" s="2"/>
      <c r="AM865" s="2"/>
      <c r="AN865" s="2"/>
      <c r="AO865" s="9"/>
      <c r="AP865" s="9"/>
      <c r="AQ865" s="9"/>
      <c r="AR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224"/>
      <c r="X866" s="224"/>
      <c r="Y866" s="224"/>
      <c r="Z866" s="868"/>
      <c r="AA866" s="865"/>
      <c r="AB866" s="2"/>
      <c r="AC866" s="2"/>
      <c r="AD866" s="2"/>
      <c r="AE866" s="2"/>
      <c r="AF866" s="2"/>
      <c r="AG866" s="2"/>
      <c r="AH866" s="2"/>
      <c r="AI866" s="2"/>
      <c r="AJ866" s="2"/>
      <c r="AK866" s="2"/>
      <c r="AL866" s="2"/>
      <c r="AM866" s="2"/>
      <c r="AN866" s="2"/>
      <c r="AO866" s="9"/>
      <c r="AP866" s="9"/>
      <c r="AQ866" s="9"/>
      <c r="AR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224"/>
      <c r="X867" s="224"/>
      <c r="Y867" s="224"/>
      <c r="Z867" s="868"/>
      <c r="AA867" s="865"/>
      <c r="AB867" s="2"/>
      <c r="AC867" s="2"/>
      <c r="AD867" s="2"/>
      <c r="AE867" s="2"/>
      <c r="AF867" s="2"/>
      <c r="AG867" s="2"/>
      <c r="AH867" s="2"/>
      <c r="AI867" s="2"/>
      <c r="AJ867" s="2"/>
      <c r="AK867" s="2"/>
      <c r="AL867" s="2"/>
      <c r="AM867" s="2"/>
      <c r="AN867" s="2"/>
      <c r="AO867" s="9"/>
      <c r="AP867" s="9"/>
      <c r="AQ867" s="9"/>
      <c r="AR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224"/>
      <c r="X868" s="224"/>
      <c r="Y868" s="224"/>
      <c r="Z868" s="868"/>
      <c r="AA868" s="865"/>
      <c r="AB868" s="2"/>
      <c r="AC868" s="2"/>
      <c r="AD868" s="2"/>
      <c r="AE868" s="2"/>
      <c r="AF868" s="2"/>
      <c r="AG868" s="2"/>
      <c r="AH868" s="2"/>
      <c r="AI868" s="2"/>
      <c r="AJ868" s="2"/>
      <c r="AK868" s="2"/>
      <c r="AL868" s="2"/>
      <c r="AM868" s="2"/>
      <c r="AN868" s="2"/>
      <c r="AO868" s="9"/>
      <c r="AP868" s="9"/>
      <c r="AQ868" s="9"/>
      <c r="AR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224"/>
      <c r="X869" s="224"/>
      <c r="Y869" s="224"/>
      <c r="Z869" s="868"/>
      <c r="AA869" s="865"/>
      <c r="AB869" s="2"/>
      <c r="AC869" s="2"/>
      <c r="AD869" s="2"/>
      <c r="AE869" s="2"/>
      <c r="AF869" s="2"/>
      <c r="AG869" s="2"/>
      <c r="AH869" s="2"/>
      <c r="AI869" s="2"/>
      <c r="AJ869" s="2"/>
      <c r="AK869" s="2"/>
      <c r="AL869" s="2"/>
      <c r="AM869" s="2"/>
      <c r="AN869" s="2"/>
      <c r="AO869" s="9"/>
      <c r="AP869" s="9"/>
      <c r="AQ869" s="9"/>
      <c r="AR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224"/>
      <c r="X870" s="224"/>
      <c r="Y870" s="224"/>
      <c r="Z870" s="868"/>
      <c r="AA870" s="865"/>
      <c r="AB870" s="2"/>
      <c r="AC870" s="2"/>
      <c r="AD870" s="2"/>
      <c r="AE870" s="2"/>
      <c r="AF870" s="2"/>
      <c r="AG870" s="2"/>
      <c r="AH870" s="2"/>
      <c r="AI870" s="2"/>
      <c r="AJ870" s="2"/>
      <c r="AK870" s="2"/>
      <c r="AL870" s="2"/>
      <c r="AM870" s="2"/>
      <c r="AN870" s="2"/>
      <c r="AO870" s="9"/>
      <c r="AP870" s="9"/>
      <c r="AQ870" s="9"/>
      <c r="AR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224"/>
      <c r="X871" s="224"/>
      <c r="Y871" s="224"/>
      <c r="Z871" s="868"/>
      <c r="AA871" s="865"/>
      <c r="AB871" s="2"/>
      <c r="AC871" s="2"/>
      <c r="AD871" s="2"/>
      <c r="AE871" s="2"/>
      <c r="AF871" s="2"/>
      <c r="AG871" s="2"/>
      <c r="AH871" s="2"/>
      <c r="AI871" s="2"/>
      <c r="AJ871" s="2"/>
      <c r="AK871" s="2"/>
      <c r="AL871" s="2"/>
      <c r="AM871" s="2"/>
      <c r="AN871" s="2"/>
      <c r="AO871" s="9"/>
      <c r="AP871" s="9"/>
      <c r="AQ871" s="9"/>
      <c r="AR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224"/>
      <c r="X872" s="224"/>
      <c r="Y872" s="224"/>
      <c r="Z872" s="868"/>
      <c r="AA872" s="865"/>
      <c r="AB872" s="2"/>
      <c r="AC872" s="2"/>
      <c r="AD872" s="2"/>
      <c r="AE872" s="2"/>
      <c r="AF872" s="2"/>
      <c r="AG872" s="2"/>
      <c r="AH872" s="2"/>
      <c r="AI872" s="2"/>
      <c r="AJ872" s="2"/>
      <c r="AK872" s="2"/>
      <c r="AL872" s="2"/>
      <c r="AM872" s="2"/>
      <c r="AN872" s="2"/>
      <c r="AO872" s="9"/>
      <c r="AP872" s="9"/>
      <c r="AQ872" s="9"/>
      <c r="AR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224"/>
      <c r="X873" s="224"/>
      <c r="Y873" s="224"/>
      <c r="Z873" s="868"/>
      <c r="AA873" s="865"/>
      <c r="AB873" s="2"/>
      <c r="AC873" s="2"/>
      <c r="AD873" s="2"/>
      <c r="AE873" s="2"/>
      <c r="AF873" s="2"/>
      <c r="AG873" s="2"/>
      <c r="AH873" s="2"/>
      <c r="AI873" s="2"/>
      <c r="AJ873" s="2"/>
      <c r="AK873" s="2"/>
      <c r="AL873" s="2"/>
      <c r="AM873" s="2"/>
      <c r="AN873" s="2"/>
      <c r="AO873" s="9"/>
      <c r="AP873" s="9"/>
      <c r="AQ873" s="9"/>
      <c r="AR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224"/>
      <c r="X874" s="224"/>
      <c r="Y874" s="224"/>
      <c r="Z874" s="868"/>
      <c r="AA874" s="865"/>
      <c r="AB874" s="2"/>
      <c r="AC874" s="2"/>
      <c r="AD874" s="2"/>
      <c r="AE874" s="2"/>
      <c r="AF874" s="2"/>
      <c r="AG874" s="2"/>
      <c r="AH874" s="2"/>
      <c r="AI874" s="2"/>
      <c r="AJ874" s="2"/>
      <c r="AK874" s="2"/>
      <c r="AL874" s="2"/>
      <c r="AM874" s="2"/>
      <c r="AN874" s="2"/>
      <c r="AO874" s="9"/>
      <c r="AP874" s="9"/>
      <c r="AQ874" s="9"/>
      <c r="AR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224"/>
      <c r="X875" s="224"/>
      <c r="Y875" s="224"/>
      <c r="Z875" s="868"/>
      <c r="AA875" s="865"/>
      <c r="AB875" s="2"/>
      <c r="AC875" s="2"/>
      <c r="AD875" s="2"/>
      <c r="AE875" s="2"/>
      <c r="AF875" s="2"/>
      <c r="AG875" s="2"/>
      <c r="AH875" s="2"/>
      <c r="AI875" s="2"/>
      <c r="AJ875" s="2"/>
      <c r="AK875" s="2"/>
      <c r="AL875" s="2"/>
      <c r="AM875" s="2"/>
      <c r="AN875" s="2"/>
      <c r="AO875" s="9"/>
      <c r="AP875" s="9"/>
      <c r="AQ875" s="9"/>
      <c r="AR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224"/>
      <c r="X876" s="224"/>
      <c r="Y876" s="224"/>
      <c r="Z876" s="868"/>
      <c r="AA876" s="865"/>
      <c r="AB876" s="2"/>
      <c r="AC876" s="2"/>
      <c r="AD876" s="2"/>
      <c r="AE876" s="2"/>
      <c r="AF876" s="2"/>
      <c r="AG876" s="2"/>
      <c r="AH876" s="2"/>
      <c r="AI876" s="2"/>
      <c r="AJ876" s="2"/>
      <c r="AK876" s="2"/>
      <c r="AL876" s="2"/>
      <c r="AM876" s="2"/>
      <c r="AN876" s="2"/>
      <c r="AO876" s="9"/>
      <c r="AP876" s="9"/>
      <c r="AQ876" s="9"/>
      <c r="AR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224"/>
      <c r="X877" s="224"/>
      <c r="Y877" s="224"/>
      <c r="Z877" s="868"/>
      <c r="AA877" s="865"/>
      <c r="AB877" s="2"/>
      <c r="AC877" s="2"/>
      <c r="AD877" s="2"/>
      <c r="AE877" s="2"/>
      <c r="AF877" s="2"/>
      <c r="AG877" s="2"/>
      <c r="AH877" s="2"/>
      <c r="AI877" s="2"/>
      <c r="AJ877" s="2"/>
      <c r="AK877" s="2"/>
      <c r="AL877" s="2"/>
      <c r="AM877" s="2"/>
      <c r="AN877" s="2"/>
      <c r="AO877" s="9"/>
      <c r="AP877" s="9"/>
      <c r="AQ877" s="9"/>
      <c r="AR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224"/>
      <c r="X878" s="224"/>
      <c r="Y878" s="224"/>
      <c r="Z878" s="868"/>
      <c r="AA878" s="865"/>
      <c r="AB878" s="2"/>
      <c r="AC878" s="2"/>
      <c r="AD878" s="2"/>
      <c r="AE878" s="2"/>
      <c r="AF878" s="2"/>
      <c r="AG878" s="2"/>
      <c r="AH878" s="2"/>
      <c r="AI878" s="2"/>
      <c r="AJ878" s="2"/>
      <c r="AK878" s="2"/>
      <c r="AL878" s="2"/>
      <c r="AM878" s="2"/>
      <c r="AN878" s="2"/>
      <c r="AO878" s="9"/>
      <c r="AP878" s="9"/>
      <c r="AQ878" s="9"/>
      <c r="AR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224"/>
      <c r="X879" s="224"/>
      <c r="Y879" s="224"/>
      <c r="Z879" s="868"/>
      <c r="AA879" s="865"/>
      <c r="AB879" s="2"/>
      <c r="AC879" s="2"/>
      <c r="AD879" s="2"/>
      <c r="AE879" s="2"/>
      <c r="AF879" s="2"/>
      <c r="AG879" s="2"/>
      <c r="AH879" s="2"/>
      <c r="AI879" s="2"/>
      <c r="AJ879" s="2"/>
      <c r="AK879" s="2"/>
      <c r="AL879" s="2"/>
      <c r="AM879" s="2"/>
      <c r="AN879" s="2"/>
      <c r="AO879" s="9"/>
      <c r="AP879" s="9"/>
      <c r="AQ879" s="9"/>
      <c r="AR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224"/>
      <c r="X880" s="224"/>
      <c r="Y880" s="224"/>
      <c r="Z880" s="868"/>
      <c r="AA880" s="865"/>
      <c r="AB880" s="2"/>
      <c r="AC880" s="2"/>
      <c r="AD880" s="2"/>
      <c r="AE880" s="2"/>
      <c r="AF880" s="2"/>
      <c r="AG880" s="2"/>
      <c r="AH880" s="2"/>
      <c r="AI880" s="2"/>
      <c r="AJ880" s="2"/>
      <c r="AK880" s="2"/>
      <c r="AL880" s="2"/>
      <c r="AM880" s="2"/>
      <c r="AN880" s="2"/>
      <c r="AO880" s="9"/>
      <c r="AP880" s="9"/>
      <c r="AQ880" s="9"/>
      <c r="AR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224"/>
      <c r="X881" s="224"/>
      <c r="Y881" s="224"/>
      <c r="Z881" s="868"/>
      <c r="AA881" s="865"/>
      <c r="AB881" s="2"/>
      <c r="AC881" s="2"/>
      <c r="AD881" s="2"/>
      <c r="AE881" s="2"/>
      <c r="AF881" s="2"/>
      <c r="AG881" s="2"/>
      <c r="AH881" s="2"/>
      <c r="AI881" s="2"/>
      <c r="AJ881" s="2"/>
      <c r="AK881" s="2"/>
      <c r="AL881" s="2"/>
      <c r="AM881" s="2"/>
      <c r="AN881" s="2"/>
      <c r="AO881" s="9"/>
      <c r="AP881" s="9"/>
      <c r="AQ881" s="9"/>
      <c r="AR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224"/>
      <c r="X882" s="224"/>
      <c r="Y882" s="224"/>
      <c r="Z882" s="868"/>
      <c r="AA882" s="865"/>
      <c r="AB882" s="2"/>
      <c r="AC882" s="2"/>
      <c r="AD882" s="2"/>
      <c r="AE882" s="2"/>
      <c r="AF882" s="2"/>
      <c r="AG882" s="2"/>
      <c r="AH882" s="2"/>
      <c r="AI882" s="2"/>
      <c r="AJ882" s="2"/>
      <c r="AK882" s="2"/>
      <c r="AL882" s="2"/>
      <c r="AM882" s="2"/>
      <c r="AN882" s="2"/>
      <c r="AO882" s="9"/>
      <c r="AP882" s="9"/>
      <c r="AQ882" s="9"/>
      <c r="AR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224"/>
      <c r="X883" s="224"/>
      <c r="Y883" s="224"/>
      <c r="Z883" s="868"/>
      <c r="AA883" s="865"/>
      <c r="AB883" s="2"/>
      <c r="AC883" s="2"/>
      <c r="AD883" s="2"/>
      <c r="AE883" s="2"/>
      <c r="AF883" s="2"/>
      <c r="AG883" s="2"/>
      <c r="AH883" s="2"/>
      <c r="AI883" s="2"/>
      <c r="AJ883" s="2"/>
      <c r="AK883" s="2"/>
      <c r="AL883" s="2"/>
      <c r="AM883" s="2"/>
      <c r="AN883" s="2"/>
      <c r="AO883" s="9"/>
      <c r="AP883" s="9"/>
      <c r="AQ883" s="9"/>
      <c r="AR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224"/>
      <c r="X884" s="224"/>
      <c r="Y884" s="224"/>
      <c r="Z884" s="868"/>
      <c r="AA884" s="865"/>
      <c r="AB884" s="2"/>
      <c r="AC884" s="2"/>
      <c r="AD884" s="2"/>
      <c r="AE884" s="2"/>
      <c r="AF884" s="2"/>
      <c r="AG884" s="2"/>
      <c r="AH884" s="2"/>
      <c r="AI884" s="2"/>
      <c r="AJ884" s="2"/>
      <c r="AK884" s="2"/>
      <c r="AL884" s="2"/>
      <c r="AM884" s="2"/>
      <c r="AN884" s="2"/>
      <c r="AO884" s="9"/>
      <c r="AP884" s="9"/>
      <c r="AQ884" s="9"/>
      <c r="AR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224"/>
      <c r="X885" s="224"/>
      <c r="Y885" s="224"/>
      <c r="Z885" s="868"/>
      <c r="AA885" s="865"/>
      <c r="AB885" s="2"/>
      <c r="AC885" s="2"/>
      <c r="AD885" s="2"/>
      <c r="AE885" s="2"/>
      <c r="AF885" s="2"/>
      <c r="AG885" s="2"/>
      <c r="AH885" s="2"/>
      <c r="AI885" s="2"/>
      <c r="AJ885" s="2"/>
      <c r="AK885" s="2"/>
      <c r="AL885" s="2"/>
      <c r="AM885" s="2"/>
      <c r="AN885" s="2"/>
      <c r="AO885" s="9"/>
      <c r="AP885" s="9"/>
      <c r="AQ885" s="9"/>
      <c r="AR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224"/>
      <c r="X886" s="224"/>
      <c r="Y886" s="224"/>
      <c r="Z886" s="868"/>
      <c r="AA886" s="865"/>
      <c r="AB886" s="2"/>
      <c r="AC886" s="2"/>
      <c r="AD886" s="2"/>
      <c r="AE886" s="2"/>
      <c r="AF886" s="2"/>
      <c r="AG886" s="2"/>
      <c r="AH886" s="2"/>
      <c r="AI886" s="2"/>
      <c r="AJ886" s="2"/>
      <c r="AK886" s="2"/>
      <c r="AL886" s="2"/>
      <c r="AM886" s="2"/>
      <c r="AN886" s="2"/>
      <c r="AO886" s="9"/>
      <c r="AP886" s="9"/>
      <c r="AQ886" s="9"/>
      <c r="AR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224"/>
      <c r="X887" s="224"/>
      <c r="Y887" s="224"/>
      <c r="Z887" s="868"/>
      <c r="AA887" s="865"/>
      <c r="AB887" s="2"/>
      <c r="AC887" s="2"/>
      <c r="AD887" s="2"/>
      <c r="AE887" s="2"/>
      <c r="AF887" s="2"/>
      <c r="AG887" s="2"/>
      <c r="AH887" s="2"/>
      <c r="AI887" s="2"/>
      <c r="AJ887" s="2"/>
      <c r="AK887" s="2"/>
      <c r="AL887" s="2"/>
      <c r="AM887" s="2"/>
      <c r="AN887" s="2"/>
      <c r="AO887" s="9"/>
      <c r="AP887" s="9"/>
      <c r="AQ887" s="9"/>
      <c r="AR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224"/>
      <c r="X888" s="224"/>
      <c r="Y888" s="224"/>
      <c r="Z888" s="868"/>
      <c r="AA888" s="865"/>
      <c r="AB888" s="2"/>
      <c r="AC888" s="2"/>
      <c r="AD888" s="2"/>
      <c r="AE888" s="2"/>
      <c r="AF888" s="2"/>
      <c r="AG888" s="2"/>
      <c r="AH888" s="2"/>
      <c r="AI888" s="2"/>
      <c r="AJ888" s="2"/>
      <c r="AK888" s="2"/>
      <c r="AL888" s="2"/>
      <c r="AM888" s="2"/>
      <c r="AN888" s="2"/>
      <c r="AO888" s="9"/>
      <c r="AP888" s="9"/>
      <c r="AQ888" s="9"/>
      <c r="AR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224"/>
      <c r="X889" s="224"/>
      <c r="Y889" s="224"/>
      <c r="Z889" s="868"/>
      <c r="AA889" s="865"/>
      <c r="AB889" s="2"/>
      <c r="AC889" s="2"/>
      <c r="AD889" s="2"/>
      <c r="AE889" s="2"/>
      <c r="AF889" s="2"/>
      <c r="AG889" s="2"/>
      <c r="AH889" s="2"/>
      <c r="AI889" s="2"/>
      <c r="AJ889" s="2"/>
      <c r="AK889" s="2"/>
      <c r="AL889" s="2"/>
      <c r="AM889" s="2"/>
      <c r="AN889" s="2"/>
      <c r="AO889" s="9"/>
      <c r="AP889" s="9"/>
      <c r="AQ889" s="9"/>
      <c r="AR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224"/>
      <c r="X890" s="224"/>
      <c r="Y890" s="224"/>
      <c r="Z890" s="868"/>
      <c r="AA890" s="865"/>
      <c r="AB890" s="2"/>
      <c r="AC890" s="2"/>
      <c r="AD890" s="2"/>
      <c r="AE890" s="2"/>
      <c r="AF890" s="2"/>
      <c r="AG890" s="2"/>
      <c r="AH890" s="2"/>
      <c r="AI890" s="2"/>
      <c r="AJ890" s="2"/>
      <c r="AK890" s="2"/>
      <c r="AL890" s="2"/>
      <c r="AM890" s="2"/>
      <c r="AN890" s="2"/>
      <c r="AO890" s="9"/>
      <c r="AP890" s="9"/>
      <c r="AQ890" s="9"/>
      <c r="AR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224"/>
      <c r="X891" s="224"/>
      <c r="Y891" s="224"/>
      <c r="Z891" s="868"/>
      <c r="AA891" s="865"/>
      <c r="AB891" s="2"/>
      <c r="AC891" s="2"/>
      <c r="AD891" s="2"/>
      <c r="AE891" s="2"/>
      <c r="AF891" s="2"/>
      <c r="AG891" s="2"/>
      <c r="AH891" s="2"/>
      <c r="AI891" s="2"/>
      <c r="AJ891" s="2"/>
      <c r="AK891" s="2"/>
      <c r="AL891" s="2"/>
      <c r="AM891" s="2"/>
      <c r="AN891" s="2"/>
      <c r="AO891" s="9"/>
      <c r="AP891" s="9"/>
      <c r="AQ891" s="9"/>
      <c r="AR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224"/>
      <c r="X892" s="224"/>
      <c r="Y892" s="224"/>
      <c r="Z892" s="868"/>
      <c r="AA892" s="865"/>
      <c r="AB892" s="2"/>
      <c r="AC892" s="2"/>
      <c r="AD892" s="2"/>
      <c r="AE892" s="2"/>
      <c r="AF892" s="2"/>
      <c r="AG892" s="2"/>
      <c r="AH892" s="2"/>
      <c r="AI892" s="2"/>
      <c r="AJ892" s="2"/>
      <c r="AK892" s="2"/>
      <c r="AL892" s="2"/>
      <c r="AM892" s="2"/>
      <c r="AN892" s="2"/>
      <c r="AO892" s="9"/>
      <c r="AP892" s="9"/>
      <c r="AQ892" s="9"/>
      <c r="AR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224"/>
      <c r="X893" s="224"/>
      <c r="Y893" s="224"/>
      <c r="Z893" s="868"/>
      <c r="AA893" s="865"/>
      <c r="AB893" s="2"/>
      <c r="AC893" s="2"/>
      <c r="AD893" s="2"/>
      <c r="AE893" s="2"/>
      <c r="AF893" s="2"/>
      <c r="AG893" s="2"/>
      <c r="AH893" s="2"/>
      <c r="AI893" s="2"/>
      <c r="AJ893" s="2"/>
      <c r="AK893" s="2"/>
      <c r="AL893" s="2"/>
      <c r="AM893" s="2"/>
      <c r="AN893" s="2"/>
      <c r="AO893" s="9"/>
      <c r="AP893" s="9"/>
      <c r="AQ893" s="9"/>
      <c r="AR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224"/>
      <c r="X894" s="224"/>
      <c r="Y894" s="224"/>
      <c r="Z894" s="868"/>
      <c r="AA894" s="865"/>
      <c r="AB894" s="2"/>
      <c r="AC894" s="2"/>
      <c r="AD894" s="2"/>
      <c r="AE894" s="2"/>
      <c r="AF894" s="2"/>
      <c r="AG894" s="2"/>
      <c r="AH894" s="2"/>
      <c r="AI894" s="2"/>
      <c r="AJ894" s="2"/>
      <c r="AK894" s="2"/>
      <c r="AL894" s="2"/>
      <c r="AM894" s="2"/>
      <c r="AN894" s="2"/>
      <c r="AO894" s="9"/>
      <c r="AP894" s="9"/>
      <c r="AQ894" s="9"/>
      <c r="AR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224"/>
      <c r="X895" s="224"/>
      <c r="Y895" s="224"/>
      <c r="Z895" s="868"/>
      <c r="AA895" s="865"/>
      <c r="AB895" s="2"/>
      <c r="AC895" s="2"/>
      <c r="AD895" s="2"/>
      <c r="AE895" s="2"/>
      <c r="AF895" s="2"/>
      <c r="AG895" s="2"/>
      <c r="AH895" s="2"/>
      <c r="AI895" s="2"/>
      <c r="AJ895" s="2"/>
      <c r="AK895" s="2"/>
      <c r="AL895" s="2"/>
      <c r="AM895" s="2"/>
      <c r="AN895" s="2"/>
      <c r="AO895" s="9"/>
      <c r="AP895" s="9"/>
      <c r="AQ895" s="9"/>
      <c r="AR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224"/>
      <c r="X896" s="224"/>
      <c r="Y896" s="224"/>
      <c r="Z896" s="868"/>
      <c r="AA896" s="865"/>
      <c r="AB896" s="2"/>
      <c r="AC896" s="2"/>
      <c r="AD896" s="2"/>
      <c r="AE896" s="2"/>
      <c r="AF896" s="2"/>
      <c r="AG896" s="2"/>
      <c r="AH896" s="2"/>
      <c r="AI896" s="2"/>
      <c r="AJ896" s="2"/>
      <c r="AK896" s="2"/>
      <c r="AL896" s="2"/>
      <c r="AM896" s="2"/>
      <c r="AN896" s="2"/>
      <c r="AO896" s="9"/>
      <c r="AP896" s="9"/>
      <c r="AQ896" s="9"/>
      <c r="AR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224"/>
      <c r="X897" s="224"/>
      <c r="Y897" s="224"/>
      <c r="Z897" s="868"/>
      <c r="AA897" s="865"/>
      <c r="AB897" s="2"/>
      <c r="AC897" s="2"/>
      <c r="AD897" s="2"/>
      <c r="AE897" s="2"/>
      <c r="AF897" s="2"/>
      <c r="AG897" s="2"/>
      <c r="AH897" s="2"/>
      <c r="AI897" s="2"/>
      <c r="AJ897" s="2"/>
      <c r="AK897" s="2"/>
      <c r="AL897" s="2"/>
      <c r="AM897" s="2"/>
      <c r="AN897" s="2"/>
      <c r="AO897" s="9"/>
      <c r="AP897" s="9"/>
      <c r="AQ897" s="9"/>
      <c r="AR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224"/>
      <c r="X898" s="224"/>
      <c r="Y898" s="224"/>
      <c r="Z898" s="868"/>
      <c r="AA898" s="865"/>
      <c r="AB898" s="2"/>
      <c r="AC898" s="2"/>
      <c r="AD898" s="2"/>
      <c r="AE898" s="2"/>
      <c r="AF898" s="2"/>
      <c r="AG898" s="2"/>
      <c r="AH898" s="2"/>
      <c r="AI898" s="2"/>
      <c r="AJ898" s="2"/>
      <c r="AK898" s="2"/>
      <c r="AL898" s="2"/>
      <c r="AM898" s="2"/>
      <c r="AN898" s="2"/>
      <c r="AO898" s="9"/>
      <c r="AP898" s="9"/>
      <c r="AQ898" s="9"/>
      <c r="AR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224"/>
      <c r="X899" s="224"/>
      <c r="Y899" s="224"/>
      <c r="Z899" s="868"/>
      <c r="AA899" s="865"/>
      <c r="AB899" s="2"/>
      <c r="AC899" s="2"/>
      <c r="AD899" s="2"/>
      <c r="AE899" s="2"/>
      <c r="AF899" s="2"/>
      <c r="AG899" s="2"/>
      <c r="AH899" s="2"/>
      <c r="AI899" s="2"/>
      <c r="AJ899" s="2"/>
      <c r="AK899" s="2"/>
      <c r="AL899" s="2"/>
      <c r="AM899" s="2"/>
      <c r="AN899" s="2"/>
      <c r="AO899" s="9"/>
      <c r="AP899" s="9"/>
      <c r="AQ899" s="9"/>
      <c r="AR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224"/>
      <c r="X900" s="224"/>
      <c r="Y900" s="224"/>
      <c r="Z900" s="868"/>
      <c r="AA900" s="865"/>
      <c r="AB900" s="2"/>
      <c r="AC900" s="2"/>
      <c r="AD900" s="2"/>
      <c r="AE900" s="2"/>
      <c r="AF900" s="2"/>
      <c r="AG900" s="2"/>
      <c r="AH900" s="2"/>
      <c r="AI900" s="2"/>
      <c r="AJ900" s="2"/>
      <c r="AK900" s="2"/>
      <c r="AL900" s="2"/>
      <c r="AM900" s="2"/>
      <c r="AN900" s="2"/>
      <c r="AO900" s="9"/>
      <c r="AP900" s="9"/>
      <c r="AQ900" s="9"/>
      <c r="AR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224"/>
      <c r="X901" s="224"/>
      <c r="Y901" s="224"/>
      <c r="Z901" s="868"/>
      <c r="AA901" s="865"/>
      <c r="AB901" s="2"/>
      <c r="AC901" s="2"/>
      <c r="AD901" s="2"/>
      <c r="AE901" s="2"/>
      <c r="AF901" s="2"/>
      <c r="AG901" s="2"/>
      <c r="AH901" s="2"/>
      <c r="AI901" s="2"/>
      <c r="AJ901" s="2"/>
      <c r="AK901" s="2"/>
      <c r="AL901" s="2"/>
      <c r="AM901" s="2"/>
      <c r="AN901" s="2"/>
      <c r="AO901" s="9"/>
      <c r="AP901" s="9"/>
      <c r="AQ901" s="9"/>
      <c r="AR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224"/>
      <c r="X902" s="224"/>
      <c r="Y902" s="224"/>
      <c r="Z902" s="868"/>
      <c r="AA902" s="865"/>
      <c r="AB902" s="2"/>
      <c r="AC902" s="2"/>
      <c r="AD902" s="2"/>
      <c r="AE902" s="2"/>
      <c r="AF902" s="2"/>
      <c r="AG902" s="2"/>
      <c r="AH902" s="2"/>
      <c r="AI902" s="2"/>
      <c r="AJ902" s="2"/>
      <c r="AK902" s="2"/>
      <c r="AL902" s="2"/>
      <c r="AM902" s="2"/>
      <c r="AN902" s="2"/>
      <c r="AO902" s="9"/>
      <c r="AP902" s="9"/>
      <c r="AQ902" s="9"/>
      <c r="AR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224"/>
      <c r="X903" s="224"/>
      <c r="Y903" s="224"/>
      <c r="Z903" s="868"/>
      <c r="AA903" s="865"/>
      <c r="AB903" s="2"/>
      <c r="AC903" s="2"/>
      <c r="AD903" s="2"/>
      <c r="AE903" s="2"/>
      <c r="AF903" s="2"/>
      <c r="AG903" s="2"/>
      <c r="AH903" s="2"/>
      <c r="AI903" s="2"/>
      <c r="AJ903" s="2"/>
      <c r="AK903" s="2"/>
      <c r="AL903" s="2"/>
      <c r="AM903" s="2"/>
      <c r="AN903" s="2"/>
      <c r="AO903" s="9"/>
      <c r="AP903" s="9"/>
      <c r="AQ903" s="9"/>
      <c r="AR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224"/>
      <c r="X904" s="224"/>
      <c r="Y904" s="224"/>
      <c r="Z904" s="868"/>
      <c r="AA904" s="865"/>
      <c r="AB904" s="2"/>
      <c r="AC904" s="2"/>
      <c r="AD904" s="2"/>
      <c r="AE904" s="2"/>
      <c r="AF904" s="2"/>
      <c r="AG904" s="2"/>
      <c r="AH904" s="2"/>
      <c r="AI904" s="2"/>
      <c r="AJ904" s="2"/>
      <c r="AK904" s="2"/>
      <c r="AL904" s="2"/>
      <c r="AM904" s="2"/>
      <c r="AN904" s="2"/>
      <c r="AO904" s="9"/>
      <c r="AP904" s="9"/>
      <c r="AQ904" s="9"/>
      <c r="AR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224"/>
      <c r="X905" s="224"/>
      <c r="Y905" s="224"/>
      <c r="Z905" s="868"/>
      <c r="AA905" s="865"/>
      <c r="AB905" s="2"/>
      <c r="AC905" s="2"/>
      <c r="AD905" s="2"/>
      <c r="AE905" s="2"/>
      <c r="AF905" s="2"/>
      <c r="AG905" s="2"/>
      <c r="AH905" s="2"/>
      <c r="AI905" s="2"/>
      <c r="AJ905" s="2"/>
      <c r="AK905" s="2"/>
      <c r="AL905" s="2"/>
      <c r="AM905" s="2"/>
      <c r="AN905" s="2"/>
      <c r="AO905" s="9"/>
      <c r="AP905" s="9"/>
      <c r="AQ905" s="9"/>
      <c r="AR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224"/>
      <c r="X906" s="224"/>
      <c r="Y906" s="224"/>
      <c r="Z906" s="868"/>
      <c r="AA906" s="865"/>
      <c r="AB906" s="2"/>
      <c r="AC906" s="2"/>
      <c r="AD906" s="2"/>
      <c r="AE906" s="2"/>
      <c r="AF906" s="2"/>
      <c r="AG906" s="2"/>
      <c r="AH906" s="2"/>
      <c r="AI906" s="2"/>
      <c r="AJ906" s="2"/>
      <c r="AK906" s="2"/>
      <c r="AL906" s="2"/>
      <c r="AM906" s="2"/>
      <c r="AN906" s="2"/>
      <c r="AO906" s="9"/>
      <c r="AP906" s="9"/>
      <c r="AQ906" s="9"/>
      <c r="AR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224"/>
      <c r="X907" s="224"/>
      <c r="Y907" s="224"/>
      <c r="Z907" s="868"/>
      <c r="AA907" s="865"/>
      <c r="AB907" s="2"/>
      <c r="AC907" s="2"/>
      <c r="AD907" s="2"/>
      <c r="AE907" s="2"/>
      <c r="AF907" s="2"/>
      <c r="AG907" s="2"/>
      <c r="AH907" s="2"/>
      <c r="AI907" s="2"/>
      <c r="AJ907" s="2"/>
      <c r="AK907" s="2"/>
      <c r="AL907" s="2"/>
      <c r="AM907" s="2"/>
      <c r="AN907" s="2"/>
      <c r="AO907" s="9"/>
      <c r="AP907" s="9"/>
      <c r="AQ907" s="9"/>
      <c r="AR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224"/>
      <c r="X908" s="224"/>
      <c r="Y908" s="224"/>
      <c r="Z908" s="868"/>
      <c r="AA908" s="865"/>
      <c r="AB908" s="2"/>
      <c r="AC908" s="2"/>
      <c r="AD908" s="2"/>
      <c r="AE908" s="2"/>
      <c r="AF908" s="2"/>
      <c r="AG908" s="2"/>
      <c r="AH908" s="2"/>
      <c r="AI908" s="2"/>
      <c r="AJ908" s="2"/>
      <c r="AK908" s="2"/>
      <c r="AL908" s="2"/>
      <c r="AM908" s="2"/>
      <c r="AN908" s="2"/>
      <c r="AO908" s="9"/>
      <c r="AP908" s="9"/>
      <c r="AQ908" s="9"/>
      <c r="AR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224"/>
      <c r="X909" s="224"/>
      <c r="Y909" s="224"/>
      <c r="Z909" s="868"/>
      <c r="AA909" s="865"/>
      <c r="AB909" s="2"/>
      <c r="AC909" s="2"/>
      <c r="AD909" s="2"/>
      <c r="AE909" s="2"/>
      <c r="AF909" s="2"/>
      <c r="AG909" s="2"/>
      <c r="AH909" s="2"/>
      <c r="AI909" s="2"/>
      <c r="AJ909" s="2"/>
      <c r="AK909" s="2"/>
      <c r="AL909" s="2"/>
      <c r="AM909" s="2"/>
      <c r="AN909" s="2"/>
      <c r="AO909" s="9"/>
      <c r="AP909" s="9"/>
      <c r="AQ909" s="9"/>
      <c r="AR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224"/>
      <c r="X910" s="224"/>
      <c r="Y910" s="224"/>
      <c r="Z910" s="868"/>
      <c r="AA910" s="865"/>
      <c r="AB910" s="2"/>
      <c r="AC910" s="2"/>
      <c r="AD910" s="2"/>
      <c r="AE910" s="2"/>
      <c r="AF910" s="2"/>
      <c r="AG910" s="2"/>
      <c r="AH910" s="2"/>
      <c r="AI910" s="2"/>
      <c r="AJ910" s="2"/>
      <c r="AK910" s="2"/>
      <c r="AL910" s="2"/>
      <c r="AM910" s="2"/>
      <c r="AN910" s="2"/>
      <c r="AO910" s="9"/>
      <c r="AP910" s="9"/>
      <c r="AQ910" s="9"/>
      <c r="AR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224"/>
      <c r="X911" s="224"/>
      <c r="Y911" s="224"/>
      <c r="Z911" s="868"/>
      <c r="AA911" s="865"/>
      <c r="AB911" s="2"/>
      <c r="AC911" s="2"/>
      <c r="AD911" s="2"/>
      <c r="AE911" s="2"/>
      <c r="AF911" s="2"/>
      <c r="AG911" s="2"/>
      <c r="AH911" s="2"/>
      <c r="AI911" s="2"/>
      <c r="AJ911" s="2"/>
      <c r="AK911" s="2"/>
      <c r="AL911" s="2"/>
      <c r="AM911" s="2"/>
      <c r="AN911" s="2"/>
      <c r="AO911" s="9"/>
      <c r="AP911" s="9"/>
      <c r="AQ911" s="9"/>
      <c r="AR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224"/>
      <c r="X912" s="224"/>
      <c r="Y912" s="224"/>
      <c r="Z912" s="868"/>
      <c r="AA912" s="865"/>
      <c r="AB912" s="2"/>
      <c r="AC912" s="2"/>
      <c r="AD912" s="2"/>
      <c r="AE912" s="2"/>
      <c r="AF912" s="2"/>
      <c r="AG912" s="2"/>
      <c r="AH912" s="2"/>
      <c r="AI912" s="2"/>
      <c r="AJ912" s="2"/>
      <c r="AK912" s="2"/>
      <c r="AL912" s="2"/>
      <c r="AM912" s="2"/>
      <c r="AN912" s="2"/>
      <c r="AO912" s="9"/>
      <c r="AP912" s="9"/>
      <c r="AQ912" s="9"/>
      <c r="AR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224"/>
      <c r="X913" s="224"/>
      <c r="Y913" s="224"/>
      <c r="Z913" s="868"/>
      <c r="AA913" s="865"/>
      <c r="AB913" s="2"/>
      <c r="AC913" s="2"/>
      <c r="AD913" s="2"/>
      <c r="AE913" s="2"/>
      <c r="AF913" s="2"/>
      <c r="AG913" s="2"/>
      <c r="AH913" s="2"/>
      <c r="AI913" s="2"/>
      <c r="AJ913" s="2"/>
      <c r="AK913" s="2"/>
      <c r="AL913" s="2"/>
      <c r="AM913" s="2"/>
      <c r="AN913" s="2"/>
      <c r="AO913" s="9"/>
      <c r="AP913" s="9"/>
      <c r="AQ913" s="9"/>
      <c r="AR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224"/>
      <c r="X914" s="224"/>
      <c r="Y914" s="224"/>
      <c r="Z914" s="868"/>
      <c r="AA914" s="865"/>
      <c r="AB914" s="2"/>
      <c r="AC914" s="2"/>
      <c r="AD914" s="2"/>
      <c r="AE914" s="2"/>
      <c r="AF914" s="2"/>
      <c r="AG914" s="2"/>
      <c r="AH914" s="2"/>
      <c r="AI914" s="2"/>
      <c r="AJ914" s="2"/>
      <c r="AK914" s="2"/>
      <c r="AL914" s="2"/>
      <c r="AM914" s="2"/>
      <c r="AN914" s="2"/>
      <c r="AO914" s="9"/>
      <c r="AP914" s="9"/>
      <c r="AQ914" s="9"/>
      <c r="AR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224"/>
      <c r="X915" s="224"/>
      <c r="Y915" s="224"/>
      <c r="Z915" s="868"/>
      <c r="AA915" s="865"/>
      <c r="AB915" s="2"/>
      <c r="AC915" s="2"/>
      <c r="AD915" s="2"/>
      <c r="AE915" s="2"/>
      <c r="AF915" s="2"/>
      <c r="AG915" s="2"/>
      <c r="AH915" s="2"/>
      <c r="AI915" s="2"/>
      <c r="AJ915" s="2"/>
      <c r="AK915" s="2"/>
      <c r="AL915" s="2"/>
      <c r="AM915" s="2"/>
      <c r="AN915" s="2"/>
      <c r="AO915" s="9"/>
      <c r="AP915" s="9"/>
      <c r="AQ915" s="9"/>
      <c r="AR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224"/>
      <c r="X916" s="224"/>
      <c r="Y916" s="224"/>
      <c r="Z916" s="868"/>
      <c r="AA916" s="865"/>
      <c r="AB916" s="2"/>
      <c r="AC916" s="2"/>
      <c r="AD916" s="2"/>
      <c r="AE916" s="2"/>
      <c r="AF916" s="2"/>
      <c r="AG916" s="2"/>
      <c r="AH916" s="2"/>
      <c r="AI916" s="2"/>
      <c r="AJ916" s="2"/>
      <c r="AK916" s="2"/>
      <c r="AL916" s="2"/>
      <c r="AM916" s="2"/>
      <c r="AN916" s="2"/>
      <c r="AO916" s="9"/>
      <c r="AP916" s="9"/>
      <c r="AQ916" s="9"/>
      <c r="AR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224"/>
      <c r="X917" s="224"/>
      <c r="Y917" s="224"/>
      <c r="Z917" s="868"/>
      <c r="AA917" s="865"/>
      <c r="AB917" s="2"/>
      <c r="AC917" s="2"/>
      <c r="AD917" s="2"/>
      <c r="AE917" s="2"/>
      <c r="AF917" s="2"/>
      <c r="AG917" s="2"/>
      <c r="AH917" s="2"/>
      <c r="AI917" s="2"/>
      <c r="AJ917" s="2"/>
      <c r="AK917" s="2"/>
      <c r="AL917" s="2"/>
      <c r="AM917" s="2"/>
      <c r="AN917" s="2"/>
      <c r="AO917" s="9"/>
      <c r="AP917" s="9"/>
      <c r="AQ917" s="9"/>
      <c r="AR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224"/>
      <c r="X918" s="224"/>
      <c r="Y918" s="224"/>
      <c r="Z918" s="868"/>
      <c r="AA918" s="865"/>
      <c r="AB918" s="2"/>
      <c r="AC918" s="2"/>
      <c r="AD918" s="2"/>
      <c r="AE918" s="2"/>
      <c r="AF918" s="2"/>
      <c r="AG918" s="2"/>
      <c r="AH918" s="2"/>
      <c r="AI918" s="2"/>
      <c r="AJ918" s="2"/>
      <c r="AK918" s="2"/>
      <c r="AL918" s="2"/>
      <c r="AM918" s="2"/>
      <c r="AN918" s="2"/>
      <c r="AO918" s="9"/>
      <c r="AP918" s="9"/>
      <c r="AQ918" s="9"/>
      <c r="AR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224"/>
      <c r="X919" s="224"/>
      <c r="Y919" s="224"/>
      <c r="Z919" s="868"/>
      <c r="AA919" s="865"/>
      <c r="AB919" s="2"/>
      <c r="AC919" s="2"/>
      <c r="AD919" s="2"/>
      <c r="AE919" s="2"/>
      <c r="AF919" s="2"/>
      <c r="AG919" s="2"/>
      <c r="AH919" s="2"/>
      <c r="AI919" s="2"/>
      <c r="AJ919" s="2"/>
      <c r="AK919" s="2"/>
      <c r="AL919" s="2"/>
      <c r="AM919" s="2"/>
      <c r="AN919" s="2"/>
      <c r="AO919" s="9"/>
      <c r="AP919" s="9"/>
      <c r="AQ919" s="9"/>
      <c r="AR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224"/>
      <c r="X920" s="224"/>
      <c r="Y920" s="224"/>
      <c r="Z920" s="868"/>
      <c r="AA920" s="865"/>
      <c r="AB920" s="2"/>
      <c r="AC920" s="2"/>
      <c r="AD920" s="2"/>
      <c r="AE920" s="2"/>
      <c r="AF920" s="2"/>
      <c r="AG920" s="2"/>
      <c r="AH920" s="2"/>
      <c r="AI920" s="2"/>
      <c r="AJ920" s="2"/>
      <c r="AK920" s="2"/>
      <c r="AL920" s="2"/>
      <c r="AM920" s="2"/>
      <c r="AN920" s="2"/>
      <c r="AO920" s="9"/>
      <c r="AP920" s="9"/>
      <c r="AQ920" s="9"/>
      <c r="AR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224"/>
      <c r="X921" s="224"/>
      <c r="Y921" s="224"/>
      <c r="Z921" s="868"/>
      <c r="AA921" s="865"/>
      <c r="AB921" s="2"/>
      <c r="AC921" s="2"/>
      <c r="AD921" s="2"/>
      <c r="AE921" s="2"/>
      <c r="AF921" s="2"/>
      <c r="AG921" s="2"/>
      <c r="AH921" s="2"/>
      <c r="AI921" s="2"/>
      <c r="AJ921" s="2"/>
      <c r="AK921" s="2"/>
      <c r="AL921" s="2"/>
      <c r="AM921" s="2"/>
      <c r="AN921" s="2"/>
      <c r="AO921" s="9"/>
      <c r="AP921" s="9"/>
      <c r="AQ921" s="9"/>
      <c r="AR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224"/>
      <c r="X922" s="224"/>
      <c r="Y922" s="224"/>
      <c r="Z922" s="868"/>
      <c r="AA922" s="865"/>
      <c r="AB922" s="2"/>
      <c r="AC922" s="2"/>
      <c r="AD922" s="2"/>
      <c r="AE922" s="2"/>
      <c r="AF922" s="2"/>
      <c r="AG922" s="2"/>
      <c r="AH922" s="2"/>
      <c r="AI922" s="2"/>
      <c r="AJ922" s="2"/>
      <c r="AK922" s="2"/>
      <c r="AL922" s="2"/>
      <c r="AM922" s="2"/>
      <c r="AN922" s="2"/>
      <c r="AO922" s="9"/>
      <c r="AP922" s="9"/>
      <c r="AQ922" s="9"/>
      <c r="AR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224"/>
      <c r="X923" s="224"/>
      <c r="Y923" s="224"/>
      <c r="Z923" s="868"/>
      <c r="AA923" s="865"/>
      <c r="AB923" s="2"/>
      <c r="AC923" s="2"/>
      <c r="AD923" s="2"/>
      <c r="AE923" s="2"/>
      <c r="AF923" s="2"/>
      <c r="AG923" s="2"/>
      <c r="AH923" s="2"/>
      <c r="AI923" s="2"/>
      <c r="AJ923" s="2"/>
      <c r="AK923" s="2"/>
      <c r="AL923" s="2"/>
      <c r="AM923" s="2"/>
      <c r="AN923" s="2"/>
      <c r="AO923" s="9"/>
      <c r="AP923" s="9"/>
      <c r="AQ923" s="9"/>
      <c r="AR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224"/>
      <c r="X924" s="224"/>
      <c r="Y924" s="224"/>
      <c r="Z924" s="868"/>
      <c r="AA924" s="865"/>
      <c r="AB924" s="2"/>
      <c r="AC924" s="2"/>
      <c r="AD924" s="2"/>
      <c r="AE924" s="2"/>
      <c r="AF924" s="2"/>
      <c r="AG924" s="2"/>
      <c r="AH924" s="2"/>
      <c r="AI924" s="2"/>
      <c r="AJ924" s="2"/>
      <c r="AK924" s="2"/>
      <c r="AL924" s="2"/>
      <c r="AM924" s="2"/>
      <c r="AN924" s="2"/>
      <c r="AO924" s="9"/>
      <c r="AP924" s="9"/>
      <c r="AQ924" s="9"/>
      <c r="AR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224"/>
      <c r="X925" s="224"/>
      <c r="Y925" s="224"/>
      <c r="Z925" s="868"/>
      <c r="AA925" s="865"/>
      <c r="AB925" s="2"/>
      <c r="AC925" s="2"/>
      <c r="AD925" s="2"/>
      <c r="AE925" s="2"/>
      <c r="AF925" s="2"/>
      <c r="AG925" s="2"/>
      <c r="AH925" s="2"/>
      <c r="AI925" s="2"/>
      <c r="AJ925" s="2"/>
      <c r="AK925" s="2"/>
      <c r="AL925" s="2"/>
      <c r="AM925" s="2"/>
      <c r="AN925" s="2"/>
      <c r="AO925" s="9"/>
      <c r="AP925" s="9"/>
      <c r="AQ925" s="9"/>
      <c r="AR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224"/>
      <c r="X926" s="224"/>
      <c r="Y926" s="224"/>
      <c r="Z926" s="868"/>
      <c r="AA926" s="865"/>
      <c r="AB926" s="2"/>
      <c r="AC926" s="2"/>
      <c r="AD926" s="2"/>
      <c r="AE926" s="2"/>
      <c r="AF926" s="2"/>
      <c r="AG926" s="2"/>
      <c r="AH926" s="2"/>
      <c r="AI926" s="2"/>
      <c r="AJ926" s="2"/>
      <c r="AK926" s="2"/>
      <c r="AL926" s="2"/>
      <c r="AM926" s="2"/>
      <c r="AN926" s="2"/>
      <c r="AO926" s="9"/>
      <c r="AP926" s="9"/>
      <c r="AQ926" s="9"/>
      <c r="AR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224"/>
      <c r="X927" s="224"/>
      <c r="Y927" s="224"/>
      <c r="Z927" s="868"/>
      <c r="AA927" s="865"/>
      <c r="AB927" s="2"/>
      <c r="AC927" s="2"/>
      <c r="AD927" s="2"/>
      <c r="AE927" s="2"/>
      <c r="AF927" s="2"/>
      <c r="AG927" s="2"/>
      <c r="AH927" s="2"/>
      <c r="AI927" s="2"/>
      <c r="AJ927" s="2"/>
      <c r="AK927" s="2"/>
      <c r="AL927" s="2"/>
      <c r="AM927" s="2"/>
      <c r="AN927" s="2"/>
      <c r="AO927" s="9"/>
      <c r="AP927" s="9"/>
      <c r="AQ927" s="9"/>
      <c r="AR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224"/>
      <c r="X928" s="224"/>
      <c r="Y928" s="224"/>
      <c r="Z928" s="868"/>
      <c r="AA928" s="865"/>
      <c r="AB928" s="2"/>
      <c r="AC928" s="2"/>
      <c r="AD928" s="2"/>
      <c r="AE928" s="2"/>
      <c r="AF928" s="2"/>
      <c r="AG928" s="2"/>
      <c r="AH928" s="2"/>
      <c r="AI928" s="2"/>
      <c r="AJ928" s="2"/>
      <c r="AK928" s="2"/>
      <c r="AL928" s="2"/>
      <c r="AM928" s="2"/>
      <c r="AN928" s="2"/>
      <c r="AO928" s="9"/>
      <c r="AP928" s="9"/>
      <c r="AQ928" s="9"/>
      <c r="AR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224"/>
      <c r="X929" s="224"/>
      <c r="Y929" s="224"/>
      <c r="Z929" s="868"/>
      <c r="AA929" s="865"/>
      <c r="AB929" s="2"/>
      <c r="AC929" s="2"/>
      <c r="AD929" s="2"/>
      <c r="AE929" s="2"/>
      <c r="AF929" s="2"/>
      <c r="AG929" s="2"/>
      <c r="AH929" s="2"/>
      <c r="AI929" s="2"/>
      <c r="AJ929" s="2"/>
      <c r="AK929" s="2"/>
      <c r="AL929" s="2"/>
      <c r="AM929" s="2"/>
      <c r="AN929" s="2"/>
      <c r="AO929" s="9"/>
      <c r="AP929" s="9"/>
      <c r="AQ929" s="9"/>
      <c r="AR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224"/>
      <c r="X930" s="224"/>
      <c r="Y930" s="224"/>
      <c r="Z930" s="868"/>
      <c r="AA930" s="865"/>
      <c r="AB930" s="2"/>
      <c r="AC930" s="2"/>
      <c r="AD930" s="2"/>
      <c r="AE930" s="2"/>
      <c r="AF930" s="2"/>
      <c r="AG930" s="2"/>
      <c r="AH930" s="2"/>
      <c r="AI930" s="2"/>
      <c r="AJ930" s="2"/>
      <c r="AK930" s="2"/>
      <c r="AL930" s="2"/>
      <c r="AM930" s="2"/>
      <c r="AN930" s="2"/>
      <c r="AO930" s="9"/>
      <c r="AP930" s="9"/>
      <c r="AQ930" s="9"/>
      <c r="AR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224"/>
      <c r="X931" s="224"/>
      <c r="Y931" s="224"/>
      <c r="Z931" s="868"/>
      <c r="AA931" s="865"/>
      <c r="AB931" s="2"/>
      <c r="AC931" s="2"/>
      <c r="AD931" s="2"/>
      <c r="AE931" s="2"/>
      <c r="AF931" s="2"/>
      <c r="AG931" s="2"/>
      <c r="AH931" s="2"/>
      <c r="AI931" s="2"/>
      <c r="AJ931" s="2"/>
      <c r="AK931" s="2"/>
      <c r="AL931" s="2"/>
      <c r="AM931" s="2"/>
      <c r="AN931" s="2"/>
      <c r="AO931" s="9"/>
      <c r="AP931" s="9"/>
      <c r="AQ931" s="9"/>
      <c r="AR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224"/>
      <c r="X932" s="224"/>
      <c r="Y932" s="224"/>
      <c r="Z932" s="868"/>
      <c r="AA932" s="865"/>
      <c r="AB932" s="2"/>
      <c r="AC932" s="2"/>
      <c r="AD932" s="2"/>
      <c r="AE932" s="2"/>
      <c r="AF932" s="2"/>
      <c r="AG932" s="2"/>
      <c r="AH932" s="2"/>
      <c r="AI932" s="2"/>
      <c r="AJ932" s="2"/>
      <c r="AK932" s="2"/>
      <c r="AL932" s="2"/>
      <c r="AM932" s="2"/>
      <c r="AN932" s="2"/>
      <c r="AO932" s="9"/>
      <c r="AP932" s="9"/>
      <c r="AQ932" s="9"/>
      <c r="AR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224"/>
      <c r="X933" s="224"/>
      <c r="Y933" s="224"/>
      <c r="Z933" s="868"/>
      <c r="AA933" s="865"/>
      <c r="AB933" s="2"/>
      <c r="AC933" s="2"/>
      <c r="AD933" s="2"/>
      <c r="AE933" s="2"/>
      <c r="AF933" s="2"/>
      <c r="AG933" s="2"/>
      <c r="AH933" s="2"/>
      <c r="AI933" s="2"/>
      <c r="AJ933" s="2"/>
      <c r="AK933" s="2"/>
      <c r="AL933" s="2"/>
      <c r="AM933" s="2"/>
      <c r="AN933" s="2"/>
      <c r="AO933" s="9"/>
      <c r="AP933" s="9"/>
      <c r="AQ933" s="9"/>
      <c r="AR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224"/>
      <c r="X934" s="224"/>
      <c r="Y934" s="224"/>
      <c r="Z934" s="868"/>
      <c r="AA934" s="865"/>
      <c r="AB934" s="2"/>
      <c r="AC934" s="2"/>
      <c r="AD934" s="2"/>
      <c r="AE934" s="2"/>
      <c r="AF934" s="2"/>
      <c r="AG934" s="2"/>
      <c r="AH934" s="2"/>
      <c r="AI934" s="2"/>
      <c r="AJ934" s="2"/>
      <c r="AK934" s="2"/>
      <c r="AL934" s="2"/>
      <c r="AM934" s="2"/>
      <c r="AN934" s="2"/>
      <c r="AO934" s="9"/>
      <c r="AP934" s="9"/>
      <c r="AQ934" s="9"/>
      <c r="AR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224"/>
      <c r="X935" s="224"/>
      <c r="Y935" s="224"/>
      <c r="Z935" s="868"/>
      <c r="AA935" s="865"/>
      <c r="AB935" s="2"/>
      <c r="AC935" s="2"/>
      <c r="AD935" s="2"/>
      <c r="AE935" s="2"/>
      <c r="AF935" s="2"/>
      <c r="AG935" s="2"/>
      <c r="AH935" s="2"/>
      <c r="AI935" s="2"/>
      <c r="AJ935" s="2"/>
      <c r="AK935" s="2"/>
      <c r="AL935" s="2"/>
      <c r="AM935" s="2"/>
      <c r="AN935" s="2"/>
      <c r="AO935" s="9"/>
      <c r="AP935" s="9"/>
      <c r="AQ935" s="9"/>
      <c r="AR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224"/>
      <c r="X936" s="224"/>
      <c r="Y936" s="224"/>
      <c r="Z936" s="868"/>
      <c r="AA936" s="865"/>
      <c r="AB936" s="2"/>
      <c r="AC936" s="2"/>
      <c r="AD936" s="2"/>
      <c r="AE936" s="2"/>
      <c r="AF936" s="2"/>
      <c r="AG936" s="2"/>
      <c r="AH936" s="2"/>
      <c r="AI936" s="2"/>
      <c r="AJ936" s="2"/>
      <c r="AK936" s="2"/>
      <c r="AL936" s="2"/>
      <c r="AM936" s="2"/>
      <c r="AN936" s="2"/>
      <c r="AO936" s="9"/>
      <c r="AP936" s="9"/>
      <c r="AQ936" s="9"/>
      <c r="AR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224"/>
      <c r="X937" s="224"/>
      <c r="Y937" s="224"/>
      <c r="Z937" s="868"/>
      <c r="AA937" s="865"/>
      <c r="AB937" s="2"/>
      <c r="AC937" s="2"/>
      <c r="AD937" s="2"/>
      <c r="AE937" s="2"/>
      <c r="AF937" s="2"/>
      <c r="AG937" s="2"/>
      <c r="AH937" s="2"/>
      <c r="AI937" s="2"/>
      <c r="AJ937" s="2"/>
      <c r="AK937" s="2"/>
      <c r="AL937" s="2"/>
      <c r="AM937" s="2"/>
      <c r="AN937" s="2"/>
      <c r="AO937" s="9"/>
      <c r="AP937" s="9"/>
      <c r="AQ937" s="9"/>
      <c r="AR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224"/>
      <c r="X938" s="224"/>
      <c r="Y938" s="224"/>
      <c r="Z938" s="868"/>
      <c r="AA938" s="865"/>
      <c r="AB938" s="2"/>
      <c r="AC938" s="2"/>
      <c r="AD938" s="2"/>
      <c r="AE938" s="2"/>
      <c r="AF938" s="2"/>
      <c r="AG938" s="2"/>
      <c r="AH938" s="2"/>
      <c r="AI938" s="2"/>
      <c r="AJ938" s="2"/>
      <c r="AK938" s="2"/>
      <c r="AL938" s="2"/>
      <c r="AM938" s="2"/>
      <c r="AN938" s="2"/>
      <c r="AO938" s="9"/>
      <c r="AP938" s="9"/>
      <c r="AQ938" s="9"/>
      <c r="AR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224"/>
      <c r="X939" s="224"/>
      <c r="Y939" s="224"/>
      <c r="Z939" s="868"/>
      <c r="AA939" s="865"/>
      <c r="AB939" s="2"/>
      <c r="AC939" s="2"/>
      <c r="AD939" s="2"/>
      <c r="AE939" s="2"/>
      <c r="AF939" s="2"/>
      <c r="AG939" s="2"/>
      <c r="AH939" s="2"/>
      <c r="AI939" s="2"/>
      <c r="AJ939" s="2"/>
      <c r="AK939" s="2"/>
      <c r="AL939" s="2"/>
      <c r="AM939" s="2"/>
      <c r="AN939" s="2"/>
      <c r="AO939" s="9"/>
      <c r="AP939" s="9"/>
      <c r="AQ939" s="9"/>
      <c r="AR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224"/>
      <c r="X940" s="224"/>
      <c r="Y940" s="224"/>
      <c r="Z940" s="868"/>
      <c r="AA940" s="865"/>
      <c r="AB940" s="2"/>
      <c r="AC940" s="2"/>
      <c r="AD940" s="2"/>
      <c r="AE940" s="2"/>
      <c r="AF940" s="2"/>
      <c r="AG940" s="2"/>
      <c r="AH940" s="2"/>
      <c r="AI940" s="2"/>
      <c r="AJ940" s="2"/>
      <c r="AK940" s="2"/>
      <c r="AL940" s="2"/>
      <c r="AM940" s="2"/>
      <c r="AN940" s="2"/>
      <c r="AO940" s="9"/>
      <c r="AP940" s="9"/>
      <c r="AQ940" s="9"/>
      <c r="AR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224"/>
      <c r="X941" s="224"/>
      <c r="Y941" s="224"/>
      <c r="Z941" s="868"/>
      <c r="AA941" s="865"/>
      <c r="AB941" s="2"/>
      <c r="AC941" s="2"/>
      <c r="AD941" s="2"/>
      <c r="AE941" s="2"/>
      <c r="AF941" s="2"/>
      <c r="AG941" s="2"/>
      <c r="AH941" s="2"/>
      <c r="AI941" s="2"/>
      <c r="AJ941" s="2"/>
      <c r="AK941" s="2"/>
      <c r="AL941" s="2"/>
      <c r="AM941" s="2"/>
      <c r="AN941" s="2"/>
      <c r="AO941" s="9"/>
      <c r="AP941" s="9"/>
      <c r="AQ941" s="9"/>
      <c r="AR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224"/>
      <c r="X942" s="224"/>
      <c r="Y942" s="224"/>
      <c r="Z942" s="868"/>
      <c r="AA942" s="865"/>
      <c r="AB942" s="2"/>
      <c r="AC942" s="2"/>
      <c r="AD942" s="2"/>
      <c r="AE942" s="2"/>
      <c r="AF942" s="2"/>
      <c r="AG942" s="2"/>
      <c r="AH942" s="2"/>
      <c r="AI942" s="2"/>
      <c r="AJ942" s="2"/>
      <c r="AK942" s="2"/>
      <c r="AL942" s="2"/>
      <c r="AM942" s="2"/>
      <c r="AN942" s="2"/>
      <c r="AO942" s="9"/>
      <c r="AP942" s="9"/>
      <c r="AQ942" s="9"/>
      <c r="AR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224"/>
      <c r="X943" s="224"/>
      <c r="Y943" s="224"/>
      <c r="Z943" s="868"/>
      <c r="AA943" s="865"/>
      <c r="AB943" s="2"/>
      <c r="AC943" s="2"/>
      <c r="AD943" s="2"/>
      <c r="AE943" s="2"/>
      <c r="AF943" s="2"/>
      <c r="AG943" s="2"/>
      <c r="AH943" s="2"/>
      <c r="AI943" s="2"/>
      <c r="AJ943" s="2"/>
      <c r="AK943" s="2"/>
      <c r="AL943" s="2"/>
      <c r="AM943" s="2"/>
      <c r="AN943" s="2"/>
      <c r="AO943" s="9"/>
      <c r="AP943" s="9"/>
      <c r="AQ943" s="9"/>
      <c r="AR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224"/>
      <c r="X944" s="224"/>
      <c r="Y944" s="224"/>
      <c r="Z944" s="868"/>
      <c r="AA944" s="865"/>
      <c r="AB944" s="2"/>
      <c r="AC944" s="2"/>
      <c r="AD944" s="2"/>
      <c r="AE944" s="2"/>
      <c r="AF944" s="2"/>
      <c r="AG944" s="2"/>
      <c r="AH944" s="2"/>
      <c r="AI944" s="2"/>
      <c r="AJ944" s="2"/>
      <c r="AK944" s="2"/>
      <c r="AL944" s="2"/>
      <c r="AM944" s="2"/>
      <c r="AN944" s="2"/>
      <c r="AO944" s="9"/>
      <c r="AP944" s="9"/>
      <c r="AQ944" s="9"/>
      <c r="AR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224"/>
      <c r="X945" s="224"/>
      <c r="Y945" s="224"/>
      <c r="Z945" s="868"/>
      <c r="AA945" s="865"/>
      <c r="AB945" s="2"/>
      <c r="AC945" s="2"/>
      <c r="AD945" s="2"/>
      <c r="AE945" s="2"/>
      <c r="AF945" s="2"/>
      <c r="AG945" s="2"/>
      <c r="AH945" s="2"/>
      <c r="AI945" s="2"/>
      <c r="AJ945" s="2"/>
      <c r="AK945" s="2"/>
      <c r="AL945" s="2"/>
      <c r="AM945" s="2"/>
      <c r="AN945" s="2"/>
      <c r="AO945" s="9"/>
      <c r="AP945" s="9"/>
      <c r="AQ945" s="9"/>
      <c r="AR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224"/>
      <c r="X946" s="224"/>
      <c r="Y946" s="224"/>
      <c r="Z946" s="868"/>
      <c r="AA946" s="865"/>
      <c r="AB946" s="2"/>
      <c r="AC946" s="2"/>
      <c r="AD946" s="2"/>
      <c r="AE946" s="2"/>
      <c r="AF946" s="2"/>
      <c r="AG946" s="2"/>
      <c r="AH946" s="2"/>
      <c r="AI946" s="2"/>
      <c r="AJ946" s="2"/>
      <c r="AK946" s="2"/>
      <c r="AL946" s="2"/>
      <c r="AM946" s="2"/>
      <c r="AN946" s="2"/>
      <c r="AO946" s="9"/>
      <c r="AP946" s="9"/>
      <c r="AQ946" s="9"/>
      <c r="AR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224"/>
      <c r="X947" s="224"/>
      <c r="Y947" s="224"/>
      <c r="Z947" s="868"/>
      <c r="AA947" s="865"/>
      <c r="AB947" s="2"/>
      <c r="AC947" s="2"/>
      <c r="AD947" s="2"/>
      <c r="AE947" s="2"/>
      <c r="AF947" s="2"/>
      <c r="AG947" s="2"/>
      <c r="AH947" s="2"/>
      <c r="AI947" s="2"/>
      <c r="AJ947" s="2"/>
      <c r="AK947" s="2"/>
      <c r="AL947" s="2"/>
      <c r="AM947" s="2"/>
      <c r="AN947" s="2"/>
      <c r="AO947" s="9"/>
      <c r="AP947" s="9"/>
      <c r="AQ947" s="9"/>
      <c r="AR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224"/>
      <c r="X948" s="224"/>
      <c r="Y948" s="224"/>
      <c r="Z948" s="868"/>
      <c r="AA948" s="865"/>
      <c r="AB948" s="2"/>
      <c r="AC948" s="2"/>
      <c r="AD948" s="2"/>
      <c r="AE948" s="2"/>
      <c r="AF948" s="2"/>
      <c r="AG948" s="2"/>
      <c r="AH948" s="2"/>
      <c r="AI948" s="2"/>
      <c r="AJ948" s="2"/>
      <c r="AK948" s="2"/>
      <c r="AL948" s="2"/>
      <c r="AM948" s="2"/>
      <c r="AN948" s="2"/>
      <c r="AO948" s="9"/>
      <c r="AP948" s="9"/>
      <c r="AQ948" s="9"/>
      <c r="AR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224"/>
      <c r="X949" s="224"/>
      <c r="Y949" s="224"/>
      <c r="Z949" s="868"/>
      <c r="AA949" s="865"/>
      <c r="AB949" s="2"/>
      <c r="AC949" s="2"/>
      <c r="AD949" s="2"/>
      <c r="AE949" s="2"/>
      <c r="AF949" s="2"/>
      <c r="AG949" s="2"/>
      <c r="AH949" s="2"/>
      <c r="AI949" s="2"/>
      <c r="AJ949" s="2"/>
      <c r="AK949" s="2"/>
      <c r="AL949" s="2"/>
      <c r="AM949" s="2"/>
      <c r="AN949" s="2"/>
      <c r="AO949" s="9"/>
      <c r="AP949" s="9"/>
      <c r="AQ949" s="9"/>
      <c r="AR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224"/>
      <c r="X950" s="224"/>
      <c r="Y950" s="224"/>
      <c r="Z950" s="868"/>
      <c r="AA950" s="865"/>
      <c r="AB950" s="2"/>
      <c r="AC950" s="2"/>
      <c r="AD950" s="2"/>
      <c r="AE950" s="2"/>
      <c r="AF950" s="2"/>
      <c r="AG950" s="2"/>
      <c r="AH950" s="2"/>
      <c r="AI950" s="2"/>
      <c r="AJ950" s="2"/>
      <c r="AK950" s="2"/>
      <c r="AL950" s="2"/>
      <c r="AM950" s="2"/>
      <c r="AN950" s="2"/>
      <c r="AO950" s="9"/>
      <c r="AP950" s="9"/>
      <c r="AQ950" s="9"/>
      <c r="AR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224"/>
      <c r="X951" s="224"/>
      <c r="Y951" s="224"/>
      <c r="Z951" s="868"/>
      <c r="AA951" s="865"/>
      <c r="AB951" s="2"/>
      <c r="AC951" s="2"/>
      <c r="AD951" s="2"/>
      <c r="AE951" s="2"/>
      <c r="AF951" s="2"/>
      <c r="AG951" s="2"/>
      <c r="AH951" s="2"/>
      <c r="AI951" s="2"/>
      <c r="AJ951" s="2"/>
      <c r="AK951" s="2"/>
      <c r="AL951" s="2"/>
      <c r="AM951" s="2"/>
      <c r="AN951" s="2"/>
      <c r="AO951" s="9"/>
      <c r="AP951" s="9"/>
      <c r="AQ951" s="9"/>
      <c r="AR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224"/>
      <c r="X952" s="224"/>
      <c r="Y952" s="224"/>
      <c r="Z952" s="868"/>
      <c r="AA952" s="865"/>
      <c r="AB952" s="2"/>
      <c r="AC952" s="2"/>
      <c r="AD952" s="2"/>
      <c r="AE952" s="2"/>
      <c r="AF952" s="2"/>
      <c r="AG952" s="2"/>
      <c r="AH952" s="2"/>
      <c r="AI952" s="2"/>
      <c r="AJ952" s="2"/>
      <c r="AK952" s="2"/>
      <c r="AL952" s="2"/>
      <c r="AM952" s="2"/>
      <c r="AN952" s="2"/>
      <c r="AO952" s="9"/>
      <c r="AP952" s="9"/>
      <c r="AQ952" s="9"/>
      <c r="AR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224"/>
      <c r="X953" s="224"/>
      <c r="Y953" s="224"/>
      <c r="Z953" s="868"/>
      <c r="AA953" s="865"/>
      <c r="AB953" s="2"/>
      <c r="AC953" s="2"/>
      <c r="AD953" s="2"/>
      <c r="AE953" s="2"/>
      <c r="AF953" s="2"/>
      <c r="AG953" s="2"/>
      <c r="AH953" s="2"/>
      <c r="AI953" s="2"/>
      <c r="AJ953" s="2"/>
      <c r="AK953" s="2"/>
      <c r="AL953" s="2"/>
      <c r="AM953" s="2"/>
      <c r="AN953" s="2"/>
      <c r="AO953" s="9"/>
      <c r="AP953" s="9"/>
      <c r="AQ953" s="9"/>
      <c r="AR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224"/>
      <c r="X954" s="224"/>
      <c r="Y954" s="224"/>
      <c r="Z954" s="868"/>
      <c r="AA954" s="865"/>
      <c r="AB954" s="2"/>
      <c r="AC954" s="2"/>
      <c r="AD954" s="2"/>
      <c r="AE954" s="2"/>
      <c r="AF954" s="2"/>
      <c r="AG954" s="2"/>
      <c r="AH954" s="2"/>
      <c r="AI954" s="2"/>
      <c r="AJ954" s="2"/>
      <c r="AK954" s="2"/>
      <c r="AL954" s="2"/>
      <c r="AM954" s="2"/>
      <c r="AN954" s="2"/>
      <c r="AO954" s="9"/>
      <c r="AP954" s="9"/>
      <c r="AQ954" s="9"/>
      <c r="AR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224"/>
      <c r="X955" s="224"/>
      <c r="Y955" s="224"/>
      <c r="Z955" s="868"/>
      <c r="AA955" s="865"/>
      <c r="AB955" s="2"/>
      <c r="AC955" s="2"/>
      <c r="AD955" s="2"/>
      <c r="AE955" s="2"/>
      <c r="AF955" s="2"/>
      <c r="AG955" s="2"/>
      <c r="AH955" s="2"/>
      <c r="AI955" s="2"/>
      <c r="AJ955" s="2"/>
      <c r="AK955" s="2"/>
      <c r="AL955" s="2"/>
      <c r="AM955" s="2"/>
      <c r="AN955" s="2"/>
      <c r="AO955" s="9"/>
      <c r="AP955" s="9"/>
      <c r="AQ955" s="9"/>
      <c r="AR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224"/>
      <c r="X956" s="224"/>
      <c r="Y956" s="224"/>
      <c r="Z956" s="868"/>
      <c r="AA956" s="865"/>
      <c r="AB956" s="2"/>
      <c r="AC956" s="2"/>
      <c r="AD956" s="2"/>
      <c r="AE956" s="2"/>
      <c r="AF956" s="2"/>
      <c r="AG956" s="2"/>
      <c r="AH956" s="2"/>
      <c r="AI956" s="2"/>
      <c r="AJ956" s="2"/>
      <c r="AK956" s="2"/>
      <c r="AL956" s="2"/>
      <c r="AM956" s="2"/>
      <c r="AN956" s="2"/>
      <c r="AO956" s="9"/>
      <c r="AP956" s="9"/>
      <c r="AQ956" s="9"/>
      <c r="AR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224"/>
      <c r="X957" s="224"/>
      <c r="Y957" s="224"/>
      <c r="Z957" s="868"/>
      <c r="AA957" s="865"/>
      <c r="AB957" s="2"/>
      <c r="AC957" s="2"/>
      <c r="AD957" s="2"/>
      <c r="AE957" s="2"/>
      <c r="AF957" s="2"/>
      <c r="AG957" s="2"/>
      <c r="AH957" s="2"/>
      <c r="AI957" s="2"/>
      <c r="AJ957" s="2"/>
      <c r="AK957" s="2"/>
      <c r="AL957" s="2"/>
      <c r="AM957" s="2"/>
      <c r="AN957" s="2"/>
      <c r="AO957" s="9"/>
      <c r="AP957" s="9"/>
      <c r="AQ957" s="9"/>
      <c r="AR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224"/>
      <c r="X958" s="224"/>
      <c r="Y958" s="224"/>
      <c r="Z958" s="868"/>
      <c r="AA958" s="865"/>
      <c r="AB958" s="2"/>
      <c r="AC958" s="2"/>
      <c r="AD958" s="2"/>
      <c r="AE958" s="2"/>
      <c r="AF958" s="2"/>
      <c r="AG958" s="2"/>
      <c r="AH958" s="2"/>
      <c r="AI958" s="2"/>
      <c r="AJ958" s="2"/>
      <c r="AK958" s="2"/>
      <c r="AL958" s="2"/>
      <c r="AM958" s="2"/>
      <c r="AN958" s="2"/>
      <c r="AO958" s="9"/>
      <c r="AP958" s="9"/>
      <c r="AQ958" s="9"/>
      <c r="AR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224"/>
      <c r="X959" s="224"/>
      <c r="Y959" s="224"/>
      <c r="Z959" s="868"/>
      <c r="AA959" s="865"/>
      <c r="AB959" s="2"/>
      <c r="AC959" s="2"/>
      <c r="AD959" s="2"/>
      <c r="AE959" s="2"/>
      <c r="AF959" s="2"/>
      <c r="AG959" s="2"/>
      <c r="AH959" s="2"/>
      <c r="AI959" s="2"/>
      <c r="AJ959" s="2"/>
      <c r="AK959" s="2"/>
      <c r="AL959" s="2"/>
      <c r="AM959" s="2"/>
      <c r="AN959" s="2"/>
      <c r="AO959" s="9"/>
      <c r="AP959" s="9"/>
      <c r="AQ959" s="9"/>
      <c r="AR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224"/>
      <c r="X960" s="224"/>
      <c r="Y960" s="224"/>
      <c r="Z960" s="868"/>
      <c r="AA960" s="865"/>
      <c r="AB960" s="2"/>
      <c r="AC960" s="2"/>
      <c r="AD960" s="2"/>
      <c r="AE960" s="2"/>
      <c r="AF960" s="2"/>
      <c r="AG960" s="2"/>
      <c r="AH960" s="2"/>
      <c r="AI960" s="2"/>
      <c r="AJ960" s="2"/>
      <c r="AK960" s="2"/>
      <c r="AL960" s="2"/>
      <c r="AM960" s="2"/>
      <c r="AN960" s="2"/>
      <c r="AO960" s="9"/>
      <c r="AP960" s="9"/>
      <c r="AQ960" s="9"/>
      <c r="AR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224"/>
      <c r="X961" s="224"/>
      <c r="Y961" s="224"/>
      <c r="Z961" s="868"/>
      <c r="AA961" s="865"/>
      <c r="AB961" s="2"/>
      <c r="AC961" s="2"/>
      <c r="AD961" s="2"/>
      <c r="AE961" s="2"/>
      <c r="AF961" s="2"/>
      <c r="AG961" s="2"/>
      <c r="AH961" s="2"/>
      <c r="AI961" s="2"/>
      <c r="AJ961" s="2"/>
      <c r="AK961" s="2"/>
      <c r="AL961" s="2"/>
      <c r="AM961" s="2"/>
      <c r="AN961" s="2"/>
      <c r="AO961" s="9"/>
      <c r="AP961" s="9"/>
      <c r="AQ961" s="9"/>
      <c r="AR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224"/>
      <c r="X962" s="224"/>
      <c r="Y962" s="224"/>
      <c r="Z962" s="868"/>
      <c r="AA962" s="865"/>
      <c r="AB962" s="2"/>
      <c r="AC962" s="2"/>
      <c r="AD962" s="2"/>
      <c r="AE962" s="2"/>
      <c r="AF962" s="2"/>
      <c r="AG962" s="2"/>
      <c r="AH962" s="2"/>
      <c r="AI962" s="2"/>
      <c r="AJ962" s="2"/>
      <c r="AK962" s="2"/>
      <c r="AL962" s="2"/>
      <c r="AM962" s="2"/>
      <c r="AN962" s="2"/>
      <c r="AO962" s="9"/>
      <c r="AP962" s="9"/>
      <c r="AQ962" s="9"/>
      <c r="AR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224"/>
      <c r="X963" s="224"/>
      <c r="Y963" s="224"/>
      <c r="Z963" s="868"/>
      <c r="AA963" s="865"/>
      <c r="AB963" s="2"/>
      <c r="AC963" s="2"/>
      <c r="AD963" s="2"/>
      <c r="AE963" s="2"/>
      <c r="AF963" s="2"/>
      <c r="AG963" s="2"/>
      <c r="AH963" s="2"/>
      <c r="AI963" s="2"/>
      <c r="AJ963" s="2"/>
      <c r="AK963" s="2"/>
      <c r="AL963" s="2"/>
      <c r="AM963" s="2"/>
      <c r="AN963" s="2"/>
      <c r="AO963" s="9"/>
      <c r="AP963" s="9"/>
      <c r="AQ963" s="9"/>
      <c r="AR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224"/>
      <c r="X964" s="224"/>
      <c r="Y964" s="224"/>
      <c r="Z964" s="868"/>
      <c r="AA964" s="865"/>
      <c r="AB964" s="2"/>
      <c r="AC964" s="2"/>
      <c r="AD964" s="2"/>
      <c r="AE964" s="2"/>
      <c r="AF964" s="2"/>
      <c r="AG964" s="2"/>
      <c r="AH964" s="2"/>
      <c r="AI964" s="2"/>
      <c r="AJ964" s="2"/>
      <c r="AK964" s="2"/>
      <c r="AL964" s="2"/>
      <c r="AM964" s="2"/>
      <c r="AN964" s="2"/>
      <c r="AO964" s="9"/>
      <c r="AP964" s="9"/>
      <c r="AQ964" s="9"/>
      <c r="AR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224"/>
      <c r="X965" s="224"/>
      <c r="Y965" s="224"/>
      <c r="Z965" s="868"/>
      <c r="AA965" s="865"/>
      <c r="AB965" s="2"/>
      <c r="AC965" s="2"/>
      <c r="AD965" s="2"/>
      <c r="AE965" s="2"/>
      <c r="AF965" s="2"/>
      <c r="AG965" s="2"/>
      <c r="AH965" s="2"/>
      <c r="AI965" s="2"/>
      <c r="AJ965" s="2"/>
      <c r="AK965" s="2"/>
      <c r="AL965" s="2"/>
      <c r="AM965" s="2"/>
      <c r="AN965" s="2"/>
      <c r="AO965" s="9"/>
      <c r="AP965" s="9"/>
      <c r="AQ965" s="9"/>
      <c r="AR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224"/>
      <c r="X966" s="224"/>
      <c r="Y966" s="224"/>
      <c r="Z966" s="868"/>
      <c r="AA966" s="865"/>
      <c r="AB966" s="2"/>
      <c r="AC966" s="2"/>
      <c r="AD966" s="2"/>
      <c r="AE966" s="2"/>
      <c r="AF966" s="2"/>
      <c r="AG966" s="2"/>
      <c r="AH966" s="2"/>
      <c r="AI966" s="2"/>
      <c r="AJ966" s="2"/>
      <c r="AK966" s="2"/>
      <c r="AL966" s="2"/>
      <c r="AM966" s="2"/>
      <c r="AN966" s="2"/>
      <c r="AO966" s="9"/>
      <c r="AP966" s="9"/>
      <c r="AQ966" s="9"/>
      <c r="AR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224"/>
      <c r="X967" s="224"/>
      <c r="Y967" s="224"/>
      <c r="Z967" s="868"/>
      <c r="AA967" s="865"/>
      <c r="AB967" s="2"/>
      <c r="AC967" s="2"/>
      <c r="AD967" s="2"/>
      <c r="AE967" s="2"/>
      <c r="AF967" s="2"/>
      <c r="AG967" s="2"/>
      <c r="AH967" s="2"/>
      <c r="AI967" s="2"/>
      <c r="AJ967" s="2"/>
      <c r="AK967" s="2"/>
      <c r="AL967" s="2"/>
      <c r="AM967" s="2"/>
      <c r="AN967" s="2"/>
      <c r="AO967" s="9"/>
      <c r="AP967" s="9"/>
      <c r="AQ967" s="9"/>
      <c r="AR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224"/>
      <c r="X968" s="224"/>
      <c r="Y968" s="224"/>
      <c r="Z968" s="868"/>
      <c r="AA968" s="865"/>
      <c r="AB968" s="2"/>
      <c r="AC968" s="2"/>
      <c r="AD968" s="2"/>
      <c r="AE968" s="2"/>
      <c r="AF968" s="2"/>
      <c r="AG968" s="2"/>
      <c r="AH968" s="2"/>
      <c r="AI968" s="2"/>
      <c r="AJ968" s="2"/>
      <c r="AK968" s="2"/>
      <c r="AL968" s="2"/>
      <c r="AM968" s="2"/>
      <c r="AN968" s="2"/>
      <c r="AO968" s="9"/>
      <c r="AP968" s="9"/>
      <c r="AQ968" s="9"/>
      <c r="AR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224"/>
      <c r="X969" s="224"/>
      <c r="Y969" s="224"/>
      <c r="Z969" s="868"/>
      <c r="AA969" s="865"/>
      <c r="AB969" s="2"/>
      <c r="AC969" s="2"/>
      <c r="AD969" s="2"/>
      <c r="AE969" s="2"/>
      <c r="AF969" s="2"/>
      <c r="AG969" s="2"/>
      <c r="AH969" s="2"/>
      <c r="AI969" s="2"/>
      <c r="AJ969" s="2"/>
      <c r="AK969" s="2"/>
      <c r="AL969" s="2"/>
      <c r="AM969" s="2"/>
      <c r="AN969" s="2"/>
      <c r="AO969" s="9"/>
      <c r="AP969" s="9"/>
      <c r="AQ969" s="9"/>
      <c r="AR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224"/>
      <c r="X970" s="224"/>
      <c r="Y970" s="224"/>
      <c r="Z970" s="868"/>
      <c r="AA970" s="865"/>
      <c r="AB970" s="2"/>
      <c r="AC970" s="2"/>
      <c r="AD970" s="2"/>
      <c r="AE970" s="2"/>
      <c r="AF970" s="2"/>
      <c r="AG970" s="2"/>
      <c r="AH970" s="2"/>
      <c r="AI970" s="2"/>
      <c r="AJ970" s="2"/>
      <c r="AK970" s="2"/>
      <c r="AL970" s="2"/>
      <c r="AM970" s="2"/>
      <c r="AN970" s="2"/>
      <c r="AO970" s="9"/>
      <c r="AP970" s="9"/>
      <c r="AQ970" s="9"/>
      <c r="AR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224"/>
      <c r="X971" s="224"/>
      <c r="Y971" s="224"/>
      <c r="Z971" s="868"/>
      <c r="AA971" s="865"/>
      <c r="AB971" s="2"/>
      <c r="AC971" s="2"/>
      <c r="AD971" s="2"/>
      <c r="AE971" s="2"/>
      <c r="AF971" s="2"/>
      <c r="AG971" s="2"/>
      <c r="AH971" s="2"/>
      <c r="AI971" s="2"/>
      <c r="AJ971" s="2"/>
      <c r="AK971" s="2"/>
      <c r="AL971" s="2"/>
      <c r="AM971" s="2"/>
      <c r="AN971" s="2"/>
      <c r="AO971" s="9"/>
      <c r="AP971" s="9"/>
      <c r="AQ971" s="9"/>
      <c r="AR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224"/>
      <c r="X972" s="224"/>
      <c r="Y972" s="224"/>
      <c r="Z972" s="868"/>
      <c r="AA972" s="865"/>
      <c r="AB972" s="2"/>
      <c r="AC972" s="2"/>
      <c r="AD972" s="2"/>
      <c r="AE972" s="2"/>
      <c r="AF972" s="2"/>
      <c r="AG972" s="2"/>
      <c r="AH972" s="2"/>
      <c r="AI972" s="2"/>
      <c r="AJ972" s="2"/>
      <c r="AK972" s="2"/>
      <c r="AL972" s="2"/>
      <c r="AM972" s="2"/>
      <c r="AN972" s="2"/>
      <c r="AO972" s="9"/>
      <c r="AP972" s="9"/>
      <c r="AQ972" s="9"/>
      <c r="AR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224"/>
      <c r="X973" s="224"/>
      <c r="Y973" s="224"/>
      <c r="Z973" s="868"/>
      <c r="AA973" s="865"/>
      <c r="AB973" s="2"/>
      <c r="AC973" s="2"/>
      <c r="AD973" s="2"/>
      <c r="AE973" s="2"/>
      <c r="AF973" s="2"/>
      <c r="AG973" s="2"/>
      <c r="AH973" s="2"/>
      <c r="AI973" s="2"/>
      <c r="AJ973" s="2"/>
      <c r="AK973" s="2"/>
      <c r="AL973" s="2"/>
      <c r="AM973" s="2"/>
      <c r="AN973" s="2"/>
      <c r="AO973" s="9"/>
      <c r="AP973" s="9"/>
      <c r="AQ973" s="9"/>
      <c r="AR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224"/>
      <c r="X974" s="224"/>
      <c r="Y974" s="224"/>
      <c r="Z974" s="868"/>
      <c r="AA974" s="865"/>
      <c r="AB974" s="2"/>
      <c r="AC974" s="2"/>
      <c r="AD974" s="2"/>
      <c r="AE974" s="2"/>
      <c r="AF974" s="2"/>
      <c r="AG974" s="2"/>
      <c r="AH974" s="2"/>
      <c r="AI974" s="2"/>
      <c r="AJ974" s="2"/>
      <c r="AK974" s="2"/>
      <c r="AL974" s="2"/>
      <c r="AM974" s="2"/>
      <c r="AN974" s="2"/>
      <c r="AO974" s="9"/>
      <c r="AP974" s="9"/>
      <c r="AQ974" s="9"/>
      <c r="AR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224"/>
      <c r="X975" s="224"/>
      <c r="Y975" s="224"/>
      <c r="Z975" s="868"/>
      <c r="AA975" s="865"/>
      <c r="AB975" s="2"/>
      <c r="AC975" s="2"/>
      <c r="AD975" s="2"/>
      <c r="AE975" s="2"/>
      <c r="AF975" s="2"/>
      <c r="AG975" s="2"/>
      <c r="AH975" s="2"/>
      <c r="AI975" s="2"/>
      <c r="AJ975" s="2"/>
      <c r="AK975" s="2"/>
      <c r="AL975" s="2"/>
      <c r="AM975" s="2"/>
      <c r="AN975" s="2"/>
      <c r="AO975" s="9"/>
      <c r="AP975" s="9"/>
      <c r="AQ975" s="9"/>
      <c r="AR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224"/>
      <c r="X976" s="224"/>
      <c r="Y976" s="224"/>
      <c r="Z976" s="868"/>
      <c r="AA976" s="865"/>
      <c r="AB976" s="2"/>
      <c r="AC976" s="2"/>
      <c r="AD976" s="2"/>
      <c r="AE976" s="2"/>
      <c r="AF976" s="2"/>
      <c r="AG976" s="2"/>
      <c r="AH976" s="2"/>
      <c r="AI976" s="2"/>
      <c r="AJ976" s="2"/>
      <c r="AK976" s="2"/>
      <c r="AL976" s="2"/>
      <c r="AM976" s="2"/>
      <c r="AN976" s="2"/>
      <c r="AO976" s="9"/>
      <c r="AP976" s="9"/>
      <c r="AQ976" s="9"/>
      <c r="AR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224"/>
      <c r="X977" s="224"/>
      <c r="Y977" s="224"/>
      <c r="Z977" s="868"/>
      <c r="AA977" s="865"/>
      <c r="AB977" s="2"/>
      <c r="AC977" s="2"/>
      <c r="AD977" s="2"/>
      <c r="AE977" s="2"/>
      <c r="AF977" s="2"/>
      <c r="AG977" s="2"/>
      <c r="AH977" s="2"/>
      <c r="AI977" s="2"/>
      <c r="AJ977" s="2"/>
      <c r="AK977" s="2"/>
      <c r="AL977" s="2"/>
      <c r="AM977" s="2"/>
      <c r="AN977" s="2"/>
      <c r="AO977" s="9"/>
      <c r="AP977" s="9"/>
      <c r="AQ977" s="9"/>
      <c r="AR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224"/>
      <c r="X978" s="224"/>
      <c r="Y978" s="224"/>
      <c r="Z978" s="868"/>
      <c r="AA978" s="865"/>
      <c r="AB978" s="2"/>
      <c r="AC978" s="2"/>
      <c r="AD978" s="2"/>
      <c r="AE978" s="2"/>
      <c r="AF978" s="2"/>
      <c r="AG978" s="2"/>
      <c r="AH978" s="2"/>
      <c r="AI978" s="2"/>
      <c r="AJ978" s="2"/>
      <c r="AK978" s="2"/>
      <c r="AL978" s="2"/>
      <c r="AM978" s="2"/>
      <c r="AN978" s="2"/>
      <c r="AO978" s="9"/>
      <c r="AP978" s="9"/>
      <c r="AQ978" s="9"/>
      <c r="AR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224"/>
      <c r="X979" s="224"/>
      <c r="Y979" s="224"/>
      <c r="Z979" s="868"/>
      <c r="AA979" s="865"/>
      <c r="AB979" s="2"/>
      <c r="AC979" s="2"/>
      <c r="AD979" s="2"/>
      <c r="AE979" s="2"/>
      <c r="AF979" s="2"/>
      <c r="AG979" s="2"/>
      <c r="AH979" s="2"/>
      <c r="AI979" s="2"/>
      <c r="AJ979" s="2"/>
      <c r="AK979" s="2"/>
      <c r="AL979" s="2"/>
      <c r="AM979" s="2"/>
      <c r="AN979" s="2"/>
      <c r="AO979" s="9"/>
      <c r="AP979" s="9"/>
      <c r="AQ979" s="9"/>
      <c r="AR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224"/>
      <c r="X980" s="224"/>
      <c r="Y980" s="224"/>
      <c r="Z980" s="868"/>
      <c r="AA980" s="865"/>
      <c r="AB980" s="2"/>
      <c r="AC980" s="2"/>
      <c r="AD980" s="2"/>
      <c r="AE980" s="2"/>
      <c r="AF980" s="2"/>
      <c r="AG980" s="2"/>
      <c r="AH980" s="2"/>
      <c r="AI980" s="2"/>
      <c r="AJ980" s="2"/>
      <c r="AK980" s="2"/>
      <c r="AL980" s="2"/>
      <c r="AM980" s="2"/>
      <c r="AN980" s="2"/>
      <c r="AO980" s="9"/>
      <c r="AP980" s="9"/>
      <c r="AQ980" s="9"/>
      <c r="AR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224"/>
      <c r="X981" s="224"/>
      <c r="Y981" s="224"/>
      <c r="Z981" s="868"/>
      <c r="AA981" s="865"/>
      <c r="AB981" s="2"/>
      <c r="AC981" s="2"/>
      <c r="AD981" s="2"/>
      <c r="AE981" s="2"/>
      <c r="AF981" s="2"/>
      <c r="AG981" s="2"/>
      <c r="AH981" s="2"/>
      <c r="AI981" s="2"/>
      <c r="AJ981" s="2"/>
      <c r="AK981" s="2"/>
      <c r="AL981" s="2"/>
      <c r="AM981" s="2"/>
      <c r="AN981" s="2"/>
      <c r="AO981" s="9"/>
      <c r="AP981" s="9"/>
      <c r="AQ981" s="9"/>
      <c r="AR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224"/>
      <c r="X982" s="224"/>
      <c r="Y982" s="224"/>
      <c r="Z982" s="868"/>
      <c r="AA982" s="865"/>
      <c r="AB982" s="2"/>
      <c r="AC982" s="2"/>
      <c r="AD982" s="2"/>
      <c r="AE982" s="2"/>
      <c r="AF982" s="2"/>
      <c r="AG982" s="2"/>
      <c r="AH982" s="2"/>
      <c r="AI982" s="2"/>
      <c r="AJ982" s="2"/>
      <c r="AK982" s="2"/>
      <c r="AL982" s="2"/>
      <c r="AM982" s="2"/>
      <c r="AN982" s="2"/>
      <c r="AO982" s="9"/>
      <c r="AP982" s="9"/>
      <c r="AQ982" s="9"/>
      <c r="AR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224"/>
      <c r="X983" s="224"/>
      <c r="Y983" s="224"/>
      <c r="Z983" s="868"/>
      <c r="AA983" s="865"/>
      <c r="AB983" s="2"/>
      <c r="AC983" s="2"/>
      <c r="AD983" s="2"/>
      <c r="AE983" s="2"/>
      <c r="AF983" s="2"/>
      <c r="AG983" s="2"/>
      <c r="AH983" s="2"/>
      <c r="AI983" s="2"/>
      <c r="AJ983" s="2"/>
      <c r="AK983" s="2"/>
      <c r="AL983" s="2"/>
      <c r="AM983" s="2"/>
      <c r="AN983" s="2"/>
      <c r="AO983" s="9"/>
      <c r="AP983" s="9"/>
      <c r="AQ983" s="9"/>
      <c r="AR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224"/>
      <c r="X984" s="224"/>
      <c r="Y984" s="224"/>
      <c r="Z984" s="868"/>
      <c r="AA984" s="865"/>
      <c r="AB984" s="2"/>
      <c r="AC984" s="2"/>
      <c r="AD984" s="2"/>
      <c r="AE984" s="2"/>
      <c r="AF984" s="2"/>
      <c r="AG984" s="2"/>
      <c r="AH984" s="2"/>
      <c r="AI984" s="2"/>
      <c r="AJ984" s="2"/>
      <c r="AK984" s="2"/>
      <c r="AL984" s="2"/>
      <c r="AM984" s="2"/>
      <c r="AN984" s="2"/>
      <c r="AO984" s="9"/>
      <c r="AP984" s="9"/>
      <c r="AQ984" s="9"/>
      <c r="AR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224"/>
      <c r="X985" s="224"/>
      <c r="Y985" s="224"/>
      <c r="Z985" s="868"/>
      <c r="AA985" s="865"/>
      <c r="AB985" s="2"/>
      <c r="AC985" s="2"/>
      <c r="AD985" s="2"/>
      <c r="AE985" s="2"/>
      <c r="AF985" s="2"/>
      <c r="AG985" s="2"/>
      <c r="AH985" s="2"/>
      <c r="AI985" s="2"/>
      <c r="AJ985" s="2"/>
      <c r="AK985" s="2"/>
      <c r="AL985" s="2"/>
      <c r="AM985" s="2"/>
      <c r="AN985" s="2"/>
      <c r="AO985" s="9"/>
      <c r="AP985" s="9"/>
      <c r="AQ985" s="9"/>
      <c r="AR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224"/>
      <c r="X986" s="224"/>
      <c r="Y986" s="224"/>
      <c r="Z986" s="868"/>
      <c r="AA986" s="865"/>
      <c r="AB986" s="2"/>
      <c r="AC986" s="2"/>
      <c r="AD986" s="2"/>
      <c r="AE986" s="2"/>
      <c r="AF986" s="2"/>
      <c r="AG986" s="2"/>
      <c r="AH986" s="2"/>
      <c r="AI986" s="2"/>
      <c r="AJ986" s="2"/>
      <c r="AK986" s="2"/>
      <c r="AL986" s="2"/>
      <c r="AM986" s="2"/>
      <c r="AN986" s="2"/>
      <c r="AO986" s="9"/>
      <c r="AP986" s="9"/>
      <c r="AQ986" s="9"/>
      <c r="AR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224"/>
      <c r="X987" s="224"/>
      <c r="Y987" s="224"/>
      <c r="Z987" s="868"/>
      <c r="AA987" s="865"/>
      <c r="AB987" s="2"/>
      <c r="AC987" s="2"/>
      <c r="AD987" s="2"/>
      <c r="AE987" s="2"/>
      <c r="AF987" s="2"/>
      <c r="AG987" s="2"/>
      <c r="AH987" s="2"/>
      <c r="AI987" s="2"/>
      <c r="AJ987" s="2"/>
      <c r="AK987" s="2"/>
      <c r="AL987" s="2"/>
      <c r="AM987" s="2"/>
      <c r="AN987" s="2"/>
      <c r="AO987" s="9"/>
      <c r="AP987" s="9"/>
      <c r="AQ987" s="9"/>
      <c r="AR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224"/>
      <c r="X988" s="224"/>
      <c r="Y988" s="224"/>
      <c r="Z988" s="868"/>
      <c r="AA988" s="865"/>
      <c r="AB988" s="2"/>
      <c r="AC988" s="2"/>
      <c r="AD988" s="2"/>
      <c r="AE988" s="2"/>
      <c r="AF988" s="2"/>
      <c r="AG988" s="2"/>
      <c r="AH988" s="2"/>
      <c r="AI988" s="2"/>
      <c r="AJ988" s="2"/>
      <c r="AK988" s="2"/>
      <c r="AL988" s="2"/>
      <c r="AM988" s="2"/>
      <c r="AN988" s="2"/>
      <c r="AO988" s="9"/>
      <c r="AP988" s="9"/>
      <c r="AQ988" s="9"/>
      <c r="AR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224"/>
      <c r="X989" s="224"/>
      <c r="Y989" s="224"/>
      <c r="Z989" s="868"/>
      <c r="AA989" s="865"/>
      <c r="AB989" s="2"/>
      <c r="AC989" s="2"/>
      <c r="AD989" s="2"/>
      <c r="AE989" s="2"/>
      <c r="AF989" s="2"/>
      <c r="AG989" s="2"/>
      <c r="AH989" s="2"/>
      <c r="AI989" s="2"/>
      <c r="AJ989" s="2"/>
      <c r="AK989" s="2"/>
      <c r="AL989" s="2"/>
      <c r="AM989" s="2"/>
      <c r="AN989" s="2"/>
      <c r="AO989" s="9"/>
      <c r="AP989" s="9"/>
      <c r="AQ989" s="9"/>
      <c r="AR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224"/>
      <c r="X990" s="224"/>
      <c r="Y990" s="224"/>
      <c r="Z990" s="868"/>
      <c r="AA990" s="865"/>
      <c r="AB990" s="2"/>
      <c r="AC990" s="2"/>
      <c r="AD990" s="2"/>
      <c r="AE990" s="2"/>
      <c r="AF990" s="2"/>
      <c r="AG990" s="2"/>
      <c r="AH990" s="2"/>
      <c r="AI990" s="2"/>
      <c r="AJ990" s="2"/>
      <c r="AK990" s="2"/>
      <c r="AL990" s="2"/>
      <c r="AM990" s="2"/>
      <c r="AN990" s="2"/>
      <c r="AO990" s="9"/>
      <c r="AP990" s="9"/>
      <c r="AQ990" s="9"/>
      <c r="AR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224"/>
      <c r="X991" s="224"/>
      <c r="Y991" s="224"/>
      <c r="Z991" s="868"/>
      <c r="AA991" s="865"/>
      <c r="AB991" s="2"/>
      <c r="AC991" s="2"/>
      <c r="AD991" s="2"/>
      <c r="AE991" s="2"/>
      <c r="AF991" s="2"/>
      <c r="AG991" s="2"/>
      <c r="AH991" s="2"/>
      <c r="AI991" s="2"/>
      <c r="AJ991" s="2"/>
      <c r="AK991" s="2"/>
      <c r="AL991" s="2"/>
      <c r="AM991" s="2"/>
      <c r="AN991" s="2"/>
      <c r="AO991" s="9"/>
      <c r="AP991" s="9"/>
      <c r="AQ991" s="9"/>
      <c r="AR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224"/>
      <c r="X992" s="224"/>
      <c r="Y992" s="224"/>
      <c r="Z992" s="868"/>
      <c r="AA992" s="865"/>
      <c r="AB992" s="2"/>
      <c r="AC992" s="2"/>
      <c r="AD992" s="2"/>
      <c r="AE992" s="2"/>
      <c r="AF992" s="2"/>
      <c r="AG992" s="2"/>
      <c r="AH992" s="2"/>
      <c r="AI992" s="2"/>
      <c r="AJ992" s="2"/>
      <c r="AK992" s="2"/>
      <c r="AL992" s="2"/>
      <c r="AM992" s="2"/>
      <c r="AN992" s="2"/>
      <c r="AO992" s="9"/>
      <c r="AP992" s="9"/>
      <c r="AQ992" s="9"/>
      <c r="AR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224"/>
      <c r="X993" s="224"/>
      <c r="Y993" s="224"/>
      <c r="Z993" s="868"/>
      <c r="AA993" s="865"/>
      <c r="AB993" s="2"/>
      <c r="AC993" s="2"/>
      <c r="AD993" s="2"/>
      <c r="AE993" s="2"/>
      <c r="AF993" s="2"/>
      <c r="AG993" s="2"/>
      <c r="AH993" s="2"/>
      <c r="AI993" s="2"/>
      <c r="AJ993" s="2"/>
      <c r="AK993" s="2"/>
      <c r="AL993" s="2"/>
      <c r="AM993" s="2"/>
      <c r="AN993" s="2"/>
      <c r="AO993" s="9"/>
      <c r="AP993" s="9"/>
      <c r="AQ993" s="9"/>
      <c r="AR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224"/>
      <c r="X994" s="224"/>
      <c r="Y994" s="224"/>
      <c r="Z994" s="868"/>
      <c r="AA994" s="865"/>
      <c r="AB994" s="2"/>
      <c r="AC994" s="2"/>
      <c r="AD994" s="2"/>
      <c r="AE994" s="2"/>
      <c r="AF994" s="2"/>
      <c r="AG994" s="2"/>
      <c r="AH994" s="2"/>
      <c r="AI994" s="2"/>
      <c r="AJ994" s="2"/>
      <c r="AK994" s="2"/>
      <c r="AL994" s="2"/>
      <c r="AM994" s="2"/>
      <c r="AN994" s="2"/>
      <c r="AO994" s="9"/>
      <c r="AP994" s="9"/>
      <c r="AQ994" s="9"/>
      <c r="AR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224"/>
      <c r="X995" s="224"/>
      <c r="Y995" s="224"/>
      <c r="Z995" s="868"/>
      <c r="AA995" s="865"/>
      <c r="AB995" s="2"/>
      <c r="AC995" s="2"/>
      <c r="AD995" s="2"/>
      <c r="AE995" s="2"/>
      <c r="AF995" s="2"/>
      <c r="AG995" s="2"/>
      <c r="AH995" s="2"/>
      <c r="AI995" s="2"/>
      <c r="AJ995" s="2"/>
      <c r="AK995" s="2"/>
      <c r="AL995" s="2"/>
      <c r="AM995" s="2"/>
      <c r="AN995" s="2"/>
      <c r="AO995" s="9"/>
      <c r="AP995" s="9"/>
      <c r="AQ995" s="9"/>
      <c r="AR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224"/>
      <c r="X996" s="224"/>
      <c r="Y996" s="224"/>
      <c r="Z996" s="868"/>
      <c r="AA996" s="865"/>
      <c r="AB996" s="2"/>
      <c r="AC996" s="2"/>
      <c r="AD996" s="2"/>
      <c r="AE996" s="2"/>
      <c r="AF996" s="2"/>
      <c r="AG996" s="2"/>
      <c r="AH996" s="2"/>
      <c r="AI996" s="2"/>
      <c r="AJ996" s="2"/>
      <c r="AK996" s="2"/>
      <c r="AL996" s="2"/>
      <c r="AM996" s="2"/>
      <c r="AN996" s="2"/>
      <c r="AO996" s="9"/>
      <c r="AP996" s="9"/>
      <c r="AQ996" s="9"/>
      <c r="AR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224"/>
      <c r="X997" s="224"/>
      <c r="Y997" s="224"/>
      <c r="Z997" s="868"/>
      <c r="AA997" s="865"/>
      <c r="AB997" s="2"/>
      <c r="AC997" s="2"/>
      <c r="AD997" s="2"/>
      <c r="AE997" s="2"/>
      <c r="AF997" s="2"/>
      <c r="AG997" s="2"/>
      <c r="AH997" s="2"/>
      <c r="AI997" s="2"/>
      <c r="AJ997" s="2"/>
      <c r="AK997" s="2"/>
      <c r="AL997" s="2"/>
      <c r="AM997" s="2"/>
      <c r="AN997" s="2"/>
      <c r="AO997" s="9"/>
      <c r="AP997" s="9"/>
      <c r="AQ997" s="9"/>
      <c r="AR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224"/>
      <c r="X998" s="224"/>
      <c r="Y998" s="224"/>
      <c r="Z998" s="868"/>
      <c r="AA998" s="865"/>
      <c r="AB998" s="2"/>
      <c r="AC998" s="2"/>
      <c r="AD998" s="2"/>
      <c r="AE998" s="2"/>
      <c r="AF998" s="2"/>
      <c r="AG998" s="2"/>
      <c r="AH998" s="2"/>
      <c r="AI998" s="2"/>
      <c r="AJ998" s="2"/>
      <c r="AK998" s="2"/>
      <c r="AL998" s="2"/>
      <c r="AM998" s="2"/>
      <c r="AN998" s="2"/>
      <c r="AO998" s="9"/>
      <c r="AP998" s="9"/>
      <c r="AQ998" s="9"/>
      <c r="AR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224"/>
      <c r="X999" s="224"/>
      <c r="Y999" s="224"/>
      <c r="Z999" s="868"/>
      <c r="AA999" s="865"/>
      <c r="AB999" s="2"/>
      <c r="AC999" s="2"/>
      <c r="AD999" s="2"/>
      <c r="AE999" s="2"/>
      <c r="AF999" s="2"/>
      <c r="AG999" s="2"/>
      <c r="AH999" s="2"/>
      <c r="AI999" s="2"/>
      <c r="AJ999" s="2"/>
      <c r="AK999" s="2"/>
      <c r="AL999" s="2"/>
      <c r="AM999" s="2"/>
      <c r="AN999" s="2"/>
      <c r="AO999" s="9"/>
      <c r="AP999" s="9"/>
      <c r="AQ999" s="9"/>
      <c r="AR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224"/>
      <c r="X1000" s="224"/>
      <c r="Y1000" s="224"/>
      <c r="Z1000" s="868"/>
      <c r="AA1000" s="865"/>
      <c r="AB1000" s="2"/>
      <c r="AC1000" s="2"/>
      <c r="AD1000" s="2"/>
      <c r="AE1000" s="2"/>
      <c r="AF1000" s="2"/>
      <c r="AG1000" s="2"/>
      <c r="AH1000" s="2"/>
      <c r="AI1000" s="2"/>
      <c r="AJ1000" s="2"/>
      <c r="AK1000" s="2"/>
      <c r="AL1000" s="2"/>
      <c r="AM1000" s="2"/>
      <c r="AN1000" s="2"/>
      <c r="AO1000" s="9"/>
      <c r="AP1000" s="9"/>
      <c r="AQ1000" s="9"/>
      <c r="AR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224"/>
      <c r="X1001" s="224"/>
      <c r="Y1001" s="224"/>
      <c r="Z1001" s="868"/>
      <c r="AA1001" s="865"/>
      <c r="AB1001" s="2"/>
      <c r="AC1001" s="2"/>
      <c r="AD1001" s="2"/>
      <c r="AE1001" s="2"/>
      <c r="AF1001" s="2"/>
      <c r="AG1001" s="2"/>
      <c r="AH1001" s="2"/>
      <c r="AI1001" s="2"/>
      <c r="AJ1001" s="2"/>
      <c r="AK1001" s="2"/>
      <c r="AL1001" s="2"/>
      <c r="AM1001" s="2"/>
      <c r="AN1001" s="2"/>
      <c r="AO1001" s="9"/>
      <c r="AP1001" s="9"/>
      <c r="AQ1001" s="9"/>
      <c r="AR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224"/>
      <c r="X1002" s="224"/>
      <c r="Y1002" s="224"/>
      <c r="Z1002" s="868"/>
      <c r="AA1002" s="865"/>
      <c r="AB1002" s="2"/>
      <c r="AC1002" s="2"/>
      <c r="AD1002" s="2"/>
      <c r="AE1002" s="2"/>
      <c r="AF1002" s="2"/>
      <c r="AG1002" s="2"/>
      <c r="AH1002" s="2"/>
      <c r="AI1002" s="2"/>
      <c r="AJ1002" s="2"/>
      <c r="AK1002" s="2"/>
      <c r="AL1002" s="2"/>
      <c r="AM1002" s="2"/>
      <c r="AN1002" s="2"/>
      <c r="AO1002" s="9"/>
      <c r="AP1002" s="9"/>
      <c r="AQ1002" s="9"/>
      <c r="AR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224"/>
      <c r="X1003" s="224"/>
      <c r="Y1003" s="224"/>
      <c r="Z1003" s="868"/>
      <c r="AA1003" s="865"/>
      <c r="AB1003" s="2"/>
      <c r="AC1003" s="2"/>
      <c r="AD1003" s="2"/>
      <c r="AE1003" s="2"/>
      <c r="AF1003" s="2"/>
      <c r="AG1003" s="2"/>
      <c r="AH1003" s="2"/>
      <c r="AI1003" s="2"/>
      <c r="AJ1003" s="2"/>
      <c r="AK1003" s="2"/>
      <c r="AL1003" s="2"/>
      <c r="AM1003" s="2"/>
      <c r="AN1003" s="2"/>
      <c r="AO1003" s="9"/>
      <c r="AP1003" s="9"/>
      <c r="AQ1003" s="9"/>
      <c r="AR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224"/>
      <c r="X1004" s="224"/>
      <c r="Y1004" s="224"/>
      <c r="Z1004" s="868"/>
      <c r="AA1004" s="865"/>
      <c r="AB1004" s="2"/>
      <c r="AC1004" s="2"/>
      <c r="AD1004" s="2"/>
      <c r="AE1004" s="2"/>
      <c r="AF1004" s="2"/>
      <c r="AG1004" s="2"/>
      <c r="AH1004" s="2"/>
      <c r="AI1004" s="2"/>
      <c r="AJ1004" s="2"/>
      <c r="AK1004" s="2"/>
      <c r="AL1004" s="2"/>
      <c r="AM1004" s="2"/>
      <c r="AN1004" s="2"/>
      <c r="AO1004" s="9"/>
      <c r="AP1004" s="9"/>
      <c r="AQ1004" s="9"/>
      <c r="AR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224"/>
      <c r="X1005" s="224"/>
      <c r="Y1005" s="224"/>
      <c r="Z1005" s="868"/>
      <c r="AA1005" s="865"/>
      <c r="AB1005" s="2"/>
      <c r="AC1005" s="2"/>
      <c r="AD1005" s="2"/>
      <c r="AE1005" s="2"/>
      <c r="AF1005" s="2"/>
      <c r="AG1005" s="2"/>
      <c r="AH1005" s="2"/>
      <c r="AI1005" s="2"/>
      <c r="AJ1005" s="2"/>
      <c r="AK1005" s="2"/>
      <c r="AL1005" s="2"/>
      <c r="AM1005" s="2"/>
      <c r="AN1005" s="2"/>
      <c r="AO1005" s="9"/>
      <c r="AP1005" s="9"/>
      <c r="AQ1005" s="9"/>
      <c r="AR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224"/>
      <c r="X1006" s="224"/>
      <c r="Y1006" s="224"/>
      <c r="Z1006" s="868"/>
      <c r="AA1006" s="865"/>
      <c r="AB1006" s="2"/>
      <c r="AC1006" s="2"/>
      <c r="AD1006" s="2"/>
      <c r="AE1006" s="2"/>
      <c r="AF1006" s="2"/>
      <c r="AG1006" s="2"/>
      <c r="AH1006" s="2"/>
      <c r="AI1006" s="2"/>
      <c r="AJ1006" s="2"/>
      <c r="AK1006" s="2"/>
      <c r="AL1006" s="2"/>
      <c r="AM1006" s="2"/>
      <c r="AN1006" s="2"/>
      <c r="AO1006" s="9"/>
      <c r="AP1006" s="9"/>
      <c r="AQ1006" s="9"/>
      <c r="AR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224"/>
      <c r="X1007" s="224"/>
      <c r="Y1007" s="224"/>
      <c r="Z1007" s="868"/>
      <c r="AA1007" s="865"/>
      <c r="AB1007" s="2"/>
      <c r="AC1007" s="2"/>
      <c r="AD1007" s="2"/>
      <c r="AE1007" s="2"/>
      <c r="AF1007" s="2"/>
      <c r="AG1007" s="2"/>
      <c r="AH1007" s="2"/>
      <c r="AI1007" s="2"/>
      <c r="AJ1007" s="2"/>
      <c r="AK1007" s="2"/>
      <c r="AL1007" s="2"/>
      <c r="AM1007" s="2"/>
      <c r="AN1007" s="2"/>
      <c r="AO1007" s="9"/>
      <c r="AP1007" s="9"/>
      <c r="AQ1007" s="9"/>
      <c r="AR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224"/>
      <c r="X1008" s="224"/>
      <c r="Y1008" s="224"/>
      <c r="Z1008" s="868"/>
      <c r="AA1008" s="865"/>
      <c r="AB1008" s="2"/>
      <c r="AC1008" s="2"/>
      <c r="AD1008" s="2"/>
      <c r="AE1008" s="2"/>
      <c r="AF1008" s="2"/>
      <c r="AG1008" s="2"/>
      <c r="AH1008" s="2"/>
      <c r="AI1008" s="2"/>
      <c r="AJ1008" s="2"/>
      <c r="AK1008" s="2"/>
      <c r="AL1008" s="2"/>
      <c r="AM1008" s="2"/>
      <c r="AN1008" s="2"/>
      <c r="AO1008" s="9"/>
      <c r="AP1008" s="9"/>
      <c r="AQ1008" s="9"/>
      <c r="AR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224"/>
      <c r="X1009" s="224"/>
      <c r="Y1009" s="224"/>
      <c r="Z1009" s="868"/>
      <c r="AA1009" s="865"/>
      <c r="AB1009" s="2"/>
      <c r="AC1009" s="2"/>
      <c r="AD1009" s="2"/>
      <c r="AE1009" s="2"/>
      <c r="AF1009" s="2"/>
      <c r="AG1009" s="2"/>
      <c r="AH1009" s="2"/>
      <c r="AI1009" s="2"/>
      <c r="AJ1009" s="2"/>
      <c r="AK1009" s="2"/>
      <c r="AL1009" s="2"/>
      <c r="AM1009" s="2"/>
      <c r="AN1009" s="2"/>
      <c r="AO1009" s="9"/>
      <c r="AP1009" s="9"/>
      <c r="AQ1009" s="9"/>
      <c r="AR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224"/>
      <c r="X1010" s="224"/>
      <c r="Y1010" s="224"/>
      <c r="Z1010" s="868"/>
      <c r="AA1010" s="865"/>
      <c r="AB1010" s="2"/>
      <c r="AC1010" s="2"/>
      <c r="AD1010" s="2"/>
      <c r="AE1010" s="2"/>
      <c r="AF1010" s="2"/>
      <c r="AG1010" s="2"/>
      <c r="AH1010" s="2"/>
      <c r="AI1010" s="2"/>
      <c r="AJ1010" s="2"/>
      <c r="AK1010" s="2"/>
      <c r="AL1010" s="2"/>
      <c r="AM1010" s="2"/>
      <c r="AN1010" s="2"/>
      <c r="AO1010" s="9"/>
      <c r="AP1010" s="9"/>
      <c r="AQ1010" s="9"/>
      <c r="AR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224"/>
      <c r="X1011" s="224"/>
      <c r="Y1011" s="224"/>
      <c r="Z1011" s="868"/>
      <c r="AA1011" s="865"/>
      <c r="AB1011" s="2"/>
      <c r="AC1011" s="2"/>
      <c r="AD1011" s="2"/>
      <c r="AE1011" s="2"/>
      <c r="AF1011" s="2"/>
      <c r="AG1011" s="2"/>
      <c r="AH1011" s="2"/>
      <c r="AI1011" s="2"/>
      <c r="AJ1011" s="2"/>
      <c r="AK1011" s="2"/>
      <c r="AL1011" s="2"/>
      <c r="AM1011" s="2"/>
      <c r="AN1011" s="2"/>
      <c r="AO1011" s="9"/>
      <c r="AP1011" s="9"/>
      <c r="AQ1011" s="9"/>
      <c r="AR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224"/>
      <c r="X1012" s="224"/>
      <c r="Y1012" s="224"/>
      <c r="Z1012" s="868"/>
      <c r="AA1012" s="865"/>
      <c r="AB1012" s="2"/>
      <c r="AC1012" s="2"/>
      <c r="AD1012" s="2"/>
      <c r="AE1012" s="2"/>
      <c r="AF1012" s="2"/>
      <c r="AG1012" s="2"/>
      <c r="AH1012" s="2"/>
      <c r="AI1012" s="2"/>
      <c r="AJ1012" s="2"/>
      <c r="AK1012" s="2"/>
      <c r="AL1012" s="2"/>
      <c r="AM1012" s="2"/>
      <c r="AN1012" s="2"/>
      <c r="AO1012" s="9"/>
      <c r="AP1012" s="9"/>
      <c r="AQ1012" s="9"/>
      <c r="AR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224"/>
      <c r="X1013" s="224"/>
      <c r="Y1013" s="224"/>
      <c r="Z1013" s="868"/>
      <c r="AA1013" s="865"/>
      <c r="AB1013" s="2"/>
      <c r="AC1013" s="2"/>
      <c r="AD1013" s="2"/>
      <c r="AE1013" s="2"/>
      <c r="AF1013" s="2"/>
      <c r="AG1013" s="2"/>
      <c r="AH1013" s="2"/>
      <c r="AI1013" s="2"/>
      <c r="AJ1013" s="2"/>
      <c r="AK1013" s="2"/>
      <c r="AL1013" s="2"/>
      <c r="AM1013" s="2"/>
      <c r="AN1013" s="2"/>
      <c r="AO1013" s="9"/>
      <c r="AP1013" s="9"/>
      <c r="AQ1013" s="9"/>
      <c r="AR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224"/>
      <c r="X1014" s="224"/>
      <c r="Y1014" s="224"/>
      <c r="Z1014" s="868"/>
      <c r="AA1014" s="865"/>
      <c r="AB1014" s="2"/>
      <c r="AC1014" s="2"/>
      <c r="AD1014" s="2"/>
      <c r="AE1014" s="2"/>
      <c r="AF1014" s="2"/>
      <c r="AG1014" s="2"/>
      <c r="AH1014" s="2"/>
      <c r="AI1014" s="2"/>
      <c r="AJ1014" s="2"/>
      <c r="AK1014" s="2"/>
      <c r="AL1014" s="2"/>
      <c r="AM1014" s="2"/>
      <c r="AN1014" s="2"/>
      <c r="AO1014" s="9"/>
      <c r="AP1014" s="9"/>
      <c r="AQ1014" s="9"/>
      <c r="AR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224"/>
      <c r="X1015" s="224"/>
      <c r="Y1015" s="224"/>
      <c r="Z1015" s="868"/>
      <c r="AA1015" s="865"/>
      <c r="AB1015" s="2"/>
      <c r="AC1015" s="2"/>
      <c r="AD1015" s="2"/>
      <c r="AE1015" s="2"/>
      <c r="AF1015" s="2"/>
      <c r="AG1015" s="2"/>
      <c r="AH1015" s="2"/>
      <c r="AI1015" s="2"/>
      <c r="AJ1015" s="2"/>
      <c r="AK1015" s="2"/>
      <c r="AL1015" s="2"/>
      <c r="AM1015" s="2"/>
      <c r="AN1015" s="2"/>
      <c r="AO1015" s="9"/>
      <c r="AP1015" s="9"/>
      <c r="AQ1015" s="9"/>
      <c r="AR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224"/>
      <c r="X1016" s="224"/>
      <c r="Y1016" s="224"/>
      <c r="Z1016" s="868"/>
      <c r="AA1016" s="865"/>
      <c r="AB1016" s="2"/>
      <c r="AC1016" s="2"/>
      <c r="AD1016" s="2"/>
      <c r="AE1016" s="2"/>
      <c r="AF1016" s="2"/>
      <c r="AG1016" s="2"/>
      <c r="AH1016" s="2"/>
      <c r="AI1016" s="2"/>
      <c r="AJ1016" s="2"/>
      <c r="AK1016" s="2"/>
      <c r="AL1016" s="2"/>
      <c r="AM1016" s="2"/>
      <c r="AN1016" s="2"/>
      <c r="AO1016" s="9"/>
      <c r="AP1016" s="9"/>
      <c r="AQ1016" s="9"/>
      <c r="AR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224"/>
      <c r="X1017" s="224"/>
      <c r="Y1017" s="224"/>
      <c r="Z1017" s="868"/>
      <c r="AA1017" s="865"/>
      <c r="AB1017" s="2"/>
      <c r="AC1017" s="2"/>
      <c r="AD1017" s="2"/>
      <c r="AE1017" s="2"/>
      <c r="AF1017" s="2"/>
      <c r="AG1017" s="2"/>
      <c r="AH1017" s="2"/>
      <c r="AI1017" s="2"/>
      <c r="AJ1017" s="2"/>
      <c r="AK1017" s="2"/>
      <c r="AL1017" s="2"/>
      <c r="AM1017" s="2"/>
      <c r="AN1017" s="2"/>
      <c r="AO1017" s="9"/>
      <c r="AP1017" s="9"/>
      <c r="AQ1017" s="9"/>
      <c r="AR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224"/>
      <c r="X1018" s="224"/>
      <c r="Y1018" s="224"/>
      <c r="Z1018" s="868"/>
      <c r="AA1018" s="865"/>
      <c r="AB1018" s="2"/>
      <c r="AC1018" s="2"/>
      <c r="AD1018" s="2"/>
      <c r="AE1018" s="2"/>
      <c r="AF1018" s="2"/>
      <c r="AG1018" s="2"/>
      <c r="AH1018" s="2"/>
      <c r="AI1018" s="2"/>
      <c r="AJ1018" s="2"/>
      <c r="AK1018" s="2"/>
      <c r="AL1018" s="2"/>
      <c r="AM1018" s="2"/>
      <c r="AN1018" s="2"/>
      <c r="AO1018" s="9"/>
      <c r="AP1018" s="9"/>
      <c r="AQ1018" s="9"/>
      <c r="AR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224"/>
      <c r="X1019" s="224"/>
      <c r="Y1019" s="224"/>
      <c r="Z1019" s="868"/>
      <c r="AA1019" s="865"/>
      <c r="AB1019" s="2"/>
      <c r="AC1019" s="2"/>
      <c r="AD1019" s="2"/>
      <c r="AE1019" s="2"/>
      <c r="AF1019" s="2"/>
      <c r="AG1019" s="2"/>
      <c r="AH1019" s="2"/>
      <c r="AI1019" s="2"/>
      <c r="AJ1019" s="2"/>
      <c r="AK1019" s="2"/>
      <c r="AL1019" s="2"/>
      <c r="AM1019" s="2"/>
      <c r="AN1019" s="2"/>
      <c r="AO1019" s="9"/>
      <c r="AP1019" s="9"/>
      <c r="AQ1019" s="9"/>
      <c r="AR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224"/>
      <c r="X1020" s="224"/>
      <c r="Y1020" s="224"/>
      <c r="Z1020" s="868"/>
      <c r="AA1020" s="865"/>
      <c r="AB1020" s="2"/>
      <c r="AC1020" s="2"/>
      <c r="AD1020" s="2"/>
      <c r="AE1020" s="2"/>
      <c r="AF1020" s="2"/>
      <c r="AG1020" s="2"/>
      <c r="AH1020" s="2"/>
      <c r="AI1020" s="2"/>
      <c r="AJ1020" s="2"/>
      <c r="AK1020" s="2"/>
      <c r="AL1020" s="2"/>
      <c r="AM1020" s="2"/>
      <c r="AN1020" s="2"/>
      <c r="AO1020" s="9"/>
      <c r="AP1020" s="9"/>
      <c r="AQ1020" s="9"/>
      <c r="AR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224"/>
      <c r="X1021" s="224"/>
      <c r="Y1021" s="224"/>
      <c r="Z1021" s="868"/>
      <c r="AA1021" s="865"/>
      <c r="AB1021" s="2"/>
      <c r="AC1021" s="2"/>
      <c r="AD1021" s="2"/>
      <c r="AE1021" s="2"/>
      <c r="AF1021" s="2"/>
      <c r="AG1021" s="2"/>
      <c r="AH1021" s="2"/>
      <c r="AI1021" s="2"/>
      <c r="AJ1021" s="2"/>
      <c r="AK1021" s="2"/>
      <c r="AL1021" s="2"/>
      <c r="AM1021" s="2"/>
      <c r="AN1021" s="2"/>
      <c r="AO1021" s="9"/>
      <c r="AP1021" s="9"/>
      <c r="AQ1021" s="9"/>
      <c r="AR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224"/>
      <c r="X1022" s="224"/>
      <c r="Y1022" s="224"/>
      <c r="Z1022" s="868"/>
      <c r="AA1022" s="865"/>
      <c r="AB1022" s="2"/>
      <c r="AC1022" s="2"/>
      <c r="AD1022" s="2"/>
      <c r="AE1022" s="2"/>
      <c r="AF1022" s="2"/>
      <c r="AG1022" s="2"/>
      <c r="AH1022" s="2"/>
      <c r="AI1022" s="2"/>
      <c r="AJ1022" s="2"/>
      <c r="AK1022" s="2"/>
      <c r="AL1022" s="2"/>
      <c r="AM1022" s="2"/>
      <c r="AN1022" s="2"/>
      <c r="AO1022" s="9"/>
      <c r="AP1022" s="9"/>
      <c r="AQ1022" s="9"/>
      <c r="AR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224"/>
      <c r="X1023" s="224"/>
      <c r="Y1023" s="224"/>
      <c r="Z1023" s="868"/>
      <c r="AA1023" s="865"/>
      <c r="AB1023" s="2"/>
      <c r="AC1023" s="2"/>
      <c r="AD1023" s="2"/>
      <c r="AE1023" s="2"/>
      <c r="AF1023" s="2"/>
      <c r="AG1023" s="2"/>
      <c r="AH1023" s="2"/>
      <c r="AI1023" s="2"/>
      <c r="AJ1023" s="2"/>
      <c r="AK1023" s="2"/>
      <c r="AL1023" s="2"/>
      <c r="AM1023" s="2"/>
      <c r="AN1023" s="2"/>
      <c r="AO1023" s="9"/>
      <c r="AP1023" s="9"/>
      <c r="AQ1023" s="9"/>
      <c r="AR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224"/>
      <c r="X1024" s="224"/>
      <c r="Y1024" s="224"/>
      <c r="Z1024" s="868"/>
      <c r="AA1024" s="865"/>
      <c r="AB1024" s="2"/>
      <c r="AC1024" s="2"/>
      <c r="AD1024" s="2"/>
      <c r="AE1024" s="2"/>
      <c r="AF1024" s="2"/>
      <c r="AG1024" s="2"/>
      <c r="AH1024" s="2"/>
      <c r="AI1024" s="2"/>
      <c r="AJ1024" s="2"/>
      <c r="AK1024" s="2"/>
      <c r="AL1024" s="2"/>
      <c r="AM1024" s="2"/>
      <c r="AN1024" s="2"/>
      <c r="AO1024" s="9"/>
      <c r="AP1024" s="9"/>
      <c r="AQ1024" s="9"/>
      <c r="AR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224"/>
      <c r="X1025" s="224"/>
      <c r="Y1025" s="224"/>
      <c r="Z1025" s="868"/>
      <c r="AA1025" s="865"/>
      <c r="AB1025" s="2"/>
      <c r="AC1025" s="2"/>
      <c r="AD1025" s="2"/>
      <c r="AE1025" s="2"/>
      <c r="AF1025" s="2"/>
      <c r="AG1025" s="2"/>
      <c r="AH1025" s="2"/>
      <c r="AI1025" s="2"/>
      <c r="AJ1025" s="2"/>
      <c r="AK1025" s="2"/>
      <c r="AL1025" s="2"/>
      <c r="AM1025" s="2"/>
      <c r="AN1025" s="2"/>
      <c r="AO1025" s="9"/>
      <c r="AP1025" s="9"/>
      <c r="AQ1025" s="9"/>
      <c r="AR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224"/>
      <c r="X1026" s="224"/>
      <c r="Y1026" s="224"/>
      <c r="Z1026" s="868"/>
      <c r="AA1026" s="865"/>
      <c r="AB1026" s="2"/>
      <c r="AC1026" s="2"/>
      <c r="AD1026" s="2"/>
      <c r="AE1026" s="2"/>
      <c r="AF1026" s="2"/>
      <c r="AG1026" s="2"/>
      <c r="AH1026" s="2"/>
      <c r="AI1026" s="2"/>
      <c r="AJ1026" s="2"/>
      <c r="AK1026" s="2"/>
      <c r="AL1026" s="2"/>
      <c r="AM1026" s="2"/>
      <c r="AN1026" s="2"/>
      <c r="AO1026" s="9"/>
      <c r="AP1026" s="9"/>
      <c r="AQ1026" s="9"/>
      <c r="AR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224"/>
      <c r="X1027" s="224"/>
      <c r="Y1027" s="224"/>
      <c r="Z1027" s="868"/>
      <c r="AA1027" s="865"/>
      <c r="AB1027" s="2"/>
      <c r="AC1027" s="2"/>
      <c r="AD1027" s="2"/>
      <c r="AE1027" s="2"/>
      <c r="AF1027" s="2"/>
      <c r="AG1027" s="2"/>
      <c r="AH1027" s="2"/>
      <c r="AI1027" s="2"/>
      <c r="AJ1027" s="2"/>
      <c r="AK1027" s="2"/>
      <c r="AL1027" s="2"/>
      <c r="AM1027" s="2"/>
      <c r="AN1027" s="2"/>
      <c r="AO1027" s="9"/>
      <c r="AP1027" s="9"/>
      <c r="AQ1027" s="9"/>
      <c r="AR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224"/>
      <c r="X1028" s="224"/>
      <c r="Y1028" s="224"/>
      <c r="Z1028" s="868"/>
      <c r="AA1028" s="865"/>
      <c r="AB1028" s="2"/>
      <c r="AC1028" s="2"/>
      <c r="AD1028" s="2"/>
      <c r="AE1028" s="2"/>
      <c r="AF1028" s="2"/>
      <c r="AG1028" s="2"/>
      <c r="AH1028" s="2"/>
      <c r="AI1028" s="2"/>
      <c r="AJ1028" s="2"/>
      <c r="AK1028" s="2"/>
      <c r="AL1028" s="2"/>
      <c r="AM1028" s="2"/>
      <c r="AN1028" s="2"/>
      <c r="AO1028" s="9"/>
      <c r="AP1028" s="9"/>
      <c r="AQ1028" s="9"/>
      <c r="AR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224"/>
      <c r="X1029" s="224"/>
      <c r="Y1029" s="224"/>
      <c r="Z1029" s="868"/>
      <c r="AA1029" s="865"/>
      <c r="AB1029" s="2"/>
      <c r="AC1029" s="2"/>
      <c r="AD1029" s="2"/>
      <c r="AE1029" s="2"/>
      <c r="AF1029" s="2"/>
      <c r="AG1029" s="2"/>
      <c r="AH1029" s="2"/>
      <c r="AI1029" s="2"/>
      <c r="AJ1029" s="2"/>
      <c r="AK1029" s="2"/>
      <c r="AL1029" s="2"/>
      <c r="AM1029" s="2"/>
      <c r="AN1029" s="2"/>
      <c r="AO1029" s="9"/>
      <c r="AP1029" s="9"/>
      <c r="AQ1029" s="9"/>
      <c r="AR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224"/>
      <c r="X1030" s="224"/>
      <c r="Y1030" s="224"/>
      <c r="Z1030" s="868"/>
      <c r="AA1030" s="865"/>
      <c r="AB1030" s="2"/>
      <c r="AC1030" s="2"/>
      <c r="AD1030" s="2"/>
      <c r="AE1030" s="2"/>
      <c r="AF1030" s="2"/>
      <c r="AG1030" s="2"/>
      <c r="AH1030" s="2"/>
      <c r="AI1030" s="2"/>
      <c r="AJ1030" s="2"/>
      <c r="AK1030" s="2"/>
      <c r="AL1030" s="2"/>
      <c r="AM1030" s="2"/>
      <c r="AN1030" s="2"/>
      <c r="AO1030" s="9"/>
      <c r="AP1030" s="9"/>
      <c r="AQ1030" s="9"/>
      <c r="AR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224"/>
      <c r="X1031" s="224"/>
      <c r="Y1031" s="224"/>
      <c r="Z1031" s="868"/>
      <c r="AA1031" s="865"/>
      <c r="AB1031" s="2"/>
      <c r="AC1031" s="2"/>
      <c r="AD1031" s="2"/>
      <c r="AE1031" s="2"/>
      <c r="AF1031" s="2"/>
      <c r="AG1031" s="2"/>
      <c r="AH1031" s="2"/>
      <c r="AI1031" s="2"/>
      <c r="AJ1031" s="2"/>
      <c r="AK1031" s="2"/>
      <c r="AL1031" s="2"/>
      <c r="AM1031" s="2"/>
      <c r="AN1031" s="2"/>
      <c r="AO1031" s="9"/>
      <c r="AP1031" s="9"/>
      <c r="AQ1031" s="9"/>
      <c r="AR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224"/>
      <c r="X1032" s="224"/>
      <c r="Y1032" s="224"/>
      <c r="Z1032" s="868"/>
      <c r="AA1032" s="865"/>
      <c r="AB1032" s="2"/>
      <c r="AC1032" s="2"/>
      <c r="AD1032" s="2"/>
      <c r="AE1032" s="2"/>
      <c r="AF1032" s="2"/>
      <c r="AG1032" s="2"/>
      <c r="AH1032" s="2"/>
      <c r="AI1032" s="2"/>
      <c r="AJ1032" s="2"/>
      <c r="AK1032" s="2"/>
      <c r="AL1032" s="2"/>
      <c r="AM1032" s="2"/>
      <c r="AN1032" s="2"/>
      <c r="AO1032" s="9"/>
      <c r="AP1032" s="9"/>
      <c r="AQ1032" s="9"/>
      <c r="AR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224"/>
      <c r="X1033" s="224"/>
      <c r="Y1033" s="224"/>
      <c r="Z1033" s="868"/>
      <c r="AA1033" s="865"/>
      <c r="AB1033" s="2"/>
      <c r="AC1033" s="2"/>
      <c r="AD1033" s="2"/>
      <c r="AE1033" s="2"/>
      <c r="AF1033" s="2"/>
      <c r="AG1033" s="2"/>
      <c r="AH1033" s="2"/>
      <c r="AI1033" s="2"/>
      <c r="AJ1033" s="2"/>
      <c r="AK1033" s="2"/>
      <c r="AL1033" s="2"/>
      <c r="AM1033" s="2"/>
      <c r="AN1033" s="2"/>
      <c r="AO1033" s="9"/>
      <c r="AP1033" s="9"/>
      <c r="AQ1033" s="9"/>
      <c r="AR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224"/>
      <c r="X1034" s="224"/>
      <c r="Y1034" s="224"/>
      <c r="Z1034" s="868"/>
      <c r="AA1034" s="865"/>
      <c r="AB1034" s="2"/>
      <c r="AC1034" s="2"/>
      <c r="AD1034" s="2"/>
      <c r="AE1034" s="2"/>
      <c r="AF1034" s="2"/>
      <c r="AG1034" s="2"/>
      <c r="AH1034" s="2"/>
      <c r="AI1034" s="2"/>
      <c r="AJ1034" s="2"/>
      <c r="AK1034" s="2"/>
      <c r="AL1034" s="2"/>
      <c r="AM1034" s="2"/>
      <c r="AN1034" s="2"/>
      <c r="AO1034" s="9"/>
      <c r="AP1034" s="9"/>
      <c r="AQ1034" s="9"/>
      <c r="AR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224"/>
      <c r="X1035" s="224"/>
      <c r="Y1035" s="224"/>
      <c r="Z1035" s="868"/>
      <c r="AA1035" s="865"/>
      <c r="AB1035" s="2"/>
      <c r="AC1035" s="2"/>
      <c r="AD1035" s="2"/>
      <c r="AE1035" s="2"/>
      <c r="AF1035" s="2"/>
      <c r="AG1035" s="2"/>
      <c r="AH1035" s="2"/>
      <c r="AI1035" s="2"/>
      <c r="AJ1035" s="2"/>
      <c r="AK1035" s="2"/>
      <c r="AL1035" s="2"/>
      <c r="AM1035" s="2"/>
      <c r="AN1035" s="2"/>
      <c r="AO1035" s="9"/>
      <c r="AP1035" s="9"/>
      <c r="AQ1035" s="9"/>
      <c r="AR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224"/>
      <c r="X1036" s="224"/>
      <c r="Y1036" s="224"/>
      <c r="Z1036" s="868"/>
      <c r="AA1036" s="865"/>
      <c r="AB1036" s="2"/>
      <c r="AC1036" s="2"/>
      <c r="AD1036" s="2"/>
      <c r="AE1036" s="2"/>
      <c r="AF1036" s="2"/>
      <c r="AG1036" s="2"/>
      <c r="AH1036" s="2"/>
      <c r="AI1036" s="2"/>
      <c r="AJ1036" s="2"/>
      <c r="AK1036" s="2"/>
      <c r="AL1036" s="2"/>
      <c r="AM1036" s="2"/>
      <c r="AN1036" s="2"/>
      <c r="AO1036" s="9"/>
      <c r="AP1036" s="9"/>
      <c r="AQ1036" s="9"/>
      <c r="AR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224"/>
      <c r="X1037" s="224"/>
      <c r="Y1037" s="224"/>
      <c r="Z1037" s="868"/>
      <c r="AA1037" s="865"/>
      <c r="AB1037" s="2"/>
      <c r="AC1037" s="2"/>
      <c r="AD1037" s="2"/>
      <c r="AE1037" s="2"/>
      <c r="AF1037" s="2"/>
      <c r="AG1037" s="2"/>
      <c r="AH1037" s="2"/>
      <c r="AI1037" s="2"/>
      <c r="AJ1037" s="2"/>
      <c r="AK1037" s="2"/>
      <c r="AL1037" s="2"/>
      <c r="AM1037" s="2"/>
      <c r="AN1037" s="2"/>
      <c r="AO1037" s="9"/>
      <c r="AP1037" s="9"/>
      <c r="AQ1037" s="9"/>
      <c r="AR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224"/>
      <c r="X1038" s="224"/>
      <c r="Y1038" s="224"/>
      <c r="Z1038" s="868"/>
      <c r="AA1038" s="865"/>
      <c r="AB1038" s="2"/>
      <c r="AC1038" s="2"/>
      <c r="AD1038" s="2"/>
      <c r="AE1038" s="2"/>
      <c r="AF1038" s="2"/>
      <c r="AG1038" s="2"/>
      <c r="AH1038" s="2"/>
      <c r="AI1038" s="2"/>
      <c r="AJ1038" s="2"/>
      <c r="AK1038" s="2"/>
      <c r="AL1038" s="2"/>
      <c r="AM1038" s="2"/>
      <c r="AN1038" s="2"/>
      <c r="AO1038" s="9"/>
      <c r="AP1038" s="9"/>
      <c r="AQ1038" s="9"/>
      <c r="AR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224"/>
      <c r="X1039" s="224"/>
      <c r="Y1039" s="224"/>
      <c r="Z1039" s="868"/>
      <c r="AA1039" s="865"/>
      <c r="AB1039" s="2"/>
      <c r="AC1039" s="2"/>
      <c r="AD1039" s="2"/>
      <c r="AE1039" s="2"/>
      <c r="AF1039" s="2"/>
      <c r="AG1039" s="2"/>
      <c r="AH1039" s="2"/>
      <c r="AI1039" s="2"/>
      <c r="AJ1039" s="2"/>
      <c r="AK1039" s="2"/>
      <c r="AL1039" s="2"/>
      <c r="AM1039" s="2"/>
      <c r="AN1039" s="2"/>
      <c r="AO1039" s="9"/>
      <c r="AP1039" s="9"/>
      <c r="AQ1039" s="9"/>
      <c r="AR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224"/>
      <c r="X1040" s="224"/>
      <c r="Y1040" s="224"/>
      <c r="Z1040" s="868"/>
      <c r="AA1040" s="865"/>
      <c r="AB1040" s="2"/>
      <c r="AC1040" s="2"/>
      <c r="AD1040" s="2"/>
      <c r="AE1040" s="2"/>
      <c r="AF1040" s="2"/>
      <c r="AG1040" s="2"/>
      <c r="AH1040" s="2"/>
      <c r="AI1040" s="2"/>
      <c r="AJ1040" s="2"/>
      <c r="AK1040" s="2"/>
      <c r="AL1040" s="2"/>
      <c r="AM1040" s="2"/>
      <c r="AN1040" s="2"/>
      <c r="AO1040" s="9"/>
      <c r="AP1040" s="9"/>
      <c r="AQ1040" s="9"/>
      <c r="AR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224"/>
      <c r="X1041" s="224"/>
      <c r="Y1041" s="224"/>
      <c r="Z1041" s="868"/>
      <c r="AA1041" s="865"/>
      <c r="AB1041" s="2"/>
      <c r="AC1041" s="2"/>
      <c r="AD1041" s="2"/>
      <c r="AE1041" s="2"/>
      <c r="AF1041" s="2"/>
      <c r="AG1041" s="2"/>
      <c r="AH1041" s="2"/>
      <c r="AI1041" s="2"/>
      <c r="AJ1041" s="2"/>
      <c r="AK1041" s="2"/>
      <c r="AL1041" s="2"/>
      <c r="AM1041" s="2"/>
      <c r="AN1041" s="2"/>
      <c r="AO1041" s="9"/>
      <c r="AP1041" s="9"/>
      <c r="AQ1041" s="9"/>
      <c r="AR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224"/>
      <c r="X1042" s="224"/>
      <c r="Y1042" s="224"/>
      <c r="Z1042" s="868"/>
      <c r="AA1042" s="865"/>
      <c r="AB1042" s="2"/>
      <c r="AC1042" s="2"/>
      <c r="AD1042" s="2"/>
      <c r="AE1042" s="2"/>
      <c r="AF1042" s="2"/>
      <c r="AG1042" s="2"/>
      <c r="AH1042" s="2"/>
      <c r="AI1042" s="2"/>
      <c r="AJ1042" s="2"/>
      <c r="AK1042" s="2"/>
      <c r="AL1042" s="2"/>
      <c r="AM1042" s="2"/>
      <c r="AN1042" s="2"/>
      <c r="AO1042" s="9"/>
      <c r="AP1042" s="9"/>
      <c r="AQ1042" s="9"/>
      <c r="AR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224"/>
      <c r="X1043" s="224"/>
      <c r="Y1043" s="224"/>
      <c r="Z1043" s="868"/>
      <c r="AA1043" s="865"/>
      <c r="AB1043" s="2"/>
      <c r="AC1043" s="2"/>
      <c r="AD1043" s="2"/>
      <c r="AE1043" s="2"/>
      <c r="AF1043" s="2"/>
      <c r="AG1043" s="2"/>
      <c r="AH1043" s="2"/>
      <c r="AI1043" s="2"/>
      <c r="AJ1043" s="2"/>
      <c r="AK1043" s="2"/>
      <c r="AL1043" s="2"/>
      <c r="AM1043" s="2"/>
      <c r="AN1043" s="2"/>
      <c r="AO1043" s="9"/>
      <c r="AP1043" s="9"/>
      <c r="AQ1043" s="9"/>
      <c r="AR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224"/>
      <c r="X1044" s="224"/>
      <c r="Y1044" s="224"/>
      <c r="Z1044" s="868"/>
      <c r="AA1044" s="865"/>
      <c r="AB1044" s="2"/>
      <c r="AC1044" s="2"/>
      <c r="AD1044" s="2"/>
      <c r="AE1044" s="2"/>
      <c r="AF1044" s="2"/>
      <c r="AG1044" s="2"/>
      <c r="AH1044" s="2"/>
      <c r="AI1044" s="2"/>
      <c r="AJ1044" s="2"/>
      <c r="AK1044" s="2"/>
      <c r="AL1044" s="2"/>
      <c r="AM1044" s="2"/>
      <c r="AN1044" s="2"/>
      <c r="AO1044" s="9"/>
      <c r="AP1044" s="9"/>
      <c r="AQ1044" s="9"/>
      <c r="AR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224"/>
      <c r="X1045" s="224"/>
      <c r="Y1045" s="224"/>
      <c r="Z1045" s="868"/>
      <c r="AA1045" s="865"/>
      <c r="AB1045" s="2"/>
      <c r="AC1045" s="2"/>
      <c r="AD1045" s="2"/>
      <c r="AE1045" s="2"/>
      <c r="AF1045" s="2"/>
      <c r="AG1045" s="2"/>
      <c r="AH1045" s="2"/>
      <c r="AI1045" s="2"/>
      <c r="AJ1045" s="2"/>
      <c r="AK1045" s="2"/>
      <c r="AL1045" s="2"/>
      <c r="AM1045" s="2"/>
      <c r="AN1045" s="2"/>
      <c r="AO1045" s="9"/>
      <c r="AP1045" s="9"/>
      <c r="AQ1045" s="9"/>
      <c r="AR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224"/>
      <c r="X1046" s="224"/>
      <c r="Y1046" s="224"/>
      <c r="Z1046" s="868"/>
      <c r="AA1046" s="865"/>
      <c r="AB1046" s="2"/>
      <c r="AC1046" s="2"/>
      <c r="AD1046" s="2"/>
      <c r="AE1046" s="2"/>
      <c r="AF1046" s="2"/>
      <c r="AG1046" s="2"/>
      <c r="AH1046" s="2"/>
      <c r="AI1046" s="2"/>
      <c r="AJ1046" s="2"/>
      <c r="AK1046" s="2"/>
      <c r="AL1046" s="2"/>
      <c r="AM1046" s="2"/>
      <c r="AN1046" s="2"/>
      <c r="AO1046" s="9"/>
      <c r="AP1046" s="9"/>
      <c r="AQ1046" s="9"/>
      <c r="AR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224"/>
      <c r="X1047" s="224"/>
      <c r="Y1047" s="224"/>
      <c r="Z1047" s="868"/>
      <c r="AA1047" s="865"/>
      <c r="AB1047" s="2"/>
      <c r="AC1047" s="2"/>
      <c r="AD1047" s="2"/>
      <c r="AE1047" s="2"/>
      <c r="AF1047" s="2"/>
      <c r="AG1047" s="2"/>
      <c r="AH1047" s="2"/>
      <c r="AI1047" s="2"/>
      <c r="AJ1047" s="2"/>
      <c r="AK1047" s="2"/>
      <c r="AL1047" s="2"/>
      <c r="AM1047" s="2"/>
      <c r="AN1047" s="2"/>
      <c r="AO1047" s="9"/>
      <c r="AP1047" s="9"/>
      <c r="AQ1047" s="9"/>
      <c r="AR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224"/>
      <c r="X1048" s="224"/>
      <c r="Y1048" s="224"/>
      <c r="Z1048" s="868"/>
      <c r="AA1048" s="865"/>
      <c r="AB1048" s="2"/>
      <c r="AC1048" s="2"/>
      <c r="AD1048" s="2"/>
      <c r="AE1048" s="2"/>
      <c r="AF1048" s="2"/>
      <c r="AG1048" s="2"/>
      <c r="AH1048" s="2"/>
      <c r="AI1048" s="2"/>
      <c r="AJ1048" s="2"/>
      <c r="AK1048" s="2"/>
      <c r="AL1048" s="2"/>
      <c r="AM1048" s="2"/>
      <c r="AN1048" s="2"/>
      <c r="AO1048" s="9"/>
      <c r="AP1048" s="9"/>
      <c r="AQ1048" s="9"/>
      <c r="AR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224"/>
      <c r="X1049" s="224"/>
      <c r="Y1049" s="224"/>
      <c r="Z1049" s="868"/>
      <c r="AA1049" s="865"/>
      <c r="AB1049" s="2"/>
      <c r="AC1049" s="2"/>
      <c r="AD1049" s="2"/>
      <c r="AE1049" s="2"/>
      <c r="AF1049" s="2"/>
      <c r="AG1049" s="2"/>
      <c r="AH1049" s="2"/>
      <c r="AI1049" s="2"/>
      <c r="AJ1049" s="2"/>
      <c r="AK1049" s="2"/>
      <c r="AL1049" s="2"/>
      <c r="AM1049" s="2"/>
      <c r="AN1049" s="2"/>
      <c r="AO1049" s="9"/>
      <c r="AP1049" s="9"/>
      <c r="AQ1049" s="9"/>
      <c r="AR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224"/>
      <c r="X1050" s="224"/>
      <c r="Y1050" s="224"/>
      <c r="Z1050" s="868"/>
      <c r="AA1050" s="865"/>
      <c r="AB1050" s="2"/>
      <c r="AC1050" s="2"/>
      <c r="AD1050" s="2"/>
      <c r="AE1050" s="2"/>
      <c r="AF1050" s="2"/>
      <c r="AG1050" s="2"/>
      <c r="AH1050" s="2"/>
      <c r="AI1050" s="2"/>
      <c r="AJ1050" s="2"/>
      <c r="AK1050" s="2"/>
      <c r="AL1050" s="2"/>
      <c r="AM1050" s="2"/>
      <c r="AN1050" s="2"/>
      <c r="AO1050" s="9"/>
      <c r="AP1050" s="9"/>
      <c r="AQ1050" s="9"/>
      <c r="AR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224"/>
      <c r="X1051" s="224"/>
      <c r="Y1051" s="224"/>
      <c r="Z1051" s="868"/>
      <c r="AA1051" s="865"/>
      <c r="AB1051" s="2"/>
      <c r="AC1051" s="2"/>
      <c r="AD1051" s="2"/>
      <c r="AE1051" s="2"/>
      <c r="AF1051" s="2"/>
      <c r="AG1051" s="2"/>
      <c r="AH1051" s="2"/>
      <c r="AI1051" s="2"/>
      <c r="AJ1051" s="2"/>
      <c r="AK1051" s="2"/>
      <c r="AL1051" s="2"/>
      <c r="AM1051" s="2"/>
      <c r="AN1051" s="2"/>
      <c r="AO1051" s="9"/>
      <c r="AP1051" s="9"/>
      <c r="AQ1051" s="9"/>
      <c r="AR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224"/>
      <c r="X1052" s="224"/>
      <c r="Y1052" s="224"/>
      <c r="Z1052" s="868"/>
      <c r="AA1052" s="865"/>
      <c r="AB1052" s="2"/>
      <c r="AC1052" s="2"/>
      <c r="AD1052" s="2"/>
      <c r="AE1052" s="2"/>
      <c r="AF1052" s="2"/>
      <c r="AG1052" s="2"/>
      <c r="AH1052" s="2"/>
      <c r="AI1052" s="2"/>
      <c r="AJ1052" s="2"/>
      <c r="AK1052" s="2"/>
      <c r="AL1052" s="2"/>
      <c r="AM1052" s="2"/>
      <c r="AN1052" s="2"/>
      <c r="AO1052" s="9"/>
      <c r="AP1052" s="9"/>
      <c r="AQ1052" s="9"/>
      <c r="AR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224"/>
      <c r="X1053" s="224"/>
      <c r="Y1053" s="224"/>
      <c r="Z1053" s="868"/>
      <c r="AA1053" s="865"/>
      <c r="AB1053" s="2"/>
      <c r="AC1053" s="2"/>
      <c r="AD1053" s="2"/>
      <c r="AE1053" s="2"/>
      <c r="AF1053" s="2"/>
      <c r="AG1053" s="2"/>
      <c r="AH1053" s="2"/>
      <c r="AI1053" s="2"/>
      <c r="AJ1053" s="2"/>
      <c r="AK1053" s="2"/>
      <c r="AL1053" s="2"/>
      <c r="AM1053" s="2"/>
      <c r="AN1053" s="2"/>
      <c r="AO1053" s="9"/>
      <c r="AP1053" s="9"/>
      <c r="AQ1053" s="9"/>
      <c r="AR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224"/>
      <c r="X1054" s="224"/>
      <c r="Y1054" s="224"/>
      <c r="Z1054" s="868"/>
      <c r="AA1054" s="865"/>
      <c r="AB1054" s="2"/>
      <c r="AC1054" s="2"/>
      <c r="AD1054" s="2"/>
      <c r="AE1054" s="2"/>
      <c r="AF1054" s="2"/>
      <c r="AG1054" s="2"/>
      <c r="AH1054" s="2"/>
      <c r="AI1054" s="2"/>
      <c r="AJ1054" s="2"/>
      <c r="AK1054" s="2"/>
      <c r="AL1054" s="2"/>
      <c r="AM1054" s="2"/>
      <c r="AN1054" s="2"/>
      <c r="AO1054" s="9"/>
      <c r="AP1054" s="9"/>
      <c r="AQ1054" s="9"/>
      <c r="AR1054" s="9"/>
    </row>
  </sheetData>
  <mergeCells count="383">
    <mergeCell ref="Y53:Y54"/>
    <mergeCell ref="X55:X56"/>
    <mergeCell ref="Y55:Y56"/>
    <mergeCell ref="X43:X44"/>
    <mergeCell ref="X45:X46"/>
    <mergeCell ref="X47:X48"/>
    <mergeCell ref="Y47:Y48"/>
    <mergeCell ref="X49:X50"/>
    <mergeCell ref="Y49:Y50"/>
    <mergeCell ref="Y51:Y52"/>
    <mergeCell ref="T62:T63"/>
    <mergeCell ref="U62:U63"/>
    <mergeCell ref="R55:R56"/>
    <mergeCell ref="S55:S56"/>
    <mergeCell ref="T55:T56"/>
    <mergeCell ref="U55:U56"/>
    <mergeCell ref="R60:R63"/>
    <mergeCell ref="T60:T61"/>
    <mergeCell ref="U60:U61"/>
    <mergeCell ref="R64:R65"/>
    <mergeCell ref="S64:S65"/>
    <mergeCell ref="T64:T65"/>
    <mergeCell ref="U64:U65"/>
    <mergeCell ref="S66:S67"/>
    <mergeCell ref="T66:T67"/>
    <mergeCell ref="U66:U67"/>
    <mergeCell ref="T71:T72"/>
    <mergeCell ref="U71:U72"/>
    <mergeCell ref="R66:R67"/>
    <mergeCell ref="R68:R69"/>
    <mergeCell ref="S68:S69"/>
    <mergeCell ref="T68:T69"/>
    <mergeCell ref="U68:U69"/>
    <mergeCell ref="R71:R74"/>
    <mergeCell ref="S71:S72"/>
    <mergeCell ref="U73:U74"/>
    <mergeCell ref="S77:S78"/>
    <mergeCell ref="R80:R81"/>
    <mergeCell ref="S80:S81"/>
    <mergeCell ref="T80:T81"/>
    <mergeCell ref="U80:U81"/>
    <mergeCell ref="M82:M83"/>
    <mergeCell ref="N82:N83"/>
    <mergeCell ref="Q82:Q83"/>
    <mergeCell ref="S73:S74"/>
    <mergeCell ref="T73:T74"/>
    <mergeCell ref="S75:S76"/>
    <mergeCell ref="T75:T76"/>
    <mergeCell ref="U75:U76"/>
    <mergeCell ref="T77:T78"/>
    <mergeCell ref="U77:U78"/>
    <mergeCell ref="X51:X52"/>
    <mergeCell ref="X53:X54"/>
    <mergeCell ref="Z53:Z54"/>
    <mergeCell ref="Z55:Z56"/>
    <mergeCell ref="X60:X61"/>
    <mergeCell ref="Y60:Y61"/>
    <mergeCell ref="Y62:Y63"/>
    <mergeCell ref="X62:X63"/>
    <mergeCell ref="X64:X65"/>
    <mergeCell ref="Y64:Y65"/>
    <mergeCell ref="Z64:Z65"/>
    <mergeCell ref="Y66:Y67"/>
    <mergeCell ref="Z66:Z67"/>
    <mergeCell ref="Z68:Z69"/>
    <mergeCell ref="X77:X78"/>
    <mergeCell ref="Y77:Y78"/>
    <mergeCell ref="X80:X81"/>
    <mergeCell ref="Y80:Y81"/>
    <mergeCell ref="AK97:AL97"/>
    <mergeCell ref="X66:X67"/>
    <mergeCell ref="X71:X72"/>
    <mergeCell ref="Y71:Y72"/>
    <mergeCell ref="X73:X74"/>
    <mergeCell ref="Y73:Y74"/>
    <mergeCell ref="X75:X76"/>
    <mergeCell ref="Y75:Y76"/>
    <mergeCell ref="R43:R44"/>
    <mergeCell ref="S43:S44"/>
    <mergeCell ref="T43:T44"/>
    <mergeCell ref="U43:U44"/>
    <mergeCell ref="Y43:Y44"/>
    <mergeCell ref="R45:R46"/>
    <mergeCell ref="U45:U46"/>
    <mergeCell ref="Y45:Y46"/>
    <mergeCell ref="S49:S50"/>
    <mergeCell ref="T49:T50"/>
    <mergeCell ref="S45:S46"/>
    <mergeCell ref="T45:T46"/>
    <mergeCell ref="R47:R48"/>
    <mergeCell ref="S47:S48"/>
    <mergeCell ref="T47:T48"/>
    <mergeCell ref="U47:U48"/>
    <mergeCell ref="U49:U50"/>
    <mergeCell ref="T53:T54"/>
    <mergeCell ref="U53:U54"/>
    <mergeCell ref="R49:R50"/>
    <mergeCell ref="R51:R52"/>
    <mergeCell ref="S51:S52"/>
    <mergeCell ref="T51:T52"/>
    <mergeCell ref="U51:U52"/>
    <mergeCell ref="R53:R54"/>
    <mergeCell ref="S53:S54"/>
    <mergeCell ref="S60:S61"/>
    <mergeCell ref="S62:S63"/>
    <mergeCell ref="X68:X69"/>
    <mergeCell ref="Y68:Y69"/>
    <mergeCell ref="A55:A56"/>
    <mergeCell ref="B57:B58"/>
    <mergeCell ref="C57:C58"/>
    <mergeCell ref="D57:D58"/>
    <mergeCell ref="E57:E58"/>
    <mergeCell ref="F57:F58"/>
    <mergeCell ref="G57:G58"/>
    <mergeCell ref="A57:A58"/>
    <mergeCell ref="B60:B61"/>
    <mergeCell ref="C60:C61"/>
    <mergeCell ref="D60:D61"/>
    <mergeCell ref="E60:E61"/>
    <mergeCell ref="F60:F61"/>
    <mergeCell ref="G60:G61"/>
    <mergeCell ref="A60:A61"/>
    <mergeCell ref="B62:B63"/>
    <mergeCell ref="C62:C63"/>
    <mergeCell ref="D62:D63"/>
    <mergeCell ref="E62:E63"/>
    <mergeCell ref="F62:F63"/>
    <mergeCell ref="G62:G63"/>
    <mergeCell ref="A62:A63"/>
    <mergeCell ref="B64:B65"/>
    <mergeCell ref="C64:C65"/>
    <mergeCell ref="D64:D65"/>
    <mergeCell ref="E64:E65"/>
    <mergeCell ref="F64:F65"/>
    <mergeCell ref="G64:G65"/>
    <mergeCell ref="A64:A65"/>
    <mergeCell ref="B66:B67"/>
    <mergeCell ref="C66:C67"/>
    <mergeCell ref="D66:D67"/>
    <mergeCell ref="E66:E67"/>
    <mergeCell ref="F66:F67"/>
    <mergeCell ref="G66:G67"/>
    <mergeCell ref="A66:A67"/>
    <mergeCell ref="B68:B69"/>
    <mergeCell ref="C68:C69"/>
    <mergeCell ref="D68:D69"/>
    <mergeCell ref="E68:E69"/>
    <mergeCell ref="F68:F69"/>
    <mergeCell ref="G68:G69"/>
    <mergeCell ref="A68:A69"/>
    <mergeCell ref="B71:B72"/>
    <mergeCell ref="C71:C72"/>
    <mergeCell ref="D71:D72"/>
    <mergeCell ref="E71:E72"/>
    <mergeCell ref="F71:F72"/>
    <mergeCell ref="G71:G72"/>
    <mergeCell ref="A71:A72"/>
    <mergeCell ref="B73:B74"/>
    <mergeCell ref="C73:C74"/>
    <mergeCell ref="D73:D74"/>
    <mergeCell ref="E73:E74"/>
    <mergeCell ref="F73:F74"/>
    <mergeCell ref="G73:G74"/>
    <mergeCell ref="A73:A74"/>
    <mergeCell ref="B75:B76"/>
    <mergeCell ref="C75:C76"/>
    <mergeCell ref="D75:D76"/>
    <mergeCell ref="E75:E76"/>
    <mergeCell ref="F75:F76"/>
    <mergeCell ref="G75:G76"/>
    <mergeCell ref="A75:A76"/>
    <mergeCell ref="B77:B78"/>
    <mergeCell ref="C77:C78"/>
    <mergeCell ref="D77:D78"/>
    <mergeCell ref="E77:E78"/>
    <mergeCell ref="F77:F78"/>
    <mergeCell ref="G77:G78"/>
    <mergeCell ref="C95:H95"/>
    <mergeCell ref="A24:A25"/>
    <mergeCell ref="B26:B27"/>
    <mergeCell ref="C26:C27"/>
    <mergeCell ref="D26:D27"/>
    <mergeCell ref="E26:E27"/>
    <mergeCell ref="F26:F27"/>
    <mergeCell ref="G26:G27"/>
    <mergeCell ref="A26:A27"/>
    <mergeCell ref="A28:A29"/>
    <mergeCell ref="B28:B29"/>
    <mergeCell ref="C28:C29"/>
    <mergeCell ref="D28:D29"/>
    <mergeCell ref="E28:E29"/>
    <mergeCell ref="F28:F29"/>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80:B81"/>
    <mergeCell ref="A82:B83"/>
    <mergeCell ref="A77:A78"/>
    <mergeCell ref="A80:A81"/>
    <mergeCell ref="C80:C81"/>
    <mergeCell ref="D80:D81"/>
    <mergeCell ref="E80:E81"/>
    <mergeCell ref="F80:F81"/>
    <mergeCell ref="G80:G81"/>
    <mergeCell ref="E7:E8"/>
    <mergeCell ref="E9:E10"/>
    <mergeCell ref="AC17:AJ17"/>
    <mergeCell ref="AC18:AF18"/>
    <mergeCell ref="AG18:AJ18"/>
    <mergeCell ref="T19:T21"/>
    <mergeCell ref="U19:U21"/>
    <mergeCell ref="A5:A6"/>
    <mergeCell ref="B5:B6"/>
    <mergeCell ref="E5:E6"/>
    <mergeCell ref="A7:A8"/>
    <mergeCell ref="B7:B8"/>
    <mergeCell ref="A9:A10"/>
    <mergeCell ref="B9:B10"/>
    <mergeCell ref="U22:U23"/>
    <mergeCell ref="X22:X23"/>
    <mergeCell ref="Y22:Y23"/>
    <mergeCell ref="A20:B21"/>
    <mergeCell ref="B22:B23"/>
    <mergeCell ref="C22:C23"/>
    <mergeCell ref="D22:D23"/>
    <mergeCell ref="E22:E23"/>
    <mergeCell ref="F22:F23"/>
    <mergeCell ref="G22:G23"/>
    <mergeCell ref="S19:S21"/>
    <mergeCell ref="M20:M21"/>
    <mergeCell ref="N20:N21"/>
    <mergeCell ref="Q20:Q21"/>
    <mergeCell ref="R22:R23"/>
    <mergeCell ref="S22:S23"/>
    <mergeCell ref="T22:T23"/>
    <mergeCell ref="A22:A23"/>
    <mergeCell ref="B24:B25"/>
    <mergeCell ref="C24:C25"/>
    <mergeCell ref="D24:D25"/>
    <mergeCell ref="E24:E25"/>
    <mergeCell ref="F24:F25"/>
    <mergeCell ref="G24:G25"/>
    <mergeCell ref="G28:G29"/>
    <mergeCell ref="R28:R29"/>
    <mergeCell ref="S28:S29"/>
    <mergeCell ref="T28:T29"/>
    <mergeCell ref="U28:U29"/>
    <mergeCell ref="X28:X29"/>
    <mergeCell ref="Y28:Y29"/>
    <mergeCell ref="Y36:Y37"/>
    <mergeCell ref="X38:X39"/>
    <mergeCell ref="Y38:Y39"/>
    <mergeCell ref="X24:X25"/>
    <mergeCell ref="X26:X27"/>
    <mergeCell ref="X30:X31"/>
    <mergeCell ref="Y30:Y31"/>
    <mergeCell ref="X32:X33"/>
    <mergeCell ref="Y32:Y33"/>
    <mergeCell ref="Y34:Y35"/>
    <mergeCell ref="B38:B39"/>
    <mergeCell ref="C38:C39"/>
    <mergeCell ref="D38:D39"/>
    <mergeCell ref="E38:E39"/>
    <mergeCell ref="F38:F39"/>
    <mergeCell ref="G38:G39"/>
    <mergeCell ref="A40:B41"/>
    <mergeCell ref="A38:A39"/>
    <mergeCell ref="B43:B44"/>
    <mergeCell ref="C43:C44"/>
    <mergeCell ref="D43:D44"/>
    <mergeCell ref="E43:E44"/>
    <mergeCell ref="F43:F44"/>
    <mergeCell ref="G43:G44"/>
    <mergeCell ref="R24:R25"/>
    <mergeCell ref="S24:S25"/>
    <mergeCell ref="T24:T25"/>
    <mergeCell ref="U24:U25"/>
    <mergeCell ref="Y24:Y25"/>
    <mergeCell ref="R26:R27"/>
    <mergeCell ref="U26:U27"/>
    <mergeCell ref="Y26:Y27"/>
    <mergeCell ref="S32:S33"/>
    <mergeCell ref="T32:T33"/>
    <mergeCell ref="S26:S27"/>
    <mergeCell ref="T26:T27"/>
    <mergeCell ref="R30:R31"/>
    <mergeCell ref="S30:S31"/>
    <mergeCell ref="T30:T31"/>
    <mergeCell ref="U30:U31"/>
    <mergeCell ref="U32:U33"/>
    <mergeCell ref="T36:T37"/>
    <mergeCell ref="U36:U37"/>
    <mergeCell ref="X34:X35"/>
    <mergeCell ref="X36:X37"/>
    <mergeCell ref="Z36:Z37"/>
    <mergeCell ref="Z38:Z39"/>
    <mergeCell ref="R32:R33"/>
    <mergeCell ref="R34:R35"/>
    <mergeCell ref="S34:S35"/>
    <mergeCell ref="T34:T35"/>
    <mergeCell ref="U34:U35"/>
    <mergeCell ref="R36:R37"/>
    <mergeCell ref="S36:S37"/>
    <mergeCell ref="R38:R39"/>
    <mergeCell ref="S38:S39"/>
    <mergeCell ref="T38:T39"/>
    <mergeCell ref="U38:U39"/>
    <mergeCell ref="M40:M41"/>
    <mergeCell ref="N40:N41"/>
    <mergeCell ref="Q40:Q41"/>
    <mergeCell ref="A43:A44"/>
    <mergeCell ref="B45:B46"/>
    <mergeCell ref="C45:C46"/>
    <mergeCell ref="D45:D46"/>
    <mergeCell ref="E45:E46"/>
    <mergeCell ref="F45:F46"/>
    <mergeCell ref="G45:G46"/>
    <mergeCell ref="A45:A46"/>
    <mergeCell ref="B47:B48"/>
    <mergeCell ref="C47:C48"/>
    <mergeCell ref="D47:D48"/>
    <mergeCell ref="E47:E48"/>
    <mergeCell ref="F47:F48"/>
    <mergeCell ref="G47:G48"/>
    <mergeCell ref="A47:A48"/>
    <mergeCell ref="B49:B50"/>
    <mergeCell ref="C49:C50"/>
    <mergeCell ref="D49:D50"/>
    <mergeCell ref="E49:E50"/>
    <mergeCell ref="F49:F50"/>
    <mergeCell ref="G49:G50"/>
    <mergeCell ref="A49:A50"/>
    <mergeCell ref="B51:B52"/>
    <mergeCell ref="C51:C52"/>
    <mergeCell ref="D51:D52"/>
    <mergeCell ref="E51:E52"/>
    <mergeCell ref="F51:F52"/>
    <mergeCell ref="G51:G52"/>
    <mergeCell ref="A51:A52"/>
    <mergeCell ref="B53:B54"/>
    <mergeCell ref="C53:C54"/>
    <mergeCell ref="D53:D54"/>
    <mergeCell ref="E53:E54"/>
    <mergeCell ref="F53:F54"/>
    <mergeCell ref="G53:G54"/>
    <mergeCell ref="R57:R58"/>
    <mergeCell ref="S57:S58"/>
    <mergeCell ref="T57:T58"/>
    <mergeCell ref="U57:U58"/>
    <mergeCell ref="X57:X58"/>
    <mergeCell ref="Y57:Y58"/>
    <mergeCell ref="A53:A54"/>
    <mergeCell ref="B55:B56"/>
    <mergeCell ref="C55:C56"/>
    <mergeCell ref="D55:D56"/>
    <mergeCell ref="E55:E56"/>
    <mergeCell ref="F55:F56"/>
    <mergeCell ref="G55:G56"/>
  </mergeCells>
  <conditionalFormatting sqref="D22:D35 D40:D72 D75:D81">
    <cfRule type="expression" dxfId="0" priority="1">
      <formula>#REF!=TRUE</formula>
    </cfRule>
  </conditionalFormatting>
  <conditionalFormatting sqref="D22:D35 D40:D72 D75:D81">
    <cfRule type="expression" dxfId="1" priority="2">
      <formula>#REF!=TRUE</formula>
    </cfRule>
  </conditionalFormatting>
  <conditionalFormatting sqref="D22:D23 D49:D52 D59:D61 D64:D70 D77:D79 D85:D86 D90 D94">
    <cfRule type="expression" dxfId="0" priority="3">
      <formula>AG22=TRUE</formula>
    </cfRule>
  </conditionalFormatting>
  <conditionalFormatting sqref="D22:D23 D49:D52 D59:D61 D64:D70 D77:D79 D85:D86 D90 D94">
    <cfRule type="expression" dxfId="1" priority="4">
      <formula>P22=TRUE</formula>
    </cfRule>
  </conditionalFormatting>
  <dataValidations>
    <dataValidation type="list" allowBlank="1" showErrorMessage="1" sqref="G22 G24 G26 G28 G30 G32 G34 G36 G38 G42:G43 G45 G47 G49 G51 G53 G55 G57 G60 G62 G64 G66 G68 G71 G73 G75 G77 G79:G80 G84:G93">
      <formula1>"Hồ Chí Minh,Đồng Nai,Bình Dương,Hải Dương,Hà Nội ,Hải Phòng,Sóc Trăng,Cần Thơ,Mass,Đồng Tháp"</formula1>
    </dataValidation>
    <dataValidation type="list" allowBlank="1" showErrorMessage="1" sqref="U22 U24 U26 U28 U30 U32 U34 U36 U38 U42:U43 U45 U47 U49 U51 U53 U55 U57 U59:U60 U62 U64 U66 U68 U70:U71 U73 U75 U77 U79:U80 U84:U93">
      <formula1>"Confirm,Không phù hợp,Đề xuất thêm"</formula1>
    </dataValidation>
    <dataValidation type="list" allowBlank="1" showErrorMessage="1" sqref="X22 X24 X26 X28 X30 X32 X34 X36 X38 X42:X43 X45 X47 X49 X51 X53 X55 X57 X59:X60 X62 X64 X66 X68 X70:X71 X73 X75 X77 X79:X80 X84:X95">
      <formula1>"Ký Cá Nhân,Ký Công ty (VAT 8%),Ký HKD (6-7%),Chưa phản hồi"</formula1>
    </dataValidation>
    <dataValidation type="list" allowBlank="1" showErrorMessage="1" sqref="E22 E24 E26 E28 E30 E32 E34 E36 E38 E42:E43 E45 E47 E49 E51 E53 E55 E57 E60 E62 E64 E66 E68 E71 E73 E75 E77 E79:E80 E84:E93">
      <formula1>"Nano,Macro,Micro"</formula1>
    </dataValidation>
    <dataValidation type="list" allowBlank="1" showErrorMessage="1" sqref="C22 C24 C26 C28 C30 C32 C34 C36 C38 C42:C43 C45 C47 C49 C51 C53 C55 C57 C60 C62 C64 C66 C68 C71 C73 C75 C77 C79:C80 C84:C93">
      <formula1>"Tiktok,Facebook,Instagram,TikTok &amp; Facebook"</formula1>
    </dataValidation>
    <dataValidation type="list" allowBlank="1" showErrorMessage="1" sqref="Y22 Y24 Y26 Y28 Y30 Y32 Y34 Y36 Y38 Y42:Y43 Y45 Y47 Y49 Y51 Y53 Y55 Y57 Y59:Y60 Y62 Y64 Y66 Y68 Y70:Y71 Y73 Y75 Y77 Y79:Y80 Y84:Y95">
      <formula1>"Thanh Toán sau 100%, 30 ngày,Thanh Toán sau 100%, 14 ngày,Thanh toán 50/50, 14 ngày,Thanh toán 50/50, 30 ngày,Thanh toán trước 100%,Thanh toán 50/50, 7 ngày,Chưa phản hồi,Thanh toán 30/70, 14 ngày"</formula1>
    </dataValidation>
  </dataValidations>
  <hyperlinks>
    <hyperlink r:id="rId4" location="gid=153416723" ref="A2"/>
    <hyperlink r:id="rId5" ref="F22"/>
    <hyperlink r:id="rId6" ref="H22"/>
    <hyperlink r:id="rId7" location="gid=1826739190" ref="Z22"/>
    <hyperlink r:id="rId8" ref="F24"/>
    <hyperlink r:id="rId9" ref="H24"/>
    <hyperlink r:id="rId10" ref="F26"/>
    <hyperlink r:id="rId11" ref="H26"/>
    <hyperlink r:id="rId12" ref="F28"/>
    <hyperlink r:id="rId13" ref="H28"/>
    <hyperlink r:id="rId14" ref="F30"/>
    <hyperlink r:id="rId15" ref="H30"/>
    <hyperlink r:id="rId16" ref="F32"/>
    <hyperlink r:id="rId17" ref="H32"/>
    <hyperlink r:id="rId18" ref="S32"/>
    <hyperlink r:id="rId19" location="gid=0" ref="Z32"/>
    <hyperlink r:id="rId20" ref="F34"/>
    <hyperlink r:id="rId21" ref="H34"/>
    <hyperlink r:id="rId22" location="gid=1826739190" ref="Z34"/>
    <hyperlink r:id="rId23" ref="F36"/>
    <hyperlink r:id="rId24" ref="H36"/>
    <hyperlink r:id="rId25" location="gid=86066825" ref="Z36"/>
    <hyperlink r:id="rId26" ref="F38"/>
    <hyperlink r:id="rId27" ref="H38"/>
    <hyperlink r:id="rId28" location="gid=86066825" ref="Z38"/>
    <hyperlink r:id="rId29" ref="F43"/>
    <hyperlink r:id="rId30" ref="H43"/>
    <hyperlink r:id="rId31" location="gid=1826739190" ref="Z43"/>
    <hyperlink r:id="rId32" ref="F45"/>
    <hyperlink r:id="rId33" ref="H45"/>
    <hyperlink r:id="rId34" location="gid=1826739190" ref="Z45"/>
    <hyperlink r:id="rId35" ref="F47"/>
    <hyperlink r:id="rId36" ref="H47"/>
    <hyperlink r:id="rId37" location="gid=1826739190" ref="Z47"/>
    <hyperlink r:id="rId38" ref="F49"/>
    <hyperlink r:id="rId39" ref="H49"/>
    <hyperlink r:id="rId40" location="gid=1826739190" ref="Z49"/>
    <hyperlink r:id="rId41" ref="F51"/>
    <hyperlink r:id="rId42" ref="H51"/>
    <hyperlink r:id="rId43" location="gid=1826739190" ref="Z51"/>
    <hyperlink r:id="rId44" ref="F53"/>
    <hyperlink r:id="rId45" ref="H53"/>
    <hyperlink r:id="rId46" location="gid=86066825" ref="Z53"/>
    <hyperlink r:id="rId47" ref="F55"/>
    <hyperlink r:id="rId48" ref="H55"/>
    <hyperlink r:id="rId49" ref="F57"/>
    <hyperlink r:id="rId50" ref="H57"/>
    <hyperlink r:id="rId51" location="gid=0" ref="Z57"/>
    <hyperlink r:id="rId52" ref="F60"/>
    <hyperlink r:id="rId53" ref="H60"/>
    <hyperlink r:id="rId54" location="gid=317397432" ref="Z60"/>
    <hyperlink r:id="rId55" location="gid=317397432" ref="Z61"/>
    <hyperlink r:id="rId56" ref="F62"/>
    <hyperlink r:id="rId57" ref="H62"/>
    <hyperlink r:id="rId58" location="gid=317397432" ref="Z62"/>
    <hyperlink r:id="rId59" location="gid=317397432" ref="Z63"/>
    <hyperlink r:id="rId60" ref="F64"/>
    <hyperlink r:id="rId61" ref="H64"/>
    <hyperlink r:id="rId62" location="gid=86066825" ref="Z64"/>
    <hyperlink r:id="rId63" ref="F66"/>
    <hyperlink r:id="rId64" ref="H66"/>
    <hyperlink r:id="rId65" location="gid=86066825" ref="Z66"/>
    <hyperlink r:id="rId66" ref="F68"/>
    <hyperlink r:id="rId67" ref="H68"/>
    <hyperlink r:id="rId68" location="gid=86066825" ref="Z68"/>
    <hyperlink r:id="rId69" ref="F71"/>
    <hyperlink r:id="rId70" ref="H71"/>
    <hyperlink r:id="rId71" location="gid=317397432" ref="Z71"/>
    <hyperlink r:id="rId72" location="gid=317397432" ref="Z72"/>
    <hyperlink r:id="rId73" ref="F73"/>
    <hyperlink r:id="rId74" ref="H73"/>
    <hyperlink r:id="rId75" location="gid=317397432" ref="Z73"/>
    <hyperlink r:id="rId76" location="gid=317397432" ref="Z74"/>
    <hyperlink r:id="rId77" ref="F75"/>
    <hyperlink r:id="rId78" ref="H75"/>
    <hyperlink r:id="rId79" location="gid=317397432" ref="Z75"/>
    <hyperlink r:id="rId80" location="gid=317397432" ref="Z76"/>
    <hyperlink r:id="rId81" ref="F77"/>
    <hyperlink r:id="rId82" ref="H77"/>
    <hyperlink r:id="rId83" location="gid=317397432" ref="Z77"/>
    <hyperlink r:id="rId84" location="gid=317397432" ref="Z78"/>
    <hyperlink r:id="rId85" ref="F80"/>
    <hyperlink r:id="rId86" ref="H80"/>
    <hyperlink r:id="rId87" location="gid=317397432" ref="Z80"/>
    <hyperlink r:id="rId88" location="gid=317397432" ref="Z81"/>
    <hyperlink r:id="rId89" ref="F84"/>
    <hyperlink r:id="rId90" location="gid=1537112938" ref="Z84"/>
    <hyperlink r:id="rId91" ref="F85"/>
    <hyperlink r:id="rId92" location="gid=1537112938" ref="Z85"/>
    <hyperlink r:id="rId93" ref="F86"/>
    <hyperlink r:id="rId94" location="gid=1537112938" ref="Z86"/>
    <hyperlink r:id="rId95" ref="F87"/>
    <hyperlink r:id="rId96" location="gid=1537112938" ref="Z87"/>
    <hyperlink r:id="rId97" ref="F88"/>
    <hyperlink r:id="rId98" location="gid=1537112938" ref="Z88"/>
    <hyperlink r:id="rId99" ref="F89"/>
    <hyperlink r:id="rId100" location="gid=1537112938" ref="Z89"/>
    <hyperlink r:id="rId101" ref="F90"/>
    <hyperlink r:id="rId102" ref="F91"/>
    <hyperlink r:id="rId103" location="gid=1537112938" ref="Z91"/>
    <hyperlink r:id="rId104" ref="F92"/>
    <hyperlink r:id="rId105" ref="F93"/>
    <hyperlink r:id="rId106" location="gid=1537112938" ref="Z93"/>
  </hyperlinks>
  <drawing r:id="rId107"/>
  <legacyDrawing r:id="rId10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1.5"/>
    <col customWidth="1" min="21" max="22" width="13.25"/>
    <col customWidth="1" min="23" max="23" width="15.38"/>
    <col customWidth="1" min="24" max="24" width="14.88"/>
    <col customWidth="1" min="25" max="25" width="16.75"/>
    <col customWidth="1" min="26" max="26" width="18.75"/>
    <col customWidth="1" min="28" max="35" width="11.0"/>
    <col customWidth="1" min="36" max="36" width="28.63"/>
    <col customWidth="1" min="37" max="37" width="22.13"/>
    <col customWidth="1" min="40" max="40" width="35.38"/>
    <col customWidth="1" min="41" max="43" width="7.25"/>
  </cols>
  <sheetData>
    <row r="1">
      <c r="A1" s="1" t="s">
        <v>1266</v>
      </c>
      <c r="B1" s="2"/>
      <c r="C1" s="2"/>
      <c r="D1" s="3"/>
      <c r="E1" s="2"/>
      <c r="F1" s="4"/>
      <c r="G1" s="2"/>
      <c r="H1" s="2"/>
      <c r="I1" s="2"/>
      <c r="J1" s="2"/>
      <c r="K1" s="5"/>
      <c r="L1" s="6"/>
      <c r="M1" s="6"/>
      <c r="N1" s="6"/>
      <c r="O1" s="6"/>
      <c r="P1" s="6"/>
      <c r="Q1" s="6"/>
      <c r="R1" s="7"/>
      <c r="S1" s="8"/>
      <c r="T1" s="8"/>
      <c r="U1" s="8"/>
      <c r="V1" s="8"/>
      <c r="W1" s="8"/>
      <c r="X1" s="8"/>
      <c r="Y1" s="580"/>
      <c r="Z1" s="581"/>
      <c r="AA1" s="3"/>
      <c r="AB1" s="3"/>
      <c r="AC1" s="3"/>
      <c r="AD1" s="3"/>
      <c r="AE1" s="3"/>
      <c r="AF1" s="3"/>
      <c r="AG1" s="3"/>
      <c r="AH1" s="3"/>
      <c r="AI1" s="3"/>
      <c r="AJ1" s="3"/>
      <c r="AK1" s="3"/>
      <c r="AL1" s="3"/>
      <c r="AM1" s="3"/>
      <c r="AN1" s="9"/>
      <c r="AO1" s="9"/>
      <c r="AP1" s="9"/>
      <c r="AQ1" s="9"/>
    </row>
    <row r="2">
      <c r="A2" s="10"/>
      <c r="B2" s="11"/>
      <c r="C2" s="11"/>
      <c r="D2" s="11"/>
      <c r="E2" s="2"/>
      <c r="F2" s="4"/>
      <c r="G2" s="2"/>
      <c r="H2" s="2"/>
      <c r="I2" s="2"/>
      <c r="J2" s="2"/>
      <c r="K2" s="5"/>
      <c r="L2" s="6"/>
      <c r="M2" s="6"/>
      <c r="N2" s="6"/>
      <c r="O2" s="6"/>
      <c r="P2" s="6"/>
      <c r="Q2" s="6"/>
      <c r="R2" s="7"/>
      <c r="S2" s="8"/>
      <c r="T2" s="8"/>
      <c r="U2" s="8"/>
      <c r="V2" s="8"/>
      <c r="W2" s="8"/>
      <c r="X2" s="8"/>
      <c r="Y2" s="580"/>
      <c r="Z2" s="581"/>
      <c r="AA2" s="3"/>
      <c r="AB2" s="3"/>
      <c r="AC2" s="3"/>
      <c r="AD2" s="3"/>
      <c r="AE2" s="3"/>
      <c r="AF2" s="3"/>
      <c r="AG2" s="3"/>
      <c r="AH2" s="3"/>
      <c r="AI2" s="3"/>
      <c r="AJ2" s="3"/>
      <c r="AK2" s="3"/>
      <c r="AL2" s="3"/>
      <c r="AM2" s="3"/>
      <c r="AN2" s="9"/>
      <c r="AO2" s="9"/>
      <c r="AP2" s="9"/>
      <c r="AQ2" s="9"/>
    </row>
    <row r="3" ht="27.0" customHeight="1">
      <c r="A3" s="12" t="s">
        <v>1</v>
      </c>
      <c r="B3" s="13" t="s">
        <v>2</v>
      </c>
      <c r="C3" s="14" t="s">
        <v>3</v>
      </c>
      <c r="D3" s="14" t="s">
        <v>4</v>
      </c>
      <c r="E3" s="15" t="s">
        <v>5</v>
      </c>
      <c r="J3" s="6"/>
      <c r="K3" s="2"/>
      <c r="L3" s="5"/>
      <c r="M3" s="6"/>
      <c r="N3" s="6"/>
      <c r="O3" s="6"/>
      <c r="P3" s="6"/>
      <c r="Q3" s="6"/>
      <c r="R3" s="6"/>
      <c r="S3" s="7"/>
      <c r="T3" s="7"/>
      <c r="U3" s="7"/>
      <c r="V3" s="7"/>
      <c r="W3" s="8"/>
      <c r="X3" s="8"/>
      <c r="Y3" s="580"/>
      <c r="Z3" s="8"/>
      <c r="AA3" s="581"/>
      <c r="AB3" s="3"/>
      <c r="AC3" s="3"/>
      <c r="AD3" s="3"/>
      <c r="AE3" s="3"/>
      <c r="AF3" s="3"/>
      <c r="AG3" s="3"/>
      <c r="AH3" s="3"/>
      <c r="AI3" s="3"/>
      <c r="AJ3" s="3"/>
      <c r="AK3" s="3"/>
      <c r="AL3" s="3"/>
      <c r="AM3" s="3"/>
      <c r="AN3" s="9"/>
      <c r="AO3" s="9"/>
      <c r="AP3" s="9"/>
      <c r="AQ3" s="9"/>
    </row>
    <row r="4" ht="27.0" customHeight="1">
      <c r="A4" s="17"/>
      <c r="B4" s="18"/>
      <c r="C4" s="19" t="s">
        <v>6</v>
      </c>
      <c r="D4" s="20">
        <f>sum(D5,D7,D9:D10)</f>
        <v>44</v>
      </c>
      <c r="E4" s="20">
        <f>Sum(E5:E11)</f>
        <v>656000000</v>
      </c>
      <c r="J4" s="2"/>
      <c r="K4" s="2"/>
      <c r="L4" s="5"/>
      <c r="M4" s="6"/>
      <c r="N4" s="6"/>
      <c r="O4" s="6"/>
      <c r="P4" s="6"/>
      <c r="Q4" s="6"/>
      <c r="R4" s="6"/>
      <c r="S4" s="7"/>
      <c r="T4" s="7"/>
      <c r="U4" s="7"/>
      <c r="V4" s="7"/>
      <c r="W4" s="672"/>
      <c r="X4" s="672"/>
      <c r="Y4" s="673"/>
      <c r="Z4" s="672"/>
      <c r="AA4" s="674"/>
      <c r="AB4" s="219"/>
      <c r="AC4" s="3"/>
      <c r="AD4" s="3"/>
      <c r="AE4" s="3"/>
      <c r="AF4" s="3"/>
      <c r="AG4" s="3"/>
      <c r="AH4" s="3"/>
      <c r="AI4" s="3"/>
      <c r="AJ4" s="3"/>
      <c r="AK4" s="3"/>
      <c r="AL4" s="3"/>
      <c r="AM4" s="3"/>
      <c r="AN4" s="9"/>
      <c r="AO4" s="9"/>
      <c r="AP4" s="9"/>
      <c r="AQ4" s="9"/>
    </row>
    <row r="5" ht="27.0" customHeight="1">
      <c r="A5" s="675">
        <v>1.0</v>
      </c>
      <c r="B5" s="22" t="str">
        <f>A20</f>
        <v>FOODY REVIEWER</v>
      </c>
      <c r="C5" s="23" t="s">
        <v>7</v>
      </c>
      <c r="D5" s="24">
        <f t="shared" ref="D5:D6" si="1">K20</f>
        <v>10</v>
      </c>
      <c r="E5" s="25">
        <f>Q20</f>
        <v>254000000</v>
      </c>
      <c r="J5" s="2"/>
      <c r="K5" s="2"/>
      <c r="L5" s="5"/>
      <c r="M5" s="6"/>
      <c r="N5" s="6"/>
      <c r="O5" s="6"/>
      <c r="P5" s="6"/>
      <c r="Q5" s="6"/>
      <c r="R5" s="6"/>
      <c r="S5" s="7"/>
      <c r="T5" s="7"/>
      <c r="U5" s="7"/>
      <c r="V5" s="7"/>
      <c r="W5" s="672"/>
      <c r="X5" s="672"/>
      <c r="Y5" s="673"/>
      <c r="Z5" s="672"/>
      <c r="AA5" s="674"/>
      <c r="AB5" s="219"/>
      <c r="AC5" s="3"/>
      <c r="AD5" s="3"/>
      <c r="AE5" s="3"/>
      <c r="AF5" s="3"/>
      <c r="AG5" s="3"/>
      <c r="AH5" s="3"/>
      <c r="AI5" s="3"/>
      <c r="AJ5" s="3"/>
      <c r="AK5" s="3"/>
      <c r="AL5" s="3"/>
      <c r="AM5" s="3"/>
      <c r="AN5" s="9"/>
      <c r="AO5" s="9"/>
      <c r="AP5" s="9"/>
      <c r="AQ5" s="9"/>
    </row>
    <row r="6" ht="27.0" customHeight="1">
      <c r="A6" s="26"/>
      <c r="B6" s="26"/>
      <c r="C6" s="23" t="s">
        <v>8</v>
      </c>
      <c r="D6" s="24">
        <f t="shared" si="1"/>
        <v>10</v>
      </c>
      <c r="E6" s="26"/>
      <c r="J6" s="2"/>
      <c r="K6" s="2"/>
      <c r="L6" s="5"/>
      <c r="M6" s="6"/>
      <c r="N6" s="6"/>
      <c r="O6" s="6"/>
      <c r="P6" s="6"/>
      <c r="Q6" s="6"/>
      <c r="R6" s="6"/>
      <c r="S6" s="7"/>
      <c r="T6" s="7"/>
      <c r="U6" s="7"/>
      <c r="V6" s="7"/>
      <c r="W6" s="672"/>
      <c r="X6" s="672"/>
      <c r="Y6" s="673"/>
      <c r="Z6" s="672"/>
      <c r="AA6" s="674"/>
      <c r="AB6" s="219"/>
      <c r="AC6" s="3"/>
      <c r="AD6" s="3"/>
      <c r="AE6" s="3"/>
      <c r="AF6" s="3"/>
      <c r="AG6" s="3"/>
      <c r="AH6" s="3"/>
      <c r="AI6" s="3"/>
      <c r="AJ6" s="3"/>
      <c r="AK6" s="3"/>
      <c r="AL6" s="3"/>
      <c r="AM6" s="3"/>
      <c r="AN6" s="9"/>
      <c r="AO6" s="9"/>
      <c r="AP6" s="9"/>
      <c r="AQ6" s="9"/>
    </row>
    <row r="7" ht="27.0" customHeight="1">
      <c r="A7" s="676">
        <v>2.0</v>
      </c>
      <c r="B7" s="22" t="str">
        <f>A42</f>
        <v>FOODY UGC</v>
      </c>
      <c r="C7" s="23" t="s">
        <v>7</v>
      </c>
      <c r="D7" s="24">
        <f t="shared" ref="D7:D8" si="2">K42</f>
        <v>24</v>
      </c>
      <c r="E7" s="25">
        <f>Q42</f>
        <v>166000000</v>
      </c>
      <c r="J7" s="2"/>
      <c r="K7" s="2"/>
      <c r="L7" s="5"/>
      <c r="M7" s="6"/>
      <c r="N7" s="6">
        <f>12000000</f>
        <v>12000000</v>
      </c>
      <c r="O7" s="681">
        <v>50.0</v>
      </c>
      <c r="P7" s="6"/>
      <c r="Q7" s="6"/>
      <c r="R7" s="6"/>
      <c r="S7" s="7"/>
      <c r="T7" s="7"/>
      <c r="U7" s="7"/>
      <c r="V7" s="7"/>
      <c r="W7" s="672"/>
      <c r="X7" s="672"/>
      <c r="Y7" s="673"/>
      <c r="Z7" s="672"/>
      <c r="AA7" s="674"/>
      <c r="AB7" s="219"/>
      <c r="AC7" s="3"/>
      <c r="AD7" s="3"/>
      <c r="AE7" s="3"/>
      <c r="AF7" s="3"/>
      <c r="AG7" s="3"/>
      <c r="AH7" s="3"/>
      <c r="AI7" s="3"/>
      <c r="AJ7" s="3"/>
      <c r="AK7" s="3"/>
      <c r="AL7" s="3"/>
      <c r="AM7" s="3"/>
      <c r="AN7" s="9"/>
      <c r="AO7" s="9"/>
      <c r="AP7" s="9"/>
      <c r="AQ7" s="9"/>
    </row>
    <row r="8" ht="27.0" customHeight="1">
      <c r="A8" s="26"/>
      <c r="B8" s="26"/>
      <c r="C8" s="23" t="s">
        <v>8</v>
      </c>
      <c r="D8" s="28">
        <f t="shared" si="2"/>
        <v>24</v>
      </c>
      <c r="E8" s="26"/>
      <c r="J8" s="2"/>
      <c r="K8" s="2"/>
      <c r="L8" s="5"/>
      <c r="M8" s="6"/>
      <c r="N8" s="6">
        <f>N7/O7</f>
        <v>240000</v>
      </c>
      <c r="O8" s="681"/>
      <c r="P8" s="6"/>
      <c r="Q8" s="6"/>
      <c r="R8" s="6"/>
      <c r="S8" s="7"/>
      <c r="T8" s="7"/>
      <c r="U8" s="7"/>
      <c r="V8" s="7"/>
      <c r="W8" s="672"/>
      <c r="X8" s="672"/>
      <c r="Y8" s="673"/>
      <c r="Z8" s="672"/>
      <c r="AA8" s="674"/>
      <c r="AB8" s="219"/>
      <c r="AC8" s="3"/>
      <c r="AD8" s="3"/>
      <c r="AE8" s="3"/>
      <c r="AF8" s="3"/>
      <c r="AG8" s="3"/>
      <c r="AH8" s="3"/>
      <c r="AI8" s="3"/>
      <c r="AJ8" s="3"/>
      <c r="AK8" s="3"/>
      <c r="AL8" s="3"/>
      <c r="AM8" s="3"/>
      <c r="AN8" s="9"/>
      <c r="AO8" s="9"/>
      <c r="AP8" s="9"/>
      <c r="AQ8" s="9"/>
    </row>
    <row r="9" ht="27.0" customHeight="1">
      <c r="A9" s="676">
        <v>3.0</v>
      </c>
      <c r="B9" s="22" t="str">
        <f>A92</f>
        <v>FOODY COMMUNITY</v>
      </c>
      <c r="C9" s="23" t="s">
        <v>9</v>
      </c>
      <c r="D9" s="28">
        <f>K93</f>
        <v>5</v>
      </c>
      <c r="E9" s="25">
        <f>Q92</f>
        <v>216000000</v>
      </c>
      <c r="J9" s="2"/>
      <c r="K9" s="2"/>
      <c r="L9" s="5"/>
      <c r="M9" s="6"/>
      <c r="N9" s="6">
        <f>N8*O9</f>
        <v>8640000</v>
      </c>
      <c r="O9" s="681">
        <v>36.0</v>
      </c>
      <c r="P9" s="6"/>
      <c r="Q9" s="6"/>
      <c r="R9" s="6"/>
      <c r="S9" s="7"/>
      <c r="T9" s="7"/>
      <c r="U9" s="7"/>
      <c r="V9" s="7"/>
      <c r="W9" s="672"/>
      <c r="X9" s="672"/>
      <c r="Y9" s="673"/>
      <c r="Z9" s="672"/>
      <c r="AA9" s="674"/>
      <c r="AB9" s="219"/>
      <c r="AC9" s="3"/>
      <c r="AD9" s="3"/>
      <c r="AE9" s="3"/>
      <c r="AF9" s="3"/>
      <c r="AG9" s="3"/>
      <c r="AH9" s="3"/>
      <c r="AI9" s="3"/>
      <c r="AJ9" s="3"/>
      <c r="AK9" s="3"/>
      <c r="AL9" s="3"/>
      <c r="AM9" s="3"/>
      <c r="AN9" s="9"/>
      <c r="AO9" s="9"/>
      <c r="AP9" s="9"/>
      <c r="AQ9" s="9"/>
    </row>
    <row r="10" ht="27.0" customHeight="1">
      <c r="A10" s="26"/>
      <c r="B10" s="26"/>
      <c r="C10" s="29" t="s">
        <v>10</v>
      </c>
      <c r="D10" s="28">
        <f>K92</f>
        <v>5</v>
      </c>
      <c r="E10" s="26"/>
      <c r="J10" s="2"/>
      <c r="K10" s="2"/>
      <c r="L10" s="5"/>
      <c r="M10" s="6"/>
      <c r="N10" s="6"/>
      <c r="O10" s="6"/>
      <c r="P10" s="6"/>
      <c r="Q10" s="6"/>
      <c r="R10" s="6"/>
      <c r="S10" s="7"/>
      <c r="T10" s="7"/>
      <c r="U10" s="7"/>
      <c r="V10" s="7"/>
      <c r="W10" s="672"/>
      <c r="X10" s="672"/>
      <c r="Y10" s="673"/>
      <c r="Z10" s="672"/>
      <c r="AA10" s="674"/>
      <c r="AB10" s="219"/>
      <c r="AC10" s="3"/>
      <c r="AD10" s="3"/>
      <c r="AE10" s="3"/>
      <c r="AF10" s="3"/>
      <c r="AG10" s="3"/>
      <c r="AH10" s="3"/>
      <c r="AI10" s="3"/>
      <c r="AJ10" s="3"/>
      <c r="AK10" s="3"/>
      <c r="AL10" s="3"/>
      <c r="AM10" s="3"/>
      <c r="AN10" s="9"/>
      <c r="AO10" s="9"/>
      <c r="AP10" s="9"/>
      <c r="AQ10" s="9"/>
    </row>
    <row r="11" ht="27.0" customHeight="1">
      <c r="A11" s="677">
        <v>4.0</v>
      </c>
      <c r="B11" s="31" t="str">
        <f>A104</f>
        <v>SEEDING PACKAGE</v>
      </c>
      <c r="C11" s="29" t="s">
        <v>11</v>
      </c>
      <c r="D11" s="28">
        <f>K105</f>
        <v>2000</v>
      </c>
      <c r="E11" s="32">
        <f>Q104</f>
        <v>20000000</v>
      </c>
      <c r="J11" s="2"/>
      <c r="K11" s="2"/>
      <c r="L11" s="5"/>
      <c r="M11" s="6"/>
      <c r="N11" s="6"/>
      <c r="O11" s="6"/>
      <c r="P11" s="6"/>
      <c r="Q11" s="6"/>
      <c r="R11" s="6"/>
      <c r="S11" s="7"/>
      <c r="T11" s="7"/>
      <c r="U11" s="7"/>
      <c r="V11" s="7"/>
      <c r="W11" s="672"/>
      <c r="X11" s="672"/>
      <c r="Y11" s="673"/>
      <c r="Z11" s="672"/>
      <c r="AA11" s="674"/>
      <c r="AB11" s="219"/>
      <c r="AC11" s="3"/>
      <c r="AD11" s="3"/>
      <c r="AE11" s="3"/>
      <c r="AF11" s="3"/>
      <c r="AG11" s="3"/>
      <c r="AH11" s="3"/>
      <c r="AI11" s="3"/>
      <c r="AJ11" s="3"/>
      <c r="AK11" s="3"/>
      <c r="AL11" s="3"/>
      <c r="AM11" s="3"/>
      <c r="AN11" s="9"/>
      <c r="AO11" s="9"/>
      <c r="AP11" s="9"/>
      <c r="AQ11" s="9"/>
    </row>
    <row r="12" ht="27.0" customHeight="1">
      <c r="A12" s="33"/>
      <c r="B12" s="34" t="s">
        <v>12</v>
      </c>
      <c r="C12" s="35"/>
      <c r="D12" s="35"/>
      <c r="E12" s="36">
        <f>E4</f>
        <v>656000000</v>
      </c>
      <c r="K12" s="2"/>
      <c r="L12" s="5"/>
      <c r="M12" s="6"/>
      <c r="N12" s="6"/>
      <c r="O12" s="6"/>
      <c r="P12" s="6"/>
      <c r="Q12" s="6"/>
      <c r="R12" s="681"/>
      <c r="S12" s="7"/>
      <c r="T12" s="7"/>
      <c r="U12" s="7"/>
      <c r="V12" s="7"/>
      <c r="W12" s="672"/>
      <c r="X12" s="672"/>
      <c r="Y12" s="673"/>
      <c r="Z12" s="672"/>
      <c r="AA12" s="682"/>
      <c r="AB12" s="218"/>
      <c r="AC12" s="2"/>
      <c r="AD12" s="2"/>
      <c r="AE12" s="2"/>
      <c r="AF12" s="2"/>
      <c r="AG12" s="2"/>
      <c r="AH12" s="2"/>
      <c r="AI12" s="2"/>
      <c r="AJ12" s="2"/>
      <c r="AK12" s="2"/>
      <c r="AL12" s="2"/>
      <c r="AM12" s="2"/>
      <c r="AN12" s="9"/>
      <c r="AO12" s="9"/>
      <c r="AP12" s="9"/>
      <c r="AQ12" s="9"/>
    </row>
    <row r="13" ht="27.0" customHeight="1">
      <c r="A13" s="38"/>
      <c r="B13" s="34" t="s">
        <v>13</v>
      </c>
      <c r="C13" s="39"/>
      <c r="D13" s="40">
        <v>0.12</v>
      </c>
      <c r="E13" s="41">
        <f>E12*D13</f>
        <v>78720000</v>
      </c>
      <c r="J13" s="42"/>
      <c r="K13" s="42"/>
      <c r="L13" s="43"/>
      <c r="M13" s="43"/>
      <c r="N13" s="43"/>
      <c r="O13" s="43"/>
      <c r="P13" s="43"/>
      <c r="Q13" s="43"/>
      <c r="R13" s="7"/>
      <c r="S13" s="8"/>
      <c r="T13" s="8"/>
      <c r="U13" s="8"/>
      <c r="V13" s="8"/>
      <c r="W13" s="8"/>
      <c r="X13" s="8"/>
      <c r="Y13" s="580"/>
      <c r="Z13" s="683"/>
      <c r="AA13" s="42"/>
      <c r="AB13" s="42"/>
      <c r="AC13" s="42"/>
      <c r="AD13" s="42"/>
      <c r="AE13" s="42"/>
      <c r="AF13" s="42"/>
      <c r="AG13" s="42"/>
      <c r="AH13" s="42"/>
      <c r="AI13" s="42"/>
      <c r="AJ13" s="43"/>
      <c r="AK13" s="43"/>
      <c r="AL13" s="43"/>
      <c r="AM13" s="43"/>
      <c r="AN13" s="9"/>
      <c r="AO13" s="9"/>
      <c r="AP13" s="9"/>
      <c r="AQ13" s="9"/>
    </row>
    <row r="14" ht="27.0" customHeight="1">
      <c r="A14" s="38"/>
      <c r="B14" s="34" t="s">
        <v>14</v>
      </c>
      <c r="C14" s="39"/>
      <c r="D14" s="39"/>
      <c r="E14" s="41">
        <f>sum(E12:E13)</f>
        <v>734720000</v>
      </c>
      <c r="J14" s="42"/>
      <c r="K14" s="42"/>
      <c r="L14" s="43"/>
      <c r="M14" s="43"/>
      <c r="N14" s="43"/>
      <c r="O14" s="43"/>
      <c r="P14" s="43"/>
      <c r="Q14" s="43"/>
      <c r="R14" s="7"/>
      <c r="S14" s="8"/>
      <c r="T14" s="8"/>
      <c r="U14" s="8"/>
      <c r="V14" s="8"/>
      <c r="W14" s="8"/>
      <c r="X14" s="8"/>
      <c r="Y14" s="580"/>
      <c r="Z14" s="683"/>
      <c r="AA14" s="42"/>
      <c r="AB14" s="42"/>
      <c r="AC14" s="42"/>
      <c r="AD14" s="42"/>
      <c r="AE14" s="42"/>
      <c r="AF14" s="42"/>
      <c r="AG14" s="42"/>
      <c r="AH14" s="42"/>
      <c r="AI14" s="42"/>
      <c r="AJ14" s="43"/>
      <c r="AK14" s="43"/>
      <c r="AL14" s="43"/>
      <c r="AM14" s="43"/>
      <c r="AN14" s="9"/>
      <c r="AO14" s="9"/>
      <c r="AP14" s="9"/>
      <c r="AQ14" s="9"/>
    </row>
    <row r="15" ht="27.0" customHeight="1">
      <c r="A15" s="38"/>
      <c r="B15" s="34" t="s">
        <v>15</v>
      </c>
      <c r="C15" s="39"/>
      <c r="D15" s="39"/>
      <c r="E15" s="41">
        <f>E14*1.08</f>
        <v>793497600</v>
      </c>
      <c r="J15" s="42"/>
      <c r="K15" s="42"/>
      <c r="L15" s="43"/>
      <c r="M15" s="43"/>
      <c r="N15" s="43"/>
      <c r="O15" s="43"/>
      <c r="P15" s="43"/>
      <c r="Q15" s="43"/>
      <c r="R15" s="7"/>
      <c r="S15" s="8"/>
      <c r="T15" s="8"/>
      <c r="U15" s="8"/>
      <c r="V15" s="8"/>
      <c r="W15" s="8"/>
      <c r="X15" s="8"/>
      <c r="Y15" s="580"/>
      <c r="Z15" s="683"/>
      <c r="AA15" s="42"/>
      <c r="AB15" s="42"/>
      <c r="AC15" s="42"/>
      <c r="AD15" s="42"/>
      <c r="AE15" s="42"/>
      <c r="AF15" s="42"/>
      <c r="AG15" s="42"/>
      <c r="AH15" s="42"/>
      <c r="AI15" s="42"/>
      <c r="AJ15" s="43"/>
      <c r="AK15" s="43"/>
      <c r="AL15" s="43"/>
      <c r="AM15" s="43"/>
      <c r="AN15" s="9"/>
      <c r="AO15" s="9"/>
      <c r="AP15" s="9"/>
      <c r="AQ15" s="9"/>
    </row>
    <row r="16">
      <c r="A16" s="38"/>
      <c r="B16" s="44"/>
      <c r="C16" s="42"/>
      <c r="D16" s="42"/>
      <c r="E16" s="42"/>
      <c r="J16" s="42"/>
      <c r="K16" s="42"/>
      <c r="L16" s="43"/>
      <c r="M16" s="43"/>
      <c r="N16" s="43"/>
      <c r="O16" s="43"/>
      <c r="P16" s="43"/>
      <c r="Q16" s="43"/>
      <c r="R16" s="7"/>
      <c r="S16" s="8"/>
      <c r="T16" s="8"/>
      <c r="U16" s="8"/>
      <c r="V16" s="8"/>
      <c r="W16" s="8"/>
      <c r="X16" s="8"/>
      <c r="Y16" s="580"/>
      <c r="Z16" s="683"/>
      <c r="AA16" s="42"/>
      <c r="AB16" s="42"/>
      <c r="AC16" s="42"/>
      <c r="AD16" s="42"/>
      <c r="AE16" s="42"/>
      <c r="AF16" s="42"/>
      <c r="AG16" s="42"/>
      <c r="AH16" s="42"/>
      <c r="AI16" s="42"/>
      <c r="AJ16" s="43"/>
      <c r="AK16" s="43"/>
      <c r="AL16" s="43"/>
      <c r="AM16" s="43"/>
      <c r="AN16" s="9"/>
      <c r="AO16" s="9"/>
      <c r="AP16" s="9"/>
      <c r="AQ16" s="9"/>
    </row>
    <row r="17">
      <c r="R17" s="892"/>
      <c r="S17" s="8"/>
      <c r="T17" s="8"/>
      <c r="U17" s="8"/>
      <c r="V17" s="8"/>
      <c r="W17" s="8"/>
      <c r="X17" s="8"/>
      <c r="Y17" s="580"/>
      <c r="Z17" s="685" t="s">
        <v>891</v>
      </c>
      <c r="AA17" s="686"/>
      <c r="AB17" s="687" t="s">
        <v>892</v>
      </c>
      <c r="AC17" s="688"/>
      <c r="AD17" s="688"/>
      <c r="AE17" s="688"/>
      <c r="AF17" s="688"/>
      <c r="AG17" s="688"/>
      <c r="AH17" s="688"/>
      <c r="AI17" s="688"/>
      <c r="AJ17" s="686"/>
      <c r="AK17" s="686"/>
      <c r="AL17" s="686"/>
      <c r="AM17" s="689"/>
      <c r="AN17" s="9"/>
      <c r="AO17" s="9"/>
      <c r="AP17" s="9"/>
      <c r="AQ17" s="9"/>
    </row>
    <row r="18" ht="44.25" customHeight="1">
      <c r="A18" s="43"/>
      <c r="B18" s="43"/>
      <c r="C18" s="43"/>
      <c r="D18" s="43"/>
      <c r="E18" s="43"/>
      <c r="G18" s="43"/>
      <c r="H18" s="43"/>
      <c r="K18" s="43"/>
      <c r="L18" s="43"/>
      <c r="M18" s="43"/>
      <c r="N18" s="43"/>
      <c r="O18" s="43"/>
      <c r="P18" s="43"/>
      <c r="Q18" s="43"/>
      <c r="R18" s="690"/>
      <c r="S18" s="47"/>
      <c r="T18" s="47"/>
      <c r="U18" s="47"/>
      <c r="V18" s="47"/>
      <c r="W18" s="47"/>
      <c r="X18" s="47"/>
      <c r="Y18" s="691"/>
      <c r="Z18" s="692" t="s">
        <v>893</v>
      </c>
      <c r="AA18" s="693" t="s">
        <v>894</v>
      </c>
      <c r="AB18" s="694" t="s">
        <v>38</v>
      </c>
      <c r="AC18" s="688"/>
      <c r="AD18" s="688"/>
      <c r="AE18" s="688"/>
      <c r="AF18" s="695" t="s">
        <v>320</v>
      </c>
      <c r="AG18" s="696"/>
      <c r="AH18" s="696"/>
      <c r="AI18" s="697"/>
      <c r="AJ18" s="698" t="s">
        <v>895</v>
      </c>
      <c r="AK18" s="693" t="s">
        <v>896</v>
      </c>
      <c r="AL18" s="693" t="s">
        <v>897</v>
      </c>
      <c r="AM18" s="693" t="s">
        <v>898</v>
      </c>
      <c r="AN18" s="9"/>
      <c r="AO18" s="9"/>
      <c r="AP18" s="9"/>
      <c r="AQ18" s="9"/>
    </row>
    <row r="19" ht="30.75" customHeight="1">
      <c r="A19" s="893" t="s">
        <v>16</v>
      </c>
      <c r="B19" s="894" t="s">
        <v>17</v>
      </c>
      <c r="C19" s="894" t="s">
        <v>18</v>
      </c>
      <c r="D19" s="895" t="s">
        <v>19</v>
      </c>
      <c r="E19" s="896" t="s">
        <v>20</v>
      </c>
      <c r="F19" s="897" t="s">
        <v>21</v>
      </c>
      <c r="G19" s="894" t="s">
        <v>22</v>
      </c>
      <c r="H19" s="894" t="s">
        <v>23</v>
      </c>
      <c r="I19" s="894" t="s">
        <v>24</v>
      </c>
      <c r="J19" s="894" t="s">
        <v>3</v>
      </c>
      <c r="K19" s="894" t="s">
        <v>4</v>
      </c>
      <c r="L19" s="894" t="s">
        <v>25</v>
      </c>
      <c r="M19" s="895" t="s">
        <v>26</v>
      </c>
      <c r="N19" s="894" t="s">
        <v>27</v>
      </c>
      <c r="O19" s="894" t="s">
        <v>28</v>
      </c>
      <c r="P19" s="894" t="s">
        <v>29</v>
      </c>
      <c r="Q19" s="894" t="s">
        <v>30</v>
      </c>
      <c r="R19" s="898" t="s">
        <v>31</v>
      </c>
      <c r="S19" s="898" t="s">
        <v>32</v>
      </c>
      <c r="T19" s="898" t="s">
        <v>34</v>
      </c>
      <c r="U19" s="54"/>
      <c r="V19" s="54"/>
      <c r="W19" s="703" t="s">
        <v>899</v>
      </c>
      <c r="X19" s="703" t="s">
        <v>900</v>
      </c>
      <c r="Y19" s="704"/>
      <c r="Z19" s="705"/>
      <c r="AA19" s="706"/>
      <c r="AB19" s="707" t="s">
        <v>901</v>
      </c>
      <c r="AC19" s="707" t="s">
        <v>902</v>
      </c>
      <c r="AD19" s="707" t="s">
        <v>903</v>
      </c>
      <c r="AE19" s="707" t="s">
        <v>904</v>
      </c>
      <c r="AF19" s="708" t="s">
        <v>901</v>
      </c>
      <c r="AG19" s="708" t="s">
        <v>902</v>
      </c>
      <c r="AH19" s="708" t="s">
        <v>903</v>
      </c>
      <c r="AI19" s="708" t="s">
        <v>904</v>
      </c>
      <c r="AJ19" s="707" t="s">
        <v>905</v>
      </c>
      <c r="AK19" s="706"/>
      <c r="AL19" s="706"/>
      <c r="AM19" s="706"/>
      <c r="AN19" s="9"/>
      <c r="AO19" s="9"/>
      <c r="AP19" s="9"/>
      <c r="AQ19" s="9"/>
    </row>
    <row r="20" ht="30.0" customHeight="1">
      <c r="A20" s="900" t="s">
        <v>35</v>
      </c>
      <c r="B20" s="901"/>
      <c r="C20" s="902"/>
      <c r="D20" s="903"/>
      <c r="E20" s="904"/>
      <c r="F20" s="905"/>
      <c r="G20" s="906"/>
      <c r="H20" s="906"/>
      <c r="I20" s="907"/>
      <c r="J20" s="908" t="s">
        <v>7</v>
      </c>
      <c r="K20" s="909">
        <f>SUMIFS(K22:K41,J22:J41,"Video Post")</f>
        <v>10</v>
      </c>
      <c r="L20" s="910"/>
      <c r="M20" s="911">
        <f t="shared" ref="M20:N20" si="3">sum(M22:M41)</f>
        <v>855000</v>
      </c>
      <c r="N20" s="911">
        <f t="shared" si="3"/>
        <v>30200</v>
      </c>
      <c r="O20" s="910"/>
      <c r="P20" s="910"/>
      <c r="Q20" s="911">
        <f>sum(Q22:Q41)</f>
        <v>254000000</v>
      </c>
      <c r="R20" s="912"/>
      <c r="S20" s="1019"/>
      <c r="T20" s="1019"/>
      <c r="U20" s="69"/>
      <c r="V20" s="69"/>
      <c r="W20" s="717"/>
      <c r="X20" s="717"/>
      <c r="Y20" s="718"/>
      <c r="Z20" s="719"/>
      <c r="AA20" s="720"/>
      <c r="AB20" s="721"/>
      <c r="AC20" s="721"/>
      <c r="AD20" s="721"/>
      <c r="AE20" s="722"/>
      <c r="AF20" s="723"/>
      <c r="AG20" s="721"/>
      <c r="AH20" s="721"/>
      <c r="AI20" s="721"/>
      <c r="AJ20" s="724"/>
      <c r="AK20" s="724"/>
      <c r="AL20" s="724"/>
      <c r="AM20" s="725"/>
      <c r="AN20" s="9"/>
      <c r="AO20" s="9"/>
      <c r="AP20" s="9"/>
      <c r="AQ20" s="9"/>
    </row>
    <row r="21" ht="30.0" customHeight="1">
      <c r="A21" s="914"/>
      <c r="B21" s="915"/>
      <c r="C21" s="916"/>
      <c r="D21" s="917"/>
      <c r="E21" s="918"/>
      <c r="F21" s="919"/>
      <c r="G21" s="920"/>
      <c r="H21" s="920"/>
      <c r="I21" s="921"/>
      <c r="J21" s="922" t="s">
        <v>8</v>
      </c>
      <c r="K21" s="923">
        <f>SUMIFS(K22:K41,J22:J41,"Tháng")</f>
        <v>10</v>
      </c>
      <c r="L21" s="924"/>
      <c r="M21" s="925"/>
      <c r="N21" s="925"/>
      <c r="O21" s="924"/>
      <c r="P21" s="924"/>
      <c r="Q21" s="925"/>
      <c r="R21" s="926"/>
      <c r="S21" s="1019"/>
      <c r="T21" s="1019"/>
      <c r="U21" s="69"/>
      <c r="V21" s="69"/>
      <c r="W21" s="717"/>
      <c r="X21" s="717"/>
      <c r="Y21" s="728"/>
      <c r="Z21" s="719"/>
      <c r="AA21" s="720"/>
      <c r="AB21" s="721"/>
      <c r="AC21" s="721"/>
      <c r="AD21" s="721"/>
      <c r="AE21" s="722"/>
      <c r="AF21" s="723"/>
      <c r="AG21" s="721"/>
      <c r="AH21" s="721"/>
      <c r="AI21" s="721"/>
      <c r="AJ21" s="724"/>
      <c r="AK21" s="724"/>
      <c r="AL21" s="724"/>
      <c r="AM21" s="725"/>
      <c r="AN21" s="9"/>
      <c r="AO21" s="9"/>
      <c r="AP21" s="9"/>
      <c r="AQ21" s="9"/>
    </row>
    <row r="22" ht="114.75" customHeight="1" outlineLevel="1">
      <c r="A22" s="927">
        <v>1.0</v>
      </c>
      <c r="B22" s="928" t="s">
        <v>74</v>
      </c>
      <c r="C22" s="929" t="s">
        <v>38</v>
      </c>
      <c r="D22" s="930" t="s">
        <v>75</v>
      </c>
      <c r="E22" s="931" t="s">
        <v>40</v>
      </c>
      <c r="F22" s="932" t="s">
        <v>21</v>
      </c>
      <c r="G22" s="1020" t="s">
        <v>50</v>
      </c>
      <c r="H22" s="933" t="s">
        <v>1267</v>
      </c>
      <c r="I22" s="934" t="b">
        <v>1</v>
      </c>
      <c r="J22" s="935" t="s">
        <v>7</v>
      </c>
      <c r="K22" s="936">
        <f t="shared" ref="K22:K41" si="4">if(I22=True,1,if(I22=False,0))</f>
        <v>1</v>
      </c>
      <c r="L22" s="937">
        <f t="shared" ref="L22:L30" si="5">round(Z22*(1+AA22),-6)</f>
        <v>30000000</v>
      </c>
      <c r="M22" s="937">
        <f>(sum(AB22:AC22)+sum(AF22:AG22))*K22</f>
        <v>80000</v>
      </c>
      <c r="N22" s="937">
        <f>(sum(AD22:AE22)+sum(AH22:AI22))*K22</f>
        <v>4000</v>
      </c>
      <c r="O22" s="937">
        <f>IFERROR(Q22/M22,"-")</f>
        <v>375</v>
      </c>
      <c r="P22" s="937">
        <f>IFERROR(Q22/N22,"-")</f>
        <v>7500</v>
      </c>
      <c r="Q22" s="937">
        <f t="shared" ref="Q22:Q41" si="6">iferror(L22*K22,"-")</f>
        <v>30000000</v>
      </c>
      <c r="R22" s="1021" t="s">
        <v>1268</v>
      </c>
      <c r="S22" s="1022" t="s">
        <v>78</v>
      </c>
      <c r="T22" s="1023" t="s">
        <v>222</v>
      </c>
      <c r="U22" s="9"/>
      <c r="V22" s="9"/>
      <c r="W22" s="740"/>
      <c r="X22" s="740"/>
      <c r="Y22" s="741" t="s">
        <v>918</v>
      </c>
      <c r="Z22" s="742">
        <f>18000000/0.9</f>
        <v>20000000</v>
      </c>
      <c r="AA22" s="743">
        <v>0.5</v>
      </c>
      <c r="AB22" s="744">
        <v>30000.0</v>
      </c>
      <c r="AC22" s="744">
        <v>50000.0</v>
      </c>
      <c r="AD22" s="744">
        <v>2000.0</v>
      </c>
      <c r="AE22" s="745">
        <v>2000.0</v>
      </c>
      <c r="AF22" s="746"/>
      <c r="AG22" s="744"/>
      <c r="AH22" s="744"/>
      <c r="AI22" s="744"/>
      <c r="AJ22" s="747">
        <f t="shared" ref="AJ22:AJ41" si="7">(AC22*2+AE22*50+AG22*10+AI22*50)*K22</f>
        <v>200000</v>
      </c>
      <c r="AK22" s="747">
        <f t="shared" ref="AK22:AK41" si="8">sum(Z22,AJ22)*K22</f>
        <v>20200000</v>
      </c>
      <c r="AL22" s="747">
        <f t="shared" ref="AL22:AL41" si="9">iferror(Q22-AK22,"-")</f>
        <v>9800000</v>
      </c>
      <c r="AM22" s="748">
        <f t="shared" ref="AM22:AM41" si="10">iferror(AL22/Q22,"-")</f>
        <v>0.3266666667</v>
      </c>
      <c r="AN22" s="9"/>
      <c r="AO22" s="9"/>
      <c r="AP22" s="9"/>
      <c r="AQ22" s="9"/>
    </row>
    <row r="23" ht="114.75" customHeight="1" outlineLevel="1">
      <c r="A23" s="941"/>
      <c r="B23" s="942"/>
      <c r="C23" s="942"/>
      <c r="D23" s="942"/>
      <c r="E23" s="942"/>
      <c r="F23" s="942"/>
      <c r="G23" s="1024"/>
      <c r="H23" s="943" t="s">
        <v>1269</v>
      </c>
      <c r="I23" s="934" t="b">
        <v>1</v>
      </c>
      <c r="J23" s="935" t="s">
        <v>47</v>
      </c>
      <c r="K23" s="936">
        <f t="shared" si="4"/>
        <v>1</v>
      </c>
      <c r="L23" s="937">
        <f t="shared" si="5"/>
        <v>17000000</v>
      </c>
      <c r="M23" s="937">
        <v>0.0</v>
      </c>
      <c r="N23" s="937">
        <v>0.0</v>
      </c>
      <c r="O23" s="937" t="s">
        <v>81</v>
      </c>
      <c r="P23" s="937" t="s">
        <v>81</v>
      </c>
      <c r="Q23" s="937">
        <f t="shared" si="6"/>
        <v>17000000</v>
      </c>
      <c r="R23" s="1025"/>
      <c r="S23" s="1026"/>
      <c r="T23" s="1027"/>
      <c r="U23" s="9"/>
      <c r="V23" s="9"/>
      <c r="W23" s="26"/>
      <c r="X23" s="26"/>
      <c r="Y23" s="751" t="s">
        <v>910</v>
      </c>
      <c r="Z23" s="742">
        <f>10000000/0.9</f>
        <v>11111111.11</v>
      </c>
      <c r="AA23" s="743">
        <v>0.5</v>
      </c>
      <c r="AB23" s="744"/>
      <c r="AC23" s="744"/>
      <c r="AD23" s="744"/>
      <c r="AE23" s="745"/>
      <c r="AF23" s="746"/>
      <c r="AG23" s="744"/>
      <c r="AH23" s="744"/>
      <c r="AI23" s="744"/>
      <c r="AJ23" s="747">
        <f t="shared" si="7"/>
        <v>0</v>
      </c>
      <c r="AK23" s="747">
        <f t="shared" si="8"/>
        <v>11111111.11</v>
      </c>
      <c r="AL23" s="747">
        <f t="shared" si="9"/>
        <v>5888888.889</v>
      </c>
      <c r="AM23" s="748">
        <f t="shared" si="10"/>
        <v>0.3464052288</v>
      </c>
      <c r="AN23" s="9"/>
      <c r="AO23" s="9"/>
      <c r="AP23" s="9"/>
      <c r="AQ23" s="9"/>
    </row>
    <row r="24" ht="114.75" customHeight="1" outlineLevel="1">
      <c r="A24" s="927">
        <f>A22+1</f>
        <v>2</v>
      </c>
      <c r="B24" s="945" t="s">
        <v>82</v>
      </c>
      <c r="C24" s="929" t="s">
        <v>38</v>
      </c>
      <c r="D24" s="930" t="s">
        <v>83</v>
      </c>
      <c r="E24" s="931" t="s">
        <v>40</v>
      </c>
      <c r="F24" s="932" t="s">
        <v>21</v>
      </c>
      <c r="G24" s="1020" t="s">
        <v>50</v>
      </c>
      <c r="H24" s="933" t="s">
        <v>1270</v>
      </c>
      <c r="I24" s="934" t="b">
        <v>1</v>
      </c>
      <c r="J24" s="935" t="s">
        <v>7</v>
      </c>
      <c r="K24" s="936">
        <f t="shared" si="4"/>
        <v>1</v>
      </c>
      <c r="L24" s="937">
        <f t="shared" si="5"/>
        <v>22000000</v>
      </c>
      <c r="M24" s="937">
        <f t="shared" ref="M24:M41" si="11">(sum(AB24:AC24)+sum(AF24:AG24))*K24</f>
        <v>100000</v>
      </c>
      <c r="N24" s="937">
        <f t="shared" ref="N24:N41" si="12">(sum(AD24:AE24)+sum(AH24:AI24))*K24</f>
        <v>2000</v>
      </c>
      <c r="O24" s="937">
        <f t="shared" ref="O24:O41" si="13">IFERROR(Q24/M24,"-")</f>
        <v>220</v>
      </c>
      <c r="P24" s="937">
        <f t="shared" ref="P24:P41" si="14">IFERROR(Q24/N24,"-")</f>
        <v>11000</v>
      </c>
      <c r="Q24" s="937">
        <f t="shared" si="6"/>
        <v>22000000</v>
      </c>
      <c r="R24" s="1021" t="s">
        <v>1271</v>
      </c>
      <c r="S24" s="1028" t="s">
        <v>86</v>
      </c>
      <c r="T24" s="1023" t="s">
        <v>222</v>
      </c>
      <c r="U24" s="87"/>
      <c r="V24" s="87"/>
      <c r="W24" s="740"/>
      <c r="X24" s="740"/>
      <c r="Y24" s="741" t="s">
        <v>918</v>
      </c>
      <c r="Z24" s="742">
        <f>13000000/0.9</f>
        <v>14444444.44</v>
      </c>
      <c r="AA24" s="743">
        <v>0.5</v>
      </c>
      <c r="AB24" s="744">
        <v>80000.0</v>
      </c>
      <c r="AC24" s="744">
        <v>20000.0</v>
      </c>
      <c r="AD24" s="744">
        <v>1000.0</v>
      </c>
      <c r="AE24" s="745">
        <v>1000.0</v>
      </c>
      <c r="AF24" s="746"/>
      <c r="AG24" s="744"/>
      <c r="AH24" s="744"/>
      <c r="AI24" s="744"/>
      <c r="AJ24" s="747">
        <f t="shared" si="7"/>
        <v>90000</v>
      </c>
      <c r="AK24" s="747">
        <f t="shared" si="8"/>
        <v>14534444.44</v>
      </c>
      <c r="AL24" s="747">
        <f t="shared" si="9"/>
        <v>7465555.556</v>
      </c>
      <c r="AM24" s="748">
        <f t="shared" si="10"/>
        <v>0.3393434343</v>
      </c>
      <c r="AN24" s="9"/>
      <c r="AO24" s="9"/>
      <c r="AP24" s="9"/>
      <c r="AQ24" s="9"/>
    </row>
    <row r="25" ht="114.75" customHeight="1" outlineLevel="1">
      <c r="A25" s="941"/>
      <c r="B25" s="942"/>
      <c r="C25" s="942"/>
      <c r="D25" s="942"/>
      <c r="E25" s="942"/>
      <c r="F25" s="942"/>
      <c r="G25" s="1024"/>
      <c r="H25" s="943" t="s">
        <v>1272</v>
      </c>
      <c r="I25" s="934" t="b">
        <v>1</v>
      </c>
      <c r="J25" s="935" t="s">
        <v>47</v>
      </c>
      <c r="K25" s="936">
        <f t="shared" si="4"/>
        <v>1</v>
      </c>
      <c r="L25" s="937">
        <f t="shared" si="5"/>
        <v>13000000</v>
      </c>
      <c r="M25" s="937">
        <f t="shared" si="11"/>
        <v>0</v>
      </c>
      <c r="N25" s="937">
        <f t="shared" si="12"/>
        <v>0</v>
      </c>
      <c r="O25" s="937" t="str">
        <f t="shared" si="13"/>
        <v>-</v>
      </c>
      <c r="P25" s="937" t="str">
        <f t="shared" si="14"/>
        <v>-</v>
      </c>
      <c r="Q25" s="937">
        <f t="shared" si="6"/>
        <v>13000000</v>
      </c>
      <c r="R25" s="1025"/>
      <c r="S25" s="1026"/>
      <c r="T25" s="1027"/>
      <c r="U25" s="9"/>
      <c r="V25" s="9"/>
      <c r="W25" s="26"/>
      <c r="X25" s="26"/>
      <c r="Y25" s="751" t="s">
        <v>1068</v>
      </c>
      <c r="Z25" s="742">
        <f>8000000/0.9</f>
        <v>8888888.889</v>
      </c>
      <c r="AA25" s="743">
        <v>0.5</v>
      </c>
      <c r="AB25" s="744"/>
      <c r="AC25" s="744"/>
      <c r="AD25" s="744"/>
      <c r="AE25" s="745"/>
      <c r="AF25" s="746"/>
      <c r="AG25" s="744"/>
      <c r="AH25" s="744"/>
      <c r="AI25" s="744"/>
      <c r="AJ25" s="747">
        <f t="shared" si="7"/>
        <v>0</v>
      </c>
      <c r="AK25" s="747">
        <f t="shared" si="8"/>
        <v>8888888.889</v>
      </c>
      <c r="AL25" s="747">
        <f t="shared" si="9"/>
        <v>4111111.111</v>
      </c>
      <c r="AM25" s="748">
        <f t="shared" si="10"/>
        <v>0.3162393162</v>
      </c>
      <c r="AN25" s="9"/>
      <c r="AO25" s="9"/>
      <c r="AP25" s="9"/>
      <c r="AQ25" s="9"/>
    </row>
    <row r="26" ht="114.75" customHeight="1" outlineLevel="1">
      <c r="A26" s="927">
        <f>A24+1</f>
        <v>3</v>
      </c>
      <c r="B26" s="946" t="s">
        <v>37</v>
      </c>
      <c r="C26" s="929" t="s">
        <v>38</v>
      </c>
      <c r="D26" s="930" t="s">
        <v>39</v>
      </c>
      <c r="E26" s="931" t="s">
        <v>40</v>
      </c>
      <c r="F26" s="932" t="s">
        <v>21</v>
      </c>
      <c r="G26" s="1020" t="s">
        <v>41</v>
      </c>
      <c r="H26" s="933" t="s">
        <v>1273</v>
      </c>
      <c r="I26" s="934" t="b">
        <v>1</v>
      </c>
      <c r="J26" s="935" t="s">
        <v>7</v>
      </c>
      <c r="K26" s="936">
        <f t="shared" si="4"/>
        <v>1</v>
      </c>
      <c r="L26" s="937">
        <f t="shared" si="5"/>
        <v>16000000</v>
      </c>
      <c r="M26" s="937">
        <f t="shared" si="11"/>
        <v>50000</v>
      </c>
      <c r="N26" s="937">
        <f t="shared" si="12"/>
        <v>3000</v>
      </c>
      <c r="O26" s="937">
        <f t="shared" si="13"/>
        <v>320</v>
      </c>
      <c r="P26" s="937">
        <f t="shared" si="14"/>
        <v>5333.333333</v>
      </c>
      <c r="Q26" s="937">
        <f t="shared" si="6"/>
        <v>16000000</v>
      </c>
      <c r="R26" s="1021" t="s">
        <v>1274</v>
      </c>
      <c r="S26" s="1028" t="s">
        <v>44</v>
      </c>
      <c r="T26" s="1029" t="s">
        <v>45</v>
      </c>
      <c r="U26" s="87"/>
      <c r="V26" s="87"/>
      <c r="W26" s="740"/>
      <c r="X26" s="740"/>
      <c r="Y26" s="741" t="s">
        <v>1275</v>
      </c>
      <c r="Z26" s="742">
        <f>2000000/0.9</f>
        <v>2222222.222</v>
      </c>
      <c r="AA26" s="743">
        <v>6.0</v>
      </c>
      <c r="AB26" s="744">
        <v>20000.0</v>
      </c>
      <c r="AC26" s="744">
        <v>30000.0</v>
      </c>
      <c r="AD26" s="744">
        <v>1000.0</v>
      </c>
      <c r="AE26" s="745">
        <v>2000.0</v>
      </c>
      <c r="AF26" s="746"/>
      <c r="AG26" s="744"/>
      <c r="AH26" s="744"/>
      <c r="AI26" s="744"/>
      <c r="AJ26" s="747">
        <f t="shared" si="7"/>
        <v>160000</v>
      </c>
      <c r="AK26" s="747">
        <f t="shared" si="8"/>
        <v>2382222.222</v>
      </c>
      <c r="AL26" s="747">
        <f t="shared" si="9"/>
        <v>13617777.78</v>
      </c>
      <c r="AM26" s="748">
        <f t="shared" si="10"/>
        <v>0.8511111111</v>
      </c>
      <c r="AN26" s="9"/>
      <c r="AO26" s="9"/>
      <c r="AP26" s="9"/>
      <c r="AQ26" s="9"/>
    </row>
    <row r="27" ht="114.75" customHeight="1" outlineLevel="1">
      <c r="A27" s="941"/>
      <c r="B27" s="942"/>
      <c r="C27" s="942"/>
      <c r="D27" s="942"/>
      <c r="E27" s="942"/>
      <c r="F27" s="942"/>
      <c r="G27" s="1024"/>
      <c r="H27" s="943" t="s">
        <v>1276</v>
      </c>
      <c r="I27" s="934" t="b">
        <v>1</v>
      </c>
      <c r="J27" s="935" t="s">
        <v>47</v>
      </c>
      <c r="K27" s="936">
        <f t="shared" si="4"/>
        <v>1</v>
      </c>
      <c r="L27" s="937">
        <f t="shared" si="5"/>
        <v>8000000</v>
      </c>
      <c r="M27" s="937">
        <f t="shared" si="11"/>
        <v>0</v>
      </c>
      <c r="N27" s="937">
        <f t="shared" si="12"/>
        <v>0</v>
      </c>
      <c r="O27" s="937" t="str">
        <f t="shared" si="13"/>
        <v>-</v>
      </c>
      <c r="P27" s="937" t="str">
        <f t="shared" si="14"/>
        <v>-</v>
      </c>
      <c r="Q27" s="937">
        <f t="shared" si="6"/>
        <v>8000000</v>
      </c>
      <c r="R27" s="1025"/>
      <c r="S27" s="1026"/>
      <c r="T27" s="1027"/>
      <c r="U27" s="87"/>
      <c r="V27" s="87"/>
      <c r="W27" s="26"/>
      <c r="X27" s="26"/>
      <c r="Y27" s="751" t="s">
        <v>910</v>
      </c>
      <c r="Z27" s="742">
        <f>1500000/0.9</f>
        <v>1666666.667</v>
      </c>
      <c r="AA27" s="743">
        <v>4.0</v>
      </c>
      <c r="AB27" s="744"/>
      <c r="AC27" s="744"/>
      <c r="AD27" s="744"/>
      <c r="AE27" s="745"/>
      <c r="AF27" s="746"/>
      <c r="AG27" s="744"/>
      <c r="AH27" s="744"/>
      <c r="AI27" s="744"/>
      <c r="AJ27" s="747">
        <f t="shared" si="7"/>
        <v>0</v>
      </c>
      <c r="AK27" s="747">
        <f t="shared" si="8"/>
        <v>1666666.667</v>
      </c>
      <c r="AL27" s="747">
        <f t="shared" si="9"/>
        <v>6333333.333</v>
      </c>
      <c r="AM27" s="748">
        <f t="shared" si="10"/>
        <v>0.7916666667</v>
      </c>
      <c r="AN27" s="9"/>
      <c r="AO27" s="9"/>
      <c r="AP27" s="9"/>
      <c r="AQ27" s="9"/>
    </row>
    <row r="28" ht="114.75" customHeight="1" outlineLevel="1">
      <c r="A28" s="927">
        <f>A26+1</f>
        <v>4</v>
      </c>
      <c r="B28" s="928" t="s">
        <v>89</v>
      </c>
      <c r="C28" s="929" t="s">
        <v>38</v>
      </c>
      <c r="D28" s="930" t="s">
        <v>90</v>
      </c>
      <c r="E28" s="931" t="s">
        <v>40</v>
      </c>
      <c r="F28" s="932" t="s">
        <v>21</v>
      </c>
      <c r="G28" s="1020" t="s">
        <v>50</v>
      </c>
      <c r="H28" s="933" t="s">
        <v>1277</v>
      </c>
      <c r="I28" s="947" t="b">
        <v>1</v>
      </c>
      <c r="J28" s="948" t="s">
        <v>7</v>
      </c>
      <c r="K28" s="949">
        <f t="shared" si="4"/>
        <v>1</v>
      </c>
      <c r="L28" s="950">
        <f t="shared" si="5"/>
        <v>17000000</v>
      </c>
      <c r="M28" s="950">
        <f t="shared" si="11"/>
        <v>150000</v>
      </c>
      <c r="N28" s="950">
        <f t="shared" si="12"/>
        <v>4000</v>
      </c>
      <c r="O28" s="950">
        <f t="shared" si="13"/>
        <v>113.3333333</v>
      </c>
      <c r="P28" s="950">
        <f t="shared" si="14"/>
        <v>4250</v>
      </c>
      <c r="Q28" s="950">
        <f t="shared" si="6"/>
        <v>17000000</v>
      </c>
      <c r="R28" s="1021" t="s">
        <v>1278</v>
      </c>
      <c r="S28" s="1028" t="s">
        <v>93</v>
      </c>
      <c r="T28" s="1023" t="s">
        <v>222</v>
      </c>
      <c r="U28" s="9"/>
      <c r="V28" s="9"/>
      <c r="W28" s="740"/>
      <c r="X28" s="740"/>
      <c r="Y28" s="741" t="s">
        <v>1279</v>
      </c>
      <c r="Z28" s="742">
        <f>4300000/0.9</f>
        <v>4777777.778</v>
      </c>
      <c r="AA28" s="743">
        <v>2.5</v>
      </c>
      <c r="AB28" s="744">
        <v>100000.0</v>
      </c>
      <c r="AC28" s="744">
        <v>50000.0</v>
      </c>
      <c r="AD28" s="744">
        <v>2000.0</v>
      </c>
      <c r="AE28" s="745">
        <v>2000.0</v>
      </c>
      <c r="AF28" s="746"/>
      <c r="AG28" s="744"/>
      <c r="AH28" s="744"/>
      <c r="AI28" s="744"/>
      <c r="AJ28" s="747">
        <f t="shared" si="7"/>
        <v>200000</v>
      </c>
      <c r="AK28" s="747">
        <f t="shared" si="8"/>
        <v>4977777.778</v>
      </c>
      <c r="AL28" s="747">
        <f t="shared" si="9"/>
        <v>12022222.22</v>
      </c>
      <c r="AM28" s="748">
        <f t="shared" si="10"/>
        <v>0.7071895425</v>
      </c>
      <c r="AN28" s="9"/>
      <c r="AO28" s="9"/>
      <c r="AP28" s="9"/>
      <c r="AQ28" s="9"/>
    </row>
    <row r="29" ht="114.75" customHeight="1" outlineLevel="1">
      <c r="A29" s="941"/>
      <c r="B29" s="942"/>
      <c r="C29" s="942"/>
      <c r="D29" s="942"/>
      <c r="E29" s="942"/>
      <c r="F29" s="942"/>
      <c r="G29" s="1024"/>
      <c r="H29" s="951" t="s">
        <v>1280</v>
      </c>
      <c r="I29" s="952" t="b">
        <v>1</v>
      </c>
      <c r="J29" s="953" t="s">
        <v>47</v>
      </c>
      <c r="K29" s="954">
        <f t="shared" si="4"/>
        <v>1</v>
      </c>
      <c r="L29" s="955">
        <f t="shared" si="5"/>
        <v>7000000</v>
      </c>
      <c r="M29" s="955">
        <f t="shared" si="11"/>
        <v>0</v>
      </c>
      <c r="N29" s="955">
        <f t="shared" si="12"/>
        <v>0</v>
      </c>
      <c r="O29" s="955" t="str">
        <f t="shared" si="13"/>
        <v>-</v>
      </c>
      <c r="P29" s="955" t="str">
        <f t="shared" si="14"/>
        <v>-</v>
      </c>
      <c r="Q29" s="955">
        <f t="shared" si="6"/>
        <v>7000000</v>
      </c>
      <c r="R29" s="1025"/>
      <c r="S29" s="1026"/>
      <c r="T29" s="1027"/>
      <c r="U29" s="9"/>
      <c r="V29" s="9"/>
      <c r="W29" s="26"/>
      <c r="X29" s="26"/>
      <c r="Y29" s="751" t="s">
        <v>910</v>
      </c>
      <c r="Z29" s="742">
        <f>2000000/0.9</f>
        <v>2222222.222</v>
      </c>
      <c r="AA29" s="743">
        <v>2.0</v>
      </c>
      <c r="AB29" s="744"/>
      <c r="AC29" s="744"/>
      <c r="AD29" s="744"/>
      <c r="AE29" s="745"/>
      <c r="AF29" s="746"/>
      <c r="AG29" s="744"/>
      <c r="AH29" s="744"/>
      <c r="AI29" s="744"/>
      <c r="AJ29" s="747">
        <f t="shared" si="7"/>
        <v>0</v>
      </c>
      <c r="AK29" s="747">
        <f t="shared" si="8"/>
        <v>2222222.222</v>
      </c>
      <c r="AL29" s="747">
        <f t="shared" si="9"/>
        <v>4777777.778</v>
      </c>
      <c r="AM29" s="748">
        <f t="shared" si="10"/>
        <v>0.6825396825</v>
      </c>
      <c r="AN29" s="9"/>
      <c r="AO29" s="9"/>
      <c r="AP29" s="9"/>
      <c r="AQ29" s="9"/>
    </row>
    <row r="30" ht="114.75" customHeight="1" outlineLevel="1">
      <c r="A30" s="927">
        <f>A28+1</f>
        <v>5</v>
      </c>
      <c r="B30" s="956" t="s">
        <v>48</v>
      </c>
      <c r="C30" s="957" t="s">
        <v>38</v>
      </c>
      <c r="D30" s="958" t="s">
        <v>49</v>
      </c>
      <c r="E30" s="959" t="s">
        <v>40</v>
      </c>
      <c r="F30" s="960" t="s">
        <v>21</v>
      </c>
      <c r="G30" s="1020" t="s">
        <v>50</v>
      </c>
      <c r="H30" s="933" t="s">
        <v>1281</v>
      </c>
      <c r="I30" s="961" t="b">
        <v>1</v>
      </c>
      <c r="J30" s="962" t="s">
        <v>7</v>
      </c>
      <c r="K30" s="963">
        <f t="shared" si="4"/>
        <v>1</v>
      </c>
      <c r="L30" s="964">
        <f t="shared" si="5"/>
        <v>12000000</v>
      </c>
      <c r="M30" s="964">
        <f t="shared" si="11"/>
        <v>100000</v>
      </c>
      <c r="N30" s="964">
        <f t="shared" si="12"/>
        <v>3000</v>
      </c>
      <c r="O30" s="964">
        <f t="shared" si="13"/>
        <v>120</v>
      </c>
      <c r="P30" s="964">
        <f t="shared" si="14"/>
        <v>4000</v>
      </c>
      <c r="Q30" s="964">
        <f t="shared" si="6"/>
        <v>12000000</v>
      </c>
      <c r="R30" s="1021" t="s">
        <v>1282</v>
      </c>
      <c r="S30" s="1028" t="s">
        <v>53</v>
      </c>
      <c r="T30" s="1029" t="s">
        <v>45</v>
      </c>
      <c r="U30" s="87"/>
      <c r="V30" s="87"/>
      <c r="W30" s="740"/>
      <c r="X30" s="740"/>
      <c r="Y30" s="751" t="s">
        <v>913</v>
      </c>
      <c r="Z30" s="742">
        <f>5500000/0.9</f>
        <v>6111111.111</v>
      </c>
      <c r="AA30" s="743">
        <v>1.0</v>
      </c>
      <c r="AB30" s="744">
        <v>50000.0</v>
      </c>
      <c r="AC30" s="744">
        <v>50000.0</v>
      </c>
      <c r="AD30" s="744">
        <v>1000.0</v>
      </c>
      <c r="AE30" s="745">
        <v>2000.0</v>
      </c>
      <c r="AF30" s="746"/>
      <c r="AG30" s="744"/>
      <c r="AH30" s="744"/>
      <c r="AI30" s="744"/>
      <c r="AJ30" s="747">
        <f t="shared" si="7"/>
        <v>200000</v>
      </c>
      <c r="AK30" s="747">
        <f t="shared" si="8"/>
        <v>6311111.111</v>
      </c>
      <c r="AL30" s="747">
        <f t="shared" si="9"/>
        <v>5688888.889</v>
      </c>
      <c r="AM30" s="748">
        <f t="shared" si="10"/>
        <v>0.4740740741</v>
      </c>
      <c r="AN30" s="9"/>
      <c r="AO30" s="9"/>
      <c r="AP30" s="9"/>
      <c r="AQ30" s="9"/>
    </row>
    <row r="31" ht="114.75" customHeight="1" outlineLevel="1">
      <c r="A31" s="941"/>
      <c r="B31" s="942"/>
      <c r="C31" s="942"/>
      <c r="D31" s="942"/>
      <c r="E31" s="942"/>
      <c r="F31" s="942"/>
      <c r="G31" s="1024"/>
      <c r="H31" s="943" t="s">
        <v>1283</v>
      </c>
      <c r="I31" s="934" t="b">
        <v>1</v>
      </c>
      <c r="J31" s="935" t="s">
        <v>47</v>
      </c>
      <c r="K31" s="936">
        <f t="shared" si="4"/>
        <v>1</v>
      </c>
      <c r="L31" s="965">
        <v>6000000.0</v>
      </c>
      <c r="M31" s="937">
        <f t="shared" si="11"/>
        <v>0</v>
      </c>
      <c r="N31" s="937">
        <f t="shared" si="12"/>
        <v>0</v>
      </c>
      <c r="O31" s="937" t="str">
        <f t="shared" si="13"/>
        <v>-</v>
      </c>
      <c r="P31" s="937" t="str">
        <f t="shared" si="14"/>
        <v>-</v>
      </c>
      <c r="Q31" s="937">
        <f t="shared" si="6"/>
        <v>6000000</v>
      </c>
      <c r="R31" s="1025"/>
      <c r="S31" s="1026"/>
      <c r="T31" s="1027"/>
      <c r="U31" s="9"/>
      <c r="V31" s="9"/>
      <c r="W31" s="26"/>
      <c r="X31" s="26"/>
      <c r="Y31" s="751" t="s">
        <v>915</v>
      </c>
      <c r="Z31" s="742">
        <v>0.0</v>
      </c>
      <c r="AA31" s="743"/>
      <c r="AB31" s="744"/>
      <c r="AC31" s="744"/>
      <c r="AD31" s="744"/>
      <c r="AE31" s="745"/>
      <c r="AF31" s="746"/>
      <c r="AG31" s="744"/>
      <c r="AH31" s="744"/>
      <c r="AI31" s="744"/>
      <c r="AJ31" s="747">
        <f t="shared" si="7"/>
        <v>0</v>
      </c>
      <c r="AK31" s="747">
        <f t="shared" si="8"/>
        <v>0</v>
      </c>
      <c r="AL31" s="747">
        <f t="shared" si="9"/>
        <v>6000000</v>
      </c>
      <c r="AM31" s="748">
        <f t="shared" si="10"/>
        <v>1</v>
      </c>
      <c r="AN31" s="9"/>
      <c r="AO31" s="9"/>
      <c r="AP31" s="9"/>
      <c r="AQ31" s="9"/>
    </row>
    <row r="32" ht="114.75" customHeight="1" outlineLevel="1">
      <c r="A32" s="927">
        <f>A30+1</f>
        <v>6</v>
      </c>
      <c r="B32" s="945" t="s">
        <v>55</v>
      </c>
      <c r="C32" s="929" t="s">
        <v>38</v>
      </c>
      <c r="D32" s="930" t="s">
        <v>56</v>
      </c>
      <c r="E32" s="931" t="s">
        <v>40</v>
      </c>
      <c r="F32" s="932" t="s">
        <v>21</v>
      </c>
      <c r="G32" s="1020" t="s">
        <v>50</v>
      </c>
      <c r="H32" s="933" t="s">
        <v>1284</v>
      </c>
      <c r="I32" s="934" t="b">
        <v>1</v>
      </c>
      <c r="J32" s="935" t="s">
        <v>7</v>
      </c>
      <c r="K32" s="936">
        <f t="shared" si="4"/>
        <v>1</v>
      </c>
      <c r="L32" s="937">
        <f t="shared" ref="L32:L38" si="15">round(Z32*(1+AA32),-6)</f>
        <v>20000000</v>
      </c>
      <c r="M32" s="937">
        <f t="shared" si="11"/>
        <v>130000</v>
      </c>
      <c r="N32" s="937">
        <f t="shared" si="12"/>
        <v>4000</v>
      </c>
      <c r="O32" s="937">
        <f t="shared" si="13"/>
        <v>153.8461538</v>
      </c>
      <c r="P32" s="937">
        <f t="shared" si="14"/>
        <v>5000</v>
      </c>
      <c r="Q32" s="937">
        <f t="shared" si="6"/>
        <v>20000000</v>
      </c>
      <c r="R32" s="1021" t="s">
        <v>1285</v>
      </c>
      <c r="S32" s="1028" t="s">
        <v>59</v>
      </c>
      <c r="T32" s="1029" t="s">
        <v>45</v>
      </c>
      <c r="U32" s="87"/>
      <c r="V32" s="87"/>
      <c r="W32" s="740"/>
      <c r="X32" s="740"/>
      <c r="Y32" s="741" t="s">
        <v>918</v>
      </c>
      <c r="Z32" s="742">
        <f>12000000/0.9</f>
        <v>13333333.33</v>
      </c>
      <c r="AA32" s="743">
        <v>0.5</v>
      </c>
      <c r="AB32" s="744">
        <v>80000.0</v>
      </c>
      <c r="AC32" s="744">
        <v>50000.0</v>
      </c>
      <c r="AD32" s="744">
        <v>2000.0</v>
      </c>
      <c r="AE32" s="745">
        <v>2000.0</v>
      </c>
      <c r="AF32" s="746"/>
      <c r="AG32" s="744"/>
      <c r="AH32" s="744"/>
      <c r="AI32" s="744"/>
      <c r="AJ32" s="747">
        <f t="shared" si="7"/>
        <v>200000</v>
      </c>
      <c r="AK32" s="747">
        <f t="shared" si="8"/>
        <v>13533333.33</v>
      </c>
      <c r="AL32" s="747">
        <f t="shared" si="9"/>
        <v>6466666.667</v>
      </c>
      <c r="AM32" s="748">
        <f t="shared" si="10"/>
        <v>0.3233333333</v>
      </c>
      <c r="AN32" s="9"/>
      <c r="AO32" s="9"/>
      <c r="AP32" s="9"/>
      <c r="AQ32" s="9"/>
    </row>
    <row r="33" ht="114.75" customHeight="1" outlineLevel="1">
      <c r="A33" s="941"/>
      <c r="B33" s="942"/>
      <c r="C33" s="942"/>
      <c r="D33" s="942"/>
      <c r="E33" s="942"/>
      <c r="F33" s="942"/>
      <c r="G33" s="1024"/>
      <c r="H33" s="943" t="s">
        <v>1286</v>
      </c>
      <c r="I33" s="934" t="b">
        <v>1</v>
      </c>
      <c r="J33" s="935" t="s">
        <v>47</v>
      </c>
      <c r="K33" s="936">
        <f t="shared" si="4"/>
        <v>1</v>
      </c>
      <c r="L33" s="937">
        <f t="shared" si="15"/>
        <v>13000000</v>
      </c>
      <c r="M33" s="937">
        <f t="shared" si="11"/>
        <v>0</v>
      </c>
      <c r="N33" s="937">
        <f t="shared" si="12"/>
        <v>0</v>
      </c>
      <c r="O33" s="937" t="str">
        <f t="shared" si="13"/>
        <v>-</v>
      </c>
      <c r="P33" s="937" t="str">
        <f t="shared" si="14"/>
        <v>-</v>
      </c>
      <c r="Q33" s="937">
        <f t="shared" si="6"/>
        <v>13000000</v>
      </c>
      <c r="R33" s="1025"/>
      <c r="S33" s="1026"/>
      <c r="T33" s="1027"/>
      <c r="U33" s="9"/>
      <c r="V33" s="9"/>
      <c r="W33" s="26"/>
      <c r="X33" s="26"/>
      <c r="Y33" s="751" t="s">
        <v>910</v>
      </c>
      <c r="Z33" s="742">
        <f>8000000/0.9</f>
        <v>8888888.889</v>
      </c>
      <c r="AA33" s="743">
        <v>0.5</v>
      </c>
      <c r="AB33" s="744"/>
      <c r="AC33" s="744"/>
      <c r="AD33" s="744"/>
      <c r="AE33" s="745"/>
      <c r="AF33" s="746"/>
      <c r="AG33" s="744"/>
      <c r="AH33" s="744"/>
      <c r="AI33" s="744"/>
      <c r="AJ33" s="747">
        <f t="shared" si="7"/>
        <v>0</v>
      </c>
      <c r="AK33" s="747">
        <f t="shared" si="8"/>
        <v>8888888.889</v>
      </c>
      <c r="AL33" s="747">
        <f t="shared" si="9"/>
        <v>4111111.111</v>
      </c>
      <c r="AM33" s="748">
        <f t="shared" si="10"/>
        <v>0.3162393162</v>
      </c>
      <c r="AN33" s="9"/>
      <c r="AO33" s="9"/>
      <c r="AP33" s="9"/>
      <c r="AQ33" s="9"/>
    </row>
    <row r="34" ht="114.75" customHeight="1" outlineLevel="1">
      <c r="A34" s="927">
        <f>A32+1</f>
        <v>7</v>
      </c>
      <c r="B34" s="946" t="s">
        <v>95</v>
      </c>
      <c r="C34" s="929" t="s">
        <v>38</v>
      </c>
      <c r="D34" s="930" t="s">
        <v>96</v>
      </c>
      <c r="E34" s="931" t="s">
        <v>40</v>
      </c>
      <c r="F34" s="932" t="s">
        <v>21</v>
      </c>
      <c r="G34" s="1020" t="s">
        <v>50</v>
      </c>
      <c r="H34" s="933" t="s">
        <v>1287</v>
      </c>
      <c r="I34" s="934" t="b">
        <v>1</v>
      </c>
      <c r="J34" s="935" t="s">
        <v>7</v>
      </c>
      <c r="K34" s="936">
        <f t="shared" si="4"/>
        <v>1</v>
      </c>
      <c r="L34" s="937">
        <f t="shared" si="15"/>
        <v>17000000</v>
      </c>
      <c r="M34" s="937">
        <f t="shared" si="11"/>
        <v>45000</v>
      </c>
      <c r="N34" s="937">
        <f t="shared" si="12"/>
        <v>2000</v>
      </c>
      <c r="O34" s="937">
        <f t="shared" si="13"/>
        <v>377.7777778</v>
      </c>
      <c r="P34" s="937">
        <f t="shared" si="14"/>
        <v>8500</v>
      </c>
      <c r="Q34" s="937">
        <f t="shared" si="6"/>
        <v>17000000</v>
      </c>
      <c r="R34" s="1021" t="s">
        <v>1288</v>
      </c>
      <c r="S34" s="1028" t="s">
        <v>99</v>
      </c>
      <c r="T34" s="1023" t="s">
        <v>222</v>
      </c>
      <c r="U34" s="9"/>
      <c r="V34" s="9"/>
      <c r="W34" s="740"/>
      <c r="X34" s="740"/>
      <c r="Y34" s="741" t="s">
        <v>918</v>
      </c>
      <c r="Z34" s="742">
        <f>10000000/0.9</f>
        <v>11111111.11</v>
      </c>
      <c r="AA34" s="743">
        <v>0.5</v>
      </c>
      <c r="AB34" s="744">
        <v>15000.0</v>
      </c>
      <c r="AC34" s="744">
        <v>30000.0</v>
      </c>
      <c r="AD34" s="744">
        <v>1000.0</v>
      </c>
      <c r="AE34" s="745">
        <v>1000.0</v>
      </c>
      <c r="AF34" s="746"/>
      <c r="AG34" s="744"/>
      <c r="AH34" s="744"/>
      <c r="AI34" s="744"/>
      <c r="AJ34" s="747">
        <f t="shared" si="7"/>
        <v>110000</v>
      </c>
      <c r="AK34" s="747">
        <f t="shared" si="8"/>
        <v>11221111.11</v>
      </c>
      <c r="AL34" s="747">
        <f t="shared" si="9"/>
        <v>5778888.889</v>
      </c>
      <c r="AM34" s="748">
        <f t="shared" si="10"/>
        <v>0.3399346405</v>
      </c>
      <c r="AN34" s="9"/>
      <c r="AO34" s="9"/>
      <c r="AP34" s="9"/>
      <c r="AQ34" s="9"/>
    </row>
    <row r="35" ht="114.75" customHeight="1" outlineLevel="1">
      <c r="A35" s="941"/>
      <c r="B35" s="942"/>
      <c r="C35" s="942"/>
      <c r="D35" s="942"/>
      <c r="E35" s="942"/>
      <c r="F35" s="942"/>
      <c r="G35" s="1024"/>
      <c r="H35" s="943" t="s">
        <v>1289</v>
      </c>
      <c r="I35" s="966" t="b">
        <v>1</v>
      </c>
      <c r="J35" s="967" t="s">
        <v>47</v>
      </c>
      <c r="K35" s="968">
        <f t="shared" si="4"/>
        <v>1</v>
      </c>
      <c r="L35" s="937">
        <f t="shared" si="15"/>
        <v>10000000</v>
      </c>
      <c r="M35" s="969">
        <f t="shared" si="11"/>
        <v>0</v>
      </c>
      <c r="N35" s="969">
        <f t="shared" si="12"/>
        <v>0</v>
      </c>
      <c r="O35" s="969" t="str">
        <f t="shared" si="13"/>
        <v>-</v>
      </c>
      <c r="P35" s="969" t="str">
        <f t="shared" si="14"/>
        <v>-</v>
      </c>
      <c r="Q35" s="937">
        <f t="shared" si="6"/>
        <v>10000000</v>
      </c>
      <c r="R35" s="1025"/>
      <c r="S35" s="1026"/>
      <c r="T35" s="1027"/>
      <c r="U35" s="9"/>
      <c r="V35" s="9"/>
      <c r="W35" s="26"/>
      <c r="X35" s="26"/>
      <c r="Y35" s="751" t="s">
        <v>910</v>
      </c>
      <c r="Z35" s="742">
        <f t="shared" ref="Z35:Z36" si="16">6000000/0.9</f>
        <v>6666666.667</v>
      </c>
      <c r="AA35" s="743">
        <v>0.5</v>
      </c>
      <c r="AB35" s="744"/>
      <c r="AC35" s="744"/>
      <c r="AD35" s="744"/>
      <c r="AE35" s="745"/>
      <c r="AF35" s="746"/>
      <c r="AG35" s="744"/>
      <c r="AH35" s="744"/>
      <c r="AI35" s="744"/>
      <c r="AJ35" s="747">
        <f t="shared" si="7"/>
        <v>0</v>
      </c>
      <c r="AK35" s="747">
        <f t="shared" si="8"/>
        <v>6666666.667</v>
      </c>
      <c r="AL35" s="747">
        <f t="shared" si="9"/>
        <v>3333333.333</v>
      </c>
      <c r="AM35" s="748">
        <f t="shared" si="10"/>
        <v>0.3333333333</v>
      </c>
      <c r="AN35" s="9"/>
      <c r="AO35" s="9"/>
      <c r="AP35" s="9"/>
      <c r="AQ35" s="9"/>
    </row>
    <row r="36" ht="114.75" customHeight="1" outlineLevel="1">
      <c r="A36" s="927">
        <f>A34+1</f>
        <v>8</v>
      </c>
      <c r="B36" s="928" t="s">
        <v>1086</v>
      </c>
      <c r="C36" s="929" t="s">
        <v>38</v>
      </c>
      <c r="D36" s="930" t="s">
        <v>1087</v>
      </c>
      <c r="E36" s="931" t="s">
        <v>40</v>
      </c>
      <c r="F36" s="932" t="s">
        <v>21</v>
      </c>
      <c r="G36" s="1020" t="s">
        <v>50</v>
      </c>
      <c r="H36" s="933" t="s">
        <v>1290</v>
      </c>
      <c r="I36" s="934" t="b">
        <v>1</v>
      </c>
      <c r="J36" s="935" t="s">
        <v>7</v>
      </c>
      <c r="K36" s="936">
        <f t="shared" si="4"/>
        <v>1</v>
      </c>
      <c r="L36" s="937">
        <f t="shared" si="15"/>
        <v>13000000</v>
      </c>
      <c r="M36" s="937">
        <f t="shared" si="11"/>
        <v>120000</v>
      </c>
      <c r="N36" s="937">
        <f t="shared" si="12"/>
        <v>4000</v>
      </c>
      <c r="O36" s="937">
        <f t="shared" si="13"/>
        <v>108.3333333</v>
      </c>
      <c r="P36" s="937">
        <f t="shared" si="14"/>
        <v>3250</v>
      </c>
      <c r="Q36" s="937">
        <f t="shared" si="6"/>
        <v>13000000</v>
      </c>
      <c r="R36" s="1021" t="s">
        <v>1291</v>
      </c>
      <c r="S36" s="1028" t="s">
        <v>1292</v>
      </c>
      <c r="T36" s="1030" t="s">
        <v>87</v>
      </c>
      <c r="U36" s="9"/>
      <c r="V36" s="9"/>
      <c r="W36" s="740"/>
      <c r="X36" s="740"/>
      <c r="Y36" s="751" t="s">
        <v>913</v>
      </c>
      <c r="Z36" s="742">
        <f t="shared" si="16"/>
        <v>6666666.667</v>
      </c>
      <c r="AA36" s="743">
        <v>1.0</v>
      </c>
      <c r="AB36" s="744">
        <v>50000.0</v>
      </c>
      <c r="AC36" s="744">
        <v>70000.0</v>
      </c>
      <c r="AD36" s="744">
        <v>2000.0</v>
      </c>
      <c r="AE36" s="745">
        <v>2000.0</v>
      </c>
      <c r="AF36" s="746"/>
      <c r="AG36" s="744"/>
      <c r="AH36" s="744"/>
      <c r="AI36" s="744"/>
      <c r="AJ36" s="747">
        <f t="shared" si="7"/>
        <v>240000</v>
      </c>
      <c r="AK36" s="747">
        <f t="shared" si="8"/>
        <v>6906666.667</v>
      </c>
      <c r="AL36" s="747">
        <f t="shared" si="9"/>
        <v>6093333.333</v>
      </c>
      <c r="AM36" s="748">
        <f t="shared" si="10"/>
        <v>0.4687179487</v>
      </c>
      <c r="AN36" s="9"/>
      <c r="AO36" s="9"/>
      <c r="AP36" s="9"/>
      <c r="AQ36" s="9"/>
    </row>
    <row r="37" ht="114.75" customHeight="1" outlineLevel="1">
      <c r="A37" s="941"/>
      <c r="B37" s="942"/>
      <c r="C37" s="942"/>
      <c r="D37" s="942"/>
      <c r="E37" s="942"/>
      <c r="F37" s="942"/>
      <c r="G37" s="1024"/>
      <c r="H37" s="943" t="s">
        <v>1293</v>
      </c>
      <c r="I37" s="934" t="b">
        <v>1</v>
      </c>
      <c r="J37" s="935" t="s">
        <v>47</v>
      </c>
      <c r="K37" s="936">
        <f t="shared" si="4"/>
        <v>1</v>
      </c>
      <c r="L37" s="937">
        <f t="shared" si="15"/>
        <v>6000000</v>
      </c>
      <c r="M37" s="937">
        <f t="shared" si="11"/>
        <v>0</v>
      </c>
      <c r="N37" s="937">
        <f t="shared" si="12"/>
        <v>0</v>
      </c>
      <c r="O37" s="937" t="str">
        <f t="shared" si="13"/>
        <v>-</v>
      </c>
      <c r="P37" s="937" t="str">
        <f t="shared" si="14"/>
        <v>-</v>
      </c>
      <c r="Q37" s="937">
        <f t="shared" si="6"/>
        <v>6000000</v>
      </c>
      <c r="R37" s="1025"/>
      <c r="S37" s="1026"/>
      <c r="T37" s="1026"/>
      <c r="U37" s="9"/>
      <c r="V37" s="9"/>
      <c r="W37" s="26"/>
      <c r="X37" s="26"/>
      <c r="Y37" s="751" t="s">
        <v>1091</v>
      </c>
      <c r="Z37" s="742">
        <f>1000000/0.9</f>
        <v>1111111.111</v>
      </c>
      <c r="AA37" s="743">
        <v>4.0</v>
      </c>
      <c r="AB37" s="744"/>
      <c r="AC37" s="744"/>
      <c r="AD37" s="744"/>
      <c r="AE37" s="745"/>
      <c r="AF37" s="746"/>
      <c r="AG37" s="744"/>
      <c r="AH37" s="744"/>
      <c r="AI37" s="744"/>
      <c r="AJ37" s="747">
        <f t="shared" si="7"/>
        <v>0</v>
      </c>
      <c r="AK37" s="747">
        <f t="shared" si="8"/>
        <v>1111111.111</v>
      </c>
      <c r="AL37" s="747">
        <f t="shared" si="9"/>
        <v>4888888.889</v>
      </c>
      <c r="AM37" s="748">
        <f t="shared" si="10"/>
        <v>0.8148148148</v>
      </c>
      <c r="AN37" s="9"/>
      <c r="AO37" s="9"/>
      <c r="AP37" s="9"/>
      <c r="AQ37" s="9"/>
    </row>
    <row r="38" ht="114.75" customHeight="1" outlineLevel="1">
      <c r="A38" s="927">
        <f>A36+1</f>
        <v>9</v>
      </c>
      <c r="B38" s="945" t="s">
        <v>61</v>
      </c>
      <c r="C38" s="929" t="s">
        <v>38</v>
      </c>
      <c r="D38" s="930" t="s">
        <v>62</v>
      </c>
      <c r="E38" s="931" t="s">
        <v>40</v>
      </c>
      <c r="F38" s="932" t="s">
        <v>21</v>
      </c>
      <c r="G38" s="1020" t="s">
        <v>50</v>
      </c>
      <c r="H38" s="933" t="s">
        <v>1294</v>
      </c>
      <c r="I38" s="934" t="b">
        <v>1</v>
      </c>
      <c r="J38" s="935" t="s">
        <v>7</v>
      </c>
      <c r="K38" s="936">
        <f t="shared" si="4"/>
        <v>1</v>
      </c>
      <c r="L38" s="937">
        <f t="shared" si="15"/>
        <v>8000000</v>
      </c>
      <c r="M38" s="937">
        <f t="shared" si="11"/>
        <v>30000</v>
      </c>
      <c r="N38" s="937">
        <f t="shared" si="12"/>
        <v>1200</v>
      </c>
      <c r="O38" s="937">
        <f t="shared" si="13"/>
        <v>266.6666667</v>
      </c>
      <c r="P38" s="937">
        <f t="shared" si="14"/>
        <v>6666.666667</v>
      </c>
      <c r="Q38" s="937">
        <f t="shared" si="6"/>
        <v>8000000</v>
      </c>
      <c r="R38" s="1021" t="s">
        <v>1295</v>
      </c>
      <c r="S38" s="1028" t="s">
        <v>65</v>
      </c>
      <c r="T38" s="1029" t="s">
        <v>45</v>
      </c>
      <c r="U38" s="87"/>
      <c r="V38" s="87"/>
      <c r="W38" s="740"/>
      <c r="X38" s="740"/>
      <c r="Y38" s="751" t="s">
        <v>913</v>
      </c>
      <c r="Z38" s="742">
        <f>3800000/0.9</f>
        <v>4222222.222</v>
      </c>
      <c r="AA38" s="743">
        <v>1.0</v>
      </c>
      <c r="AB38" s="744">
        <v>5000.0</v>
      </c>
      <c r="AC38" s="744">
        <v>25000.0</v>
      </c>
      <c r="AD38" s="744">
        <v>200.0</v>
      </c>
      <c r="AE38" s="745">
        <v>1000.0</v>
      </c>
      <c r="AF38" s="746"/>
      <c r="AG38" s="744"/>
      <c r="AH38" s="744"/>
      <c r="AI38" s="744"/>
      <c r="AJ38" s="747">
        <f t="shared" si="7"/>
        <v>100000</v>
      </c>
      <c r="AK38" s="747">
        <f t="shared" si="8"/>
        <v>4322222.222</v>
      </c>
      <c r="AL38" s="747">
        <f t="shared" si="9"/>
        <v>3677777.778</v>
      </c>
      <c r="AM38" s="748">
        <f t="shared" si="10"/>
        <v>0.4597222222</v>
      </c>
      <c r="AN38" s="9"/>
      <c r="AO38" s="9"/>
      <c r="AP38" s="9"/>
      <c r="AQ38" s="9"/>
    </row>
    <row r="39" ht="114.75" customHeight="1" outlineLevel="1">
      <c r="A39" s="941"/>
      <c r="B39" s="942"/>
      <c r="C39" s="942"/>
      <c r="D39" s="942"/>
      <c r="E39" s="942"/>
      <c r="F39" s="942"/>
      <c r="G39" s="1024"/>
      <c r="H39" s="943" t="s">
        <v>1296</v>
      </c>
      <c r="I39" s="934" t="b">
        <v>1</v>
      </c>
      <c r="J39" s="935" t="s">
        <v>47</v>
      </c>
      <c r="K39" s="936">
        <f t="shared" si="4"/>
        <v>1</v>
      </c>
      <c r="L39" s="965">
        <v>4000000.0</v>
      </c>
      <c r="M39" s="937">
        <f t="shared" si="11"/>
        <v>0</v>
      </c>
      <c r="N39" s="937">
        <f t="shared" si="12"/>
        <v>0</v>
      </c>
      <c r="O39" s="937" t="str">
        <f t="shared" si="13"/>
        <v>-</v>
      </c>
      <c r="P39" s="937" t="str">
        <f t="shared" si="14"/>
        <v>-</v>
      </c>
      <c r="Q39" s="937">
        <f t="shared" si="6"/>
        <v>4000000</v>
      </c>
      <c r="R39" s="1025"/>
      <c r="S39" s="1026"/>
      <c r="T39" s="1027"/>
      <c r="U39" s="9"/>
      <c r="V39" s="9"/>
      <c r="W39" s="26"/>
      <c r="X39" s="26"/>
      <c r="Y39" s="751" t="s">
        <v>923</v>
      </c>
      <c r="Z39" s="742">
        <v>0.0</v>
      </c>
      <c r="AA39" s="743"/>
      <c r="AB39" s="744"/>
      <c r="AC39" s="744"/>
      <c r="AD39" s="744"/>
      <c r="AE39" s="745"/>
      <c r="AF39" s="746"/>
      <c r="AG39" s="744"/>
      <c r="AH39" s="744"/>
      <c r="AI39" s="744"/>
      <c r="AJ39" s="747">
        <f t="shared" si="7"/>
        <v>0</v>
      </c>
      <c r="AK39" s="747">
        <f t="shared" si="8"/>
        <v>0</v>
      </c>
      <c r="AL39" s="747">
        <f t="shared" si="9"/>
        <v>4000000</v>
      </c>
      <c r="AM39" s="748">
        <f t="shared" si="10"/>
        <v>1</v>
      </c>
      <c r="AN39" s="9"/>
      <c r="AO39" s="9"/>
      <c r="AP39" s="9"/>
      <c r="AQ39" s="9"/>
    </row>
    <row r="40" ht="114.75" customHeight="1" outlineLevel="1">
      <c r="A40" s="927">
        <f>A38+1</f>
        <v>10</v>
      </c>
      <c r="B40" s="945" t="s">
        <v>67</v>
      </c>
      <c r="C40" s="929" t="s">
        <v>38</v>
      </c>
      <c r="D40" s="930" t="s">
        <v>68</v>
      </c>
      <c r="E40" s="931" t="s">
        <v>40</v>
      </c>
      <c r="F40" s="932" t="s">
        <v>21</v>
      </c>
      <c r="G40" s="1020" t="s">
        <v>50</v>
      </c>
      <c r="H40" s="933" t="s">
        <v>1297</v>
      </c>
      <c r="I40" s="934" t="b">
        <v>1</v>
      </c>
      <c r="J40" s="935" t="s">
        <v>7</v>
      </c>
      <c r="K40" s="936">
        <f t="shared" si="4"/>
        <v>1</v>
      </c>
      <c r="L40" s="937">
        <f>round(Z40*(1+AA40),-6)</f>
        <v>10000000</v>
      </c>
      <c r="M40" s="937">
        <f t="shared" si="11"/>
        <v>50000</v>
      </c>
      <c r="N40" s="937">
        <f t="shared" si="12"/>
        <v>3000</v>
      </c>
      <c r="O40" s="937">
        <f t="shared" si="13"/>
        <v>200</v>
      </c>
      <c r="P40" s="937">
        <f t="shared" si="14"/>
        <v>3333.333333</v>
      </c>
      <c r="Q40" s="937">
        <f t="shared" si="6"/>
        <v>10000000</v>
      </c>
      <c r="R40" s="1021" t="s">
        <v>1298</v>
      </c>
      <c r="S40" s="1028" t="s">
        <v>71</v>
      </c>
      <c r="T40" s="1029" t="s">
        <v>45</v>
      </c>
      <c r="U40" s="87"/>
      <c r="V40" s="87"/>
      <c r="W40" s="740"/>
      <c r="X40" s="740"/>
      <c r="Y40" s="751" t="s">
        <v>913</v>
      </c>
      <c r="Z40" s="742">
        <f>5000000/0.9</f>
        <v>5555555.556</v>
      </c>
      <c r="AA40" s="743">
        <v>0.8</v>
      </c>
      <c r="AB40" s="744">
        <v>15000.0</v>
      </c>
      <c r="AC40" s="744">
        <v>35000.0</v>
      </c>
      <c r="AD40" s="744">
        <v>1000.0</v>
      </c>
      <c r="AE40" s="745">
        <v>2000.0</v>
      </c>
      <c r="AF40" s="746"/>
      <c r="AG40" s="744"/>
      <c r="AH40" s="744"/>
      <c r="AI40" s="744"/>
      <c r="AJ40" s="747">
        <f t="shared" si="7"/>
        <v>170000</v>
      </c>
      <c r="AK40" s="747">
        <f t="shared" si="8"/>
        <v>5725555.556</v>
      </c>
      <c r="AL40" s="747">
        <f t="shared" si="9"/>
        <v>4274444.444</v>
      </c>
      <c r="AM40" s="748">
        <f t="shared" si="10"/>
        <v>0.4274444444</v>
      </c>
      <c r="AN40" s="9"/>
      <c r="AO40" s="9"/>
      <c r="AP40" s="9"/>
      <c r="AQ40" s="9"/>
    </row>
    <row r="41" ht="114.75" customHeight="1" outlineLevel="1">
      <c r="A41" s="941"/>
      <c r="B41" s="942"/>
      <c r="C41" s="942"/>
      <c r="D41" s="942"/>
      <c r="E41" s="942"/>
      <c r="F41" s="942"/>
      <c r="G41" s="1024"/>
      <c r="H41" s="943" t="s">
        <v>1299</v>
      </c>
      <c r="I41" s="934" t="b">
        <v>1</v>
      </c>
      <c r="J41" s="935" t="s">
        <v>47</v>
      </c>
      <c r="K41" s="936">
        <f t="shared" si="4"/>
        <v>1</v>
      </c>
      <c r="L41" s="965">
        <v>5000000.0</v>
      </c>
      <c r="M41" s="937">
        <f t="shared" si="11"/>
        <v>0</v>
      </c>
      <c r="N41" s="937">
        <f t="shared" si="12"/>
        <v>0</v>
      </c>
      <c r="O41" s="937" t="str">
        <f t="shared" si="13"/>
        <v>-</v>
      </c>
      <c r="P41" s="937" t="str">
        <f t="shared" si="14"/>
        <v>-</v>
      </c>
      <c r="Q41" s="937">
        <f t="shared" si="6"/>
        <v>5000000</v>
      </c>
      <c r="R41" s="1025"/>
      <c r="S41" s="1026"/>
      <c r="T41" s="1027"/>
      <c r="U41" s="9"/>
      <c r="V41" s="9"/>
      <c r="W41" s="26"/>
      <c r="X41" s="26"/>
      <c r="Y41" s="751" t="s">
        <v>927</v>
      </c>
      <c r="Z41" s="742">
        <v>0.0</v>
      </c>
      <c r="AA41" s="743"/>
      <c r="AB41" s="744"/>
      <c r="AC41" s="744"/>
      <c r="AD41" s="744"/>
      <c r="AE41" s="745"/>
      <c r="AF41" s="746"/>
      <c r="AG41" s="744"/>
      <c r="AH41" s="744"/>
      <c r="AI41" s="744"/>
      <c r="AJ41" s="747">
        <f t="shared" si="7"/>
        <v>0</v>
      </c>
      <c r="AK41" s="747">
        <f t="shared" si="8"/>
        <v>0</v>
      </c>
      <c r="AL41" s="747">
        <f t="shared" si="9"/>
        <v>5000000</v>
      </c>
      <c r="AM41" s="748">
        <f t="shared" si="10"/>
        <v>1</v>
      </c>
      <c r="AN41" s="9"/>
      <c r="AO41" s="9"/>
      <c r="AP41" s="9"/>
      <c r="AQ41" s="9"/>
    </row>
    <row r="42" ht="30.0" customHeight="1">
      <c r="A42" s="970" t="s">
        <v>134</v>
      </c>
      <c r="B42" s="971"/>
      <c r="C42" s="902"/>
      <c r="D42" s="903"/>
      <c r="E42" s="904"/>
      <c r="F42" s="904"/>
      <c r="G42" s="906"/>
      <c r="H42" s="906"/>
      <c r="I42" s="907"/>
      <c r="J42" s="908" t="s">
        <v>7</v>
      </c>
      <c r="K42" s="909">
        <f>SUMIFS(K44:K91,J44:J91,"Video Post")</f>
        <v>24</v>
      </c>
      <c r="L42" s="910"/>
      <c r="M42" s="911">
        <f t="shared" ref="M42:N42" si="17">sum(M44:M63)</f>
        <v>230000</v>
      </c>
      <c r="N42" s="911">
        <f t="shared" si="17"/>
        <v>16000</v>
      </c>
      <c r="O42" s="910"/>
      <c r="P42" s="910"/>
      <c r="Q42" s="911">
        <f>sum(Q44:Q91)</f>
        <v>166000000</v>
      </c>
      <c r="R42" s="1031"/>
      <c r="S42" s="1031"/>
      <c r="T42" s="1031"/>
      <c r="U42" s="69"/>
      <c r="V42" s="69"/>
      <c r="W42" s="717"/>
      <c r="X42" s="717"/>
      <c r="Y42" s="718"/>
      <c r="Z42" s="719"/>
      <c r="AA42" s="720"/>
      <c r="AB42" s="721"/>
      <c r="AC42" s="721"/>
      <c r="AD42" s="721"/>
      <c r="AE42" s="722"/>
      <c r="AF42" s="723"/>
      <c r="AG42" s="721"/>
      <c r="AH42" s="721"/>
      <c r="AI42" s="721"/>
      <c r="AJ42" s="724"/>
      <c r="AK42" s="724"/>
      <c r="AL42" s="724"/>
      <c r="AM42" s="725"/>
      <c r="AN42" s="9"/>
      <c r="AO42" s="9"/>
      <c r="AP42" s="9"/>
      <c r="AQ42" s="9"/>
    </row>
    <row r="43" ht="30.0" customHeight="1">
      <c r="A43" s="914"/>
      <c r="B43" s="915"/>
      <c r="C43" s="916"/>
      <c r="D43" s="917"/>
      <c r="E43" s="918"/>
      <c r="F43" s="919"/>
      <c r="G43" s="920"/>
      <c r="H43" s="920"/>
      <c r="I43" s="921"/>
      <c r="J43" s="922" t="s">
        <v>8</v>
      </c>
      <c r="K43" s="923">
        <f>SUMIFS(K44:K91,J44:J91,"Tháng")</f>
        <v>24</v>
      </c>
      <c r="L43" s="924"/>
      <c r="M43" s="925"/>
      <c r="N43" s="925"/>
      <c r="O43" s="924"/>
      <c r="P43" s="924"/>
      <c r="Q43" s="925"/>
      <c r="R43" s="1032"/>
      <c r="S43" s="1032"/>
      <c r="T43" s="1032"/>
      <c r="U43" s="69"/>
      <c r="V43" s="69"/>
      <c r="W43" s="717"/>
      <c r="X43" s="717"/>
      <c r="Y43" s="728"/>
      <c r="Z43" s="719"/>
      <c r="AA43" s="720"/>
      <c r="AB43" s="721"/>
      <c r="AC43" s="721"/>
      <c r="AD43" s="721"/>
      <c r="AE43" s="722"/>
      <c r="AF43" s="723"/>
      <c r="AG43" s="721"/>
      <c r="AH43" s="721"/>
      <c r="AI43" s="721"/>
      <c r="AJ43" s="724"/>
      <c r="AK43" s="724"/>
      <c r="AL43" s="724"/>
      <c r="AM43" s="725"/>
      <c r="AN43" s="9"/>
      <c r="AO43" s="9"/>
      <c r="AP43" s="9"/>
      <c r="AQ43" s="9"/>
    </row>
    <row r="44" ht="96.0" customHeight="1" outlineLevel="1">
      <c r="A44" s="1033">
        <v>1.0</v>
      </c>
      <c r="B44" s="1034" t="s">
        <v>137</v>
      </c>
      <c r="C44" s="1035" t="s">
        <v>38</v>
      </c>
      <c r="D44" s="1036" t="s">
        <v>138</v>
      </c>
      <c r="E44" s="1037" t="s">
        <v>40</v>
      </c>
      <c r="F44" s="1038" t="s">
        <v>139</v>
      </c>
      <c r="G44" s="1020" t="s">
        <v>50</v>
      </c>
      <c r="H44" s="1039" t="s">
        <v>1300</v>
      </c>
      <c r="I44" s="1040" t="b">
        <v>1</v>
      </c>
      <c r="J44" s="1041" t="s">
        <v>7</v>
      </c>
      <c r="K44" s="1042">
        <f t="shared" ref="K44:K91" si="18">if(I44=True,1,if(I44=False,0))</f>
        <v>1</v>
      </c>
      <c r="L44" s="1043">
        <f t="shared" ref="L44:L91" si="19">round(Z44*(1+AA44),-6)</f>
        <v>6000000</v>
      </c>
      <c r="M44" s="1043">
        <f>(sum(AB44:AC44)+sum(AF44:AG44))*K44</f>
        <v>30000</v>
      </c>
      <c r="N44" s="1043">
        <f>(sum(AD44:AE44)+sum(AH44:AI44))*K44</f>
        <v>2000</v>
      </c>
      <c r="O44" s="1043">
        <f>IFERROR(Q44/M44,"-")</f>
        <v>200</v>
      </c>
      <c r="P44" s="1043">
        <f>IFERROR(Q44/N44,"-")</f>
        <v>3000</v>
      </c>
      <c r="Q44" s="1043">
        <f t="shared" ref="Q44:Q91" si="20">iferror(L44*K44,"-")</f>
        <v>6000000</v>
      </c>
      <c r="R44" s="1044" t="s">
        <v>1301</v>
      </c>
      <c r="S44" s="1028" t="s">
        <v>142</v>
      </c>
      <c r="T44" s="1029" t="s">
        <v>45</v>
      </c>
      <c r="U44" s="9"/>
      <c r="V44" s="9"/>
      <c r="W44" s="740"/>
      <c r="X44" s="740"/>
      <c r="Y44" s="741" t="s">
        <v>1302</v>
      </c>
      <c r="Z44" s="742">
        <f>3300000/0.9</f>
        <v>3666666.667</v>
      </c>
      <c r="AA44" s="743">
        <v>0.5</v>
      </c>
      <c r="AB44" s="744">
        <v>20000.0</v>
      </c>
      <c r="AC44" s="744">
        <v>10000.0</v>
      </c>
      <c r="AD44" s="744">
        <v>1000.0</v>
      </c>
      <c r="AE44" s="745">
        <v>1000.0</v>
      </c>
      <c r="AF44" s="746"/>
      <c r="AG44" s="744"/>
      <c r="AH44" s="744"/>
      <c r="AI44" s="744"/>
      <c r="AJ44" s="747">
        <f t="shared" ref="AJ44:AJ91" si="21">(AC44*2+AE44*50+AG44*10+AI44*50)*K44</f>
        <v>70000</v>
      </c>
      <c r="AK44" s="747">
        <f t="shared" ref="AK44:AK91" si="22">sum(Z44,AJ44)*K44</f>
        <v>3736666.667</v>
      </c>
      <c r="AL44" s="747">
        <f t="shared" ref="AL44:AL91" si="23">iferror(Q44-AK44,"-")</f>
        <v>2263333.333</v>
      </c>
      <c r="AM44" s="748">
        <f t="shared" ref="AM44:AM91" si="24">iferror(AL44/Q44,"-")</f>
        <v>0.3772222222</v>
      </c>
      <c r="AN44" s="9"/>
      <c r="AO44" s="9"/>
      <c r="AP44" s="9"/>
      <c r="AQ44" s="9"/>
    </row>
    <row r="45" ht="96.0" customHeight="1" outlineLevel="1">
      <c r="A45" s="1045"/>
      <c r="B45" s="1024"/>
      <c r="C45" s="1024"/>
      <c r="D45" s="1024"/>
      <c r="E45" s="1024"/>
      <c r="F45" s="1024"/>
      <c r="G45" s="1024"/>
      <c r="H45" s="1046" t="s">
        <v>1303</v>
      </c>
      <c r="I45" s="1047" t="b">
        <v>1</v>
      </c>
      <c r="J45" s="1048" t="s">
        <v>47</v>
      </c>
      <c r="K45" s="1049">
        <f t="shared" si="18"/>
        <v>1</v>
      </c>
      <c r="L45" s="1050">
        <f t="shared" si="19"/>
        <v>2000000</v>
      </c>
      <c r="M45" s="1050">
        <v>0.0</v>
      </c>
      <c r="N45" s="1050">
        <v>0.0</v>
      </c>
      <c r="O45" s="1050" t="s">
        <v>81</v>
      </c>
      <c r="P45" s="1050" t="s">
        <v>81</v>
      </c>
      <c r="Q45" s="1050">
        <f t="shared" si="20"/>
        <v>2000000</v>
      </c>
      <c r="R45" s="1051"/>
      <c r="S45" s="1026"/>
      <c r="T45" s="1027"/>
      <c r="U45" s="9"/>
      <c r="V45" s="9"/>
      <c r="W45" s="26"/>
      <c r="X45" s="26"/>
      <c r="Y45" s="751" t="s">
        <v>910</v>
      </c>
      <c r="Z45" s="742">
        <f>1000000/0.9</f>
        <v>1111111.111</v>
      </c>
      <c r="AA45" s="743">
        <v>0.5</v>
      </c>
      <c r="AB45" s="744"/>
      <c r="AC45" s="744"/>
      <c r="AD45" s="744"/>
      <c r="AE45" s="745"/>
      <c r="AF45" s="746"/>
      <c r="AG45" s="744"/>
      <c r="AH45" s="744"/>
      <c r="AI45" s="744"/>
      <c r="AJ45" s="747">
        <f t="shared" si="21"/>
        <v>0</v>
      </c>
      <c r="AK45" s="747">
        <f t="shared" si="22"/>
        <v>1111111.111</v>
      </c>
      <c r="AL45" s="747">
        <f t="shared" si="23"/>
        <v>888888.8889</v>
      </c>
      <c r="AM45" s="748">
        <f t="shared" si="24"/>
        <v>0.4444444444</v>
      </c>
      <c r="AN45" s="9"/>
      <c r="AO45" s="9"/>
      <c r="AP45" s="9"/>
      <c r="AQ45" s="9"/>
    </row>
    <row r="46" ht="96.0" customHeight="1" outlineLevel="1">
      <c r="A46" s="1052">
        <f>A44+1</f>
        <v>2</v>
      </c>
      <c r="B46" s="1053" t="s">
        <v>157</v>
      </c>
      <c r="C46" s="1054" t="s">
        <v>38</v>
      </c>
      <c r="D46" s="1055" t="s">
        <v>158</v>
      </c>
      <c r="E46" s="1056" t="s">
        <v>40</v>
      </c>
      <c r="F46" s="1057" t="s">
        <v>139</v>
      </c>
      <c r="G46" s="1058" t="s">
        <v>50</v>
      </c>
      <c r="H46" s="1059" t="s">
        <v>1304</v>
      </c>
      <c r="I46" s="1047" t="b">
        <v>1</v>
      </c>
      <c r="J46" s="1048" t="s">
        <v>7</v>
      </c>
      <c r="K46" s="1049">
        <f t="shared" si="18"/>
        <v>1</v>
      </c>
      <c r="L46" s="1050">
        <f t="shared" si="19"/>
        <v>6000000</v>
      </c>
      <c r="M46" s="1050">
        <f t="shared" ref="M46:M74" si="25">(sum(AB46:AC46)+sum(AF46:AG46))*K46</f>
        <v>30000</v>
      </c>
      <c r="N46" s="1050">
        <f t="shared" ref="N46:N74" si="26">(sum(AD46:AE46)+sum(AH46:AI46))*K46</f>
        <v>2000</v>
      </c>
      <c r="O46" s="1050">
        <f t="shared" ref="O46:O74" si="27">IFERROR(Q46/M46,"-")</f>
        <v>200</v>
      </c>
      <c r="P46" s="1050">
        <f t="shared" ref="P46:P74" si="28">IFERROR(Q46/N46,"-")</f>
        <v>3000</v>
      </c>
      <c r="Q46" s="1050">
        <f t="shared" si="20"/>
        <v>6000000</v>
      </c>
      <c r="R46" s="1060" t="s">
        <v>1305</v>
      </c>
      <c r="S46" s="1028" t="s">
        <v>161</v>
      </c>
      <c r="T46" s="1061" t="s">
        <v>222</v>
      </c>
      <c r="U46" s="87"/>
      <c r="V46" s="87"/>
      <c r="W46" s="740"/>
      <c r="X46" s="740"/>
      <c r="Y46" s="741" t="s">
        <v>1306</v>
      </c>
      <c r="Z46" s="742">
        <f>3300000/0.9</f>
        <v>3666666.667</v>
      </c>
      <c r="AA46" s="743">
        <v>0.5</v>
      </c>
      <c r="AB46" s="744">
        <v>20000.0</v>
      </c>
      <c r="AC46" s="744">
        <v>10000.0</v>
      </c>
      <c r="AD46" s="744">
        <v>1000.0</v>
      </c>
      <c r="AE46" s="745">
        <v>1000.0</v>
      </c>
      <c r="AF46" s="746"/>
      <c r="AG46" s="744"/>
      <c r="AH46" s="744"/>
      <c r="AI46" s="744"/>
      <c r="AJ46" s="747">
        <f t="shared" si="21"/>
        <v>70000</v>
      </c>
      <c r="AK46" s="747">
        <f t="shared" si="22"/>
        <v>3736666.667</v>
      </c>
      <c r="AL46" s="747">
        <f t="shared" si="23"/>
        <v>2263333.333</v>
      </c>
      <c r="AM46" s="748">
        <f t="shared" si="24"/>
        <v>0.3772222222</v>
      </c>
      <c r="AN46" s="9"/>
      <c r="AO46" s="9"/>
      <c r="AP46" s="9"/>
      <c r="AQ46" s="9"/>
    </row>
    <row r="47" ht="96.0" customHeight="1" outlineLevel="1">
      <c r="A47" s="1045"/>
      <c r="B47" s="1024"/>
      <c r="C47" s="1024"/>
      <c r="D47" s="1024"/>
      <c r="E47" s="1024"/>
      <c r="F47" s="1024"/>
      <c r="G47" s="1024"/>
      <c r="H47" s="1046" t="s">
        <v>1307</v>
      </c>
      <c r="I47" s="1047" t="b">
        <v>1</v>
      </c>
      <c r="J47" s="1048" t="s">
        <v>47</v>
      </c>
      <c r="K47" s="1049">
        <f t="shared" si="18"/>
        <v>1</v>
      </c>
      <c r="L47" s="1050">
        <f t="shared" si="19"/>
        <v>2000000</v>
      </c>
      <c r="M47" s="1050">
        <f t="shared" si="25"/>
        <v>0</v>
      </c>
      <c r="N47" s="1050">
        <f t="shared" si="26"/>
        <v>0</v>
      </c>
      <c r="O47" s="1050" t="str">
        <f t="shared" si="27"/>
        <v>-</v>
      </c>
      <c r="P47" s="1050" t="str">
        <f t="shared" si="28"/>
        <v>-</v>
      </c>
      <c r="Q47" s="1050">
        <f t="shared" si="20"/>
        <v>2000000</v>
      </c>
      <c r="R47" s="1051"/>
      <c r="S47" s="1026"/>
      <c r="T47" s="1026"/>
      <c r="U47" s="87"/>
      <c r="V47" s="87"/>
      <c r="W47" s="26"/>
      <c r="X47" s="26"/>
      <c r="Y47" s="751" t="s">
        <v>910</v>
      </c>
      <c r="Z47" s="742">
        <f>1000000/0.9</f>
        <v>1111111.111</v>
      </c>
      <c r="AA47" s="743">
        <v>0.5</v>
      </c>
      <c r="AB47" s="744"/>
      <c r="AC47" s="744"/>
      <c r="AD47" s="744"/>
      <c r="AE47" s="745"/>
      <c r="AF47" s="746"/>
      <c r="AG47" s="744"/>
      <c r="AH47" s="744"/>
      <c r="AI47" s="744"/>
      <c r="AJ47" s="747">
        <f t="shared" si="21"/>
        <v>0</v>
      </c>
      <c r="AK47" s="747">
        <f t="shared" si="22"/>
        <v>1111111.111</v>
      </c>
      <c r="AL47" s="747">
        <f t="shared" si="23"/>
        <v>888888.8889</v>
      </c>
      <c r="AM47" s="748">
        <f t="shared" si="24"/>
        <v>0.4444444444</v>
      </c>
      <c r="AN47" s="9"/>
      <c r="AO47" s="9"/>
      <c r="AP47" s="9"/>
      <c r="AQ47" s="9"/>
    </row>
    <row r="48" ht="96.0" customHeight="1" outlineLevel="1">
      <c r="A48" s="1052">
        <f>A46+1</f>
        <v>3</v>
      </c>
      <c r="B48" s="1053" t="s">
        <v>163</v>
      </c>
      <c r="C48" s="1054" t="s">
        <v>38</v>
      </c>
      <c r="D48" s="1055" t="s">
        <v>164</v>
      </c>
      <c r="E48" s="1056" t="s">
        <v>146</v>
      </c>
      <c r="F48" s="1057" t="s">
        <v>21</v>
      </c>
      <c r="G48" s="1058" t="s">
        <v>50</v>
      </c>
      <c r="H48" s="1059" t="s">
        <v>1308</v>
      </c>
      <c r="I48" s="1047" t="b">
        <v>1</v>
      </c>
      <c r="J48" s="1048" t="s">
        <v>7</v>
      </c>
      <c r="K48" s="1049">
        <f t="shared" si="18"/>
        <v>1</v>
      </c>
      <c r="L48" s="1050">
        <f t="shared" si="19"/>
        <v>5000000</v>
      </c>
      <c r="M48" s="1050">
        <f t="shared" si="25"/>
        <v>20000</v>
      </c>
      <c r="N48" s="1050">
        <f t="shared" si="26"/>
        <v>1500</v>
      </c>
      <c r="O48" s="1050">
        <f t="shared" si="27"/>
        <v>250</v>
      </c>
      <c r="P48" s="1050">
        <f t="shared" si="28"/>
        <v>3333.333333</v>
      </c>
      <c r="Q48" s="1050">
        <f t="shared" si="20"/>
        <v>5000000</v>
      </c>
      <c r="R48" s="1060" t="s">
        <v>1309</v>
      </c>
      <c r="S48" s="1028" t="s">
        <v>167</v>
      </c>
      <c r="T48" s="1061" t="s">
        <v>222</v>
      </c>
      <c r="U48" s="87"/>
      <c r="V48" s="87"/>
      <c r="W48" s="740"/>
      <c r="X48" s="740"/>
      <c r="Y48" s="741" t="s">
        <v>1310</v>
      </c>
      <c r="Z48" s="742">
        <f>2700000/0.9</f>
        <v>3000000</v>
      </c>
      <c r="AA48" s="743">
        <v>0.5</v>
      </c>
      <c r="AB48" s="744">
        <v>10000.0</v>
      </c>
      <c r="AC48" s="744">
        <v>10000.0</v>
      </c>
      <c r="AD48" s="744">
        <v>500.0</v>
      </c>
      <c r="AE48" s="745">
        <v>1000.0</v>
      </c>
      <c r="AF48" s="746"/>
      <c r="AG48" s="744"/>
      <c r="AH48" s="744"/>
      <c r="AI48" s="744"/>
      <c r="AJ48" s="747">
        <f t="shared" si="21"/>
        <v>70000</v>
      </c>
      <c r="AK48" s="747">
        <f t="shared" si="22"/>
        <v>3070000</v>
      </c>
      <c r="AL48" s="747">
        <f t="shared" si="23"/>
        <v>1930000</v>
      </c>
      <c r="AM48" s="748">
        <f t="shared" si="24"/>
        <v>0.386</v>
      </c>
      <c r="AN48" s="9"/>
      <c r="AO48" s="9"/>
      <c r="AP48" s="9"/>
      <c r="AQ48" s="9"/>
    </row>
    <row r="49" ht="96.0" customHeight="1" outlineLevel="1">
      <c r="A49" s="1045"/>
      <c r="B49" s="1024"/>
      <c r="C49" s="1024"/>
      <c r="D49" s="1024"/>
      <c r="E49" s="1024"/>
      <c r="F49" s="1024"/>
      <c r="G49" s="1024"/>
      <c r="H49" s="1046" t="s">
        <v>1311</v>
      </c>
      <c r="I49" s="1047" t="b">
        <v>1</v>
      </c>
      <c r="J49" s="1048" t="s">
        <v>47</v>
      </c>
      <c r="K49" s="1049">
        <f t="shared" si="18"/>
        <v>1</v>
      </c>
      <c r="L49" s="1050">
        <f t="shared" si="19"/>
        <v>3000000</v>
      </c>
      <c r="M49" s="1050">
        <f t="shared" si="25"/>
        <v>0</v>
      </c>
      <c r="N49" s="1050">
        <f t="shared" si="26"/>
        <v>0</v>
      </c>
      <c r="O49" s="1050" t="str">
        <f t="shared" si="27"/>
        <v>-</v>
      </c>
      <c r="P49" s="1050" t="str">
        <f t="shared" si="28"/>
        <v>-</v>
      </c>
      <c r="Q49" s="1050">
        <f t="shared" si="20"/>
        <v>3000000</v>
      </c>
      <c r="R49" s="1051"/>
      <c r="S49" s="1026"/>
      <c r="T49" s="1026"/>
      <c r="U49" s="9"/>
      <c r="V49" s="9"/>
      <c r="W49" s="26"/>
      <c r="X49" s="26"/>
      <c r="Y49" s="751" t="s">
        <v>910</v>
      </c>
      <c r="Z49" s="742">
        <f>1500000/0.9</f>
        <v>1666666.667</v>
      </c>
      <c r="AA49" s="743">
        <v>0.5</v>
      </c>
      <c r="AB49" s="744"/>
      <c r="AC49" s="744"/>
      <c r="AD49" s="744"/>
      <c r="AE49" s="745"/>
      <c r="AF49" s="746"/>
      <c r="AG49" s="744"/>
      <c r="AH49" s="744"/>
      <c r="AI49" s="744"/>
      <c r="AJ49" s="747">
        <f t="shared" si="21"/>
        <v>0</v>
      </c>
      <c r="AK49" s="747">
        <f t="shared" si="22"/>
        <v>1666666.667</v>
      </c>
      <c r="AL49" s="747">
        <f t="shared" si="23"/>
        <v>1333333.333</v>
      </c>
      <c r="AM49" s="748">
        <f t="shared" si="24"/>
        <v>0.4444444444</v>
      </c>
      <c r="AN49" s="9"/>
      <c r="AO49" s="9"/>
      <c r="AP49" s="9"/>
      <c r="AQ49" s="9"/>
    </row>
    <row r="50" ht="96.0" customHeight="1" outlineLevel="1">
      <c r="A50" s="1052">
        <f>A48+1</f>
        <v>4</v>
      </c>
      <c r="B50" s="1062" t="s">
        <v>144</v>
      </c>
      <c r="C50" s="1054" t="s">
        <v>38</v>
      </c>
      <c r="D50" s="1055" t="s">
        <v>145</v>
      </c>
      <c r="E50" s="1056" t="s">
        <v>146</v>
      </c>
      <c r="F50" s="1057" t="s">
        <v>139</v>
      </c>
      <c r="G50" s="1058" t="s">
        <v>50</v>
      </c>
      <c r="H50" s="1059" t="s">
        <v>1312</v>
      </c>
      <c r="I50" s="1047" t="b">
        <v>1</v>
      </c>
      <c r="J50" s="1048" t="s">
        <v>7</v>
      </c>
      <c r="K50" s="1049">
        <f t="shared" si="18"/>
        <v>1</v>
      </c>
      <c r="L50" s="1050">
        <f t="shared" si="19"/>
        <v>5000000</v>
      </c>
      <c r="M50" s="1050">
        <f t="shared" si="25"/>
        <v>20000</v>
      </c>
      <c r="N50" s="1050">
        <f t="shared" si="26"/>
        <v>1500</v>
      </c>
      <c r="O50" s="1050">
        <f t="shared" si="27"/>
        <v>250</v>
      </c>
      <c r="P50" s="1050">
        <f t="shared" si="28"/>
        <v>3333.333333</v>
      </c>
      <c r="Q50" s="1050">
        <f t="shared" si="20"/>
        <v>5000000</v>
      </c>
      <c r="R50" s="1060" t="s">
        <v>1313</v>
      </c>
      <c r="S50" s="1028" t="s">
        <v>149</v>
      </c>
      <c r="T50" s="1029" t="s">
        <v>45</v>
      </c>
      <c r="U50" s="87"/>
      <c r="V50" s="87"/>
      <c r="W50" s="740"/>
      <c r="X50" s="740"/>
      <c r="Y50" s="741" t="s">
        <v>1314</v>
      </c>
      <c r="Z50" s="742">
        <f>2700000/0.9</f>
        <v>3000000</v>
      </c>
      <c r="AA50" s="743">
        <v>0.5</v>
      </c>
      <c r="AB50" s="744">
        <v>10000.0</v>
      </c>
      <c r="AC50" s="744">
        <v>10000.0</v>
      </c>
      <c r="AD50" s="744">
        <v>500.0</v>
      </c>
      <c r="AE50" s="745">
        <v>1000.0</v>
      </c>
      <c r="AF50" s="746"/>
      <c r="AG50" s="744"/>
      <c r="AH50" s="744"/>
      <c r="AI50" s="744"/>
      <c r="AJ50" s="747">
        <f t="shared" si="21"/>
        <v>70000</v>
      </c>
      <c r="AK50" s="747">
        <f t="shared" si="22"/>
        <v>3070000</v>
      </c>
      <c r="AL50" s="747">
        <f t="shared" si="23"/>
        <v>1930000</v>
      </c>
      <c r="AM50" s="748">
        <f t="shared" si="24"/>
        <v>0.386</v>
      </c>
      <c r="AN50" s="9"/>
      <c r="AO50" s="9"/>
      <c r="AP50" s="9"/>
      <c r="AQ50" s="9"/>
    </row>
    <row r="51" ht="96.0" customHeight="1" outlineLevel="1">
      <c r="A51" s="1045"/>
      <c r="B51" s="1024"/>
      <c r="C51" s="1024"/>
      <c r="D51" s="1024"/>
      <c r="E51" s="1024"/>
      <c r="F51" s="1024"/>
      <c r="G51" s="1024"/>
      <c r="H51" s="1046" t="s">
        <v>1315</v>
      </c>
      <c r="I51" s="1047" t="b">
        <v>1</v>
      </c>
      <c r="J51" s="1048" t="s">
        <v>47</v>
      </c>
      <c r="K51" s="1049">
        <f t="shared" si="18"/>
        <v>1</v>
      </c>
      <c r="L51" s="1050">
        <f t="shared" si="19"/>
        <v>2000000</v>
      </c>
      <c r="M51" s="1050">
        <f t="shared" si="25"/>
        <v>0</v>
      </c>
      <c r="N51" s="1050">
        <f t="shared" si="26"/>
        <v>0</v>
      </c>
      <c r="O51" s="1050" t="str">
        <f t="shared" si="27"/>
        <v>-</v>
      </c>
      <c r="P51" s="1050" t="str">
        <f t="shared" si="28"/>
        <v>-</v>
      </c>
      <c r="Q51" s="1050">
        <f t="shared" si="20"/>
        <v>2000000</v>
      </c>
      <c r="R51" s="1051"/>
      <c r="S51" s="1026"/>
      <c r="T51" s="1027"/>
      <c r="U51" s="9"/>
      <c r="V51" s="9"/>
      <c r="W51" s="26"/>
      <c r="X51" s="26"/>
      <c r="Y51" s="751" t="s">
        <v>910</v>
      </c>
      <c r="Z51" s="742">
        <f>1200000/0.9</f>
        <v>1333333.333</v>
      </c>
      <c r="AA51" s="743">
        <v>0.8</v>
      </c>
      <c r="AB51" s="744"/>
      <c r="AC51" s="744"/>
      <c r="AD51" s="744"/>
      <c r="AE51" s="745"/>
      <c r="AF51" s="746"/>
      <c r="AG51" s="744"/>
      <c r="AH51" s="744"/>
      <c r="AI51" s="744"/>
      <c r="AJ51" s="747">
        <f t="shared" si="21"/>
        <v>0</v>
      </c>
      <c r="AK51" s="747">
        <f t="shared" si="22"/>
        <v>1333333.333</v>
      </c>
      <c r="AL51" s="747">
        <f t="shared" si="23"/>
        <v>666666.6667</v>
      </c>
      <c r="AM51" s="748">
        <f t="shared" si="24"/>
        <v>0.3333333333</v>
      </c>
      <c r="AN51" s="9"/>
      <c r="AO51" s="9"/>
      <c r="AP51" s="9"/>
      <c r="AQ51" s="9"/>
    </row>
    <row r="52" ht="96.0" customHeight="1" outlineLevel="1">
      <c r="A52" s="1052">
        <f>A50+1</f>
        <v>5</v>
      </c>
      <c r="B52" s="1062" t="s">
        <v>1111</v>
      </c>
      <c r="C52" s="1054" t="s">
        <v>38</v>
      </c>
      <c r="D52" s="1055" t="s">
        <v>1112</v>
      </c>
      <c r="E52" s="1056" t="s">
        <v>146</v>
      </c>
      <c r="F52" s="1057" t="s">
        <v>21</v>
      </c>
      <c r="G52" s="1058" t="s">
        <v>50</v>
      </c>
      <c r="H52" s="1059" t="s">
        <v>1316</v>
      </c>
      <c r="I52" s="1047" t="b">
        <v>1</v>
      </c>
      <c r="J52" s="1048" t="s">
        <v>7</v>
      </c>
      <c r="K52" s="1049">
        <f t="shared" si="18"/>
        <v>1</v>
      </c>
      <c r="L52" s="1050">
        <f t="shared" si="19"/>
        <v>5000000</v>
      </c>
      <c r="M52" s="1050">
        <f t="shared" si="25"/>
        <v>20000</v>
      </c>
      <c r="N52" s="1050">
        <f t="shared" si="26"/>
        <v>1500</v>
      </c>
      <c r="O52" s="1050">
        <f t="shared" si="27"/>
        <v>250</v>
      </c>
      <c r="P52" s="1050">
        <f t="shared" si="28"/>
        <v>3333.333333</v>
      </c>
      <c r="Q52" s="1050">
        <f t="shared" si="20"/>
        <v>5000000</v>
      </c>
      <c r="R52" s="1060" t="s">
        <v>1317</v>
      </c>
      <c r="S52" s="1026"/>
      <c r="T52" s="1030" t="s">
        <v>87</v>
      </c>
      <c r="U52" s="87"/>
      <c r="V52" s="87"/>
      <c r="W52" s="740"/>
      <c r="X52" s="740"/>
      <c r="Y52" s="741" t="s">
        <v>1318</v>
      </c>
      <c r="Z52" s="742">
        <f>2700000/0.9</f>
        <v>3000000</v>
      </c>
      <c r="AA52" s="743">
        <v>0.5</v>
      </c>
      <c r="AB52" s="744">
        <v>10000.0</v>
      </c>
      <c r="AC52" s="744">
        <v>10000.0</v>
      </c>
      <c r="AD52" s="744">
        <v>500.0</v>
      </c>
      <c r="AE52" s="745">
        <v>1000.0</v>
      </c>
      <c r="AF52" s="746"/>
      <c r="AG52" s="744"/>
      <c r="AH52" s="744"/>
      <c r="AI52" s="744"/>
      <c r="AJ52" s="747">
        <f t="shared" si="21"/>
        <v>70000</v>
      </c>
      <c r="AK52" s="747">
        <f t="shared" si="22"/>
        <v>3070000</v>
      </c>
      <c r="AL52" s="747">
        <f t="shared" si="23"/>
        <v>1930000</v>
      </c>
      <c r="AM52" s="748">
        <f t="shared" si="24"/>
        <v>0.386</v>
      </c>
      <c r="AN52" s="9"/>
      <c r="AO52" s="9"/>
      <c r="AP52" s="9"/>
      <c r="AQ52" s="9"/>
    </row>
    <row r="53" ht="96.0" customHeight="1" outlineLevel="1">
      <c r="A53" s="1045"/>
      <c r="B53" s="1024"/>
      <c r="C53" s="1024"/>
      <c r="D53" s="1024"/>
      <c r="E53" s="1024"/>
      <c r="F53" s="1024"/>
      <c r="G53" s="1024"/>
      <c r="H53" s="1046" t="s">
        <v>1319</v>
      </c>
      <c r="I53" s="1047" t="b">
        <v>1</v>
      </c>
      <c r="J53" s="1048" t="s">
        <v>47</v>
      </c>
      <c r="K53" s="1049">
        <f t="shared" si="18"/>
        <v>1</v>
      </c>
      <c r="L53" s="1050">
        <f t="shared" si="19"/>
        <v>3000000</v>
      </c>
      <c r="M53" s="1050">
        <f t="shared" si="25"/>
        <v>0</v>
      </c>
      <c r="N53" s="1050">
        <f t="shared" si="26"/>
        <v>0</v>
      </c>
      <c r="O53" s="1050" t="str">
        <f t="shared" si="27"/>
        <v>-</v>
      </c>
      <c r="P53" s="1050" t="str">
        <f t="shared" si="28"/>
        <v>-</v>
      </c>
      <c r="Q53" s="1050">
        <f t="shared" si="20"/>
        <v>3000000</v>
      </c>
      <c r="R53" s="1051"/>
      <c r="S53" s="1026"/>
      <c r="T53" s="1026"/>
      <c r="U53" s="9"/>
      <c r="V53" s="9"/>
      <c r="W53" s="26"/>
      <c r="X53" s="26"/>
      <c r="Y53" s="751" t="s">
        <v>910</v>
      </c>
      <c r="Z53" s="742">
        <f>1500000/0.9</f>
        <v>1666666.667</v>
      </c>
      <c r="AA53" s="743">
        <v>0.5</v>
      </c>
      <c r="AB53" s="744"/>
      <c r="AC53" s="744"/>
      <c r="AD53" s="744"/>
      <c r="AE53" s="745"/>
      <c r="AF53" s="746"/>
      <c r="AG53" s="744"/>
      <c r="AH53" s="744"/>
      <c r="AI53" s="744"/>
      <c r="AJ53" s="747">
        <f t="shared" si="21"/>
        <v>0</v>
      </c>
      <c r="AK53" s="747">
        <f t="shared" si="22"/>
        <v>1666666.667</v>
      </c>
      <c r="AL53" s="747">
        <f t="shared" si="23"/>
        <v>1333333.333</v>
      </c>
      <c r="AM53" s="748">
        <f t="shared" si="24"/>
        <v>0.4444444444</v>
      </c>
      <c r="AN53" s="9"/>
      <c r="AO53" s="9"/>
      <c r="AP53" s="9"/>
      <c r="AQ53" s="9"/>
    </row>
    <row r="54" ht="96.0" customHeight="1" outlineLevel="1">
      <c r="A54" s="1052">
        <f>A52+1</f>
        <v>6</v>
      </c>
      <c r="B54" s="1062" t="s">
        <v>1116</v>
      </c>
      <c r="C54" s="1054" t="s">
        <v>38</v>
      </c>
      <c r="D54" s="1055" t="s">
        <v>1117</v>
      </c>
      <c r="E54" s="1056" t="s">
        <v>146</v>
      </c>
      <c r="F54" s="1057" t="s">
        <v>139</v>
      </c>
      <c r="G54" s="1058" t="s">
        <v>50</v>
      </c>
      <c r="H54" s="1059" t="s">
        <v>1320</v>
      </c>
      <c r="I54" s="1047" t="b">
        <v>1</v>
      </c>
      <c r="J54" s="1048" t="s">
        <v>7</v>
      </c>
      <c r="K54" s="1049">
        <f t="shared" si="18"/>
        <v>1</v>
      </c>
      <c r="L54" s="1050">
        <f t="shared" si="19"/>
        <v>6000000</v>
      </c>
      <c r="M54" s="1050">
        <f t="shared" si="25"/>
        <v>20000</v>
      </c>
      <c r="N54" s="1050">
        <f t="shared" si="26"/>
        <v>1500</v>
      </c>
      <c r="O54" s="1050">
        <f t="shared" si="27"/>
        <v>300</v>
      </c>
      <c r="P54" s="1050">
        <f t="shared" si="28"/>
        <v>4000</v>
      </c>
      <c r="Q54" s="1050">
        <f t="shared" si="20"/>
        <v>6000000</v>
      </c>
      <c r="R54" s="1060" t="s">
        <v>1321</v>
      </c>
      <c r="S54" s="1026"/>
      <c r="T54" s="1030" t="s">
        <v>87</v>
      </c>
      <c r="U54" s="87"/>
      <c r="V54" s="87"/>
      <c r="W54" s="740"/>
      <c r="X54" s="740"/>
      <c r="Y54" s="741" t="s">
        <v>1322</v>
      </c>
      <c r="Z54" s="742">
        <f>2700000/0.9</f>
        <v>3000000</v>
      </c>
      <c r="AA54" s="743">
        <v>1.0</v>
      </c>
      <c r="AB54" s="744">
        <v>10000.0</v>
      </c>
      <c r="AC54" s="744">
        <v>10000.0</v>
      </c>
      <c r="AD54" s="744">
        <v>500.0</v>
      </c>
      <c r="AE54" s="745">
        <v>1000.0</v>
      </c>
      <c r="AF54" s="746"/>
      <c r="AG54" s="744"/>
      <c r="AH54" s="744"/>
      <c r="AI54" s="744"/>
      <c r="AJ54" s="747">
        <f t="shared" si="21"/>
        <v>70000</v>
      </c>
      <c r="AK54" s="747">
        <f t="shared" si="22"/>
        <v>3070000</v>
      </c>
      <c r="AL54" s="747">
        <f t="shared" si="23"/>
        <v>2930000</v>
      </c>
      <c r="AM54" s="748">
        <f t="shared" si="24"/>
        <v>0.4883333333</v>
      </c>
      <c r="AN54" s="9"/>
      <c r="AO54" s="9"/>
      <c r="AP54" s="9"/>
      <c r="AQ54" s="9"/>
    </row>
    <row r="55" ht="96.0" customHeight="1" outlineLevel="1">
      <c r="A55" s="1045"/>
      <c r="B55" s="1024"/>
      <c r="C55" s="1024"/>
      <c r="D55" s="1024"/>
      <c r="E55" s="1024"/>
      <c r="F55" s="1024"/>
      <c r="G55" s="1024"/>
      <c r="H55" s="1046" t="s">
        <v>1323</v>
      </c>
      <c r="I55" s="1047" t="b">
        <v>1</v>
      </c>
      <c r="J55" s="1048" t="s">
        <v>47</v>
      </c>
      <c r="K55" s="1049">
        <f t="shared" si="18"/>
        <v>1</v>
      </c>
      <c r="L55" s="1050">
        <f t="shared" si="19"/>
        <v>3000000</v>
      </c>
      <c r="M55" s="1050">
        <f t="shared" si="25"/>
        <v>0</v>
      </c>
      <c r="N55" s="1050">
        <f t="shared" si="26"/>
        <v>0</v>
      </c>
      <c r="O55" s="1050" t="str">
        <f t="shared" si="27"/>
        <v>-</v>
      </c>
      <c r="P55" s="1050" t="str">
        <f t="shared" si="28"/>
        <v>-</v>
      </c>
      <c r="Q55" s="1050">
        <f t="shared" si="20"/>
        <v>3000000</v>
      </c>
      <c r="R55" s="1051"/>
      <c r="S55" s="1026"/>
      <c r="T55" s="1026"/>
      <c r="U55" s="9"/>
      <c r="V55" s="9"/>
      <c r="W55" s="26"/>
      <c r="X55" s="26"/>
      <c r="Y55" s="751" t="s">
        <v>910</v>
      </c>
      <c r="Z55" s="742">
        <f>1500000/0.9</f>
        <v>1666666.667</v>
      </c>
      <c r="AA55" s="743">
        <v>0.5</v>
      </c>
      <c r="AB55" s="744"/>
      <c r="AC55" s="744"/>
      <c r="AD55" s="744"/>
      <c r="AE55" s="745"/>
      <c r="AF55" s="746"/>
      <c r="AG55" s="744"/>
      <c r="AH55" s="744"/>
      <c r="AI55" s="744"/>
      <c r="AJ55" s="747">
        <f t="shared" si="21"/>
        <v>0</v>
      </c>
      <c r="AK55" s="747">
        <f t="shared" si="22"/>
        <v>1666666.667</v>
      </c>
      <c r="AL55" s="747">
        <f t="shared" si="23"/>
        <v>1333333.333</v>
      </c>
      <c r="AM55" s="748">
        <f t="shared" si="24"/>
        <v>0.4444444444</v>
      </c>
      <c r="AN55" s="9"/>
      <c r="AO55" s="9"/>
      <c r="AP55" s="9"/>
      <c r="AQ55" s="9"/>
    </row>
    <row r="56" ht="96.0" customHeight="1" outlineLevel="1">
      <c r="A56" s="1052">
        <f>A54+1</f>
        <v>7</v>
      </c>
      <c r="B56" s="1062" t="s">
        <v>1121</v>
      </c>
      <c r="C56" s="1054" t="s">
        <v>38</v>
      </c>
      <c r="D56" s="1055" t="s">
        <v>1122</v>
      </c>
      <c r="E56" s="1056" t="s">
        <v>146</v>
      </c>
      <c r="F56" s="1057" t="s">
        <v>139</v>
      </c>
      <c r="G56" s="1058" t="s">
        <v>50</v>
      </c>
      <c r="H56" s="1059" t="s">
        <v>1324</v>
      </c>
      <c r="I56" s="1047" t="b">
        <v>1</v>
      </c>
      <c r="J56" s="1048" t="s">
        <v>7</v>
      </c>
      <c r="K56" s="1049">
        <f t="shared" si="18"/>
        <v>1</v>
      </c>
      <c r="L56" s="1050">
        <f t="shared" si="19"/>
        <v>4000000</v>
      </c>
      <c r="M56" s="1050">
        <f t="shared" si="25"/>
        <v>20000</v>
      </c>
      <c r="N56" s="1050">
        <f t="shared" si="26"/>
        <v>1500</v>
      </c>
      <c r="O56" s="1050">
        <f t="shared" si="27"/>
        <v>200</v>
      </c>
      <c r="P56" s="1050">
        <f t="shared" si="28"/>
        <v>2666.666667</v>
      </c>
      <c r="Q56" s="1050">
        <f t="shared" si="20"/>
        <v>4000000</v>
      </c>
      <c r="R56" s="1060" t="s">
        <v>1325</v>
      </c>
      <c r="S56" s="1028" t="s">
        <v>1326</v>
      </c>
      <c r="T56" s="1030" t="s">
        <v>87</v>
      </c>
      <c r="U56" s="87"/>
      <c r="V56" s="87"/>
      <c r="W56" s="740"/>
      <c r="X56" s="740"/>
      <c r="Y56" s="741" t="s">
        <v>1327</v>
      </c>
      <c r="Z56" s="742">
        <f>2000000/0.9</f>
        <v>2222222.222</v>
      </c>
      <c r="AA56" s="743">
        <v>1.0</v>
      </c>
      <c r="AB56" s="744">
        <v>10000.0</v>
      </c>
      <c r="AC56" s="744">
        <v>10000.0</v>
      </c>
      <c r="AD56" s="744">
        <v>500.0</v>
      </c>
      <c r="AE56" s="745">
        <v>1000.0</v>
      </c>
      <c r="AF56" s="746"/>
      <c r="AG56" s="744"/>
      <c r="AH56" s="744"/>
      <c r="AI56" s="744"/>
      <c r="AJ56" s="747">
        <f t="shared" si="21"/>
        <v>70000</v>
      </c>
      <c r="AK56" s="747">
        <f t="shared" si="22"/>
        <v>2292222.222</v>
      </c>
      <c r="AL56" s="747">
        <f t="shared" si="23"/>
        <v>1707777.778</v>
      </c>
      <c r="AM56" s="748">
        <f t="shared" si="24"/>
        <v>0.4269444444</v>
      </c>
      <c r="AN56" s="9"/>
      <c r="AO56" s="9"/>
      <c r="AP56" s="9"/>
      <c r="AQ56" s="9"/>
    </row>
    <row r="57" ht="96.0" customHeight="1" outlineLevel="1">
      <c r="A57" s="1045"/>
      <c r="B57" s="1024"/>
      <c r="C57" s="1024"/>
      <c r="D57" s="1024"/>
      <c r="E57" s="1024"/>
      <c r="F57" s="1024"/>
      <c r="G57" s="1024"/>
      <c r="H57" s="1046" t="s">
        <v>1328</v>
      </c>
      <c r="I57" s="1047" t="b">
        <v>1</v>
      </c>
      <c r="J57" s="1048" t="s">
        <v>47</v>
      </c>
      <c r="K57" s="1049">
        <f t="shared" si="18"/>
        <v>1</v>
      </c>
      <c r="L57" s="1050">
        <f t="shared" si="19"/>
        <v>3000000</v>
      </c>
      <c r="M57" s="1050">
        <f t="shared" si="25"/>
        <v>0</v>
      </c>
      <c r="N57" s="1050">
        <f t="shared" si="26"/>
        <v>0</v>
      </c>
      <c r="O57" s="1050" t="str">
        <f t="shared" si="27"/>
        <v>-</v>
      </c>
      <c r="P57" s="1050" t="str">
        <f t="shared" si="28"/>
        <v>-</v>
      </c>
      <c r="Q57" s="1050">
        <f t="shared" si="20"/>
        <v>3000000</v>
      </c>
      <c r="R57" s="1051"/>
      <c r="S57" s="1026"/>
      <c r="T57" s="1026"/>
      <c r="U57" s="9"/>
      <c r="V57" s="9"/>
      <c r="W57" s="26"/>
      <c r="X57" s="26"/>
      <c r="Y57" s="751" t="s">
        <v>910</v>
      </c>
      <c r="Z57" s="742">
        <f>1500000/0.9</f>
        <v>1666666.667</v>
      </c>
      <c r="AA57" s="743">
        <v>0.5</v>
      </c>
      <c r="AB57" s="744"/>
      <c r="AC57" s="744"/>
      <c r="AD57" s="744"/>
      <c r="AE57" s="745"/>
      <c r="AF57" s="746"/>
      <c r="AG57" s="744"/>
      <c r="AH57" s="744"/>
      <c r="AI57" s="744"/>
      <c r="AJ57" s="747">
        <f t="shared" si="21"/>
        <v>0</v>
      </c>
      <c r="AK57" s="747">
        <f t="shared" si="22"/>
        <v>1666666.667</v>
      </c>
      <c r="AL57" s="747">
        <f t="shared" si="23"/>
        <v>1333333.333</v>
      </c>
      <c r="AM57" s="748">
        <f t="shared" si="24"/>
        <v>0.4444444444</v>
      </c>
      <c r="AN57" s="9"/>
      <c r="AO57" s="9"/>
      <c r="AP57" s="9"/>
      <c r="AQ57" s="9"/>
    </row>
    <row r="58" ht="96.0" customHeight="1" outlineLevel="1">
      <c r="A58" s="1052">
        <f>A56+1</f>
        <v>8</v>
      </c>
      <c r="B58" s="1063" t="s">
        <v>151</v>
      </c>
      <c r="C58" s="1054" t="s">
        <v>38</v>
      </c>
      <c r="D58" s="1055" t="s">
        <v>152</v>
      </c>
      <c r="E58" s="1056" t="s">
        <v>146</v>
      </c>
      <c r="F58" s="1057" t="s">
        <v>139</v>
      </c>
      <c r="G58" s="1058" t="s">
        <v>50</v>
      </c>
      <c r="H58" s="1059" t="s">
        <v>1329</v>
      </c>
      <c r="I58" s="1047" t="b">
        <v>1</v>
      </c>
      <c r="J58" s="1048" t="s">
        <v>7</v>
      </c>
      <c r="K58" s="1049">
        <f t="shared" si="18"/>
        <v>1</v>
      </c>
      <c r="L58" s="1050">
        <f t="shared" si="19"/>
        <v>3000000</v>
      </c>
      <c r="M58" s="1050">
        <f t="shared" si="25"/>
        <v>20000</v>
      </c>
      <c r="N58" s="1050">
        <f t="shared" si="26"/>
        <v>1500</v>
      </c>
      <c r="O58" s="1050">
        <f t="shared" si="27"/>
        <v>150</v>
      </c>
      <c r="P58" s="1050">
        <f t="shared" si="28"/>
        <v>2000</v>
      </c>
      <c r="Q58" s="1050">
        <f t="shared" si="20"/>
        <v>3000000</v>
      </c>
      <c r="R58" s="1060" t="s">
        <v>1330</v>
      </c>
      <c r="S58" s="1028" t="s">
        <v>155</v>
      </c>
      <c r="T58" s="1029" t="s">
        <v>45</v>
      </c>
      <c r="U58" s="9"/>
      <c r="V58" s="9"/>
      <c r="W58" s="740"/>
      <c r="X58" s="740"/>
      <c r="Y58" s="741" t="s">
        <v>1331</v>
      </c>
      <c r="Z58" s="742">
        <f>2000000/0.9</f>
        <v>2222222.222</v>
      </c>
      <c r="AA58" s="743">
        <v>0.5</v>
      </c>
      <c r="AB58" s="744">
        <v>10000.0</v>
      </c>
      <c r="AC58" s="744">
        <v>10000.0</v>
      </c>
      <c r="AD58" s="744">
        <v>500.0</v>
      </c>
      <c r="AE58" s="745">
        <v>1000.0</v>
      </c>
      <c r="AF58" s="746"/>
      <c r="AG58" s="744"/>
      <c r="AH58" s="744"/>
      <c r="AI58" s="744"/>
      <c r="AJ58" s="747">
        <f t="shared" si="21"/>
        <v>70000</v>
      </c>
      <c r="AK58" s="747">
        <f t="shared" si="22"/>
        <v>2292222.222</v>
      </c>
      <c r="AL58" s="747">
        <f t="shared" si="23"/>
        <v>707777.7778</v>
      </c>
      <c r="AM58" s="748">
        <f t="shared" si="24"/>
        <v>0.2359259259</v>
      </c>
      <c r="AN58" s="9"/>
      <c r="AO58" s="9"/>
      <c r="AP58" s="9"/>
      <c r="AQ58" s="9"/>
    </row>
    <row r="59" ht="96.0" customHeight="1" outlineLevel="1">
      <c r="A59" s="1045"/>
      <c r="B59" s="1024"/>
      <c r="C59" s="1024"/>
      <c r="D59" s="1024"/>
      <c r="E59" s="1024"/>
      <c r="F59" s="1024"/>
      <c r="G59" s="1024"/>
      <c r="H59" s="1046" t="s">
        <v>1332</v>
      </c>
      <c r="I59" s="1047" t="b">
        <v>1</v>
      </c>
      <c r="J59" s="1048" t="s">
        <v>47</v>
      </c>
      <c r="K59" s="1049">
        <f t="shared" si="18"/>
        <v>1</v>
      </c>
      <c r="L59" s="1050">
        <f t="shared" si="19"/>
        <v>2000000</v>
      </c>
      <c r="M59" s="1050">
        <f t="shared" si="25"/>
        <v>0</v>
      </c>
      <c r="N59" s="1050">
        <f t="shared" si="26"/>
        <v>0</v>
      </c>
      <c r="O59" s="1050" t="str">
        <f t="shared" si="27"/>
        <v>-</v>
      </c>
      <c r="P59" s="1050" t="str">
        <f t="shared" si="28"/>
        <v>-</v>
      </c>
      <c r="Q59" s="1050">
        <f t="shared" si="20"/>
        <v>2000000</v>
      </c>
      <c r="R59" s="1051"/>
      <c r="S59" s="1026"/>
      <c r="T59" s="1027"/>
      <c r="U59" s="9"/>
      <c r="V59" s="9"/>
      <c r="W59" s="26"/>
      <c r="X59" s="26"/>
      <c r="Y59" s="751" t="s">
        <v>910</v>
      </c>
      <c r="Z59" s="742">
        <f>1000000/0.9</f>
        <v>1111111.111</v>
      </c>
      <c r="AA59" s="743">
        <v>1.0</v>
      </c>
      <c r="AB59" s="744"/>
      <c r="AC59" s="744"/>
      <c r="AD59" s="744"/>
      <c r="AE59" s="745"/>
      <c r="AF59" s="746"/>
      <c r="AG59" s="744"/>
      <c r="AH59" s="744"/>
      <c r="AI59" s="744"/>
      <c r="AJ59" s="747">
        <f t="shared" si="21"/>
        <v>0</v>
      </c>
      <c r="AK59" s="747">
        <f t="shared" si="22"/>
        <v>1111111.111</v>
      </c>
      <c r="AL59" s="747">
        <f t="shared" si="23"/>
        <v>888888.8889</v>
      </c>
      <c r="AM59" s="748">
        <f t="shared" si="24"/>
        <v>0.4444444444</v>
      </c>
      <c r="AN59" s="9"/>
      <c r="AO59" s="9"/>
      <c r="AP59" s="9"/>
      <c r="AQ59" s="9"/>
    </row>
    <row r="60" ht="96.0" customHeight="1" outlineLevel="1">
      <c r="A60" s="1052">
        <f>A58+1</f>
        <v>9</v>
      </c>
      <c r="B60" s="1063" t="s">
        <v>169</v>
      </c>
      <c r="C60" s="1054" t="s">
        <v>38</v>
      </c>
      <c r="D60" s="1055">
        <v>6489.0</v>
      </c>
      <c r="E60" s="1056" t="s">
        <v>146</v>
      </c>
      <c r="F60" s="1057" t="s">
        <v>139</v>
      </c>
      <c r="G60" s="1058" t="s">
        <v>50</v>
      </c>
      <c r="H60" s="1059" t="s">
        <v>1333</v>
      </c>
      <c r="I60" s="1047" t="b">
        <v>1</v>
      </c>
      <c r="J60" s="1048" t="s">
        <v>7</v>
      </c>
      <c r="K60" s="1049">
        <f t="shared" si="18"/>
        <v>1</v>
      </c>
      <c r="L60" s="1050">
        <f t="shared" si="19"/>
        <v>3000000</v>
      </c>
      <c r="M60" s="1050">
        <f t="shared" si="25"/>
        <v>10000</v>
      </c>
      <c r="N60" s="1050">
        <f t="shared" si="26"/>
        <v>1000</v>
      </c>
      <c r="O60" s="1050">
        <f t="shared" si="27"/>
        <v>300</v>
      </c>
      <c r="P60" s="1050">
        <f t="shared" si="28"/>
        <v>3000</v>
      </c>
      <c r="Q60" s="1050">
        <f t="shared" si="20"/>
        <v>3000000</v>
      </c>
      <c r="R60" s="1060" t="s">
        <v>1334</v>
      </c>
      <c r="S60" s="1028" t="s">
        <v>172</v>
      </c>
      <c r="T60" s="1061" t="s">
        <v>222</v>
      </c>
      <c r="U60" s="9"/>
      <c r="V60" s="9"/>
      <c r="W60" s="740"/>
      <c r="X60" s="740"/>
      <c r="Y60" s="741" t="s">
        <v>1335</v>
      </c>
      <c r="Z60" s="742">
        <f>1800000/0.9</f>
        <v>2000000</v>
      </c>
      <c r="AA60" s="743">
        <v>0.5</v>
      </c>
      <c r="AB60" s="744">
        <v>5000.0</v>
      </c>
      <c r="AC60" s="744">
        <v>5000.0</v>
      </c>
      <c r="AD60" s="744">
        <v>500.0</v>
      </c>
      <c r="AE60" s="745">
        <v>500.0</v>
      </c>
      <c r="AF60" s="746"/>
      <c r="AG60" s="744"/>
      <c r="AH60" s="744"/>
      <c r="AI60" s="744"/>
      <c r="AJ60" s="747">
        <f t="shared" si="21"/>
        <v>35000</v>
      </c>
      <c r="AK60" s="747">
        <f t="shared" si="22"/>
        <v>2035000</v>
      </c>
      <c r="AL60" s="747">
        <f t="shared" si="23"/>
        <v>965000</v>
      </c>
      <c r="AM60" s="748">
        <f t="shared" si="24"/>
        <v>0.3216666667</v>
      </c>
      <c r="AN60" s="9"/>
      <c r="AO60" s="9"/>
      <c r="AP60" s="9"/>
      <c r="AQ60" s="9"/>
    </row>
    <row r="61" ht="96.0" customHeight="1" outlineLevel="1">
      <c r="A61" s="1045"/>
      <c r="B61" s="1024"/>
      <c r="C61" s="1024"/>
      <c r="D61" s="1024"/>
      <c r="E61" s="1024"/>
      <c r="F61" s="1024"/>
      <c r="G61" s="1024"/>
      <c r="H61" s="1046" t="s">
        <v>1336</v>
      </c>
      <c r="I61" s="1047" t="b">
        <v>1</v>
      </c>
      <c r="J61" s="1048" t="s">
        <v>47</v>
      </c>
      <c r="K61" s="1049">
        <f t="shared" si="18"/>
        <v>1</v>
      </c>
      <c r="L61" s="1050">
        <f t="shared" si="19"/>
        <v>2000000</v>
      </c>
      <c r="M61" s="1050">
        <f t="shared" si="25"/>
        <v>0</v>
      </c>
      <c r="N61" s="1050">
        <f t="shared" si="26"/>
        <v>0</v>
      </c>
      <c r="O61" s="1050" t="str">
        <f t="shared" si="27"/>
        <v>-</v>
      </c>
      <c r="P61" s="1050" t="str">
        <f t="shared" si="28"/>
        <v>-</v>
      </c>
      <c r="Q61" s="1050">
        <f t="shared" si="20"/>
        <v>2000000</v>
      </c>
      <c r="R61" s="1051"/>
      <c r="S61" s="1026"/>
      <c r="T61" s="1026"/>
      <c r="U61" s="9"/>
      <c r="V61" s="9"/>
      <c r="W61" s="26"/>
      <c r="X61" s="26"/>
      <c r="Y61" s="751" t="s">
        <v>910</v>
      </c>
      <c r="Z61" s="742">
        <f>1000000/0.9</f>
        <v>1111111.111</v>
      </c>
      <c r="AA61" s="743">
        <v>1.2</v>
      </c>
      <c r="AB61" s="744"/>
      <c r="AC61" s="744"/>
      <c r="AD61" s="744"/>
      <c r="AE61" s="745"/>
      <c r="AF61" s="746"/>
      <c r="AG61" s="744"/>
      <c r="AH61" s="744"/>
      <c r="AI61" s="744"/>
      <c r="AJ61" s="747">
        <f t="shared" si="21"/>
        <v>0</v>
      </c>
      <c r="AK61" s="747">
        <f t="shared" si="22"/>
        <v>1111111.111</v>
      </c>
      <c r="AL61" s="747">
        <f t="shared" si="23"/>
        <v>888888.8889</v>
      </c>
      <c r="AM61" s="748">
        <f t="shared" si="24"/>
        <v>0.4444444444</v>
      </c>
      <c r="AN61" s="9"/>
      <c r="AO61" s="9"/>
      <c r="AP61" s="9"/>
      <c r="AQ61" s="9"/>
    </row>
    <row r="62" ht="96.0" customHeight="1" outlineLevel="1">
      <c r="A62" s="1052">
        <f>A60+1</f>
        <v>10</v>
      </c>
      <c r="B62" s="1063" t="s">
        <v>1132</v>
      </c>
      <c r="C62" s="1054" t="s">
        <v>38</v>
      </c>
      <c r="D62" s="1055">
        <v>3031.0</v>
      </c>
      <c r="E62" s="1056" t="s">
        <v>40</v>
      </c>
      <c r="F62" s="1057" t="s">
        <v>139</v>
      </c>
      <c r="G62" s="1058" t="s">
        <v>50</v>
      </c>
      <c r="H62" s="1059" t="s">
        <v>1337</v>
      </c>
      <c r="I62" s="1047" t="b">
        <v>1</v>
      </c>
      <c r="J62" s="1048" t="s">
        <v>7</v>
      </c>
      <c r="K62" s="1049">
        <f t="shared" si="18"/>
        <v>1</v>
      </c>
      <c r="L62" s="1050">
        <f t="shared" si="19"/>
        <v>6000000</v>
      </c>
      <c r="M62" s="1050">
        <f t="shared" si="25"/>
        <v>40000</v>
      </c>
      <c r="N62" s="1050">
        <f t="shared" si="26"/>
        <v>2000</v>
      </c>
      <c r="O62" s="1050">
        <f t="shared" si="27"/>
        <v>150</v>
      </c>
      <c r="P62" s="1050">
        <f t="shared" si="28"/>
        <v>3000</v>
      </c>
      <c r="Q62" s="1050">
        <f t="shared" si="20"/>
        <v>6000000</v>
      </c>
      <c r="R62" s="1060" t="s">
        <v>1338</v>
      </c>
      <c r="S62" s="1028" t="s">
        <v>1339</v>
      </c>
      <c r="T62" s="1030" t="s">
        <v>87</v>
      </c>
      <c r="U62" s="9"/>
      <c r="V62" s="9"/>
      <c r="W62" s="740"/>
      <c r="X62" s="740"/>
      <c r="Y62" s="741" t="s">
        <v>1340</v>
      </c>
      <c r="Z62" s="742">
        <f>1800000/0.9</f>
        <v>2000000</v>
      </c>
      <c r="AA62" s="743">
        <v>2.0</v>
      </c>
      <c r="AB62" s="744">
        <v>20000.0</v>
      </c>
      <c r="AC62" s="744">
        <v>20000.0</v>
      </c>
      <c r="AD62" s="744">
        <v>1000.0</v>
      </c>
      <c r="AE62" s="745">
        <v>1000.0</v>
      </c>
      <c r="AF62" s="746"/>
      <c r="AG62" s="744"/>
      <c r="AH62" s="744"/>
      <c r="AI62" s="744"/>
      <c r="AJ62" s="747">
        <f t="shared" si="21"/>
        <v>90000</v>
      </c>
      <c r="AK62" s="747">
        <f t="shared" si="22"/>
        <v>2090000</v>
      </c>
      <c r="AL62" s="747">
        <f t="shared" si="23"/>
        <v>3910000</v>
      </c>
      <c r="AM62" s="748">
        <f t="shared" si="24"/>
        <v>0.6516666667</v>
      </c>
      <c r="AN62" s="9"/>
      <c r="AO62" s="9"/>
      <c r="AP62" s="9"/>
      <c r="AQ62" s="9"/>
    </row>
    <row r="63" ht="96.0" customHeight="1" outlineLevel="1">
      <c r="A63" s="1045"/>
      <c r="B63" s="1024"/>
      <c r="C63" s="1024"/>
      <c r="D63" s="1024"/>
      <c r="E63" s="1024"/>
      <c r="F63" s="1024"/>
      <c r="G63" s="1024"/>
      <c r="H63" s="1046" t="s">
        <v>1341</v>
      </c>
      <c r="I63" s="1047" t="b">
        <v>1</v>
      </c>
      <c r="J63" s="1048" t="s">
        <v>47</v>
      </c>
      <c r="K63" s="1049">
        <f t="shared" si="18"/>
        <v>1</v>
      </c>
      <c r="L63" s="1050">
        <f t="shared" si="19"/>
        <v>2000000</v>
      </c>
      <c r="M63" s="1050">
        <f t="shared" si="25"/>
        <v>0</v>
      </c>
      <c r="N63" s="1050">
        <f t="shared" si="26"/>
        <v>0</v>
      </c>
      <c r="O63" s="1050" t="str">
        <f t="shared" si="27"/>
        <v>-</v>
      </c>
      <c r="P63" s="1050" t="str">
        <f t="shared" si="28"/>
        <v>-</v>
      </c>
      <c r="Q63" s="1050">
        <f t="shared" si="20"/>
        <v>2000000</v>
      </c>
      <c r="R63" s="1051"/>
      <c r="S63" s="1026"/>
      <c r="T63" s="1026"/>
      <c r="U63" s="9"/>
      <c r="V63" s="9"/>
      <c r="W63" s="26"/>
      <c r="X63" s="26"/>
      <c r="Y63" s="751" t="s">
        <v>910</v>
      </c>
      <c r="Z63" s="742">
        <f>800000/0.9</f>
        <v>888888.8889</v>
      </c>
      <c r="AA63" s="743">
        <v>1.0</v>
      </c>
      <c r="AB63" s="744"/>
      <c r="AC63" s="744"/>
      <c r="AD63" s="744"/>
      <c r="AE63" s="745"/>
      <c r="AF63" s="746"/>
      <c r="AG63" s="744"/>
      <c r="AH63" s="744"/>
      <c r="AI63" s="744"/>
      <c r="AJ63" s="747">
        <f t="shared" si="21"/>
        <v>0</v>
      </c>
      <c r="AK63" s="747">
        <f t="shared" si="22"/>
        <v>888888.8889</v>
      </c>
      <c r="AL63" s="747">
        <f t="shared" si="23"/>
        <v>1111111.111</v>
      </c>
      <c r="AM63" s="748">
        <f t="shared" si="24"/>
        <v>0.5555555556</v>
      </c>
      <c r="AN63" s="9"/>
      <c r="AO63" s="9"/>
      <c r="AP63" s="9"/>
      <c r="AQ63" s="9"/>
    </row>
    <row r="64" ht="96.0" customHeight="1" outlineLevel="1">
      <c r="A64" s="1052" t="s">
        <v>101</v>
      </c>
      <c r="B64" s="1063" t="s">
        <v>204</v>
      </c>
      <c r="C64" s="1054" t="s">
        <v>38</v>
      </c>
      <c r="D64" s="1055" t="s">
        <v>205</v>
      </c>
      <c r="E64" s="1056" t="s">
        <v>146</v>
      </c>
      <c r="F64" s="1057" t="s">
        <v>206</v>
      </c>
      <c r="G64" s="1058" t="s">
        <v>105</v>
      </c>
      <c r="H64" s="1059" t="s">
        <v>1342</v>
      </c>
      <c r="I64" s="1047" t="b">
        <v>1</v>
      </c>
      <c r="J64" s="1048" t="s">
        <v>7</v>
      </c>
      <c r="K64" s="1049">
        <f t="shared" si="18"/>
        <v>1</v>
      </c>
      <c r="L64" s="1050">
        <f t="shared" si="19"/>
        <v>4000000</v>
      </c>
      <c r="M64" s="1050">
        <f t="shared" si="25"/>
        <v>20000</v>
      </c>
      <c r="N64" s="1050">
        <f t="shared" si="26"/>
        <v>1500</v>
      </c>
      <c r="O64" s="1050">
        <f t="shared" si="27"/>
        <v>200</v>
      </c>
      <c r="P64" s="1050">
        <f t="shared" si="28"/>
        <v>2666.666667</v>
      </c>
      <c r="Q64" s="1050">
        <f t="shared" si="20"/>
        <v>4000000</v>
      </c>
      <c r="R64" s="1060" t="s">
        <v>1343</v>
      </c>
      <c r="S64" s="1028" t="s">
        <v>209</v>
      </c>
      <c r="T64" s="1029" t="s">
        <v>45</v>
      </c>
      <c r="U64" s="9"/>
      <c r="V64" s="9"/>
      <c r="W64" s="740"/>
      <c r="X64" s="740"/>
      <c r="Y64" s="741" t="s">
        <v>1344</v>
      </c>
      <c r="Z64" s="742">
        <f>2300000/0.9</f>
        <v>2555555.556</v>
      </c>
      <c r="AA64" s="743">
        <v>0.5</v>
      </c>
      <c r="AB64" s="744">
        <v>10000.0</v>
      </c>
      <c r="AC64" s="744">
        <v>10000.0</v>
      </c>
      <c r="AD64" s="744">
        <v>500.0</v>
      </c>
      <c r="AE64" s="745">
        <v>1000.0</v>
      </c>
      <c r="AF64" s="746"/>
      <c r="AG64" s="744"/>
      <c r="AH64" s="744"/>
      <c r="AI64" s="744"/>
      <c r="AJ64" s="747">
        <f t="shared" si="21"/>
        <v>70000</v>
      </c>
      <c r="AK64" s="747">
        <f t="shared" si="22"/>
        <v>2625555.556</v>
      </c>
      <c r="AL64" s="747">
        <f t="shared" si="23"/>
        <v>1374444.444</v>
      </c>
      <c r="AM64" s="748">
        <f t="shared" si="24"/>
        <v>0.3436111111</v>
      </c>
      <c r="AN64" s="9"/>
      <c r="AO64" s="9"/>
      <c r="AP64" s="9"/>
      <c r="AQ64" s="9"/>
    </row>
    <row r="65" ht="96.0" customHeight="1" outlineLevel="1">
      <c r="A65" s="1045"/>
      <c r="B65" s="1024"/>
      <c r="C65" s="1024"/>
      <c r="D65" s="1024"/>
      <c r="E65" s="1024"/>
      <c r="F65" s="1024"/>
      <c r="G65" s="1024"/>
      <c r="H65" s="1046" t="s">
        <v>1345</v>
      </c>
      <c r="I65" s="1047" t="b">
        <v>1</v>
      </c>
      <c r="J65" s="1048" t="s">
        <v>47</v>
      </c>
      <c r="K65" s="1049">
        <f t="shared" si="18"/>
        <v>1</v>
      </c>
      <c r="L65" s="1050">
        <f t="shared" si="19"/>
        <v>2000000</v>
      </c>
      <c r="M65" s="1050">
        <f t="shared" si="25"/>
        <v>0</v>
      </c>
      <c r="N65" s="1050">
        <f t="shared" si="26"/>
        <v>0</v>
      </c>
      <c r="O65" s="1050" t="str">
        <f t="shared" si="27"/>
        <v>-</v>
      </c>
      <c r="P65" s="1050" t="str">
        <f t="shared" si="28"/>
        <v>-</v>
      </c>
      <c r="Q65" s="1050">
        <f t="shared" si="20"/>
        <v>2000000</v>
      </c>
      <c r="R65" s="1064"/>
      <c r="S65" s="1026"/>
      <c r="T65" s="1027"/>
      <c r="U65" s="9"/>
      <c r="V65" s="9"/>
      <c r="W65" s="26"/>
      <c r="X65" s="26"/>
      <c r="Y65" s="741" t="s">
        <v>1346</v>
      </c>
      <c r="Z65" s="742">
        <f>500000/0.9</f>
        <v>555555.5556</v>
      </c>
      <c r="AA65" s="743">
        <v>2.0</v>
      </c>
      <c r="AB65" s="744"/>
      <c r="AC65" s="744"/>
      <c r="AD65" s="744"/>
      <c r="AE65" s="745"/>
      <c r="AF65" s="746"/>
      <c r="AG65" s="744"/>
      <c r="AH65" s="744"/>
      <c r="AI65" s="744"/>
      <c r="AJ65" s="747">
        <f t="shared" si="21"/>
        <v>0</v>
      </c>
      <c r="AK65" s="747">
        <f t="shared" si="22"/>
        <v>555555.5556</v>
      </c>
      <c r="AL65" s="747">
        <f t="shared" si="23"/>
        <v>1444444.444</v>
      </c>
      <c r="AM65" s="748">
        <f t="shared" si="24"/>
        <v>0.7222222222</v>
      </c>
      <c r="AN65" s="9"/>
      <c r="AO65" s="9"/>
      <c r="AP65" s="9"/>
      <c r="AQ65" s="9"/>
    </row>
    <row r="66" ht="96.0" customHeight="1" outlineLevel="1">
      <c r="A66" s="1052" t="s">
        <v>101</v>
      </c>
      <c r="B66" s="1053" t="s">
        <v>217</v>
      </c>
      <c r="C66" s="1054" t="s">
        <v>38</v>
      </c>
      <c r="D66" s="1055" t="s">
        <v>218</v>
      </c>
      <c r="E66" s="1056" t="s">
        <v>146</v>
      </c>
      <c r="F66" s="1057" t="s">
        <v>219</v>
      </c>
      <c r="G66" s="1058" t="s">
        <v>105</v>
      </c>
      <c r="H66" s="1059" t="s">
        <v>1347</v>
      </c>
      <c r="I66" s="1047" t="b">
        <v>1</v>
      </c>
      <c r="J66" s="1048" t="s">
        <v>7</v>
      </c>
      <c r="K66" s="1049">
        <f t="shared" si="18"/>
        <v>1</v>
      </c>
      <c r="L66" s="1050">
        <f t="shared" si="19"/>
        <v>4000000</v>
      </c>
      <c r="M66" s="1050">
        <f t="shared" si="25"/>
        <v>20000</v>
      </c>
      <c r="N66" s="1050">
        <f t="shared" si="26"/>
        <v>1500</v>
      </c>
      <c r="O66" s="1050">
        <f t="shared" si="27"/>
        <v>200</v>
      </c>
      <c r="P66" s="1050">
        <f t="shared" si="28"/>
        <v>2666.666667</v>
      </c>
      <c r="Q66" s="1050">
        <f t="shared" si="20"/>
        <v>4000000</v>
      </c>
      <c r="R66" s="1064"/>
      <c r="S66" s="1028" t="s">
        <v>221</v>
      </c>
      <c r="T66" s="1061" t="s">
        <v>222</v>
      </c>
      <c r="U66" s="9"/>
      <c r="V66" s="9"/>
      <c r="W66" s="740"/>
      <c r="X66" s="740"/>
      <c r="Y66" s="741" t="s">
        <v>1348</v>
      </c>
      <c r="Z66" s="742">
        <f>2300000/0.9</f>
        <v>2555555.556</v>
      </c>
      <c r="AA66" s="743">
        <v>0.5</v>
      </c>
      <c r="AB66" s="744">
        <v>10000.0</v>
      </c>
      <c r="AC66" s="744">
        <v>10000.0</v>
      </c>
      <c r="AD66" s="744">
        <v>500.0</v>
      </c>
      <c r="AE66" s="745">
        <v>1000.0</v>
      </c>
      <c r="AF66" s="746"/>
      <c r="AG66" s="744"/>
      <c r="AH66" s="744"/>
      <c r="AI66" s="744"/>
      <c r="AJ66" s="747">
        <f t="shared" si="21"/>
        <v>70000</v>
      </c>
      <c r="AK66" s="747">
        <f t="shared" si="22"/>
        <v>2625555.556</v>
      </c>
      <c r="AL66" s="747">
        <f t="shared" si="23"/>
        <v>1374444.444</v>
      </c>
      <c r="AM66" s="748">
        <f t="shared" si="24"/>
        <v>0.3436111111</v>
      </c>
      <c r="AN66" s="9"/>
      <c r="AO66" s="9"/>
      <c r="AP66" s="9"/>
      <c r="AQ66" s="9"/>
    </row>
    <row r="67" ht="96.0" customHeight="1" outlineLevel="1">
      <c r="A67" s="1045"/>
      <c r="B67" s="1024"/>
      <c r="C67" s="1024"/>
      <c r="D67" s="1024"/>
      <c r="E67" s="1024"/>
      <c r="F67" s="1024"/>
      <c r="G67" s="1024"/>
      <c r="H67" s="1046" t="s">
        <v>1349</v>
      </c>
      <c r="I67" s="1047" t="b">
        <v>1</v>
      </c>
      <c r="J67" s="1048" t="s">
        <v>47</v>
      </c>
      <c r="K67" s="1049">
        <f t="shared" si="18"/>
        <v>1</v>
      </c>
      <c r="L67" s="1050">
        <f t="shared" si="19"/>
        <v>2000000</v>
      </c>
      <c r="M67" s="1050">
        <f t="shared" si="25"/>
        <v>0</v>
      </c>
      <c r="N67" s="1050">
        <f t="shared" si="26"/>
        <v>0</v>
      </c>
      <c r="O67" s="1050" t="str">
        <f t="shared" si="27"/>
        <v>-</v>
      </c>
      <c r="P67" s="1050" t="str">
        <f t="shared" si="28"/>
        <v>-</v>
      </c>
      <c r="Q67" s="1050">
        <f t="shared" si="20"/>
        <v>2000000</v>
      </c>
      <c r="R67" s="1064"/>
      <c r="S67" s="1026"/>
      <c r="T67" s="1026"/>
      <c r="U67" s="87"/>
      <c r="V67" s="87"/>
      <c r="W67" s="26"/>
      <c r="X67" s="26"/>
      <c r="Y67" s="741" t="s">
        <v>1350</v>
      </c>
      <c r="Z67" s="742">
        <f>500000/0.9</f>
        <v>555555.5556</v>
      </c>
      <c r="AA67" s="743">
        <v>2.0</v>
      </c>
      <c r="AB67" s="744"/>
      <c r="AC67" s="744"/>
      <c r="AD67" s="744"/>
      <c r="AE67" s="745"/>
      <c r="AF67" s="746"/>
      <c r="AG67" s="744"/>
      <c r="AH67" s="744"/>
      <c r="AI67" s="744"/>
      <c r="AJ67" s="747">
        <f t="shared" si="21"/>
        <v>0</v>
      </c>
      <c r="AK67" s="747">
        <f t="shared" si="22"/>
        <v>555555.5556</v>
      </c>
      <c r="AL67" s="747">
        <f t="shared" si="23"/>
        <v>1444444.444</v>
      </c>
      <c r="AM67" s="748">
        <f t="shared" si="24"/>
        <v>0.7222222222</v>
      </c>
      <c r="AN67" s="9"/>
      <c r="AO67" s="9"/>
      <c r="AP67" s="9"/>
      <c r="AQ67" s="9"/>
    </row>
    <row r="68" ht="96.0" customHeight="1" outlineLevel="1">
      <c r="A68" s="1052" t="s">
        <v>101</v>
      </c>
      <c r="B68" s="1053" t="s">
        <v>1351</v>
      </c>
      <c r="C68" s="1054" t="s">
        <v>38</v>
      </c>
      <c r="D68" s="1055" t="s">
        <v>1352</v>
      </c>
      <c r="E68" s="1056" t="s">
        <v>146</v>
      </c>
      <c r="F68" s="1057" t="s">
        <v>1353</v>
      </c>
      <c r="G68" s="1058" t="s">
        <v>105</v>
      </c>
      <c r="H68" s="1059" t="s">
        <v>1354</v>
      </c>
      <c r="I68" s="1047" t="b">
        <v>1</v>
      </c>
      <c r="J68" s="1048" t="s">
        <v>7</v>
      </c>
      <c r="K68" s="1049">
        <f t="shared" si="18"/>
        <v>1</v>
      </c>
      <c r="L68" s="1050">
        <f t="shared" si="19"/>
        <v>4000000</v>
      </c>
      <c r="M68" s="1050">
        <f t="shared" si="25"/>
        <v>20000</v>
      </c>
      <c r="N68" s="1050">
        <f t="shared" si="26"/>
        <v>1500</v>
      </c>
      <c r="O68" s="1050">
        <f t="shared" si="27"/>
        <v>200</v>
      </c>
      <c r="P68" s="1050">
        <f t="shared" si="28"/>
        <v>2666.666667</v>
      </c>
      <c r="Q68" s="1050">
        <f t="shared" si="20"/>
        <v>4000000</v>
      </c>
      <c r="R68" s="1064"/>
      <c r="S68" s="1028" t="s">
        <v>1355</v>
      </c>
      <c r="T68" s="1030" t="s">
        <v>87</v>
      </c>
      <c r="U68" s="9"/>
      <c r="V68" s="9"/>
      <c r="W68" s="740"/>
      <c r="X68" s="740"/>
      <c r="Y68" s="741" t="s">
        <v>1356</v>
      </c>
      <c r="Z68" s="742">
        <f>2300000/0.9</f>
        <v>2555555.556</v>
      </c>
      <c r="AA68" s="743">
        <v>0.5</v>
      </c>
      <c r="AB68" s="744">
        <v>10000.0</v>
      </c>
      <c r="AC68" s="744">
        <v>10000.0</v>
      </c>
      <c r="AD68" s="744">
        <v>500.0</v>
      </c>
      <c r="AE68" s="745">
        <v>1000.0</v>
      </c>
      <c r="AF68" s="746"/>
      <c r="AG68" s="744"/>
      <c r="AH68" s="744"/>
      <c r="AI68" s="744"/>
      <c r="AJ68" s="747">
        <f t="shared" si="21"/>
        <v>70000</v>
      </c>
      <c r="AK68" s="747">
        <f t="shared" si="22"/>
        <v>2625555.556</v>
      </c>
      <c r="AL68" s="747">
        <f t="shared" si="23"/>
        <v>1374444.444</v>
      </c>
      <c r="AM68" s="748">
        <f t="shared" si="24"/>
        <v>0.3436111111</v>
      </c>
      <c r="AN68" s="9"/>
      <c r="AO68" s="9"/>
      <c r="AP68" s="9"/>
      <c r="AQ68" s="9"/>
    </row>
    <row r="69" ht="96.0" customHeight="1" outlineLevel="1">
      <c r="A69" s="1045"/>
      <c r="B69" s="1024"/>
      <c r="C69" s="1024"/>
      <c r="D69" s="1024"/>
      <c r="E69" s="1024"/>
      <c r="F69" s="1024"/>
      <c r="G69" s="1024"/>
      <c r="H69" s="1046" t="s">
        <v>1357</v>
      </c>
      <c r="I69" s="1047" t="b">
        <v>1</v>
      </c>
      <c r="J69" s="1048" t="s">
        <v>47</v>
      </c>
      <c r="K69" s="1049">
        <f t="shared" si="18"/>
        <v>1</v>
      </c>
      <c r="L69" s="1050">
        <f t="shared" si="19"/>
        <v>2000000</v>
      </c>
      <c r="M69" s="1050">
        <f t="shared" si="25"/>
        <v>0</v>
      </c>
      <c r="N69" s="1050">
        <f t="shared" si="26"/>
        <v>0</v>
      </c>
      <c r="O69" s="1050" t="str">
        <f t="shared" si="27"/>
        <v>-</v>
      </c>
      <c r="P69" s="1050" t="str">
        <f t="shared" si="28"/>
        <v>-</v>
      </c>
      <c r="Q69" s="1050">
        <f t="shared" si="20"/>
        <v>2000000</v>
      </c>
      <c r="R69" s="1064"/>
      <c r="S69" s="1026"/>
      <c r="T69" s="1026"/>
      <c r="U69" s="87"/>
      <c r="V69" s="87"/>
      <c r="W69" s="26"/>
      <c r="X69" s="26"/>
      <c r="Y69" s="741" t="s">
        <v>1358</v>
      </c>
      <c r="Z69" s="742">
        <f>500000/0.9</f>
        <v>555555.5556</v>
      </c>
      <c r="AA69" s="743">
        <v>2.0</v>
      </c>
      <c r="AB69" s="744"/>
      <c r="AC69" s="744"/>
      <c r="AD69" s="744"/>
      <c r="AE69" s="745"/>
      <c r="AF69" s="746"/>
      <c r="AG69" s="744"/>
      <c r="AH69" s="744"/>
      <c r="AI69" s="744"/>
      <c r="AJ69" s="747">
        <f t="shared" si="21"/>
        <v>0</v>
      </c>
      <c r="AK69" s="747">
        <f t="shared" si="22"/>
        <v>555555.5556</v>
      </c>
      <c r="AL69" s="747">
        <f t="shared" si="23"/>
        <v>1444444.444</v>
      </c>
      <c r="AM69" s="748">
        <f t="shared" si="24"/>
        <v>0.7222222222</v>
      </c>
      <c r="AN69" s="9"/>
      <c r="AO69" s="9"/>
      <c r="AP69" s="9"/>
      <c r="AQ69" s="9"/>
    </row>
    <row r="70" ht="96.0" customHeight="1" outlineLevel="1">
      <c r="A70" s="1052" t="s">
        <v>101</v>
      </c>
      <c r="B70" s="1062" t="s">
        <v>1359</v>
      </c>
      <c r="C70" s="1054" t="s">
        <v>38</v>
      </c>
      <c r="D70" s="1055">
        <v>15700.0</v>
      </c>
      <c r="E70" s="1056" t="s">
        <v>146</v>
      </c>
      <c r="F70" s="1057" t="s">
        <v>1360</v>
      </c>
      <c r="G70" s="1058" t="s">
        <v>213</v>
      </c>
      <c r="H70" s="1059" t="s">
        <v>1361</v>
      </c>
      <c r="I70" s="1047" t="b">
        <v>1</v>
      </c>
      <c r="J70" s="1048" t="s">
        <v>7</v>
      </c>
      <c r="K70" s="1049">
        <f t="shared" si="18"/>
        <v>1</v>
      </c>
      <c r="L70" s="1050">
        <f t="shared" si="19"/>
        <v>3000000</v>
      </c>
      <c r="M70" s="1050">
        <f t="shared" si="25"/>
        <v>20000</v>
      </c>
      <c r="N70" s="1050">
        <f t="shared" si="26"/>
        <v>1500</v>
      </c>
      <c r="O70" s="1050">
        <f t="shared" si="27"/>
        <v>150</v>
      </c>
      <c r="P70" s="1050">
        <f t="shared" si="28"/>
        <v>2000</v>
      </c>
      <c r="Q70" s="1050">
        <f t="shared" si="20"/>
        <v>3000000</v>
      </c>
      <c r="R70" s="1064"/>
      <c r="S70" s="1028" t="s">
        <v>1362</v>
      </c>
      <c r="T70" s="1030" t="s">
        <v>87</v>
      </c>
      <c r="U70" s="9"/>
      <c r="V70" s="9"/>
      <c r="W70" s="740"/>
      <c r="X70" s="740"/>
      <c r="Y70" s="741" t="s">
        <v>1363</v>
      </c>
      <c r="Z70" s="742">
        <f>1900000/0.9</f>
        <v>2111111.111</v>
      </c>
      <c r="AA70" s="743">
        <v>0.5</v>
      </c>
      <c r="AB70" s="744">
        <v>10000.0</v>
      </c>
      <c r="AC70" s="744">
        <v>10000.0</v>
      </c>
      <c r="AD70" s="744">
        <v>500.0</v>
      </c>
      <c r="AE70" s="745">
        <v>1000.0</v>
      </c>
      <c r="AF70" s="746"/>
      <c r="AG70" s="744"/>
      <c r="AH70" s="744"/>
      <c r="AI70" s="744"/>
      <c r="AJ70" s="747">
        <f t="shared" si="21"/>
        <v>70000</v>
      </c>
      <c r="AK70" s="747">
        <f t="shared" si="22"/>
        <v>2181111.111</v>
      </c>
      <c r="AL70" s="747">
        <f t="shared" si="23"/>
        <v>818888.8889</v>
      </c>
      <c r="AM70" s="748">
        <f t="shared" si="24"/>
        <v>0.272962963</v>
      </c>
      <c r="AN70" s="9"/>
      <c r="AO70" s="9"/>
      <c r="AP70" s="9"/>
      <c r="AQ70" s="9"/>
    </row>
    <row r="71" ht="96.0" customHeight="1" outlineLevel="1">
      <c r="A71" s="1045"/>
      <c r="B71" s="1024"/>
      <c r="C71" s="1024"/>
      <c r="D71" s="1024"/>
      <c r="E71" s="1024"/>
      <c r="F71" s="1024"/>
      <c r="G71" s="1024"/>
      <c r="H71" s="1046" t="s">
        <v>1364</v>
      </c>
      <c r="I71" s="1047" t="b">
        <v>1</v>
      </c>
      <c r="J71" s="1048" t="s">
        <v>47</v>
      </c>
      <c r="K71" s="1049">
        <f t="shared" si="18"/>
        <v>1</v>
      </c>
      <c r="L71" s="1050">
        <f t="shared" si="19"/>
        <v>1000000</v>
      </c>
      <c r="M71" s="1050">
        <f t="shared" si="25"/>
        <v>0</v>
      </c>
      <c r="N71" s="1050">
        <f t="shared" si="26"/>
        <v>0</v>
      </c>
      <c r="O71" s="1050" t="str">
        <f t="shared" si="27"/>
        <v>-</v>
      </c>
      <c r="P71" s="1050" t="str">
        <f t="shared" si="28"/>
        <v>-</v>
      </c>
      <c r="Q71" s="1050">
        <f t="shared" si="20"/>
        <v>1000000</v>
      </c>
      <c r="R71" s="1064"/>
      <c r="S71" s="1026"/>
      <c r="T71" s="1026"/>
      <c r="U71" s="9"/>
      <c r="V71" s="9"/>
      <c r="W71" s="26"/>
      <c r="X71" s="26"/>
      <c r="Y71" s="741" t="s">
        <v>1365</v>
      </c>
      <c r="Z71" s="742">
        <f>300000/0.9</f>
        <v>333333.3333</v>
      </c>
      <c r="AA71" s="743">
        <v>2.0</v>
      </c>
      <c r="AB71" s="744"/>
      <c r="AC71" s="744"/>
      <c r="AD71" s="744"/>
      <c r="AE71" s="745"/>
      <c r="AF71" s="746"/>
      <c r="AG71" s="744"/>
      <c r="AH71" s="744"/>
      <c r="AI71" s="744"/>
      <c r="AJ71" s="747">
        <f t="shared" si="21"/>
        <v>0</v>
      </c>
      <c r="AK71" s="747">
        <f t="shared" si="22"/>
        <v>333333.3333</v>
      </c>
      <c r="AL71" s="747">
        <f t="shared" si="23"/>
        <v>666666.6667</v>
      </c>
      <c r="AM71" s="748">
        <f t="shared" si="24"/>
        <v>0.6666666667</v>
      </c>
      <c r="AN71" s="9"/>
      <c r="AO71" s="9"/>
      <c r="AP71" s="9"/>
      <c r="AQ71" s="9"/>
    </row>
    <row r="72" ht="96.0" customHeight="1" outlineLevel="1">
      <c r="A72" s="1052" t="s">
        <v>101</v>
      </c>
      <c r="B72" s="1062" t="s">
        <v>211</v>
      </c>
      <c r="C72" s="1054" t="s">
        <v>38</v>
      </c>
      <c r="D72" s="1055">
        <v>45000.0</v>
      </c>
      <c r="E72" s="1056" t="s">
        <v>146</v>
      </c>
      <c r="F72" s="1057" t="s">
        <v>212</v>
      </c>
      <c r="G72" s="1058" t="s">
        <v>213</v>
      </c>
      <c r="H72" s="1059" t="s">
        <v>1366</v>
      </c>
      <c r="I72" s="1047" t="b">
        <v>1</v>
      </c>
      <c r="J72" s="1048" t="s">
        <v>7</v>
      </c>
      <c r="K72" s="1049">
        <f t="shared" si="18"/>
        <v>1</v>
      </c>
      <c r="L72" s="1050">
        <f t="shared" si="19"/>
        <v>5000000</v>
      </c>
      <c r="M72" s="1050">
        <f t="shared" si="25"/>
        <v>20000</v>
      </c>
      <c r="N72" s="1050">
        <f t="shared" si="26"/>
        <v>1500</v>
      </c>
      <c r="O72" s="1050">
        <f t="shared" si="27"/>
        <v>250</v>
      </c>
      <c r="P72" s="1050">
        <f t="shared" si="28"/>
        <v>3333.333333</v>
      </c>
      <c r="Q72" s="1050">
        <f t="shared" si="20"/>
        <v>5000000</v>
      </c>
      <c r="R72" s="1064"/>
      <c r="S72" s="1028" t="s">
        <v>215</v>
      </c>
      <c r="T72" s="1029" t="s">
        <v>45</v>
      </c>
      <c r="U72" s="9"/>
      <c r="V72" s="9"/>
      <c r="W72" s="740"/>
      <c r="X72" s="740"/>
      <c r="Y72" s="741" t="s">
        <v>1367</v>
      </c>
      <c r="Z72" s="742">
        <f>2800000/0.9</f>
        <v>3111111.111</v>
      </c>
      <c r="AA72" s="743">
        <v>0.5</v>
      </c>
      <c r="AB72" s="744">
        <v>10000.0</v>
      </c>
      <c r="AC72" s="744">
        <v>10000.0</v>
      </c>
      <c r="AD72" s="744">
        <v>500.0</v>
      </c>
      <c r="AE72" s="745">
        <v>1000.0</v>
      </c>
      <c r="AF72" s="746"/>
      <c r="AG72" s="744"/>
      <c r="AH72" s="744"/>
      <c r="AI72" s="744"/>
      <c r="AJ72" s="747">
        <f t="shared" si="21"/>
        <v>70000</v>
      </c>
      <c r="AK72" s="747">
        <f t="shared" si="22"/>
        <v>3181111.111</v>
      </c>
      <c r="AL72" s="747">
        <f t="shared" si="23"/>
        <v>1818888.889</v>
      </c>
      <c r="AM72" s="748">
        <f t="shared" si="24"/>
        <v>0.3637777778</v>
      </c>
      <c r="AN72" s="9"/>
      <c r="AO72" s="9"/>
      <c r="AP72" s="9"/>
      <c r="AQ72" s="9"/>
    </row>
    <row r="73" ht="96.0" customHeight="1" outlineLevel="1">
      <c r="A73" s="1045"/>
      <c r="B73" s="1024"/>
      <c r="C73" s="1024"/>
      <c r="D73" s="1024"/>
      <c r="E73" s="1024"/>
      <c r="F73" s="1024"/>
      <c r="G73" s="1024"/>
      <c r="H73" s="1046" t="s">
        <v>1368</v>
      </c>
      <c r="I73" s="1047" t="b">
        <v>1</v>
      </c>
      <c r="J73" s="1048" t="s">
        <v>47</v>
      </c>
      <c r="K73" s="1049">
        <f t="shared" si="18"/>
        <v>1</v>
      </c>
      <c r="L73" s="1050">
        <f t="shared" si="19"/>
        <v>2000000</v>
      </c>
      <c r="M73" s="1050">
        <f t="shared" si="25"/>
        <v>0</v>
      </c>
      <c r="N73" s="1050">
        <f t="shared" si="26"/>
        <v>0</v>
      </c>
      <c r="O73" s="1050" t="str">
        <f t="shared" si="27"/>
        <v>-</v>
      </c>
      <c r="P73" s="1050" t="str">
        <f t="shared" si="28"/>
        <v>-</v>
      </c>
      <c r="Q73" s="1050">
        <f t="shared" si="20"/>
        <v>2000000</v>
      </c>
      <c r="R73" s="1064"/>
      <c r="S73" s="1026"/>
      <c r="T73" s="1027"/>
      <c r="U73" s="87"/>
      <c r="V73" s="87"/>
      <c r="W73" s="26"/>
      <c r="X73" s="26"/>
      <c r="Y73" s="741" t="s">
        <v>1369</v>
      </c>
      <c r="Z73" s="742">
        <f>500000/0.9</f>
        <v>555555.5556</v>
      </c>
      <c r="AA73" s="743">
        <v>2.0</v>
      </c>
      <c r="AB73" s="744"/>
      <c r="AC73" s="744"/>
      <c r="AD73" s="744"/>
      <c r="AE73" s="745"/>
      <c r="AF73" s="746"/>
      <c r="AG73" s="744"/>
      <c r="AH73" s="744"/>
      <c r="AI73" s="744"/>
      <c r="AJ73" s="747">
        <f t="shared" si="21"/>
        <v>0</v>
      </c>
      <c r="AK73" s="747">
        <f t="shared" si="22"/>
        <v>555555.5556</v>
      </c>
      <c r="AL73" s="747">
        <f t="shared" si="23"/>
        <v>1444444.444</v>
      </c>
      <c r="AM73" s="748">
        <f t="shared" si="24"/>
        <v>0.7222222222</v>
      </c>
      <c r="AN73" s="9"/>
      <c r="AO73" s="9"/>
      <c r="AP73" s="9"/>
      <c r="AQ73" s="9"/>
    </row>
    <row r="74" ht="96.0" customHeight="1" outlineLevel="1">
      <c r="A74" s="1052" t="s">
        <v>101</v>
      </c>
      <c r="B74" s="1034" t="s">
        <v>224</v>
      </c>
      <c r="C74" s="1035" t="s">
        <v>38</v>
      </c>
      <c r="D74" s="1036">
        <v>76600.0</v>
      </c>
      <c r="E74" s="1056" t="s">
        <v>146</v>
      </c>
      <c r="F74" s="1038" t="s">
        <v>225</v>
      </c>
      <c r="G74" s="1020" t="s">
        <v>226</v>
      </c>
      <c r="H74" s="1039" t="s">
        <v>1370</v>
      </c>
      <c r="I74" s="1040" t="b">
        <v>1</v>
      </c>
      <c r="J74" s="1041" t="s">
        <v>7</v>
      </c>
      <c r="K74" s="1042">
        <f t="shared" si="18"/>
        <v>1</v>
      </c>
      <c r="L74" s="1043">
        <f t="shared" si="19"/>
        <v>5000000</v>
      </c>
      <c r="M74" s="1043">
        <f t="shared" si="25"/>
        <v>30000</v>
      </c>
      <c r="N74" s="1043">
        <f t="shared" si="26"/>
        <v>2000</v>
      </c>
      <c r="O74" s="1043">
        <f t="shared" si="27"/>
        <v>166.6666667</v>
      </c>
      <c r="P74" s="1043">
        <f t="shared" si="28"/>
        <v>2500</v>
      </c>
      <c r="Q74" s="1043">
        <f t="shared" si="20"/>
        <v>5000000</v>
      </c>
      <c r="R74" s="1064"/>
      <c r="S74" s="1028" t="s">
        <v>228</v>
      </c>
      <c r="T74" s="1061" t="s">
        <v>222</v>
      </c>
      <c r="U74" s="9"/>
      <c r="V74" s="9"/>
      <c r="W74" s="740"/>
      <c r="X74" s="740"/>
      <c r="Y74" s="741" t="s">
        <v>1371</v>
      </c>
      <c r="Z74" s="742">
        <f>3000000/0.9</f>
        <v>3333333.333</v>
      </c>
      <c r="AA74" s="743">
        <v>0.5</v>
      </c>
      <c r="AB74" s="744">
        <v>20000.0</v>
      </c>
      <c r="AC74" s="744">
        <v>10000.0</v>
      </c>
      <c r="AD74" s="744">
        <v>1000.0</v>
      </c>
      <c r="AE74" s="745">
        <v>1000.0</v>
      </c>
      <c r="AF74" s="746"/>
      <c r="AG74" s="744"/>
      <c r="AH74" s="744"/>
      <c r="AI74" s="744"/>
      <c r="AJ74" s="747">
        <f t="shared" si="21"/>
        <v>70000</v>
      </c>
      <c r="AK74" s="747">
        <f t="shared" si="22"/>
        <v>3403333.333</v>
      </c>
      <c r="AL74" s="747">
        <f t="shared" si="23"/>
        <v>1596666.667</v>
      </c>
      <c r="AM74" s="748">
        <f t="shared" si="24"/>
        <v>0.3193333333</v>
      </c>
      <c r="AN74" s="9"/>
      <c r="AO74" s="9"/>
      <c r="AP74" s="9"/>
      <c r="AQ74" s="9"/>
    </row>
    <row r="75" ht="96.0" customHeight="1" outlineLevel="1">
      <c r="A75" s="1065"/>
      <c r="B75" s="1024"/>
      <c r="C75" s="1024"/>
      <c r="D75" s="1024"/>
      <c r="E75" s="1066"/>
      <c r="F75" s="1024"/>
      <c r="G75" s="1024"/>
      <c r="H75" s="1046" t="s">
        <v>1372</v>
      </c>
      <c r="I75" s="1047" t="b">
        <v>1</v>
      </c>
      <c r="J75" s="1048" t="s">
        <v>47</v>
      </c>
      <c r="K75" s="1049">
        <f t="shared" si="18"/>
        <v>1</v>
      </c>
      <c r="L75" s="1050">
        <f t="shared" si="19"/>
        <v>2000000</v>
      </c>
      <c r="M75" s="1050">
        <v>0.0</v>
      </c>
      <c r="N75" s="1050">
        <v>0.0</v>
      </c>
      <c r="O75" s="1050" t="s">
        <v>81</v>
      </c>
      <c r="P75" s="1050" t="s">
        <v>81</v>
      </c>
      <c r="Q75" s="1050">
        <f t="shared" si="20"/>
        <v>2000000</v>
      </c>
      <c r="R75" s="1064"/>
      <c r="S75" s="1026"/>
      <c r="T75" s="1026"/>
      <c r="U75" s="9"/>
      <c r="V75" s="9"/>
      <c r="W75" s="26"/>
      <c r="X75" s="26"/>
      <c r="Y75" s="741" t="s">
        <v>1373</v>
      </c>
      <c r="Z75" s="742">
        <f>500000/0.9</f>
        <v>555555.5556</v>
      </c>
      <c r="AA75" s="743">
        <v>2.0</v>
      </c>
      <c r="AB75" s="744"/>
      <c r="AC75" s="744"/>
      <c r="AD75" s="744"/>
      <c r="AE75" s="745"/>
      <c r="AF75" s="746"/>
      <c r="AG75" s="744"/>
      <c r="AH75" s="744"/>
      <c r="AI75" s="744"/>
      <c r="AJ75" s="747">
        <f t="shared" si="21"/>
        <v>0</v>
      </c>
      <c r="AK75" s="747">
        <f t="shared" si="22"/>
        <v>555555.5556</v>
      </c>
      <c r="AL75" s="747">
        <f t="shared" si="23"/>
        <v>1444444.444</v>
      </c>
      <c r="AM75" s="748">
        <f t="shared" si="24"/>
        <v>0.7222222222</v>
      </c>
      <c r="AN75" s="9"/>
      <c r="AO75" s="9"/>
      <c r="AP75" s="9"/>
      <c r="AQ75" s="9"/>
    </row>
    <row r="76" ht="96.0" customHeight="1" outlineLevel="1">
      <c r="A76" s="1052" t="s">
        <v>101</v>
      </c>
      <c r="B76" s="1034" t="s">
        <v>230</v>
      </c>
      <c r="C76" s="1035" t="s">
        <v>38</v>
      </c>
      <c r="D76" s="1036">
        <v>62300.0</v>
      </c>
      <c r="E76" s="1056" t="s">
        <v>146</v>
      </c>
      <c r="F76" s="1038" t="s">
        <v>232</v>
      </c>
      <c r="G76" s="1020" t="s">
        <v>226</v>
      </c>
      <c r="H76" s="1039" t="s">
        <v>1374</v>
      </c>
      <c r="I76" s="1040" t="b">
        <v>1</v>
      </c>
      <c r="J76" s="1041" t="s">
        <v>7</v>
      </c>
      <c r="K76" s="1042">
        <f t="shared" si="18"/>
        <v>1</v>
      </c>
      <c r="L76" s="1043">
        <f t="shared" si="19"/>
        <v>4000000</v>
      </c>
      <c r="M76" s="1043">
        <f>(sum(AB76:AC76)+sum(AF76:AG76))*K76</f>
        <v>30000</v>
      </c>
      <c r="N76" s="1043">
        <f>(sum(AD76:AE76)+sum(AH76:AI76))*K76</f>
        <v>2000</v>
      </c>
      <c r="O76" s="1043">
        <f>IFERROR(Q76/M76,"-")</f>
        <v>133.3333333</v>
      </c>
      <c r="P76" s="1043">
        <f>IFERROR(Q76/N76,"-")</f>
        <v>2000</v>
      </c>
      <c r="Q76" s="1043">
        <f t="shared" si="20"/>
        <v>4000000</v>
      </c>
      <c r="R76" s="1064"/>
      <c r="S76" s="1028" t="s">
        <v>234</v>
      </c>
      <c r="T76" s="1061" t="s">
        <v>222</v>
      </c>
      <c r="U76" s="9"/>
      <c r="V76" s="9"/>
      <c r="W76" s="740"/>
      <c r="X76" s="740"/>
      <c r="Y76" s="741" t="s">
        <v>1375</v>
      </c>
      <c r="Z76" s="742">
        <f>2500000/0.9</f>
        <v>2777777.778</v>
      </c>
      <c r="AA76" s="743">
        <v>0.5</v>
      </c>
      <c r="AB76" s="744">
        <v>20000.0</v>
      </c>
      <c r="AC76" s="744">
        <v>10000.0</v>
      </c>
      <c r="AD76" s="744">
        <v>1000.0</v>
      </c>
      <c r="AE76" s="745">
        <v>1000.0</v>
      </c>
      <c r="AF76" s="746"/>
      <c r="AG76" s="744"/>
      <c r="AH76" s="744"/>
      <c r="AI76" s="744"/>
      <c r="AJ76" s="747">
        <f t="shared" si="21"/>
        <v>70000</v>
      </c>
      <c r="AK76" s="747">
        <f t="shared" si="22"/>
        <v>2847777.778</v>
      </c>
      <c r="AL76" s="747">
        <f t="shared" si="23"/>
        <v>1152222.222</v>
      </c>
      <c r="AM76" s="748">
        <f t="shared" si="24"/>
        <v>0.2880555556</v>
      </c>
      <c r="AN76" s="9"/>
      <c r="AO76" s="9"/>
      <c r="AP76" s="9"/>
      <c r="AQ76" s="9"/>
    </row>
    <row r="77" ht="96.0" customHeight="1" outlineLevel="1">
      <c r="A77" s="1065"/>
      <c r="B77" s="1024"/>
      <c r="C77" s="1024"/>
      <c r="D77" s="1024"/>
      <c r="E77" s="1066"/>
      <c r="F77" s="1024"/>
      <c r="G77" s="1024"/>
      <c r="H77" s="1046" t="s">
        <v>1376</v>
      </c>
      <c r="I77" s="1047" t="b">
        <v>1</v>
      </c>
      <c r="J77" s="1048" t="s">
        <v>47</v>
      </c>
      <c r="K77" s="1049">
        <f t="shared" si="18"/>
        <v>1</v>
      </c>
      <c r="L77" s="1050">
        <f t="shared" si="19"/>
        <v>2000000</v>
      </c>
      <c r="M77" s="1050">
        <v>0.0</v>
      </c>
      <c r="N77" s="1050">
        <v>0.0</v>
      </c>
      <c r="O77" s="1050" t="s">
        <v>81</v>
      </c>
      <c r="P77" s="1050" t="s">
        <v>81</v>
      </c>
      <c r="Q77" s="1050">
        <f t="shared" si="20"/>
        <v>2000000</v>
      </c>
      <c r="R77" s="1051"/>
      <c r="S77" s="1026"/>
      <c r="T77" s="1026"/>
      <c r="U77" s="9"/>
      <c r="V77" s="9"/>
      <c r="W77" s="26"/>
      <c r="X77" s="26"/>
      <c r="Y77" s="741" t="s">
        <v>1377</v>
      </c>
      <c r="Z77" s="742">
        <f>500000/0.9</f>
        <v>555555.5556</v>
      </c>
      <c r="AA77" s="743">
        <v>2.0</v>
      </c>
      <c r="AB77" s="744"/>
      <c r="AC77" s="744"/>
      <c r="AD77" s="744"/>
      <c r="AE77" s="745"/>
      <c r="AF77" s="746"/>
      <c r="AG77" s="744"/>
      <c r="AH77" s="744"/>
      <c r="AI77" s="744"/>
      <c r="AJ77" s="747">
        <f t="shared" si="21"/>
        <v>0</v>
      </c>
      <c r="AK77" s="747">
        <f t="shared" si="22"/>
        <v>555555.5556</v>
      </c>
      <c r="AL77" s="747">
        <f t="shared" si="23"/>
        <v>1444444.444</v>
      </c>
      <c r="AM77" s="748">
        <f t="shared" si="24"/>
        <v>0.7222222222</v>
      </c>
      <c r="AN77" s="9"/>
      <c r="AO77" s="9"/>
      <c r="AP77" s="9"/>
      <c r="AQ77" s="9"/>
    </row>
    <row r="78" ht="96.0" customHeight="1" outlineLevel="1">
      <c r="A78" s="1052" t="s">
        <v>101</v>
      </c>
      <c r="B78" s="1062" t="s">
        <v>1378</v>
      </c>
      <c r="C78" s="1054" t="s">
        <v>38</v>
      </c>
      <c r="D78" s="1067" t="s">
        <v>1379</v>
      </c>
      <c r="E78" s="1056" t="s">
        <v>146</v>
      </c>
      <c r="F78" s="1057" t="s">
        <v>1380</v>
      </c>
      <c r="G78" s="1058" t="s">
        <v>41</v>
      </c>
      <c r="H78" s="1059" t="s">
        <v>1381</v>
      </c>
      <c r="I78" s="1047" t="b">
        <v>1</v>
      </c>
      <c r="J78" s="1048" t="s">
        <v>7</v>
      </c>
      <c r="K78" s="1049">
        <f t="shared" si="18"/>
        <v>1</v>
      </c>
      <c r="L78" s="1050">
        <f t="shared" si="19"/>
        <v>5000000</v>
      </c>
      <c r="M78" s="1050">
        <f t="shared" ref="M78:M86" si="29">(sum(AB78:AC78)+sum(AF78:AG78))*K78</f>
        <v>20000</v>
      </c>
      <c r="N78" s="1050">
        <f t="shared" ref="N78:N86" si="30">(sum(AD78:AE78)+sum(AH78:AI78))*K78</f>
        <v>1500</v>
      </c>
      <c r="O78" s="1050">
        <f t="shared" ref="O78:O86" si="31">IFERROR(Q78/M78,"-")</f>
        <v>250</v>
      </c>
      <c r="P78" s="1050">
        <f t="shared" ref="P78:P86" si="32">IFERROR(Q78/N78,"-")</f>
        <v>3333.333333</v>
      </c>
      <c r="Q78" s="1050">
        <f t="shared" si="20"/>
        <v>5000000</v>
      </c>
      <c r="R78" s="1060" t="s">
        <v>1382</v>
      </c>
      <c r="S78" s="1028" t="s">
        <v>1383</v>
      </c>
      <c r="T78" s="1030" t="s">
        <v>87</v>
      </c>
      <c r="U78" s="9"/>
      <c r="V78" s="9"/>
      <c r="W78" s="740"/>
      <c r="X78" s="740"/>
      <c r="Y78" s="741" t="s">
        <v>1384</v>
      </c>
      <c r="Z78" s="742">
        <f>3000000/0.9</f>
        <v>3333333.333</v>
      </c>
      <c r="AA78" s="743">
        <v>0.5</v>
      </c>
      <c r="AB78" s="744">
        <v>10000.0</v>
      </c>
      <c r="AC78" s="744">
        <v>10000.0</v>
      </c>
      <c r="AD78" s="744">
        <v>500.0</v>
      </c>
      <c r="AE78" s="745">
        <v>1000.0</v>
      </c>
      <c r="AF78" s="746"/>
      <c r="AG78" s="744"/>
      <c r="AH78" s="744"/>
      <c r="AI78" s="744"/>
      <c r="AJ78" s="747">
        <f t="shared" si="21"/>
        <v>70000</v>
      </c>
      <c r="AK78" s="747">
        <f t="shared" si="22"/>
        <v>3403333.333</v>
      </c>
      <c r="AL78" s="747">
        <f t="shared" si="23"/>
        <v>1596666.667</v>
      </c>
      <c r="AM78" s="748">
        <f t="shared" si="24"/>
        <v>0.3193333333</v>
      </c>
      <c r="AN78" s="9"/>
      <c r="AO78" s="9"/>
      <c r="AP78" s="9"/>
      <c r="AQ78" s="9"/>
    </row>
    <row r="79" ht="96.0" customHeight="1" outlineLevel="1">
      <c r="A79" s="1045"/>
      <c r="B79" s="1024"/>
      <c r="C79" s="1024"/>
      <c r="D79" s="1024"/>
      <c r="E79" s="1024"/>
      <c r="F79" s="1024"/>
      <c r="G79" s="1024"/>
      <c r="H79" s="1046" t="s">
        <v>1385</v>
      </c>
      <c r="I79" s="1047" t="b">
        <v>1</v>
      </c>
      <c r="J79" s="1048" t="s">
        <v>47</v>
      </c>
      <c r="K79" s="1049">
        <f t="shared" si="18"/>
        <v>1</v>
      </c>
      <c r="L79" s="1050">
        <f t="shared" si="19"/>
        <v>2000000</v>
      </c>
      <c r="M79" s="1050">
        <f t="shared" si="29"/>
        <v>0</v>
      </c>
      <c r="N79" s="1050">
        <f t="shared" si="30"/>
        <v>0</v>
      </c>
      <c r="O79" s="1050" t="str">
        <f t="shared" si="31"/>
        <v>-</v>
      </c>
      <c r="P79" s="1050" t="str">
        <f t="shared" si="32"/>
        <v>-</v>
      </c>
      <c r="Q79" s="1050">
        <f t="shared" si="20"/>
        <v>2000000</v>
      </c>
      <c r="R79" s="1064"/>
      <c r="S79" s="1026"/>
      <c r="T79" s="1026"/>
      <c r="U79" s="87"/>
      <c r="V79" s="87"/>
      <c r="W79" s="26"/>
      <c r="X79" s="26"/>
      <c r="Y79" s="741" t="s">
        <v>1386</v>
      </c>
      <c r="Z79" s="742">
        <f>500000/0.9</f>
        <v>555555.5556</v>
      </c>
      <c r="AA79" s="743">
        <v>2.0</v>
      </c>
      <c r="AB79" s="744"/>
      <c r="AC79" s="744"/>
      <c r="AD79" s="744"/>
      <c r="AE79" s="745"/>
      <c r="AF79" s="746"/>
      <c r="AG79" s="744"/>
      <c r="AH79" s="744"/>
      <c r="AI79" s="744"/>
      <c r="AJ79" s="747">
        <f t="shared" si="21"/>
        <v>0</v>
      </c>
      <c r="AK79" s="747">
        <f t="shared" si="22"/>
        <v>555555.5556</v>
      </c>
      <c r="AL79" s="747">
        <f t="shared" si="23"/>
        <v>1444444.444</v>
      </c>
      <c r="AM79" s="748">
        <f t="shared" si="24"/>
        <v>0.7222222222</v>
      </c>
      <c r="AN79" s="9"/>
      <c r="AO79" s="9"/>
      <c r="AP79" s="9"/>
      <c r="AQ79" s="9"/>
    </row>
    <row r="80" ht="96.0" customHeight="1" outlineLevel="1">
      <c r="A80" s="1052" t="s">
        <v>101</v>
      </c>
      <c r="B80" s="1063" t="s">
        <v>280</v>
      </c>
      <c r="C80" s="1054" t="s">
        <v>38</v>
      </c>
      <c r="D80" s="1055">
        <v>13600.0</v>
      </c>
      <c r="E80" s="1056" t="s">
        <v>146</v>
      </c>
      <c r="F80" s="1057" t="s">
        <v>281</v>
      </c>
      <c r="G80" s="1058" t="s">
        <v>41</v>
      </c>
      <c r="H80" s="1059" t="s">
        <v>1387</v>
      </c>
      <c r="I80" s="1047" t="b">
        <v>1</v>
      </c>
      <c r="J80" s="1048" t="s">
        <v>7</v>
      </c>
      <c r="K80" s="1049">
        <f t="shared" si="18"/>
        <v>1</v>
      </c>
      <c r="L80" s="1050">
        <f t="shared" si="19"/>
        <v>5000000</v>
      </c>
      <c r="M80" s="1050">
        <f t="shared" si="29"/>
        <v>20000</v>
      </c>
      <c r="N80" s="1050">
        <f t="shared" si="30"/>
        <v>1500</v>
      </c>
      <c r="O80" s="1050">
        <f t="shared" si="31"/>
        <v>250</v>
      </c>
      <c r="P80" s="1050">
        <f t="shared" si="32"/>
        <v>3333.333333</v>
      </c>
      <c r="Q80" s="1050">
        <f t="shared" si="20"/>
        <v>5000000</v>
      </c>
      <c r="R80" s="1064"/>
      <c r="S80" s="1028" t="s">
        <v>283</v>
      </c>
      <c r="T80" s="1061" t="s">
        <v>222</v>
      </c>
      <c r="U80" s="9"/>
      <c r="V80" s="9"/>
      <c r="W80" s="740"/>
      <c r="X80" s="740"/>
      <c r="Y80" s="741" t="s">
        <v>1388</v>
      </c>
      <c r="Z80" s="742">
        <f>2800000/0.9</f>
        <v>3111111.111</v>
      </c>
      <c r="AA80" s="743">
        <v>0.5</v>
      </c>
      <c r="AB80" s="744">
        <v>10000.0</v>
      </c>
      <c r="AC80" s="744">
        <v>10000.0</v>
      </c>
      <c r="AD80" s="744">
        <v>500.0</v>
      </c>
      <c r="AE80" s="745">
        <v>1000.0</v>
      </c>
      <c r="AF80" s="746"/>
      <c r="AG80" s="744"/>
      <c r="AH80" s="744"/>
      <c r="AI80" s="744"/>
      <c r="AJ80" s="747">
        <f t="shared" si="21"/>
        <v>70000</v>
      </c>
      <c r="AK80" s="747">
        <f t="shared" si="22"/>
        <v>3181111.111</v>
      </c>
      <c r="AL80" s="747">
        <f t="shared" si="23"/>
        <v>1818888.889</v>
      </c>
      <c r="AM80" s="748">
        <f t="shared" si="24"/>
        <v>0.3637777778</v>
      </c>
      <c r="AN80" s="9"/>
      <c r="AO80" s="9"/>
      <c r="AP80" s="9"/>
      <c r="AQ80" s="9"/>
    </row>
    <row r="81" ht="96.0" customHeight="1" outlineLevel="1">
      <c r="A81" s="1045"/>
      <c r="B81" s="1024"/>
      <c r="C81" s="1024"/>
      <c r="D81" s="1024"/>
      <c r="E81" s="1024"/>
      <c r="F81" s="1024"/>
      <c r="G81" s="1024"/>
      <c r="H81" s="1046" t="s">
        <v>1389</v>
      </c>
      <c r="I81" s="1047" t="b">
        <v>1</v>
      </c>
      <c r="J81" s="1048" t="s">
        <v>47</v>
      </c>
      <c r="K81" s="1049">
        <f t="shared" si="18"/>
        <v>1</v>
      </c>
      <c r="L81" s="1050">
        <f t="shared" si="19"/>
        <v>2000000</v>
      </c>
      <c r="M81" s="1050">
        <f t="shared" si="29"/>
        <v>0</v>
      </c>
      <c r="N81" s="1050">
        <f t="shared" si="30"/>
        <v>0</v>
      </c>
      <c r="O81" s="1050" t="str">
        <f t="shared" si="31"/>
        <v>-</v>
      </c>
      <c r="P81" s="1050" t="str">
        <f t="shared" si="32"/>
        <v>-</v>
      </c>
      <c r="Q81" s="1050">
        <f t="shared" si="20"/>
        <v>2000000</v>
      </c>
      <c r="R81" s="1064"/>
      <c r="S81" s="1026"/>
      <c r="T81" s="1026"/>
      <c r="U81" s="9"/>
      <c r="V81" s="9"/>
      <c r="W81" s="26"/>
      <c r="X81" s="26"/>
      <c r="Y81" s="741" t="s">
        <v>1390</v>
      </c>
      <c r="Z81" s="742">
        <f>500000/0.9</f>
        <v>555555.5556</v>
      </c>
      <c r="AA81" s="743">
        <v>2.0</v>
      </c>
      <c r="AB81" s="744"/>
      <c r="AC81" s="744"/>
      <c r="AD81" s="744"/>
      <c r="AE81" s="745"/>
      <c r="AF81" s="746"/>
      <c r="AG81" s="744"/>
      <c r="AH81" s="744"/>
      <c r="AI81" s="744"/>
      <c r="AJ81" s="747">
        <f t="shared" si="21"/>
        <v>0</v>
      </c>
      <c r="AK81" s="747">
        <f t="shared" si="22"/>
        <v>555555.5556</v>
      </c>
      <c r="AL81" s="747">
        <f t="shared" si="23"/>
        <v>1444444.444</v>
      </c>
      <c r="AM81" s="748">
        <f t="shared" si="24"/>
        <v>0.7222222222</v>
      </c>
      <c r="AN81" s="9"/>
      <c r="AO81" s="9"/>
      <c r="AP81" s="9"/>
      <c r="AQ81" s="9"/>
    </row>
    <row r="82" ht="96.0" customHeight="1" outlineLevel="1">
      <c r="A82" s="1052" t="s">
        <v>101</v>
      </c>
      <c r="B82" s="1053" t="s">
        <v>285</v>
      </c>
      <c r="C82" s="1054" t="s">
        <v>38</v>
      </c>
      <c r="D82" s="1055" t="s">
        <v>286</v>
      </c>
      <c r="E82" s="1056" t="s">
        <v>146</v>
      </c>
      <c r="F82" s="1057" t="s">
        <v>287</v>
      </c>
      <c r="G82" s="1058" t="s">
        <v>275</v>
      </c>
      <c r="H82" s="1059" t="s">
        <v>1391</v>
      </c>
      <c r="I82" s="1047" t="b">
        <v>1</v>
      </c>
      <c r="J82" s="1048" t="s">
        <v>7</v>
      </c>
      <c r="K82" s="1049">
        <f t="shared" si="18"/>
        <v>1</v>
      </c>
      <c r="L82" s="1050">
        <f t="shared" si="19"/>
        <v>5000000</v>
      </c>
      <c r="M82" s="1050">
        <f t="shared" si="29"/>
        <v>10000</v>
      </c>
      <c r="N82" s="1050">
        <f t="shared" si="30"/>
        <v>1000</v>
      </c>
      <c r="O82" s="1050">
        <f t="shared" si="31"/>
        <v>500</v>
      </c>
      <c r="P82" s="1050">
        <f t="shared" si="32"/>
        <v>5000</v>
      </c>
      <c r="Q82" s="1050">
        <f t="shared" si="20"/>
        <v>5000000</v>
      </c>
      <c r="R82" s="1064"/>
      <c r="S82" s="1028" t="s">
        <v>289</v>
      </c>
      <c r="T82" s="1061" t="s">
        <v>222</v>
      </c>
      <c r="U82" s="9"/>
      <c r="V82" s="9"/>
      <c r="W82" s="740"/>
      <c r="X82" s="740"/>
      <c r="Y82" s="741" t="s">
        <v>1392</v>
      </c>
      <c r="Z82" s="742">
        <f>3000000/0.9</f>
        <v>3333333.333</v>
      </c>
      <c r="AA82" s="743">
        <v>0.5</v>
      </c>
      <c r="AB82" s="744">
        <v>5000.0</v>
      </c>
      <c r="AC82" s="744">
        <v>5000.0</v>
      </c>
      <c r="AD82" s="744">
        <v>500.0</v>
      </c>
      <c r="AE82" s="745">
        <v>500.0</v>
      </c>
      <c r="AF82" s="746"/>
      <c r="AG82" s="744"/>
      <c r="AH82" s="744"/>
      <c r="AI82" s="744"/>
      <c r="AJ82" s="747">
        <f t="shared" si="21"/>
        <v>35000</v>
      </c>
      <c r="AK82" s="747">
        <f t="shared" si="22"/>
        <v>3368333.333</v>
      </c>
      <c r="AL82" s="747">
        <f t="shared" si="23"/>
        <v>1631666.667</v>
      </c>
      <c r="AM82" s="748">
        <f t="shared" si="24"/>
        <v>0.3263333333</v>
      </c>
      <c r="AN82" s="9"/>
      <c r="AO82" s="9"/>
      <c r="AP82" s="9"/>
      <c r="AQ82" s="9"/>
    </row>
    <row r="83" ht="96.0" customHeight="1" outlineLevel="1">
      <c r="A83" s="1045"/>
      <c r="B83" s="1024"/>
      <c r="C83" s="1024"/>
      <c r="D83" s="1024"/>
      <c r="E83" s="1024"/>
      <c r="F83" s="1024"/>
      <c r="G83" s="1024"/>
      <c r="H83" s="1046" t="s">
        <v>1393</v>
      </c>
      <c r="I83" s="1047" t="b">
        <v>1</v>
      </c>
      <c r="J83" s="1048" t="s">
        <v>47</v>
      </c>
      <c r="K83" s="1049">
        <f t="shared" si="18"/>
        <v>1</v>
      </c>
      <c r="L83" s="1050">
        <f t="shared" si="19"/>
        <v>2000000</v>
      </c>
      <c r="M83" s="1050">
        <f t="shared" si="29"/>
        <v>0</v>
      </c>
      <c r="N83" s="1050">
        <f t="shared" si="30"/>
        <v>0</v>
      </c>
      <c r="O83" s="1050" t="str">
        <f t="shared" si="31"/>
        <v>-</v>
      </c>
      <c r="P83" s="1050" t="str">
        <f t="shared" si="32"/>
        <v>-</v>
      </c>
      <c r="Q83" s="1050">
        <f t="shared" si="20"/>
        <v>2000000</v>
      </c>
      <c r="R83" s="1064"/>
      <c r="S83" s="1026"/>
      <c r="T83" s="1026"/>
      <c r="U83" s="9"/>
      <c r="V83" s="9"/>
      <c r="W83" s="26"/>
      <c r="X83" s="26"/>
      <c r="Y83" s="741" t="s">
        <v>1394</v>
      </c>
      <c r="Z83" s="742">
        <f>500000/0.9</f>
        <v>555555.5556</v>
      </c>
      <c r="AA83" s="743">
        <v>2.0</v>
      </c>
      <c r="AB83" s="744"/>
      <c r="AC83" s="744"/>
      <c r="AD83" s="744"/>
      <c r="AE83" s="745"/>
      <c r="AF83" s="746"/>
      <c r="AG83" s="744"/>
      <c r="AH83" s="744"/>
      <c r="AI83" s="744"/>
      <c r="AJ83" s="747">
        <f t="shared" si="21"/>
        <v>0</v>
      </c>
      <c r="AK83" s="747">
        <f t="shared" si="22"/>
        <v>555555.5556</v>
      </c>
      <c r="AL83" s="747">
        <f t="shared" si="23"/>
        <v>1444444.444</v>
      </c>
      <c r="AM83" s="748">
        <f t="shared" si="24"/>
        <v>0.7222222222</v>
      </c>
      <c r="AN83" s="9"/>
      <c r="AO83" s="9"/>
      <c r="AP83" s="9"/>
      <c r="AQ83" s="9"/>
    </row>
    <row r="84" ht="96.0" customHeight="1" outlineLevel="1">
      <c r="A84" s="1052" t="s">
        <v>101</v>
      </c>
      <c r="B84" s="1063" t="s">
        <v>272</v>
      </c>
      <c r="C84" s="1054" t="s">
        <v>38</v>
      </c>
      <c r="D84" s="1055" t="s">
        <v>273</v>
      </c>
      <c r="E84" s="1056" t="s">
        <v>146</v>
      </c>
      <c r="F84" s="1057" t="s">
        <v>274</v>
      </c>
      <c r="G84" s="1058" t="s">
        <v>275</v>
      </c>
      <c r="H84" s="1059" t="s">
        <v>1395</v>
      </c>
      <c r="I84" s="1047" t="b">
        <v>1</v>
      </c>
      <c r="J84" s="1048" t="s">
        <v>7</v>
      </c>
      <c r="K84" s="1049">
        <f t="shared" si="18"/>
        <v>1</v>
      </c>
      <c r="L84" s="1050">
        <f t="shared" si="19"/>
        <v>5000000</v>
      </c>
      <c r="M84" s="1050">
        <f t="shared" si="29"/>
        <v>40000</v>
      </c>
      <c r="N84" s="1050">
        <f t="shared" si="30"/>
        <v>2000</v>
      </c>
      <c r="O84" s="1050">
        <f t="shared" si="31"/>
        <v>125</v>
      </c>
      <c r="P84" s="1050">
        <f t="shared" si="32"/>
        <v>2500</v>
      </c>
      <c r="Q84" s="1050">
        <f t="shared" si="20"/>
        <v>5000000</v>
      </c>
      <c r="R84" s="1064"/>
      <c r="S84" s="1028" t="s">
        <v>278</v>
      </c>
      <c r="T84" s="1029" t="s">
        <v>45</v>
      </c>
      <c r="U84" s="9"/>
      <c r="V84" s="9"/>
      <c r="W84" s="740"/>
      <c r="X84" s="740"/>
      <c r="Y84" s="741" t="s">
        <v>1396</v>
      </c>
      <c r="Z84" s="742">
        <f>2800000/0.9</f>
        <v>3111111.111</v>
      </c>
      <c r="AA84" s="743">
        <v>0.5</v>
      </c>
      <c r="AB84" s="744">
        <v>20000.0</v>
      </c>
      <c r="AC84" s="744">
        <v>20000.0</v>
      </c>
      <c r="AD84" s="744">
        <v>1000.0</v>
      </c>
      <c r="AE84" s="745">
        <v>1000.0</v>
      </c>
      <c r="AF84" s="746"/>
      <c r="AG84" s="744"/>
      <c r="AH84" s="744"/>
      <c r="AI84" s="744"/>
      <c r="AJ84" s="747">
        <f t="shared" si="21"/>
        <v>90000</v>
      </c>
      <c r="AK84" s="747">
        <f t="shared" si="22"/>
        <v>3201111.111</v>
      </c>
      <c r="AL84" s="747">
        <f t="shared" si="23"/>
        <v>1798888.889</v>
      </c>
      <c r="AM84" s="748">
        <f t="shared" si="24"/>
        <v>0.3597777778</v>
      </c>
      <c r="AN84" s="9"/>
      <c r="AO84" s="9"/>
      <c r="AP84" s="9"/>
      <c r="AQ84" s="9"/>
    </row>
    <row r="85" ht="96.0" customHeight="1" outlineLevel="1">
      <c r="A85" s="1065"/>
      <c r="B85" s="1066"/>
      <c r="C85" s="1068"/>
      <c r="D85" s="1066"/>
      <c r="E85" s="1066"/>
      <c r="F85" s="1068"/>
      <c r="G85" s="1069"/>
      <c r="H85" s="1070" t="s">
        <v>1397</v>
      </c>
      <c r="I85" s="1071" t="b">
        <v>1</v>
      </c>
      <c r="J85" s="1072" t="s">
        <v>47</v>
      </c>
      <c r="K85" s="1073">
        <f t="shared" si="18"/>
        <v>1</v>
      </c>
      <c r="L85" s="1074">
        <f t="shared" si="19"/>
        <v>2000000</v>
      </c>
      <c r="M85" s="1074">
        <f t="shared" si="29"/>
        <v>0</v>
      </c>
      <c r="N85" s="1074">
        <f t="shared" si="30"/>
        <v>0</v>
      </c>
      <c r="O85" s="1074" t="str">
        <f t="shared" si="31"/>
        <v>-</v>
      </c>
      <c r="P85" s="1074" t="str">
        <f t="shared" si="32"/>
        <v>-</v>
      </c>
      <c r="Q85" s="1074">
        <f t="shared" si="20"/>
        <v>2000000</v>
      </c>
      <c r="R85" s="1051"/>
      <c r="S85" s="1026"/>
      <c r="T85" s="1027"/>
      <c r="U85" s="9"/>
      <c r="V85" s="9"/>
      <c r="W85" s="26"/>
      <c r="X85" s="26"/>
      <c r="Y85" s="741" t="s">
        <v>1398</v>
      </c>
      <c r="Z85" s="742">
        <f>500000/0.9</f>
        <v>555555.5556</v>
      </c>
      <c r="AA85" s="743">
        <v>2.0</v>
      </c>
      <c r="AB85" s="744"/>
      <c r="AC85" s="744"/>
      <c r="AD85" s="744"/>
      <c r="AE85" s="745"/>
      <c r="AF85" s="746"/>
      <c r="AG85" s="744"/>
      <c r="AH85" s="744"/>
      <c r="AI85" s="744"/>
      <c r="AJ85" s="747">
        <f t="shared" si="21"/>
        <v>0</v>
      </c>
      <c r="AK85" s="747">
        <f t="shared" si="22"/>
        <v>555555.5556</v>
      </c>
      <c r="AL85" s="747">
        <f t="shared" si="23"/>
        <v>1444444.444</v>
      </c>
      <c r="AM85" s="748">
        <f t="shared" si="24"/>
        <v>0.7222222222</v>
      </c>
      <c r="AN85" s="9"/>
      <c r="AO85" s="9"/>
      <c r="AP85" s="9"/>
      <c r="AQ85" s="9"/>
    </row>
    <row r="86" ht="96.0" customHeight="1" outlineLevel="1">
      <c r="A86" s="1052" t="s">
        <v>101</v>
      </c>
      <c r="B86" s="1034" t="s">
        <v>306</v>
      </c>
      <c r="C86" s="1035" t="s">
        <v>38</v>
      </c>
      <c r="D86" s="1036">
        <v>129000.0</v>
      </c>
      <c r="E86" s="1056" t="s">
        <v>40</v>
      </c>
      <c r="F86" s="1038" t="s">
        <v>307</v>
      </c>
      <c r="G86" s="1020" t="s">
        <v>308</v>
      </c>
      <c r="H86" s="1039" t="s">
        <v>1399</v>
      </c>
      <c r="I86" s="1040" t="b">
        <v>1</v>
      </c>
      <c r="J86" s="1041" t="s">
        <v>7</v>
      </c>
      <c r="K86" s="1042">
        <f t="shared" si="18"/>
        <v>1</v>
      </c>
      <c r="L86" s="1043">
        <f t="shared" si="19"/>
        <v>6000000</v>
      </c>
      <c r="M86" s="1043">
        <f t="shared" si="29"/>
        <v>30000</v>
      </c>
      <c r="N86" s="1043">
        <f t="shared" si="30"/>
        <v>2000</v>
      </c>
      <c r="O86" s="1043">
        <f t="shared" si="31"/>
        <v>200</v>
      </c>
      <c r="P86" s="1043">
        <f t="shared" si="32"/>
        <v>3000</v>
      </c>
      <c r="Q86" s="1043">
        <f t="shared" si="20"/>
        <v>6000000</v>
      </c>
      <c r="R86" s="1060" t="s">
        <v>1400</v>
      </c>
      <c r="S86" s="1028" t="s">
        <v>310</v>
      </c>
      <c r="T86" s="1061" t="s">
        <v>222</v>
      </c>
      <c r="U86" s="9"/>
      <c r="V86" s="9"/>
      <c r="W86" s="740"/>
      <c r="X86" s="740"/>
      <c r="Y86" s="741" t="s">
        <v>1401</v>
      </c>
      <c r="Z86" s="742">
        <f>3500000/0.9</f>
        <v>3888888.889</v>
      </c>
      <c r="AA86" s="743">
        <v>0.5</v>
      </c>
      <c r="AB86" s="744">
        <v>20000.0</v>
      </c>
      <c r="AC86" s="744">
        <v>10000.0</v>
      </c>
      <c r="AD86" s="744">
        <v>1000.0</v>
      </c>
      <c r="AE86" s="745">
        <v>1000.0</v>
      </c>
      <c r="AF86" s="746"/>
      <c r="AG86" s="744"/>
      <c r="AH86" s="744"/>
      <c r="AI86" s="744"/>
      <c r="AJ86" s="747">
        <f t="shared" si="21"/>
        <v>70000</v>
      </c>
      <c r="AK86" s="747">
        <f t="shared" si="22"/>
        <v>3958888.889</v>
      </c>
      <c r="AL86" s="747">
        <f t="shared" si="23"/>
        <v>2041111.111</v>
      </c>
      <c r="AM86" s="748">
        <f t="shared" si="24"/>
        <v>0.3401851852</v>
      </c>
      <c r="AN86" s="9"/>
      <c r="AO86" s="9"/>
      <c r="AP86" s="9"/>
      <c r="AQ86" s="9"/>
    </row>
    <row r="87" ht="96.0" customHeight="1" outlineLevel="1">
      <c r="A87" s="1065"/>
      <c r="B87" s="1024"/>
      <c r="C87" s="1024"/>
      <c r="D87" s="1024"/>
      <c r="E87" s="1066"/>
      <c r="F87" s="1024"/>
      <c r="G87" s="1024"/>
      <c r="H87" s="1046" t="s">
        <v>1402</v>
      </c>
      <c r="I87" s="1047" t="b">
        <v>1</v>
      </c>
      <c r="J87" s="1048" t="s">
        <v>47</v>
      </c>
      <c r="K87" s="1049">
        <f t="shared" si="18"/>
        <v>1</v>
      </c>
      <c r="L87" s="1050">
        <f t="shared" si="19"/>
        <v>2000000</v>
      </c>
      <c r="M87" s="1050">
        <v>0.0</v>
      </c>
      <c r="N87" s="1050">
        <v>0.0</v>
      </c>
      <c r="O87" s="1050" t="s">
        <v>81</v>
      </c>
      <c r="P87" s="1050" t="s">
        <v>81</v>
      </c>
      <c r="Q87" s="1050">
        <f t="shared" si="20"/>
        <v>2000000</v>
      </c>
      <c r="R87" s="1064"/>
      <c r="S87" s="1026"/>
      <c r="T87" s="1026"/>
      <c r="U87" s="9"/>
      <c r="V87" s="9"/>
      <c r="W87" s="26"/>
      <c r="X87" s="26"/>
      <c r="Y87" s="741" t="s">
        <v>1403</v>
      </c>
      <c r="Z87" s="742">
        <f>500000/0.9</f>
        <v>555555.5556</v>
      </c>
      <c r="AA87" s="743">
        <v>2.0</v>
      </c>
      <c r="AB87" s="744"/>
      <c r="AC87" s="744"/>
      <c r="AD87" s="744"/>
      <c r="AE87" s="745"/>
      <c r="AF87" s="746"/>
      <c r="AG87" s="744"/>
      <c r="AH87" s="744"/>
      <c r="AI87" s="744"/>
      <c r="AJ87" s="747">
        <f t="shared" si="21"/>
        <v>0</v>
      </c>
      <c r="AK87" s="747">
        <f t="shared" si="22"/>
        <v>555555.5556</v>
      </c>
      <c r="AL87" s="747">
        <f t="shared" si="23"/>
        <v>1444444.444</v>
      </c>
      <c r="AM87" s="748">
        <f t="shared" si="24"/>
        <v>0.7222222222</v>
      </c>
      <c r="AN87" s="9"/>
      <c r="AO87" s="9"/>
      <c r="AP87" s="9"/>
      <c r="AQ87" s="9"/>
    </row>
    <row r="88" ht="96.0" customHeight="1" outlineLevel="1">
      <c r="A88" s="1052" t="s">
        <v>101</v>
      </c>
      <c r="B88" s="1034" t="s">
        <v>298</v>
      </c>
      <c r="C88" s="1035" t="s">
        <v>38</v>
      </c>
      <c r="D88" s="1036">
        <v>270000.0</v>
      </c>
      <c r="E88" s="1056" t="s">
        <v>40</v>
      </c>
      <c r="F88" s="1075" t="s">
        <v>299</v>
      </c>
      <c r="G88" s="1020" t="s">
        <v>300</v>
      </c>
      <c r="H88" s="1039" t="s">
        <v>1404</v>
      </c>
      <c r="I88" s="1040" t="b">
        <v>1</v>
      </c>
      <c r="J88" s="1041" t="s">
        <v>7</v>
      </c>
      <c r="K88" s="1042">
        <f t="shared" si="18"/>
        <v>1</v>
      </c>
      <c r="L88" s="1043">
        <f t="shared" si="19"/>
        <v>6000000</v>
      </c>
      <c r="M88" s="1043">
        <f>(sum(AB88:AC88)+sum(AF88:AG88))*K88</f>
        <v>30000</v>
      </c>
      <c r="N88" s="1043">
        <f>(sum(AD88:AE88)+sum(AH88:AI88))*K88</f>
        <v>2000</v>
      </c>
      <c r="O88" s="1043">
        <f>IFERROR(Q88/M88,"-")</f>
        <v>200</v>
      </c>
      <c r="P88" s="1043">
        <f>IFERROR(Q88/N88,"-")</f>
        <v>3000</v>
      </c>
      <c r="Q88" s="1043">
        <f t="shared" si="20"/>
        <v>6000000</v>
      </c>
      <c r="R88" s="1064"/>
      <c r="S88" s="1028" t="s">
        <v>303</v>
      </c>
      <c r="T88" s="1029" t="s">
        <v>45</v>
      </c>
      <c r="U88" s="9"/>
      <c r="V88" s="9"/>
      <c r="W88" s="740"/>
      <c r="X88" s="740"/>
      <c r="Y88" s="741" t="s">
        <v>1405</v>
      </c>
      <c r="Z88" s="742">
        <f>3500000/0.9</f>
        <v>3888888.889</v>
      </c>
      <c r="AA88" s="743">
        <v>0.5</v>
      </c>
      <c r="AB88" s="744">
        <v>20000.0</v>
      </c>
      <c r="AC88" s="744">
        <v>10000.0</v>
      </c>
      <c r="AD88" s="744">
        <v>1000.0</v>
      </c>
      <c r="AE88" s="745">
        <v>1000.0</v>
      </c>
      <c r="AF88" s="746"/>
      <c r="AG88" s="744"/>
      <c r="AH88" s="744"/>
      <c r="AI88" s="744"/>
      <c r="AJ88" s="747">
        <f t="shared" si="21"/>
        <v>70000</v>
      </c>
      <c r="AK88" s="747">
        <f t="shared" si="22"/>
        <v>3958888.889</v>
      </c>
      <c r="AL88" s="747">
        <f t="shared" si="23"/>
        <v>2041111.111</v>
      </c>
      <c r="AM88" s="748">
        <f t="shared" si="24"/>
        <v>0.3401851852</v>
      </c>
      <c r="AN88" s="9"/>
      <c r="AO88" s="9"/>
      <c r="AP88" s="9"/>
      <c r="AQ88" s="9"/>
    </row>
    <row r="89" ht="96.0" customHeight="1" outlineLevel="1">
      <c r="A89" s="1065"/>
      <c r="B89" s="1024"/>
      <c r="C89" s="1024"/>
      <c r="D89" s="1024"/>
      <c r="E89" s="1066"/>
      <c r="F89" s="1024"/>
      <c r="G89" s="1024"/>
      <c r="H89" s="1046" t="s">
        <v>1406</v>
      </c>
      <c r="I89" s="1047" t="b">
        <v>1</v>
      </c>
      <c r="J89" s="1048" t="s">
        <v>47</v>
      </c>
      <c r="K89" s="1049">
        <f t="shared" si="18"/>
        <v>1</v>
      </c>
      <c r="L89" s="1050">
        <f t="shared" si="19"/>
        <v>2000000</v>
      </c>
      <c r="M89" s="1050">
        <v>0.0</v>
      </c>
      <c r="N89" s="1050">
        <v>0.0</v>
      </c>
      <c r="O89" s="1050" t="s">
        <v>81</v>
      </c>
      <c r="P89" s="1050" t="s">
        <v>81</v>
      </c>
      <c r="Q89" s="1050">
        <f t="shared" si="20"/>
        <v>2000000</v>
      </c>
      <c r="R89" s="1064"/>
      <c r="S89" s="1026"/>
      <c r="T89" s="1027"/>
      <c r="U89" s="9"/>
      <c r="V89" s="9"/>
      <c r="W89" s="26"/>
      <c r="X89" s="26"/>
      <c r="Y89" s="741" t="s">
        <v>1407</v>
      </c>
      <c r="Z89" s="742">
        <f>500000/0.9</f>
        <v>555555.5556</v>
      </c>
      <c r="AA89" s="743">
        <v>2.0</v>
      </c>
      <c r="AB89" s="744"/>
      <c r="AC89" s="744"/>
      <c r="AD89" s="744"/>
      <c r="AE89" s="745"/>
      <c r="AF89" s="746"/>
      <c r="AG89" s="744"/>
      <c r="AH89" s="744"/>
      <c r="AI89" s="744"/>
      <c r="AJ89" s="747">
        <f t="shared" si="21"/>
        <v>0</v>
      </c>
      <c r="AK89" s="747">
        <f t="shared" si="22"/>
        <v>555555.5556</v>
      </c>
      <c r="AL89" s="747">
        <f t="shared" si="23"/>
        <v>1444444.444</v>
      </c>
      <c r="AM89" s="748">
        <f t="shared" si="24"/>
        <v>0.7222222222</v>
      </c>
      <c r="AN89" s="9"/>
      <c r="AO89" s="9"/>
      <c r="AP89" s="9"/>
      <c r="AQ89" s="9"/>
    </row>
    <row r="90" ht="96.0" customHeight="1" outlineLevel="1">
      <c r="A90" s="1052" t="s">
        <v>101</v>
      </c>
      <c r="B90" s="1034" t="s">
        <v>1408</v>
      </c>
      <c r="C90" s="1035" t="s">
        <v>38</v>
      </c>
      <c r="D90" s="1036">
        <v>130000.0</v>
      </c>
      <c r="E90" s="1056" t="s">
        <v>40</v>
      </c>
      <c r="F90" s="1038" t="s">
        <v>1409</v>
      </c>
      <c r="G90" s="1020" t="s">
        <v>315</v>
      </c>
      <c r="H90" s="1039" t="s">
        <v>1410</v>
      </c>
      <c r="I90" s="1040" t="b">
        <v>1</v>
      </c>
      <c r="J90" s="1041" t="s">
        <v>7</v>
      </c>
      <c r="K90" s="1042">
        <f t="shared" si="18"/>
        <v>1</v>
      </c>
      <c r="L90" s="1043">
        <f t="shared" si="19"/>
        <v>5000000</v>
      </c>
      <c r="M90" s="1043">
        <f>(sum(AB90:AC90)+sum(AF90:AG90))*K90</f>
        <v>30000</v>
      </c>
      <c r="N90" s="1043">
        <f>(sum(AD90:AE90)+sum(AH90:AI90))*K90</f>
        <v>2000</v>
      </c>
      <c r="O90" s="1043">
        <f>IFERROR(Q90/M90,"-")</f>
        <v>166.6666667</v>
      </c>
      <c r="P90" s="1043">
        <f>IFERROR(Q90/N90,"-")</f>
        <v>2500</v>
      </c>
      <c r="Q90" s="1043">
        <f t="shared" si="20"/>
        <v>5000000</v>
      </c>
      <c r="R90" s="1064"/>
      <c r="S90" s="1028" t="s">
        <v>1411</v>
      </c>
      <c r="T90" s="1030" t="s">
        <v>87</v>
      </c>
      <c r="U90" s="9"/>
      <c r="V90" s="9"/>
      <c r="W90" s="740"/>
      <c r="X90" s="740"/>
      <c r="Y90" s="741" t="s">
        <v>1412</v>
      </c>
      <c r="Z90" s="742">
        <f>2800000/0.9</f>
        <v>3111111.111</v>
      </c>
      <c r="AA90" s="743">
        <v>0.5</v>
      </c>
      <c r="AB90" s="744">
        <v>20000.0</v>
      </c>
      <c r="AC90" s="744">
        <v>10000.0</v>
      </c>
      <c r="AD90" s="744">
        <v>1000.0</v>
      </c>
      <c r="AE90" s="745">
        <v>1000.0</v>
      </c>
      <c r="AF90" s="746"/>
      <c r="AG90" s="744"/>
      <c r="AH90" s="744"/>
      <c r="AI90" s="744"/>
      <c r="AJ90" s="747">
        <f t="shared" si="21"/>
        <v>70000</v>
      </c>
      <c r="AK90" s="747">
        <f t="shared" si="22"/>
        <v>3181111.111</v>
      </c>
      <c r="AL90" s="747">
        <f t="shared" si="23"/>
        <v>1818888.889</v>
      </c>
      <c r="AM90" s="748">
        <f t="shared" si="24"/>
        <v>0.3637777778</v>
      </c>
      <c r="AN90" s="9"/>
      <c r="AO90" s="9"/>
      <c r="AP90" s="9"/>
      <c r="AQ90" s="9"/>
    </row>
    <row r="91" ht="96.0" customHeight="1" outlineLevel="1">
      <c r="A91" s="1065"/>
      <c r="B91" s="1024"/>
      <c r="C91" s="1024"/>
      <c r="D91" s="1024"/>
      <c r="E91" s="1066"/>
      <c r="F91" s="1024"/>
      <c r="G91" s="1024"/>
      <c r="H91" s="1046" t="s">
        <v>1413</v>
      </c>
      <c r="I91" s="1047" t="b">
        <v>1</v>
      </c>
      <c r="J91" s="1048" t="s">
        <v>47</v>
      </c>
      <c r="K91" s="1049">
        <f t="shared" si="18"/>
        <v>1</v>
      </c>
      <c r="L91" s="1050">
        <f t="shared" si="19"/>
        <v>2000000</v>
      </c>
      <c r="M91" s="1050">
        <v>0.0</v>
      </c>
      <c r="N91" s="1050">
        <v>0.0</v>
      </c>
      <c r="O91" s="1050" t="s">
        <v>81</v>
      </c>
      <c r="P91" s="1050" t="s">
        <v>81</v>
      </c>
      <c r="Q91" s="1050">
        <f t="shared" si="20"/>
        <v>2000000</v>
      </c>
      <c r="R91" s="1051"/>
      <c r="S91" s="1026"/>
      <c r="T91" s="1026"/>
      <c r="U91" s="9"/>
      <c r="V91" s="9"/>
      <c r="W91" s="26"/>
      <c r="X91" s="26"/>
      <c r="Y91" s="741" t="s">
        <v>1414</v>
      </c>
      <c r="Z91" s="742">
        <f>500000/0.9</f>
        <v>555555.5556</v>
      </c>
      <c r="AA91" s="743">
        <v>2.0</v>
      </c>
      <c r="AB91" s="744"/>
      <c r="AC91" s="744"/>
      <c r="AD91" s="744"/>
      <c r="AE91" s="745"/>
      <c r="AF91" s="746"/>
      <c r="AG91" s="744"/>
      <c r="AH91" s="744"/>
      <c r="AI91" s="744"/>
      <c r="AJ91" s="747">
        <f t="shared" si="21"/>
        <v>0</v>
      </c>
      <c r="AK91" s="747">
        <f t="shared" si="22"/>
        <v>555555.5556</v>
      </c>
      <c r="AL91" s="747">
        <f t="shared" si="23"/>
        <v>1444444.444</v>
      </c>
      <c r="AM91" s="748">
        <f t="shared" si="24"/>
        <v>0.7222222222</v>
      </c>
      <c r="AN91" s="9"/>
      <c r="AO91" s="9"/>
      <c r="AP91" s="9"/>
      <c r="AQ91" s="9"/>
    </row>
    <row r="92" ht="34.5" customHeight="1">
      <c r="A92" s="975" t="s">
        <v>318</v>
      </c>
      <c r="B92" s="971"/>
      <c r="C92" s="978"/>
      <c r="D92" s="978"/>
      <c r="E92" s="978"/>
      <c r="F92" s="978"/>
      <c r="G92" s="1076"/>
      <c r="H92" s="978"/>
      <c r="I92" s="907"/>
      <c r="J92" s="908" t="s">
        <v>10</v>
      </c>
      <c r="K92" s="909">
        <f>SUMIFS(K94:K103,J94:J103,"Photo Post")</f>
        <v>5</v>
      </c>
      <c r="L92" s="910"/>
      <c r="M92" s="911">
        <f t="shared" ref="M92:N92" si="33">sum(M94:M103)</f>
        <v>320000</v>
      </c>
      <c r="N92" s="911">
        <f t="shared" si="33"/>
        <v>23500</v>
      </c>
      <c r="O92" s="910"/>
      <c r="P92" s="910"/>
      <c r="Q92" s="911">
        <f>sum(Q94:Q103)</f>
        <v>216000000</v>
      </c>
      <c r="R92" s="1031"/>
      <c r="S92" s="1031"/>
      <c r="T92" s="1031"/>
      <c r="U92" s="69"/>
      <c r="V92" s="69"/>
      <c r="W92" s="717"/>
      <c r="X92" s="717"/>
      <c r="Y92" s="9"/>
      <c r="Z92" s="719"/>
      <c r="AA92" s="720"/>
      <c r="AB92" s="721"/>
      <c r="AC92" s="721"/>
      <c r="AD92" s="721"/>
      <c r="AE92" s="722"/>
      <c r="AF92" s="723"/>
      <c r="AG92" s="721"/>
      <c r="AH92" s="721"/>
      <c r="AI92" s="721"/>
      <c r="AJ92" s="724"/>
      <c r="AK92" s="724"/>
      <c r="AL92" s="724"/>
      <c r="AM92" s="725"/>
      <c r="AN92" s="9"/>
      <c r="AO92" s="9"/>
      <c r="AP92" s="9"/>
      <c r="AQ92" s="9"/>
    </row>
    <row r="93" ht="34.5" customHeight="1">
      <c r="A93" s="914"/>
      <c r="B93" s="915"/>
      <c r="C93" s="920"/>
      <c r="D93" s="920"/>
      <c r="E93" s="920"/>
      <c r="F93" s="920"/>
      <c r="G93" s="920"/>
      <c r="H93" s="920"/>
      <c r="I93" s="921"/>
      <c r="J93" s="922" t="s">
        <v>7</v>
      </c>
      <c r="K93" s="923">
        <f>SUMIFS(K94:K103,J94:J103,"Video Post")</f>
        <v>5</v>
      </c>
      <c r="L93" s="924"/>
      <c r="M93" s="925"/>
      <c r="N93" s="925"/>
      <c r="O93" s="924"/>
      <c r="P93" s="924"/>
      <c r="Q93" s="925"/>
      <c r="R93" s="1032"/>
      <c r="S93" s="1032"/>
      <c r="T93" s="1032"/>
      <c r="U93" s="69"/>
      <c r="V93" s="69"/>
      <c r="W93" s="717"/>
      <c r="X93" s="717"/>
      <c r="Y93" s="718"/>
      <c r="Z93" s="719"/>
      <c r="AA93" s="720"/>
      <c r="AB93" s="721"/>
      <c r="AC93" s="721"/>
      <c r="AD93" s="721"/>
      <c r="AE93" s="722"/>
      <c r="AF93" s="723"/>
      <c r="AG93" s="721"/>
      <c r="AH93" s="721"/>
      <c r="AI93" s="721"/>
      <c r="AJ93" s="724"/>
      <c r="AK93" s="724"/>
      <c r="AL93" s="724"/>
      <c r="AM93" s="725"/>
      <c r="AN93" s="9"/>
      <c r="AO93" s="9"/>
      <c r="AP93" s="9"/>
      <c r="AQ93" s="9"/>
    </row>
    <row r="94" ht="151.5" customHeight="1" outlineLevel="1">
      <c r="A94" s="979">
        <v>1.0</v>
      </c>
      <c r="B94" s="980" t="s">
        <v>319</v>
      </c>
      <c r="C94" s="981" t="s">
        <v>320</v>
      </c>
      <c r="D94" s="982" t="s">
        <v>321</v>
      </c>
      <c r="E94" s="983" t="s">
        <v>118</v>
      </c>
      <c r="F94" s="984" t="s">
        <v>21</v>
      </c>
      <c r="G94" s="1020" t="s">
        <v>322</v>
      </c>
      <c r="H94" s="985" t="s">
        <v>323</v>
      </c>
      <c r="I94" s="966" t="b">
        <v>1</v>
      </c>
      <c r="J94" s="967" t="s">
        <v>10</v>
      </c>
      <c r="K94" s="968">
        <f t="shared" ref="K94:K103" si="34">if(I94=True,1,if(I94=False,0))</f>
        <v>1</v>
      </c>
      <c r="L94" s="969">
        <f t="shared" ref="L94:L103" si="35">round(Z94*(1+AA94),-6)</f>
        <v>32000000</v>
      </c>
      <c r="M94" s="969">
        <f t="shared" ref="M94:M103" si="36">(sum(AB94:AC94)+sum(AF94:AG94))*K94</f>
        <v>0</v>
      </c>
      <c r="N94" s="969">
        <f t="shared" ref="N94:N103" si="37">(sum(AD94:AE94)+sum(AH94:AI94))*K94</f>
        <v>3000</v>
      </c>
      <c r="O94" s="969" t="str">
        <f t="shared" ref="O94:O103" si="38">IFERROR(Q94/M94,"-")</f>
        <v>-</v>
      </c>
      <c r="P94" s="969">
        <f t="shared" ref="P94:P103" si="39">IFERROR(Q94/N94,"-")</f>
        <v>10666.66667</v>
      </c>
      <c r="Q94" s="969">
        <f t="shared" ref="Q94:Q103" si="40">iferror(L94*K94,"-")</f>
        <v>32000000</v>
      </c>
      <c r="R94" s="1077" t="s">
        <v>1415</v>
      </c>
      <c r="S94" s="1078"/>
      <c r="T94" s="1079" t="s">
        <v>45</v>
      </c>
      <c r="U94" s="168"/>
      <c r="V94" s="168"/>
      <c r="W94" s="798"/>
      <c r="X94" s="798"/>
      <c r="Y94" s="799" t="s">
        <v>1017</v>
      </c>
      <c r="Z94" s="800">
        <f>14500000/0.9</f>
        <v>16111111.11</v>
      </c>
      <c r="AA94" s="743">
        <v>1.0</v>
      </c>
      <c r="AB94" s="801"/>
      <c r="AC94" s="801"/>
      <c r="AD94" s="801"/>
      <c r="AE94" s="802"/>
      <c r="AF94" s="803"/>
      <c r="AG94" s="801"/>
      <c r="AH94" s="744">
        <v>3000.0</v>
      </c>
      <c r="AI94" s="801"/>
      <c r="AJ94" s="804">
        <f>(AC94*2+AE94*50+AG94*10+AI94*50)*K94</f>
        <v>0</v>
      </c>
      <c r="AK94" s="804">
        <f t="shared" ref="AK94:AK103" si="41">sum(Z94,AJ94)*K94</f>
        <v>16111111.11</v>
      </c>
      <c r="AL94" s="804">
        <f t="shared" ref="AL94:AL103" si="42">iferror(Q94-AK94,"-")</f>
        <v>15888888.89</v>
      </c>
      <c r="AM94" s="805">
        <f t="shared" ref="AM94:AM103" si="43">iferror(AL94/Q94,"-")</f>
        <v>0.4965277778</v>
      </c>
      <c r="AN94" s="9"/>
      <c r="AO94" s="9"/>
      <c r="AP94" s="9"/>
      <c r="AQ94" s="9"/>
    </row>
    <row r="95" ht="151.5" customHeight="1" outlineLevel="1">
      <c r="A95" s="979">
        <f t="shared" ref="A95:A103" si="44">A94+1</f>
        <v>2</v>
      </c>
      <c r="B95" s="980" t="s">
        <v>325</v>
      </c>
      <c r="C95" s="981" t="s">
        <v>320</v>
      </c>
      <c r="D95" s="982" t="s">
        <v>326</v>
      </c>
      <c r="E95" s="983" t="s">
        <v>118</v>
      </c>
      <c r="F95" s="984" t="s">
        <v>139</v>
      </c>
      <c r="G95" s="1020" t="s">
        <v>322</v>
      </c>
      <c r="H95" s="985" t="s">
        <v>323</v>
      </c>
      <c r="I95" s="966" t="b">
        <v>1</v>
      </c>
      <c r="J95" s="967" t="s">
        <v>10</v>
      </c>
      <c r="K95" s="968">
        <f t="shared" si="34"/>
        <v>1</v>
      </c>
      <c r="L95" s="969">
        <f t="shared" si="35"/>
        <v>26000000</v>
      </c>
      <c r="M95" s="969">
        <f t="shared" si="36"/>
        <v>0</v>
      </c>
      <c r="N95" s="969">
        <f t="shared" si="37"/>
        <v>3000</v>
      </c>
      <c r="O95" s="969" t="str">
        <f t="shared" si="38"/>
        <v>-</v>
      </c>
      <c r="P95" s="969">
        <f t="shared" si="39"/>
        <v>8666.666667</v>
      </c>
      <c r="Q95" s="969">
        <f t="shared" si="40"/>
        <v>26000000</v>
      </c>
      <c r="R95" s="1077" t="s">
        <v>1416</v>
      </c>
      <c r="S95" s="1026"/>
      <c r="T95" s="1079" t="s">
        <v>45</v>
      </c>
      <c r="U95" s="170"/>
      <c r="V95" s="170"/>
      <c r="W95" s="798"/>
      <c r="X95" s="798"/>
      <c r="Y95" s="799" t="s">
        <v>1017</v>
      </c>
      <c r="Z95" s="742">
        <f>11500000/0.9</f>
        <v>12777777.78</v>
      </c>
      <c r="AA95" s="743">
        <v>1.0</v>
      </c>
      <c r="AB95" s="744"/>
      <c r="AC95" s="744"/>
      <c r="AD95" s="744"/>
      <c r="AE95" s="745"/>
      <c r="AF95" s="746"/>
      <c r="AG95" s="744"/>
      <c r="AH95" s="744">
        <v>3000.0</v>
      </c>
      <c r="AI95" s="744"/>
      <c r="AJ95" s="747">
        <f t="shared" ref="AJ95:AJ96" si="45">(AI95*50+AE95*50+AG95*20+AC95*2)*K95</f>
        <v>0</v>
      </c>
      <c r="AK95" s="747">
        <f t="shared" si="41"/>
        <v>12777777.78</v>
      </c>
      <c r="AL95" s="747">
        <f t="shared" si="42"/>
        <v>13222222.22</v>
      </c>
      <c r="AM95" s="748">
        <f t="shared" si="43"/>
        <v>0.5085470085</v>
      </c>
      <c r="AN95" s="9"/>
      <c r="AO95" s="9"/>
      <c r="AP95" s="9"/>
      <c r="AQ95" s="9"/>
    </row>
    <row r="96" ht="151.5" customHeight="1" outlineLevel="1">
      <c r="A96" s="979">
        <f t="shared" si="44"/>
        <v>3</v>
      </c>
      <c r="B96" s="980" t="s">
        <v>328</v>
      </c>
      <c r="C96" s="981" t="s">
        <v>320</v>
      </c>
      <c r="D96" s="982" t="s">
        <v>329</v>
      </c>
      <c r="E96" s="983" t="s">
        <v>118</v>
      </c>
      <c r="F96" s="984" t="s">
        <v>21</v>
      </c>
      <c r="G96" s="1020" t="s">
        <v>322</v>
      </c>
      <c r="H96" s="985" t="s">
        <v>323</v>
      </c>
      <c r="I96" s="966" t="b">
        <v>1</v>
      </c>
      <c r="J96" s="967" t="s">
        <v>10</v>
      </c>
      <c r="K96" s="968">
        <f t="shared" si="34"/>
        <v>1</v>
      </c>
      <c r="L96" s="969">
        <f t="shared" si="35"/>
        <v>26000000</v>
      </c>
      <c r="M96" s="969">
        <f t="shared" si="36"/>
        <v>0</v>
      </c>
      <c r="N96" s="969">
        <f t="shared" si="37"/>
        <v>3000</v>
      </c>
      <c r="O96" s="969" t="str">
        <f t="shared" si="38"/>
        <v>-</v>
      </c>
      <c r="P96" s="969">
        <f t="shared" si="39"/>
        <v>8666.666667</v>
      </c>
      <c r="Q96" s="969">
        <f t="shared" si="40"/>
        <v>26000000</v>
      </c>
      <c r="R96" s="1077" t="s">
        <v>1417</v>
      </c>
      <c r="S96" s="1026"/>
      <c r="T96" s="1079" t="s">
        <v>45</v>
      </c>
      <c r="U96" s="170"/>
      <c r="V96" s="170"/>
      <c r="W96" s="798"/>
      <c r="X96" s="798"/>
      <c r="Y96" s="799" t="s">
        <v>1017</v>
      </c>
      <c r="Z96" s="742">
        <f>10000000/0.9</f>
        <v>11111111.11</v>
      </c>
      <c r="AA96" s="743">
        <v>1.3</v>
      </c>
      <c r="AB96" s="744"/>
      <c r="AC96" s="744"/>
      <c r="AD96" s="744"/>
      <c r="AE96" s="745"/>
      <c r="AF96" s="746"/>
      <c r="AG96" s="744"/>
      <c r="AH96" s="744">
        <v>3000.0</v>
      </c>
      <c r="AI96" s="744"/>
      <c r="AJ96" s="747">
        <f t="shared" si="45"/>
        <v>0</v>
      </c>
      <c r="AK96" s="747">
        <f t="shared" si="41"/>
        <v>11111111.11</v>
      </c>
      <c r="AL96" s="747">
        <f t="shared" si="42"/>
        <v>14888888.89</v>
      </c>
      <c r="AM96" s="748">
        <f t="shared" si="43"/>
        <v>0.5726495726</v>
      </c>
      <c r="AN96" s="9"/>
      <c r="AO96" s="9"/>
      <c r="AP96" s="9"/>
      <c r="AQ96" s="9"/>
    </row>
    <row r="97" ht="151.5" customHeight="1" outlineLevel="1">
      <c r="A97" s="979">
        <f t="shared" si="44"/>
        <v>4</v>
      </c>
      <c r="B97" s="987" t="s">
        <v>331</v>
      </c>
      <c r="C97" s="988" t="s">
        <v>320</v>
      </c>
      <c r="D97" s="989" t="s">
        <v>332</v>
      </c>
      <c r="E97" s="990" t="s">
        <v>40</v>
      </c>
      <c r="F97" s="991" t="s">
        <v>21</v>
      </c>
      <c r="G97" s="1020" t="s">
        <v>50</v>
      </c>
      <c r="H97" s="992" t="s">
        <v>323</v>
      </c>
      <c r="I97" s="993" t="b">
        <v>1</v>
      </c>
      <c r="J97" s="824" t="s">
        <v>10</v>
      </c>
      <c r="K97" s="994">
        <f t="shared" si="34"/>
        <v>1</v>
      </c>
      <c r="L97" s="995">
        <f t="shared" si="35"/>
        <v>25000000</v>
      </c>
      <c r="M97" s="995">
        <f t="shared" si="36"/>
        <v>0</v>
      </c>
      <c r="N97" s="995">
        <f t="shared" si="37"/>
        <v>3000</v>
      </c>
      <c r="O97" s="995" t="str">
        <f t="shared" si="38"/>
        <v>-</v>
      </c>
      <c r="P97" s="995">
        <f t="shared" si="39"/>
        <v>8333.333333</v>
      </c>
      <c r="Q97" s="995">
        <f t="shared" si="40"/>
        <v>25000000</v>
      </c>
      <c r="R97" s="1077" t="s">
        <v>1418</v>
      </c>
      <c r="S97" s="1026"/>
      <c r="T97" s="1079" t="s">
        <v>45</v>
      </c>
      <c r="U97" s="170"/>
      <c r="V97" s="170"/>
      <c r="W97" s="798"/>
      <c r="X97" s="798"/>
      <c r="Y97" s="799" t="s">
        <v>1017</v>
      </c>
      <c r="Z97" s="742">
        <f>11500000/0.9</f>
        <v>12777777.78</v>
      </c>
      <c r="AA97" s="743">
        <v>0.95</v>
      </c>
      <c r="AB97" s="744"/>
      <c r="AC97" s="744"/>
      <c r="AD97" s="744"/>
      <c r="AE97" s="745"/>
      <c r="AF97" s="746"/>
      <c r="AG97" s="744"/>
      <c r="AH97" s="744">
        <v>3000.0</v>
      </c>
      <c r="AI97" s="744"/>
      <c r="AJ97" s="747">
        <f t="shared" ref="AJ97:AJ99" si="46">(AC97*2+AE97*50+AG97*10+AI97*50)*K97</f>
        <v>0</v>
      </c>
      <c r="AK97" s="747">
        <f t="shared" si="41"/>
        <v>12777777.78</v>
      </c>
      <c r="AL97" s="747">
        <f t="shared" si="42"/>
        <v>12222222.22</v>
      </c>
      <c r="AM97" s="748">
        <f t="shared" si="43"/>
        <v>0.4888888889</v>
      </c>
      <c r="AN97" s="9"/>
      <c r="AO97" s="9"/>
      <c r="AP97" s="9"/>
      <c r="AQ97" s="9"/>
    </row>
    <row r="98" ht="151.5" customHeight="1" outlineLevel="1">
      <c r="A98" s="979">
        <f t="shared" si="44"/>
        <v>5</v>
      </c>
      <c r="B98" s="980" t="s">
        <v>334</v>
      </c>
      <c r="C98" s="981" t="s">
        <v>320</v>
      </c>
      <c r="D98" s="982" t="s">
        <v>335</v>
      </c>
      <c r="E98" s="983" t="s">
        <v>40</v>
      </c>
      <c r="F98" s="984" t="s">
        <v>21</v>
      </c>
      <c r="G98" s="1020" t="s">
        <v>322</v>
      </c>
      <c r="H98" s="985" t="s">
        <v>336</v>
      </c>
      <c r="I98" s="966" t="b">
        <v>1</v>
      </c>
      <c r="J98" s="967" t="s">
        <v>10</v>
      </c>
      <c r="K98" s="968">
        <f t="shared" si="34"/>
        <v>1</v>
      </c>
      <c r="L98" s="969">
        <f t="shared" si="35"/>
        <v>17000000</v>
      </c>
      <c r="M98" s="969">
        <f t="shared" si="36"/>
        <v>0</v>
      </c>
      <c r="N98" s="969">
        <f t="shared" si="37"/>
        <v>3000</v>
      </c>
      <c r="O98" s="969" t="str">
        <f t="shared" si="38"/>
        <v>-</v>
      </c>
      <c r="P98" s="969">
        <f t="shared" si="39"/>
        <v>5666.666667</v>
      </c>
      <c r="Q98" s="969">
        <f t="shared" si="40"/>
        <v>17000000</v>
      </c>
      <c r="R98" s="1077" t="s">
        <v>1419</v>
      </c>
      <c r="S98" s="1026"/>
      <c r="T98" s="1079" t="s">
        <v>45</v>
      </c>
      <c r="U98" s="170"/>
      <c r="V98" s="170"/>
      <c r="W98" s="798"/>
      <c r="X98" s="798"/>
      <c r="Y98" s="799" t="s">
        <v>1017</v>
      </c>
      <c r="Z98" s="742">
        <f>7500000/0.9</f>
        <v>8333333.333</v>
      </c>
      <c r="AA98" s="743">
        <v>1.0</v>
      </c>
      <c r="AB98" s="744"/>
      <c r="AC98" s="744"/>
      <c r="AD98" s="744"/>
      <c r="AE98" s="745"/>
      <c r="AF98" s="746"/>
      <c r="AG98" s="744"/>
      <c r="AH98" s="744">
        <v>3000.0</v>
      </c>
      <c r="AI98" s="744"/>
      <c r="AJ98" s="747">
        <f t="shared" si="46"/>
        <v>0</v>
      </c>
      <c r="AK98" s="747">
        <f t="shared" si="41"/>
        <v>8333333.333</v>
      </c>
      <c r="AL98" s="747">
        <f t="shared" si="42"/>
        <v>8666666.667</v>
      </c>
      <c r="AM98" s="748">
        <f t="shared" si="43"/>
        <v>0.5098039216</v>
      </c>
      <c r="AN98" s="9"/>
      <c r="AO98" s="9"/>
      <c r="AP98" s="9"/>
      <c r="AQ98" s="9"/>
    </row>
    <row r="99" ht="151.5" customHeight="1" outlineLevel="1">
      <c r="A99" s="979">
        <f t="shared" si="44"/>
        <v>6</v>
      </c>
      <c r="B99" s="996" t="s">
        <v>338</v>
      </c>
      <c r="C99" s="981" t="s">
        <v>38</v>
      </c>
      <c r="D99" s="982" t="s">
        <v>339</v>
      </c>
      <c r="E99" s="983" t="s">
        <v>118</v>
      </c>
      <c r="F99" s="984" t="s">
        <v>21</v>
      </c>
      <c r="G99" s="1020" t="s">
        <v>105</v>
      </c>
      <c r="H99" s="985" t="s">
        <v>340</v>
      </c>
      <c r="I99" s="966" t="b">
        <v>1</v>
      </c>
      <c r="J99" s="967" t="s">
        <v>7</v>
      </c>
      <c r="K99" s="968">
        <f t="shared" si="34"/>
        <v>1</v>
      </c>
      <c r="L99" s="969">
        <f t="shared" si="35"/>
        <v>25000000</v>
      </c>
      <c r="M99" s="969">
        <f t="shared" si="36"/>
        <v>80000</v>
      </c>
      <c r="N99" s="969">
        <f t="shared" si="37"/>
        <v>2000</v>
      </c>
      <c r="O99" s="969">
        <f t="shared" si="38"/>
        <v>312.5</v>
      </c>
      <c r="P99" s="969">
        <f t="shared" si="39"/>
        <v>12500</v>
      </c>
      <c r="Q99" s="969">
        <f t="shared" si="40"/>
        <v>25000000</v>
      </c>
      <c r="R99" s="1077" t="s">
        <v>1420</v>
      </c>
      <c r="S99" s="1026"/>
      <c r="T99" s="1079" t="s">
        <v>45</v>
      </c>
      <c r="U99" s="170"/>
      <c r="V99" s="170"/>
      <c r="W99" s="798"/>
      <c r="X99" s="798"/>
      <c r="Y99" s="799" t="s">
        <v>1017</v>
      </c>
      <c r="Z99" s="742">
        <f>15000000/0.9</f>
        <v>16666666.67</v>
      </c>
      <c r="AA99" s="743">
        <v>0.5</v>
      </c>
      <c r="AB99" s="744">
        <v>80000.0</v>
      </c>
      <c r="AC99" s="744"/>
      <c r="AD99" s="744">
        <v>1000.0</v>
      </c>
      <c r="AE99" s="745">
        <v>1000.0</v>
      </c>
      <c r="AF99" s="746"/>
      <c r="AG99" s="744"/>
      <c r="AH99" s="744"/>
      <c r="AI99" s="744"/>
      <c r="AJ99" s="747">
        <f t="shared" si="46"/>
        <v>50000</v>
      </c>
      <c r="AK99" s="747">
        <f t="shared" si="41"/>
        <v>16716666.67</v>
      </c>
      <c r="AL99" s="747">
        <f t="shared" si="42"/>
        <v>8283333.333</v>
      </c>
      <c r="AM99" s="748">
        <f t="shared" si="43"/>
        <v>0.3313333333</v>
      </c>
      <c r="AN99" s="9"/>
      <c r="AO99" s="9"/>
      <c r="AP99" s="9"/>
      <c r="AQ99" s="9"/>
    </row>
    <row r="100" ht="151.5" customHeight="1" outlineLevel="1">
      <c r="A100" s="979">
        <f t="shared" si="44"/>
        <v>7</v>
      </c>
      <c r="B100" s="997" t="s">
        <v>342</v>
      </c>
      <c r="C100" s="981" t="s">
        <v>38</v>
      </c>
      <c r="D100" s="998" t="s">
        <v>343</v>
      </c>
      <c r="E100" s="999" t="s">
        <v>40</v>
      </c>
      <c r="F100" s="1000" t="s">
        <v>21</v>
      </c>
      <c r="G100" s="1020" t="s">
        <v>50</v>
      </c>
      <c r="H100" s="985" t="s">
        <v>340</v>
      </c>
      <c r="I100" s="1001" t="b">
        <v>1</v>
      </c>
      <c r="J100" s="1002" t="s">
        <v>7</v>
      </c>
      <c r="K100" s="1003">
        <f t="shared" si="34"/>
        <v>1</v>
      </c>
      <c r="L100" s="1004">
        <f t="shared" si="35"/>
        <v>15000000</v>
      </c>
      <c r="M100" s="1004">
        <f t="shared" si="36"/>
        <v>30000</v>
      </c>
      <c r="N100" s="1004">
        <f t="shared" si="37"/>
        <v>1500</v>
      </c>
      <c r="O100" s="1004">
        <f t="shared" si="38"/>
        <v>500</v>
      </c>
      <c r="P100" s="1004">
        <f t="shared" si="39"/>
        <v>10000</v>
      </c>
      <c r="Q100" s="1004">
        <f t="shared" si="40"/>
        <v>15000000</v>
      </c>
      <c r="R100" s="1077" t="s">
        <v>1421</v>
      </c>
      <c r="S100" s="1026"/>
      <c r="T100" s="1079" t="s">
        <v>45</v>
      </c>
      <c r="U100" s="170"/>
      <c r="V100" s="170"/>
      <c r="W100" s="798"/>
      <c r="X100" s="798"/>
      <c r="Y100" s="808" t="s">
        <v>1024</v>
      </c>
      <c r="Z100" s="742">
        <f>9000000/0.9</f>
        <v>10000000</v>
      </c>
      <c r="AA100" s="743">
        <v>0.5</v>
      </c>
      <c r="AB100" s="744">
        <v>10000.0</v>
      </c>
      <c r="AC100" s="744">
        <v>20000.0</v>
      </c>
      <c r="AD100" s="744">
        <v>500.0</v>
      </c>
      <c r="AE100" s="745">
        <v>1000.0</v>
      </c>
      <c r="AF100" s="746"/>
      <c r="AG100" s="744"/>
      <c r="AH100" s="744"/>
      <c r="AI100" s="801"/>
      <c r="AJ100" s="747">
        <f>(AI100*50+AE100*50+AG100*20+AC100*2)*K100</f>
        <v>90000</v>
      </c>
      <c r="AK100" s="747">
        <f t="shared" si="41"/>
        <v>10090000</v>
      </c>
      <c r="AL100" s="747">
        <f t="shared" si="42"/>
        <v>4910000</v>
      </c>
      <c r="AM100" s="748">
        <f t="shared" si="43"/>
        <v>0.3273333333</v>
      </c>
      <c r="AN100" s="9"/>
      <c r="AO100" s="9"/>
      <c r="AP100" s="9"/>
      <c r="AQ100" s="9"/>
    </row>
    <row r="101" ht="151.5" customHeight="1" outlineLevel="1">
      <c r="A101" s="979">
        <f t="shared" si="44"/>
        <v>8</v>
      </c>
      <c r="B101" s="980" t="s">
        <v>345</v>
      </c>
      <c r="C101" s="981" t="s">
        <v>38</v>
      </c>
      <c r="D101" s="982" t="s">
        <v>346</v>
      </c>
      <c r="E101" s="983" t="s">
        <v>40</v>
      </c>
      <c r="F101" s="984" t="s">
        <v>21</v>
      </c>
      <c r="G101" s="1020" t="s">
        <v>322</v>
      </c>
      <c r="H101" s="985" t="s">
        <v>340</v>
      </c>
      <c r="I101" s="966" t="b">
        <v>1</v>
      </c>
      <c r="J101" s="967" t="s">
        <v>7</v>
      </c>
      <c r="K101" s="968">
        <f t="shared" si="34"/>
        <v>1</v>
      </c>
      <c r="L101" s="969">
        <f t="shared" si="35"/>
        <v>18000000</v>
      </c>
      <c r="M101" s="969">
        <f t="shared" si="36"/>
        <v>80000</v>
      </c>
      <c r="N101" s="969">
        <f t="shared" si="37"/>
        <v>1500</v>
      </c>
      <c r="O101" s="969">
        <f t="shared" si="38"/>
        <v>225</v>
      </c>
      <c r="P101" s="969">
        <f t="shared" si="39"/>
        <v>12000</v>
      </c>
      <c r="Q101" s="969">
        <f t="shared" si="40"/>
        <v>18000000</v>
      </c>
      <c r="R101" s="1077" t="s">
        <v>1422</v>
      </c>
      <c r="S101" s="1026"/>
      <c r="T101" s="1079" t="s">
        <v>45</v>
      </c>
      <c r="U101" s="170"/>
      <c r="V101" s="170"/>
      <c r="W101" s="798"/>
      <c r="X101" s="798"/>
      <c r="Y101" s="799" t="s">
        <v>1017</v>
      </c>
      <c r="Z101" s="742">
        <f>8000000/0.9</f>
        <v>8888888.889</v>
      </c>
      <c r="AA101" s="743">
        <v>1.0</v>
      </c>
      <c r="AB101" s="744">
        <v>30000.0</v>
      </c>
      <c r="AC101" s="744">
        <v>50000.0</v>
      </c>
      <c r="AD101" s="744">
        <v>500.0</v>
      </c>
      <c r="AE101" s="745">
        <v>1000.0</v>
      </c>
      <c r="AF101" s="746"/>
      <c r="AG101" s="744"/>
      <c r="AH101" s="744"/>
      <c r="AI101" s="744"/>
      <c r="AJ101" s="747">
        <f t="shared" ref="AJ101:AJ103" si="47">(AC101*2+AE101*50+AG101*10+AI101*50)*K101</f>
        <v>150000</v>
      </c>
      <c r="AK101" s="747">
        <f t="shared" si="41"/>
        <v>9038888.889</v>
      </c>
      <c r="AL101" s="747">
        <f t="shared" si="42"/>
        <v>8961111.111</v>
      </c>
      <c r="AM101" s="748">
        <f t="shared" si="43"/>
        <v>0.4978395062</v>
      </c>
      <c r="AN101" s="9"/>
      <c r="AO101" s="9"/>
      <c r="AP101" s="9"/>
      <c r="AQ101" s="9"/>
    </row>
    <row r="102" ht="151.5" customHeight="1" outlineLevel="1">
      <c r="A102" s="979">
        <f t="shared" si="44"/>
        <v>9</v>
      </c>
      <c r="B102" s="980" t="s">
        <v>348</v>
      </c>
      <c r="C102" s="981" t="s">
        <v>38</v>
      </c>
      <c r="D102" s="982" t="s">
        <v>349</v>
      </c>
      <c r="E102" s="983" t="s">
        <v>40</v>
      </c>
      <c r="F102" s="984" t="s">
        <v>21</v>
      </c>
      <c r="G102" s="1020" t="s">
        <v>50</v>
      </c>
      <c r="H102" s="985" t="s">
        <v>340</v>
      </c>
      <c r="I102" s="966" t="b">
        <v>1</v>
      </c>
      <c r="J102" s="967" t="s">
        <v>7</v>
      </c>
      <c r="K102" s="968">
        <f t="shared" si="34"/>
        <v>1</v>
      </c>
      <c r="L102" s="969">
        <f t="shared" si="35"/>
        <v>12000000</v>
      </c>
      <c r="M102" s="969">
        <f t="shared" si="36"/>
        <v>50000</v>
      </c>
      <c r="N102" s="969">
        <f t="shared" si="37"/>
        <v>1500</v>
      </c>
      <c r="O102" s="969">
        <f t="shared" si="38"/>
        <v>240</v>
      </c>
      <c r="P102" s="969">
        <f t="shared" si="39"/>
        <v>8000</v>
      </c>
      <c r="Q102" s="969">
        <f t="shared" si="40"/>
        <v>12000000</v>
      </c>
      <c r="R102" s="1077" t="s">
        <v>1423</v>
      </c>
      <c r="S102" s="1026"/>
      <c r="T102" s="1079" t="s">
        <v>45</v>
      </c>
      <c r="U102" s="170"/>
      <c r="V102" s="170"/>
      <c r="W102" s="798"/>
      <c r="X102" s="798"/>
      <c r="Y102" s="808" t="s">
        <v>1024</v>
      </c>
      <c r="Z102" s="742">
        <f>5000000/0.9</f>
        <v>5555555.556</v>
      </c>
      <c r="AA102" s="743">
        <v>1.2</v>
      </c>
      <c r="AB102" s="744">
        <v>30000.0</v>
      </c>
      <c r="AC102" s="744">
        <v>20000.0</v>
      </c>
      <c r="AD102" s="744">
        <v>500.0</v>
      </c>
      <c r="AE102" s="745">
        <v>1000.0</v>
      </c>
      <c r="AF102" s="746"/>
      <c r="AG102" s="744"/>
      <c r="AH102" s="744"/>
      <c r="AI102" s="744"/>
      <c r="AJ102" s="747">
        <f t="shared" si="47"/>
        <v>90000</v>
      </c>
      <c r="AK102" s="747">
        <f t="shared" si="41"/>
        <v>5645555.556</v>
      </c>
      <c r="AL102" s="747">
        <f t="shared" si="42"/>
        <v>6354444.444</v>
      </c>
      <c r="AM102" s="748">
        <f t="shared" si="43"/>
        <v>0.529537037</v>
      </c>
      <c r="AN102" s="9"/>
      <c r="AO102" s="9"/>
      <c r="AP102" s="9"/>
      <c r="AQ102" s="9"/>
    </row>
    <row r="103" ht="151.5" customHeight="1" outlineLevel="1">
      <c r="A103" s="979">
        <f t="shared" si="44"/>
        <v>10</v>
      </c>
      <c r="B103" s="980" t="s">
        <v>351</v>
      </c>
      <c r="C103" s="981" t="s">
        <v>38</v>
      </c>
      <c r="D103" s="982" t="s">
        <v>352</v>
      </c>
      <c r="E103" s="983" t="s">
        <v>40</v>
      </c>
      <c r="F103" s="984" t="s">
        <v>21</v>
      </c>
      <c r="G103" s="1020" t="s">
        <v>105</v>
      </c>
      <c r="H103" s="985" t="s">
        <v>340</v>
      </c>
      <c r="I103" s="966" t="b">
        <v>1</v>
      </c>
      <c r="J103" s="967" t="s">
        <v>7</v>
      </c>
      <c r="K103" s="968">
        <f t="shared" si="34"/>
        <v>1</v>
      </c>
      <c r="L103" s="969">
        <f t="shared" si="35"/>
        <v>20000000</v>
      </c>
      <c r="M103" s="969">
        <f t="shared" si="36"/>
        <v>80000</v>
      </c>
      <c r="N103" s="969">
        <f t="shared" si="37"/>
        <v>2000</v>
      </c>
      <c r="O103" s="969">
        <f t="shared" si="38"/>
        <v>250</v>
      </c>
      <c r="P103" s="969">
        <f t="shared" si="39"/>
        <v>10000</v>
      </c>
      <c r="Q103" s="969">
        <f t="shared" si="40"/>
        <v>20000000</v>
      </c>
      <c r="R103" s="1077" t="s">
        <v>1424</v>
      </c>
      <c r="S103" s="1078"/>
      <c r="T103" s="1079" t="s">
        <v>45</v>
      </c>
      <c r="U103" s="168"/>
      <c r="V103" s="168"/>
      <c r="W103" s="798"/>
      <c r="X103" s="798"/>
      <c r="Y103" s="799" t="s">
        <v>1017</v>
      </c>
      <c r="Z103" s="800">
        <f>12000000/0.9</f>
        <v>13333333.33</v>
      </c>
      <c r="AA103" s="743">
        <v>0.5</v>
      </c>
      <c r="AB103" s="744">
        <v>80000.0</v>
      </c>
      <c r="AC103" s="801"/>
      <c r="AD103" s="744">
        <v>1000.0</v>
      </c>
      <c r="AE103" s="745">
        <v>1000.0</v>
      </c>
      <c r="AF103" s="803"/>
      <c r="AG103" s="801"/>
      <c r="AH103" s="744"/>
      <c r="AI103" s="801"/>
      <c r="AJ103" s="804">
        <f t="shared" si="47"/>
        <v>50000</v>
      </c>
      <c r="AK103" s="804">
        <f t="shared" si="41"/>
        <v>13383333.33</v>
      </c>
      <c r="AL103" s="804">
        <f t="shared" si="42"/>
        <v>6616666.667</v>
      </c>
      <c r="AM103" s="805">
        <f t="shared" si="43"/>
        <v>0.3308333333</v>
      </c>
      <c r="AN103" s="9"/>
      <c r="AO103" s="9"/>
      <c r="AP103" s="9"/>
      <c r="AQ103" s="9"/>
    </row>
    <row r="104" ht="54.0" customHeight="1">
      <c r="A104" s="1005" t="s">
        <v>354</v>
      </c>
      <c r="B104" s="1006"/>
      <c r="C104" s="1007"/>
      <c r="D104" s="1008"/>
      <c r="E104" s="1007"/>
      <c r="F104" s="1007"/>
      <c r="G104" s="1007"/>
      <c r="H104" s="1007"/>
      <c r="I104" s="1009"/>
      <c r="J104" s="1010"/>
      <c r="K104" s="1011"/>
      <c r="L104" s="1010"/>
      <c r="M104" s="1010"/>
      <c r="N104" s="1012">
        <f>K105</f>
        <v>2000</v>
      </c>
      <c r="O104" s="1010"/>
      <c r="P104" s="1010"/>
      <c r="Q104" s="1012">
        <f>Q105</f>
        <v>20000000</v>
      </c>
      <c r="R104" s="1013"/>
      <c r="S104" s="181"/>
      <c r="T104" s="181"/>
      <c r="U104" s="181"/>
      <c r="V104" s="181"/>
      <c r="W104" s="813"/>
      <c r="X104" s="813"/>
      <c r="Y104" s="814"/>
      <c r="Z104" s="815"/>
      <c r="AA104" s="816"/>
      <c r="AB104" s="815"/>
      <c r="AC104" s="815"/>
      <c r="AD104" s="815"/>
      <c r="AE104" s="817"/>
      <c r="AF104" s="818"/>
      <c r="AG104" s="815"/>
      <c r="AH104" s="815"/>
      <c r="AI104" s="815"/>
      <c r="AJ104" s="815"/>
      <c r="AK104" s="815"/>
      <c r="AL104" s="815"/>
      <c r="AM104" s="819"/>
      <c r="AN104" s="9"/>
      <c r="AO104" s="9"/>
      <c r="AP104" s="9"/>
      <c r="AQ104" s="9"/>
    </row>
    <row r="105" ht="67.5" customHeight="1" outlineLevel="1">
      <c r="A105" s="182">
        <v>1.0</v>
      </c>
      <c r="B105" s="183" t="s">
        <v>355</v>
      </c>
      <c r="C105" s="184" t="s">
        <v>356</v>
      </c>
      <c r="D105" s="185"/>
      <c r="E105" s="185"/>
      <c r="F105" s="185"/>
      <c r="G105" s="185"/>
      <c r="H105" s="186"/>
      <c r="I105" s="187" t="b">
        <v>1</v>
      </c>
      <c r="J105" s="188" t="s">
        <v>11</v>
      </c>
      <c r="K105" s="189">
        <v>2000.0</v>
      </c>
      <c r="L105" s="189">
        <v>10000.0</v>
      </c>
      <c r="M105" s="190"/>
      <c r="N105" s="191">
        <f>L105</f>
        <v>10000</v>
      </c>
      <c r="O105" s="190"/>
      <c r="P105" s="190"/>
      <c r="Q105" s="192">
        <f>iferror(L105*K105,"-")</f>
        <v>20000000</v>
      </c>
      <c r="R105" s="1014"/>
      <c r="S105" s="181"/>
      <c r="T105" s="181"/>
      <c r="U105" s="181"/>
      <c r="V105" s="181"/>
      <c r="W105" s="826"/>
      <c r="X105" s="826"/>
      <c r="Y105" s="814"/>
      <c r="Z105" s="827">
        <f>6000/0.9</f>
        <v>6666.666667</v>
      </c>
      <c r="AA105" s="832"/>
      <c r="AB105" s="828"/>
      <c r="AC105" s="828"/>
      <c r="AD105" s="828"/>
      <c r="AE105" s="829"/>
      <c r="AF105" s="830"/>
      <c r="AG105" s="828"/>
      <c r="AH105" s="828"/>
      <c r="AI105" s="828"/>
      <c r="AJ105" s="804">
        <f>(AC105*2+AE105*50+AG105*10+AI105*50)*K105</f>
        <v>0</v>
      </c>
      <c r="AK105" s="804">
        <f>sum(Z105,AJ105)*K105</f>
        <v>13333333.33</v>
      </c>
      <c r="AL105" s="804">
        <f>iferror(Q105-AK105,"-")</f>
        <v>6666666.667</v>
      </c>
      <c r="AM105" s="805">
        <f>iferror(AL105/Q105,"-")</f>
        <v>0.3333333333</v>
      </c>
      <c r="AN105" s="9"/>
      <c r="AO105" s="9"/>
      <c r="AP105" s="9"/>
      <c r="AQ105" s="9"/>
    </row>
    <row r="106" ht="23.25" customHeight="1">
      <c r="A106" s="194"/>
      <c r="B106" s="195"/>
      <c r="C106" s="195"/>
      <c r="D106" s="195"/>
      <c r="E106" s="195"/>
      <c r="F106" s="196"/>
      <c r="G106" s="195"/>
      <c r="H106" s="195"/>
      <c r="I106" s="197" t="s">
        <v>357</v>
      </c>
      <c r="J106" s="195"/>
      <c r="K106" s="195"/>
      <c r="L106" s="195"/>
      <c r="M106" s="198">
        <f t="shared" ref="M106:N106" si="48">sum(M104,M92,M42,M20)</f>
        <v>1405000</v>
      </c>
      <c r="N106" s="198">
        <f t="shared" si="48"/>
        <v>71700</v>
      </c>
      <c r="O106" s="199"/>
      <c r="P106" s="199"/>
      <c r="Q106" s="198">
        <f>sum(Q104,Q92,Q42,Q20)</f>
        <v>656000000</v>
      </c>
      <c r="R106" s="200"/>
      <c r="S106" s="8"/>
      <c r="T106" s="8"/>
      <c r="U106" s="8"/>
      <c r="V106" s="8"/>
      <c r="W106" s="717"/>
      <c r="X106" s="717"/>
      <c r="Y106" s="580"/>
      <c r="Z106" s="839"/>
      <c r="AA106" s="839"/>
      <c r="AB106" s="839"/>
      <c r="AC106" s="839"/>
      <c r="AD106" s="839"/>
      <c r="AE106" s="839"/>
      <c r="AF106" s="839"/>
      <c r="AG106" s="839"/>
      <c r="AH106" s="839"/>
      <c r="AI106" s="839"/>
      <c r="AJ106" s="840">
        <f t="shared" ref="AJ106:AL106" si="49">sum(AJ20:AJ105)</f>
        <v>3750000</v>
      </c>
      <c r="AK106" s="840">
        <f t="shared" si="49"/>
        <v>353083333.3</v>
      </c>
      <c r="AL106" s="840">
        <f t="shared" si="49"/>
        <v>302916666.7</v>
      </c>
      <c r="AM106" s="841" t="str">
        <f>iferror(AL106/#REF!,"-")</f>
        <v>-</v>
      </c>
      <c r="AN106" s="9"/>
      <c r="AO106" s="9"/>
      <c r="AP106" s="9"/>
      <c r="AQ106" s="9"/>
    </row>
    <row r="107" ht="25.5" customHeight="1">
      <c r="A107" s="194"/>
      <c r="B107" s="195"/>
      <c r="C107" s="195"/>
      <c r="D107" s="195"/>
      <c r="E107" s="195"/>
      <c r="F107" s="196"/>
      <c r="G107" s="195"/>
      <c r="H107" s="195"/>
      <c r="I107" s="197" t="s">
        <v>358</v>
      </c>
      <c r="J107" s="195"/>
      <c r="K107" s="195"/>
      <c r="L107" s="195"/>
      <c r="M107" s="195"/>
      <c r="N107" s="195"/>
      <c r="O107" s="195"/>
      <c r="P107" s="201">
        <v>0.12</v>
      </c>
      <c r="Q107" s="198">
        <f>Q106*P107</f>
        <v>78720000</v>
      </c>
      <c r="R107" s="200"/>
      <c r="S107" s="8"/>
      <c r="T107" s="8"/>
      <c r="U107" s="8"/>
      <c r="V107" s="8"/>
      <c r="W107" s="8"/>
      <c r="X107" s="8"/>
      <c r="Y107" s="580"/>
      <c r="Z107" s="581"/>
      <c r="AA107" s="3"/>
      <c r="AB107" s="3"/>
      <c r="AC107" s="3"/>
      <c r="AD107" s="3"/>
      <c r="AE107" s="3"/>
      <c r="AF107" s="3"/>
      <c r="AG107" s="3"/>
      <c r="AH107" s="3"/>
      <c r="AI107" s="3"/>
      <c r="AJ107" s="844" t="s">
        <v>1032</v>
      </c>
      <c r="AK107" s="845"/>
      <c r="AL107" s="3"/>
      <c r="AM107" s="3"/>
      <c r="AN107" s="9"/>
      <c r="AO107" s="9"/>
      <c r="AP107" s="9"/>
      <c r="AQ107" s="9"/>
    </row>
    <row r="108" ht="25.5" customHeight="1">
      <c r="A108" s="202"/>
      <c r="B108" s="203"/>
      <c r="C108" s="203"/>
      <c r="D108" s="203"/>
      <c r="E108" s="203"/>
      <c r="F108" s="204"/>
      <c r="G108" s="203"/>
      <c r="H108" s="203"/>
      <c r="I108" s="205" t="s">
        <v>359</v>
      </c>
      <c r="J108" s="203"/>
      <c r="K108" s="203"/>
      <c r="L108" s="203"/>
      <c r="M108" s="203"/>
      <c r="N108" s="203"/>
      <c r="O108" s="203"/>
      <c r="P108" s="206"/>
      <c r="Q108" s="207">
        <f>SUM(Q106:Q107)</f>
        <v>734720000</v>
      </c>
      <c r="R108" s="208"/>
      <c r="S108" s="8"/>
      <c r="T108" s="8"/>
      <c r="U108" s="8"/>
      <c r="V108" s="8"/>
      <c r="W108" s="8"/>
      <c r="X108" s="8"/>
      <c r="Y108" s="580"/>
      <c r="Z108" s="581"/>
      <c r="AA108" s="3"/>
      <c r="AB108" s="3"/>
      <c r="AC108" s="3"/>
      <c r="AD108" s="3"/>
      <c r="AE108" s="3"/>
      <c r="AF108" s="3"/>
      <c r="AG108" s="3"/>
      <c r="AH108" s="3"/>
      <c r="AI108" s="3"/>
      <c r="AJ108" s="852" t="s">
        <v>1033</v>
      </c>
      <c r="AK108" s="853">
        <f>(30*600000)/0.9</f>
        <v>20000000</v>
      </c>
      <c r="AL108" s="854" t="s">
        <v>1034</v>
      </c>
      <c r="AM108" s="3"/>
      <c r="AN108" s="9"/>
      <c r="AO108" s="9"/>
      <c r="AP108" s="9"/>
      <c r="AQ108" s="9"/>
    </row>
    <row r="109" ht="25.5" customHeight="1">
      <c r="A109" s="209"/>
      <c r="B109" s="210"/>
      <c r="C109" s="210"/>
      <c r="D109" s="210"/>
      <c r="E109" s="210"/>
      <c r="F109" s="211"/>
      <c r="G109" s="210"/>
      <c r="H109" s="210"/>
      <c r="I109" s="212" t="s">
        <v>360</v>
      </c>
      <c r="J109" s="210"/>
      <c r="K109" s="210"/>
      <c r="L109" s="210"/>
      <c r="M109" s="210"/>
      <c r="N109" s="210"/>
      <c r="O109" s="210"/>
      <c r="P109" s="213"/>
      <c r="Q109" s="214">
        <f>Q108*1.08</f>
        <v>793497600</v>
      </c>
      <c r="R109" s="215"/>
      <c r="S109" s="8"/>
      <c r="T109" s="8"/>
      <c r="U109" s="8"/>
      <c r="V109" s="8"/>
      <c r="W109" s="8"/>
      <c r="X109" s="8"/>
      <c r="Y109" s="580"/>
      <c r="Z109" s="581"/>
      <c r="AA109" s="3"/>
      <c r="AB109" s="3"/>
      <c r="AC109" s="3"/>
      <c r="AD109" s="3"/>
      <c r="AE109" s="3"/>
      <c r="AF109" s="3"/>
      <c r="AG109" s="3"/>
      <c r="AH109" s="3"/>
      <c r="AI109" s="3"/>
      <c r="AJ109" s="860" t="s">
        <v>5</v>
      </c>
      <c r="AK109" s="861">
        <f>sum(AK106,AK108)</f>
        <v>373083333.3</v>
      </c>
      <c r="AL109" s="854"/>
      <c r="AM109" s="851"/>
      <c r="AN109" s="9"/>
      <c r="AO109" s="9"/>
      <c r="AP109" s="9"/>
      <c r="AQ109" s="9"/>
    </row>
    <row r="110" ht="25.5" customHeight="1">
      <c r="S110" s="8"/>
      <c r="T110" s="8"/>
      <c r="U110" s="8"/>
      <c r="V110" s="8"/>
      <c r="W110" s="8"/>
      <c r="X110" s="8"/>
      <c r="Y110" s="580"/>
      <c r="Z110" s="581"/>
      <c r="AA110" s="3"/>
      <c r="AB110" s="3"/>
      <c r="AC110" s="3"/>
      <c r="AD110" s="3"/>
      <c r="AE110" s="3"/>
      <c r="AF110" s="3"/>
      <c r="AG110" s="3"/>
      <c r="AH110" s="3"/>
      <c r="AI110" s="3"/>
      <c r="AJ110" s="852" t="s">
        <v>1035</v>
      </c>
      <c r="AK110" s="861">
        <f>Q106-AK109</f>
        <v>282916666.7</v>
      </c>
      <c r="AL110" s="3"/>
      <c r="AM110" s="3"/>
      <c r="AN110" s="9"/>
      <c r="AO110" s="9"/>
      <c r="AP110" s="9"/>
      <c r="AQ110" s="9"/>
    </row>
    <row r="111" ht="25.5" customHeight="1">
      <c r="A111" s="217"/>
      <c r="B111" s="218"/>
      <c r="C111" s="218"/>
      <c r="D111" s="219"/>
      <c r="E111" s="218"/>
      <c r="F111" s="220"/>
      <c r="G111" s="218"/>
      <c r="H111" s="218"/>
      <c r="I111" s="218"/>
      <c r="J111" s="221"/>
      <c r="K111" s="222"/>
      <c r="L111" s="221"/>
      <c r="M111" s="221"/>
      <c r="N111" s="221"/>
      <c r="O111" s="221"/>
      <c r="P111" s="221"/>
      <c r="Q111" s="221"/>
      <c r="R111" s="223"/>
      <c r="S111" s="8"/>
      <c r="T111" s="8"/>
      <c r="U111" s="8"/>
      <c r="V111" s="8"/>
      <c r="W111" s="8"/>
      <c r="X111" s="8"/>
      <c r="Y111" s="580"/>
      <c r="Z111" s="865"/>
      <c r="AA111" s="3"/>
      <c r="AB111" s="3"/>
      <c r="AC111" s="3"/>
      <c r="AD111" s="3"/>
      <c r="AE111" s="3"/>
      <c r="AF111" s="3"/>
      <c r="AG111" s="3"/>
      <c r="AH111" s="3"/>
      <c r="AI111" s="3"/>
      <c r="AJ111" s="866" t="s">
        <v>1036</v>
      </c>
      <c r="AK111" s="867">
        <f>iferror(AK110/Q106,"-")</f>
        <v>0.4312754065</v>
      </c>
      <c r="AL111" s="3"/>
      <c r="AM111" s="3"/>
      <c r="AN111" s="9"/>
      <c r="AO111" s="9"/>
      <c r="AP111" s="9"/>
      <c r="AQ111" s="9"/>
    </row>
    <row r="112" ht="29.25" customHeight="1">
      <c r="A112" s="33"/>
      <c r="B112" s="2"/>
      <c r="C112" s="2"/>
      <c r="D112" s="2"/>
      <c r="E112" s="2"/>
      <c r="F112" s="4"/>
      <c r="G112" s="2"/>
      <c r="H112" s="2"/>
      <c r="I112" s="2"/>
      <c r="J112" s="2"/>
      <c r="K112" s="5"/>
      <c r="L112" s="2"/>
      <c r="M112" s="2"/>
      <c r="N112" s="2"/>
      <c r="O112" s="2"/>
      <c r="P112" s="2"/>
      <c r="Q112" s="2"/>
      <c r="R112" s="7"/>
      <c r="S112" s="224"/>
      <c r="T112" s="224"/>
      <c r="U112" s="224"/>
      <c r="V112" s="224"/>
      <c r="W112" s="224"/>
      <c r="X112" s="224"/>
      <c r="Y112" s="868"/>
      <c r="Z112" s="865"/>
      <c r="AA112" s="2"/>
      <c r="AB112" s="2"/>
      <c r="AC112" s="2"/>
      <c r="AD112" s="2"/>
      <c r="AE112" s="2"/>
      <c r="AF112" s="2"/>
      <c r="AG112" s="2"/>
      <c r="AH112" s="2"/>
      <c r="AI112" s="2"/>
      <c r="AL112" s="2"/>
      <c r="AM112" s="2"/>
      <c r="AN112" s="9"/>
      <c r="AO112" s="9"/>
      <c r="AP112" s="9"/>
      <c r="AQ112" s="9"/>
    </row>
    <row r="113">
      <c r="A113" s="33"/>
      <c r="B113" s="2"/>
      <c r="C113" s="2"/>
      <c r="D113" s="2"/>
      <c r="E113" s="2"/>
      <c r="F113" s="4"/>
      <c r="G113" s="2"/>
      <c r="H113" s="2"/>
      <c r="I113" s="2"/>
      <c r="J113" s="2"/>
      <c r="K113" s="5"/>
      <c r="L113" s="2"/>
      <c r="M113" s="2"/>
      <c r="N113" s="2"/>
      <c r="O113" s="2"/>
      <c r="P113" s="2"/>
      <c r="Q113" s="2"/>
      <c r="R113" s="7"/>
      <c r="S113" s="224"/>
      <c r="T113" s="224"/>
      <c r="U113" s="224"/>
      <c r="V113" s="224"/>
      <c r="W113" s="224"/>
      <c r="X113" s="224"/>
      <c r="Y113" s="868"/>
      <c r="Z113" s="865"/>
      <c r="AA113" s="2"/>
      <c r="AB113" s="2"/>
      <c r="AC113" s="2"/>
      <c r="AD113" s="2"/>
      <c r="AE113" s="2"/>
      <c r="AF113" s="2"/>
      <c r="AG113" s="2"/>
      <c r="AH113" s="2"/>
      <c r="AI113" s="2"/>
      <c r="AJ113" s="2"/>
      <c r="AK113" s="2"/>
      <c r="AL113" s="2"/>
      <c r="AM113" s="2"/>
      <c r="AN113" s="9"/>
      <c r="AO113" s="9"/>
      <c r="AP113" s="9"/>
      <c r="AQ113" s="9"/>
    </row>
    <row r="114">
      <c r="A114" s="33"/>
      <c r="B114" s="2"/>
      <c r="C114" s="225"/>
      <c r="D114" s="2"/>
      <c r="E114" s="2"/>
      <c r="F114" s="4"/>
      <c r="G114" s="2"/>
      <c r="H114" s="2"/>
      <c r="I114" s="2"/>
      <c r="J114" s="2"/>
      <c r="K114" s="5"/>
      <c r="L114" s="2"/>
      <c r="M114" s="2"/>
      <c r="N114" s="2"/>
      <c r="O114" s="2"/>
      <c r="P114" s="2"/>
      <c r="Q114" s="2"/>
      <c r="R114" s="7"/>
      <c r="S114" s="224"/>
      <c r="T114" s="224"/>
      <c r="U114" s="224"/>
      <c r="V114" s="224"/>
      <c r="W114" s="224"/>
      <c r="X114" s="224"/>
      <c r="Y114" s="868"/>
      <c r="Z114" s="865"/>
      <c r="AA114" s="2"/>
      <c r="AB114" s="2"/>
      <c r="AC114" s="2"/>
      <c r="AD114" s="2"/>
      <c r="AE114" s="2"/>
      <c r="AF114" s="2"/>
      <c r="AG114" s="2"/>
      <c r="AH114" s="2"/>
      <c r="AI114" s="2"/>
      <c r="AJ114" s="2"/>
      <c r="AK114" s="2"/>
      <c r="AL114" s="2"/>
      <c r="AM114" s="2"/>
      <c r="AN114" s="9"/>
      <c r="AO114" s="9"/>
      <c r="AP114" s="9"/>
      <c r="AQ114" s="9"/>
    </row>
    <row r="115">
      <c r="A115" s="33"/>
      <c r="B115" s="2"/>
      <c r="C115" s="2"/>
      <c r="D115" s="2"/>
      <c r="E115" s="2"/>
      <c r="F115" s="4"/>
      <c r="G115" s="2"/>
      <c r="H115" s="2"/>
      <c r="I115" s="2"/>
      <c r="J115" s="2"/>
      <c r="K115" s="5"/>
      <c r="L115" s="2"/>
      <c r="M115" s="2"/>
      <c r="N115" s="2"/>
      <c r="O115" s="2"/>
      <c r="P115" s="2"/>
      <c r="Q115" s="2"/>
      <c r="R115" s="7"/>
      <c r="S115" s="224"/>
      <c r="T115" s="224"/>
      <c r="U115" s="224"/>
      <c r="V115" s="224"/>
      <c r="W115" s="224"/>
      <c r="X115" s="224"/>
      <c r="Y115" s="868"/>
      <c r="Z115" s="865"/>
      <c r="AA115" s="2"/>
      <c r="AB115" s="2"/>
      <c r="AC115" s="2"/>
      <c r="AD115" s="2"/>
      <c r="AE115" s="2"/>
      <c r="AF115" s="2"/>
      <c r="AG115" s="2"/>
      <c r="AH115" s="2"/>
      <c r="AI115" s="2"/>
      <c r="AJ115" s="2"/>
      <c r="AK115" s="2"/>
      <c r="AL115" s="2"/>
      <c r="AM115" s="2"/>
      <c r="AN115" s="9"/>
      <c r="AO115" s="9"/>
      <c r="AP115" s="9"/>
      <c r="AQ115" s="9"/>
    </row>
    <row r="116">
      <c r="A116" s="33"/>
      <c r="B116" s="2"/>
      <c r="C116" s="2"/>
      <c r="D116" s="2"/>
      <c r="E116" s="2"/>
      <c r="F116" s="4"/>
      <c r="G116" s="2"/>
      <c r="H116" s="2"/>
      <c r="I116" s="2"/>
      <c r="J116" s="2"/>
      <c r="K116" s="5"/>
      <c r="L116" s="2"/>
      <c r="M116" s="2"/>
      <c r="N116" s="2"/>
      <c r="O116" s="2"/>
      <c r="P116" s="2"/>
      <c r="Q116" s="2"/>
      <c r="R116" s="7"/>
      <c r="S116" s="224"/>
      <c r="T116" s="224"/>
      <c r="U116" s="224"/>
      <c r="V116" s="224"/>
      <c r="W116" s="224"/>
      <c r="X116" s="224"/>
      <c r="Y116" s="868"/>
      <c r="Z116" s="865"/>
      <c r="AA116" s="2"/>
      <c r="AB116" s="2"/>
      <c r="AC116" s="2"/>
      <c r="AD116" s="2"/>
      <c r="AE116" s="2"/>
      <c r="AF116" s="2"/>
      <c r="AG116" s="2"/>
      <c r="AH116" s="2"/>
      <c r="AI116" s="2"/>
      <c r="AJ116" s="2"/>
      <c r="AK116" s="2"/>
      <c r="AL116" s="2"/>
      <c r="AM116" s="2"/>
      <c r="AN116" s="9"/>
      <c r="AO116" s="9"/>
      <c r="AP116" s="9"/>
      <c r="AQ116" s="9"/>
    </row>
    <row r="117">
      <c r="A117" s="33"/>
      <c r="B117" s="2"/>
      <c r="C117" s="2"/>
      <c r="D117" s="2"/>
      <c r="E117" s="2"/>
      <c r="F117" s="4"/>
      <c r="G117" s="2"/>
      <c r="H117" s="2"/>
      <c r="I117" s="2"/>
      <c r="J117" s="2"/>
      <c r="K117" s="5"/>
      <c r="L117" s="2"/>
      <c r="M117" s="2"/>
      <c r="N117" s="2"/>
      <c r="O117" s="2"/>
      <c r="P117" s="2"/>
      <c r="Q117" s="2"/>
      <c r="R117" s="7"/>
      <c r="S117" s="224"/>
      <c r="T117" s="224"/>
      <c r="U117" s="224"/>
      <c r="V117" s="224"/>
      <c r="W117" s="224"/>
      <c r="X117" s="224"/>
      <c r="Y117" s="868"/>
      <c r="Z117" s="865"/>
      <c r="AA117" s="2"/>
      <c r="AB117" s="2"/>
      <c r="AC117" s="2"/>
      <c r="AD117" s="2"/>
      <c r="AE117" s="2"/>
      <c r="AF117" s="2"/>
      <c r="AG117" s="2"/>
      <c r="AH117" s="2"/>
      <c r="AI117" s="2"/>
      <c r="AJ117" s="2"/>
      <c r="AK117" s="2"/>
      <c r="AL117" s="2"/>
      <c r="AM117" s="2"/>
      <c r="AN117" s="9"/>
      <c r="AO117" s="9"/>
      <c r="AP117" s="9"/>
      <c r="AQ117" s="9"/>
    </row>
    <row r="118">
      <c r="A118" s="33"/>
      <c r="B118" s="2"/>
      <c r="C118" s="2"/>
      <c r="D118" s="2"/>
      <c r="E118" s="2"/>
      <c r="F118" s="4"/>
      <c r="G118" s="2"/>
      <c r="H118" s="2"/>
      <c r="I118" s="2"/>
      <c r="J118" s="2"/>
      <c r="K118" s="5"/>
      <c r="L118" s="2"/>
      <c r="M118" s="2"/>
      <c r="N118" s="2"/>
      <c r="O118" s="2"/>
      <c r="P118" s="2"/>
      <c r="Q118" s="2"/>
      <c r="R118" s="7"/>
      <c r="S118" s="224"/>
      <c r="T118" s="224"/>
      <c r="U118" s="224"/>
      <c r="V118" s="224"/>
      <c r="W118" s="224"/>
      <c r="X118" s="224"/>
      <c r="Y118" s="868"/>
      <c r="Z118" s="865"/>
      <c r="AA118" s="2"/>
      <c r="AB118" s="2"/>
      <c r="AC118" s="2"/>
      <c r="AD118" s="2"/>
      <c r="AE118" s="2"/>
      <c r="AF118" s="2"/>
      <c r="AG118" s="2"/>
      <c r="AH118" s="2"/>
      <c r="AI118" s="2"/>
      <c r="AJ118" s="2"/>
      <c r="AK118" s="2"/>
      <c r="AL118" s="2"/>
      <c r="AM118" s="2"/>
      <c r="AN118" s="9"/>
      <c r="AO118" s="9"/>
      <c r="AP118" s="9"/>
      <c r="AQ118" s="9"/>
    </row>
    <row r="119">
      <c r="A119" s="33"/>
      <c r="B119" s="2"/>
      <c r="C119" s="2"/>
      <c r="D119" s="2"/>
      <c r="E119" s="2"/>
      <c r="F119" s="4"/>
      <c r="G119" s="2"/>
      <c r="H119" s="2"/>
      <c r="I119" s="2"/>
      <c r="J119" s="2"/>
      <c r="K119" s="5"/>
      <c r="L119" s="2"/>
      <c r="M119" s="2"/>
      <c r="N119" s="2"/>
      <c r="O119" s="2"/>
      <c r="P119" s="2"/>
      <c r="Q119" s="2"/>
      <c r="R119" s="7"/>
      <c r="S119" s="224"/>
      <c r="T119" s="224"/>
      <c r="U119" s="224"/>
      <c r="V119" s="224"/>
      <c r="W119" s="224"/>
      <c r="X119" s="224"/>
      <c r="Y119" s="868"/>
      <c r="Z119" s="865"/>
      <c r="AA119" s="2"/>
      <c r="AB119" s="2"/>
      <c r="AC119" s="2"/>
      <c r="AD119" s="2"/>
      <c r="AE119" s="2"/>
      <c r="AF119" s="2"/>
      <c r="AG119" s="2"/>
      <c r="AH119" s="2"/>
      <c r="AI119" s="2"/>
      <c r="AJ119" s="2"/>
      <c r="AK119" s="2"/>
      <c r="AL119" s="2"/>
      <c r="AM119" s="2"/>
      <c r="AN119" s="9"/>
      <c r="AO119" s="9"/>
      <c r="AP119" s="9"/>
      <c r="AQ119" s="9"/>
    </row>
    <row r="120">
      <c r="A120" s="33"/>
      <c r="B120" s="2"/>
      <c r="C120" s="2"/>
      <c r="D120" s="2"/>
      <c r="E120" s="2"/>
      <c r="F120" s="4"/>
      <c r="G120" s="2"/>
      <c r="H120" s="2"/>
      <c r="I120" s="2"/>
      <c r="J120" s="2"/>
      <c r="K120" s="5"/>
      <c r="L120" s="2"/>
      <c r="M120" s="2"/>
      <c r="N120" s="2"/>
      <c r="O120" s="2"/>
      <c r="P120" s="2"/>
      <c r="Q120" s="2"/>
      <c r="R120" s="7"/>
      <c r="S120" s="224"/>
      <c r="T120" s="224"/>
      <c r="U120" s="224"/>
      <c r="V120" s="224"/>
      <c r="W120" s="224"/>
      <c r="X120" s="224"/>
      <c r="Y120" s="868"/>
      <c r="Z120" s="865"/>
      <c r="AA120" s="2"/>
      <c r="AB120" s="2"/>
      <c r="AC120" s="2"/>
      <c r="AD120" s="2"/>
      <c r="AE120" s="2"/>
      <c r="AF120" s="2"/>
      <c r="AG120" s="2"/>
      <c r="AH120" s="2"/>
      <c r="AI120" s="2"/>
      <c r="AJ120" s="2"/>
      <c r="AK120" s="2"/>
      <c r="AL120" s="2"/>
      <c r="AM120" s="2"/>
      <c r="AN120" s="9"/>
      <c r="AO120" s="9"/>
      <c r="AP120" s="9"/>
      <c r="AQ120" s="9"/>
    </row>
    <row r="121">
      <c r="A121" s="33"/>
      <c r="B121" s="2"/>
      <c r="C121" s="2"/>
      <c r="D121" s="2"/>
      <c r="E121" s="2"/>
      <c r="F121" s="4"/>
      <c r="G121" s="2"/>
      <c r="H121" s="2"/>
      <c r="I121" s="2"/>
      <c r="J121" s="2"/>
      <c r="K121" s="5"/>
      <c r="L121" s="2"/>
      <c r="M121" s="2"/>
      <c r="N121" s="2"/>
      <c r="O121" s="2"/>
      <c r="P121" s="2"/>
      <c r="Q121" s="2"/>
      <c r="R121" s="7"/>
      <c r="S121" s="224"/>
      <c r="T121" s="224"/>
      <c r="U121" s="224"/>
      <c r="V121" s="224"/>
      <c r="W121" s="224"/>
      <c r="X121" s="224"/>
      <c r="Y121" s="868"/>
      <c r="Z121" s="865"/>
      <c r="AA121" s="2"/>
      <c r="AB121" s="2"/>
      <c r="AC121" s="2"/>
      <c r="AD121" s="2"/>
      <c r="AE121" s="2"/>
      <c r="AF121" s="2"/>
      <c r="AG121" s="2"/>
      <c r="AH121" s="2"/>
      <c r="AI121" s="2"/>
      <c r="AJ121" s="2"/>
      <c r="AK121" s="2"/>
      <c r="AL121" s="2"/>
      <c r="AM121" s="2"/>
      <c r="AN121" s="9"/>
      <c r="AO121" s="9"/>
      <c r="AP121" s="9"/>
      <c r="AQ121" s="9"/>
    </row>
    <row r="122">
      <c r="A122" s="33"/>
      <c r="B122" s="2"/>
      <c r="C122" s="2"/>
      <c r="D122" s="2"/>
      <c r="E122" s="2"/>
      <c r="F122" s="4"/>
      <c r="G122" s="2"/>
      <c r="H122" s="2"/>
      <c r="I122" s="2"/>
      <c r="J122" s="2"/>
      <c r="K122" s="5"/>
      <c r="L122" s="2"/>
      <c r="M122" s="2"/>
      <c r="N122" s="2"/>
      <c r="O122" s="2"/>
      <c r="P122" s="2"/>
      <c r="Q122" s="2"/>
      <c r="R122" s="7"/>
      <c r="S122" s="224"/>
      <c r="T122" s="224"/>
      <c r="U122" s="224"/>
      <c r="V122" s="224"/>
      <c r="W122" s="224"/>
      <c r="X122" s="224"/>
      <c r="Y122" s="868"/>
      <c r="Z122" s="865"/>
      <c r="AA122" s="2"/>
      <c r="AB122" s="2"/>
      <c r="AC122" s="2"/>
      <c r="AD122" s="2"/>
      <c r="AE122" s="2"/>
      <c r="AF122" s="2"/>
      <c r="AG122" s="2"/>
      <c r="AH122" s="2"/>
      <c r="AI122" s="2"/>
      <c r="AJ122" s="2"/>
      <c r="AK122" s="2"/>
      <c r="AL122" s="2"/>
      <c r="AM122" s="2"/>
      <c r="AN122" s="9"/>
      <c r="AO122" s="9"/>
      <c r="AP122" s="9"/>
      <c r="AQ122" s="9"/>
    </row>
    <row r="123">
      <c r="A123" s="33"/>
      <c r="B123" s="2"/>
      <c r="C123" s="2"/>
      <c r="D123" s="2"/>
      <c r="E123" s="2"/>
      <c r="F123" s="4"/>
      <c r="G123" s="2"/>
      <c r="H123" s="2"/>
      <c r="I123" s="2"/>
      <c r="J123" s="2"/>
      <c r="K123" s="5"/>
      <c r="L123" s="2"/>
      <c r="M123" s="2"/>
      <c r="N123" s="2"/>
      <c r="O123" s="2"/>
      <c r="P123" s="2"/>
      <c r="Q123" s="2"/>
      <c r="R123" s="7"/>
      <c r="S123" s="224"/>
      <c r="T123" s="224"/>
      <c r="U123" s="224"/>
      <c r="V123" s="224"/>
      <c r="W123" s="224"/>
      <c r="X123" s="224"/>
      <c r="Y123" s="868"/>
      <c r="Z123" s="865"/>
      <c r="AA123" s="2"/>
      <c r="AB123" s="2"/>
      <c r="AC123" s="2"/>
      <c r="AD123" s="2"/>
      <c r="AE123" s="2"/>
      <c r="AF123" s="2"/>
      <c r="AG123" s="2"/>
      <c r="AH123" s="2"/>
      <c r="AI123" s="2"/>
      <c r="AJ123" s="2"/>
      <c r="AK123" s="2"/>
      <c r="AL123" s="2"/>
      <c r="AM123" s="2"/>
      <c r="AN123" s="9"/>
      <c r="AO123" s="9"/>
      <c r="AP123" s="9"/>
      <c r="AQ123" s="9"/>
    </row>
    <row r="124">
      <c r="A124" s="33"/>
      <c r="B124" s="2"/>
      <c r="C124" s="2"/>
      <c r="D124" s="2"/>
      <c r="E124" s="2"/>
      <c r="F124" s="4"/>
      <c r="G124" s="2"/>
      <c r="H124" s="2"/>
      <c r="I124" s="2"/>
      <c r="J124" s="2"/>
      <c r="K124" s="5"/>
      <c r="L124" s="2"/>
      <c r="M124" s="2"/>
      <c r="N124" s="2"/>
      <c r="O124" s="2"/>
      <c r="P124" s="2"/>
      <c r="Q124" s="2"/>
      <c r="R124" s="7"/>
      <c r="S124" s="224"/>
      <c r="T124" s="224"/>
      <c r="U124" s="224"/>
      <c r="V124" s="224"/>
      <c r="W124" s="224"/>
      <c r="X124" s="224"/>
      <c r="Y124" s="868"/>
      <c r="Z124" s="865"/>
      <c r="AA124" s="2"/>
      <c r="AB124" s="2"/>
      <c r="AC124" s="2"/>
      <c r="AD124" s="2"/>
      <c r="AE124" s="2"/>
      <c r="AF124" s="2"/>
      <c r="AG124" s="2"/>
      <c r="AH124" s="2"/>
      <c r="AI124" s="2"/>
      <c r="AJ124" s="2"/>
      <c r="AK124" s="2"/>
      <c r="AL124" s="2"/>
      <c r="AM124" s="2"/>
      <c r="AN124" s="9"/>
      <c r="AO124" s="9"/>
      <c r="AP124" s="9"/>
      <c r="AQ124" s="9"/>
    </row>
    <row r="125">
      <c r="A125" s="33"/>
      <c r="B125" s="2"/>
      <c r="C125" s="2"/>
      <c r="D125" s="2"/>
      <c r="E125" s="2"/>
      <c r="F125" s="4"/>
      <c r="G125" s="2"/>
      <c r="H125" s="2"/>
      <c r="I125" s="2"/>
      <c r="J125" s="2"/>
      <c r="K125" s="5"/>
      <c r="L125" s="2"/>
      <c r="M125" s="2"/>
      <c r="N125" s="2"/>
      <c r="O125" s="2"/>
      <c r="P125" s="2"/>
      <c r="Q125" s="2"/>
      <c r="R125" s="7"/>
      <c r="S125" s="224"/>
      <c r="T125" s="224"/>
      <c r="U125" s="224"/>
      <c r="V125" s="224"/>
      <c r="W125" s="224"/>
      <c r="X125" s="224"/>
      <c r="Y125" s="868"/>
      <c r="Z125" s="865"/>
      <c r="AA125" s="2"/>
      <c r="AB125" s="2"/>
      <c r="AC125" s="2"/>
      <c r="AD125" s="2"/>
      <c r="AE125" s="2"/>
      <c r="AF125" s="2"/>
      <c r="AG125" s="2"/>
      <c r="AH125" s="2"/>
      <c r="AI125" s="2"/>
      <c r="AJ125" s="2"/>
      <c r="AK125" s="2"/>
      <c r="AL125" s="2"/>
      <c r="AM125" s="2"/>
      <c r="AN125" s="9"/>
      <c r="AO125" s="9"/>
      <c r="AP125" s="9"/>
      <c r="AQ125" s="9"/>
    </row>
    <row r="126">
      <c r="A126" s="33"/>
      <c r="B126" s="2"/>
      <c r="C126" s="2"/>
      <c r="D126" s="2"/>
      <c r="E126" s="2"/>
      <c r="F126" s="4"/>
      <c r="G126" s="2"/>
      <c r="H126" s="2"/>
      <c r="I126" s="2"/>
      <c r="J126" s="2"/>
      <c r="K126" s="5"/>
      <c r="L126" s="2"/>
      <c r="M126" s="2"/>
      <c r="N126" s="2"/>
      <c r="O126" s="2"/>
      <c r="P126" s="2"/>
      <c r="Q126" s="2"/>
      <c r="R126" s="7"/>
      <c r="S126" s="224"/>
      <c r="T126" s="224"/>
      <c r="U126" s="224"/>
      <c r="V126" s="224"/>
      <c r="W126" s="224"/>
      <c r="X126" s="224"/>
      <c r="Y126" s="868"/>
      <c r="Z126" s="865"/>
      <c r="AA126" s="2"/>
      <c r="AB126" s="2"/>
      <c r="AC126" s="2"/>
      <c r="AD126" s="2"/>
      <c r="AE126" s="2"/>
      <c r="AF126" s="2"/>
      <c r="AG126" s="2"/>
      <c r="AH126" s="2"/>
      <c r="AI126" s="2"/>
      <c r="AJ126" s="2"/>
      <c r="AK126" s="2"/>
      <c r="AL126" s="2"/>
      <c r="AM126" s="2"/>
      <c r="AN126" s="9"/>
      <c r="AO126" s="9"/>
      <c r="AP126" s="9"/>
      <c r="AQ126" s="9"/>
    </row>
    <row r="127">
      <c r="A127" s="33"/>
      <c r="B127" s="2"/>
      <c r="C127" s="2"/>
      <c r="D127" s="2"/>
      <c r="E127" s="2"/>
      <c r="F127" s="4"/>
      <c r="G127" s="2"/>
      <c r="H127" s="2"/>
      <c r="I127" s="2"/>
      <c r="J127" s="2"/>
      <c r="K127" s="5"/>
      <c r="L127" s="2"/>
      <c r="M127" s="2"/>
      <c r="N127" s="2"/>
      <c r="O127" s="2"/>
      <c r="P127" s="2"/>
      <c r="Q127" s="2"/>
      <c r="R127" s="7"/>
      <c r="S127" s="224"/>
      <c r="T127" s="224"/>
      <c r="U127" s="224"/>
      <c r="V127" s="224"/>
      <c r="W127" s="224"/>
      <c r="X127" s="224"/>
      <c r="Y127" s="868"/>
      <c r="Z127" s="865"/>
      <c r="AA127" s="2"/>
      <c r="AB127" s="2"/>
      <c r="AC127" s="2"/>
      <c r="AD127" s="2"/>
      <c r="AE127" s="2"/>
      <c r="AF127" s="2"/>
      <c r="AG127" s="2"/>
      <c r="AH127" s="2"/>
      <c r="AI127" s="2"/>
      <c r="AJ127" s="2"/>
      <c r="AK127" s="2"/>
      <c r="AL127" s="2"/>
      <c r="AM127" s="2"/>
      <c r="AN127" s="9"/>
      <c r="AO127" s="9"/>
      <c r="AP127" s="9"/>
      <c r="AQ127" s="9"/>
    </row>
    <row r="128">
      <c r="A128" s="33"/>
      <c r="B128" s="2"/>
      <c r="C128" s="2"/>
      <c r="D128" s="2"/>
      <c r="E128" s="2"/>
      <c r="F128" s="4"/>
      <c r="G128" s="2"/>
      <c r="H128" s="2"/>
      <c r="I128" s="2"/>
      <c r="J128" s="2"/>
      <c r="K128" s="5"/>
      <c r="L128" s="2"/>
      <c r="M128" s="2"/>
      <c r="N128" s="2"/>
      <c r="O128" s="2"/>
      <c r="P128" s="2"/>
      <c r="Q128" s="2"/>
      <c r="R128" s="7"/>
      <c r="S128" s="224"/>
      <c r="T128" s="224"/>
      <c r="U128" s="224"/>
      <c r="V128" s="224"/>
      <c r="W128" s="224"/>
      <c r="X128" s="224"/>
      <c r="Y128" s="868"/>
      <c r="Z128" s="865"/>
      <c r="AA128" s="2"/>
      <c r="AB128" s="2"/>
      <c r="AC128" s="2"/>
      <c r="AD128" s="2"/>
      <c r="AE128" s="2"/>
      <c r="AF128" s="2"/>
      <c r="AG128" s="2"/>
      <c r="AH128" s="2"/>
      <c r="AI128" s="2"/>
      <c r="AJ128" s="2"/>
      <c r="AK128" s="2"/>
      <c r="AL128" s="2"/>
      <c r="AM128" s="2"/>
      <c r="AN128" s="9"/>
      <c r="AO128" s="9"/>
      <c r="AP128" s="9"/>
      <c r="AQ128" s="9"/>
    </row>
    <row r="129">
      <c r="A129" s="33"/>
      <c r="B129" s="2"/>
      <c r="C129" s="2"/>
      <c r="D129" s="2"/>
      <c r="E129" s="2"/>
      <c r="F129" s="4"/>
      <c r="G129" s="2"/>
      <c r="H129" s="2"/>
      <c r="I129" s="2"/>
      <c r="J129" s="2"/>
      <c r="K129" s="5"/>
      <c r="L129" s="2"/>
      <c r="M129" s="2"/>
      <c r="N129" s="2"/>
      <c r="O129" s="2"/>
      <c r="P129" s="2"/>
      <c r="Q129" s="2"/>
      <c r="R129" s="7"/>
      <c r="S129" s="224"/>
      <c r="T129" s="224"/>
      <c r="U129" s="224"/>
      <c r="V129" s="224"/>
      <c r="W129" s="224"/>
      <c r="X129" s="224"/>
      <c r="Y129" s="868"/>
      <c r="Z129" s="865"/>
      <c r="AA129" s="2"/>
      <c r="AB129" s="2"/>
      <c r="AC129" s="2"/>
      <c r="AD129" s="2"/>
      <c r="AE129" s="2"/>
      <c r="AF129" s="2"/>
      <c r="AG129" s="2"/>
      <c r="AH129" s="2"/>
      <c r="AI129" s="2"/>
      <c r="AJ129" s="2"/>
      <c r="AK129" s="2"/>
      <c r="AL129" s="2"/>
      <c r="AM129" s="2"/>
      <c r="AN129" s="9"/>
      <c r="AO129" s="9"/>
      <c r="AP129" s="9"/>
      <c r="AQ129" s="9"/>
    </row>
    <row r="130">
      <c r="A130" s="33"/>
      <c r="B130" s="2"/>
      <c r="C130" s="2"/>
      <c r="D130" s="2"/>
      <c r="E130" s="2"/>
      <c r="F130" s="4"/>
      <c r="G130" s="2"/>
      <c r="H130" s="2"/>
      <c r="I130" s="2"/>
      <c r="J130" s="2"/>
      <c r="K130" s="5"/>
      <c r="L130" s="2"/>
      <c r="M130" s="2"/>
      <c r="N130" s="2"/>
      <c r="O130" s="2"/>
      <c r="P130" s="2"/>
      <c r="Q130" s="2"/>
      <c r="R130" s="7"/>
      <c r="S130" s="224"/>
      <c r="T130" s="224"/>
      <c r="U130" s="224"/>
      <c r="V130" s="224"/>
      <c r="W130" s="224"/>
      <c r="X130" s="224"/>
      <c r="Y130" s="868"/>
      <c r="Z130" s="865"/>
      <c r="AA130" s="2"/>
      <c r="AB130" s="2"/>
      <c r="AC130" s="2"/>
      <c r="AD130" s="2"/>
      <c r="AE130" s="2"/>
      <c r="AF130" s="2"/>
      <c r="AG130" s="2"/>
      <c r="AH130" s="2"/>
      <c r="AI130" s="2"/>
      <c r="AJ130" s="2"/>
      <c r="AK130" s="2"/>
      <c r="AL130" s="2"/>
      <c r="AM130" s="2"/>
      <c r="AN130" s="9"/>
      <c r="AO130" s="9"/>
      <c r="AP130" s="9"/>
      <c r="AQ130" s="9"/>
    </row>
    <row r="131">
      <c r="A131" s="33"/>
      <c r="B131" s="2"/>
      <c r="C131" s="2"/>
      <c r="D131" s="2"/>
      <c r="E131" s="2"/>
      <c r="F131" s="4"/>
      <c r="G131" s="2"/>
      <c r="H131" s="2"/>
      <c r="I131" s="2"/>
      <c r="J131" s="2"/>
      <c r="K131" s="5"/>
      <c r="L131" s="2"/>
      <c r="M131" s="2"/>
      <c r="N131" s="2"/>
      <c r="O131" s="2"/>
      <c r="P131" s="2"/>
      <c r="Q131" s="2"/>
      <c r="R131" s="7"/>
      <c r="S131" s="224"/>
      <c r="T131" s="224"/>
      <c r="U131" s="224"/>
      <c r="V131" s="224"/>
      <c r="W131" s="224"/>
      <c r="X131" s="224"/>
      <c r="Y131" s="868"/>
      <c r="Z131" s="865"/>
      <c r="AA131" s="2"/>
      <c r="AB131" s="2"/>
      <c r="AC131" s="2"/>
      <c r="AD131" s="2"/>
      <c r="AE131" s="2"/>
      <c r="AF131" s="2"/>
      <c r="AG131" s="2"/>
      <c r="AH131" s="2"/>
      <c r="AI131" s="2"/>
      <c r="AJ131" s="2"/>
      <c r="AK131" s="2"/>
      <c r="AL131" s="2"/>
      <c r="AM131" s="2"/>
      <c r="AN131" s="9"/>
      <c r="AO131" s="9"/>
      <c r="AP131" s="9"/>
      <c r="AQ131" s="9"/>
    </row>
    <row r="132">
      <c r="A132" s="33"/>
      <c r="B132" s="2"/>
      <c r="C132" s="2"/>
      <c r="D132" s="2"/>
      <c r="E132" s="2"/>
      <c r="F132" s="4"/>
      <c r="G132" s="2"/>
      <c r="H132" s="2"/>
      <c r="I132" s="2"/>
      <c r="J132" s="2"/>
      <c r="K132" s="5"/>
      <c r="L132" s="2"/>
      <c r="M132" s="2"/>
      <c r="N132" s="2"/>
      <c r="O132" s="2"/>
      <c r="P132" s="2"/>
      <c r="Q132" s="2"/>
      <c r="R132" s="7"/>
      <c r="S132" s="224"/>
      <c r="T132" s="224"/>
      <c r="U132" s="224"/>
      <c r="V132" s="224"/>
      <c r="W132" s="224"/>
      <c r="X132" s="224"/>
      <c r="Y132" s="868"/>
      <c r="Z132" s="865"/>
      <c r="AA132" s="2"/>
      <c r="AB132" s="2"/>
      <c r="AC132" s="2"/>
      <c r="AD132" s="2"/>
      <c r="AE132" s="2"/>
      <c r="AF132" s="2"/>
      <c r="AG132" s="2"/>
      <c r="AH132" s="2"/>
      <c r="AI132" s="2"/>
      <c r="AJ132" s="2"/>
      <c r="AK132" s="2"/>
      <c r="AL132" s="2"/>
      <c r="AM132" s="2"/>
      <c r="AN132" s="9"/>
      <c r="AO132" s="9"/>
      <c r="AP132" s="9"/>
      <c r="AQ132" s="9"/>
    </row>
    <row r="133">
      <c r="A133" s="33"/>
      <c r="B133" s="2"/>
      <c r="C133" s="2"/>
      <c r="D133" s="2"/>
      <c r="E133" s="2"/>
      <c r="F133" s="4"/>
      <c r="G133" s="2"/>
      <c r="H133" s="2"/>
      <c r="I133" s="2"/>
      <c r="J133" s="2"/>
      <c r="K133" s="5"/>
      <c r="L133" s="2"/>
      <c r="M133" s="2"/>
      <c r="N133" s="2"/>
      <c r="O133" s="2"/>
      <c r="P133" s="2"/>
      <c r="Q133" s="2"/>
      <c r="R133" s="7"/>
      <c r="S133" s="224"/>
      <c r="T133" s="224"/>
      <c r="U133" s="224"/>
      <c r="V133" s="224"/>
      <c r="W133" s="224"/>
      <c r="X133" s="224"/>
      <c r="Y133" s="868"/>
      <c r="Z133" s="865"/>
      <c r="AA133" s="2"/>
      <c r="AB133" s="2"/>
      <c r="AC133" s="2"/>
      <c r="AD133" s="2"/>
      <c r="AE133" s="2"/>
      <c r="AF133" s="2"/>
      <c r="AG133" s="2"/>
      <c r="AH133" s="2"/>
      <c r="AI133" s="2"/>
      <c r="AJ133" s="2"/>
      <c r="AK133" s="2"/>
      <c r="AL133" s="2"/>
      <c r="AM133" s="2"/>
      <c r="AN133" s="9"/>
      <c r="AO133" s="9"/>
      <c r="AP133" s="9"/>
      <c r="AQ133" s="9"/>
    </row>
    <row r="134">
      <c r="A134" s="33"/>
      <c r="B134" s="2"/>
      <c r="C134" s="2"/>
      <c r="D134" s="2"/>
      <c r="E134" s="2"/>
      <c r="F134" s="4"/>
      <c r="G134" s="2"/>
      <c r="H134" s="2"/>
      <c r="I134" s="2"/>
      <c r="J134" s="2"/>
      <c r="K134" s="5"/>
      <c r="L134" s="2"/>
      <c r="M134" s="2"/>
      <c r="N134" s="2"/>
      <c r="O134" s="2"/>
      <c r="P134" s="2"/>
      <c r="Q134" s="2"/>
      <c r="R134" s="7"/>
      <c r="S134" s="224"/>
      <c r="T134" s="224"/>
      <c r="U134" s="224"/>
      <c r="V134" s="224"/>
      <c r="W134" s="224"/>
      <c r="X134" s="224"/>
      <c r="Y134" s="868"/>
      <c r="Z134" s="865"/>
      <c r="AA134" s="2"/>
      <c r="AB134" s="2"/>
      <c r="AC134" s="2"/>
      <c r="AD134" s="2"/>
      <c r="AE134" s="2"/>
      <c r="AF134" s="2"/>
      <c r="AG134" s="2"/>
      <c r="AH134" s="2"/>
      <c r="AI134" s="2"/>
      <c r="AJ134" s="2"/>
      <c r="AK134" s="2"/>
      <c r="AL134" s="2"/>
      <c r="AM134" s="2"/>
      <c r="AN134" s="9"/>
      <c r="AO134" s="9"/>
      <c r="AP134" s="9"/>
      <c r="AQ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224"/>
      <c r="X135" s="224"/>
      <c r="Y135" s="868"/>
      <c r="Z135" s="865"/>
      <c r="AA135" s="2"/>
      <c r="AB135" s="2"/>
      <c r="AC135" s="2"/>
      <c r="AD135" s="2"/>
      <c r="AE135" s="2"/>
      <c r="AF135" s="2"/>
      <c r="AG135" s="2"/>
      <c r="AH135" s="2"/>
      <c r="AI135" s="2"/>
      <c r="AJ135" s="2"/>
      <c r="AK135" s="2"/>
      <c r="AL135" s="2"/>
      <c r="AM135" s="2"/>
      <c r="AN135" s="9"/>
      <c r="AO135" s="9"/>
      <c r="AP135" s="9"/>
      <c r="AQ135" s="9"/>
    </row>
    <row r="136">
      <c r="A136" s="33"/>
      <c r="B136" s="2"/>
      <c r="C136" s="2"/>
      <c r="D136" s="2"/>
      <c r="E136" s="2"/>
      <c r="F136" s="4"/>
      <c r="G136" s="2"/>
      <c r="H136" s="2"/>
      <c r="I136" s="2"/>
      <c r="J136" s="2"/>
      <c r="K136" s="5"/>
      <c r="L136" s="2"/>
      <c r="M136" s="2"/>
      <c r="N136" s="2"/>
      <c r="O136" s="2"/>
      <c r="P136" s="2"/>
      <c r="Q136" s="2"/>
      <c r="R136" s="7"/>
      <c r="S136" s="224"/>
      <c r="T136" s="224"/>
      <c r="U136" s="224"/>
      <c r="V136" s="224"/>
      <c r="W136" s="224"/>
      <c r="X136" s="224"/>
      <c r="Y136" s="868"/>
      <c r="Z136" s="865"/>
      <c r="AA136" s="2"/>
      <c r="AB136" s="2"/>
      <c r="AC136" s="2"/>
      <c r="AD136" s="2"/>
      <c r="AE136" s="2"/>
      <c r="AF136" s="2"/>
      <c r="AG136" s="2"/>
      <c r="AH136" s="2"/>
      <c r="AI136" s="2"/>
      <c r="AJ136" s="2"/>
      <c r="AK136" s="2"/>
      <c r="AL136" s="2"/>
      <c r="AM136" s="2"/>
      <c r="AN136" s="9"/>
      <c r="AO136" s="9"/>
      <c r="AP136" s="9"/>
      <c r="AQ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224"/>
      <c r="X137" s="224"/>
      <c r="Y137" s="868"/>
      <c r="Z137" s="865"/>
      <c r="AA137" s="2"/>
      <c r="AB137" s="2"/>
      <c r="AC137" s="2"/>
      <c r="AD137" s="2"/>
      <c r="AE137" s="2"/>
      <c r="AF137" s="2"/>
      <c r="AG137" s="2"/>
      <c r="AH137" s="2"/>
      <c r="AI137" s="2"/>
      <c r="AJ137" s="2"/>
      <c r="AK137" s="2"/>
      <c r="AL137" s="2"/>
      <c r="AM137" s="2"/>
      <c r="AN137" s="9"/>
      <c r="AO137" s="9"/>
      <c r="AP137" s="9"/>
      <c r="AQ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224"/>
      <c r="X138" s="224"/>
      <c r="Y138" s="868"/>
      <c r="Z138" s="865"/>
      <c r="AA138" s="2"/>
      <c r="AB138" s="2"/>
      <c r="AC138" s="2"/>
      <c r="AD138" s="2"/>
      <c r="AE138" s="2"/>
      <c r="AF138" s="2"/>
      <c r="AG138" s="2"/>
      <c r="AH138" s="2"/>
      <c r="AI138" s="2"/>
      <c r="AJ138" s="2"/>
      <c r="AK138" s="2"/>
      <c r="AL138" s="2"/>
      <c r="AM138" s="2"/>
      <c r="AN138" s="9"/>
      <c r="AO138" s="9"/>
      <c r="AP138" s="9"/>
      <c r="AQ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224"/>
      <c r="X139" s="224"/>
      <c r="Y139" s="868"/>
      <c r="Z139" s="865"/>
      <c r="AA139" s="2"/>
      <c r="AB139" s="2"/>
      <c r="AC139" s="2"/>
      <c r="AD139" s="2"/>
      <c r="AE139" s="2"/>
      <c r="AF139" s="2"/>
      <c r="AG139" s="2"/>
      <c r="AH139" s="2"/>
      <c r="AI139" s="2"/>
      <c r="AJ139" s="2"/>
      <c r="AK139" s="2"/>
      <c r="AL139" s="2"/>
      <c r="AM139" s="2"/>
      <c r="AN139" s="9"/>
      <c r="AO139" s="9"/>
      <c r="AP139" s="9"/>
      <c r="AQ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224"/>
      <c r="X140" s="224"/>
      <c r="Y140" s="868"/>
      <c r="Z140" s="865"/>
      <c r="AA140" s="2"/>
      <c r="AB140" s="2"/>
      <c r="AC140" s="2"/>
      <c r="AD140" s="2"/>
      <c r="AE140" s="2"/>
      <c r="AF140" s="2"/>
      <c r="AG140" s="2"/>
      <c r="AH140" s="2"/>
      <c r="AI140" s="2"/>
      <c r="AJ140" s="2"/>
      <c r="AK140" s="2"/>
      <c r="AL140" s="2"/>
      <c r="AM140" s="2"/>
      <c r="AN140" s="9"/>
      <c r="AO140" s="9"/>
      <c r="AP140" s="9"/>
      <c r="AQ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224"/>
      <c r="X141" s="224"/>
      <c r="Y141" s="868"/>
      <c r="Z141" s="865"/>
      <c r="AA141" s="2"/>
      <c r="AB141" s="2"/>
      <c r="AC141" s="2"/>
      <c r="AD141" s="2"/>
      <c r="AE141" s="2"/>
      <c r="AF141" s="2"/>
      <c r="AG141" s="2"/>
      <c r="AH141" s="2"/>
      <c r="AI141" s="2"/>
      <c r="AJ141" s="2"/>
      <c r="AK141" s="2"/>
      <c r="AL141" s="2"/>
      <c r="AM141" s="2"/>
      <c r="AN141" s="9"/>
      <c r="AO141" s="9"/>
      <c r="AP141" s="9"/>
      <c r="AQ141" s="9"/>
    </row>
    <row r="142">
      <c r="A142" s="33"/>
      <c r="B142" s="2"/>
      <c r="C142" s="2"/>
      <c r="D142" s="2"/>
      <c r="E142" s="2"/>
      <c r="F142" s="4"/>
      <c r="G142" s="2"/>
      <c r="H142" s="2"/>
      <c r="I142" s="2"/>
      <c r="J142" s="2"/>
      <c r="K142" s="5"/>
      <c r="L142" s="2"/>
      <c r="M142" s="2"/>
      <c r="N142" s="2"/>
      <c r="O142" s="2"/>
      <c r="P142" s="2"/>
      <c r="Q142" s="2"/>
      <c r="R142" s="7"/>
      <c r="S142" s="226"/>
      <c r="T142" s="226"/>
      <c r="U142" s="226"/>
      <c r="V142" s="226"/>
      <c r="W142" s="224"/>
      <c r="X142" s="224"/>
      <c r="Y142" s="868"/>
      <c r="Z142" s="865"/>
      <c r="AA142" s="2"/>
      <c r="AB142" s="2"/>
      <c r="AC142" s="2"/>
      <c r="AD142" s="2"/>
      <c r="AE142" s="2"/>
      <c r="AF142" s="2"/>
      <c r="AG142" s="2"/>
      <c r="AH142" s="2"/>
      <c r="AI142" s="2"/>
      <c r="AJ142" s="2"/>
      <c r="AK142" s="2"/>
      <c r="AL142" s="2"/>
      <c r="AM142" s="2"/>
      <c r="AN142" s="9"/>
      <c r="AO142" s="9"/>
      <c r="AP142" s="9"/>
      <c r="AQ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224"/>
      <c r="X143" s="224"/>
      <c r="Y143" s="868"/>
      <c r="Z143" s="865"/>
      <c r="AA143" s="2"/>
      <c r="AB143" s="2"/>
      <c r="AC143" s="2"/>
      <c r="AD143" s="2"/>
      <c r="AE143" s="2"/>
      <c r="AF143" s="2"/>
      <c r="AG143" s="2"/>
      <c r="AH143" s="2"/>
      <c r="AI143" s="2"/>
      <c r="AJ143" s="2"/>
      <c r="AK143" s="2"/>
      <c r="AL143" s="2"/>
      <c r="AM143" s="2"/>
      <c r="AN143" s="9"/>
      <c r="AO143" s="9"/>
      <c r="AP143" s="9"/>
      <c r="AQ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224"/>
      <c r="X144" s="224"/>
      <c r="Y144" s="868"/>
      <c r="Z144" s="865"/>
      <c r="AA144" s="2"/>
      <c r="AB144" s="2"/>
      <c r="AC144" s="2"/>
      <c r="AD144" s="2"/>
      <c r="AE144" s="2"/>
      <c r="AF144" s="2"/>
      <c r="AG144" s="2"/>
      <c r="AH144" s="2"/>
      <c r="AI144" s="2"/>
      <c r="AJ144" s="2"/>
      <c r="AK144" s="2"/>
      <c r="AL144" s="2"/>
      <c r="AM144" s="2"/>
      <c r="AN144" s="9"/>
      <c r="AO144" s="9"/>
      <c r="AP144" s="9"/>
      <c r="AQ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224"/>
      <c r="X145" s="224"/>
      <c r="Y145" s="868"/>
      <c r="Z145" s="865"/>
      <c r="AA145" s="2"/>
      <c r="AB145" s="2"/>
      <c r="AC145" s="2"/>
      <c r="AD145" s="2"/>
      <c r="AE145" s="2"/>
      <c r="AF145" s="2"/>
      <c r="AG145" s="2"/>
      <c r="AH145" s="2"/>
      <c r="AI145" s="2"/>
      <c r="AJ145" s="2"/>
      <c r="AK145" s="2"/>
      <c r="AL145" s="2"/>
      <c r="AM145" s="2"/>
      <c r="AN145" s="9"/>
      <c r="AO145" s="9"/>
      <c r="AP145" s="9"/>
      <c r="AQ145" s="9"/>
    </row>
    <row r="146">
      <c r="A146" s="33"/>
      <c r="B146" s="2"/>
      <c r="C146" s="2"/>
      <c r="D146" s="2"/>
      <c r="E146" s="2"/>
      <c r="F146" s="4"/>
      <c r="G146" s="2"/>
      <c r="H146" s="2"/>
      <c r="I146" s="2"/>
      <c r="J146" s="2"/>
      <c r="K146" s="5"/>
      <c r="L146" s="2"/>
      <c r="M146" s="2"/>
      <c r="N146" s="2"/>
      <c r="O146" s="2"/>
      <c r="P146" s="2"/>
      <c r="Q146" s="2"/>
      <c r="R146" s="7"/>
      <c r="S146" s="224"/>
      <c r="T146" s="224"/>
      <c r="U146" s="224"/>
      <c r="V146" s="224"/>
      <c r="W146" s="224"/>
      <c r="X146" s="224"/>
      <c r="Y146" s="868"/>
      <c r="Z146" s="865"/>
      <c r="AA146" s="2"/>
      <c r="AB146" s="2"/>
      <c r="AC146" s="2"/>
      <c r="AD146" s="2"/>
      <c r="AE146" s="2"/>
      <c r="AF146" s="2"/>
      <c r="AG146" s="2"/>
      <c r="AH146" s="2"/>
      <c r="AI146" s="2"/>
      <c r="AJ146" s="2"/>
      <c r="AK146" s="2"/>
      <c r="AL146" s="2"/>
      <c r="AM146" s="2"/>
      <c r="AN146" s="9"/>
      <c r="AO146" s="9"/>
      <c r="AP146" s="9"/>
      <c r="AQ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224"/>
      <c r="X147" s="224"/>
      <c r="Y147" s="868"/>
      <c r="Z147" s="865"/>
      <c r="AA147" s="2"/>
      <c r="AB147" s="2"/>
      <c r="AC147" s="2"/>
      <c r="AD147" s="2"/>
      <c r="AE147" s="2"/>
      <c r="AF147" s="2"/>
      <c r="AG147" s="2"/>
      <c r="AH147" s="2"/>
      <c r="AI147" s="2"/>
      <c r="AJ147" s="2"/>
      <c r="AK147" s="2"/>
      <c r="AL147" s="2"/>
      <c r="AM147" s="2"/>
      <c r="AN147" s="9"/>
      <c r="AO147" s="9"/>
      <c r="AP147" s="9"/>
      <c r="AQ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224"/>
      <c r="X148" s="224"/>
      <c r="Y148" s="868"/>
      <c r="Z148" s="865"/>
      <c r="AA148" s="2"/>
      <c r="AB148" s="2"/>
      <c r="AC148" s="2"/>
      <c r="AD148" s="2"/>
      <c r="AE148" s="2"/>
      <c r="AF148" s="2"/>
      <c r="AG148" s="2"/>
      <c r="AH148" s="2"/>
      <c r="AI148" s="2"/>
      <c r="AJ148" s="2"/>
      <c r="AK148" s="2"/>
      <c r="AL148" s="2"/>
      <c r="AM148" s="2"/>
      <c r="AN148" s="9"/>
      <c r="AO148" s="9"/>
      <c r="AP148" s="9"/>
      <c r="AQ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224"/>
      <c r="X149" s="224"/>
      <c r="Y149" s="868"/>
      <c r="Z149" s="865"/>
      <c r="AA149" s="2"/>
      <c r="AB149" s="2"/>
      <c r="AC149" s="2"/>
      <c r="AD149" s="2"/>
      <c r="AE149" s="2"/>
      <c r="AF149" s="2"/>
      <c r="AG149" s="2"/>
      <c r="AH149" s="2"/>
      <c r="AI149" s="2"/>
      <c r="AJ149" s="2"/>
      <c r="AK149" s="2"/>
      <c r="AL149" s="2"/>
      <c r="AM149" s="2"/>
      <c r="AN149" s="9"/>
      <c r="AO149" s="9"/>
      <c r="AP149" s="9"/>
      <c r="AQ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224"/>
      <c r="X150" s="224"/>
      <c r="Y150" s="868"/>
      <c r="Z150" s="865"/>
      <c r="AA150" s="2"/>
      <c r="AB150" s="2"/>
      <c r="AC150" s="2"/>
      <c r="AD150" s="2"/>
      <c r="AE150" s="2"/>
      <c r="AF150" s="2"/>
      <c r="AG150" s="2"/>
      <c r="AH150" s="2"/>
      <c r="AI150" s="2"/>
      <c r="AJ150" s="2"/>
      <c r="AK150" s="2"/>
      <c r="AL150" s="2"/>
      <c r="AM150" s="2"/>
      <c r="AN150" s="9"/>
      <c r="AO150" s="9"/>
      <c r="AP150" s="9"/>
      <c r="AQ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224"/>
      <c r="X151" s="224"/>
      <c r="Y151" s="868"/>
      <c r="Z151" s="865"/>
      <c r="AA151" s="2"/>
      <c r="AB151" s="2"/>
      <c r="AC151" s="2"/>
      <c r="AD151" s="2"/>
      <c r="AE151" s="2"/>
      <c r="AF151" s="2"/>
      <c r="AG151" s="2"/>
      <c r="AH151" s="2"/>
      <c r="AI151" s="2"/>
      <c r="AJ151" s="2"/>
      <c r="AK151" s="2"/>
      <c r="AL151" s="2"/>
      <c r="AM151" s="2"/>
      <c r="AN151" s="9"/>
      <c r="AO151" s="9"/>
      <c r="AP151" s="9"/>
      <c r="AQ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224"/>
      <c r="X152" s="224"/>
      <c r="Y152" s="868"/>
      <c r="Z152" s="865"/>
      <c r="AA152" s="2"/>
      <c r="AB152" s="2"/>
      <c r="AC152" s="2"/>
      <c r="AD152" s="2"/>
      <c r="AE152" s="2"/>
      <c r="AF152" s="2"/>
      <c r="AG152" s="2"/>
      <c r="AH152" s="2"/>
      <c r="AI152" s="2"/>
      <c r="AJ152" s="2"/>
      <c r="AK152" s="2"/>
      <c r="AL152" s="2"/>
      <c r="AM152" s="2"/>
      <c r="AN152" s="9"/>
      <c r="AO152" s="9"/>
      <c r="AP152" s="9"/>
      <c r="AQ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224"/>
      <c r="X153" s="224"/>
      <c r="Y153" s="868"/>
      <c r="Z153" s="865"/>
      <c r="AA153" s="2"/>
      <c r="AB153" s="2"/>
      <c r="AC153" s="2"/>
      <c r="AD153" s="2"/>
      <c r="AE153" s="2"/>
      <c r="AF153" s="2"/>
      <c r="AG153" s="2"/>
      <c r="AH153" s="2"/>
      <c r="AI153" s="2"/>
      <c r="AJ153" s="2"/>
      <c r="AK153" s="2"/>
      <c r="AL153" s="2"/>
      <c r="AM153" s="2"/>
      <c r="AN153" s="9"/>
      <c r="AO153" s="9"/>
      <c r="AP153" s="9"/>
      <c r="AQ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224"/>
      <c r="X154" s="224"/>
      <c r="Y154" s="868"/>
      <c r="Z154" s="865"/>
      <c r="AA154" s="2"/>
      <c r="AB154" s="2"/>
      <c r="AC154" s="2"/>
      <c r="AD154" s="2"/>
      <c r="AE154" s="2"/>
      <c r="AF154" s="2"/>
      <c r="AG154" s="2"/>
      <c r="AH154" s="2"/>
      <c r="AI154" s="2"/>
      <c r="AJ154" s="2"/>
      <c r="AK154" s="2"/>
      <c r="AL154" s="2"/>
      <c r="AM154" s="2"/>
      <c r="AN154" s="9"/>
      <c r="AO154" s="9"/>
      <c r="AP154" s="9"/>
      <c r="AQ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224"/>
      <c r="X155" s="224"/>
      <c r="Y155" s="868"/>
      <c r="Z155" s="865"/>
      <c r="AA155" s="2"/>
      <c r="AB155" s="2"/>
      <c r="AC155" s="2"/>
      <c r="AD155" s="2"/>
      <c r="AE155" s="2"/>
      <c r="AF155" s="2"/>
      <c r="AG155" s="2"/>
      <c r="AH155" s="2"/>
      <c r="AI155" s="2"/>
      <c r="AJ155" s="2"/>
      <c r="AK155" s="2"/>
      <c r="AL155" s="2"/>
      <c r="AM155" s="2"/>
      <c r="AN155" s="9"/>
      <c r="AO155" s="9"/>
      <c r="AP155" s="9"/>
      <c r="AQ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224"/>
      <c r="X156" s="224"/>
      <c r="Y156" s="868"/>
      <c r="Z156" s="865"/>
      <c r="AA156" s="2"/>
      <c r="AB156" s="2"/>
      <c r="AC156" s="2"/>
      <c r="AD156" s="2"/>
      <c r="AE156" s="2"/>
      <c r="AF156" s="2"/>
      <c r="AG156" s="2"/>
      <c r="AH156" s="2"/>
      <c r="AI156" s="2"/>
      <c r="AJ156" s="2"/>
      <c r="AK156" s="2"/>
      <c r="AL156" s="2"/>
      <c r="AM156" s="2"/>
      <c r="AN156" s="9"/>
      <c r="AO156" s="9"/>
      <c r="AP156" s="9"/>
      <c r="AQ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224"/>
      <c r="X157" s="224"/>
      <c r="Y157" s="868"/>
      <c r="Z157" s="865"/>
      <c r="AA157" s="2"/>
      <c r="AB157" s="2"/>
      <c r="AC157" s="2"/>
      <c r="AD157" s="2"/>
      <c r="AE157" s="2"/>
      <c r="AF157" s="2"/>
      <c r="AG157" s="2"/>
      <c r="AH157" s="2"/>
      <c r="AI157" s="2"/>
      <c r="AJ157" s="2"/>
      <c r="AK157" s="2"/>
      <c r="AL157" s="2"/>
      <c r="AM157" s="2"/>
      <c r="AN157" s="9"/>
      <c r="AO157" s="9"/>
      <c r="AP157" s="9"/>
      <c r="AQ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224"/>
      <c r="X158" s="224"/>
      <c r="Y158" s="868"/>
      <c r="Z158" s="865"/>
      <c r="AA158" s="2"/>
      <c r="AB158" s="2"/>
      <c r="AC158" s="2"/>
      <c r="AD158" s="2"/>
      <c r="AE158" s="2"/>
      <c r="AF158" s="2"/>
      <c r="AG158" s="2"/>
      <c r="AH158" s="2"/>
      <c r="AI158" s="2"/>
      <c r="AJ158" s="2"/>
      <c r="AK158" s="2"/>
      <c r="AL158" s="2"/>
      <c r="AM158" s="2"/>
      <c r="AN158" s="9"/>
      <c r="AO158" s="9"/>
      <c r="AP158" s="9"/>
      <c r="AQ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224"/>
      <c r="X159" s="224"/>
      <c r="Y159" s="868"/>
      <c r="Z159" s="865"/>
      <c r="AA159" s="2"/>
      <c r="AB159" s="2"/>
      <c r="AC159" s="2"/>
      <c r="AD159" s="2"/>
      <c r="AE159" s="2"/>
      <c r="AF159" s="2"/>
      <c r="AG159" s="2"/>
      <c r="AH159" s="2"/>
      <c r="AI159" s="2"/>
      <c r="AJ159" s="2"/>
      <c r="AK159" s="2"/>
      <c r="AL159" s="2"/>
      <c r="AM159" s="2"/>
      <c r="AN159" s="9"/>
      <c r="AO159" s="9"/>
      <c r="AP159" s="9"/>
      <c r="AQ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224"/>
      <c r="X160" s="224"/>
      <c r="Y160" s="868"/>
      <c r="Z160" s="865"/>
      <c r="AA160" s="2"/>
      <c r="AB160" s="2"/>
      <c r="AC160" s="2"/>
      <c r="AD160" s="2"/>
      <c r="AE160" s="2"/>
      <c r="AF160" s="2"/>
      <c r="AG160" s="2"/>
      <c r="AH160" s="2"/>
      <c r="AI160" s="2"/>
      <c r="AJ160" s="2"/>
      <c r="AK160" s="2"/>
      <c r="AL160" s="2"/>
      <c r="AM160" s="2"/>
      <c r="AN160" s="9"/>
      <c r="AO160" s="9"/>
      <c r="AP160" s="9"/>
      <c r="AQ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224"/>
      <c r="X161" s="224"/>
      <c r="Y161" s="868"/>
      <c r="Z161" s="865"/>
      <c r="AA161" s="2"/>
      <c r="AB161" s="2"/>
      <c r="AC161" s="2"/>
      <c r="AD161" s="2"/>
      <c r="AE161" s="2"/>
      <c r="AF161" s="2"/>
      <c r="AG161" s="2"/>
      <c r="AH161" s="2"/>
      <c r="AI161" s="2"/>
      <c r="AJ161" s="2"/>
      <c r="AK161" s="2"/>
      <c r="AL161" s="2"/>
      <c r="AM161" s="2"/>
      <c r="AN161" s="9"/>
      <c r="AO161" s="9"/>
      <c r="AP161" s="9"/>
      <c r="AQ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224"/>
      <c r="X162" s="224"/>
      <c r="Y162" s="868"/>
      <c r="Z162" s="865"/>
      <c r="AA162" s="2"/>
      <c r="AB162" s="2"/>
      <c r="AC162" s="2"/>
      <c r="AD162" s="2"/>
      <c r="AE162" s="2"/>
      <c r="AF162" s="2"/>
      <c r="AG162" s="2"/>
      <c r="AH162" s="2"/>
      <c r="AI162" s="2"/>
      <c r="AJ162" s="2"/>
      <c r="AK162" s="2"/>
      <c r="AL162" s="2"/>
      <c r="AM162" s="2"/>
      <c r="AN162" s="9"/>
      <c r="AO162" s="9"/>
      <c r="AP162" s="9"/>
      <c r="AQ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224"/>
      <c r="X163" s="224"/>
      <c r="Y163" s="868"/>
      <c r="Z163" s="865"/>
      <c r="AA163" s="2"/>
      <c r="AB163" s="2"/>
      <c r="AC163" s="2"/>
      <c r="AD163" s="2"/>
      <c r="AE163" s="2"/>
      <c r="AF163" s="2"/>
      <c r="AG163" s="2"/>
      <c r="AH163" s="2"/>
      <c r="AI163" s="2"/>
      <c r="AJ163" s="2"/>
      <c r="AK163" s="2"/>
      <c r="AL163" s="2"/>
      <c r="AM163" s="2"/>
      <c r="AN163" s="9"/>
      <c r="AO163" s="9"/>
      <c r="AP163" s="9"/>
      <c r="AQ163" s="9"/>
    </row>
    <row r="164">
      <c r="A164" s="33"/>
      <c r="B164" s="2"/>
      <c r="C164" s="2"/>
      <c r="D164" s="2"/>
      <c r="E164" s="2"/>
      <c r="F164" s="4"/>
      <c r="G164" s="2"/>
      <c r="H164" s="2"/>
      <c r="I164" s="2"/>
      <c r="J164" s="2"/>
      <c r="K164" s="5"/>
      <c r="L164" s="2"/>
      <c r="M164" s="2"/>
      <c r="N164" s="2"/>
      <c r="O164" s="2"/>
      <c r="P164" s="2"/>
      <c r="Q164" s="2"/>
      <c r="R164" s="7"/>
      <c r="S164" s="224"/>
      <c r="T164" s="224"/>
      <c r="U164" s="224"/>
      <c r="V164" s="224"/>
      <c r="W164" s="224"/>
      <c r="X164" s="224"/>
      <c r="Y164" s="868"/>
      <c r="Z164" s="865"/>
      <c r="AA164" s="2"/>
      <c r="AB164" s="2"/>
      <c r="AC164" s="2"/>
      <c r="AD164" s="2"/>
      <c r="AE164" s="2"/>
      <c r="AF164" s="2"/>
      <c r="AG164" s="2"/>
      <c r="AH164" s="2"/>
      <c r="AI164" s="2"/>
      <c r="AJ164" s="2"/>
      <c r="AK164" s="2"/>
      <c r="AL164" s="2"/>
      <c r="AM164" s="2"/>
      <c r="AN164" s="9"/>
      <c r="AO164" s="9"/>
      <c r="AP164" s="9"/>
      <c r="AQ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224"/>
      <c r="X165" s="224"/>
      <c r="Y165" s="868"/>
      <c r="Z165" s="865"/>
      <c r="AA165" s="2"/>
      <c r="AB165" s="2"/>
      <c r="AC165" s="2"/>
      <c r="AD165" s="2"/>
      <c r="AE165" s="2"/>
      <c r="AF165" s="2"/>
      <c r="AG165" s="2"/>
      <c r="AH165" s="2"/>
      <c r="AI165" s="2"/>
      <c r="AJ165" s="2"/>
      <c r="AK165" s="2"/>
      <c r="AL165" s="2"/>
      <c r="AM165" s="2"/>
      <c r="AN165" s="9"/>
      <c r="AO165" s="9"/>
      <c r="AP165" s="9"/>
      <c r="AQ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224"/>
      <c r="X166" s="224"/>
      <c r="Y166" s="868"/>
      <c r="Z166" s="865"/>
      <c r="AA166" s="2"/>
      <c r="AB166" s="2"/>
      <c r="AC166" s="2"/>
      <c r="AD166" s="2"/>
      <c r="AE166" s="2"/>
      <c r="AF166" s="2"/>
      <c r="AG166" s="2"/>
      <c r="AH166" s="2"/>
      <c r="AI166" s="2"/>
      <c r="AJ166" s="2"/>
      <c r="AK166" s="2"/>
      <c r="AL166" s="2"/>
      <c r="AM166" s="2"/>
      <c r="AN166" s="9"/>
      <c r="AO166" s="9"/>
      <c r="AP166" s="9"/>
      <c r="AQ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224"/>
      <c r="X167" s="224"/>
      <c r="Y167" s="868"/>
      <c r="Z167" s="865"/>
      <c r="AA167" s="2"/>
      <c r="AB167" s="2"/>
      <c r="AC167" s="2"/>
      <c r="AD167" s="2"/>
      <c r="AE167" s="2"/>
      <c r="AF167" s="2"/>
      <c r="AG167" s="2"/>
      <c r="AH167" s="2"/>
      <c r="AI167" s="2"/>
      <c r="AJ167" s="2"/>
      <c r="AK167" s="2"/>
      <c r="AL167" s="2"/>
      <c r="AM167" s="2"/>
      <c r="AN167" s="9"/>
      <c r="AO167" s="9"/>
      <c r="AP167" s="9"/>
      <c r="AQ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224"/>
      <c r="X168" s="224"/>
      <c r="Y168" s="868"/>
      <c r="Z168" s="865"/>
      <c r="AA168" s="2"/>
      <c r="AB168" s="2"/>
      <c r="AC168" s="2"/>
      <c r="AD168" s="2"/>
      <c r="AE168" s="2"/>
      <c r="AF168" s="2"/>
      <c r="AG168" s="2"/>
      <c r="AH168" s="2"/>
      <c r="AI168" s="2"/>
      <c r="AJ168" s="2"/>
      <c r="AK168" s="2"/>
      <c r="AL168" s="2"/>
      <c r="AM168" s="2"/>
      <c r="AN168" s="9"/>
      <c r="AO168" s="9"/>
      <c r="AP168" s="9"/>
      <c r="AQ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224"/>
      <c r="X169" s="224"/>
      <c r="Y169" s="868"/>
      <c r="Z169" s="865"/>
      <c r="AA169" s="2"/>
      <c r="AB169" s="2"/>
      <c r="AC169" s="2"/>
      <c r="AD169" s="2"/>
      <c r="AE169" s="2"/>
      <c r="AF169" s="2"/>
      <c r="AG169" s="2"/>
      <c r="AH169" s="2"/>
      <c r="AI169" s="2"/>
      <c r="AJ169" s="2"/>
      <c r="AK169" s="2"/>
      <c r="AL169" s="2"/>
      <c r="AM169" s="2"/>
      <c r="AN169" s="9"/>
      <c r="AO169" s="9"/>
      <c r="AP169" s="9"/>
      <c r="AQ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224"/>
      <c r="X170" s="224"/>
      <c r="Y170" s="868"/>
      <c r="Z170" s="865"/>
      <c r="AA170" s="2"/>
      <c r="AB170" s="2"/>
      <c r="AC170" s="2"/>
      <c r="AD170" s="2"/>
      <c r="AE170" s="2"/>
      <c r="AF170" s="2"/>
      <c r="AG170" s="2"/>
      <c r="AH170" s="2"/>
      <c r="AI170" s="2"/>
      <c r="AJ170" s="2"/>
      <c r="AK170" s="2"/>
      <c r="AL170" s="2"/>
      <c r="AM170" s="2"/>
      <c r="AN170" s="9"/>
      <c r="AO170" s="9"/>
      <c r="AP170" s="9"/>
      <c r="AQ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224"/>
      <c r="X171" s="224"/>
      <c r="Y171" s="868"/>
      <c r="Z171" s="865"/>
      <c r="AA171" s="2"/>
      <c r="AB171" s="2"/>
      <c r="AC171" s="2"/>
      <c r="AD171" s="2"/>
      <c r="AE171" s="2"/>
      <c r="AF171" s="2"/>
      <c r="AG171" s="2"/>
      <c r="AH171" s="2"/>
      <c r="AI171" s="2"/>
      <c r="AJ171" s="2"/>
      <c r="AK171" s="2"/>
      <c r="AL171" s="2"/>
      <c r="AM171" s="2"/>
      <c r="AN171" s="9"/>
      <c r="AO171" s="9"/>
      <c r="AP171" s="9"/>
      <c r="AQ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224"/>
      <c r="X172" s="224"/>
      <c r="Y172" s="868"/>
      <c r="Z172" s="865"/>
      <c r="AA172" s="2"/>
      <c r="AB172" s="2"/>
      <c r="AC172" s="2"/>
      <c r="AD172" s="2"/>
      <c r="AE172" s="2"/>
      <c r="AF172" s="2"/>
      <c r="AG172" s="2"/>
      <c r="AH172" s="2"/>
      <c r="AI172" s="2"/>
      <c r="AJ172" s="2"/>
      <c r="AK172" s="2"/>
      <c r="AL172" s="2"/>
      <c r="AM172" s="2"/>
      <c r="AN172" s="9"/>
      <c r="AO172" s="9"/>
      <c r="AP172" s="9"/>
      <c r="AQ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224"/>
      <c r="X173" s="224"/>
      <c r="Y173" s="868"/>
      <c r="Z173" s="865"/>
      <c r="AA173" s="2"/>
      <c r="AB173" s="2"/>
      <c r="AC173" s="2"/>
      <c r="AD173" s="2"/>
      <c r="AE173" s="2"/>
      <c r="AF173" s="2"/>
      <c r="AG173" s="2"/>
      <c r="AH173" s="2"/>
      <c r="AI173" s="2"/>
      <c r="AJ173" s="2"/>
      <c r="AK173" s="2"/>
      <c r="AL173" s="2"/>
      <c r="AM173" s="2"/>
      <c r="AN173" s="9"/>
      <c r="AO173" s="9"/>
      <c r="AP173" s="9"/>
      <c r="AQ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224"/>
      <c r="X174" s="224"/>
      <c r="Y174" s="868"/>
      <c r="Z174" s="865"/>
      <c r="AA174" s="2"/>
      <c r="AB174" s="2"/>
      <c r="AC174" s="2"/>
      <c r="AD174" s="2"/>
      <c r="AE174" s="2"/>
      <c r="AF174" s="2"/>
      <c r="AG174" s="2"/>
      <c r="AH174" s="2"/>
      <c r="AI174" s="2"/>
      <c r="AJ174" s="2"/>
      <c r="AK174" s="2"/>
      <c r="AL174" s="2"/>
      <c r="AM174" s="2"/>
      <c r="AN174" s="9"/>
      <c r="AO174" s="9"/>
      <c r="AP174" s="9"/>
      <c r="AQ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224"/>
      <c r="X175" s="224"/>
      <c r="Y175" s="868"/>
      <c r="Z175" s="865"/>
      <c r="AA175" s="2"/>
      <c r="AB175" s="2"/>
      <c r="AC175" s="2"/>
      <c r="AD175" s="2"/>
      <c r="AE175" s="2"/>
      <c r="AF175" s="2"/>
      <c r="AG175" s="2"/>
      <c r="AH175" s="2"/>
      <c r="AI175" s="2"/>
      <c r="AJ175" s="2"/>
      <c r="AK175" s="2"/>
      <c r="AL175" s="2"/>
      <c r="AM175" s="2"/>
      <c r="AN175" s="9"/>
      <c r="AO175" s="9"/>
      <c r="AP175" s="9"/>
      <c r="AQ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224"/>
      <c r="X176" s="224"/>
      <c r="Y176" s="868"/>
      <c r="Z176" s="865"/>
      <c r="AA176" s="2"/>
      <c r="AB176" s="2"/>
      <c r="AC176" s="2"/>
      <c r="AD176" s="2"/>
      <c r="AE176" s="2"/>
      <c r="AF176" s="2"/>
      <c r="AG176" s="2"/>
      <c r="AH176" s="2"/>
      <c r="AI176" s="2"/>
      <c r="AJ176" s="2"/>
      <c r="AK176" s="2"/>
      <c r="AL176" s="2"/>
      <c r="AM176" s="2"/>
      <c r="AN176" s="9"/>
      <c r="AO176" s="9"/>
      <c r="AP176" s="9"/>
      <c r="AQ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224"/>
      <c r="X177" s="224"/>
      <c r="Y177" s="868"/>
      <c r="Z177" s="865"/>
      <c r="AA177" s="2"/>
      <c r="AB177" s="2"/>
      <c r="AC177" s="2"/>
      <c r="AD177" s="2"/>
      <c r="AE177" s="2"/>
      <c r="AF177" s="2"/>
      <c r="AG177" s="2"/>
      <c r="AH177" s="2"/>
      <c r="AI177" s="2"/>
      <c r="AJ177" s="2"/>
      <c r="AK177" s="2"/>
      <c r="AL177" s="2"/>
      <c r="AM177" s="2"/>
      <c r="AN177" s="9"/>
      <c r="AO177" s="9"/>
      <c r="AP177" s="9"/>
      <c r="AQ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224"/>
      <c r="X178" s="224"/>
      <c r="Y178" s="868"/>
      <c r="Z178" s="865"/>
      <c r="AA178" s="2"/>
      <c r="AB178" s="2"/>
      <c r="AC178" s="2"/>
      <c r="AD178" s="2"/>
      <c r="AE178" s="2"/>
      <c r="AF178" s="2"/>
      <c r="AG178" s="2"/>
      <c r="AH178" s="2"/>
      <c r="AI178" s="2"/>
      <c r="AJ178" s="2"/>
      <c r="AK178" s="2"/>
      <c r="AL178" s="2"/>
      <c r="AM178" s="2"/>
      <c r="AN178" s="9"/>
      <c r="AO178" s="9"/>
      <c r="AP178" s="9"/>
      <c r="AQ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224"/>
      <c r="X179" s="224"/>
      <c r="Y179" s="868"/>
      <c r="Z179" s="865"/>
      <c r="AA179" s="2"/>
      <c r="AB179" s="2"/>
      <c r="AC179" s="2"/>
      <c r="AD179" s="2"/>
      <c r="AE179" s="2"/>
      <c r="AF179" s="2"/>
      <c r="AG179" s="2"/>
      <c r="AH179" s="2"/>
      <c r="AI179" s="2"/>
      <c r="AJ179" s="2"/>
      <c r="AK179" s="2"/>
      <c r="AL179" s="2"/>
      <c r="AM179" s="2"/>
      <c r="AN179" s="9"/>
      <c r="AO179" s="9"/>
      <c r="AP179" s="9"/>
      <c r="AQ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224"/>
      <c r="X180" s="224"/>
      <c r="Y180" s="868"/>
      <c r="Z180" s="865"/>
      <c r="AA180" s="2"/>
      <c r="AB180" s="2"/>
      <c r="AC180" s="2"/>
      <c r="AD180" s="2"/>
      <c r="AE180" s="2"/>
      <c r="AF180" s="2"/>
      <c r="AG180" s="2"/>
      <c r="AH180" s="2"/>
      <c r="AI180" s="2"/>
      <c r="AJ180" s="2"/>
      <c r="AK180" s="2"/>
      <c r="AL180" s="2"/>
      <c r="AM180" s="2"/>
      <c r="AN180" s="9"/>
      <c r="AO180" s="9"/>
      <c r="AP180" s="9"/>
      <c r="AQ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224"/>
      <c r="X181" s="224"/>
      <c r="Y181" s="868"/>
      <c r="Z181" s="865"/>
      <c r="AA181" s="2"/>
      <c r="AB181" s="2"/>
      <c r="AC181" s="2"/>
      <c r="AD181" s="2"/>
      <c r="AE181" s="2"/>
      <c r="AF181" s="2"/>
      <c r="AG181" s="2"/>
      <c r="AH181" s="2"/>
      <c r="AI181" s="2"/>
      <c r="AJ181" s="2"/>
      <c r="AK181" s="2"/>
      <c r="AL181" s="2"/>
      <c r="AM181" s="2"/>
      <c r="AN181" s="9"/>
      <c r="AO181" s="9"/>
      <c r="AP181" s="9"/>
      <c r="AQ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224"/>
      <c r="X182" s="224"/>
      <c r="Y182" s="868"/>
      <c r="Z182" s="865"/>
      <c r="AA182" s="2"/>
      <c r="AB182" s="2"/>
      <c r="AC182" s="2"/>
      <c r="AD182" s="2"/>
      <c r="AE182" s="2"/>
      <c r="AF182" s="2"/>
      <c r="AG182" s="2"/>
      <c r="AH182" s="2"/>
      <c r="AI182" s="2"/>
      <c r="AJ182" s="2"/>
      <c r="AK182" s="2"/>
      <c r="AL182" s="2"/>
      <c r="AM182" s="2"/>
      <c r="AN182" s="9"/>
      <c r="AO182" s="9"/>
      <c r="AP182" s="9"/>
      <c r="AQ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224"/>
      <c r="X183" s="224"/>
      <c r="Y183" s="868"/>
      <c r="Z183" s="865"/>
      <c r="AA183" s="2"/>
      <c r="AB183" s="2"/>
      <c r="AC183" s="2"/>
      <c r="AD183" s="2"/>
      <c r="AE183" s="2"/>
      <c r="AF183" s="2"/>
      <c r="AG183" s="2"/>
      <c r="AH183" s="2"/>
      <c r="AI183" s="2"/>
      <c r="AJ183" s="2"/>
      <c r="AK183" s="2"/>
      <c r="AL183" s="2"/>
      <c r="AM183" s="2"/>
      <c r="AN183" s="9"/>
      <c r="AO183" s="9"/>
      <c r="AP183" s="9"/>
      <c r="AQ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224"/>
      <c r="X184" s="224"/>
      <c r="Y184" s="868"/>
      <c r="Z184" s="865"/>
      <c r="AA184" s="2"/>
      <c r="AB184" s="2"/>
      <c r="AC184" s="2"/>
      <c r="AD184" s="2"/>
      <c r="AE184" s="2"/>
      <c r="AF184" s="2"/>
      <c r="AG184" s="2"/>
      <c r="AH184" s="2"/>
      <c r="AI184" s="2"/>
      <c r="AJ184" s="2"/>
      <c r="AK184" s="2"/>
      <c r="AL184" s="2"/>
      <c r="AM184" s="2"/>
      <c r="AN184" s="9"/>
      <c r="AO184" s="9"/>
      <c r="AP184" s="9"/>
      <c r="AQ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224"/>
      <c r="X185" s="224"/>
      <c r="Y185" s="868"/>
      <c r="Z185" s="865"/>
      <c r="AA185" s="2"/>
      <c r="AB185" s="2"/>
      <c r="AC185" s="2"/>
      <c r="AD185" s="2"/>
      <c r="AE185" s="2"/>
      <c r="AF185" s="2"/>
      <c r="AG185" s="2"/>
      <c r="AH185" s="2"/>
      <c r="AI185" s="2"/>
      <c r="AJ185" s="2"/>
      <c r="AK185" s="2"/>
      <c r="AL185" s="2"/>
      <c r="AM185" s="2"/>
      <c r="AN185" s="9"/>
      <c r="AO185" s="9"/>
      <c r="AP185" s="9"/>
      <c r="AQ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224"/>
      <c r="X186" s="224"/>
      <c r="Y186" s="868"/>
      <c r="Z186" s="865"/>
      <c r="AA186" s="2"/>
      <c r="AB186" s="2"/>
      <c r="AC186" s="2"/>
      <c r="AD186" s="2"/>
      <c r="AE186" s="2"/>
      <c r="AF186" s="2"/>
      <c r="AG186" s="2"/>
      <c r="AH186" s="2"/>
      <c r="AI186" s="2"/>
      <c r="AJ186" s="2"/>
      <c r="AK186" s="2"/>
      <c r="AL186" s="2"/>
      <c r="AM186" s="2"/>
      <c r="AN186" s="9"/>
      <c r="AO186" s="9"/>
      <c r="AP186" s="9"/>
      <c r="AQ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224"/>
      <c r="X187" s="224"/>
      <c r="Y187" s="868"/>
      <c r="Z187" s="865"/>
      <c r="AA187" s="2"/>
      <c r="AB187" s="2"/>
      <c r="AC187" s="2"/>
      <c r="AD187" s="2"/>
      <c r="AE187" s="2"/>
      <c r="AF187" s="2"/>
      <c r="AG187" s="2"/>
      <c r="AH187" s="2"/>
      <c r="AI187" s="2"/>
      <c r="AJ187" s="2"/>
      <c r="AK187" s="2"/>
      <c r="AL187" s="2"/>
      <c r="AM187" s="2"/>
      <c r="AN187" s="9"/>
      <c r="AO187" s="9"/>
      <c r="AP187" s="9"/>
      <c r="AQ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224"/>
      <c r="X188" s="224"/>
      <c r="Y188" s="868"/>
      <c r="Z188" s="865"/>
      <c r="AA188" s="2"/>
      <c r="AB188" s="2"/>
      <c r="AC188" s="2"/>
      <c r="AD188" s="2"/>
      <c r="AE188" s="2"/>
      <c r="AF188" s="2"/>
      <c r="AG188" s="2"/>
      <c r="AH188" s="2"/>
      <c r="AI188" s="2"/>
      <c r="AJ188" s="2"/>
      <c r="AK188" s="2"/>
      <c r="AL188" s="2"/>
      <c r="AM188" s="2"/>
      <c r="AN188" s="9"/>
      <c r="AO188" s="9"/>
      <c r="AP188" s="9"/>
      <c r="AQ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224"/>
      <c r="X189" s="224"/>
      <c r="Y189" s="868"/>
      <c r="Z189" s="865"/>
      <c r="AA189" s="2"/>
      <c r="AB189" s="2"/>
      <c r="AC189" s="2"/>
      <c r="AD189" s="2"/>
      <c r="AE189" s="2"/>
      <c r="AF189" s="2"/>
      <c r="AG189" s="2"/>
      <c r="AH189" s="2"/>
      <c r="AI189" s="2"/>
      <c r="AJ189" s="2"/>
      <c r="AK189" s="2"/>
      <c r="AL189" s="2"/>
      <c r="AM189" s="2"/>
      <c r="AN189" s="9"/>
      <c r="AO189" s="9"/>
      <c r="AP189" s="9"/>
      <c r="AQ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224"/>
      <c r="X190" s="224"/>
      <c r="Y190" s="868"/>
      <c r="Z190" s="865"/>
      <c r="AA190" s="2"/>
      <c r="AB190" s="2"/>
      <c r="AC190" s="2"/>
      <c r="AD190" s="2"/>
      <c r="AE190" s="2"/>
      <c r="AF190" s="2"/>
      <c r="AG190" s="2"/>
      <c r="AH190" s="2"/>
      <c r="AI190" s="2"/>
      <c r="AJ190" s="2"/>
      <c r="AK190" s="2"/>
      <c r="AL190" s="2"/>
      <c r="AM190" s="2"/>
      <c r="AN190" s="9"/>
      <c r="AO190" s="9"/>
      <c r="AP190" s="9"/>
      <c r="AQ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224"/>
      <c r="X191" s="224"/>
      <c r="Y191" s="868"/>
      <c r="Z191" s="865"/>
      <c r="AA191" s="2"/>
      <c r="AB191" s="2"/>
      <c r="AC191" s="2"/>
      <c r="AD191" s="2"/>
      <c r="AE191" s="2"/>
      <c r="AF191" s="2"/>
      <c r="AG191" s="2"/>
      <c r="AH191" s="2"/>
      <c r="AI191" s="2"/>
      <c r="AJ191" s="2"/>
      <c r="AK191" s="2"/>
      <c r="AL191" s="2"/>
      <c r="AM191" s="2"/>
      <c r="AN191" s="9"/>
      <c r="AO191" s="9"/>
      <c r="AP191" s="9"/>
      <c r="AQ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224"/>
      <c r="X192" s="224"/>
      <c r="Y192" s="868"/>
      <c r="Z192" s="865"/>
      <c r="AA192" s="2"/>
      <c r="AB192" s="2"/>
      <c r="AC192" s="2"/>
      <c r="AD192" s="2"/>
      <c r="AE192" s="2"/>
      <c r="AF192" s="2"/>
      <c r="AG192" s="2"/>
      <c r="AH192" s="2"/>
      <c r="AI192" s="2"/>
      <c r="AJ192" s="2"/>
      <c r="AK192" s="2"/>
      <c r="AL192" s="2"/>
      <c r="AM192" s="2"/>
      <c r="AN192" s="9"/>
      <c r="AO192" s="9"/>
      <c r="AP192" s="9"/>
      <c r="AQ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224"/>
      <c r="X193" s="224"/>
      <c r="Y193" s="868"/>
      <c r="Z193" s="865"/>
      <c r="AA193" s="2"/>
      <c r="AB193" s="2"/>
      <c r="AC193" s="2"/>
      <c r="AD193" s="2"/>
      <c r="AE193" s="2"/>
      <c r="AF193" s="2"/>
      <c r="AG193" s="2"/>
      <c r="AH193" s="2"/>
      <c r="AI193" s="2"/>
      <c r="AJ193" s="2"/>
      <c r="AK193" s="2"/>
      <c r="AL193" s="2"/>
      <c r="AM193" s="2"/>
      <c r="AN193" s="9"/>
      <c r="AO193" s="9"/>
      <c r="AP193" s="9"/>
      <c r="AQ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224"/>
      <c r="X194" s="224"/>
      <c r="Y194" s="868"/>
      <c r="Z194" s="865"/>
      <c r="AA194" s="2"/>
      <c r="AB194" s="2"/>
      <c r="AC194" s="2"/>
      <c r="AD194" s="2"/>
      <c r="AE194" s="2"/>
      <c r="AF194" s="2"/>
      <c r="AG194" s="2"/>
      <c r="AH194" s="2"/>
      <c r="AI194" s="2"/>
      <c r="AJ194" s="2"/>
      <c r="AK194" s="2"/>
      <c r="AL194" s="2"/>
      <c r="AM194" s="2"/>
      <c r="AN194" s="9"/>
      <c r="AO194" s="9"/>
      <c r="AP194" s="9"/>
      <c r="AQ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224"/>
      <c r="X195" s="224"/>
      <c r="Y195" s="868"/>
      <c r="Z195" s="865"/>
      <c r="AA195" s="2"/>
      <c r="AB195" s="2"/>
      <c r="AC195" s="2"/>
      <c r="AD195" s="2"/>
      <c r="AE195" s="2"/>
      <c r="AF195" s="2"/>
      <c r="AG195" s="2"/>
      <c r="AH195" s="2"/>
      <c r="AI195" s="2"/>
      <c r="AJ195" s="2"/>
      <c r="AK195" s="2"/>
      <c r="AL195" s="2"/>
      <c r="AM195" s="2"/>
      <c r="AN195" s="9"/>
      <c r="AO195" s="9"/>
      <c r="AP195" s="9"/>
      <c r="AQ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224"/>
      <c r="X196" s="224"/>
      <c r="Y196" s="868"/>
      <c r="Z196" s="865"/>
      <c r="AA196" s="2"/>
      <c r="AB196" s="2"/>
      <c r="AC196" s="2"/>
      <c r="AD196" s="2"/>
      <c r="AE196" s="2"/>
      <c r="AF196" s="2"/>
      <c r="AG196" s="2"/>
      <c r="AH196" s="2"/>
      <c r="AI196" s="2"/>
      <c r="AJ196" s="2"/>
      <c r="AK196" s="2"/>
      <c r="AL196" s="2"/>
      <c r="AM196" s="2"/>
      <c r="AN196" s="9"/>
      <c r="AO196" s="9"/>
      <c r="AP196" s="9"/>
      <c r="AQ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224"/>
      <c r="X197" s="224"/>
      <c r="Y197" s="868"/>
      <c r="Z197" s="865"/>
      <c r="AA197" s="2"/>
      <c r="AB197" s="2"/>
      <c r="AC197" s="2"/>
      <c r="AD197" s="2"/>
      <c r="AE197" s="2"/>
      <c r="AF197" s="2"/>
      <c r="AG197" s="2"/>
      <c r="AH197" s="2"/>
      <c r="AI197" s="2"/>
      <c r="AJ197" s="2"/>
      <c r="AK197" s="2"/>
      <c r="AL197" s="2"/>
      <c r="AM197" s="2"/>
      <c r="AN197" s="9"/>
      <c r="AO197" s="9"/>
      <c r="AP197" s="9"/>
      <c r="AQ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224"/>
      <c r="X198" s="224"/>
      <c r="Y198" s="868"/>
      <c r="Z198" s="865"/>
      <c r="AA198" s="2"/>
      <c r="AB198" s="2"/>
      <c r="AC198" s="2"/>
      <c r="AD198" s="2"/>
      <c r="AE198" s="2"/>
      <c r="AF198" s="2"/>
      <c r="AG198" s="2"/>
      <c r="AH198" s="2"/>
      <c r="AI198" s="2"/>
      <c r="AJ198" s="2"/>
      <c r="AK198" s="2"/>
      <c r="AL198" s="2"/>
      <c r="AM198" s="2"/>
      <c r="AN198" s="9"/>
      <c r="AO198" s="9"/>
      <c r="AP198" s="9"/>
      <c r="AQ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224"/>
      <c r="X199" s="224"/>
      <c r="Y199" s="868"/>
      <c r="Z199" s="865"/>
      <c r="AA199" s="2"/>
      <c r="AB199" s="2"/>
      <c r="AC199" s="2"/>
      <c r="AD199" s="2"/>
      <c r="AE199" s="2"/>
      <c r="AF199" s="2"/>
      <c r="AG199" s="2"/>
      <c r="AH199" s="2"/>
      <c r="AI199" s="2"/>
      <c r="AJ199" s="2"/>
      <c r="AK199" s="2"/>
      <c r="AL199" s="2"/>
      <c r="AM199" s="2"/>
      <c r="AN199" s="9"/>
      <c r="AO199" s="9"/>
      <c r="AP199" s="9"/>
      <c r="AQ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224"/>
      <c r="X200" s="224"/>
      <c r="Y200" s="868"/>
      <c r="Z200" s="865"/>
      <c r="AA200" s="2"/>
      <c r="AB200" s="2"/>
      <c r="AC200" s="2"/>
      <c r="AD200" s="2"/>
      <c r="AE200" s="2"/>
      <c r="AF200" s="2"/>
      <c r="AG200" s="2"/>
      <c r="AH200" s="2"/>
      <c r="AI200" s="2"/>
      <c r="AJ200" s="2"/>
      <c r="AK200" s="2"/>
      <c r="AL200" s="2"/>
      <c r="AM200" s="2"/>
      <c r="AN200" s="9"/>
      <c r="AO200" s="9"/>
      <c r="AP200" s="9"/>
      <c r="AQ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224"/>
      <c r="X201" s="224"/>
      <c r="Y201" s="868"/>
      <c r="Z201" s="865"/>
      <c r="AA201" s="2"/>
      <c r="AB201" s="2"/>
      <c r="AC201" s="2"/>
      <c r="AD201" s="2"/>
      <c r="AE201" s="2"/>
      <c r="AF201" s="2"/>
      <c r="AG201" s="2"/>
      <c r="AH201" s="2"/>
      <c r="AI201" s="2"/>
      <c r="AJ201" s="2"/>
      <c r="AK201" s="2"/>
      <c r="AL201" s="2"/>
      <c r="AM201" s="2"/>
      <c r="AN201" s="9"/>
      <c r="AO201" s="9"/>
      <c r="AP201" s="9"/>
      <c r="AQ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224"/>
      <c r="X202" s="224"/>
      <c r="Y202" s="868"/>
      <c r="Z202" s="865"/>
      <c r="AA202" s="2"/>
      <c r="AB202" s="2"/>
      <c r="AC202" s="2"/>
      <c r="AD202" s="2"/>
      <c r="AE202" s="2"/>
      <c r="AF202" s="2"/>
      <c r="AG202" s="2"/>
      <c r="AH202" s="2"/>
      <c r="AI202" s="2"/>
      <c r="AJ202" s="2"/>
      <c r="AK202" s="2"/>
      <c r="AL202" s="2"/>
      <c r="AM202" s="2"/>
      <c r="AN202" s="9"/>
      <c r="AO202" s="9"/>
      <c r="AP202" s="9"/>
      <c r="AQ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224"/>
      <c r="X203" s="224"/>
      <c r="Y203" s="868"/>
      <c r="Z203" s="865"/>
      <c r="AA203" s="2"/>
      <c r="AB203" s="2"/>
      <c r="AC203" s="2"/>
      <c r="AD203" s="2"/>
      <c r="AE203" s="2"/>
      <c r="AF203" s="2"/>
      <c r="AG203" s="2"/>
      <c r="AH203" s="2"/>
      <c r="AI203" s="2"/>
      <c r="AJ203" s="2"/>
      <c r="AK203" s="2"/>
      <c r="AL203" s="2"/>
      <c r="AM203" s="2"/>
      <c r="AN203" s="9"/>
      <c r="AO203" s="9"/>
      <c r="AP203" s="9"/>
      <c r="AQ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224"/>
      <c r="X204" s="224"/>
      <c r="Y204" s="868"/>
      <c r="Z204" s="865"/>
      <c r="AA204" s="2"/>
      <c r="AB204" s="2"/>
      <c r="AC204" s="2"/>
      <c r="AD204" s="2"/>
      <c r="AE204" s="2"/>
      <c r="AF204" s="2"/>
      <c r="AG204" s="2"/>
      <c r="AH204" s="2"/>
      <c r="AI204" s="2"/>
      <c r="AJ204" s="2"/>
      <c r="AK204" s="2"/>
      <c r="AL204" s="2"/>
      <c r="AM204" s="2"/>
      <c r="AN204" s="9"/>
      <c r="AO204" s="9"/>
      <c r="AP204" s="9"/>
      <c r="AQ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224"/>
      <c r="X205" s="224"/>
      <c r="Y205" s="868"/>
      <c r="Z205" s="865"/>
      <c r="AA205" s="2"/>
      <c r="AB205" s="2"/>
      <c r="AC205" s="2"/>
      <c r="AD205" s="2"/>
      <c r="AE205" s="2"/>
      <c r="AF205" s="2"/>
      <c r="AG205" s="2"/>
      <c r="AH205" s="2"/>
      <c r="AI205" s="2"/>
      <c r="AJ205" s="2"/>
      <c r="AK205" s="2"/>
      <c r="AL205" s="2"/>
      <c r="AM205" s="2"/>
      <c r="AN205" s="9"/>
      <c r="AO205" s="9"/>
      <c r="AP205" s="9"/>
      <c r="AQ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224"/>
      <c r="X206" s="224"/>
      <c r="Y206" s="868"/>
      <c r="Z206" s="865"/>
      <c r="AA206" s="2"/>
      <c r="AB206" s="2"/>
      <c r="AC206" s="2"/>
      <c r="AD206" s="2"/>
      <c r="AE206" s="2"/>
      <c r="AF206" s="2"/>
      <c r="AG206" s="2"/>
      <c r="AH206" s="2"/>
      <c r="AI206" s="2"/>
      <c r="AJ206" s="2"/>
      <c r="AK206" s="2"/>
      <c r="AL206" s="2"/>
      <c r="AM206" s="2"/>
      <c r="AN206" s="9"/>
      <c r="AO206" s="9"/>
      <c r="AP206" s="9"/>
      <c r="AQ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224"/>
      <c r="X207" s="224"/>
      <c r="Y207" s="868"/>
      <c r="Z207" s="865"/>
      <c r="AA207" s="2"/>
      <c r="AB207" s="2"/>
      <c r="AC207" s="2"/>
      <c r="AD207" s="2"/>
      <c r="AE207" s="2"/>
      <c r="AF207" s="2"/>
      <c r="AG207" s="2"/>
      <c r="AH207" s="2"/>
      <c r="AI207" s="2"/>
      <c r="AJ207" s="2"/>
      <c r="AK207" s="2"/>
      <c r="AL207" s="2"/>
      <c r="AM207" s="2"/>
      <c r="AN207" s="9"/>
      <c r="AO207" s="9"/>
      <c r="AP207" s="9"/>
      <c r="AQ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224"/>
      <c r="X208" s="224"/>
      <c r="Y208" s="868"/>
      <c r="Z208" s="865"/>
      <c r="AA208" s="2"/>
      <c r="AB208" s="2"/>
      <c r="AC208" s="2"/>
      <c r="AD208" s="2"/>
      <c r="AE208" s="2"/>
      <c r="AF208" s="2"/>
      <c r="AG208" s="2"/>
      <c r="AH208" s="2"/>
      <c r="AI208" s="2"/>
      <c r="AJ208" s="2"/>
      <c r="AK208" s="2"/>
      <c r="AL208" s="2"/>
      <c r="AM208" s="2"/>
      <c r="AN208" s="9"/>
      <c r="AO208" s="9"/>
      <c r="AP208" s="9"/>
      <c r="AQ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224"/>
      <c r="X209" s="224"/>
      <c r="Y209" s="868"/>
      <c r="Z209" s="865"/>
      <c r="AA209" s="2"/>
      <c r="AB209" s="2"/>
      <c r="AC209" s="2"/>
      <c r="AD209" s="2"/>
      <c r="AE209" s="2"/>
      <c r="AF209" s="2"/>
      <c r="AG209" s="2"/>
      <c r="AH209" s="2"/>
      <c r="AI209" s="2"/>
      <c r="AJ209" s="2"/>
      <c r="AK209" s="2"/>
      <c r="AL209" s="2"/>
      <c r="AM209" s="2"/>
      <c r="AN209" s="9"/>
      <c r="AO209" s="9"/>
      <c r="AP209" s="9"/>
      <c r="AQ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224"/>
      <c r="X210" s="224"/>
      <c r="Y210" s="868"/>
      <c r="Z210" s="865"/>
      <c r="AA210" s="2"/>
      <c r="AB210" s="2"/>
      <c r="AC210" s="2"/>
      <c r="AD210" s="2"/>
      <c r="AE210" s="2"/>
      <c r="AF210" s="2"/>
      <c r="AG210" s="2"/>
      <c r="AH210" s="2"/>
      <c r="AI210" s="2"/>
      <c r="AJ210" s="2"/>
      <c r="AK210" s="2"/>
      <c r="AL210" s="2"/>
      <c r="AM210" s="2"/>
      <c r="AN210" s="9"/>
      <c r="AO210" s="9"/>
      <c r="AP210" s="9"/>
      <c r="AQ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224"/>
      <c r="X211" s="224"/>
      <c r="Y211" s="868"/>
      <c r="Z211" s="865"/>
      <c r="AA211" s="2"/>
      <c r="AB211" s="2"/>
      <c r="AC211" s="2"/>
      <c r="AD211" s="2"/>
      <c r="AE211" s="2"/>
      <c r="AF211" s="2"/>
      <c r="AG211" s="2"/>
      <c r="AH211" s="2"/>
      <c r="AI211" s="2"/>
      <c r="AJ211" s="2"/>
      <c r="AK211" s="2"/>
      <c r="AL211" s="2"/>
      <c r="AM211" s="2"/>
      <c r="AN211" s="9"/>
      <c r="AO211" s="9"/>
      <c r="AP211" s="9"/>
      <c r="AQ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224"/>
      <c r="X212" s="224"/>
      <c r="Y212" s="868"/>
      <c r="Z212" s="865"/>
      <c r="AA212" s="2"/>
      <c r="AB212" s="2"/>
      <c r="AC212" s="2"/>
      <c r="AD212" s="2"/>
      <c r="AE212" s="2"/>
      <c r="AF212" s="2"/>
      <c r="AG212" s="2"/>
      <c r="AH212" s="2"/>
      <c r="AI212" s="2"/>
      <c r="AJ212" s="2"/>
      <c r="AK212" s="2"/>
      <c r="AL212" s="2"/>
      <c r="AM212" s="2"/>
      <c r="AN212" s="9"/>
      <c r="AO212" s="9"/>
      <c r="AP212" s="9"/>
      <c r="AQ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224"/>
      <c r="X213" s="224"/>
      <c r="Y213" s="868"/>
      <c r="Z213" s="865"/>
      <c r="AA213" s="2"/>
      <c r="AB213" s="2"/>
      <c r="AC213" s="2"/>
      <c r="AD213" s="2"/>
      <c r="AE213" s="2"/>
      <c r="AF213" s="2"/>
      <c r="AG213" s="2"/>
      <c r="AH213" s="2"/>
      <c r="AI213" s="2"/>
      <c r="AJ213" s="2"/>
      <c r="AK213" s="2"/>
      <c r="AL213" s="2"/>
      <c r="AM213" s="2"/>
      <c r="AN213" s="9"/>
      <c r="AO213" s="9"/>
      <c r="AP213" s="9"/>
      <c r="AQ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224"/>
      <c r="X214" s="224"/>
      <c r="Y214" s="868"/>
      <c r="Z214" s="865"/>
      <c r="AA214" s="2"/>
      <c r="AB214" s="2"/>
      <c r="AC214" s="2"/>
      <c r="AD214" s="2"/>
      <c r="AE214" s="2"/>
      <c r="AF214" s="2"/>
      <c r="AG214" s="2"/>
      <c r="AH214" s="2"/>
      <c r="AI214" s="2"/>
      <c r="AJ214" s="2"/>
      <c r="AK214" s="2"/>
      <c r="AL214" s="2"/>
      <c r="AM214" s="2"/>
      <c r="AN214" s="9"/>
      <c r="AO214" s="9"/>
      <c r="AP214" s="9"/>
      <c r="AQ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224"/>
      <c r="X215" s="224"/>
      <c r="Y215" s="868"/>
      <c r="Z215" s="865"/>
      <c r="AA215" s="2"/>
      <c r="AB215" s="2"/>
      <c r="AC215" s="2"/>
      <c r="AD215" s="2"/>
      <c r="AE215" s="2"/>
      <c r="AF215" s="2"/>
      <c r="AG215" s="2"/>
      <c r="AH215" s="2"/>
      <c r="AI215" s="2"/>
      <c r="AJ215" s="2"/>
      <c r="AK215" s="2"/>
      <c r="AL215" s="2"/>
      <c r="AM215" s="2"/>
      <c r="AN215" s="9"/>
      <c r="AO215" s="9"/>
      <c r="AP215" s="9"/>
      <c r="AQ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224"/>
      <c r="X216" s="224"/>
      <c r="Y216" s="868"/>
      <c r="Z216" s="865"/>
      <c r="AA216" s="2"/>
      <c r="AB216" s="2"/>
      <c r="AC216" s="2"/>
      <c r="AD216" s="2"/>
      <c r="AE216" s="2"/>
      <c r="AF216" s="2"/>
      <c r="AG216" s="2"/>
      <c r="AH216" s="2"/>
      <c r="AI216" s="2"/>
      <c r="AJ216" s="2"/>
      <c r="AK216" s="2"/>
      <c r="AL216" s="2"/>
      <c r="AM216" s="2"/>
      <c r="AN216" s="9"/>
      <c r="AO216" s="9"/>
      <c r="AP216" s="9"/>
      <c r="AQ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224"/>
      <c r="X217" s="224"/>
      <c r="Y217" s="868"/>
      <c r="Z217" s="865"/>
      <c r="AA217" s="2"/>
      <c r="AB217" s="2"/>
      <c r="AC217" s="2"/>
      <c r="AD217" s="2"/>
      <c r="AE217" s="2"/>
      <c r="AF217" s="2"/>
      <c r="AG217" s="2"/>
      <c r="AH217" s="2"/>
      <c r="AI217" s="2"/>
      <c r="AJ217" s="2"/>
      <c r="AK217" s="2"/>
      <c r="AL217" s="2"/>
      <c r="AM217" s="2"/>
      <c r="AN217" s="9"/>
      <c r="AO217" s="9"/>
      <c r="AP217" s="9"/>
      <c r="AQ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224"/>
      <c r="X218" s="224"/>
      <c r="Y218" s="868"/>
      <c r="Z218" s="865"/>
      <c r="AA218" s="2"/>
      <c r="AB218" s="2"/>
      <c r="AC218" s="2"/>
      <c r="AD218" s="2"/>
      <c r="AE218" s="2"/>
      <c r="AF218" s="2"/>
      <c r="AG218" s="2"/>
      <c r="AH218" s="2"/>
      <c r="AI218" s="2"/>
      <c r="AJ218" s="2"/>
      <c r="AK218" s="2"/>
      <c r="AL218" s="2"/>
      <c r="AM218" s="2"/>
      <c r="AN218" s="9"/>
      <c r="AO218" s="9"/>
      <c r="AP218" s="9"/>
      <c r="AQ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224"/>
      <c r="X219" s="224"/>
      <c r="Y219" s="868"/>
      <c r="Z219" s="865"/>
      <c r="AA219" s="2"/>
      <c r="AB219" s="2"/>
      <c r="AC219" s="2"/>
      <c r="AD219" s="2"/>
      <c r="AE219" s="2"/>
      <c r="AF219" s="2"/>
      <c r="AG219" s="2"/>
      <c r="AH219" s="2"/>
      <c r="AI219" s="2"/>
      <c r="AJ219" s="2"/>
      <c r="AK219" s="2"/>
      <c r="AL219" s="2"/>
      <c r="AM219" s="2"/>
      <c r="AN219" s="9"/>
      <c r="AO219" s="9"/>
      <c r="AP219" s="9"/>
      <c r="AQ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224"/>
      <c r="X220" s="224"/>
      <c r="Y220" s="868"/>
      <c r="Z220" s="865"/>
      <c r="AA220" s="2"/>
      <c r="AB220" s="2"/>
      <c r="AC220" s="2"/>
      <c r="AD220" s="2"/>
      <c r="AE220" s="2"/>
      <c r="AF220" s="2"/>
      <c r="AG220" s="2"/>
      <c r="AH220" s="2"/>
      <c r="AI220" s="2"/>
      <c r="AJ220" s="2"/>
      <c r="AK220" s="2"/>
      <c r="AL220" s="2"/>
      <c r="AM220" s="2"/>
      <c r="AN220" s="9"/>
      <c r="AO220" s="9"/>
      <c r="AP220" s="9"/>
      <c r="AQ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224"/>
      <c r="X221" s="224"/>
      <c r="Y221" s="868"/>
      <c r="Z221" s="865"/>
      <c r="AA221" s="2"/>
      <c r="AB221" s="2"/>
      <c r="AC221" s="2"/>
      <c r="AD221" s="2"/>
      <c r="AE221" s="2"/>
      <c r="AF221" s="2"/>
      <c r="AG221" s="2"/>
      <c r="AH221" s="2"/>
      <c r="AI221" s="2"/>
      <c r="AJ221" s="2"/>
      <c r="AK221" s="2"/>
      <c r="AL221" s="2"/>
      <c r="AM221" s="2"/>
      <c r="AN221" s="9"/>
      <c r="AO221" s="9"/>
      <c r="AP221" s="9"/>
      <c r="AQ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224"/>
      <c r="X222" s="224"/>
      <c r="Y222" s="868"/>
      <c r="Z222" s="865"/>
      <c r="AA222" s="2"/>
      <c r="AB222" s="2"/>
      <c r="AC222" s="2"/>
      <c r="AD222" s="2"/>
      <c r="AE222" s="2"/>
      <c r="AF222" s="2"/>
      <c r="AG222" s="2"/>
      <c r="AH222" s="2"/>
      <c r="AI222" s="2"/>
      <c r="AJ222" s="2"/>
      <c r="AK222" s="2"/>
      <c r="AL222" s="2"/>
      <c r="AM222" s="2"/>
      <c r="AN222" s="9"/>
      <c r="AO222" s="9"/>
      <c r="AP222" s="9"/>
      <c r="AQ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224"/>
      <c r="X223" s="224"/>
      <c r="Y223" s="868"/>
      <c r="Z223" s="865"/>
      <c r="AA223" s="2"/>
      <c r="AB223" s="2"/>
      <c r="AC223" s="2"/>
      <c r="AD223" s="2"/>
      <c r="AE223" s="2"/>
      <c r="AF223" s="2"/>
      <c r="AG223" s="2"/>
      <c r="AH223" s="2"/>
      <c r="AI223" s="2"/>
      <c r="AJ223" s="2"/>
      <c r="AK223" s="2"/>
      <c r="AL223" s="2"/>
      <c r="AM223" s="2"/>
      <c r="AN223" s="9"/>
      <c r="AO223" s="9"/>
      <c r="AP223" s="9"/>
      <c r="AQ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224"/>
      <c r="X224" s="224"/>
      <c r="Y224" s="868"/>
      <c r="Z224" s="865"/>
      <c r="AA224" s="2"/>
      <c r="AB224" s="2"/>
      <c r="AC224" s="2"/>
      <c r="AD224" s="2"/>
      <c r="AE224" s="2"/>
      <c r="AF224" s="2"/>
      <c r="AG224" s="2"/>
      <c r="AH224" s="2"/>
      <c r="AI224" s="2"/>
      <c r="AJ224" s="2"/>
      <c r="AK224" s="2"/>
      <c r="AL224" s="2"/>
      <c r="AM224" s="2"/>
      <c r="AN224" s="9"/>
      <c r="AO224" s="9"/>
      <c r="AP224" s="9"/>
      <c r="AQ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224"/>
      <c r="X225" s="224"/>
      <c r="Y225" s="868"/>
      <c r="Z225" s="865"/>
      <c r="AA225" s="2"/>
      <c r="AB225" s="2"/>
      <c r="AC225" s="2"/>
      <c r="AD225" s="2"/>
      <c r="AE225" s="2"/>
      <c r="AF225" s="2"/>
      <c r="AG225" s="2"/>
      <c r="AH225" s="2"/>
      <c r="AI225" s="2"/>
      <c r="AJ225" s="2"/>
      <c r="AK225" s="2"/>
      <c r="AL225" s="2"/>
      <c r="AM225" s="2"/>
      <c r="AN225" s="9"/>
      <c r="AO225" s="9"/>
      <c r="AP225" s="9"/>
      <c r="AQ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224"/>
      <c r="X226" s="224"/>
      <c r="Y226" s="868"/>
      <c r="Z226" s="865"/>
      <c r="AA226" s="2"/>
      <c r="AB226" s="2"/>
      <c r="AC226" s="2"/>
      <c r="AD226" s="2"/>
      <c r="AE226" s="2"/>
      <c r="AF226" s="2"/>
      <c r="AG226" s="2"/>
      <c r="AH226" s="2"/>
      <c r="AI226" s="2"/>
      <c r="AJ226" s="2"/>
      <c r="AK226" s="2"/>
      <c r="AL226" s="2"/>
      <c r="AM226" s="2"/>
      <c r="AN226" s="9"/>
      <c r="AO226" s="9"/>
      <c r="AP226" s="9"/>
      <c r="AQ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224"/>
      <c r="X227" s="224"/>
      <c r="Y227" s="868"/>
      <c r="Z227" s="865"/>
      <c r="AA227" s="2"/>
      <c r="AB227" s="2"/>
      <c r="AC227" s="2"/>
      <c r="AD227" s="2"/>
      <c r="AE227" s="2"/>
      <c r="AF227" s="2"/>
      <c r="AG227" s="2"/>
      <c r="AH227" s="2"/>
      <c r="AI227" s="2"/>
      <c r="AJ227" s="2"/>
      <c r="AK227" s="2"/>
      <c r="AL227" s="2"/>
      <c r="AM227" s="2"/>
      <c r="AN227" s="9"/>
      <c r="AO227" s="9"/>
      <c r="AP227" s="9"/>
      <c r="AQ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224"/>
      <c r="X228" s="224"/>
      <c r="Y228" s="868"/>
      <c r="Z228" s="865"/>
      <c r="AA228" s="2"/>
      <c r="AB228" s="2"/>
      <c r="AC228" s="2"/>
      <c r="AD228" s="2"/>
      <c r="AE228" s="2"/>
      <c r="AF228" s="2"/>
      <c r="AG228" s="2"/>
      <c r="AH228" s="2"/>
      <c r="AI228" s="2"/>
      <c r="AJ228" s="2"/>
      <c r="AK228" s="2"/>
      <c r="AL228" s="2"/>
      <c r="AM228" s="2"/>
      <c r="AN228" s="9"/>
      <c r="AO228" s="9"/>
      <c r="AP228" s="9"/>
      <c r="AQ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224"/>
      <c r="X229" s="224"/>
      <c r="Y229" s="868"/>
      <c r="Z229" s="865"/>
      <c r="AA229" s="2"/>
      <c r="AB229" s="2"/>
      <c r="AC229" s="2"/>
      <c r="AD229" s="2"/>
      <c r="AE229" s="2"/>
      <c r="AF229" s="2"/>
      <c r="AG229" s="2"/>
      <c r="AH229" s="2"/>
      <c r="AI229" s="2"/>
      <c r="AJ229" s="2"/>
      <c r="AK229" s="2"/>
      <c r="AL229" s="2"/>
      <c r="AM229" s="2"/>
      <c r="AN229" s="9"/>
      <c r="AO229" s="9"/>
      <c r="AP229" s="9"/>
      <c r="AQ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224"/>
      <c r="X230" s="224"/>
      <c r="Y230" s="868"/>
      <c r="Z230" s="865"/>
      <c r="AA230" s="2"/>
      <c r="AB230" s="2"/>
      <c r="AC230" s="2"/>
      <c r="AD230" s="2"/>
      <c r="AE230" s="2"/>
      <c r="AF230" s="2"/>
      <c r="AG230" s="2"/>
      <c r="AH230" s="2"/>
      <c r="AI230" s="2"/>
      <c r="AJ230" s="2"/>
      <c r="AK230" s="2"/>
      <c r="AL230" s="2"/>
      <c r="AM230" s="2"/>
      <c r="AN230" s="9"/>
      <c r="AO230" s="9"/>
      <c r="AP230" s="9"/>
      <c r="AQ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224"/>
      <c r="X231" s="224"/>
      <c r="Y231" s="868"/>
      <c r="Z231" s="865"/>
      <c r="AA231" s="2"/>
      <c r="AB231" s="2"/>
      <c r="AC231" s="2"/>
      <c r="AD231" s="2"/>
      <c r="AE231" s="2"/>
      <c r="AF231" s="2"/>
      <c r="AG231" s="2"/>
      <c r="AH231" s="2"/>
      <c r="AI231" s="2"/>
      <c r="AJ231" s="2"/>
      <c r="AK231" s="2"/>
      <c r="AL231" s="2"/>
      <c r="AM231" s="2"/>
      <c r="AN231" s="9"/>
      <c r="AO231" s="9"/>
      <c r="AP231" s="9"/>
      <c r="AQ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224"/>
      <c r="X232" s="224"/>
      <c r="Y232" s="868"/>
      <c r="Z232" s="865"/>
      <c r="AA232" s="2"/>
      <c r="AB232" s="2"/>
      <c r="AC232" s="2"/>
      <c r="AD232" s="2"/>
      <c r="AE232" s="2"/>
      <c r="AF232" s="2"/>
      <c r="AG232" s="2"/>
      <c r="AH232" s="2"/>
      <c r="AI232" s="2"/>
      <c r="AJ232" s="2"/>
      <c r="AK232" s="2"/>
      <c r="AL232" s="2"/>
      <c r="AM232" s="2"/>
      <c r="AN232" s="9"/>
      <c r="AO232" s="9"/>
      <c r="AP232" s="9"/>
      <c r="AQ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224"/>
      <c r="X233" s="224"/>
      <c r="Y233" s="868"/>
      <c r="Z233" s="865"/>
      <c r="AA233" s="2"/>
      <c r="AB233" s="2"/>
      <c r="AC233" s="2"/>
      <c r="AD233" s="2"/>
      <c r="AE233" s="2"/>
      <c r="AF233" s="2"/>
      <c r="AG233" s="2"/>
      <c r="AH233" s="2"/>
      <c r="AI233" s="2"/>
      <c r="AJ233" s="2"/>
      <c r="AK233" s="2"/>
      <c r="AL233" s="2"/>
      <c r="AM233" s="2"/>
      <c r="AN233" s="9"/>
      <c r="AO233" s="9"/>
      <c r="AP233" s="9"/>
      <c r="AQ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224"/>
      <c r="X234" s="224"/>
      <c r="Y234" s="868"/>
      <c r="Z234" s="865"/>
      <c r="AA234" s="2"/>
      <c r="AB234" s="2"/>
      <c r="AC234" s="2"/>
      <c r="AD234" s="2"/>
      <c r="AE234" s="2"/>
      <c r="AF234" s="2"/>
      <c r="AG234" s="2"/>
      <c r="AH234" s="2"/>
      <c r="AI234" s="2"/>
      <c r="AJ234" s="2"/>
      <c r="AK234" s="2"/>
      <c r="AL234" s="2"/>
      <c r="AM234" s="2"/>
      <c r="AN234" s="9"/>
      <c r="AO234" s="9"/>
      <c r="AP234" s="9"/>
      <c r="AQ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224"/>
      <c r="X235" s="224"/>
      <c r="Y235" s="868"/>
      <c r="Z235" s="865"/>
      <c r="AA235" s="2"/>
      <c r="AB235" s="2"/>
      <c r="AC235" s="2"/>
      <c r="AD235" s="2"/>
      <c r="AE235" s="2"/>
      <c r="AF235" s="2"/>
      <c r="AG235" s="2"/>
      <c r="AH235" s="2"/>
      <c r="AI235" s="2"/>
      <c r="AJ235" s="2"/>
      <c r="AK235" s="2"/>
      <c r="AL235" s="2"/>
      <c r="AM235" s="2"/>
      <c r="AN235" s="9"/>
      <c r="AO235" s="9"/>
      <c r="AP235" s="9"/>
      <c r="AQ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224"/>
      <c r="X236" s="224"/>
      <c r="Y236" s="868"/>
      <c r="Z236" s="865"/>
      <c r="AA236" s="2"/>
      <c r="AB236" s="2"/>
      <c r="AC236" s="2"/>
      <c r="AD236" s="2"/>
      <c r="AE236" s="2"/>
      <c r="AF236" s="2"/>
      <c r="AG236" s="2"/>
      <c r="AH236" s="2"/>
      <c r="AI236" s="2"/>
      <c r="AJ236" s="2"/>
      <c r="AK236" s="2"/>
      <c r="AL236" s="2"/>
      <c r="AM236" s="2"/>
      <c r="AN236" s="9"/>
      <c r="AO236" s="9"/>
      <c r="AP236" s="9"/>
      <c r="AQ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224"/>
      <c r="X237" s="224"/>
      <c r="Y237" s="868"/>
      <c r="Z237" s="865"/>
      <c r="AA237" s="2"/>
      <c r="AB237" s="2"/>
      <c r="AC237" s="2"/>
      <c r="AD237" s="2"/>
      <c r="AE237" s="2"/>
      <c r="AF237" s="2"/>
      <c r="AG237" s="2"/>
      <c r="AH237" s="2"/>
      <c r="AI237" s="2"/>
      <c r="AJ237" s="2"/>
      <c r="AK237" s="2"/>
      <c r="AL237" s="2"/>
      <c r="AM237" s="2"/>
      <c r="AN237" s="9"/>
      <c r="AO237" s="9"/>
      <c r="AP237" s="9"/>
      <c r="AQ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224"/>
      <c r="X238" s="224"/>
      <c r="Y238" s="868"/>
      <c r="Z238" s="865"/>
      <c r="AA238" s="2"/>
      <c r="AB238" s="2"/>
      <c r="AC238" s="2"/>
      <c r="AD238" s="2"/>
      <c r="AE238" s="2"/>
      <c r="AF238" s="2"/>
      <c r="AG238" s="2"/>
      <c r="AH238" s="2"/>
      <c r="AI238" s="2"/>
      <c r="AJ238" s="2"/>
      <c r="AK238" s="2"/>
      <c r="AL238" s="2"/>
      <c r="AM238" s="2"/>
      <c r="AN238" s="9"/>
      <c r="AO238" s="9"/>
      <c r="AP238" s="9"/>
      <c r="AQ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224"/>
      <c r="X239" s="224"/>
      <c r="Y239" s="868"/>
      <c r="Z239" s="865"/>
      <c r="AA239" s="2"/>
      <c r="AB239" s="2"/>
      <c r="AC239" s="2"/>
      <c r="AD239" s="2"/>
      <c r="AE239" s="2"/>
      <c r="AF239" s="2"/>
      <c r="AG239" s="2"/>
      <c r="AH239" s="2"/>
      <c r="AI239" s="2"/>
      <c r="AJ239" s="2"/>
      <c r="AK239" s="2"/>
      <c r="AL239" s="2"/>
      <c r="AM239" s="2"/>
      <c r="AN239" s="9"/>
      <c r="AO239" s="9"/>
      <c r="AP239" s="9"/>
      <c r="AQ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224"/>
      <c r="X240" s="224"/>
      <c r="Y240" s="868"/>
      <c r="Z240" s="865"/>
      <c r="AA240" s="2"/>
      <c r="AB240" s="2"/>
      <c r="AC240" s="2"/>
      <c r="AD240" s="2"/>
      <c r="AE240" s="2"/>
      <c r="AF240" s="2"/>
      <c r="AG240" s="2"/>
      <c r="AH240" s="2"/>
      <c r="AI240" s="2"/>
      <c r="AJ240" s="2"/>
      <c r="AK240" s="2"/>
      <c r="AL240" s="2"/>
      <c r="AM240" s="2"/>
      <c r="AN240" s="9"/>
      <c r="AO240" s="9"/>
      <c r="AP240" s="9"/>
      <c r="AQ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224"/>
      <c r="X241" s="224"/>
      <c r="Y241" s="868"/>
      <c r="Z241" s="865"/>
      <c r="AA241" s="2"/>
      <c r="AB241" s="2"/>
      <c r="AC241" s="2"/>
      <c r="AD241" s="2"/>
      <c r="AE241" s="2"/>
      <c r="AF241" s="2"/>
      <c r="AG241" s="2"/>
      <c r="AH241" s="2"/>
      <c r="AI241" s="2"/>
      <c r="AJ241" s="2"/>
      <c r="AK241" s="2"/>
      <c r="AL241" s="2"/>
      <c r="AM241" s="2"/>
      <c r="AN241" s="9"/>
      <c r="AO241" s="9"/>
      <c r="AP241" s="9"/>
      <c r="AQ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224"/>
      <c r="X242" s="224"/>
      <c r="Y242" s="868"/>
      <c r="Z242" s="865"/>
      <c r="AA242" s="2"/>
      <c r="AB242" s="2"/>
      <c r="AC242" s="2"/>
      <c r="AD242" s="2"/>
      <c r="AE242" s="2"/>
      <c r="AF242" s="2"/>
      <c r="AG242" s="2"/>
      <c r="AH242" s="2"/>
      <c r="AI242" s="2"/>
      <c r="AJ242" s="2"/>
      <c r="AK242" s="2"/>
      <c r="AL242" s="2"/>
      <c r="AM242" s="2"/>
      <c r="AN242" s="9"/>
      <c r="AO242" s="9"/>
      <c r="AP242" s="9"/>
      <c r="AQ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224"/>
      <c r="X243" s="224"/>
      <c r="Y243" s="868"/>
      <c r="Z243" s="865"/>
      <c r="AA243" s="2"/>
      <c r="AB243" s="2"/>
      <c r="AC243" s="2"/>
      <c r="AD243" s="2"/>
      <c r="AE243" s="2"/>
      <c r="AF243" s="2"/>
      <c r="AG243" s="2"/>
      <c r="AH243" s="2"/>
      <c r="AI243" s="2"/>
      <c r="AJ243" s="2"/>
      <c r="AK243" s="2"/>
      <c r="AL243" s="2"/>
      <c r="AM243" s="2"/>
      <c r="AN243" s="9"/>
      <c r="AO243" s="9"/>
      <c r="AP243" s="9"/>
      <c r="AQ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224"/>
      <c r="X244" s="224"/>
      <c r="Y244" s="868"/>
      <c r="Z244" s="865"/>
      <c r="AA244" s="2"/>
      <c r="AB244" s="2"/>
      <c r="AC244" s="2"/>
      <c r="AD244" s="2"/>
      <c r="AE244" s="2"/>
      <c r="AF244" s="2"/>
      <c r="AG244" s="2"/>
      <c r="AH244" s="2"/>
      <c r="AI244" s="2"/>
      <c r="AJ244" s="2"/>
      <c r="AK244" s="2"/>
      <c r="AL244" s="2"/>
      <c r="AM244" s="2"/>
      <c r="AN244" s="9"/>
      <c r="AO244" s="9"/>
      <c r="AP244" s="9"/>
      <c r="AQ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224"/>
      <c r="X245" s="224"/>
      <c r="Y245" s="868"/>
      <c r="Z245" s="865"/>
      <c r="AA245" s="2"/>
      <c r="AB245" s="2"/>
      <c r="AC245" s="2"/>
      <c r="AD245" s="2"/>
      <c r="AE245" s="2"/>
      <c r="AF245" s="2"/>
      <c r="AG245" s="2"/>
      <c r="AH245" s="2"/>
      <c r="AI245" s="2"/>
      <c r="AJ245" s="2"/>
      <c r="AK245" s="2"/>
      <c r="AL245" s="2"/>
      <c r="AM245" s="2"/>
      <c r="AN245" s="9"/>
      <c r="AO245" s="9"/>
      <c r="AP245" s="9"/>
      <c r="AQ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224"/>
      <c r="X246" s="224"/>
      <c r="Y246" s="868"/>
      <c r="Z246" s="865"/>
      <c r="AA246" s="2"/>
      <c r="AB246" s="2"/>
      <c r="AC246" s="2"/>
      <c r="AD246" s="2"/>
      <c r="AE246" s="2"/>
      <c r="AF246" s="2"/>
      <c r="AG246" s="2"/>
      <c r="AH246" s="2"/>
      <c r="AI246" s="2"/>
      <c r="AJ246" s="2"/>
      <c r="AK246" s="2"/>
      <c r="AL246" s="2"/>
      <c r="AM246" s="2"/>
      <c r="AN246" s="9"/>
      <c r="AO246" s="9"/>
      <c r="AP246" s="9"/>
      <c r="AQ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224"/>
      <c r="X247" s="224"/>
      <c r="Y247" s="868"/>
      <c r="Z247" s="865"/>
      <c r="AA247" s="2"/>
      <c r="AB247" s="2"/>
      <c r="AC247" s="2"/>
      <c r="AD247" s="2"/>
      <c r="AE247" s="2"/>
      <c r="AF247" s="2"/>
      <c r="AG247" s="2"/>
      <c r="AH247" s="2"/>
      <c r="AI247" s="2"/>
      <c r="AJ247" s="2"/>
      <c r="AK247" s="2"/>
      <c r="AL247" s="2"/>
      <c r="AM247" s="2"/>
      <c r="AN247" s="9"/>
      <c r="AO247" s="9"/>
      <c r="AP247" s="9"/>
      <c r="AQ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224"/>
      <c r="X248" s="224"/>
      <c r="Y248" s="868"/>
      <c r="Z248" s="865"/>
      <c r="AA248" s="2"/>
      <c r="AB248" s="2"/>
      <c r="AC248" s="2"/>
      <c r="AD248" s="2"/>
      <c r="AE248" s="2"/>
      <c r="AF248" s="2"/>
      <c r="AG248" s="2"/>
      <c r="AH248" s="2"/>
      <c r="AI248" s="2"/>
      <c r="AJ248" s="2"/>
      <c r="AK248" s="2"/>
      <c r="AL248" s="2"/>
      <c r="AM248" s="2"/>
      <c r="AN248" s="9"/>
      <c r="AO248" s="9"/>
      <c r="AP248" s="9"/>
      <c r="AQ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224"/>
      <c r="X249" s="224"/>
      <c r="Y249" s="868"/>
      <c r="Z249" s="865"/>
      <c r="AA249" s="2"/>
      <c r="AB249" s="2"/>
      <c r="AC249" s="2"/>
      <c r="AD249" s="2"/>
      <c r="AE249" s="2"/>
      <c r="AF249" s="2"/>
      <c r="AG249" s="2"/>
      <c r="AH249" s="2"/>
      <c r="AI249" s="2"/>
      <c r="AJ249" s="2"/>
      <c r="AK249" s="2"/>
      <c r="AL249" s="2"/>
      <c r="AM249" s="2"/>
      <c r="AN249" s="9"/>
      <c r="AO249" s="9"/>
      <c r="AP249" s="9"/>
      <c r="AQ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224"/>
      <c r="X250" s="224"/>
      <c r="Y250" s="868"/>
      <c r="Z250" s="865"/>
      <c r="AA250" s="2"/>
      <c r="AB250" s="2"/>
      <c r="AC250" s="2"/>
      <c r="AD250" s="2"/>
      <c r="AE250" s="2"/>
      <c r="AF250" s="2"/>
      <c r="AG250" s="2"/>
      <c r="AH250" s="2"/>
      <c r="AI250" s="2"/>
      <c r="AJ250" s="2"/>
      <c r="AK250" s="2"/>
      <c r="AL250" s="2"/>
      <c r="AM250" s="2"/>
      <c r="AN250" s="9"/>
      <c r="AO250" s="9"/>
      <c r="AP250" s="9"/>
      <c r="AQ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224"/>
      <c r="X251" s="224"/>
      <c r="Y251" s="868"/>
      <c r="Z251" s="865"/>
      <c r="AA251" s="2"/>
      <c r="AB251" s="2"/>
      <c r="AC251" s="2"/>
      <c r="AD251" s="2"/>
      <c r="AE251" s="2"/>
      <c r="AF251" s="2"/>
      <c r="AG251" s="2"/>
      <c r="AH251" s="2"/>
      <c r="AI251" s="2"/>
      <c r="AJ251" s="2"/>
      <c r="AK251" s="2"/>
      <c r="AL251" s="2"/>
      <c r="AM251" s="2"/>
      <c r="AN251" s="9"/>
      <c r="AO251" s="9"/>
      <c r="AP251" s="9"/>
      <c r="AQ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224"/>
      <c r="X252" s="224"/>
      <c r="Y252" s="868"/>
      <c r="Z252" s="865"/>
      <c r="AA252" s="2"/>
      <c r="AB252" s="2"/>
      <c r="AC252" s="2"/>
      <c r="AD252" s="2"/>
      <c r="AE252" s="2"/>
      <c r="AF252" s="2"/>
      <c r="AG252" s="2"/>
      <c r="AH252" s="2"/>
      <c r="AI252" s="2"/>
      <c r="AJ252" s="2"/>
      <c r="AK252" s="2"/>
      <c r="AL252" s="2"/>
      <c r="AM252" s="2"/>
      <c r="AN252" s="9"/>
      <c r="AO252" s="9"/>
      <c r="AP252" s="9"/>
      <c r="AQ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224"/>
      <c r="X253" s="224"/>
      <c r="Y253" s="868"/>
      <c r="Z253" s="865"/>
      <c r="AA253" s="2"/>
      <c r="AB253" s="2"/>
      <c r="AC253" s="2"/>
      <c r="AD253" s="2"/>
      <c r="AE253" s="2"/>
      <c r="AF253" s="2"/>
      <c r="AG253" s="2"/>
      <c r="AH253" s="2"/>
      <c r="AI253" s="2"/>
      <c r="AJ253" s="2"/>
      <c r="AK253" s="2"/>
      <c r="AL253" s="2"/>
      <c r="AM253" s="2"/>
      <c r="AN253" s="9"/>
      <c r="AO253" s="9"/>
      <c r="AP253" s="9"/>
      <c r="AQ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224"/>
      <c r="X254" s="224"/>
      <c r="Y254" s="868"/>
      <c r="Z254" s="865"/>
      <c r="AA254" s="2"/>
      <c r="AB254" s="2"/>
      <c r="AC254" s="2"/>
      <c r="AD254" s="2"/>
      <c r="AE254" s="2"/>
      <c r="AF254" s="2"/>
      <c r="AG254" s="2"/>
      <c r="AH254" s="2"/>
      <c r="AI254" s="2"/>
      <c r="AJ254" s="2"/>
      <c r="AK254" s="2"/>
      <c r="AL254" s="2"/>
      <c r="AM254" s="2"/>
      <c r="AN254" s="9"/>
      <c r="AO254" s="9"/>
      <c r="AP254" s="9"/>
      <c r="AQ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224"/>
      <c r="X255" s="224"/>
      <c r="Y255" s="868"/>
      <c r="Z255" s="865"/>
      <c r="AA255" s="2"/>
      <c r="AB255" s="2"/>
      <c r="AC255" s="2"/>
      <c r="AD255" s="2"/>
      <c r="AE255" s="2"/>
      <c r="AF255" s="2"/>
      <c r="AG255" s="2"/>
      <c r="AH255" s="2"/>
      <c r="AI255" s="2"/>
      <c r="AJ255" s="2"/>
      <c r="AK255" s="2"/>
      <c r="AL255" s="2"/>
      <c r="AM255" s="2"/>
      <c r="AN255" s="9"/>
      <c r="AO255" s="9"/>
      <c r="AP255" s="9"/>
      <c r="AQ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224"/>
      <c r="X256" s="224"/>
      <c r="Y256" s="868"/>
      <c r="Z256" s="865"/>
      <c r="AA256" s="2"/>
      <c r="AB256" s="2"/>
      <c r="AC256" s="2"/>
      <c r="AD256" s="2"/>
      <c r="AE256" s="2"/>
      <c r="AF256" s="2"/>
      <c r="AG256" s="2"/>
      <c r="AH256" s="2"/>
      <c r="AI256" s="2"/>
      <c r="AJ256" s="2"/>
      <c r="AK256" s="2"/>
      <c r="AL256" s="2"/>
      <c r="AM256" s="2"/>
      <c r="AN256" s="9"/>
      <c r="AO256" s="9"/>
      <c r="AP256" s="9"/>
      <c r="AQ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224"/>
      <c r="X257" s="224"/>
      <c r="Y257" s="868"/>
      <c r="Z257" s="865"/>
      <c r="AA257" s="2"/>
      <c r="AB257" s="2"/>
      <c r="AC257" s="2"/>
      <c r="AD257" s="2"/>
      <c r="AE257" s="2"/>
      <c r="AF257" s="2"/>
      <c r="AG257" s="2"/>
      <c r="AH257" s="2"/>
      <c r="AI257" s="2"/>
      <c r="AJ257" s="2"/>
      <c r="AK257" s="2"/>
      <c r="AL257" s="2"/>
      <c r="AM257" s="2"/>
      <c r="AN257" s="9"/>
      <c r="AO257" s="9"/>
      <c r="AP257" s="9"/>
      <c r="AQ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224"/>
      <c r="X258" s="224"/>
      <c r="Y258" s="868"/>
      <c r="Z258" s="865"/>
      <c r="AA258" s="2"/>
      <c r="AB258" s="2"/>
      <c r="AC258" s="2"/>
      <c r="AD258" s="2"/>
      <c r="AE258" s="2"/>
      <c r="AF258" s="2"/>
      <c r="AG258" s="2"/>
      <c r="AH258" s="2"/>
      <c r="AI258" s="2"/>
      <c r="AJ258" s="2"/>
      <c r="AK258" s="2"/>
      <c r="AL258" s="2"/>
      <c r="AM258" s="2"/>
      <c r="AN258" s="9"/>
      <c r="AO258" s="9"/>
      <c r="AP258" s="9"/>
      <c r="AQ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224"/>
      <c r="X259" s="224"/>
      <c r="Y259" s="868"/>
      <c r="Z259" s="865"/>
      <c r="AA259" s="2"/>
      <c r="AB259" s="2"/>
      <c r="AC259" s="2"/>
      <c r="AD259" s="2"/>
      <c r="AE259" s="2"/>
      <c r="AF259" s="2"/>
      <c r="AG259" s="2"/>
      <c r="AH259" s="2"/>
      <c r="AI259" s="2"/>
      <c r="AJ259" s="2"/>
      <c r="AK259" s="2"/>
      <c r="AL259" s="2"/>
      <c r="AM259" s="2"/>
      <c r="AN259" s="9"/>
      <c r="AO259" s="9"/>
      <c r="AP259" s="9"/>
      <c r="AQ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224"/>
      <c r="X260" s="224"/>
      <c r="Y260" s="868"/>
      <c r="Z260" s="865"/>
      <c r="AA260" s="2"/>
      <c r="AB260" s="2"/>
      <c r="AC260" s="2"/>
      <c r="AD260" s="2"/>
      <c r="AE260" s="2"/>
      <c r="AF260" s="2"/>
      <c r="AG260" s="2"/>
      <c r="AH260" s="2"/>
      <c r="AI260" s="2"/>
      <c r="AJ260" s="2"/>
      <c r="AK260" s="2"/>
      <c r="AL260" s="2"/>
      <c r="AM260" s="2"/>
      <c r="AN260" s="9"/>
      <c r="AO260" s="9"/>
      <c r="AP260" s="9"/>
      <c r="AQ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224"/>
      <c r="X261" s="224"/>
      <c r="Y261" s="868"/>
      <c r="Z261" s="865"/>
      <c r="AA261" s="2"/>
      <c r="AB261" s="2"/>
      <c r="AC261" s="2"/>
      <c r="AD261" s="2"/>
      <c r="AE261" s="2"/>
      <c r="AF261" s="2"/>
      <c r="AG261" s="2"/>
      <c r="AH261" s="2"/>
      <c r="AI261" s="2"/>
      <c r="AJ261" s="2"/>
      <c r="AK261" s="2"/>
      <c r="AL261" s="2"/>
      <c r="AM261" s="2"/>
      <c r="AN261" s="9"/>
      <c r="AO261" s="9"/>
      <c r="AP261" s="9"/>
      <c r="AQ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224"/>
      <c r="X262" s="224"/>
      <c r="Y262" s="868"/>
      <c r="Z262" s="865"/>
      <c r="AA262" s="2"/>
      <c r="AB262" s="2"/>
      <c r="AC262" s="2"/>
      <c r="AD262" s="2"/>
      <c r="AE262" s="2"/>
      <c r="AF262" s="2"/>
      <c r="AG262" s="2"/>
      <c r="AH262" s="2"/>
      <c r="AI262" s="2"/>
      <c r="AJ262" s="2"/>
      <c r="AK262" s="2"/>
      <c r="AL262" s="2"/>
      <c r="AM262" s="2"/>
      <c r="AN262" s="9"/>
      <c r="AO262" s="9"/>
      <c r="AP262" s="9"/>
      <c r="AQ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224"/>
      <c r="X263" s="224"/>
      <c r="Y263" s="868"/>
      <c r="Z263" s="865"/>
      <c r="AA263" s="2"/>
      <c r="AB263" s="2"/>
      <c r="AC263" s="2"/>
      <c r="AD263" s="2"/>
      <c r="AE263" s="2"/>
      <c r="AF263" s="2"/>
      <c r="AG263" s="2"/>
      <c r="AH263" s="2"/>
      <c r="AI263" s="2"/>
      <c r="AJ263" s="2"/>
      <c r="AK263" s="2"/>
      <c r="AL263" s="2"/>
      <c r="AM263" s="2"/>
      <c r="AN263" s="9"/>
      <c r="AO263" s="9"/>
      <c r="AP263" s="9"/>
      <c r="AQ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224"/>
      <c r="X264" s="224"/>
      <c r="Y264" s="868"/>
      <c r="Z264" s="865"/>
      <c r="AA264" s="2"/>
      <c r="AB264" s="2"/>
      <c r="AC264" s="2"/>
      <c r="AD264" s="2"/>
      <c r="AE264" s="2"/>
      <c r="AF264" s="2"/>
      <c r="AG264" s="2"/>
      <c r="AH264" s="2"/>
      <c r="AI264" s="2"/>
      <c r="AJ264" s="2"/>
      <c r="AK264" s="2"/>
      <c r="AL264" s="2"/>
      <c r="AM264" s="2"/>
      <c r="AN264" s="9"/>
      <c r="AO264" s="9"/>
      <c r="AP264" s="9"/>
      <c r="AQ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224"/>
      <c r="X265" s="224"/>
      <c r="Y265" s="868"/>
      <c r="Z265" s="865"/>
      <c r="AA265" s="2"/>
      <c r="AB265" s="2"/>
      <c r="AC265" s="2"/>
      <c r="AD265" s="2"/>
      <c r="AE265" s="2"/>
      <c r="AF265" s="2"/>
      <c r="AG265" s="2"/>
      <c r="AH265" s="2"/>
      <c r="AI265" s="2"/>
      <c r="AJ265" s="2"/>
      <c r="AK265" s="2"/>
      <c r="AL265" s="2"/>
      <c r="AM265" s="2"/>
      <c r="AN265" s="9"/>
      <c r="AO265" s="9"/>
      <c r="AP265" s="9"/>
      <c r="AQ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224"/>
      <c r="X266" s="224"/>
      <c r="Y266" s="868"/>
      <c r="Z266" s="865"/>
      <c r="AA266" s="2"/>
      <c r="AB266" s="2"/>
      <c r="AC266" s="2"/>
      <c r="AD266" s="2"/>
      <c r="AE266" s="2"/>
      <c r="AF266" s="2"/>
      <c r="AG266" s="2"/>
      <c r="AH266" s="2"/>
      <c r="AI266" s="2"/>
      <c r="AJ266" s="2"/>
      <c r="AK266" s="2"/>
      <c r="AL266" s="2"/>
      <c r="AM266" s="2"/>
      <c r="AN266" s="9"/>
      <c r="AO266" s="9"/>
      <c r="AP266" s="9"/>
      <c r="AQ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224"/>
      <c r="X267" s="224"/>
      <c r="Y267" s="868"/>
      <c r="Z267" s="865"/>
      <c r="AA267" s="2"/>
      <c r="AB267" s="2"/>
      <c r="AC267" s="2"/>
      <c r="AD267" s="2"/>
      <c r="AE267" s="2"/>
      <c r="AF267" s="2"/>
      <c r="AG267" s="2"/>
      <c r="AH267" s="2"/>
      <c r="AI267" s="2"/>
      <c r="AJ267" s="2"/>
      <c r="AK267" s="2"/>
      <c r="AL267" s="2"/>
      <c r="AM267" s="2"/>
      <c r="AN267" s="9"/>
      <c r="AO267" s="9"/>
      <c r="AP267" s="9"/>
      <c r="AQ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224"/>
      <c r="X268" s="224"/>
      <c r="Y268" s="868"/>
      <c r="Z268" s="865"/>
      <c r="AA268" s="2"/>
      <c r="AB268" s="2"/>
      <c r="AC268" s="2"/>
      <c r="AD268" s="2"/>
      <c r="AE268" s="2"/>
      <c r="AF268" s="2"/>
      <c r="AG268" s="2"/>
      <c r="AH268" s="2"/>
      <c r="AI268" s="2"/>
      <c r="AJ268" s="2"/>
      <c r="AK268" s="2"/>
      <c r="AL268" s="2"/>
      <c r="AM268" s="2"/>
      <c r="AN268" s="9"/>
      <c r="AO268" s="9"/>
      <c r="AP268" s="9"/>
      <c r="AQ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224"/>
      <c r="X269" s="224"/>
      <c r="Y269" s="868"/>
      <c r="Z269" s="865"/>
      <c r="AA269" s="2"/>
      <c r="AB269" s="2"/>
      <c r="AC269" s="2"/>
      <c r="AD269" s="2"/>
      <c r="AE269" s="2"/>
      <c r="AF269" s="2"/>
      <c r="AG269" s="2"/>
      <c r="AH269" s="2"/>
      <c r="AI269" s="2"/>
      <c r="AJ269" s="2"/>
      <c r="AK269" s="2"/>
      <c r="AL269" s="2"/>
      <c r="AM269" s="2"/>
      <c r="AN269" s="9"/>
      <c r="AO269" s="9"/>
      <c r="AP269" s="9"/>
      <c r="AQ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224"/>
      <c r="X270" s="224"/>
      <c r="Y270" s="868"/>
      <c r="Z270" s="865"/>
      <c r="AA270" s="2"/>
      <c r="AB270" s="2"/>
      <c r="AC270" s="2"/>
      <c r="AD270" s="2"/>
      <c r="AE270" s="2"/>
      <c r="AF270" s="2"/>
      <c r="AG270" s="2"/>
      <c r="AH270" s="2"/>
      <c r="AI270" s="2"/>
      <c r="AJ270" s="2"/>
      <c r="AK270" s="2"/>
      <c r="AL270" s="2"/>
      <c r="AM270" s="2"/>
      <c r="AN270" s="9"/>
      <c r="AO270" s="9"/>
      <c r="AP270" s="9"/>
      <c r="AQ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224"/>
      <c r="X271" s="224"/>
      <c r="Y271" s="868"/>
      <c r="Z271" s="865"/>
      <c r="AA271" s="2"/>
      <c r="AB271" s="2"/>
      <c r="AC271" s="2"/>
      <c r="AD271" s="2"/>
      <c r="AE271" s="2"/>
      <c r="AF271" s="2"/>
      <c r="AG271" s="2"/>
      <c r="AH271" s="2"/>
      <c r="AI271" s="2"/>
      <c r="AJ271" s="2"/>
      <c r="AK271" s="2"/>
      <c r="AL271" s="2"/>
      <c r="AM271" s="2"/>
      <c r="AN271" s="9"/>
      <c r="AO271" s="9"/>
      <c r="AP271" s="9"/>
      <c r="AQ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224"/>
      <c r="X272" s="224"/>
      <c r="Y272" s="868"/>
      <c r="Z272" s="865"/>
      <c r="AA272" s="2"/>
      <c r="AB272" s="2"/>
      <c r="AC272" s="2"/>
      <c r="AD272" s="2"/>
      <c r="AE272" s="2"/>
      <c r="AF272" s="2"/>
      <c r="AG272" s="2"/>
      <c r="AH272" s="2"/>
      <c r="AI272" s="2"/>
      <c r="AJ272" s="2"/>
      <c r="AK272" s="2"/>
      <c r="AL272" s="2"/>
      <c r="AM272" s="2"/>
      <c r="AN272" s="9"/>
      <c r="AO272" s="9"/>
      <c r="AP272" s="9"/>
      <c r="AQ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224"/>
      <c r="X273" s="224"/>
      <c r="Y273" s="868"/>
      <c r="Z273" s="865"/>
      <c r="AA273" s="2"/>
      <c r="AB273" s="2"/>
      <c r="AC273" s="2"/>
      <c r="AD273" s="2"/>
      <c r="AE273" s="2"/>
      <c r="AF273" s="2"/>
      <c r="AG273" s="2"/>
      <c r="AH273" s="2"/>
      <c r="AI273" s="2"/>
      <c r="AJ273" s="2"/>
      <c r="AK273" s="2"/>
      <c r="AL273" s="2"/>
      <c r="AM273" s="2"/>
      <c r="AN273" s="9"/>
      <c r="AO273" s="9"/>
      <c r="AP273" s="9"/>
      <c r="AQ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224"/>
      <c r="X274" s="224"/>
      <c r="Y274" s="868"/>
      <c r="Z274" s="865"/>
      <c r="AA274" s="2"/>
      <c r="AB274" s="2"/>
      <c r="AC274" s="2"/>
      <c r="AD274" s="2"/>
      <c r="AE274" s="2"/>
      <c r="AF274" s="2"/>
      <c r="AG274" s="2"/>
      <c r="AH274" s="2"/>
      <c r="AI274" s="2"/>
      <c r="AJ274" s="2"/>
      <c r="AK274" s="2"/>
      <c r="AL274" s="2"/>
      <c r="AM274" s="2"/>
      <c r="AN274" s="9"/>
      <c r="AO274" s="9"/>
      <c r="AP274" s="9"/>
      <c r="AQ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224"/>
      <c r="X275" s="224"/>
      <c r="Y275" s="868"/>
      <c r="Z275" s="865"/>
      <c r="AA275" s="2"/>
      <c r="AB275" s="2"/>
      <c r="AC275" s="2"/>
      <c r="AD275" s="2"/>
      <c r="AE275" s="2"/>
      <c r="AF275" s="2"/>
      <c r="AG275" s="2"/>
      <c r="AH275" s="2"/>
      <c r="AI275" s="2"/>
      <c r="AJ275" s="2"/>
      <c r="AK275" s="2"/>
      <c r="AL275" s="2"/>
      <c r="AM275" s="2"/>
      <c r="AN275" s="9"/>
      <c r="AO275" s="9"/>
      <c r="AP275" s="9"/>
      <c r="AQ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224"/>
      <c r="X276" s="224"/>
      <c r="Y276" s="868"/>
      <c r="Z276" s="865"/>
      <c r="AA276" s="2"/>
      <c r="AB276" s="2"/>
      <c r="AC276" s="2"/>
      <c r="AD276" s="2"/>
      <c r="AE276" s="2"/>
      <c r="AF276" s="2"/>
      <c r="AG276" s="2"/>
      <c r="AH276" s="2"/>
      <c r="AI276" s="2"/>
      <c r="AJ276" s="2"/>
      <c r="AK276" s="2"/>
      <c r="AL276" s="2"/>
      <c r="AM276" s="2"/>
      <c r="AN276" s="9"/>
      <c r="AO276" s="9"/>
      <c r="AP276" s="9"/>
      <c r="AQ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224"/>
      <c r="X277" s="224"/>
      <c r="Y277" s="868"/>
      <c r="Z277" s="865"/>
      <c r="AA277" s="2"/>
      <c r="AB277" s="2"/>
      <c r="AC277" s="2"/>
      <c r="AD277" s="2"/>
      <c r="AE277" s="2"/>
      <c r="AF277" s="2"/>
      <c r="AG277" s="2"/>
      <c r="AH277" s="2"/>
      <c r="AI277" s="2"/>
      <c r="AJ277" s="2"/>
      <c r="AK277" s="2"/>
      <c r="AL277" s="2"/>
      <c r="AM277" s="2"/>
      <c r="AN277" s="9"/>
      <c r="AO277" s="9"/>
      <c r="AP277" s="9"/>
      <c r="AQ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224"/>
      <c r="X278" s="224"/>
      <c r="Y278" s="868"/>
      <c r="Z278" s="865"/>
      <c r="AA278" s="2"/>
      <c r="AB278" s="2"/>
      <c r="AC278" s="2"/>
      <c r="AD278" s="2"/>
      <c r="AE278" s="2"/>
      <c r="AF278" s="2"/>
      <c r="AG278" s="2"/>
      <c r="AH278" s="2"/>
      <c r="AI278" s="2"/>
      <c r="AJ278" s="2"/>
      <c r="AK278" s="2"/>
      <c r="AL278" s="2"/>
      <c r="AM278" s="2"/>
      <c r="AN278" s="9"/>
      <c r="AO278" s="9"/>
      <c r="AP278" s="9"/>
      <c r="AQ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224"/>
      <c r="X279" s="224"/>
      <c r="Y279" s="868"/>
      <c r="Z279" s="865"/>
      <c r="AA279" s="2"/>
      <c r="AB279" s="2"/>
      <c r="AC279" s="2"/>
      <c r="AD279" s="2"/>
      <c r="AE279" s="2"/>
      <c r="AF279" s="2"/>
      <c r="AG279" s="2"/>
      <c r="AH279" s="2"/>
      <c r="AI279" s="2"/>
      <c r="AJ279" s="2"/>
      <c r="AK279" s="2"/>
      <c r="AL279" s="2"/>
      <c r="AM279" s="2"/>
      <c r="AN279" s="9"/>
      <c r="AO279" s="9"/>
      <c r="AP279" s="9"/>
      <c r="AQ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224"/>
      <c r="X280" s="224"/>
      <c r="Y280" s="868"/>
      <c r="Z280" s="865"/>
      <c r="AA280" s="2"/>
      <c r="AB280" s="2"/>
      <c r="AC280" s="2"/>
      <c r="AD280" s="2"/>
      <c r="AE280" s="2"/>
      <c r="AF280" s="2"/>
      <c r="AG280" s="2"/>
      <c r="AH280" s="2"/>
      <c r="AI280" s="2"/>
      <c r="AJ280" s="2"/>
      <c r="AK280" s="2"/>
      <c r="AL280" s="2"/>
      <c r="AM280" s="2"/>
      <c r="AN280" s="9"/>
      <c r="AO280" s="9"/>
      <c r="AP280" s="9"/>
      <c r="AQ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224"/>
      <c r="X281" s="224"/>
      <c r="Y281" s="868"/>
      <c r="Z281" s="865"/>
      <c r="AA281" s="2"/>
      <c r="AB281" s="2"/>
      <c r="AC281" s="2"/>
      <c r="AD281" s="2"/>
      <c r="AE281" s="2"/>
      <c r="AF281" s="2"/>
      <c r="AG281" s="2"/>
      <c r="AH281" s="2"/>
      <c r="AI281" s="2"/>
      <c r="AJ281" s="2"/>
      <c r="AK281" s="2"/>
      <c r="AL281" s="2"/>
      <c r="AM281" s="2"/>
      <c r="AN281" s="9"/>
      <c r="AO281" s="9"/>
      <c r="AP281" s="9"/>
      <c r="AQ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224"/>
      <c r="X282" s="224"/>
      <c r="Y282" s="868"/>
      <c r="Z282" s="865"/>
      <c r="AA282" s="2"/>
      <c r="AB282" s="2"/>
      <c r="AC282" s="2"/>
      <c r="AD282" s="2"/>
      <c r="AE282" s="2"/>
      <c r="AF282" s="2"/>
      <c r="AG282" s="2"/>
      <c r="AH282" s="2"/>
      <c r="AI282" s="2"/>
      <c r="AJ282" s="2"/>
      <c r="AK282" s="2"/>
      <c r="AL282" s="2"/>
      <c r="AM282" s="2"/>
      <c r="AN282" s="9"/>
      <c r="AO282" s="9"/>
      <c r="AP282" s="9"/>
      <c r="AQ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224"/>
      <c r="X283" s="224"/>
      <c r="Y283" s="868"/>
      <c r="Z283" s="865"/>
      <c r="AA283" s="2"/>
      <c r="AB283" s="2"/>
      <c r="AC283" s="2"/>
      <c r="AD283" s="2"/>
      <c r="AE283" s="2"/>
      <c r="AF283" s="2"/>
      <c r="AG283" s="2"/>
      <c r="AH283" s="2"/>
      <c r="AI283" s="2"/>
      <c r="AJ283" s="2"/>
      <c r="AK283" s="2"/>
      <c r="AL283" s="2"/>
      <c r="AM283" s="2"/>
      <c r="AN283" s="9"/>
      <c r="AO283" s="9"/>
      <c r="AP283" s="9"/>
      <c r="AQ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224"/>
      <c r="X284" s="224"/>
      <c r="Y284" s="868"/>
      <c r="Z284" s="865"/>
      <c r="AA284" s="2"/>
      <c r="AB284" s="2"/>
      <c r="AC284" s="2"/>
      <c r="AD284" s="2"/>
      <c r="AE284" s="2"/>
      <c r="AF284" s="2"/>
      <c r="AG284" s="2"/>
      <c r="AH284" s="2"/>
      <c r="AI284" s="2"/>
      <c r="AJ284" s="2"/>
      <c r="AK284" s="2"/>
      <c r="AL284" s="2"/>
      <c r="AM284" s="2"/>
      <c r="AN284" s="9"/>
      <c r="AO284" s="9"/>
      <c r="AP284" s="9"/>
      <c r="AQ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224"/>
      <c r="X285" s="224"/>
      <c r="Y285" s="868"/>
      <c r="Z285" s="865"/>
      <c r="AA285" s="2"/>
      <c r="AB285" s="2"/>
      <c r="AC285" s="2"/>
      <c r="AD285" s="2"/>
      <c r="AE285" s="2"/>
      <c r="AF285" s="2"/>
      <c r="AG285" s="2"/>
      <c r="AH285" s="2"/>
      <c r="AI285" s="2"/>
      <c r="AJ285" s="2"/>
      <c r="AK285" s="2"/>
      <c r="AL285" s="2"/>
      <c r="AM285" s="2"/>
      <c r="AN285" s="9"/>
      <c r="AO285" s="9"/>
      <c r="AP285" s="9"/>
      <c r="AQ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224"/>
      <c r="X286" s="224"/>
      <c r="Y286" s="868"/>
      <c r="Z286" s="865"/>
      <c r="AA286" s="2"/>
      <c r="AB286" s="2"/>
      <c r="AC286" s="2"/>
      <c r="AD286" s="2"/>
      <c r="AE286" s="2"/>
      <c r="AF286" s="2"/>
      <c r="AG286" s="2"/>
      <c r="AH286" s="2"/>
      <c r="AI286" s="2"/>
      <c r="AJ286" s="2"/>
      <c r="AK286" s="2"/>
      <c r="AL286" s="2"/>
      <c r="AM286" s="2"/>
      <c r="AN286" s="9"/>
      <c r="AO286" s="9"/>
      <c r="AP286" s="9"/>
      <c r="AQ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224"/>
      <c r="X287" s="224"/>
      <c r="Y287" s="868"/>
      <c r="Z287" s="865"/>
      <c r="AA287" s="2"/>
      <c r="AB287" s="2"/>
      <c r="AC287" s="2"/>
      <c r="AD287" s="2"/>
      <c r="AE287" s="2"/>
      <c r="AF287" s="2"/>
      <c r="AG287" s="2"/>
      <c r="AH287" s="2"/>
      <c r="AI287" s="2"/>
      <c r="AJ287" s="2"/>
      <c r="AK287" s="2"/>
      <c r="AL287" s="2"/>
      <c r="AM287" s="2"/>
      <c r="AN287" s="9"/>
      <c r="AO287" s="9"/>
      <c r="AP287" s="9"/>
      <c r="AQ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224"/>
      <c r="X288" s="224"/>
      <c r="Y288" s="868"/>
      <c r="Z288" s="865"/>
      <c r="AA288" s="2"/>
      <c r="AB288" s="2"/>
      <c r="AC288" s="2"/>
      <c r="AD288" s="2"/>
      <c r="AE288" s="2"/>
      <c r="AF288" s="2"/>
      <c r="AG288" s="2"/>
      <c r="AH288" s="2"/>
      <c r="AI288" s="2"/>
      <c r="AJ288" s="2"/>
      <c r="AK288" s="2"/>
      <c r="AL288" s="2"/>
      <c r="AM288" s="2"/>
      <c r="AN288" s="9"/>
      <c r="AO288" s="9"/>
      <c r="AP288" s="9"/>
      <c r="AQ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224"/>
      <c r="X289" s="224"/>
      <c r="Y289" s="868"/>
      <c r="Z289" s="865"/>
      <c r="AA289" s="2"/>
      <c r="AB289" s="2"/>
      <c r="AC289" s="2"/>
      <c r="AD289" s="2"/>
      <c r="AE289" s="2"/>
      <c r="AF289" s="2"/>
      <c r="AG289" s="2"/>
      <c r="AH289" s="2"/>
      <c r="AI289" s="2"/>
      <c r="AJ289" s="2"/>
      <c r="AK289" s="2"/>
      <c r="AL289" s="2"/>
      <c r="AM289" s="2"/>
      <c r="AN289" s="9"/>
      <c r="AO289" s="9"/>
      <c r="AP289" s="9"/>
      <c r="AQ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224"/>
      <c r="X290" s="224"/>
      <c r="Y290" s="868"/>
      <c r="Z290" s="865"/>
      <c r="AA290" s="2"/>
      <c r="AB290" s="2"/>
      <c r="AC290" s="2"/>
      <c r="AD290" s="2"/>
      <c r="AE290" s="2"/>
      <c r="AF290" s="2"/>
      <c r="AG290" s="2"/>
      <c r="AH290" s="2"/>
      <c r="AI290" s="2"/>
      <c r="AJ290" s="2"/>
      <c r="AK290" s="2"/>
      <c r="AL290" s="2"/>
      <c r="AM290" s="2"/>
      <c r="AN290" s="9"/>
      <c r="AO290" s="9"/>
      <c r="AP290" s="9"/>
      <c r="AQ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224"/>
      <c r="X291" s="224"/>
      <c r="Y291" s="868"/>
      <c r="Z291" s="865"/>
      <c r="AA291" s="2"/>
      <c r="AB291" s="2"/>
      <c r="AC291" s="2"/>
      <c r="AD291" s="2"/>
      <c r="AE291" s="2"/>
      <c r="AF291" s="2"/>
      <c r="AG291" s="2"/>
      <c r="AH291" s="2"/>
      <c r="AI291" s="2"/>
      <c r="AJ291" s="2"/>
      <c r="AK291" s="2"/>
      <c r="AL291" s="2"/>
      <c r="AM291" s="2"/>
      <c r="AN291" s="9"/>
      <c r="AO291" s="9"/>
      <c r="AP291" s="9"/>
      <c r="AQ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224"/>
      <c r="X292" s="224"/>
      <c r="Y292" s="868"/>
      <c r="Z292" s="865"/>
      <c r="AA292" s="2"/>
      <c r="AB292" s="2"/>
      <c r="AC292" s="2"/>
      <c r="AD292" s="2"/>
      <c r="AE292" s="2"/>
      <c r="AF292" s="2"/>
      <c r="AG292" s="2"/>
      <c r="AH292" s="2"/>
      <c r="AI292" s="2"/>
      <c r="AJ292" s="2"/>
      <c r="AK292" s="2"/>
      <c r="AL292" s="2"/>
      <c r="AM292" s="2"/>
      <c r="AN292" s="9"/>
      <c r="AO292" s="9"/>
      <c r="AP292" s="9"/>
      <c r="AQ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224"/>
      <c r="X293" s="224"/>
      <c r="Y293" s="868"/>
      <c r="Z293" s="865"/>
      <c r="AA293" s="2"/>
      <c r="AB293" s="2"/>
      <c r="AC293" s="2"/>
      <c r="AD293" s="2"/>
      <c r="AE293" s="2"/>
      <c r="AF293" s="2"/>
      <c r="AG293" s="2"/>
      <c r="AH293" s="2"/>
      <c r="AI293" s="2"/>
      <c r="AJ293" s="2"/>
      <c r="AK293" s="2"/>
      <c r="AL293" s="2"/>
      <c r="AM293" s="2"/>
      <c r="AN293" s="9"/>
      <c r="AO293" s="9"/>
      <c r="AP293" s="9"/>
      <c r="AQ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224"/>
      <c r="X294" s="224"/>
      <c r="Y294" s="868"/>
      <c r="Z294" s="865"/>
      <c r="AA294" s="2"/>
      <c r="AB294" s="2"/>
      <c r="AC294" s="2"/>
      <c r="AD294" s="2"/>
      <c r="AE294" s="2"/>
      <c r="AF294" s="2"/>
      <c r="AG294" s="2"/>
      <c r="AH294" s="2"/>
      <c r="AI294" s="2"/>
      <c r="AJ294" s="2"/>
      <c r="AK294" s="2"/>
      <c r="AL294" s="2"/>
      <c r="AM294" s="2"/>
      <c r="AN294" s="9"/>
      <c r="AO294" s="9"/>
      <c r="AP294" s="9"/>
      <c r="AQ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224"/>
      <c r="X295" s="224"/>
      <c r="Y295" s="868"/>
      <c r="Z295" s="865"/>
      <c r="AA295" s="2"/>
      <c r="AB295" s="2"/>
      <c r="AC295" s="2"/>
      <c r="AD295" s="2"/>
      <c r="AE295" s="2"/>
      <c r="AF295" s="2"/>
      <c r="AG295" s="2"/>
      <c r="AH295" s="2"/>
      <c r="AI295" s="2"/>
      <c r="AJ295" s="2"/>
      <c r="AK295" s="2"/>
      <c r="AL295" s="2"/>
      <c r="AM295" s="2"/>
      <c r="AN295" s="9"/>
      <c r="AO295" s="9"/>
      <c r="AP295" s="9"/>
      <c r="AQ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224"/>
      <c r="X296" s="224"/>
      <c r="Y296" s="868"/>
      <c r="Z296" s="865"/>
      <c r="AA296" s="2"/>
      <c r="AB296" s="2"/>
      <c r="AC296" s="2"/>
      <c r="AD296" s="2"/>
      <c r="AE296" s="2"/>
      <c r="AF296" s="2"/>
      <c r="AG296" s="2"/>
      <c r="AH296" s="2"/>
      <c r="AI296" s="2"/>
      <c r="AJ296" s="2"/>
      <c r="AK296" s="2"/>
      <c r="AL296" s="2"/>
      <c r="AM296" s="2"/>
      <c r="AN296" s="9"/>
      <c r="AO296" s="9"/>
      <c r="AP296" s="9"/>
      <c r="AQ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224"/>
      <c r="X297" s="224"/>
      <c r="Y297" s="868"/>
      <c r="Z297" s="865"/>
      <c r="AA297" s="2"/>
      <c r="AB297" s="2"/>
      <c r="AC297" s="2"/>
      <c r="AD297" s="2"/>
      <c r="AE297" s="2"/>
      <c r="AF297" s="2"/>
      <c r="AG297" s="2"/>
      <c r="AH297" s="2"/>
      <c r="AI297" s="2"/>
      <c r="AJ297" s="2"/>
      <c r="AK297" s="2"/>
      <c r="AL297" s="2"/>
      <c r="AM297" s="2"/>
      <c r="AN297" s="9"/>
      <c r="AO297" s="9"/>
      <c r="AP297" s="9"/>
      <c r="AQ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224"/>
      <c r="X298" s="224"/>
      <c r="Y298" s="868"/>
      <c r="Z298" s="865"/>
      <c r="AA298" s="2"/>
      <c r="AB298" s="2"/>
      <c r="AC298" s="2"/>
      <c r="AD298" s="2"/>
      <c r="AE298" s="2"/>
      <c r="AF298" s="2"/>
      <c r="AG298" s="2"/>
      <c r="AH298" s="2"/>
      <c r="AI298" s="2"/>
      <c r="AJ298" s="2"/>
      <c r="AK298" s="2"/>
      <c r="AL298" s="2"/>
      <c r="AM298" s="2"/>
      <c r="AN298" s="9"/>
      <c r="AO298" s="9"/>
      <c r="AP298" s="9"/>
      <c r="AQ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224"/>
      <c r="X299" s="224"/>
      <c r="Y299" s="868"/>
      <c r="Z299" s="865"/>
      <c r="AA299" s="2"/>
      <c r="AB299" s="2"/>
      <c r="AC299" s="2"/>
      <c r="AD299" s="2"/>
      <c r="AE299" s="2"/>
      <c r="AF299" s="2"/>
      <c r="AG299" s="2"/>
      <c r="AH299" s="2"/>
      <c r="AI299" s="2"/>
      <c r="AJ299" s="2"/>
      <c r="AK299" s="2"/>
      <c r="AL299" s="2"/>
      <c r="AM299" s="2"/>
      <c r="AN299" s="9"/>
      <c r="AO299" s="9"/>
      <c r="AP299" s="9"/>
      <c r="AQ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224"/>
      <c r="X300" s="224"/>
      <c r="Y300" s="868"/>
      <c r="Z300" s="865"/>
      <c r="AA300" s="2"/>
      <c r="AB300" s="2"/>
      <c r="AC300" s="2"/>
      <c r="AD300" s="2"/>
      <c r="AE300" s="2"/>
      <c r="AF300" s="2"/>
      <c r="AG300" s="2"/>
      <c r="AH300" s="2"/>
      <c r="AI300" s="2"/>
      <c r="AJ300" s="2"/>
      <c r="AK300" s="2"/>
      <c r="AL300" s="2"/>
      <c r="AM300" s="2"/>
      <c r="AN300" s="9"/>
      <c r="AO300" s="9"/>
      <c r="AP300" s="9"/>
      <c r="AQ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224"/>
      <c r="X301" s="224"/>
      <c r="Y301" s="868"/>
      <c r="Z301" s="865"/>
      <c r="AA301" s="2"/>
      <c r="AB301" s="2"/>
      <c r="AC301" s="2"/>
      <c r="AD301" s="2"/>
      <c r="AE301" s="2"/>
      <c r="AF301" s="2"/>
      <c r="AG301" s="2"/>
      <c r="AH301" s="2"/>
      <c r="AI301" s="2"/>
      <c r="AJ301" s="2"/>
      <c r="AK301" s="2"/>
      <c r="AL301" s="2"/>
      <c r="AM301" s="2"/>
      <c r="AN301" s="9"/>
      <c r="AO301" s="9"/>
      <c r="AP301" s="9"/>
      <c r="AQ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224"/>
      <c r="X302" s="224"/>
      <c r="Y302" s="868"/>
      <c r="Z302" s="865"/>
      <c r="AA302" s="2"/>
      <c r="AB302" s="2"/>
      <c r="AC302" s="2"/>
      <c r="AD302" s="2"/>
      <c r="AE302" s="2"/>
      <c r="AF302" s="2"/>
      <c r="AG302" s="2"/>
      <c r="AH302" s="2"/>
      <c r="AI302" s="2"/>
      <c r="AJ302" s="2"/>
      <c r="AK302" s="2"/>
      <c r="AL302" s="2"/>
      <c r="AM302" s="2"/>
      <c r="AN302" s="9"/>
      <c r="AO302" s="9"/>
      <c r="AP302" s="9"/>
      <c r="AQ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224"/>
      <c r="X303" s="224"/>
      <c r="Y303" s="868"/>
      <c r="Z303" s="865"/>
      <c r="AA303" s="2"/>
      <c r="AB303" s="2"/>
      <c r="AC303" s="2"/>
      <c r="AD303" s="2"/>
      <c r="AE303" s="2"/>
      <c r="AF303" s="2"/>
      <c r="AG303" s="2"/>
      <c r="AH303" s="2"/>
      <c r="AI303" s="2"/>
      <c r="AJ303" s="2"/>
      <c r="AK303" s="2"/>
      <c r="AL303" s="2"/>
      <c r="AM303" s="2"/>
      <c r="AN303" s="9"/>
      <c r="AO303" s="9"/>
      <c r="AP303" s="9"/>
      <c r="AQ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224"/>
      <c r="X304" s="224"/>
      <c r="Y304" s="868"/>
      <c r="Z304" s="865"/>
      <c r="AA304" s="2"/>
      <c r="AB304" s="2"/>
      <c r="AC304" s="2"/>
      <c r="AD304" s="2"/>
      <c r="AE304" s="2"/>
      <c r="AF304" s="2"/>
      <c r="AG304" s="2"/>
      <c r="AH304" s="2"/>
      <c r="AI304" s="2"/>
      <c r="AJ304" s="2"/>
      <c r="AK304" s="2"/>
      <c r="AL304" s="2"/>
      <c r="AM304" s="2"/>
      <c r="AN304" s="9"/>
      <c r="AO304" s="9"/>
      <c r="AP304" s="9"/>
      <c r="AQ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224"/>
      <c r="X305" s="224"/>
      <c r="Y305" s="868"/>
      <c r="Z305" s="865"/>
      <c r="AA305" s="2"/>
      <c r="AB305" s="2"/>
      <c r="AC305" s="2"/>
      <c r="AD305" s="2"/>
      <c r="AE305" s="2"/>
      <c r="AF305" s="2"/>
      <c r="AG305" s="2"/>
      <c r="AH305" s="2"/>
      <c r="AI305" s="2"/>
      <c r="AJ305" s="2"/>
      <c r="AK305" s="2"/>
      <c r="AL305" s="2"/>
      <c r="AM305" s="2"/>
      <c r="AN305" s="9"/>
      <c r="AO305" s="9"/>
      <c r="AP305" s="9"/>
      <c r="AQ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224"/>
      <c r="X306" s="224"/>
      <c r="Y306" s="868"/>
      <c r="Z306" s="865"/>
      <c r="AA306" s="2"/>
      <c r="AB306" s="2"/>
      <c r="AC306" s="2"/>
      <c r="AD306" s="2"/>
      <c r="AE306" s="2"/>
      <c r="AF306" s="2"/>
      <c r="AG306" s="2"/>
      <c r="AH306" s="2"/>
      <c r="AI306" s="2"/>
      <c r="AJ306" s="2"/>
      <c r="AK306" s="2"/>
      <c r="AL306" s="2"/>
      <c r="AM306" s="2"/>
      <c r="AN306" s="9"/>
      <c r="AO306" s="9"/>
      <c r="AP306" s="9"/>
      <c r="AQ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224"/>
      <c r="X307" s="224"/>
      <c r="Y307" s="868"/>
      <c r="Z307" s="865"/>
      <c r="AA307" s="2"/>
      <c r="AB307" s="2"/>
      <c r="AC307" s="2"/>
      <c r="AD307" s="2"/>
      <c r="AE307" s="2"/>
      <c r="AF307" s="2"/>
      <c r="AG307" s="2"/>
      <c r="AH307" s="2"/>
      <c r="AI307" s="2"/>
      <c r="AJ307" s="2"/>
      <c r="AK307" s="2"/>
      <c r="AL307" s="2"/>
      <c r="AM307" s="2"/>
      <c r="AN307" s="9"/>
      <c r="AO307" s="9"/>
      <c r="AP307" s="9"/>
      <c r="AQ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224"/>
      <c r="X308" s="224"/>
      <c r="Y308" s="868"/>
      <c r="Z308" s="865"/>
      <c r="AA308" s="2"/>
      <c r="AB308" s="2"/>
      <c r="AC308" s="2"/>
      <c r="AD308" s="2"/>
      <c r="AE308" s="2"/>
      <c r="AF308" s="2"/>
      <c r="AG308" s="2"/>
      <c r="AH308" s="2"/>
      <c r="AI308" s="2"/>
      <c r="AJ308" s="2"/>
      <c r="AK308" s="2"/>
      <c r="AL308" s="2"/>
      <c r="AM308" s="2"/>
      <c r="AN308" s="9"/>
      <c r="AO308" s="9"/>
      <c r="AP308" s="9"/>
      <c r="AQ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224"/>
      <c r="X309" s="224"/>
      <c r="Y309" s="868"/>
      <c r="Z309" s="865"/>
      <c r="AA309" s="2"/>
      <c r="AB309" s="2"/>
      <c r="AC309" s="2"/>
      <c r="AD309" s="2"/>
      <c r="AE309" s="2"/>
      <c r="AF309" s="2"/>
      <c r="AG309" s="2"/>
      <c r="AH309" s="2"/>
      <c r="AI309" s="2"/>
      <c r="AJ309" s="2"/>
      <c r="AK309" s="2"/>
      <c r="AL309" s="2"/>
      <c r="AM309" s="2"/>
      <c r="AN309" s="9"/>
      <c r="AO309" s="9"/>
      <c r="AP309" s="9"/>
      <c r="AQ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224"/>
      <c r="X310" s="224"/>
      <c r="Y310" s="868"/>
      <c r="Z310" s="865"/>
      <c r="AA310" s="2"/>
      <c r="AB310" s="2"/>
      <c r="AC310" s="2"/>
      <c r="AD310" s="2"/>
      <c r="AE310" s="2"/>
      <c r="AF310" s="2"/>
      <c r="AG310" s="2"/>
      <c r="AH310" s="2"/>
      <c r="AI310" s="2"/>
      <c r="AJ310" s="2"/>
      <c r="AK310" s="2"/>
      <c r="AL310" s="2"/>
      <c r="AM310" s="2"/>
      <c r="AN310" s="9"/>
      <c r="AO310" s="9"/>
      <c r="AP310" s="9"/>
      <c r="AQ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224"/>
      <c r="X311" s="224"/>
      <c r="Y311" s="868"/>
      <c r="Z311" s="865"/>
      <c r="AA311" s="2"/>
      <c r="AB311" s="2"/>
      <c r="AC311" s="2"/>
      <c r="AD311" s="2"/>
      <c r="AE311" s="2"/>
      <c r="AF311" s="2"/>
      <c r="AG311" s="2"/>
      <c r="AH311" s="2"/>
      <c r="AI311" s="2"/>
      <c r="AJ311" s="2"/>
      <c r="AK311" s="2"/>
      <c r="AL311" s="2"/>
      <c r="AM311" s="2"/>
      <c r="AN311" s="9"/>
      <c r="AO311" s="9"/>
      <c r="AP311" s="9"/>
      <c r="AQ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224"/>
      <c r="X312" s="224"/>
      <c r="Y312" s="868"/>
      <c r="Z312" s="865"/>
      <c r="AA312" s="2"/>
      <c r="AB312" s="2"/>
      <c r="AC312" s="2"/>
      <c r="AD312" s="2"/>
      <c r="AE312" s="2"/>
      <c r="AF312" s="2"/>
      <c r="AG312" s="2"/>
      <c r="AH312" s="2"/>
      <c r="AI312" s="2"/>
      <c r="AJ312" s="2"/>
      <c r="AK312" s="2"/>
      <c r="AL312" s="2"/>
      <c r="AM312" s="2"/>
      <c r="AN312" s="9"/>
      <c r="AO312" s="9"/>
      <c r="AP312" s="9"/>
      <c r="AQ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224"/>
      <c r="X313" s="224"/>
      <c r="Y313" s="868"/>
      <c r="Z313" s="865"/>
      <c r="AA313" s="2"/>
      <c r="AB313" s="2"/>
      <c r="AC313" s="2"/>
      <c r="AD313" s="2"/>
      <c r="AE313" s="2"/>
      <c r="AF313" s="2"/>
      <c r="AG313" s="2"/>
      <c r="AH313" s="2"/>
      <c r="AI313" s="2"/>
      <c r="AJ313" s="2"/>
      <c r="AK313" s="2"/>
      <c r="AL313" s="2"/>
      <c r="AM313" s="2"/>
      <c r="AN313" s="9"/>
      <c r="AO313" s="9"/>
      <c r="AP313" s="9"/>
      <c r="AQ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224"/>
      <c r="X314" s="224"/>
      <c r="Y314" s="868"/>
      <c r="Z314" s="865"/>
      <c r="AA314" s="2"/>
      <c r="AB314" s="2"/>
      <c r="AC314" s="2"/>
      <c r="AD314" s="2"/>
      <c r="AE314" s="2"/>
      <c r="AF314" s="2"/>
      <c r="AG314" s="2"/>
      <c r="AH314" s="2"/>
      <c r="AI314" s="2"/>
      <c r="AJ314" s="2"/>
      <c r="AK314" s="2"/>
      <c r="AL314" s="2"/>
      <c r="AM314" s="2"/>
      <c r="AN314" s="9"/>
      <c r="AO314" s="9"/>
      <c r="AP314" s="9"/>
      <c r="AQ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224"/>
      <c r="X315" s="224"/>
      <c r="Y315" s="868"/>
      <c r="Z315" s="865"/>
      <c r="AA315" s="2"/>
      <c r="AB315" s="2"/>
      <c r="AC315" s="2"/>
      <c r="AD315" s="2"/>
      <c r="AE315" s="2"/>
      <c r="AF315" s="2"/>
      <c r="AG315" s="2"/>
      <c r="AH315" s="2"/>
      <c r="AI315" s="2"/>
      <c r="AJ315" s="2"/>
      <c r="AK315" s="2"/>
      <c r="AL315" s="2"/>
      <c r="AM315" s="2"/>
      <c r="AN315" s="9"/>
      <c r="AO315" s="9"/>
      <c r="AP315" s="9"/>
      <c r="AQ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224"/>
      <c r="X316" s="224"/>
      <c r="Y316" s="868"/>
      <c r="Z316" s="865"/>
      <c r="AA316" s="2"/>
      <c r="AB316" s="2"/>
      <c r="AC316" s="2"/>
      <c r="AD316" s="2"/>
      <c r="AE316" s="2"/>
      <c r="AF316" s="2"/>
      <c r="AG316" s="2"/>
      <c r="AH316" s="2"/>
      <c r="AI316" s="2"/>
      <c r="AJ316" s="2"/>
      <c r="AK316" s="2"/>
      <c r="AL316" s="2"/>
      <c r="AM316" s="2"/>
      <c r="AN316" s="9"/>
      <c r="AO316" s="9"/>
      <c r="AP316" s="9"/>
      <c r="AQ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224"/>
      <c r="X317" s="224"/>
      <c r="Y317" s="868"/>
      <c r="Z317" s="865"/>
      <c r="AA317" s="2"/>
      <c r="AB317" s="2"/>
      <c r="AC317" s="2"/>
      <c r="AD317" s="2"/>
      <c r="AE317" s="2"/>
      <c r="AF317" s="2"/>
      <c r="AG317" s="2"/>
      <c r="AH317" s="2"/>
      <c r="AI317" s="2"/>
      <c r="AJ317" s="2"/>
      <c r="AK317" s="2"/>
      <c r="AL317" s="2"/>
      <c r="AM317" s="2"/>
      <c r="AN317" s="9"/>
      <c r="AO317" s="9"/>
      <c r="AP317" s="9"/>
      <c r="AQ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224"/>
      <c r="X318" s="224"/>
      <c r="Y318" s="868"/>
      <c r="Z318" s="865"/>
      <c r="AA318" s="2"/>
      <c r="AB318" s="2"/>
      <c r="AC318" s="2"/>
      <c r="AD318" s="2"/>
      <c r="AE318" s="2"/>
      <c r="AF318" s="2"/>
      <c r="AG318" s="2"/>
      <c r="AH318" s="2"/>
      <c r="AI318" s="2"/>
      <c r="AJ318" s="2"/>
      <c r="AK318" s="2"/>
      <c r="AL318" s="2"/>
      <c r="AM318" s="2"/>
      <c r="AN318" s="9"/>
      <c r="AO318" s="9"/>
      <c r="AP318" s="9"/>
      <c r="AQ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224"/>
      <c r="X319" s="224"/>
      <c r="Y319" s="868"/>
      <c r="Z319" s="865"/>
      <c r="AA319" s="2"/>
      <c r="AB319" s="2"/>
      <c r="AC319" s="2"/>
      <c r="AD319" s="2"/>
      <c r="AE319" s="2"/>
      <c r="AF319" s="2"/>
      <c r="AG319" s="2"/>
      <c r="AH319" s="2"/>
      <c r="AI319" s="2"/>
      <c r="AJ319" s="2"/>
      <c r="AK319" s="2"/>
      <c r="AL319" s="2"/>
      <c r="AM319" s="2"/>
      <c r="AN319" s="9"/>
      <c r="AO319" s="9"/>
      <c r="AP319" s="9"/>
      <c r="AQ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224"/>
      <c r="X320" s="224"/>
      <c r="Y320" s="868"/>
      <c r="Z320" s="865"/>
      <c r="AA320" s="2"/>
      <c r="AB320" s="2"/>
      <c r="AC320" s="2"/>
      <c r="AD320" s="2"/>
      <c r="AE320" s="2"/>
      <c r="AF320" s="2"/>
      <c r="AG320" s="2"/>
      <c r="AH320" s="2"/>
      <c r="AI320" s="2"/>
      <c r="AJ320" s="2"/>
      <c r="AK320" s="2"/>
      <c r="AL320" s="2"/>
      <c r="AM320" s="2"/>
      <c r="AN320" s="9"/>
      <c r="AO320" s="9"/>
      <c r="AP320" s="9"/>
      <c r="AQ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224"/>
      <c r="X321" s="224"/>
      <c r="Y321" s="868"/>
      <c r="Z321" s="865"/>
      <c r="AA321" s="2"/>
      <c r="AB321" s="2"/>
      <c r="AC321" s="2"/>
      <c r="AD321" s="2"/>
      <c r="AE321" s="2"/>
      <c r="AF321" s="2"/>
      <c r="AG321" s="2"/>
      <c r="AH321" s="2"/>
      <c r="AI321" s="2"/>
      <c r="AJ321" s="2"/>
      <c r="AK321" s="2"/>
      <c r="AL321" s="2"/>
      <c r="AM321" s="2"/>
      <c r="AN321" s="9"/>
      <c r="AO321" s="9"/>
      <c r="AP321" s="9"/>
      <c r="AQ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224"/>
      <c r="X322" s="224"/>
      <c r="Y322" s="868"/>
      <c r="Z322" s="865"/>
      <c r="AA322" s="2"/>
      <c r="AB322" s="2"/>
      <c r="AC322" s="2"/>
      <c r="AD322" s="2"/>
      <c r="AE322" s="2"/>
      <c r="AF322" s="2"/>
      <c r="AG322" s="2"/>
      <c r="AH322" s="2"/>
      <c r="AI322" s="2"/>
      <c r="AJ322" s="2"/>
      <c r="AK322" s="2"/>
      <c r="AL322" s="2"/>
      <c r="AM322" s="2"/>
      <c r="AN322" s="9"/>
      <c r="AO322" s="9"/>
      <c r="AP322" s="9"/>
      <c r="AQ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224"/>
      <c r="X323" s="224"/>
      <c r="Y323" s="868"/>
      <c r="Z323" s="865"/>
      <c r="AA323" s="2"/>
      <c r="AB323" s="2"/>
      <c r="AC323" s="2"/>
      <c r="AD323" s="2"/>
      <c r="AE323" s="2"/>
      <c r="AF323" s="2"/>
      <c r="AG323" s="2"/>
      <c r="AH323" s="2"/>
      <c r="AI323" s="2"/>
      <c r="AJ323" s="2"/>
      <c r="AK323" s="2"/>
      <c r="AL323" s="2"/>
      <c r="AM323" s="2"/>
      <c r="AN323" s="9"/>
      <c r="AO323" s="9"/>
      <c r="AP323" s="9"/>
      <c r="AQ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224"/>
      <c r="X324" s="224"/>
      <c r="Y324" s="868"/>
      <c r="Z324" s="865"/>
      <c r="AA324" s="2"/>
      <c r="AB324" s="2"/>
      <c r="AC324" s="2"/>
      <c r="AD324" s="2"/>
      <c r="AE324" s="2"/>
      <c r="AF324" s="2"/>
      <c r="AG324" s="2"/>
      <c r="AH324" s="2"/>
      <c r="AI324" s="2"/>
      <c r="AJ324" s="2"/>
      <c r="AK324" s="2"/>
      <c r="AL324" s="2"/>
      <c r="AM324" s="2"/>
      <c r="AN324" s="9"/>
      <c r="AO324" s="9"/>
      <c r="AP324" s="9"/>
      <c r="AQ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224"/>
      <c r="X325" s="224"/>
      <c r="Y325" s="868"/>
      <c r="Z325" s="865"/>
      <c r="AA325" s="2"/>
      <c r="AB325" s="2"/>
      <c r="AC325" s="2"/>
      <c r="AD325" s="2"/>
      <c r="AE325" s="2"/>
      <c r="AF325" s="2"/>
      <c r="AG325" s="2"/>
      <c r="AH325" s="2"/>
      <c r="AI325" s="2"/>
      <c r="AJ325" s="2"/>
      <c r="AK325" s="2"/>
      <c r="AL325" s="2"/>
      <c r="AM325" s="2"/>
      <c r="AN325" s="9"/>
      <c r="AO325" s="9"/>
      <c r="AP325" s="9"/>
      <c r="AQ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224"/>
      <c r="X326" s="224"/>
      <c r="Y326" s="868"/>
      <c r="Z326" s="865"/>
      <c r="AA326" s="2"/>
      <c r="AB326" s="2"/>
      <c r="AC326" s="2"/>
      <c r="AD326" s="2"/>
      <c r="AE326" s="2"/>
      <c r="AF326" s="2"/>
      <c r="AG326" s="2"/>
      <c r="AH326" s="2"/>
      <c r="AI326" s="2"/>
      <c r="AJ326" s="2"/>
      <c r="AK326" s="2"/>
      <c r="AL326" s="2"/>
      <c r="AM326" s="2"/>
      <c r="AN326" s="9"/>
      <c r="AO326" s="9"/>
      <c r="AP326" s="9"/>
      <c r="AQ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224"/>
      <c r="X327" s="224"/>
      <c r="Y327" s="868"/>
      <c r="Z327" s="865"/>
      <c r="AA327" s="2"/>
      <c r="AB327" s="2"/>
      <c r="AC327" s="2"/>
      <c r="AD327" s="2"/>
      <c r="AE327" s="2"/>
      <c r="AF327" s="2"/>
      <c r="AG327" s="2"/>
      <c r="AH327" s="2"/>
      <c r="AI327" s="2"/>
      <c r="AJ327" s="2"/>
      <c r="AK327" s="2"/>
      <c r="AL327" s="2"/>
      <c r="AM327" s="2"/>
      <c r="AN327" s="9"/>
      <c r="AO327" s="9"/>
      <c r="AP327" s="9"/>
      <c r="AQ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224"/>
      <c r="X328" s="224"/>
      <c r="Y328" s="868"/>
      <c r="Z328" s="865"/>
      <c r="AA328" s="2"/>
      <c r="AB328" s="2"/>
      <c r="AC328" s="2"/>
      <c r="AD328" s="2"/>
      <c r="AE328" s="2"/>
      <c r="AF328" s="2"/>
      <c r="AG328" s="2"/>
      <c r="AH328" s="2"/>
      <c r="AI328" s="2"/>
      <c r="AJ328" s="2"/>
      <c r="AK328" s="2"/>
      <c r="AL328" s="2"/>
      <c r="AM328" s="2"/>
      <c r="AN328" s="9"/>
      <c r="AO328" s="9"/>
      <c r="AP328" s="9"/>
      <c r="AQ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224"/>
      <c r="X329" s="224"/>
      <c r="Y329" s="868"/>
      <c r="Z329" s="865"/>
      <c r="AA329" s="2"/>
      <c r="AB329" s="2"/>
      <c r="AC329" s="2"/>
      <c r="AD329" s="2"/>
      <c r="AE329" s="2"/>
      <c r="AF329" s="2"/>
      <c r="AG329" s="2"/>
      <c r="AH329" s="2"/>
      <c r="AI329" s="2"/>
      <c r="AJ329" s="2"/>
      <c r="AK329" s="2"/>
      <c r="AL329" s="2"/>
      <c r="AM329" s="2"/>
      <c r="AN329" s="9"/>
      <c r="AO329" s="9"/>
      <c r="AP329" s="9"/>
      <c r="AQ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224"/>
      <c r="X330" s="224"/>
      <c r="Y330" s="868"/>
      <c r="Z330" s="865"/>
      <c r="AA330" s="2"/>
      <c r="AB330" s="2"/>
      <c r="AC330" s="2"/>
      <c r="AD330" s="2"/>
      <c r="AE330" s="2"/>
      <c r="AF330" s="2"/>
      <c r="AG330" s="2"/>
      <c r="AH330" s="2"/>
      <c r="AI330" s="2"/>
      <c r="AJ330" s="2"/>
      <c r="AK330" s="2"/>
      <c r="AL330" s="2"/>
      <c r="AM330" s="2"/>
      <c r="AN330" s="9"/>
      <c r="AO330" s="9"/>
      <c r="AP330" s="9"/>
      <c r="AQ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224"/>
      <c r="X331" s="224"/>
      <c r="Y331" s="868"/>
      <c r="Z331" s="865"/>
      <c r="AA331" s="2"/>
      <c r="AB331" s="2"/>
      <c r="AC331" s="2"/>
      <c r="AD331" s="2"/>
      <c r="AE331" s="2"/>
      <c r="AF331" s="2"/>
      <c r="AG331" s="2"/>
      <c r="AH331" s="2"/>
      <c r="AI331" s="2"/>
      <c r="AJ331" s="2"/>
      <c r="AK331" s="2"/>
      <c r="AL331" s="2"/>
      <c r="AM331" s="2"/>
      <c r="AN331" s="9"/>
      <c r="AO331" s="9"/>
      <c r="AP331" s="9"/>
      <c r="AQ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224"/>
      <c r="X332" s="224"/>
      <c r="Y332" s="868"/>
      <c r="Z332" s="865"/>
      <c r="AA332" s="2"/>
      <c r="AB332" s="2"/>
      <c r="AC332" s="2"/>
      <c r="AD332" s="2"/>
      <c r="AE332" s="2"/>
      <c r="AF332" s="2"/>
      <c r="AG332" s="2"/>
      <c r="AH332" s="2"/>
      <c r="AI332" s="2"/>
      <c r="AJ332" s="2"/>
      <c r="AK332" s="2"/>
      <c r="AL332" s="2"/>
      <c r="AM332" s="2"/>
      <c r="AN332" s="9"/>
      <c r="AO332" s="9"/>
      <c r="AP332" s="9"/>
      <c r="AQ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224"/>
      <c r="X333" s="224"/>
      <c r="Y333" s="868"/>
      <c r="Z333" s="865"/>
      <c r="AA333" s="2"/>
      <c r="AB333" s="2"/>
      <c r="AC333" s="2"/>
      <c r="AD333" s="2"/>
      <c r="AE333" s="2"/>
      <c r="AF333" s="2"/>
      <c r="AG333" s="2"/>
      <c r="AH333" s="2"/>
      <c r="AI333" s="2"/>
      <c r="AJ333" s="2"/>
      <c r="AK333" s="2"/>
      <c r="AL333" s="2"/>
      <c r="AM333" s="2"/>
      <c r="AN333" s="9"/>
      <c r="AO333" s="9"/>
      <c r="AP333" s="9"/>
      <c r="AQ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224"/>
      <c r="X334" s="224"/>
      <c r="Y334" s="868"/>
      <c r="Z334" s="865"/>
      <c r="AA334" s="2"/>
      <c r="AB334" s="2"/>
      <c r="AC334" s="2"/>
      <c r="AD334" s="2"/>
      <c r="AE334" s="2"/>
      <c r="AF334" s="2"/>
      <c r="AG334" s="2"/>
      <c r="AH334" s="2"/>
      <c r="AI334" s="2"/>
      <c r="AJ334" s="2"/>
      <c r="AK334" s="2"/>
      <c r="AL334" s="2"/>
      <c r="AM334" s="2"/>
      <c r="AN334" s="9"/>
      <c r="AO334" s="9"/>
      <c r="AP334" s="9"/>
      <c r="AQ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224"/>
      <c r="X335" s="224"/>
      <c r="Y335" s="868"/>
      <c r="Z335" s="865"/>
      <c r="AA335" s="2"/>
      <c r="AB335" s="2"/>
      <c r="AC335" s="2"/>
      <c r="AD335" s="2"/>
      <c r="AE335" s="2"/>
      <c r="AF335" s="2"/>
      <c r="AG335" s="2"/>
      <c r="AH335" s="2"/>
      <c r="AI335" s="2"/>
      <c r="AJ335" s="2"/>
      <c r="AK335" s="2"/>
      <c r="AL335" s="2"/>
      <c r="AM335" s="2"/>
      <c r="AN335" s="9"/>
      <c r="AO335" s="9"/>
      <c r="AP335" s="9"/>
      <c r="AQ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224"/>
      <c r="X336" s="224"/>
      <c r="Y336" s="868"/>
      <c r="Z336" s="865"/>
      <c r="AA336" s="2"/>
      <c r="AB336" s="2"/>
      <c r="AC336" s="2"/>
      <c r="AD336" s="2"/>
      <c r="AE336" s="2"/>
      <c r="AF336" s="2"/>
      <c r="AG336" s="2"/>
      <c r="AH336" s="2"/>
      <c r="AI336" s="2"/>
      <c r="AJ336" s="2"/>
      <c r="AK336" s="2"/>
      <c r="AL336" s="2"/>
      <c r="AM336" s="2"/>
      <c r="AN336" s="9"/>
      <c r="AO336" s="9"/>
      <c r="AP336" s="9"/>
      <c r="AQ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224"/>
      <c r="X337" s="224"/>
      <c r="Y337" s="868"/>
      <c r="Z337" s="865"/>
      <c r="AA337" s="2"/>
      <c r="AB337" s="2"/>
      <c r="AC337" s="2"/>
      <c r="AD337" s="2"/>
      <c r="AE337" s="2"/>
      <c r="AF337" s="2"/>
      <c r="AG337" s="2"/>
      <c r="AH337" s="2"/>
      <c r="AI337" s="2"/>
      <c r="AJ337" s="2"/>
      <c r="AK337" s="2"/>
      <c r="AL337" s="2"/>
      <c r="AM337" s="2"/>
      <c r="AN337" s="9"/>
      <c r="AO337" s="9"/>
      <c r="AP337" s="9"/>
      <c r="AQ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224"/>
      <c r="X338" s="224"/>
      <c r="Y338" s="868"/>
      <c r="Z338" s="865"/>
      <c r="AA338" s="2"/>
      <c r="AB338" s="2"/>
      <c r="AC338" s="2"/>
      <c r="AD338" s="2"/>
      <c r="AE338" s="2"/>
      <c r="AF338" s="2"/>
      <c r="AG338" s="2"/>
      <c r="AH338" s="2"/>
      <c r="AI338" s="2"/>
      <c r="AJ338" s="2"/>
      <c r="AK338" s="2"/>
      <c r="AL338" s="2"/>
      <c r="AM338" s="2"/>
      <c r="AN338" s="9"/>
      <c r="AO338" s="9"/>
      <c r="AP338" s="9"/>
      <c r="AQ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224"/>
      <c r="X339" s="224"/>
      <c r="Y339" s="868"/>
      <c r="Z339" s="865"/>
      <c r="AA339" s="2"/>
      <c r="AB339" s="2"/>
      <c r="AC339" s="2"/>
      <c r="AD339" s="2"/>
      <c r="AE339" s="2"/>
      <c r="AF339" s="2"/>
      <c r="AG339" s="2"/>
      <c r="AH339" s="2"/>
      <c r="AI339" s="2"/>
      <c r="AJ339" s="2"/>
      <c r="AK339" s="2"/>
      <c r="AL339" s="2"/>
      <c r="AM339" s="2"/>
      <c r="AN339" s="9"/>
      <c r="AO339" s="9"/>
      <c r="AP339" s="9"/>
      <c r="AQ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224"/>
      <c r="X340" s="224"/>
      <c r="Y340" s="868"/>
      <c r="Z340" s="865"/>
      <c r="AA340" s="2"/>
      <c r="AB340" s="2"/>
      <c r="AC340" s="2"/>
      <c r="AD340" s="2"/>
      <c r="AE340" s="2"/>
      <c r="AF340" s="2"/>
      <c r="AG340" s="2"/>
      <c r="AH340" s="2"/>
      <c r="AI340" s="2"/>
      <c r="AJ340" s="2"/>
      <c r="AK340" s="2"/>
      <c r="AL340" s="2"/>
      <c r="AM340" s="2"/>
      <c r="AN340" s="9"/>
      <c r="AO340" s="9"/>
      <c r="AP340" s="9"/>
      <c r="AQ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224"/>
      <c r="X341" s="224"/>
      <c r="Y341" s="868"/>
      <c r="Z341" s="865"/>
      <c r="AA341" s="2"/>
      <c r="AB341" s="2"/>
      <c r="AC341" s="2"/>
      <c r="AD341" s="2"/>
      <c r="AE341" s="2"/>
      <c r="AF341" s="2"/>
      <c r="AG341" s="2"/>
      <c r="AH341" s="2"/>
      <c r="AI341" s="2"/>
      <c r="AJ341" s="2"/>
      <c r="AK341" s="2"/>
      <c r="AL341" s="2"/>
      <c r="AM341" s="2"/>
      <c r="AN341" s="9"/>
      <c r="AO341" s="9"/>
      <c r="AP341" s="9"/>
      <c r="AQ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224"/>
      <c r="X342" s="224"/>
      <c r="Y342" s="868"/>
      <c r="Z342" s="865"/>
      <c r="AA342" s="2"/>
      <c r="AB342" s="2"/>
      <c r="AC342" s="2"/>
      <c r="AD342" s="2"/>
      <c r="AE342" s="2"/>
      <c r="AF342" s="2"/>
      <c r="AG342" s="2"/>
      <c r="AH342" s="2"/>
      <c r="AI342" s="2"/>
      <c r="AJ342" s="2"/>
      <c r="AK342" s="2"/>
      <c r="AL342" s="2"/>
      <c r="AM342" s="2"/>
      <c r="AN342" s="9"/>
      <c r="AO342" s="9"/>
      <c r="AP342" s="9"/>
      <c r="AQ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224"/>
      <c r="X343" s="224"/>
      <c r="Y343" s="868"/>
      <c r="Z343" s="865"/>
      <c r="AA343" s="2"/>
      <c r="AB343" s="2"/>
      <c r="AC343" s="2"/>
      <c r="AD343" s="2"/>
      <c r="AE343" s="2"/>
      <c r="AF343" s="2"/>
      <c r="AG343" s="2"/>
      <c r="AH343" s="2"/>
      <c r="AI343" s="2"/>
      <c r="AJ343" s="2"/>
      <c r="AK343" s="2"/>
      <c r="AL343" s="2"/>
      <c r="AM343" s="2"/>
      <c r="AN343" s="9"/>
      <c r="AO343" s="9"/>
      <c r="AP343" s="9"/>
      <c r="AQ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224"/>
      <c r="X344" s="224"/>
      <c r="Y344" s="868"/>
      <c r="Z344" s="865"/>
      <c r="AA344" s="2"/>
      <c r="AB344" s="2"/>
      <c r="AC344" s="2"/>
      <c r="AD344" s="2"/>
      <c r="AE344" s="2"/>
      <c r="AF344" s="2"/>
      <c r="AG344" s="2"/>
      <c r="AH344" s="2"/>
      <c r="AI344" s="2"/>
      <c r="AJ344" s="2"/>
      <c r="AK344" s="2"/>
      <c r="AL344" s="2"/>
      <c r="AM344" s="2"/>
      <c r="AN344" s="9"/>
      <c r="AO344" s="9"/>
      <c r="AP344" s="9"/>
      <c r="AQ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224"/>
      <c r="X345" s="224"/>
      <c r="Y345" s="868"/>
      <c r="Z345" s="865"/>
      <c r="AA345" s="2"/>
      <c r="AB345" s="2"/>
      <c r="AC345" s="2"/>
      <c r="AD345" s="2"/>
      <c r="AE345" s="2"/>
      <c r="AF345" s="2"/>
      <c r="AG345" s="2"/>
      <c r="AH345" s="2"/>
      <c r="AI345" s="2"/>
      <c r="AJ345" s="2"/>
      <c r="AK345" s="2"/>
      <c r="AL345" s="2"/>
      <c r="AM345" s="2"/>
      <c r="AN345" s="9"/>
      <c r="AO345" s="9"/>
      <c r="AP345" s="9"/>
      <c r="AQ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224"/>
      <c r="X346" s="224"/>
      <c r="Y346" s="868"/>
      <c r="Z346" s="865"/>
      <c r="AA346" s="2"/>
      <c r="AB346" s="2"/>
      <c r="AC346" s="2"/>
      <c r="AD346" s="2"/>
      <c r="AE346" s="2"/>
      <c r="AF346" s="2"/>
      <c r="AG346" s="2"/>
      <c r="AH346" s="2"/>
      <c r="AI346" s="2"/>
      <c r="AJ346" s="2"/>
      <c r="AK346" s="2"/>
      <c r="AL346" s="2"/>
      <c r="AM346" s="2"/>
      <c r="AN346" s="9"/>
      <c r="AO346" s="9"/>
      <c r="AP346" s="9"/>
      <c r="AQ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224"/>
      <c r="X347" s="224"/>
      <c r="Y347" s="868"/>
      <c r="Z347" s="865"/>
      <c r="AA347" s="2"/>
      <c r="AB347" s="2"/>
      <c r="AC347" s="2"/>
      <c r="AD347" s="2"/>
      <c r="AE347" s="2"/>
      <c r="AF347" s="2"/>
      <c r="AG347" s="2"/>
      <c r="AH347" s="2"/>
      <c r="AI347" s="2"/>
      <c r="AJ347" s="2"/>
      <c r="AK347" s="2"/>
      <c r="AL347" s="2"/>
      <c r="AM347" s="2"/>
      <c r="AN347" s="9"/>
      <c r="AO347" s="9"/>
      <c r="AP347" s="9"/>
      <c r="AQ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224"/>
      <c r="X348" s="224"/>
      <c r="Y348" s="868"/>
      <c r="Z348" s="865"/>
      <c r="AA348" s="2"/>
      <c r="AB348" s="2"/>
      <c r="AC348" s="2"/>
      <c r="AD348" s="2"/>
      <c r="AE348" s="2"/>
      <c r="AF348" s="2"/>
      <c r="AG348" s="2"/>
      <c r="AH348" s="2"/>
      <c r="AI348" s="2"/>
      <c r="AJ348" s="2"/>
      <c r="AK348" s="2"/>
      <c r="AL348" s="2"/>
      <c r="AM348" s="2"/>
      <c r="AN348" s="9"/>
      <c r="AO348" s="9"/>
      <c r="AP348" s="9"/>
      <c r="AQ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224"/>
      <c r="X349" s="224"/>
      <c r="Y349" s="868"/>
      <c r="Z349" s="865"/>
      <c r="AA349" s="2"/>
      <c r="AB349" s="2"/>
      <c r="AC349" s="2"/>
      <c r="AD349" s="2"/>
      <c r="AE349" s="2"/>
      <c r="AF349" s="2"/>
      <c r="AG349" s="2"/>
      <c r="AH349" s="2"/>
      <c r="AI349" s="2"/>
      <c r="AJ349" s="2"/>
      <c r="AK349" s="2"/>
      <c r="AL349" s="2"/>
      <c r="AM349" s="2"/>
      <c r="AN349" s="9"/>
      <c r="AO349" s="9"/>
      <c r="AP349" s="9"/>
      <c r="AQ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224"/>
      <c r="X350" s="224"/>
      <c r="Y350" s="868"/>
      <c r="Z350" s="865"/>
      <c r="AA350" s="2"/>
      <c r="AB350" s="2"/>
      <c r="AC350" s="2"/>
      <c r="AD350" s="2"/>
      <c r="AE350" s="2"/>
      <c r="AF350" s="2"/>
      <c r="AG350" s="2"/>
      <c r="AH350" s="2"/>
      <c r="AI350" s="2"/>
      <c r="AJ350" s="2"/>
      <c r="AK350" s="2"/>
      <c r="AL350" s="2"/>
      <c r="AM350" s="2"/>
      <c r="AN350" s="9"/>
      <c r="AO350" s="9"/>
      <c r="AP350" s="9"/>
      <c r="AQ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224"/>
      <c r="X351" s="224"/>
      <c r="Y351" s="868"/>
      <c r="Z351" s="865"/>
      <c r="AA351" s="2"/>
      <c r="AB351" s="2"/>
      <c r="AC351" s="2"/>
      <c r="AD351" s="2"/>
      <c r="AE351" s="2"/>
      <c r="AF351" s="2"/>
      <c r="AG351" s="2"/>
      <c r="AH351" s="2"/>
      <c r="AI351" s="2"/>
      <c r="AJ351" s="2"/>
      <c r="AK351" s="2"/>
      <c r="AL351" s="2"/>
      <c r="AM351" s="2"/>
      <c r="AN351" s="9"/>
      <c r="AO351" s="9"/>
      <c r="AP351" s="9"/>
      <c r="AQ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224"/>
      <c r="X352" s="224"/>
      <c r="Y352" s="868"/>
      <c r="Z352" s="865"/>
      <c r="AA352" s="2"/>
      <c r="AB352" s="2"/>
      <c r="AC352" s="2"/>
      <c r="AD352" s="2"/>
      <c r="AE352" s="2"/>
      <c r="AF352" s="2"/>
      <c r="AG352" s="2"/>
      <c r="AH352" s="2"/>
      <c r="AI352" s="2"/>
      <c r="AJ352" s="2"/>
      <c r="AK352" s="2"/>
      <c r="AL352" s="2"/>
      <c r="AM352" s="2"/>
      <c r="AN352" s="9"/>
      <c r="AO352" s="9"/>
      <c r="AP352" s="9"/>
      <c r="AQ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224"/>
      <c r="X353" s="224"/>
      <c r="Y353" s="868"/>
      <c r="Z353" s="865"/>
      <c r="AA353" s="2"/>
      <c r="AB353" s="2"/>
      <c r="AC353" s="2"/>
      <c r="AD353" s="2"/>
      <c r="AE353" s="2"/>
      <c r="AF353" s="2"/>
      <c r="AG353" s="2"/>
      <c r="AH353" s="2"/>
      <c r="AI353" s="2"/>
      <c r="AJ353" s="2"/>
      <c r="AK353" s="2"/>
      <c r="AL353" s="2"/>
      <c r="AM353" s="2"/>
      <c r="AN353" s="9"/>
      <c r="AO353" s="9"/>
      <c r="AP353" s="9"/>
      <c r="AQ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224"/>
      <c r="X354" s="224"/>
      <c r="Y354" s="868"/>
      <c r="Z354" s="865"/>
      <c r="AA354" s="2"/>
      <c r="AB354" s="2"/>
      <c r="AC354" s="2"/>
      <c r="AD354" s="2"/>
      <c r="AE354" s="2"/>
      <c r="AF354" s="2"/>
      <c r="AG354" s="2"/>
      <c r="AH354" s="2"/>
      <c r="AI354" s="2"/>
      <c r="AJ354" s="2"/>
      <c r="AK354" s="2"/>
      <c r="AL354" s="2"/>
      <c r="AM354" s="2"/>
      <c r="AN354" s="9"/>
      <c r="AO354" s="9"/>
      <c r="AP354" s="9"/>
      <c r="AQ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224"/>
      <c r="X355" s="224"/>
      <c r="Y355" s="868"/>
      <c r="Z355" s="865"/>
      <c r="AA355" s="2"/>
      <c r="AB355" s="2"/>
      <c r="AC355" s="2"/>
      <c r="AD355" s="2"/>
      <c r="AE355" s="2"/>
      <c r="AF355" s="2"/>
      <c r="AG355" s="2"/>
      <c r="AH355" s="2"/>
      <c r="AI355" s="2"/>
      <c r="AJ355" s="2"/>
      <c r="AK355" s="2"/>
      <c r="AL355" s="2"/>
      <c r="AM355" s="2"/>
      <c r="AN355" s="9"/>
      <c r="AO355" s="9"/>
      <c r="AP355" s="9"/>
      <c r="AQ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224"/>
      <c r="X356" s="224"/>
      <c r="Y356" s="868"/>
      <c r="Z356" s="865"/>
      <c r="AA356" s="2"/>
      <c r="AB356" s="2"/>
      <c r="AC356" s="2"/>
      <c r="AD356" s="2"/>
      <c r="AE356" s="2"/>
      <c r="AF356" s="2"/>
      <c r="AG356" s="2"/>
      <c r="AH356" s="2"/>
      <c r="AI356" s="2"/>
      <c r="AJ356" s="2"/>
      <c r="AK356" s="2"/>
      <c r="AL356" s="2"/>
      <c r="AM356" s="2"/>
      <c r="AN356" s="9"/>
      <c r="AO356" s="9"/>
      <c r="AP356" s="9"/>
      <c r="AQ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224"/>
      <c r="X357" s="224"/>
      <c r="Y357" s="868"/>
      <c r="Z357" s="865"/>
      <c r="AA357" s="2"/>
      <c r="AB357" s="2"/>
      <c r="AC357" s="2"/>
      <c r="AD357" s="2"/>
      <c r="AE357" s="2"/>
      <c r="AF357" s="2"/>
      <c r="AG357" s="2"/>
      <c r="AH357" s="2"/>
      <c r="AI357" s="2"/>
      <c r="AJ357" s="2"/>
      <c r="AK357" s="2"/>
      <c r="AL357" s="2"/>
      <c r="AM357" s="2"/>
      <c r="AN357" s="9"/>
      <c r="AO357" s="9"/>
      <c r="AP357" s="9"/>
      <c r="AQ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224"/>
      <c r="X358" s="224"/>
      <c r="Y358" s="868"/>
      <c r="Z358" s="865"/>
      <c r="AA358" s="2"/>
      <c r="AB358" s="2"/>
      <c r="AC358" s="2"/>
      <c r="AD358" s="2"/>
      <c r="AE358" s="2"/>
      <c r="AF358" s="2"/>
      <c r="AG358" s="2"/>
      <c r="AH358" s="2"/>
      <c r="AI358" s="2"/>
      <c r="AJ358" s="2"/>
      <c r="AK358" s="2"/>
      <c r="AL358" s="2"/>
      <c r="AM358" s="2"/>
      <c r="AN358" s="9"/>
      <c r="AO358" s="9"/>
      <c r="AP358" s="9"/>
      <c r="AQ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224"/>
      <c r="X359" s="224"/>
      <c r="Y359" s="868"/>
      <c r="Z359" s="865"/>
      <c r="AA359" s="2"/>
      <c r="AB359" s="2"/>
      <c r="AC359" s="2"/>
      <c r="AD359" s="2"/>
      <c r="AE359" s="2"/>
      <c r="AF359" s="2"/>
      <c r="AG359" s="2"/>
      <c r="AH359" s="2"/>
      <c r="AI359" s="2"/>
      <c r="AJ359" s="2"/>
      <c r="AK359" s="2"/>
      <c r="AL359" s="2"/>
      <c r="AM359" s="2"/>
      <c r="AN359" s="9"/>
      <c r="AO359" s="9"/>
      <c r="AP359" s="9"/>
      <c r="AQ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224"/>
      <c r="X360" s="224"/>
      <c r="Y360" s="868"/>
      <c r="Z360" s="865"/>
      <c r="AA360" s="2"/>
      <c r="AB360" s="2"/>
      <c r="AC360" s="2"/>
      <c r="AD360" s="2"/>
      <c r="AE360" s="2"/>
      <c r="AF360" s="2"/>
      <c r="AG360" s="2"/>
      <c r="AH360" s="2"/>
      <c r="AI360" s="2"/>
      <c r="AJ360" s="2"/>
      <c r="AK360" s="2"/>
      <c r="AL360" s="2"/>
      <c r="AM360" s="2"/>
      <c r="AN360" s="9"/>
      <c r="AO360" s="9"/>
      <c r="AP360" s="9"/>
      <c r="AQ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224"/>
      <c r="X361" s="224"/>
      <c r="Y361" s="868"/>
      <c r="Z361" s="865"/>
      <c r="AA361" s="2"/>
      <c r="AB361" s="2"/>
      <c r="AC361" s="2"/>
      <c r="AD361" s="2"/>
      <c r="AE361" s="2"/>
      <c r="AF361" s="2"/>
      <c r="AG361" s="2"/>
      <c r="AH361" s="2"/>
      <c r="AI361" s="2"/>
      <c r="AJ361" s="2"/>
      <c r="AK361" s="2"/>
      <c r="AL361" s="2"/>
      <c r="AM361" s="2"/>
      <c r="AN361" s="9"/>
      <c r="AO361" s="9"/>
      <c r="AP361" s="9"/>
      <c r="AQ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224"/>
      <c r="X362" s="224"/>
      <c r="Y362" s="868"/>
      <c r="Z362" s="865"/>
      <c r="AA362" s="2"/>
      <c r="AB362" s="2"/>
      <c r="AC362" s="2"/>
      <c r="AD362" s="2"/>
      <c r="AE362" s="2"/>
      <c r="AF362" s="2"/>
      <c r="AG362" s="2"/>
      <c r="AH362" s="2"/>
      <c r="AI362" s="2"/>
      <c r="AJ362" s="2"/>
      <c r="AK362" s="2"/>
      <c r="AL362" s="2"/>
      <c r="AM362" s="2"/>
      <c r="AN362" s="9"/>
      <c r="AO362" s="9"/>
      <c r="AP362" s="9"/>
      <c r="AQ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224"/>
      <c r="X363" s="224"/>
      <c r="Y363" s="868"/>
      <c r="Z363" s="865"/>
      <c r="AA363" s="2"/>
      <c r="AB363" s="2"/>
      <c r="AC363" s="2"/>
      <c r="AD363" s="2"/>
      <c r="AE363" s="2"/>
      <c r="AF363" s="2"/>
      <c r="AG363" s="2"/>
      <c r="AH363" s="2"/>
      <c r="AI363" s="2"/>
      <c r="AJ363" s="2"/>
      <c r="AK363" s="2"/>
      <c r="AL363" s="2"/>
      <c r="AM363" s="2"/>
      <c r="AN363" s="9"/>
      <c r="AO363" s="9"/>
      <c r="AP363" s="9"/>
      <c r="AQ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224"/>
      <c r="X364" s="224"/>
      <c r="Y364" s="868"/>
      <c r="Z364" s="865"/>
      <c r="AA364" s="2"/>
      <c r="AB364" s="2"/>
      <c r="AC364" s="2"/>
      <c r="AD364" s="2"/>
      <c r="AE364" s="2"/>
      <c r="AF364" s="2"/>
      <c r="AG364" s="2"/>
      <c r="AH364" s="2"/>
      <c r="AI364" s="2"/>
      <c r="AJ364" s="2"/>
      <c r="AK364" s="2"/>
      <c r="AL364" s="2"/>
      <c r="AM364" s="2"/>
      <c r="AN364" s="9"/>
      <c r="AO364" s="9"/>
      <c r="AP364" s="9"/>
      <c r="AQ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224"/>
      <c r="X365" s="224"/>
      <c r="Y365" s="868"/>
      <c r="Z365" s="865"/>
      <c r="AA365" s="2"/>
      <c r="AB365" s="2"/>
      <c r="AC365" s="2"/>
      <c r="AD365" s="2"/>
      <c r="AE365" s="2"/>
      <c r="AF365" s="2"/>
      <c r="AG365" s="2"/>
      <c r="AH365" s="2"/>
      <c r="AI365" s="2"/>
      <c r="AJ365" s="2"/>
      <c r="AK365" s="2"/>
      <c r="AL365" s="2"/>
      <c r="AM365" s="2"/>
      <c r="AN365" s="9"/>
      <c r="AO365" s="9"/>
      <c r="AP365" s="9"/>
      <c r="AQ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224"/>
      <c r="X366" s="224"/>
      <c r="Y366" s="868"/>
      <c r="Z366" s="865"/>
      <c r="AA366" s="2"/>
      <c r="AB366" s="2"/>
      <c r="AC366" s="2"/>
      <c r="AD366" s="2"/>
      <c r="AE366" s="2"/>
      <c r="AF366" s="2"/>
      <c r="AG366" s="2"/>
      <c r="AH366" s="2"/>
      <c r="AI366" s="2"/>
      <c r="AJ366" s="2"/>
      <c r="AK366" s="2"/>
      <c r="AL366" s="2"/>
      <c r="AM366" s="2"/>
      <c r="AN366" s="9"/>
      <c r="AO366" s="9"/>
      <c r="AP366" s="9"/>
      <c r="AQ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224"/>
      <c r="X367" s="224"/>
      <c r="Y367" s="868"/>
      <c r="Z367" s="865"/>
      <c r="AA367" s="2"/>
      <c r="AB367" s="2"/>
      <c r="AC367" s="2"/>
      <c r="AD367" s="2"/>
      <c r="AE367" s="2"/>
      <c r="AF367" s="2"/>
      <c r="AG367" s="2"/>
      <c r="AH367" s="2"/>
      <c r="AI367" s="2"/>
      <c r="AJ367" s="2"/>
      <c r="AK367" s="2"/>
      <c r="AL367" s="2"/>
      <c r="AM367" s="2"/>
      <c r="AN367" s="9"/>
      <c r="AO367" s="9"/>
      <c r="AP367" s="9"/>
      <c r="AQ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224"/>
      <c r="X368" s="224"/>
      <c r="Y368" s="868"/>
      <c r="Z368" s="865"/>
      <c r="AA368" s="2"/>
      <c r="AB368" s="2"/>
      <c r="AC368" s="2"/>
      <c r="AD368" s="2"/>
      <c r="AE368" s="2"/>
      <c r="AF368" s="2"/>
      <c r="AG368" s="2"/>
      <c r="AH368" s="2"/>
      <c r="AI368" s="2"/>
      <c r="AJ368" s="2"/>
      <c r="AK368" s="2"/>
      <c r="AL368" s="2"/>
      <c r="AM368" s="2"/>
      <c r="AN368" s="9"/>
      <c r="AO368" s="9"/>
      <c r="AP368" s="9"/>
      <c r="AQ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224"/>
      <c r="X369" s="224"/>
      <c r="Y369" s="868"/>
      <c r="Z369" s="865"/>
      <c r="AA369" s="2"/>
      <c r="AB369" s="2"/>
      <c r="AC369" s="2"/>
      <c r="AD369" s="2"/>
      <c r="AE369" s="2"/>
      <c r="AF369" s="2"/>
      <c r="AG369" s="2"/>
      <c r="AH369" s="2"/>
      <c r="AI369" s="2"/>
      <c r="AJ369" s="2"/>
      <c r="AK369" s="2"/>
      <c r="AL369" s="2"/>
      <c r="AM369" s="2"/>
      <c r="AN369" s="9"/>
      <c r="AO369" s="9"/>
      <c r="AP369" s="9"/>
      <c r="AQ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224"/>
      <c r="X370" s="224"/>
      <c r="Y370" s="868"/>
      <c r="Z370" s="865"/>
      <c r="AA370" s="2"/>
      <c r="AB370" s="2"/>
      <c r="AC370" s="2"/>
      <c r="AD370" s="2"/>
      <c r="AE370" s="2"/>
      <c r="AF370" s="2"/>
      <c r="AG370" s="2"/>
      <c r="AH370" s="2"/>
      <c r="AI370" s="2"/>
      <c r="AJ370" s="2"/>
      <c r="AK370" s="2"/>
      <c r="AL370" s="2"/>
      <c r="AM370" s="2"/>
      <c r="AN370" s="9"/>
      <c r="AO370" s="9"/>
      <c r="AP370" s="9"/>
      <c r="AQ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224"/>
      <c r="X371" s="224"/>
      <c r="Y371" s="868"/>
      <c r="Z371" s="865"/>
      <c r="AA371" s="2"/>
      <c r="AB371" s="2"/>
      <c r="AC371" s="2"/>
      <c r="AD371" s="2"/>
      <c r="AE371" s="2"/>
      <c r="AF371" s="2"/>
      <c r="AG371" s="2"/>
      <c r="AH371" s="2"/>
      <c r="AI371" s="2"/>
      <c r="AJ371" s="2"/>
      <c r="AK371" s="2"/>
      <c r="AL371" s="2"/>
      <c r="AM371" s="2"/>
      <c r="AN371" s="9"/>
      <c r="AO371" s="9"/>
      <c r="AP371" s="9"/>
      <c r="AQ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224"/>
      <c r="X372" s="224"/>
      <c r="Y372" s="868"/>
      <c r="Z372" s="865"/>
      <c r="AA372" s="2"/>
      <c r="AB372" s="2"/>
      <c r="AC372" s="2"/>
      <c r="AD372" s="2"/>
      <c r="AE372" s="2"/>
      <c r="AF372" s="2"/>
      <c r="AG372" s="2"/>
      <c r="AH372" s="2"/>
      <c r="AI372" s="2"/>
      <c r="AJ372" s="2"/>
      <c r="AK372" s="2"/>
      <c r="AL372" s="2"/>
      <c r="AM372" s="2"/>
      <c r="AN372" s="9"/>
      <c r="AO372" s="9"/>
      <c r="AP372" s="9"/>
      <c r="AQ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224"/>
      <c r="X373" s="224"/>
      <c r="Y373" s="868"/>
      <c r="Z373" s="865"/>
      <c r="AA373" s="2"/>
      <c r="AB373" s="2"/>
      <c r="AC373" s="2"/>
      <c r="AD373" s="2"/>
      <c r="AE373" s="2"/>
      <c r="AF373" s="2"/>
      <c r="AG373" s="2"/>
      <c r="AH373" s="2"/>
      <c r="AI373" s="2"/>
      <c r="AJ373" s="2"/>
      <c r="AK373" s="2"/>
      <c r="AL373" s="2"/>
      <c r="AM373" s="2"/>
      <c r="AN373" s="9"/>
      <c r="AO373" s="9"/>
      <c r="AP373" s="9"/>
      <c r="AQ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224"/>
      <c r="X374" s="224"/>
      <c r="Y374" s="868"/>
      <c r="Z374" s="865"/>
      <c r="AA374" s="2"/>
      <c r="AB374" s="2"/>
      <c r="AC374" s="2"/>
      <c r="AD374" s="2"/>
      <c r="AE374" s="2"/>
      <c r="AF374" s="2"/>
      <c r="AG374" s="2"/>
      <c r="AH374" s="2"/>
      <c r="AI374" s="2"/>
      <c r="AJ374" s="2"/>
      <c r="AK374" s="2"/>
      <c r="AL374" s="2"/>
      <c r="AM374" s="2"/>
      <c r="AN374" s="9"/>
      <c r="AO374" s="9"/>
      <c r="AP374" s="9"/>
      <c r="AQ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224"/>
      <c r="X375" s="224"/>
      <c r="Y375" s="868"/>
      <c r="Z375" s="865"/>
      <c r="AA375" s="2"/>
      <c r="AB375" s="2"/>
      <c r="AC375" s="2"/>
      <c r="AD375" s="2"/>
      <c r="AE375" s="2"/>
      <c r="AF375" s="2"/>
      <c r="AG375" s="2"/>
      <c r="AH375" s="2"/>
      <c r="AI375" s="2"/>
      <c r="AJ375" s="2"/>
      <c r="AK375" s="2"/>
      <c r="AL375" s="2"/>
      <c r="AM375" s="2"/>
      <c r="AN375" s="9"/>
      <c r="AO375" s="9"/>
      <c r="AP375" s="9"/>
      <c r="AQ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224"/>
      <c r="X376" s="224"/>
      <c r="Y376" s="868"/>
      <c r="Z376" s="865"/>
      <c r="AA376" s="2"/>
      <c r="AB376" s="2"/>
      <c r="AC376" s="2"/>
      <c r="AD376" s="2"/>
      <c r="AE376" s="2"/>
      <c r="AF376" s="2"/>
      <c r="AG376" s="2"/>
      <c r="AH376" s="2"/>
      <c r="AI376" s="2"/>
      <c r="AJ376" s="2"/>
      <c r="AK376" s="2"/>
      <c r="AL376" s="2"/>
      <c r="AM376" s="2"/>
      <c r="AN376" s="9"/>
      <c r="AO376" s="9"/>
      <c r="AP376" s="9"/>
      <c r="AQ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224"/>
      <c r="X377" s="224"/>
      <c r="Y377" s="868"/>
      <c r="Z377" s="865"/>
      <c r="AA377" s="2"/>
      <c r="AB377" s="2"/>
      <c r="AC377" s="2"/>
      <c r="AD377" s="2"/>
      <c r="AE377" s="2"/>
      <c r="AF377" s="2"/>
      <c r="AG377" s="2"/>
      <c r="AH377" s="2"/>
      <c r="AI377" s="2"/>
      <c r="AJ377" s="2"/>
      <c r="AK377" s="2"/>
      <c r="AL377" s="2"/>
      <c r="AM377" s="2"/>
      <c r="AN377" s="9"/>
      <c r="AO377" s="9"/>
      <c r="AP377" s="9"/>
      <c r="AQ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224"/>
      <c r="X378" s="224"/>
      <c r="Y378" s="868"/>
      <c r="Z378" s="865"/>
      <c r="AA378" s="2"/>
      <c r="AB378" s="2"/>
      <c r="AC378" s="2"/>
      <c r="AD378" s="2"/>
      <c r="AE378" s="2"/>
      <c r="AF378" s="2"/>
      <c r="AG378" s="2"/>
      <c r="AH378" s="2"/>
      <c r="AI378" s="2"/>
      <c r="AJ378" s="2"/>
      <c r="AK378" s="2"/>
      <c r="AL378" s="2"/>
      <c r="AM378" s="2"/>
      <c r="AN378" s="9"/>
      <c r="AO378" s="9"/>
      <c r="AP378" s="9"/>
      <c r="AQ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224"/>
      <c r="X379" s="224"/>
      <c r="Y379" s="868"/>
      <c r="Z379" s="865"/>
      <c r="AA379" s="2"/>
      <c r="AB379" s="2"/>
      <c r="AC379" s="2"/>
      <c r="AD379" s="2"/>
      <c r="AE379" s="2"/>
      <c r="AF379" s="2"/>
      <c r="AG379" s="2"/>
      <c r="AH379" s="2"/>
      <c r="AI379" s="2"/>
      <c r="AJ379" s="2"/>
      <c r="AK379" s="2"/>
      <c r="AL379" s="2"/>
      <c r="AM379" s="2"/>
      <c r="AN379" s="9"/>
      <c r="AO379" s="9"/>
      <c r="AP379" s="9"/>
      <c r="AQ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224"/>
      <c r="X380" s="224"/>
      <c r="Y380" s="868"/>
      <c r="Z380" s="865"/>
      <c r="AA380" s="2"/>
      <c r="AB380" s="2"/>
      <c r="AC380" s="2"/>
      <c r="AD380" s="2"/>
      <c r="AE380" s="2"/>
      <c r="AF380" s="2"/>
      <c r="AG380" s="2"/>
      <c r="AH380" s="2"/>
      <c r="AI380" s="2"/>
      <c r="AJ380" s="2"/>
      <c r="AK380" s="2"/>
      <c r="AL380" s="2"/>
      <c r="AM380" s="2"/>
      <c r="AN380" s="9"/>
      <c r="AO380" s="9"/>
      <c r="AP380" s="9"/>
      <c r="AQ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224"/>
      <c r="X381" s="224"/>
      <c r="Y381" s="868"/>
      <c r="Z381" s="865"/>
      <c r="AA381" s="2"/>
      <c r="AB381" s="2"/>
      <c r="AC381" s="2"/>
      <c r="AD381" s="2"/>
      <c r="AE381" s="2"/>
      <c r="AF381" s="2"/>
      <c r="AG381" s="2"/>
      <c r="AH381" s="2"/>
      <c r="AI381" s="2"/>
      <c r="AJ381" s="2"/>
      <c r="AK381" s="2"/>
      <c r="AL381" s="2"/>
      <c r="AM381" s="2"/>
      <c r="AN381" s="9"/>
      <c r="AO381" s="9"/>
      <c r="AP381" s="9"/>
      <c r="AQ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224"/>
      <c r="X382" s="224"/>
      <c r="Y382" s="868"/>
      <c r="Z382" s="865"/>
      <c r="AA382" s="2"/>
      <c r="AB382" s="2"/>
      <c r="AC382" s="2"/>
      <c r="AD382" s="2"/>
      <c r="AE382" s="2"/>
      <c r="AF382" s="2"/>
      <c r="AG382" s="2"/>
      <c r="AH382" s="2"/>
      <c r="AI382" s="2"/>
      <c r="AJ382" s="2"/>
      <c r="AK382" s="2"/>
      <c r="AL382" s="2"/>
      <c r="AM382" s="2"/>
      <c r="AN382" s="9"/>
      <c r="AO382" s="9"/>
      <c r="AP382" s="9"/>
      <c r="AQ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224"/>
      <c r="X383" s="224"/>
      <c r="Y383" s="868"/>
      <c r="Z383" s="865"/>
      <c r="AA383" s="2"/>
      <c r="AB383" s="2"/>
      <c r="AC383" s="2"/>
      <c r="AD383" s="2"/>
      <c r="AE383" s="2"/>
      <c r="AF383" s="2"/>
      <c r="AG383" s="2"/>
      <c r="AH383" s="2"/>
      <c r="AI383" s="2"/>
      <c r="AJ383" s="2"/>
      <c r="AK383" s="2"/>
      <c r="AL383" s="2"/>
      <c r="AM383" s="2"/>
      <c r="AN383" s="9"/>
      <c r="AO383" s="9"/>
      <c r="AP383" s="9"/>
      <c r="AQ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224"/>
      <c r="X384" s="224"/>
      <c r="Y384" s="868"/>
      <c r="Z384" s="865"/>
      <c r="AA384" s="2"/>
      <c r="AB384" s="2"/>
      <c r="AC384" s="2"/>
      <c r="AD384" s="2"/>
      <c r="AE384" s="2"/>
      <c r="AF384" s="2"/>
      <c r="AG384" s="2"/>
      <c r="AH384" s="2"/>
      <c r="AI384" s="2"/>
      <c r="AJ384" s="2"/>
      <c r="AK384" s="2"/>
      <c r="AL384" s="2"/>
      <c r="AM384" s="2"/>
      <c r="AN384" s="9"/>
      <c r="AO384" s="9"/>
      <c r="AP384" s="9"/>
      <c r="AQ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224"/>
      <c r="X385" s="224"/>
      <c r="Y385" s="868"/>
      <c r="Z385" s="865"/>
      <c r="AA385" s="2"/>
      <c r="AB385" s="2"/>
      <c r="AC385" s="2"/>
      <c r="AD385" s="2"/>
      <c r="AE385" s="2"/>
      <c r="AF385" s="2"/>
      <c r="AG385" s="2"/>
      <c r="AH385" s="2"/>
      <c r="AI385" s="2"/>
      <c r="AJ385" s="2"/>
      <c r="AK385" s="2"/>
      <c r="AL385" s="2"/>
      <c r="AM385" s="2"/>
      <c r="AN385" s="9"/>
      <c r="AO385" s="9"/>
      <c r="AP385" s="9"/>
      <c r="AQ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224"/>
      <c r="X386" s="224"/>
      <c r="Y386" s="868"/>
      <c r="Z386" s="865"/>
      <c r="AA386" s="2"/>
      <c r="AB386" s="2"/>
      <c r="AC386" s="2"/>
      <c r="AD386" s="2"/>
      <c r="AE386" s="2"/>
      <c r="AF386" s="2"/>
      <c r="AG386" s="2"/>
      <c r="AH386" s="2"/>
      <c r="AI386" s="2"/>
      <c r="AJ386" s="2"/>
      <c r="AK386" s="2"/>
      <c r="AL386" s="2"/>
      <c r="AM386" s="2"/>
      <c r="AN386" s="9"/>
      <c r="AO386" s="9"/>
      <c r="AP386" s="9"/>
      <c r="AQ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224"/>
      <c r="X387" s="224"/>
      <c r="Y387" s="868"/>
      <c r="Z387" s="865"/>
      <c r="AA387" s="2"/>
      <c r="AB387" s="2"/>
      <c r="AC387" s="2"/>
      <c r="AD387" s="2"/>
      <c r="AE387" s="2"/>
      <c r="AF387" s="2"/>
      <c r="AG387" s="2"/>
      <c r="AH387" s="2"/>
      <c r="AI387" s="2"/>
      <c r="AJ387" s="2"/>
      <c r="AK387" s="2"/>
      <c r="AL387" s="2"/>
      <c r="AM387" s="2"/>
      <c r="AN387" s="9"/>
      <c r="AO387" s="9"/>
      <c r="AP387" s="9"/>
      <c r="AQ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224"/>
      <c r="X388" s="224"/>
      <c r="Y388" s="868"/>
      <c r="Z388" s="865"/>
      <c r="AA388" s="2"/>
      <c r="AB388" s="2"/>
      <c r="AC388" s="2"/>
      <c r="AD388" s="2"/>
      <c r="AE388" s="2"/>
      <c r="AF388" s="2"/>
      <c r="AG388" s="2"/>
      <c r="AH388" s="2"/>
      <c r="AI388" s="2"/>
      <c r="AJ388" s="2"/>
      <c r="AK388" s="2"/>
      <c r="AL388" s="2"/>
      <c r="AM388" s="2"/>
      <c r="AN388" s="9"/>
      <c r="AO388" s="9"/>
      <c r="AP388" s="9"/>
      <c r="AQ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224"/>
      <c r="X389" s="224"/>
      <c r="Y389" s="868"/>
      <c r="Z389" s="865"/>
      <c r="AA389" s="2"/>
      <c r="AB389" s="2"/>
      <c r="AC389" s="2"/>
      <c r="AD389" s="2"/>
      <c r="AE389" s="2"/>
      <c r="AF389" s="2"/>
      <c r="AG389" s="2"/>
      <c r="AH389" s="2"/>
      <c r="AI389" s="2"/>
      <c r="AJ389" s="2"/>
      <c r="AK389" s="2"/>
      <c r="AL389" s="2"/>
      <c r="AM389" s="2"/>
      <c r="AN389" s="9"/>
      <c r="AO389" s="9"/>
      <c r="AP389" s="9"/>
      <c r="AQ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224"/>
      <c r="X390" s="224"/>
      <c r="Y390" s="868"/>
      <c r="Z390" s="865"/>
      <c r="AA390" s="2"/>
      <c r="AB390" s="2"/>
      <c r="AC390" s="2"/>
      <c r="AD390" s="2"/>
      <c r="AE390" s="2"/>
      <c r="AF390" s="2"/>
      <c r="AG390" s="2"/>
      <c r="AH390" s="2"/>
      <c r="AI390" s="2"/>
      <c r="AJ390" s="2"/>
      <c r="AK390" s="2"/>
      <c r="AL390" s="2"/>
      <c r="AM390" s="2"/>
      <c r="AN390" s="9"/>
      <c r="AO390" s="9"/>
      <c r="AP390" s="9"/>
      <c r="AQ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224"/>
      <c r="X391" s="224"/>
      <c r="Y391" s="868"/>
      <c r="Z391" s="865"/>
      <c r="AA391" s="2"/>
      <c r="AB391" s="2"/>
      <c r="AC391" s="2"/>
      <c r="AD391" s="2"/>
      <c r="AE391" s="2"/>
      <c r="AF391" s="2"/>
      <c r="AG391" s="2"/>
      <c r="AH391" s="2"/>
      <c r="AI391" s="2"/>
      <c r="AJ391" s="2"/>
      <c r="AK391" s="2"/>
      <c r="AL391" s="2"/>
      <c r="AM391" s="2"/>
      <c r="AN391" s="9"/>
      <c r="AO391" s="9"/>
      <c r="AP391" s="9"/>
      <c r="AQ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224"/>
      <c r="X392" s="224"/>
      <c r="Y392" s="868"/>
      <c r="Z392" s="865"/>
      <c r="AA392" s="2"/>
      <c r="AB392" s="2"/>
      <c r="AC392" s="2"/>
      <c r="AD392" s="2"/>
      <c r="AE392" s="2"/>
      <c r="AF392" s="2"/>
      <c r="AG392" s="2"/>
      <c r="AH392" s="2"/>
      <c r="AI392" s="2"/>
      <c r="AJ392" s="2"/>
      <c r="AK392" s="2"/>
      <c r="AL392" s="2"/>
      <c r="AM392" s="2"/>
      <c r="AN392" s="9"/>
      <c r="AO392" s="9"/>
      <c r="AP392" s="9"/>
      <c r="AQ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224"/>
      <c r="X393" s="224"/>
      <c r="Y393" s="868"/>
      <c r="Z393" s="865"/>
      <c r="AA393" s="2"/>
      <c r="AB393" s="2"/>
      <c r="AC393" s="2"/>
      <c r="AD393" s="2"/>
      <c r="AE393" s="2"/>
      <c r="AF393" s="2"/>
      <c r="AG393" s="2"/>
      <c r="AH393" s="2"/>
      <c r="AI393" s="2"/>
      <c r="AJ393" s="2"/>
      <c r="AK393" s="2"/>
      <c r="AL393" s="2"/>
      <c r="AM393" s="2"/>
      <c r="AN393" s="9"/>
      <c r="AO393" s="9"/>
      <c r="AP393" s="9"/>
      <c r="AQ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224"/>
      <c r="X394" s="224"/>
      <c r="Y394" s="868"/>
      <c r="Z394" s="865"/>
      <c r="AA394" s="2"/>
      <c r="AB394" s="2"/>
      <c r="AC394" s="2"/>
      <c r="AD394" s="2"/>
      <c r="AE394" s="2"/>
      <c r="AF394" s="2"/>
      <c r="AG394" s="2"/>
      <c r="AH394" s="2"/>
      <c r="AI394" s="2"/>
      <c r="AJ394" s="2"/>
      <c r="AK394" s="2"/>
      <c r="AL394" s="2"/>
      <c r="AM394" s="2"/>
      <c r="AN394" s="9"/>
      <c r="AO394" s="9"/>
      <c r="AP394" s="9"/>
      <c r="AQ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224"/>
      <c r="X395" s="224"/>
      <c r="Y395" s="868"/>
      <c r="Z395" s="865"/>
      <c r="AA395" s="2"/>
      <c r="AB395" s="2"/>
      <c r="AC395" s="2"/>
      <c r="AD395" s="2"/>
      <c r="AE395" s="2"/>
      <c r="AF395" s="2"/>
      <c r="AG395" s="2"/>
      <c r="AH395" s="2"/>
      <c r="AI395" s="2"/>
      <c r="AJ395" s="2"/>
      <c r="AK395" s="2"/>
      <c r="AL395" s="2"/>
      <c r="AM395" s="2"/>
      <c r="AN395" s="9"/>
      <c r="AO395" s="9"/>
      <c r="AP395" s="9"/>
      <c r="AQ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224"/>
      <c r="X396" s="224"/>
      <c r="Y396" s="868"/>
      <c r="Z396" s="865"/>
      <c r="AA396" s="2"/>
      <c r="AB396" s="2"/>
      <c r="AC396" s="2"/>
      <c r="AD396" s="2"/>
      <c r="AE396" s="2"/>
      <c r="AF396" s="2"/>
      <c r="AG396" s="2"/>
      <c r="AH396" s="2"/>
      <c r="AI396" s="2"/>
      <c r="AJ396" s="2"/>
      <c r="AK396" s="2"/>
      <c r="AL396" s="2"/>
      <c r="AM396" s="2"/>
      <c r="AN396" s="9"/>
      <c r="AO396" s="9"/>
      <c r="AP396" s="9"/>
      <c r="AQ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224"/>
      <c r="X397" s="224"/>
      <c r="Y397" s="868"/>
      <c r="Z397" s="865"/>
      <c r="AA397" s="2"/>
      <c r="AB397" s="2"/>
      <c r="AC397" s="2"/>
      <c r="AD397" s="2"/>
      <c r="AE397" s="2"/>
      <c r="AF397" s="2"/>
      <c r="AG397" s="2"/>
      <c r="AH397" s="2"/>
      <c r="AI397" s="2"/>
      <c r="AJ397" s="2"/>
      <c r="AK397" s="2"/>
      <c r="AL397" s="2"/>
      <c r="AM397" s="2"/>
      <c r="AN397" s="9"/>
      <c r="AO397" s="9"/>
      <c r="AP397" s="9"/>
      <c r="AQ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224"/>
      <c r="X398" s="224"/>
      <c r="Y398" s="868"/>
      <c r="Z398" s="865"/>
      <c r="AA398" s="2"/>
      <c r="AB398" s="2"/>
      <c r="AC398" s="2"/>
      <c r="AD398" s="2"/>
      <c r="AE398" s="2"/>
      <c r="AF398" s="2"/>
      <c r="AG398" s="2"/>
      <c r="AH398" s="2"/>
      <c r="AI398" s="2"/>
      <c r="AJ398" s="2"/>
      <c r="AK398" s="2"/>
      <c r="AL398" s="2"/>
      <c r="AM398" s="2"/>
      <c r="AN398" s="9"/>
      <c r="AO398" s="9"/>
      <c r="AP398" s="9"/>
      <c r="AQ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224"/>
      <c r="X399" s="224"/>
      <c r="Y399" s="868"/>
      <c r="Z399" s="865"/>
      <c r="AA399" s="2"/>
      <c r="AB399" s="2"/>
      <c r="AC399" s="2"/>
      <c r="AD399" s="2"/>
      <c r="AE399" s="2"/>
      <c r="AF399" s="2"/>
      <c r="AG399" s="2"/>
      <c r="AH399" s="2"/>
      <c r="AI399" s="2"/>
      <c r="AJ399" s="2"/>
      <c r="AK399" s="2"/>
      <c r="AL399" s="2"/>
      <c r="AM399" s="2"/>
      <c r="AN399" s="9"/>
      <c r="AO399" s="9"/>
      <c r="AP399" s="9"/>
      <c r="AQ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224"/>
      <c r="X400" s="224"/>
      <c r="Y400" s="868"/>
      <c r="Z400" s="865"/>
      <c r="AA400" s="2"/>
      <c r="AB400" s="2"/>
      <c r="AC400" s="2"/>
      <c r="AD400" s="2"/>
      <c r="AE400" s="2"/>
      <c r="AF400" s="2"/>
      <c r="AG400" s="2"/>
      <c r="AH400" s="2"/>
      <c r="AI400" s="2"/>
      <c r="AJ400" s="2"/>
      <c r="AK400" s="2"/>
      <c r="AL400" s="2"/>
      <c r="AM400" s="2"/>
      <c r="AN400" s="9"/>
      <c r="AO400" s="9"/>
      <c r="AP400" s="9"/>
      <c r="AQ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224"/>
      <c r="X401" s="224"/>
      <c r="Y401" s="868"/>
      <c r="Z401" s="865"/>
      <c r="AA401" s="2"/>
      <c r="AB401" s="2"/>
      <c r="AC401" s="2"/>
      <c r="AD401" s="2"/>
      <c r="AE401" s="2"/>
      <c r="AF401" s="2"/>
      <c r="AG401" s="2"/>
      <c r="AH401" s="2"/>
      <c r="AI401" s="2"/>
      <c r="AJ401" s="2"/>
      <c r="AK401" s="2"/>
      <c r="AL401" s="2"/>
      <c r="AM401" s="2"/>
      <c r="AN401" s="9"/>
      <c r="AO401" s="9"/>
      <c r="AP401" s="9"/>
      <c r="AQ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224"/>
      <c r="X402" s="224"/>
      <c r="Y402" s="868"/>
      <c r="Z402" s="865"/>
      <c r="AA402" s="2"/>
      <c r="AB402" s="2"/>
      <c r="AC402" s="2"/>
      <c r="AD402" s="2"/>
      <c r="AE402" s="2"/>
      <c r="AF402" s="2"/>
      <c r="AG402" s="2"/>
      <c r="AH402" s="2"/>
      <c r="AI402" s="2"/>
      <c r="AJ402" s="2"/>
      <c r="AK402" s="2"/>
      <c r="AL402" s="2"/>
      <c r="AM402" s="2"/>
      <c r="AN402" s="9"/>
      <c r="AO402" s="9"/>
      <c r="AP402" s="9"/>
      <c r="AQ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224"/>
      <c r="X403" s="224"/>
      <c r="Y403" s="868"/>
      <c r="Z403" s="865"/>
      <c r="AA403" s="2"/>
      <c r="AB403" s="2"/>
      <c r="AC403" s="2"/>
      <c r="AD403" s="2"/>
      <c r="AE403" s="2"/>
      <c r="AF403" s="2"/>
      <c r="AG403" s="2"/>
      <c r="AH403" s="2"/>
      <c r="AI403" s="2"/>
      <c r="AJ403" s="2"/>
      <c r="AK403" s="2"/>
      <c r="AL403" s="2"/>
      <c r="AM403" s="2"/>
      <c r="AN403" s="9"/>
      <c r="AO403" s="9"/>
      <c r="AP403" s="9"/>
      <c r="AQ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224"/>
      <c r="X404" s="224"/>
      <c r="Y404" s="868"/>
      <c r="Z404" s="865"/>
      <c r="AA404" s="2"/>
      <c r="AB404" s="2"/>
      <c r="AC404" s="2"/>
      <c r="AD404" s="2"/>
      <c r="AE404" s="2"/>
      <c r="AF404" s="2"/>
      <c r="AG404" s="2"/>
      <c r="AH404" s="2"/>
      <c r="AI404" s="2"/>
      <c r="AJ404" s="2"/>
      <c r="AK404" s="2"/>
      <c r="AL404" s="2"/>
      <c r="AM404" s="2"/>
      <c r="AN404" s="9"/>
      <c r="AO404" s="9"/>
      <c r="AP404" s="9"/>
      <c r="AQ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224"/>
      <c r="X405" s="224"/>
      <c r="Y405" s="868"/>
      <c r="Z405" s="865"/>
      <c r="AA405" s="2"/>
      <c r="AB405" s="2"/>
      <c r="AC405" s="2"/>
      <c r="AD405" s="2"/>
      <c r="AE405" s="2"/>
      <c r="AF405" s="2"/>
      <c r="AG405" s="2"/>
      <c r="AH405" s="2"/>
      <c r="AI405" s="2"/>
      <c r="AJ405" s="2"/>
      <c r="AK405" s="2"/>
      <c r="AL405" s="2"/>
      <c r="AM405" s="2"/>
      <c r="AN405" s="9"/>
      <c r="AO405" s="9"/>
      <c r="AP405" s="9"/>
      <c r="AQ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224"/>
      <c r="X406" s="224"/>
      <c r="Y406" s="868"/>
      <c r="Z406" s="865"/>
      <c r="AA406" s="2"/>
      <c r="AB406" s="2"/>
      <c r="AC406" s="2"/>
      <c r="AD406" s="2"/>
      <c r="AE406" s="2"/>
      <c r="AF406" s="2"/>
      <c r="AG406" s="2"/>
      <c r="AH406" s="2"/>
      <c r="AI406" s="2"/>
      <c r="AJ406" s="2"/>
      <c r="AK406" s="2"/>
      <c r="AL406" s="2"/>
      <c r="AM406" s="2"/>
      <c r="AN406" s="9"/>
      <c r="AO406" s="9"/>
      <c r="AP406" s="9"/>
      <c r="AQ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224"/>
      <c r="X407" s="224"/>
      <c r="Y407" s="868"/>
      <c r="Z407" s="865"/>
      <c r="AA407" s="2"/>
      <c r="AB407" s="2"/>
      <c r="AC407" s="2"/>
      <c r="AD407" s="2"/>
      <c r="AE407" s="2"/>
      <c r="AF407" s="2"/>
      <c r="AG407" s="2"/>
      <c r="AH407" s="2"/>
      <c r="AI407" s="2"/>
      <c r="AJ407" s="2"/>
      <c r="AK407" s="2"/>
      <c r="AL407" s="2"/>
      <c r="AM407" s="2"/>
      <c r="AN407" s="9"/>
      <c r="AO407" s="9"/>
      <c r="AP407" s="9"/>
      <c r="AQ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224"/>
      <c r="X408" s="224"/>
      <c r="Y408" s="868"/>
      <c r="Z408" s="865"/>
      <c r="AA408" s="2"/>
      <c r="AB408" s="2"/>
      <c r="AC408" s="2"/>
      <c r="AD408" s="2"/>
      <c r="AE408" s="2"/>
      <c r="AF408" s="2"/>
      <c r="AG408" s="2"/>
      <c r="AH408" s="2"/>
      <c r="AI408" s="2"/>
      <c r="AJ408" s="2"/>
      <c r="AK408" s="2"/>
      <c r="AL408" s="2"/>
      <c r="AM408" s="2"/>
      <c r="AN408" s="9"/>
      <c r="AO408" s="9"/>
      <c r="AP408" s="9"/>
      <c r="AQ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224"/>
      <c r="X409" s="224"/>
      <c r="Y409" s="868"/>
      <c r="Z409" s="865"/>
      <c r="AA409" s="2"/>
      <c r="AB409" s="2"/>
      <c r="AC409" s="2"/>
      <c r="AD409" s="2"/>
      <c r="AE409" s="2"/>
      <c r="AF409" s="2"/>
      <c r="AG409" s="2"/>
      <c r="AH409" s="2"/>
      <c r="AI409" s="2"/>
      <c r="AJ409" s="2"/>
      <c r="AK409" s="2"/>
      <c r="AL409" s="2"/>
      <c r="AM409" s="2"/>
      <c r="AN409" s="9"/>
      <c r="AO409" s="9"/>
      <c r="AP409" s="9"/>
      <c r="AQ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224"/>
      <c r="X410" s="224"/>
      <c r="Y410" s="868"/>
      <c r="Z410" s="865"/>
      <c r="AA410" s="2"/>
      <c r="AB410" s="2"/>
      <c r="AC410" s="2"/>
      <c r="AD410" s="2"/>
      <c r="AE410" s="2"/>
      <c r="AF410" s="2"/>
      <c r="AG410" s="2"/>
      <c r="AH410" s="2"/>
      <c r="AI410" s="2"/>
      <c r="AJ410" s="2"/>
      <c r="AK410" s="2"/>
      <c r="AL410" s="2"/>
      <c r="AM410" s="2"/>
      <c r="AN410" s="9"/>
      <c r="AO410" s="9"/>
      <c r="AP410" s="9"/>
      <c r="AQ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224"/>
      <c r="X411" s="224"/>
      <c r="Y411" s="868"/>
      <c r="Z411" s="865"/>
      <c r="AA411" s="2"/>
      <c r="AB411" s="2"/>
      <c r="AC411" s="2"/>
      <c r="AD411" s="2"/>
      <c r="AE411" s="2"/>
      <c r="AF411" s="2"/>
      <c r="AG411" s="2"/>
      <c r="AH411" s="2"/>
      <c r="AI411" s="2"/>
      <c r="AJ411" s="2"/>
      <c r="AK411" s="2"/>
      <c r="AL411" s="2"/>
      <c r="AM411" s="2"/>
      <c r="AN411" s="9"/>
      <c r="AO411" s="9"/>
      <c r="AP411" s="9"/>
      <c r="AQ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224"/>
      <c r="X412" s="224"/>
      <c r="Y412" s="868"/>
      <c r="Z412" s="865"/>
      <c r="AA412" s="2"/>
      <c r="AB412" s="2"/>
      <c r="AC412" s="2"/>
      <c r="AD412" s="2"/>
      <c r="AE412" s="2"/>
      <c r="AF412" s="2"/>
      <c r="AG412" s="2"/>
      <c r="AH412" s="2"/>
      <c r="AI412" s="2"/>
      <c r="AJ412" s="2"/>
      <c r="AK412" s="2"/>
      <c r="AL412" s="2"/>
      <c r="AM412" s="2"/>
      <c r="AN412" s="9"/>
      <c r="AO412" s="9"/>
      <c r="AP412" s="9"/>
      <c r="AQ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224"/>
      <c r="X413" s="224"/>
      <c r="Y413" s="868"/>
      <c r="Z413" s="865"/>
      <c r="AA413" s="2"/>
      <c r="AB413" s="2"/>
      <c r="AC413" s="2"/>
      <c r="AD413" s="2"/>
      <c r="AE413" s="2"/>
      <c r="AF413" s="2"/>
      <c r="AG413" s="2"/>
      <c r="AH413" s="2"/>
      <c r="AI413" s="2"/>
      <c r="AJ413" s="2"/>
      <c r="AK413" s="2"/>
      <c r="AL413" s="2"/>
      <c r="AM413" s="2"/>
      <c r="AN413" s="9"/>
      <c r="AO413" s="9"/>
      <c r="AP413" s="9"/>
      <c r="AQ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224"/>
      <c r="X414" s="224"/>
      <c r="Y414" s="868"/>
      <c r="Z414" s="865"/>
      <c r="AA414" s="2"/>
      <c r="AB414" s="2"/>
      <c r="AC414" s="2"/>
      <c r="AD414" s="2"/>
      <c r="AE414" s="2"/>
      <c r="AF414" s="2"/>
      <c r="AG414" s="2"/>
      <c r="AH414" s="2"/>
      <c r="AI414" s="2"/>
      <c r="AJ414" s="2"/>
      <c r="AK414" s="2"/>
      <c r="AL414" s="2"/>
      <c r="AM414" s="2"/>
      <c r="AN414" s="9"/>
      <c r="AO414" s="9"/>
      <c r="AP414" s="9"/>
      <c r="AQ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224"/>
      <c r="X415" s="224"/>
      <c r="Y415" s="868"/>
      <c r="Z415" s="865"/>
      <c r="AA415" s="2"/>
      <c r="AB415" s="2"/>
      <c r="AC415" s="2"/>
      <c r="AD415" s="2"/>
      <c r="AE415" s="2"/>
      <c r="AF415" s="2"/>
      <c r="AG415" s="2"/>
      <c r="AH415" s="2"/>
      <c r="AI415" s="2"/>
      <c r="AJ415" s="2"/>
      <c r="AK415" s="2"/>
      <c r="AL415" s="2"/>
      <c r="AM415" s="2"/>
      <c r="AN415" s="9"/>
      <c r="AO415" s="9"/>
      <c r="AP415" s="9"/>
      <c r="AQ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224"/>
      <c r="X416" s="224"/>
      <c r="Y416" s="868"/>
      <c r="Z416" s="865"/>
      <c r="AA416" s="2"/>
      <c r="AB416" s="2"/>
      <c r="AC416" s="2"/>
      <c r="AD416" s="2"/>
      <c r="AE416" s="2"/>
      <c r="AF416" s="2"/>
      <c r="AG416" s="2"/>
      <c r="AH416" s="2"/>
      <c r="AI416" s="2"/>
      <c r="AJ416" s="2"/>
      <c r="AK416" s="2"/>
      <c r="AL416" s="2"/>
      <c r="AM416" s="2"/>
      <c r="AN416" s="9"/>
      <c r="AO416" s="9"/>
      <c r="AP416" s="9"/>
      <c r="AQ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224"/>
      <c r="X417" s="224"/>
      <c r="Y417" s="868"/>
      <c r="Z417" s="865"/>
      <c r="AA417" s="2"/>
      <c r="AB417" s="2"/>
      <c r="AC417" s="2"/>
      <c r="AD417" s="2"/>
      <c r="AE417" s="2"/>
      <c r="AF417" s="2"/>
      <c r="AG417" s="2"/>
      <c r="AH417" s="2"/>
      <c r="AI417" s="2"/>
      <c r="AJ417" s="2"/>
      <c r="AK417" s="2"/>
      <c r="AL417" s="2"/>
      <c r="AM417" s="2"/>
      <c r="AN417" s="9"/>
      <c r="AO417" s="9"/>
      <c r="AP417" s="9"/>
      <c r="AQ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224"/>
      <c r="X418" s="224"/>
      <c r="Y418" s="868"/>
      <c r="Z418" s="865"/>
      <c r="AA418" s="2"/>
      <c r="AB418" s="2"/>
      <c r="AC418" s="2"/>
      <c r="AD418" s="2"/>
      <c r="AE418" s="2"/>
      <c r="AF418" s="2"/>
      <c r="AG418" s="2"/>
      <c r="AH418" s="2"/>
      <c r="AI418" s="2"/>
      <c r="AJ418" s="2"/>
      <c r="AK418" s="2"/>
      <c r="AL418" s="2"/>
      <c r="AM418" s="2"/>
      <c r="AN418" s="9"/>
      <c r="AO418" s="9"/>
      <c r="AP418" s="9"/>
      <c r="AQ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224"/>
      <c r="X419" s="224"/>
      <c r="Y419" s="868"/>
      <c r="Z419" s="865"/>
      <c r="AA419" s="2"/>
      <c r="AB419" s="2"/>
      <c r="AC419" s="2"/>
      <c r="AD419" s="2"/>
      <c r="AE419" s="2"/>
      <c r="AF419" s="2"/>
      <c r="AG419" s="2"/>
      <c r="AH419" s="2"/>
      <c r="AI419" s="2"/>
      <c r="AJ419" s="2"/>
      <c r="AK419" s="2"/>
      <c r="AL419" s="2"/>
      <c r="AM419" s="2"/>
      <c r="AN419" s="9"/>
      <c r="AO419" s="9"/>
      <c r="AP419" s="9"/>
      <c r="AQ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224"/>
      <c r="X420" s="224"/>
      <c r="Y420" s="868"/>
      <c r="Z420" s="865"/>
      <c r="AA420" s="2"/>
      <c r="AB420" s="2"/>
      <c r="AC420" s="2"/>
      <c r="AD420" s="2"/>
      <c r="AE420" s="2"/>
      <c r="AF420" s="2"/>
      <c r="AG420" s="2"/>
      <c r="AH420" s="2"/>
      <c r="AI420" s="2"/>
      <c r="AJ420" s="2"/>
      <c r="AK420" s="2"/>
      <c r="AL420" s="2"/>
      <c r="AM420" s="2"/>
      <c r="AN420" s="9"/>
      <c r="AO420" s="9"/>
      <c r="AP420" s="9"/>
      <c r="AQ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224"/>
      <c r="X421" s="224"/>
      <c r="Y421" s="868"/>
      <c r="Z421" s="865"/>
      <c r="AA421" s="2"/>
      <c r="AB421" s="2"/>
      <c r="AC421" s="2"/>
      <c r="AD421" s="2"/>
      <c r="AE421" s="2"/>
      <c r="AF421" s="2"/>
      <c r="AG421" s="2"/>
      <c r="AH421" s="2"/>
      <c r="AI421" s="2"/>
      <c r="AJ421" s="2"/>
      <c r="AK421" s="2"/>
      <c r="AL421" s="2"/>
      <c r="AM421" s="2"/>
      <c r="AN421" s="9"/>
      <c r="AO421" s="9"/>
      <c r="AP421" s="9"/>
      <c r="AQ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224"/>
      <c r="X422" s="224"/>
      <c r="Y422" s="868"/>
      <c r="Z422" s="865"/>
      <c r="AA422" s="2"/>
      <c r="AB422" s="2"/>
      <c r="AC422" s="2"/>
      <c r="AD422" s="2"/>
      <c r="AE422" s="2"/>
      <c r="AF422" s="2"/>
      <c r="AG422" s="2"/>
      <c r="AH422" s="2"/>
      <c r="AI422" s="2"/>
      <c r="AJ422" s="2"/>
      <c r="AK422" s="2"/>
      <c r="AL422" s="2"/>
      <c r="AM422" s="2"/>
      <c r="AN422" s="9"/>
      <c r="AO422" s="9"/>
      <c r="AP422" s="9"/>
      <c r="AQ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224"/>
      <c r="X423" s="224"/>
      <c r="Y423" s="868"/>
      <c r="Z423" s="865"/>
      <c r="AA423" s="2"/>
      <c r="AB423" s="2"/>
      <c r="AC423" s="2"/>
      <c r="AD423" s="2"/>
      <c r="AE423" s="2"/>
      <c r="AF423" s="2"/>
      <c r="AG423" s="2"/>
      <c r="AH423" s="2"/>
      <c r="AI423" s="2"/>
      <c r="AJ423" s="2"/>
      <c r="AK423" s="2"/>
      <c r="AL423" s="2"/>
      <c r="AM423" s="2"/>
      <c r="AN423" s="9"/>
      <c r="AO423" s="9"/>
      <c r="AP423" s="9"/>
      <c r="AQ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224"/>
      <c r="X424" s="224"/>
      <c r="Y424" s="868"/>
      <c r="Z424" s="865"/>
      <c r="AA424" s="2"/>
      <c r="AB424" s="2"/>
      <c r="AC424" s="2"/>
      <c r="AD424" s="2"/>
      <c r="AE424" s="2"/>
      <c r="AF424" s="2"/>
      <c r="AG424" s="2"/>
      <c r="AH424" s="2"/>
      <c r="AI424" s="2"/>
      <c r="AJ424" s="2"/>
      <c r="AK424" s="2"/>
      <c r="AL424" s="2"/>
      <c r="AM424" s="2"/>
      <c r="AN424" s="9"/>
      <c r="AO424" s="9"/>
      <c r="AP424" s="9"/>
      <c r="AQ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224"/>
      <c r="X425" s="224"/>
      <c r="Y425" s="868"/>
      <c r="Z425" s="865"/>
      <c r="AA425" s="2"/>
      <c r="AB425" s="2"/>
      <c r="AC425" s="2"/>
      <c r="AD425" s="2"/>
      <c r="AE425" s="2"/>
      <c r="AF425" s="2"/>
      <c r="AG425" s="2"/>
      <c r="AH425" s="2"/>
      <c r="AI425" s="2"/>
      <c r="AJ425" s="2"/>
      <c r="AK425" s="2"/>
      <c r="AL425" s="2"/>
      <c r="AM425" s="2"/>
      <c r="AN425" s="9"/>
      <c r="AO425" s="9"/>
      <c r="AP425" s="9"/>
      <c r="AQ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224"/>
      <c r="X426" s="224"/>
      <c r="Y426" s="868"/>
      <c r="Z426" s="865"/>
      <c r="AA426" s="2"/>
      <c r="AB426" s="2"/>
      <c r="AC426" s="2"/>
      <c r="AD426" s="2"/>
      <c r="AE426" s="2"/>
      <c r="AF426" s="2"/>
      <c r="AG426" s="2"/>
      <c r="AH426" s="2"/>
      <c r="AI426" s="2"/>
      <c r="AJ426" s="2"/>
      <c r="AK426" s="2"/>
      <c r="AL426" s="2"/>
      <c r="AM426" s="2"/>
      <c r="AN426" s="9"/>
      <c r="AO426" s="9"/>
      <c r="AP426" s="9"/>
      <c r="AQ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224"/>
      <c r="X427" s="224"/>
      <c r="Y427" s="868"/>
      <c r="Z427" s="865"/>
      <c r="AA427" s="2"/>
      <c r="AB427" s="2"/>
      <c r="AC427" s="2"/>
      <c r="AD427" s="2"/>
      <c r="AE427" s="2"/>
      <c r="AF427" s="2"/>
      <c r="AG427" s="2"/>
      <c r="AH427" s="2"/>
      <c r="AI427" s="2"/>
      <c r="AJ427" s="2"/>
      <c r="AK427" s="2"/>
      <c r="AL427" s="2"/>
      <c r="AM427" s="2"/>
      <c r="AN427" s="9"/>
      <c r="AO427" s="9"/>
      <c r="AP427" s="9"/>
      <c r="AQ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224"/>
      <c r="X428" s="224"/>
      <c r="Y428" s="868"/>
      <c r="Z428" s="865"/>
      <c r="AA428" s="2"/>
      <c r="AB428" s="2"/>
      <c r="AC428" s="2"/>
      <c r="AD428" s="2"/>
      <c r="AE428" s="2"/>
      <c r="AF428" s="2"/>
      <c r="AG428" s="2"/>
      <c r="AH428" s="2"/>
      <c r="AI428" s="2"/>
      <c r="AJ428" s="2"/>
      <c r="AK428" s="2"/>
      <c r="AL428" s="2"/>
      <c r="AM428" s="2"/>
      <c r="AN428" s="9"/>
      <c r="AO428" s="9"/>
      <c r="AP428" s="9"/>
      <c r="AQ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224"/>
      <c r="X429" s="224"/>
      <c r="Y429" s="868"/>
      <c r="Z429" s="865"/>
      <c r="AA429" s="2"/>
      <c r="AB429" s="2"/>
      <c r="AC429" s="2"/>
      <c r="AD429" s="2"/>
      <c r="AE429" s="2"/>
      <c r="AF429" s="2"/>
      <c r="AG429" s="2"/>
      <c r="AH429" s="2"/>
      <c r="AI429" s="2"/>
      <c r="AJ429" s="2"/>
      <c r="AK429" s="2"/>
      <c r="AL429" s="2"/>
      <c r="AM429" s="2"/>
      <c r="AN429" s="9"/>
      <c r="AO429" s="9"/>
      <c r="AP429" s="9"/>
      <c r="AQ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224"/>
      <c r="X430" s="224"/>
      <c r="Y430" s="868"/>
      <c r="Z430" s="865"/>
      <c r="AA430" s="2"/>
      <c r="AB430" s="2"/>
      <c r="AC430" s="2"/>
      <c r="AD430" s="2"/>
      <c r="AE430" s="2"/>
      <c r="AF430" s="2"/>
      <c r="AG430" s="2"/>
      <c r="AH430" s="2"/>
      <c r="AI430" s="2"/>
      <c r="AJ430" s="2"/>
      <c r="AK430" s="2"/>
      <c r="AL430" s="2"/>
      <c r="AM430" s="2"/>
      <c r="AN430" s="9"/>
      <c r="AO430" s="9"/>
      <c r="AP430" s="9"/>
      <c r="AQ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224"/>
      <c r="X431" s="224"/>
      <c r="Y431" s="868"/>
      <c r="Z431" s="865"/>
      <c r="AA431" s="2"/>
      <c r="AB431" s="2"/>
      <c r="AC431" s="2"/>
      <c r="AD431" s="2"/>
      <c r="AE431" s="2"/>
      <c r="AF431" s="2"/>
      <c r="AG431" s="2"/>
      <c r="AH431" s="2"/>
      <c r="AI431" s="2"/>
      <c r="AJ431" s="2"/>
      <c r="AK431" s="2"/>
      <c r="AL431" s="2"/>
      <c r="AM431" s="2"/>
      <c r="AN431" s="9"/>
      <c r="AO431" s="9"/>
      <c r="AP431" s="9"/>
      <c r="AQ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224"/>
      <c r="X432" s="224"/>
      <c r="Y432" s="868"/>
      <c r="Z432" s="865"/>
      <c r="AA432" s="2"/>
      <c r="AB432" s="2"/>
      <c r="AC432" s="2"/>
      <c r="AD432" s="2"/>
      <c r="AE432" s="2"/>
      <c r="AF432" s="2"/>
      <c r="AG432" s="2"/>
      <c r="AH432" s="2"/>
      <c r="AI432" s="2"/>
      <c r="AJ432" s="2"/>
      <c r="AK432" s="2"/>
      <c r="AL432" s="2"/>
      <c r="AM432" s="2"/>
      <c r="AN432" s="9"/>
      <c r="AO432" s="9"/>
      <c r="AP432" s="9"/>
      <c r="AQ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224"/>
      <c r="X433" s="224"/>
      <c r="Y433" s="868"/>
      <c r="Z433" s="865"/>
      <c r="AA433" s="2"/>
      <c r="AB433" s="2"/>
      <c r="AC433" s="2"/>
      <c r="AD433" s="2"/>
      <c r="AE433" s="2"/>
      <c r="AF433" s="2"/>
      <c r="AG433" s="2"/>
      <c r="AH433" s="2"/>
      <c r="AI433" s="2"/>
      <c r="AJ433" s="2"/>
      <c r="AK433" s="2"/>
      <c r="AL433" s="2"/>
      <c r="AM433" s="2"/>
      <c r="AN433" s="9"/>
      <c r="AO433" s="9"/>
      <c r="AP433" s="9"/>
      <c r="AQ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224"/>
      <c r="X434" s="224"/>
      <c r="Y434" s="868"/>
      <c r="Z434" s="865"/>
      <c r="AA434" s="2"/>
      <c r="AB434" s="2"/>
      <c r="AC434" s="2"/>
      <c r="AD434" s="2"/>
      <c r="AE434" s="2"/>
      <c r="AF434" s="2"/>
      <c r="AG434" s="2"/>
      <c r="AH434" s="2"/>
      <c r="AI434" s="2"/>
      <c r="AJ434" s="2"/>
      <c r="AK434" s="2"/>
      <c r="AL434" s="2"/>
      <c r="AM434" s="2"/>
      <c r="AN434" s="9"/>
      <c r="AO434" s="9"/>
      <c r="AP434" s="9"/>
      <c r="AQ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224"/>
      <c r="X435" s="224"/>
      <c r="Y435" s="868"/>
      <c r="Z435" s="865"/>
      <c r="AA435" s="2"/>
      <c r="AB435" s="2"/>
      <c r="AC435" s="2"/>
      <c r="AD435" s="2"/>
      <c r="AE435" s="2"/>
      <c r="AF435" s="2"/>
      <c r="AG435" s="2"/>
      <c r="AH435" s="2"/>
      <c r="AI435" s="2"/>
      <c r="AJ435" s="2"/>
      <c r="AK435" s="2"/>
      <c r="AL435" s="2"/>
      <c r="AM435" s="2"/>
      <c r="AN435" s="9"/>
      <c r="AO435" s="9"/>
      <c r="AP435" s="9"/>
      <c r="AQ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224"/>
      <c r="X436" s="224"/>
      <c r="Y436" s="868"/>
      <c r="Z436" s="865"/>
      <c r="AA436" s="2"/>
      <c r="AB436" s="2"/>
      <c r="AC436" s="2"/>
      <c r="AD436" s="2"/>
      <c r="AE436" s="2"/>
      <c r="AF436" s="2"/>
      <c r="AG436" s="2"/>
      <c r="AH436" s="2"/>
      <c r="AI436" s="2"/>
      <c r="AJ436" s="2"/>
      <c r="AK436" s="2"/>
      <c r="AL436" s="2"/>
      <c r="AM436" s="2"/>
      <c r="AN436" s="9"/>
      <c r="AO436" s="9"/>
      <c r="AP436" s="9"/>
      <c r="AQ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224"/>
      <c r="X437" s="224"/>
      <c r="Y437" s="868"/>
      <c r="Z437" s="865"/>
      <c r="AA437" s="2"/>
      <c r="AB437" s="2"/>
      <c r="AC437" s="2"/>
      <c r="AD437" s="2"/>
      <c r="AE437" s="2"/>
      <c r="AF437" s="2"/>
      <c r="AG437" s="2"/>
      <c r="AH437" s="2"/>
      <c r="AI437" s="2"/>
      <c r="AJ437" s="2"/>
      <c r="AK437" s="2"/>
      <c r="AL437" s="2"/>
      <c r="AM437" s="2"/>
      <c r="AN437" s="9"/>
      <c r="AO437" s="9"/>
      <c r="AP437" s="9"/>
      <c r="AQ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224"/>
      <c r="X438" s="224"/>
      <c r="Y438" s="868"/>
      <c r="Z438" s="865"/>
      <c r="AA438" s="2"/>
      <c r="AB438" s="2"/>
      <c r="AC438" s="2"/>
      <c r="AD438" s="2"/>
      <c r="AE438" s="2"/>
      <c r="AF438" s="2"/>
      <c r="AG438" s="2"/>
      <c r="AH438" s="2"/>
      <c r="AI438" s="2"/>
      <c r="AJ438" s="2"/>
      <c r="AK438" s="2"/>
      <c r="AL438" s="2"/>
      <c r="AM438" s="2"/>
      <c r="AN438" s="9"/>
      <c r="AO438" s="9"/>
      <c r="AP438" s="9"/>
      <c r="AQ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224"/>
      <c r="X439" s="224"/>
      <c r="Y439" s="868"/>
      <c r="Z439" s="865"/>
      <c r="AA439" s="2"/>
      <c r="AB439" s="2"/>
      <c r="AC439" s="2"/>
      <c r="AD439" s="2"/>
      <c r="AE439" s="2"/>
      <c r="AF439" s="2"/>
      <c r="AG439" s="2"/>
      <c r="AH439" s="2"/>
      <c r="AI439" s="2"/>
      <c r="AJ439" s="2"/>
      <c r="AK439" s="2"/>
      <c r="AL439" s="2"/>
      <c r="AM439" s="2"/>
      <c r="AN439" s="9"/>
      <c r="AO439" s="9"/>
      <c r="AP439" s="9"/>
      <c r="AQ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224"/>
      <c r="X440" s="224"/>
      <c r="Y440" s="868"/>
      <c r="Z440" s="865"/>
      <c r="AA440" s="2"/>
      <c r="AB440" s="2"/>
      <c r="AC440" s="2"/>
      <c r="AD440" s="2"/>
      <c r="AE440" s="2"/>
      <c r="AF440" s="2"/>
      <c r="AG440" s="2"/>
      <c r="AH440" s="2"/>
      <c r="AI440" s="2"/>
      <c r="AJ440" s="2"/>
      <c r="AK440" s="2"/>
      <c r="AL440" s="2"/>
      <c r="AM440" s="2"/>
      <c r="AN440" s="9"/>
      <c r="AO440" s="9"/>
      <c r="AP440" s="9"/>
      <c r="AQ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224"/>
      <c r="X441" s="224"/>
      <c r="Y441" s="868"/>
      <c r="Z441" s="865"/>
      <c r="AA441" s="2"/>
      <c r="AB441" s="2"/>
      <c r="AC441" s="2"/>
      <c r="AD441" s="2"/>
      <c r="AE441" s="2"/>
      <c r="AF441" s="2"/>
      <c r="AG441" s="2"/>
      <c r="AH441" s="2"/>
      <c r="AI441" s="2"/>
      <c r="AJ441" s="2"/>
      <c r="AK441" s="2"/>
      <c r="AL441" s="2"/>
      <c r="AM441" s="2"/>
      <c r="AN441" s="9"/>
      <c r="AO441" s="9"/>
      <c r="AP441" s="9"/>
      <c r="AQ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224"/>
      <c r="X442" s="224"/>
      <c r="Y442" s="868"/>
      <c r="Z442" s="865"/>
      <c r="AA442" s="2"/>
      <c r="AB442" s="2"/>
      <c r="AC442" s="2"/>
      <c r="AD442" s="2"/>
      <c r="AE442" s="2"/>
      <c r="AF442" s="2"/>
      <c r="AG442" s="2"/>
      <c r="AH442" s="2"/>
      <c r="AI442" s="2"/>
      <c r="AJ442" s="2"/>
      <c r="AK442" s="2"/>
      <c r="AL442" s="2"/>
      <c r="AM442" s="2"/>
      <c r="AN442" s="9"/>
      <c r="AO442" s="9"/>
      <c r="AP442" s="9"/>
      <c r="AQ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224"/>
      <c r="X443" s="224"/>
      <c r="Y443" s="868"/>
      <c r="Z443" s="865"/>
      <c r="AA443" s="2"/>
      <c r="AB443" s="2"/>
      <c r="AC443" s="2"/>
      <c r="AD443" s="2"/>
      <c r="AE443" s="2"/>
      <c r="AF443" s="2"/>
      <c r="AG443" s="2"/>
      <c r="AH443" s="2"/>
      <c r="AI443" s="2"/>
      <c r="AJ443" s="2"/>
      <c r="AK443" s="2"/>
      <c r="AL443" s="2"/>
      <c r="AM443" s="2"/>
      <c r="AN443" s="9"/>
      <c r="AO443" s="9"/>
      <c r="AP443" s="9"/>
      <c r="AQ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224"/>
      <c r="X444" s="224"/>
      <c r="Y444" s="868"/>
      <c r="Z444" s="865"/>
      <c r="AA444" s="2"/>
      <c r="AB444" s="2"/>
      <c r="AC444" s="2"/>
      <c r="AD444" s="2"/>
      <c r="AE444" s="2"/>
      <c r="AF444" s="2"/>
      <c r="AG444" s="2"/>
      <c r="AH444" s="2"/>
      <c r="AI444" s="2"/>
      <c r="AJ444" s="2"/>
      <c r="AK444" s="2"/>
      <c r="AL444" s="2"/>
      <c r="AM444" s="2"/>
      <c r="AN444" s="9"/>
      <c r="AO444" s="9"/>
      <c r="AP444" s="9"/>
      <c r="AQ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224"/>
      <c r="X445" s="224"/>
      <c r="Y445" s="868"/>
      <c r="Z445" s="865"/>
      <c r="AA445" s="2"/>
      <c r="AB445" s="2"/>
      <c r="AC445" s="2"/>
      <c r="AD445" s="2"/>
      <c r="AE445" s="2"/>
      <c r="AF445" s="2"/>
      <c r="AG445" s="2"/>
      <c r="AH445" s="2"/>
      <c r="AI445" s="2"/>
      <c r="AJ445" s="2"/>
      <c r="AK445" s="2"/>
      <c r="AL445" s="2"/>
      <c r="AM445" s="2"/>
      <c r="AN445" s="9"/>
      <c r="AO445" s="9"/>
      <c r="AP445" s="9"/>
      <c r="AQ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224"/>
      <c r="X446" s="224"/>
      <c r="Y446" s="868"/>
      <c r="Z446" s="865"/>
      <c r="AA446" s="2"/>
      <c r="AB446" s="2"/>
      <c r="AC446" s="2"/>
      <c r="AD446" s="2"/>
      <c r="AE446" s="2"/>
      <c r="AF446" s="2"/>
      <c r="AG446" s="2"/>
      <c r="AH446" s="2"/>
      <c r="AI446" s="2"/>
      <c r="AJ446" s="2"/>
      <c r="AK446" s="2"/>
      <c r="AL446" s="2"/>
      <c r="AM446" s="2"/>
      <c r="AN446" s="9"/>
      <c r="AO446" s="9"/>
      <c r="AP446" s="9"/>
      <c r="AQ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224"/>
      <c r="X447" s="224"/>
      <c r="Y447" s="868"/>
      <c r="Z447" s="865"/>
      <c r="AA447" s="2"/>
      <c r="AB447" s="2"/>
      <c r="AC447" s="2"/>
      <c r="AD447" s="2"/>
      <c r="AE447" s="2"/>
      <c r="AF447" s="2"/>
      <c r="AG447" s="2"/>
      <c r="AH447" s="2"/>
      <c r="AI447" s="2"/>
      <c r="AJ447" s="2"/>
      <c r="AK447" s="2"/>
      <c r="AL447" s="2"/>
      <c r="AM447" s="2"/>
      <c r="AN447" s="9"/>
      <c r="AO447" s="9"/>
      <c r="AP447" s="9"/>
      <c r="AQ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224"/>
      <c r="X448" s="224"/>
      <c r="Y448" s="868"/>
      <c r="Z448" s="865"/>
      <c r="AA448" s="2"/>
      <c r="AB448" s="2"/>
      <c r="AC448" s="2"/>
      <c r="AD448" s="2"/>
      <c r="AE448" s="2"/>
      <c r="AF448" s="2"/>
      <c r="AG448" s="2"/>
      <c r="AH448" s="2"/>
      <c r="AI448" s="2"/>
      <c r="AJ448" s="2"/>
      <c r="AK448" s="2"/>
      <c r="AL448" s="2"/>
      <c r="AM448" s="2"/>
      <c r="AN448" s="9"/>
      <c r="AO448" s="9"/>
      <c r="AP448" s="9"/>
      <c r="AQ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224"/>
      <c r="X449" s="224"/>
      <c r="Y449" s="868"/>
      <c r="Z449" s="865"/>
      <c r="AA449" s="2"/>
      <c r="AB449" s="2"/>
      <c r="AC449" s="2"/>
      <c r="AD449" s="2"/>
      <c r="AE449" s="2"/>
      <c r="AF449" s="2"/>
      <c r="AG449" s="2"/>
      <c r="AH449" s="2"/>
      <c r="AI449" s="2"/>
      <c r="AJ449" s="2"/>
      <c r="AK449" s="2"/>
      <c r="AL449" s="2"/>
      <c r="AM449" s="2"/>
      <c r="AN449" s="9"/>
      <c r="AO449" s="9"/>
      <c r="AP449" s="9"/>
      <c r="AQ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224"/>
      <c r="X450" s="224"/>
      <c r="Y450" s="868"/>
      <c r="Z450" s="865"/>
      <c r="AA450" s="2"/>
      <c r="AB450" s="2"/>
      <c r="AC450" s="2"/>
      <c r="AD450" s="2"/>
      <c r="AE450" s="2"/>
      <c r="AF450" s="2"/>
      <c r="AG450" s="2"/>
      <c r="AH450" s="2"/>
      <c r="AI450" s="2"/>
      <c r="AJ450" s="2"/>
      <c r="AK450" s="2"/>
      <c r="AL450" s="2"/>
      <c r="AM450" s="2"/>
      <c r="AN450" s="9"/>
      <c r="AO450" s="9"/>
      <c r="AP450" s="9"/>
      <c r="AQ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224"/>
      <c r="X451" s="224"/>
      <c r="Y451" s="868"/>
      <c r="Z451" s="865"/>
      <c r="AA451" s="2"/>
      <c r="AB451" s="2"/>
      <c r="AC451" s="2"/>
      <c r="AD451" s="2"/>
      <c r="AE451" s="2"/>
      <c r="AF451" s="2"/>
      <c r="AG451" s="2"/>
      <c r="AH451" s="2"/>
      <c r="AI451" s="2"/>
      <c r="AJ451" s="2"/>
      <c r="AK451" s="2"/>
      <c r="AL451" s="2"/>
      <c r="AM451" s="2"/>
      <c r="AN451" s="9"/>
      <c r="AO451" s="9"/>
      <c r="AP451" s="9"/>
      <c r="AQ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224"/>
      <c r="X452" s="224"/>
      <c r="Y452" s="868"/>
      <c r="Z452" s="865"/>
      <c r="AA452" s="2"/>
      <c r="AB452" s="2"/>
      <c r="AC452" s="2"/>
      <c r="AD452" s="2"/>
      <c r="AE452" s="2"/>
      <c r="AF452" s="2"/>
      <c r="AG452" s="2"/>
      <c r="AH452" s="2"/>
      <c r="AI452" s="2"/>
      <c r="AJ452" s="2"/>
      <c r="AK452" s="2"/>
      <c r="AL452" s="2"/>
      <c r="AM452" s="2"/>
      <c r="AN452" s="9"/>
      <c r="AO452" s="9"/>
      <c r="AP452" s="9"/>
      <c r="AQ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224"/>
      <c r="X453" s="224"/>
      <c r="Y453" s="868"/>
      <c r="Z453" s="865"/>
      <c r="AA453" s="2"/>
      <c r="AB453" s="2"/>
      <c r="AC453" s="2"/>
      <c r="AD453" s="2"/>
      <c r="AE453" s="2"/>
      <c r="AF453" s="2"/>
      <c r="AG453" s="2"/>
      <c r="AH453" s="2"/>
      <c r="AI453" s="2"/>
      <c r="AJ453" s="2"/>
      <c r="AK453" s="2"/>
      <c r="AL453" s="2"/>
      <c r="AM453" s="2"/>
      <c r="AN453" s="9"/>
      <c r="AO453" s="9"/>
      <c r="AP453" s="9"/>
      <c r="AQ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224"/>
      <c r="X454" s="224"/>
      <c r="Y454" s="868"/>
      <c r="Z454" s="865"/>
      <c r="AA454" s="2"/>
      <c r="AB454" s="2"/>
      <c r="AC454" s="2"/>
      <c r="AD454" s="2"/>
      <c r="AE454" s="2"/>
      <c r="AF454" s="2"/>
      <c r="AG454" s="2"/>
      <c r="AH454" s="2"/>
      <c r="AI454" s="2"/>
      <c r="AJ454" s="2"/>
      <c r="AK454" s="2"/>
      <c r="AL454" s="2"/>
      <c r="AM454" s="2"/>
      <c r="AN454" s="9"/>
      <c r="AO454" s="9"/>
      <c r="AP454" s="9"/>
      <c r="AQ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224"/>
      <c r="X455" s="224"/>
      <c r="Y455" s="868"/>
      <c r="Z455" s="865"/>
      <c r="AA455" s="2"/>
      <c r="AB455" s="2"/>
      <c r="AC455" s="2"/>
      <c r="AD455" s="2"/>
      <c r="AE455" s="2"/>
      <c r="AF455" s="2"/>
      <c r="AG455" s="2"/>
      <c r="AH455" s="2"/>
      <c r="AI455" s="2"/>
      <c r="AJ455" s="2"/>
      <c r="AK455" s="2"/>
      <c r="AL455" s="2"/>
      <c r="AM455" s="2"/>
      <c r="AN455" s="9"/>
      <c r="AO455" s="9"/>
      <c r="AP455" s="9"/>
      <c r="AQ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224"/>
      <c r="X456" s="224"/>
      <c r="Y456" s="868"/>
      <c r="Z456" s="865"/>
      <c r="AA456" s="2"/>
      <c r="AB456" s="2"/>
      <c r="AC456" s="2"/>
      <c r="AD456" s="2"/>
      <c r="AE456" s="2"/>
      <c r="AF456" s="2"/>
      <c r="AG456" s="2"/>
      <c r="AH456" s="2"/>
      <c r="AI456" s="2"/>
      <c r="AJ456" s="2"/>
      <c r="AK456" s="2"/>
      <c r="AL456" s="2"/>
      <c r="AM456" s="2"/>
      <c r="AN456" s="9"/>
      <c r="AO456" s="9"/>
      <c r="AP456" s="9"/>
      <c r="AQ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224"/>
      <c r="X457" s="224"/>
      <c r="Y457" s="868"/>
      <c r="Z457" s="865"/>
      <c r="AA457" s="2"/>
      <c r="AB457" s="2"/>
      <c r="AC457" s="2"/>
      <c r="AD457" s="2"/>
      <c r="AE457" s="2"/>
      <c r="AF457" s="2"/>
      <c r="AG457" s="2"/>
      <c r="AH457" s="2"/>
      <c r="AI457" s="2"/>
      <c r="AJ457" s="2"/>
      <c r="AK457" s="2"/>
      <c r="AL457" s="2"/>
      <c r="AM457" s="2"/>
      <c r="AN457" s="9"/>
      <c r="AO457" s="9"/>
      <c r="AP457" s="9"/>
      <c r="AQ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224"/>
      <c r="X458" s="224"/>
      <c r="Y458" s="868"/>
      <c r="Z458" s="865"/>
      <c r="AA458" s="2"/>
      <c r="AB458" s="2"/>
      <c r="AC458" s="2"/>
      <c r="AD458" s="2"/>
      <c r="AE458" s="2"/>
      <c r="AF458" s="2"/>
      <c r="AG458" s="2"/>
      <c r="AH458" s="2"/>
      <c r="AI458" s="2"/>
      <c r="AJ458" s="2"/>
      <c r="AK458" s="2"/>
      <c r="AL458" s="2"/>
      <c r="AM458" s="2"/>
      <c r="AN458" s="9"/>
      <c r="AO458" s="9"/>
      <c r="AP458" s="9"/>
      <c r="AQ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224"/>
      <c r="X459" s="224"/>
      <c r="Y459" s="868"/>
      <c r="Z459" s="865"/>
      <c r="AA459" s="2"/>
      <c r="AB459" s="2"/>
      <c r="AC459" s="2"/>
      <c r="AD459" s="2"/>
      <c r="AE459" s="2"/>
      <c r="AF459" s="2"/>
      <c r="AG459" s="2"/>
      <c r="AH459" s="2"/>
      <c r="AI459" s="2"/>
      <c r="AJ459" s="2"/>
      <c r="AK459" s="2"/>
      <c r="AL459" s="2"/>
      <c r="AM459" s="2"/>
      <c r="AN459" s="9"/>
      <c r="AO459" s="9"/>
      <c r="AP459" s="9"/>
      <c r="AQ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224"/>
      <c r="X460" s="224"/>
      <c r="Y460" s="868"/>
      <c r="Z460" s="865"/>
      <c r="AA460" s="2"/>
      <c r="AB460" s="2"/>
      <c r="AC460" s="2"/>
      <c r="AD460" s="2"/>
      <c r="AE460" s="2"/>
      <c r="AF460" s="2"/>
      <c r="AG460" s="2"/>
      <c r="AH460" s="2"/>
      <c r="AI460" s="2"/>
      <c r="AJ460" s="2"/>
      <c r="AK460" s="2"/>
      <c r="AL460" s="2"/>
      <c r="AM460" s="2"/>
      <c r="AN460" s="9"/>
      <c r="AO460" s="9"/>
      <c r="AP460" s="9"/>
      <c r="AQ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224"/>
      <c r="X461" s="224"/>
      <c r="Y461" s="868"/>
      <c r="Z461" s="865"/>
      <c r="AA461" s="2"/>
      <c r="AB461" s="2"/>
      <c r="AC461" s="2"/>
      <c r="AD461" s="2"/>
      <c r="AE461" s="2"/>
      <c r="AF461" s="2"/>
      <c r="AG461" s="2"/>
      <c r="AH461" s="2"/>
      <c r="AI461" s="2"/>
      <c r="AJ461" s="2"/>
      <c r="AK461" s="2"/>
      <c r="AL461" s="2"/>
      <c r="AM461" s="2"/>
      <c r="AN461" s="9"/>
      <c r="AO461" s="9"/>
      <c r="AP461" s="9"/>
      <c r="AQ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224"/>
      <c r="X462" s="224"/>
      <c r="Y462" s="868"/>
      <c r="Z462" s="865"/>
      <c r="AA462" s="2"/>
      <c r="AB462" s="2"/>
      <c r="AC462" s="2"/>
      <c r="AD462" s="2"/>
      <c r="AE462" s="2"/>
      <c r="AF462" s="2"/>
      <c r="AG462" s="2"/>
      <c r="AH462" s="2"/>
      <c r="AI462" s="2"/>
      <c r="AJ462" s="2"/>
      <c r="AK462" s="2"/>
      <c r="AL462" s="2"/>
      <c r="AM462" s="2"/>
      <c r="AN462" s="9"/>
      <c r="AO462" s="9"/>
      <c r="AP462" s="9"/>
      <c r="AQ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224"/>
      <c r="X463" s="224"/>
      <c r="Y463" s="868"/>
      <c r="Z463" s="865"/>
      <c r="AA463" s="2"/>
      <c r="AB463" s="2"/>
      <c r="AC463" s="2"/>
      <c r="AD463" s="2"/>
      <c r="AE463" s="2"/>
      <c r="AF463" s="2"/>
      <c r="AG463" s="2"/>
      <c r="AH463" s="2"/>
      <c r="AI463" s="2"/>
      <c r="AJ463" s="2"/>
      <c r="AK463" s="2"/>
      <c r="AL463" s="2"/>
      <c r="AM463" s="2"/>
      <c r="AN463" s="9"/>
      <c r="AO463" s="9"/>
      <c r="AP463" s="9"/>
      <c r="AQ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224"/>
      <c r="X464" s="224"/>
      <c r="Y464" s="868"/>
      <c r="Z464" s="865"/>
      <c r="AA464" s="2"/>
      <c r="AB464" s="2"/>
      <c r="AC464" s="2"/>
      <c r="AD464" s="2"/>
      <c r="AE464" s="2"/>
      <c r="AF464" s="2"/>
      <c r="AG464" s="2"/>
      <c r="AH464" s="2"/>
      <c r="AI464" s="2"/>
      <c r="AJ464" s="2"/>
      <c r="AK464" s="2"/>
      <c r="AL464" s="2"/>
      <c r="AM464" s="2"/>
      <c r="AN464" s="9"/>
      <c r="AO464" s="9"/>
      <c r="AP464" s="9"/>
      <c r="AQ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224"/>
      <c r="X465" s="224"/>
      <c r="Y465" s="868"/>
      <c r="Z465" s="865"/>
      <c r="AA465" s="2"/>
      <c r="AB465" s="2"/>
      <c r="AC465" s="2"/>
      <c r="AD465" s="2"/>
      <c r="AE465" s="2"/>
      <c r="AF465" s="2"/>
      <c r="AG465" s="2"/>
      <c r="AH465" s="2"/>
      <c r="AI465" s="2"/>
      <c r="AJ465" s="2"/>
      <c r="AK465" s="2"/>
      <c r="AL465" s="2"/>
      <c r="AM465" s="2"/>
      <c r="AN465" s="9"/>
      <c r="AO465" s="9"/>
      <c r="AP465" s="9"/>
      <c r="AQ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224"/>
      <c r="X466" s="224"/>
      <c r="Y466" s="868"/>
      <c r="Z466" s="865"/>
      <c r="AA466" s="2"/>
      <c r="AB466" s="2"/>
      <c r="AC466" s="2"/>
      <c r="AD466" s="2"/>
      <c r="AE466" s="2"/>
      <c r="AF466" s="2"/>
      <c r="AG466" s="2"/>
      <c r="AH466" s="2"/>
      <c r="AI466" s="2"/>
      <c r="AJ466" s="2"/>
      <c r="AK466" s="2"/>
      <c r="AL466" s="2"/>
      <c r="AM466" s="2"/>
      <c r="AN466" s="9"/>
      <c r="AO466" s="9"/>
      <c r="AP466" s="9"/>
      <c r="AQ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224"/>
      <c r="X467" s="224"/>
      <c r="Y467" s="868"/>
      <c r="Z467" s="865"/>
      <c r="AA467" s="2"/>
      <c r="AB467" s="2"/>
      <c r="AC467" s="2"/>
      <c r="AD467" s="2"/>
      <c r="AE467" s="2"/>
      <c r="AF467" s="2"/>
      <c r="AG467" s="2"/>
      <c r="AH467" s="2"/>
      <c r="AI467" s="2"/>
      <c r="AJ467" s="2"/>
      <c r="AK467" s="2"/>
      <c r="AL467" s="2"/>
      <c r="AM467" s="2"/>
      <c r="AN467" s="9"/>
      <c r="AO467" s="9"/>
      <c r="AP467" s="9"/>
      <c r="AQ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224"/>
      <c r="X468" s="224"/>
      <c r="Y468" s="868"/>
      <c r="Z468" s="865"/>
      <c r="AA468" s="2"/>
      <c r="AB468" s="2"/>
      <c r="AC468" s="2"/>
      <c r="AD468" s="2"/>
      <c r="AE468" s="2"/>
      <c r="AF468" s="2"/>
      <c r="AG468" s="2"/>
      <c r="AH468" s="2"/>
      <c r="AI468" s="2"/>
      <c r="AJ468" s="2"/>
      <c r="AK468" s="2"/>
      <c r="AL468" s="2"/>
      <c r="AM468" s="2"/>
      <c r="AN468" s="9"/>
      <c r="AO468" s="9"/>
      <c r="AP468" s="9"/>
      <c r="AQ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224"/>
      <c r="X469" s="224"/>
      <c r="Y469" s="868"/>
      <c r="Z469" s="865"/>
      <c r="AA469" s="2"/>
      <c r="AB469" s="2"/>
      <c r="AC469" s="2"/>
      <c r="AD469" s="2"/>
      <c r="AE469" s="2"/>
      <c r="AF469" s="2"/>
      <c r="AG469" s="2"/>
      <c r="AH469" s="2"/>
      <c r="AI469" s="2"/>
      <c r="AJ469" s="2"/>
      <c r="AK469" s="2"/>
      <c r="AL469" s="2"/>
      <c r="AM469" s="2"/>
      <c r="AN469" s="9"/>
      <c r="AO469" s="9"/>
      <c r="AP469" s="9"/>
      <c r="AQ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224"/>
      <c r="X470" s="224"/>
      <c r="Y470" s="868"/>
      <c r="Z470" s="865"/>
      <c r="AA470" s="2"/>
      <c r="AB470" s="2"/>
      <c r="AC470" s="2"/>
      <c r="AD470" s="2"/>
      <c r="AE470" s="2"/>
      <c r="AF470" s="2"/>
      <c r="AG470" s="2"/>
      <c r="AH470" s="2"/>
      <c r="AI470" s="2"/>
      <c r="AJ470" s="2"/>
      <c r="AK470" s="2"/>
      <c r="AL470" s="2"/>
      <c r="AM470" s="2"/>
      <c r="AN470" s="9"/>
      <c r="AO470" s="9"/>
      <c r="AP470" s="9"/>
      <c r="AQ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224"/>
      <c r="X471" s="224"/>
      <c r="Y471" s="868"/>
      <c r="Z471" s="865"/>
      <c r="AA471" s="2"/>
      <c r="AB471" s="2"/>
      <c r="AC471" s="2"/>
      <c r="AD471" s="2"/>
      <c r="AE471" s="2"/>
      <c r="AF471" s="2"/>
      <c r="AG471" s="2"/>
      <c r="AH471" s="2"/>
      <c r="AI471" s="2"/>
      <c r="AJ471" s="2"/>
      <c r="AK471" s="2"/>
      <c r="AL471" s="2"/>
      <c r="AM471" s="2"/>
      <c r="AN471" s="9"/>
      <c r="AO471" s="9"/>
      <c r="AP471" s="9"/>
      <c r="AQ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224"/>
      <c r="X472" s="224"/>
      <c r="Y472" s="868"/>
      <c r="Z472" s="865"/>
      <c r="AA472" s="2"/>
      <c r="AB472" s="2"/>
      <c r="AC472" s="2"/>
      <c r="AD472" s="2"/>
      <c r="AE472" s="2"/>
      <c r="AF472" s="2"/>
      <c r="AG472" s="2"/>
      <c r="AH472" s="2"/>
      <c r="AI472" s="2"/>
      <c r="AJ472" s="2"/>
      <c r="AK472" s="2"/>
      <c r="AL472" s="2"/>
      <c r="AM472" s="2"/>
      <c r="AN472" s="9"/>
      <c r="AO472" s="9"/>
      <c r="AP472" s="9"/>
      <c r="AQ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224"/>
      <c r="X473" s="224"/>
      <c r="Y473" s="868"/>
      <c r="Z473" s="865"/>
      <c r="AA473" s="2"/>
      <c r="AB473" s="2"/>
      <c r="AC473" s="2"/>
      <c r="AD473" s="2"/>
      <c r="AE473" s="2"/>
      <c r="AF473" s="2"/>
      <c r="AG473" s="2"/>
      <c r="AH473" s="2"/>
      <c r="AI473" s="2"/>
      <c r="AJ473" s="2"/>
      <c r="AK473" s="2"/>
      <c r="AL473" s="2"/>
      <c r="AM473" s="2"/>
      <c r="AN473" s="9"/>
      <c r="AO473" s="9"/>
      <c r="AP473" s="9"/>
      <c r="AQ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224"/>
      <c r="X474" s="224"/>
      <c r="Y474" s="868"/>
      <c r="Z474" s="865"/>
      <c r="AA474" s="2"/>
      <c r="AB474" s="2"/>
      <c r="AC474" s="2"/>
      <c r="AD474" s="2"/>
      <c r="AE474" s="2"/>
      <c r="AF474" s="2"/>
      <c r="AG474" s="2"/>
      <c r="AH474" s="2"/>
      <c r="AI474" s="2"/>
      <c r="AJ474" s="2"/>
      <c r="AK474" s="2"/>
      <c r="AL474" s="2"/>
      <c r="AM474" s="2"/>
      <c r="AN474" s="9"/>
      <c r="AO474" s="9"/>
      <c r="AP474" s="9"/>
      <c r="AQ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224"/>
      <c r="X475" s="224"/>
      <c r="Y475" s="868"/>
      <c r="Z475" s="865"/>
      <c r="AA475" s="2"/>
      <c r="AB475" s="2"/>
      <c r="AC475" s="2"/>
      <c r="AD475" s="2"/>
      <c r="AE475" s="2"/>
      <c r="AF475" s="2"/>
      <c r="AG475" s="2"/>
      <c r="AH475" s="2"/>
      <c r="AI475" s="2"/>
      <c r="AJ475" s="2"/>
      <c r="AK475" s="2"/>
      <c r="AL475" s="2"/>
      <c r="AM475" s="2"/>
      <c r="AN475" s="9"/>
      <c r="AO475" s="9"/>
      <c r="AP475" s="9"/>
      <c r="AQ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224"/>
      <c r="X476" s="224"/>
      <c r="Y476" s="868"/>
      <c r="Z476" s="865"/>
      <c r="AA476" s="2"/>
      <c r="AB476" s="2"/>
      <c r="AC476" s="2"/>
      <c r="AD476" s="2"/>
      <c r="AE476" s="2"/>
      <c r="AF476" s="2"/>
      <c r="AG476" s="2"/>
      <c r="AH476" s="2"/>
      <c r="AI476" s="2"/>
      <c r="AJ476" s="2"/>
      <c r="AK476" s="2"/>
      <c r="AL476" s="2"/>
      <c r="AM476" s="2"/>
      <c r="AN476" s="9"/>
      <c r="AO476" s="9"/>
      <c r="AP476" s="9"/>
      <c r="AQ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224"/>
      <c r="X477" s="224"/>
      <c r="Y477" s="868"/>
      <c r="Z477" s="865"/>
      <c r="AA477" s="2"/>
      <c r="AB477" s="2"/>
      <c r="AC477" s="2"/>
      <c r="AD477" s="2"/>
      <c r="AE477" s="2"/>
      <c r="AF477" s="2"/>
      <c r="AG477" s="2"/>
      <c r="AH477" s="2"/>
      <c r="AI477" s="2"/>
      <c r="AJ477" s="2"/>
      <c r="AK477" s="2"/>
      <c r="AL477" s="2"/>
      <c r="AM477" s="2"/>
      <c r="AN477" s="9"/>
      <c r="AO477" s="9"/>
      <c r="AP477" s="9"/>
      <c r="AQ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224"/>
      <c r="X478" s="224"/>
      <c r="Y478" s="868"/>
      <c r="Z478" s="865"/>
      <c r="AA478" s="2"/>
      <c r="AB478" s="2"/>
      <c r="AC478" s="2"/>
      <c r="AD478" s="2"/>
      <c r="AE478" s="2"/>
      <c r="AF478" s="2"/>
      <c r="AG478" s="2"/>
      <c r="AH478" s="2"/>
      <c r="AI478" s="2"/>
      <c r="AJ478" s="2"/>
      <c r="AK478" s="2"/>
      <c r="AL478" s="2"/>
      <c r="AM478" s="2"/>
      <c r="AN478" s="9"/>
      <c r="AO478" s="9"/>
      <c r="AP478" s="9"/>
      <c r="AQ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224"/>
      <c r="X479" s="224"/>
      <c r="Y479" s="868"/>
      <c r="Z479" s="865"/>
      <c r="AA479" s="2"/>
      <c r="AB479" s="2"/>
      <c r="AC479" s="2"/>
      <c r="AD479" s="2"/>
      <c r="AE479" s="2"/>
      <c r="AF479" s="2"/>
      <c r="AG479" s="2"/>
      <c r="AH479" s="2"/>
      <c r="AI479" s="2"/>
      <c r="AJ479" s="2"/>
      <c r="AK479" s="2"/>
      <c r="AL479" s="2"/>
      <c r="AM479" s="2"/>
      <c r="AN479" s="9"/>
      <c r="AO479" s="9"/>
      <c r="AP479" s="9"/>
      <c r="AQ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224"/>
      <c r="X480" s="224"/>
      <c r="Y480" s="868"/>
      <c r="Z480" s="865"/>
      <c r="AA480" s="2"/>
      <c r="AB480" s="2"/>
      <c r="AC480" s="2"/>
      <c r="AD480" s="2"/>
      <c r="AE480" s="2"/>
      <c r="AF480" s="2"/>
      <c r="AG480" s="2"/>
      <c r="AH480" s="2"/>
      <c r="AI480" s="2"/>
      <c r="AJ480" s="2"/>
      <c r="AK480" s="2"/>
      <c r="AL480" s="2"/>
      <c r="AM480" s="2"/>
      <c r="AN480" s="9"/>
      <c r="AO480" s="9"/>
      <c r="AP480" s="9"/>
      <c r="AQ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224"/>
      <c r="X481" s="224"/>
      <c r="Y481" s="868"/>
      <c r="Z481" s="865"/>
      <c r="AA481" s="2"/>
      <c r="AB481" s="2"/>
      <c r="AC481" s="2"/>
      <c r="AD481" s="2"/>
      <c r="AE481" s="2"/>
      <c r="AF481" s="2"/>
      <c r="AG481" s="2"/>
      <c r="AH481" s="2"/>
      <c r="AI481" s="2"/>
      <c r="AJ481" s="2"/>
      <c r="AK481" s="2"/>
      <c r="AL481" s="2"/>
      <c r="AM481" s="2"/>
      <c r="AN481" s="9"/>
      <c r="AO481" s="9"/>
      <c r="AP481" s="9"/>
      <c r="AQ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224"/>
      <c r="X482" s="224"/>
      <c r="Y482" s="868"/>
      <c r="Z482" s="865"/>
      <c r="AA482" s="2"/>
      <c r="AB482" s="2"/>
      <c r="AC482" s="2"/>
      <c r="AD482" s="2"/>
      <c r="AE482" s="2"/>
      <c r="AF482" s="2"/>
      <c r="AG482" s="2"/>
      <c r="AH482" s="2"/>
      <c r="AI482" s="2"/>
      <c r="AJ482" s="2"/>
      <c r="AK482" s="2"/>
      <c r="AL482" s="2"/>
      <c r="AM482" s="2"/>
      <c r="AN482" s="9"/>
      <c r="AO482" s="9"/>
      <c r="AP482" s="9"/>
      <c r="AQ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224"/>
      <c r="X483" s="224"/>
      <c r="Y483" s="868"/>
      <c r="Z483" s="865"/>
      <c r="AA483" s="2"/>
      <c r="AB483" s="2"/>
      <c r="AC483" s="2"/>
      <c r="AD483" s="2"/>
      <c r="AE483" s="2"/>
      <c r="AF483" s="2"/>
      <c r="AG483" s="2"/>
      <c r="AH483" s="2"/>
      <c r="AI483" s="2"/>
      <c r="AJ483" s="2"/>
      <c r="AK483" s="2"/>
      <c r="AL483" s="2"/>
      <c r="AM483" s="2"/>
      <c r="AN483" s="9"/>
      <c r="AO483" s="9"/>
      <c r="AP483" s="9"/>
      <c r="AQ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224"/>
      <c r="X484" s="224"/>
      <c r="Y484" s="868"/>
      <c r="Z484" s="865"/>
      <c r="AA484" s="2"/>
      <c r="AB484" s="2"/>
      <c r="AC484" s="2"/>
      <c r="AD484" s="2"/>
      <c r="AE484" s="2"/>
      <c r="AF484" s="2"/>
      <c r="AG484" s="2"/>
      <c r="AH484" s="2"/>
      <c r="AI484" s="2"/>
      <c r="AJ484" s="2"/>
      <c r="AK484" s="2"/>
      <c r="AL484" s="2"/>
      <c r="AM484" s="2"/>
      <c r="AN484" s="9"/>
      <c r="AO484" s="9"/>
      <c r="AP484" s="9"/>
      <c r="AQ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224"/>
      <c r="X485" s="224"/>
      <c r="Y485" s="868"/>
      <c r="Z485" s="865"/>
      <c r="AA485" s="2"/>
      <c r="AB485" s="2"/>
      <c r="AC485" s="2"/>
      <c r="AD485" s="2"/>
      <c r="AE485" s="2"/>
      <c r="AF485" s="2"/>
      <c r="AG485" s="2"/>
      <c r="AH485" s="2"/>
      <c r="AI485" s="2"/>
      <c r="AJ485" s="2"/>
      <c r="AK485" s="2"/>
      <c r="AL485" s="2"/>
      <c r="AM485" s="2"/>
      <c r="AN485" s="9"/>
      <c r="AO485" s="9"/>
      <c r="AP485" s="9"/>
      <c r="AQ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224"/>
      <c r="X486" s="224"/>
      <c r="Y486" s="868"/>
      <c r="Z486" s="865"/>
      <c r="AA486" s="2"/>
      <c r="AB486" s="2"/>
      <c r="AC486" s="2"/>
      <c r="AD486" s="2"/>
      <c r="AE486" s="2"/>
      <c r="AF486" s="2"/>
      <c r="AG486" s="2"/>
      <c r="AH486" s="2"/>
      <c r="AI486" s="2"/>
      <c r="AJ486" s="2"/>
      <c r="AK486" s="2"/>
      <c r="AL486" s="2"/>
      <c r="AM486" s="2"/>
      <c r="AN486" s="9"/>
      <c r="AO486" s="9"/>
      <c r="AP486" s="9"/>
      <c r="AQ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224"/>
      <c r="X487" s="224"/>
      <c r="Y487" s="868"/>
      <c r="Z487" s="865"/>
      <c r="AA487" s="2"/>
      <c r="AB487" s="2"/>
      <c r="AC487" s="2"/>
      <c r="AD487" s="2"/>
      <c r="AE487" s="2"/>
      <c r="AF487" s="2"/>
      <c r="AG487" s="2"/>
      <c r="AH487" s="2"/>
      <c r="AI487" s="2"/>
      <c r="AJ487" s="2"/>
      <c r="AK487" s="2"/>
      <c r="AL487" s="2"/>
      <c r="AM487" s="2"/>
      <c r="AN487" s="9"/>
      <c r="AO487" s="9"/>
      <c r="AP487" s="9"/>
      <c r="AQ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224"/>
      <c r="X488" s="224"/>
      <c r="Y488" s="868"/>
      <c r="Z488" s="865"/>
      <c r="AA488" s="2"/>
      <c r="AB488" s="2"/>
      <c r="AC488" s="2"/>
      <c r="AD488" s="2"/>
      <c r="AE488" s="2"/>
      <c r="AF488" s="2"/>
      <c r="AG488" s="2"/>
      <c r="AH488" s="2"/>
      <c r="AI488" s="2"/>
      <c r="AJ488" s="2"/>
      <c r="AK488" s="2"/>
      <c r="AL488" s="2"/>
      <c r="AM488" s="2"/>
      <c r="AN488" s="9"/>
      <c r="AO488" s="9"/>
      <c r="AP488" s="9"/>
      <c r="AQ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224"/>
      <c r="X489" s="224"/>
      <c r="Y489" s="868"/>
      <c r="Z489" s="865"/>
      <c r="AA489" s="2"/>
      <c r="AB489" s="2"/>
      <c r="AC489" s="2"/>
      <c r="AD489" s="2"/>
      <c r="AE489" s="2"/>
      <c r="AF489" s="2"/>
      <c r="AG489" s="2"/>
      <c r="AH489" s="2"/>
      <c r="AI489" s="2"/>
      <c r="AJ489" s="2"/>
      <c r="AK489" s="2"/>
      <c r="AL489" s="2"/>
      <c r="AM489" s="2"/>
      <c r="AN489" s="9"/>
      <c r="AO489" s="9"/>
      <c r="AP489" s="9"/>
      <c r="AQ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224"/>
      <c r="X490" s="224"/>
      <c r="Y490" s="868"/>
      <c r="Z490" s="865"/>
      <c r="AA490" s="2"/>
      <c r="AB490" s="2"/>
      <c r="AC490" s="2"/>
      <c r="AD490" s="2"/>
      <c r="AE490" s="2"/>
      <c r="AF490" s="2"/>
      <c r="AG490" s="2"/>
      <c r="AH490" s="2"/>
      <c r="AI490" s="2"/>
      <c r="AJ490" s="2"/>
      <c r="AK490" s="2"/>
      <c r="AL490" s="2"/>
      <c r="AM490" s="2"/>
      <c r="AN490" s="9"/>
      <c r="AO490" s="9"/>
      <c r="AP490" s="9"/>
      <c r="AQ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224"/>
      <c r="X491" s="224"/>
      <c r="Y491" s="868"/>
      <c r="Z491" s="865"/>
      <c r="AA491" s="2"/>
      <c r="AB491" s="2"/>
      <c r="AC491" s="2"/>
      <c r="AD491" s="2"/>
      <c r="AE491" s="2"/>
      <c r="AF491" s="2"/>
      <c r="AG491" s="2"/>
      <c r="AH491" s="2"/>
      <c r="AI491" s="2"/>
      <c r="AJ491" s="2"/>
      <c r="AK491" s="2"/>
      <c r="AL491" s="2"/>
      <c r="AM491" s="2"/>
      <c r="AN491" s="9"/>
      <c r="AO491" s="9"/>
      <c r="AP491" s="9"/>
      <c r="AQ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224"/>
      <c r="X492" s="224"/>
      <c r="Y492" s="868"/>
      <c r="Z492" s="865"/>
      <c r="AA492" s="2"/>
      <c r="AB492" s="2"/>
      <c r="AC492" s="2"/>
      <c r="AD492" s="2"/>
      <c r="AE492" s="2"/>
      <c r="AF492" s="2"/>
      <c r="AG492" s="2"/>
      <c r="AH492" s="2"/>
      <c r="AI492" s="2"/>
      <c r="AJ492" s="2"/>
      <c r="AK492" s="2"/>
      <c r="AL492" s="2"/>
      <c r="AM492" s="2"/>
      <c r="AN492" s="9"/>
      <c r="AO492" s="9"/>
      <c r="AP492" s="9"/>
      <c r="AQ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224"/>
      <c r="X493" s="224"/>
      <c r="Y493" s="868"/>
      <c r="Z493" s="865"/>
      <c r="AA493" s="2"/>
      <c r="AB493" s="2"/>
      <c r="AC493" s="2"/>
      <c r="AD493" s="2"/>
      <c r="AE493" s="2"/>
      <c r="AF493" s="2"/>
      <c r="AG493" s="2"/>
      <c r="AH493" s="2"/>
      <c r="AI493" s="2"/>
      <c r="AJ493" s="2"/>
      <c r="AK493" s="2"/>
      <c r="AL493" s="2"/>
      <c r="AM493" s="2"/>
      <c r="AN493" s="9"/>
      <c r="AO493" s="9"/>
      <c r="AP493" s="9"/>
      <c r="AQ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224"/>
      <c r="X494" s="224"/>
      <c r="Y494" s="868"/>
      <c r="Z494" s="865"/>
      <c r="AA494" s="2"/>
      <c r="AB494" s="2"/>
      <c r="AC494" s="2"/>
      <c r="AD494" s="2"/>
      <c r="AE494" s="2"/>
      <c r="AF494" s="2"/>
      <c r="AG494" s="2"/>
      <c r="AH494" s="2"/>
      <c r="AI494" s="2"/>
      <c r="AJ494" s="2"/>
      <c r="AK494" s="2"/>
      <c r="AL494" s="2"/>
      <c r="AM494" s="2"/>
      <c r="AN494" s="9"/>
      <c r="AO494" s="9"/>
      <c r="AP494" s="9"/>
      <c r="AQ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224"/>
      <c r="X495" s="224"/>
      <c r="Y495" s="868"/>
      <c r="Z495" s="865"/>
      <c r="AA495" s="2"/>
      <c r="AB495" s="2"/>
      <c r="AC495" s="2"/>
      <c r="AD495" s="2"/>
      <c r="AE495" s="2"/>
      <c r="AF495" s="2"/>
      <c r="AG495" s="2"/>
      <c r="AH495" s="2"/>
      <c r="AI495" s="2"/>
      <c r="AJ495" s="2"/>
      <c r="AK495" s="2"/>
      <c r="AL495" s="2"/>
      <c r="AM495" s="2"/>
      <c r="AN495" s="9"/>
      <c r="AO495" s="9"/>
      <c r="AP495" s="9"/>
      <c r="AQ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224"/>
      <c r="X496" s="224"/>
      <c r="Y496" s="868"/>
      <c r="Z496" s="865"/>
      <c r="AA496" s="2"/>
      <c r="AB496" s="2"/>
      <c r="AC496" s="2"/>
      <c r="AD496" s="2"/>
      <c r="AE496" s="2"/>
      <c r="AF496" s="2"/>
      <c r="AG496" s="2"/>
      <c r="AH496" s="2"/>
      <c r="AI496" s="2"/>
      <c r="AJ496" s="2"/>
      <c r="AK496" s="2"/>
      <c r="AL496" s="2"/>
      <c r="AM496" s="2"/>
      <c r="AN496" s="9"/>
      <c r="AO496" s="9"/>
      <c r="AP496" s="9"/>
      <c r="AQ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224"/>
      <c r="X497" s="224"/>
      <c r="Y497" s="868"/>
      <c r="Z497" s="865"/>
      <c r="AA497" s="2"/>
      <c r="AB497" s="2"/>
      <c r="AC497" s="2"/>
      <c r="AD497" s="2"/>
      <c r="AE497" s="2"/>
      <c r="AF497" s="2"/>
      <c r="AG497" s="2"/>
      <c r="AH497" s="2"/>
      <c r="AI497" s="2"/>
      <c r="AJ497" s="2"/>
      <c r="AK497" s="2"/>
      <c r="AL497" s="2"/>
      <c r="AM497" s="2"/>
      <c r="AN497" s="9"/>
      <c r="AO497" s="9"/>
      <c r="AP497" s="9"/>
      <c r="AQ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224"/>
      <c r="X498" s="224"/>
      <c r="Y498" s="868"/>
      <c r="Z498" s="865"/>
      <c r="AA498" s="2"/>
      <c r="AB498" s="2"/>
      <c r="AC498" s="2"/>
      <c r="AD498" s="2"/>
      <c r="AE498" s="2"/>
      <c r="AF498" s="2"/>
      <c r="AG498" s="2"/>
      <c r="AH498" s="2"/>
      <c r="AI498" s="2"/>
      <c r="AJ498" s="2"/>
      <c r="AK498" s="2"/>
      <c r="AL498" s="2"/>
      <c r="AM498" s="2"/>
      <c r="AN498" s="9"/>
      <c r="AO498" s="9"/>
      <c r="AP498" s="9"/>
      <c r="AQ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224"/>
      <c r="X499" s="224"/>
      <c r="Y499" s="868"/>
      <c r="Z499" s="865"/>
      <c r="AA499" s="2"/>
      <c r="AB499" s="2"/>
      <c r="AC499" s="2"/>
      <c r="AD499" s="2"/>
      <c r="AE499" s="2"/>
      <c r="AF499" s="2"/>
      <c r="AG499" s="2"/>
      <c r="AH499" s="2"/>
      <c r="AI499" s="2"/>
      <c r="AJ499" s="2"/>
      <c r="AK499" s="2"/>
      <c r="AL499" s="2"/>
      <c r="AM499" s="2"/>
      <c r="AN499" s="9"/>
      <c r="AO499" s="9"/>
      <c r="AP499" s="9"/>
      <c r="AQ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224"/>
      <c r="X500" s="224"/>
      <c r="Y500" s="868"/>
      <c r="Z500" s="865"/>
      <c r="AA500" s="2"/>
      <c r="AB500" s="2"/>
      <c r="AC500" s="2"/>
      <c r="AD500" s="2"/>
      <c r="AE500" s="2"/>
      <c r="AF500" s="2"/>
      <c r="AG500" s="2"/>
      <c r="AH500" s="2"/>
      <c r="AI500" s="2"/>
      <c r="AJ500" s="2"/>
      <c r="AK500" s="2"/>
      <c r="AL500" s="2"/>
      <c r="AM500" s="2"/>
      <c r="AN500" s="9"/>
      <c r="AO500" s="9"/>
      <c r="AP500" s="9"/>
      <c r="AQ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224"/>
      <c r="X501" s="224"/>
      <c r="Y501" s="868"/>
      <c r="Z501" s="865"/>
      <c r="AA501" s="2"/>
      <c r="AB501" s="2"/>
      <c r="AC501" s="2"/>
      <c r="AD501" s="2"/>
      <c r="AE501" s="2"/>
      <c r="AF501" s="2"/>
      <c r="AG501" s="2"/>
      <c r="AH501" s="2"/>
      <c r="AI501" s="2"/>
      <c r="AJ501" s="2"/>
      <c r="AK501" s="2"/>
      <c r="AL501" s="2"/>
      <c r="AM501" s="2"/>
      <c r="AN501" s="9"/>
      <c r="AO501" s="9"/>
      <c r="AP501" s="9"/>
      <c r="AQ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224"/>
      <c r="X502" s="224"/>
      <c r="Y502" s="868"/>
      <c r="Z502" s="865"/>
      <c r="AA502" s="2"/>
      <c r="AB502" s="2"/>
      <c r="AC502" s="2"/>
      <c r="AD502" s="2"/>
      <c r="AE502" s="2"/>
      <c r="AF502" s="2"/>
      <c r="AG502" s="2"/>
      <c r="AH502" s="2"/>
      <c r="AI502" s="2"/>
      <c r="AJ502" s="2"/>
      <c r="AK502" s="2"/>
      <c r="AL502" s="2"/>
      <c r="AM502" s="2"/>
      <c r="AN502" s="9"/>
      <c r="AO502" s="9"/>
      <c r="AP502" s="9"/>
      <c r="AQ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224"/>
      <c r="X503" s="224"/>
      <c r="Y503" s="868"/>
      <c r="Z503" s="865"/>
      <c r="AA503" s="2"/>
      <c r="AB503" s="2"/>
      <c r="AC503" s="2"/>
      <c r="AD503" s="2"/>
      <c r="AE503" s="2"/>
      <c r="AF503" s="2"/>
      <c r="AG503" s="2"/>
      <c r="AH503" s="2"/>
      <c r="AI503" s="2"/>
      <c r="AJ503" s="2"/>
      <c r="AK503" s="2"/>
      <c r="AL503" s="2"/>
      <c r="AM503" s="2"/>
      <c r="AN503" s="9"/>
      <c r="AO503" s="9"/>
      <c r="AP503" s="9"/>
      <c r="AQ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224"/>
      <c r="X504" s="224"/>
      <c r="Y504" s="868"/>
      <c r="Z504" s="865"/>
      <c r="AA504" s="2"/>
      <c r="AB504" s="2"/>
      <c r="AC504" s="2"/>
      <c r="AD504" s="2"/>
      <c r="AE504" s="2"/>
      <c r="AF504" s="2"/>
      <c r="AG504" s="2"/>
      <c r="AH504" s="2"/>
      <c r="AI504" s="2"/>
      <c r="AJ504" s="2"/>
      <c r="AK504" s="2"/>
      <c r="AL504" s="2"/>
      <c r="AM504" s="2"/>
      <c r="AN504" s="9"/>
      <c r="AO504" s="9"/>
      <c r="AP504" s="9"/>
      <c r="AQ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224"/>
      <c r="X505" s="224"/>
      <c r="Y505" s="868"/>
      <c r="Z505" s="865"/>
      <c r="AA505" s="2"/>
      <c r="AB505" s="2"/>
      <c r="AC505" s="2"/>
      <c r="AD505" s="2"/>
      <c r="AE505" s="2"/>
      <c r="AF505" s="2"/>
      <c r="AG505" s="2"/>
      <c r="AH505" s="2"/>
      <c r="AI505" s="2"/>
      <c r="AJ505" s="2"/>
      <c r="AK505" s="2"/>
      <c r="AL505" s="2"/>
      <c r="AM505" s="2"/>
      <c r="AN505" s="9"/>
      <c r="AO505" s="9"/>
      <c r="AP505" s="9"/>
      <c r="AQ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224"/>
      <c r="X506" s="224"/>
      <c r="Y506" s="868"/>
      <c r="Z506" s="865"/>
      <c r="AA506" s="2"/>
      <c r="AB506" s="2"/>
      <c r="AC506" s="2"/>
      <c r="AD506" s="2"/>
      <c r="AE506" s="2"/>
      <c r="AF506" s="2"/>
      <c r="AG506" s="2"/>
      <c r="AH506" s="2"/>
      <c r="AI506" s="2"/>
      <c r="AJ506" s="2"/>
      <c r="AK506" s="2"/>
      <c r="AL506" s="2"/>
      <c r="AM506" s="2"/>
      <c r="AN506" s="9"/>
      <c r="AO506" s="9"/>
      <c r="AP506" s="9"/>
      <c r="AQ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224"/>
      <c r="X507" s="224"/>
      <c r="Y507" s="868"/>
      <c r="Z507" s="865"/>
      <c r="AA507" s="2"/>
      <c r="AB507" s="2"/>
      <c r="AC507" s="2"/>
      <c r="AD507" s="2"/>
      <c r="AE507" s="2"/>
      <c r="AF507" s="2"/>
      <c r="AG507" s="2"/>
      <c r="AH507" s="2"/>
      <c r="AI507" s="2"/>
      <c r="AJ507" s="2"/>
      <c r="AK507" s="2"/>
      <c r="AL507" s="2"/>
      <c r="AM507" s="2"/>
      <c r="AN507" s="9"/>
      <c r="AO507" s="9"/>
      <c r="AP507" s="9"/>
      <c r="AQ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224"/>
      <c r="X508" s="224"/>
      <c r="Y508" s="868"/>
      <c r="Z508" s="865"/>
      <c r="AA508" s="2"/>
      <c r="AB508" s="2"/>
      <c r="AC508" s="2"/>
      <c r="AD508" s="2"/>
      <c r="AE508" s="2"/>
      <c r="AF508" s="2"/>
      <c r="AG508" s="2"/>
      <c r="AH508" s="2"/>
      <c r="AI508" s="2"/>
      <c r="AJ508" s="2"/>
      <c r="AK508" s="2"/>
      <c r="AL508" s="2"/>
      <c r="AM508" s="2"/>
      <c r="AN508" s="9"/>
      <c r="AO508" s="9"/>
      <c r="AP508" s="9"/>
      <c r="AQ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224"/>
      <c r="X509" s="224"/>
      <c r="Y509" s="868"/>
      <c r="Z509" s="865"/>
      <c r="AA509" s="2"/>
      <c r="AB509" s="2"/>
      <c r="AC509" s="2"/>
      <c r="AD509" s="2"/>
      <c r="AE509" s="2"/>
      <c r="AF509" s="2"/>
      <c r="AG509" s="2"/>
      <c r="AH509" s="2"/>
      <c r="AI509" s="2"/>
      <c r="AJ509" s="2"/>
      <c r="AK509" s="2"/>
      <c r="AL509" s="2"/>
      <c r="AM509" s="2"/>
      <c r="AN509" s="9"/>
      <c r="AO509" s="9"/>
      <c r="AP509" s="9"/>
      <c r="AQ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224"/>
      <c r="X510" s="224"/>
      <c r="Y510" s="868"/>
      <c r="Z510" s="865"/>
      <c r="AA510" s="2"/>
      <c r="AB510" s="2"/>
      <c r="AC510" s="2"/>
      <c r="AD510" s="2"/>
      <c r="AE510" s="2"/>
      <c r="AF510" s="2"/>
      <c r="AG510" s="2"/>
      <c r="AH510" s="2"/>
      <c r="AI510" s="2"/>
      <c r="AJ510" s="2"/>
      <c r="AK510" s="2"/>
      <c r="AL510" s="2"/>
      <c r="AM510" s="2"/>
      <c r="AN510" s="9"/>
      <c r="AO510" s="9"/>
      <c r="AP510" s="9"/>
      <c r="AQ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224"/>
      <c r="X511" s="224"/>
      <c r="Y511" s="868"/>
      <c r="Z511" s="865"/>
      <c r="AA511" s="2"/>
      <c r="AB511" s="2"/>
      <c r="AC511" s="2"/>
      <c r="AD511" s="2"/>
      <c r="AE511" s="2"/>
      <c r="AF511" s="2"/>
      <c r="AG511" s="2"/>
      <c r="AH511" s="2"/>
      <c r="AI511" s="2"/>
      <c r="AJ511" s="2"/>
      <c r="AK511" s="2"/>
      <c r="AL511" s="2"/>
      <c r="AM511" s="2"/>
      <c r="AN511" s="9"/>
      <c r="AO511" s="9"/>
      <c r="AP511" s="9"/>
      <c r="AQ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224"/>
      <c r="X512" s="224"/>
      <c r="Y512" s="868"/>
      <c r="Z512" s="865"/>
      <c r="AA512" s="2"/>
      <c r="AB512" s="2"/>
      <c r="AC512" s="2"/>
      <c r="AD512" s="2"/>
      <c r="AE512" s="2"/>
      <c r="AF512" s="2"/>
      <c r="AG512" s="2"/>
      <c r="AH512" s="2"/>
      <c r="AI512" s="2"/>
      <c r="AJ512" s="2"/>
      <c r="AK512" s="2"/>
      <c r="AL512" s="2"/>
      <c r="AM512" s="2"/>
      <c r="AN512" s="9"/>
      <c r="AO512" s="9"/>
      <c r="AP512" s="9"/>
      <c r="AQ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224"/>
      <c r="X513" s="224"/>
      <c r="Y513" s="868"/>
      <c r="Z513" s="865"/>
      <c r="AA513" s="2"/>
      <c r="AB513" s="2"/>
      <c r="AC513" s="2"/>
      <c r="AD513" s="2"/>
      <c r="AE513" s="2"/>
      <c r="AF513" s="2"/>
      <c r="AG513" s="2"/>
      <c r="AH513" s="2"/>
      <c r="AI513" s="2"/>
      <c r="AJ513" s="2"/>
      <c r="AK513" s="2"/>
      <c r="AL513" s="2"/>
      <c r="AM513" s="2"/>
      <c r="AN513" s="9"/>
      <c r="AO513" s="9"/>
      <c r="AP513" s="9"/>
      <c r="AQ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224"/>
      <c r="X514" s="224"/>
      <c r="Y514" s="868"/>
      <c r="Z514" s="865"/>
      <c r="AA514" s="2"/>
      <c r="AB514" s="2"/>
      <c r="AC514" s="2"/>
      <c r="AD514" s="2"/>
      <c r="AE514" s="2"/>
      <c r="AF514" s="2"/>
      <c r="AG514" s="2"/>
      <c r="AH514" s="2"/>
      <c r="AI514" s="2"/>
      <c r="AJ514" s="2"/>
      <c r="AK514" s="2"/>
      <c r="AL514" s="2"/>
      <c r="AM514" s="2"/>
      <c r="AN514" s="9"/>
      <c r="AO514" s="9"/>
      <c r="AP514" s="9"/>
      <c r="AQ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224"/>
      <c r="X515" s="224"/>
      <c r="Y515" s="868"/>
      <c r="Z515" s="865"/>
      <c r="AA515" s="2"/>
      <c r="AB515" s="2"/>
      <c r="AC515" s="2"/>
      <c r="AD515" s="2"/>
      <c r="AE515" s="2"/>
      <c r="AF515" s="2"/>
      <c r="AG515" s="2"/>
      <c r="AH515" s="2"/>
      <c r="AI515" s="2"/>
      <c r="AJ515" s="2"/>
      <c r="AK515" s="2"/>
      <c r="AL515" s="2"/>
      <c r="AM515" s="2"/>
      <c r="AN515" s="9"/>
      <c r="AO515" s="9"/>
      <c r="AP515" s="9"/>
      <c r="AQ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224"/>
      <c r="X516" s="224"/>
      <c r="Y516" s="868"/>
      <c r="Z516" s="865"/>
      <c r="AA516" s="2"/>
      <c r="AB516" s="2"/>
      <c r="AC516" s="2"/>
      <c r="AD516" s="2"/>
      <c r="AE516" s="2"/>
      <c r="AF516" s="2"/>
      <c r="AG516" s="2"/>
      <c r="AH516" s="2"/>
      <c r="AI516" s="2"/>
      <c r="AJ516" s="2"/>
      <c r="AK516" s="2"/>
      <c r="AL516" s="2"/>
      <c r="AM516" s="2"/>
      <c r="AN516" s="9"/>
      <c r="AO516" s="9"/>
      <c r="AP516" s="9"/>
      <c r="AQ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224"/>
      <c r="X517" s="224"/>
      <c r="Y517" s="868"/>
      <c r="Z517" s="865"/>
      <c r="AA517" s="2"/>
      <c r="AB517" s="2"/>
      <c r="AC517" s="2"/>
      <c r="AD517" s="2"/>
      <c r="AE517" s="2"/>
      <c r="AF517" s="2"/>
      <c r="AG517" s="2"/>
      <c r="AH517" s="2"/>
      <c r="AI517" s="2"/>
      <c r="AJ517" s="2"/>
      <c r="AK517" s="2"/>
      <c r="AL517" s="2"/>
      <c r="AM517" s="2"/>
      <c r="AN517" s="9"/>
      <c r="AO517" s="9"/>
      <c r="AP517" s="9"/>
      <c r="AQ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224"/>
      <c r="X518" s="224"/>
      <c r="Y518" s="868"/>
      <c r="Z518" s="865"/>
      <c r="AA518" s="2"/>
      <c r="AB518" s="2"/>
      <c r="AC518" s="2"/>
      <c r="AD518" s="2"/>
      <c r="AE518" s="2"/>
      <c r="AF518" s="2"/>
      <c r="AG518" s="2"/>
      <c r="AH518" s="2"/>
      <c r="AI518" s="2"/>
      <c r="AJ518" s="2"/>
      <c r="AK518" s="2"/>
      <c r="AL518" s="2"/>
      <c r="AM518" s="2"/>
      <c r="AN518" s="9"/>
      <c r="AO518" s="9"/>
      <c r="AP518" s="9"/>
      <c r="AQ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224"/>
      <c r="X519" s="224"/>
      <c r="Y519" s="868"/>
      <c r="Z519" s="865"/>
      <c r="AA519" s="2"/>
      <c r="AB519" s="2"/>
      <c r="AC519" s="2"/>
      <c r="AD519" s="2"/>
      <c r="AE519" s="2"/>
      <c r="AF519" s="2"/>
      <c r="AG519" s="2"/>
      <c r="AH519" s="2"/>
      <c r="AI519" s="2"/>
      <c r="AJ519" s="2"/>
      <c r="AK519" s="2"/>
      <c r="AL519" s="2"/>
      <c r="AM519" s="2"/>
      <c r="AN519" s="9"/>
      <c r="AO519" s="9"/>
      <c r="AP519" s="9"/>
      <c r="AQ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224"/>
      <c r="X520" s="224"/>
      <c r="Y520" s="868"/>
      <c r="Z520" s="865"/>
      <c r="AA520" s="2"/>
      <c r="AB520" s="2"/>
      <c r="AC520" s="2"/>
      <c r="AD520" s="2"/>
      <c r="AE520" s="2"/>
      <c r="AF520" s="2"/>
      <c r="AG520" s="2"/>
      <c r="AH520" s="2"/>
      <c r="AI520" s="2"/>
      <c r="AJ520" s="2"/>
      <c r="AK520" s="2"/>
      <c r="AL520" s="2"/>
      <c r="AM520" s="2"/>
      <c r="AN520" s="9"/>
      <c r="AO520" s="9"/>
      <c r="AP520" s="9"/>
      <c r="AQ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224"/>
      <c r="X521" s="224"/>
      <c r="Y521" s="868"/>
      <c r="Z521" s="865"/>
      <c r="AA521" s="2"/>
      <c r="AB521" s="2"/>
      <c r="AC521" s="2"/>
      <c r="AD521" s="2"/>
      <c r="AE521" s="2"/>
      <c r="AF521" s="2"/>
      <c r="AG521" s="2"/>
      <c r="AH521" s="2"/>
      <c r="AI521" s="2"/>
      <c r="AJ521" s="2"/>
      <c r="AK521" s="2"/>
      <c r="AL521" s="2"/>
      <c r="AM521" s="2"/>
      <c r="AN521" s="9"/>
      <c r="AO521" s="9"/>
      <c r="AP521" s="9"/>
      <c r="AQ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224"/>
      <c r="X522" s="224"/>
      <c r="Y522" s="868"/>
      <c r="Z522" s="865"/>
      <c r="AA522" s="2"/>
      <c r="AB522" s="2"/>
      <c r="AC522" s="2"/>
      <c r="AD522" s="2"/>
      <c r="AE522" s="2"/>
      <c r="AF522" s="2"/>
      <c r="AG522" s="2"/>
      <c r="AH522" s="2"/>
      <c r="AI522" s="2"/>
      <c r="AJ522" s="2"/>
      <c r="AK522" s="2"/>
      <c r="AL522" s="2"/>
      <c r="AM522" s="2"/>
      <c r="AN522" s="9"/>
      <c r="AO522" s="9"/>
      <c r="AP522" s="9"/>
      <c r="AQ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224"/>
      <c r="X523" s="224"/>
      <c r="Y523" s="868"/>
      <c r="Z523" s="865"/>
      <c r="AA523" s="2"/>
      <c r="AB523" s="2"/>
      <c r="AC523" s="2"/>
      <c r="AD523" s="2"/>
      <c r="AE523" s="2"/>
      <c r="AF523" s="2"/>
      <c r="AG523" s="2"/>
      <c r="AH523" s="2"/>
      <c r="AI523" s="2"/>
      <c r="AJ523" s="2"/>
      <c r="AK523" s="2"/>
      <c r="AL523" s="2"/>
      <c r="AM523" s="2"/>
      <c r="AN523" s="9"/>
      <c r="AO523" s="9"/>
      <c r="AP523" s="9"/>
      <c r="AQ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224"/>
      <c r="X524" s="224"/>
      <c r="Y524" s="868"/>
      <c r="Z524" s="865"/>
      <c r="AA524" s="2"/>
      <c r="AB524" s="2"/>
      <c r="AC524" s="2"/>
      <c r="AD524" s="2"/>
      <c r="AE524" s="2"/>
      <c r="AF524" s="2"/>
      <c r="AG524" s="2"/>
      <c r="AH524" s="2"/>
      <c r="AI524" s="2"/>
      <c r="AJ524" s="2"/>
      <c r="AK524" s="2"/>
      <c r="AL524" s="2"/>
      <c r="AM524" s="2"/>
      <c r="AN524" s="9"/>
      <c r="AO524" s="9"/>
      <c r="AP524" s="9"/>
      <c r="AQ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224"/>
      <c r="X525" s="224"/>
      <c r="Y525" s="868"/>
      <c r="Z525" s="865"/>
      <c r="AA525" s="2"/>
      <c r="AB525" s="2"/>
      <c r="AC525" s="2"/>
      <c r="AD525" s="2"/>
      <c r="AE525" s="2"/>
      <c r="AF525" s="2"/>
      <c r="AG525" s="2"/>
      <c r="AH525" s="2"/>
      <c r="AI525" s="2"/>
      <c r="AJ525" s="2"/>
      <c r="AK525" s="2"/>
      <c r="AL525" s="2"/>
      <c r="AM525" s="2"/>
      <c r="AN525" s="9"/>
      <c r="AO525" s="9"/>
      <c r="AP525" s="9"/>
      <c r="AQ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224"/>
      <c r="X526" s="224"/>
      <c r="Y526" s="868"/>
      <c r="Z526" s="865"/>
      <c r="AA526" s="2"/>
      <c r="AB526" s="2"/>
      <c r="AC526" s="2"/>
      <c r="AD526" s="2"/>
      <c r="AE526" s="2"/>
      <c r="AF526" s="2"/>
      <c r="AG526" s="2"/>
      <c r="AH526" s="2"/>
      <c r="AI526" s="2"/>
      <c r="AJ526" s="2"/>
      <c r="AK526" s="2"/>
      <c r="AL526" s="2"/>
      <c r="AM526" s="2"/>
      <c r="AN526" s="9"/>
      <c r="AO526" s="9"/>
      <c r="AP526" s="9"/>
      <c r="AQ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224"/>
      <c r="X527" s="224"/>
      <c r="Y527" s="868"/>
      <c r="Z527" s="865"/>
      <c r="AA527" s="2"/>
      <c r="AB527" s="2"/>
      <c r="AC527" s="2"/>
      <c r="AD527" s="2"/>
      <c r="AE527" s="2"/>
      <c r="AF527" s="2"/>
      <c r="AG527" s="2"/>
      <c r="AH527" s="2"/>
      <c r="AI527" s="2"/>
      <c r="AJ527" s="2"/>
      <c r="AK527" s="2"/>
      <c r="AL527" s="2"/>
      <c r="AM527" s="2"/>
      <c r="AN527" s="9"/>
      <c r="AO527" s="9"/>
      <c r="AP527" s="9"/>
      <c r="AQ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224"/>
      <c r="X528" s="224"/>
      <c r="Y528" s="868"/>
      <c r="Z528" s="865"/>
      <c r="AA528" s="2"/>
      <c r="AB528" s="2"/>
      <c r="AC528" s="2"/>
      <c r="AD528" s="2"/>
      <c r="AE528" s="2"/>
      <c r="AF528" s="2"/>
      <c r="AG528" s="2"/>
      <c r="AH528" s="2"/>
      <c r="AI528" s="2"/>
      <c r="AJ528" s="2"/>
      <c r="AK528" s="2"/>
      <c r="AL528" s="2"/>
      <c r="AM528" s="2"/>
      <c r="AN528" s="9"/>
      <c r="AO528" s="9"/>
      <c r="AP528" s="9"/>
      <c r="AQ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224"/>
      <c r="X529" s="224"/>
      <c r="Y529" s="868"/>
      <c r="Z529" s="865"/>
      <c r="AA529" s="2"/>
      <c r="AB529" s="2"/>
      <c r="AC529" s="2"/>
      <c r="AD529" s="2"/>
      <c r="AE529" s="2"/>
      <c r="AF529" s="2"/>
      <c r="AG529" s="2"/>
      <c r="AH529" s="2"/>
      <c r="AI529" s="2"/>
      <c r="AJ529" s="2"/>
      <c r="AK529" s="2"/>
      <c r="AL529" s="2"/>
      <c r="AM529" s="2"/>
      <c r="AN529" s="9"/>
      <c r="AO529" s="9"/>
      <c r="AP529" s="9"/>
      <c r="AQ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224"/>
      <c r="X530" s="224"/>
      <c r="Y530" s="868"/>
      <c r="Z530" s="865"/>
      <c r="AA530" s="2"/>
      <c r="AB530" s="2"/>
      <c r="AC530" s="2"/>
      <c r="AD530" s="2"/>
      <c r="AE530" s="2"/>
      <c r="AF530" s="2"/>
      <c r="AG530" s="2"/>
      <c r="AH530" s="2"/>
      <c r="AI530" s="2"/>
      <c r="AJ530" s="2"/>
      <c r="AK530" s="2"/>
      <c r="AL530" s="2"/>
      <c r="AM530" s="2"/>
      <c r="AN530" s="9"/>
      <c r="AO530" s="9"/>
      <c r="AP530" s="9"/>
      <c r="AQ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224"/>
      <c r="X531" s="224"/>
      <c r="Y531" s="868"/>
      <c r="Z531" s="865"/>
      <c r="AA531" s="2"/>
      <c r="AB531" s="2"/>
      <c r="AC531" s="2"/>
      <c r="AD531" s="2"/>
      <c r="AE531" s="2"/>
      <c r="AF531" s="2"/>
      <c r="AG531" s="2"/>
      <c r="AH531" s="2"/>
      <c r="AI531" s="2"/>
      <c r="AJ531" s="2"/>
      <c r="AK531" s="2"/>
      <c r="AL531" s="2"/>
      <c r="AM531" s="2"/>
      <c r="AN531" s="9"/>
      <c r="AO531" s="9"/>
      <c r="AP531" s="9"/>
      <c r="AQ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224"/>
      <c r="X532" s="224"/>
      <c r="Y532" s="868"/>
      <c r="Z532" s="865"/>
      <c r="AA532" s="2"/>
      <c r="AB532" s="2"/>
      <c r="AC532" s="2"/>
      <c r="AD532" s="2"/>
      <c r="AE532" s="2"/>
      <c r="AF532" s="2"/>
      <c r="AG532" s="2"/>
      <c r="AH532" s="2"/>
      <c r="AI532" s="2"/>
      <c r="AJ532" s="2"/>
      <c r="AK532" s="2"/>
      <c r="AL532" s="2"/>
      <c r="AM532" s="2"/>
      <c r="AN532" s="9"/>
      <c r="AO532" s="9"/>
      <c r="AP532" s="9"/>
      <c r="AQ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224"/>
      <c r="X533" s="224"/>
      <c r="Y533" s="868"/>
      <c r="Z533" s="865"/>
      <c r="AA533" s="2"/>
      <c r="AB533" s="2"/>
      <c r="AC533" s="2"/>
      <c r="AD533" s="2"/>
      <c r="AE533" s="2"/>
      <c r="AF533" s="2"/>
      <c r="AG533" s="2"/>
      <c r="AH533" s="2"/>
      <c r="AI533" s="2"/>
      <c r="AJ533" s="2"/>
      <c r="AK533" s="2"/>
      <c r="AL533" s="2"/>
      <c r="AM533" s="2"/>
      <c r="AN533" s="9"/>
      <c r="AO533" s="9"/>
      <c r="AP533" s="9"/>
      <c r="AQ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224"/>
      <c r="X534" s="224"/>
      <c r="Y534" s="868"/>
      <c r="Z534" s="865"/>
      <c r="AA534" s="2"/>
      <c r="AB534" s="2"/>
      <c r="AC534" s="2"/>
      <c r="AD534" s="2"/>
      <c r="AE534" s="2"/>
      <c r="AF534" s="2"/>
      <c r="AG534" s="2"/>
      <c r="AH534" s="2"/>
      <c r="AI534" s="2"/>
      <c r="AJ534" s="2"/>
      <c r="AK534" s="2"/>
      <c r="AL534" s="2"/>
      <c r="AM534" s="2"/>
      <c r="AN534" s="9"/>
      <c r="AO534" s="9"/>
      <c r="AP534" s="9"/>
      <c r="AQ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224"/>
      <c r="X535" s="224"/>
      <c r="Y535" s="868"/>
      <c r="Z535" s="865"/>
      <c r="AA535" s="2"/>
      <c r="AB535" s="2"/>
      <c r="AC535" s="2"/>
      <c r="AD535" s="2"/>
      <c r="AE535" s="2"/>
      <c r="AF535" s="2"/>
      <c r="AG535" s="2"/>
      <c r="AH535" s="2"/>
      <c r="AI535" s="2"/>
      <c r="AJ535" s="2"/>
      <c r="AK535" s="2"/>
      <c r="AL535" s="2"/>
      <c r="AM535" s="2"/>
      <c r="AN535" s="9"/>
      <c r="AO535" s="9"/>
      <c r="AP535" s="9"/>
      <c r="AQ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224"/>
      <c r="X536" s="224"/>
      <c r="Y536" s="868"/>
      <c r="Z536" s="865"/>
      <c r="AA536" s="2"/>
      <c r="AB536" s="2"/>
      <c r="AC536" s="2"/>
      <c r="AD536" s="2"/>
      <c r="AE536" s="2"/>
      <c r="AF536" s="2"/>
      <c r="AG536" s="2"/>
      <c r="AH536" s="2"/>
      <c r="AI536" s="2"/>
      <c r="AJ536" s="2"/>
      <c r="AK536" s="2"/>
      <c r="AL536" s="2"/>
      <c r="AM536" s="2"/>
      <c r="AN536" s="9"/>
      <c r="AO536" s="9"/>
      <c r="AP536" s="9"/>
      <c r="AQ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224"/>
      <c r="X537" s="224"/>
      <c r="Y537" s="868"/>
      <c r="Z537" s="865"/>
      <c r="AA537" s="2"/>
      <c r="AB537" s="2"/>
      <c r="AC537" s="2"/>
      <c r="AD537" s="2"/>
      <c r="AE537" s="2"/>
      <c r="AF537" s="2"/>
      <c r="AG537" s="2"/>
      <c r="AH537" s="2"/>
      <c r="AI537" s="2"/>
      <c r="AJ537" s="2"/>
      <c r="AK537" s="2"/>
      <c r="AL537" s="2"/>
      <c r="AM537" s="2"/>
      <c r="AN537" s="9"/>
      <c r="AO537" s="9"/>
      <c r="AP537" s="9"/>
      <c r="AQ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224"/>
      <c r="X538" s="224"/>
      <c r="Y538" s="868"/>
      <c r="Z538" s="865"/>
      <c r="AA538" s="2"/>
      <c r="AB538" s="2"/>
      <c r="AC538" s="2"/>
      <c r="AD538" s="2"/>
      <c r="AE538" s="2"/>
      <c r="AF538" s="2"/>
      <c r="AG538" s="2"/>
      <c r="AH538" s="2"/>
      <c r="AI538" s="2"/>
      <c r="AJ538" s="2"/>
      <c r="AK538" s="2"/>
      <c r="AL538" s="2"/>
      <c r="AM538" s="2"/>
      <c r="AN538" s="9"/>
      <c r="AO538" s="9"/>
      <c r="AP538" s="9"/>
      <c r="AQ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224"/>
      <c r="X539" s="224"/>
      <c r="Y539" s="868"/>
      <c r="Z539" s="865"/>
      <c r="AA539" s="2"/>
      <c r="AB539" s="2"/>
      <c r="AC539" s="2"/>
      <c r="AD539" s="2"/>
      <c r="AE539" s="2"/>
      <c r="AF539" s="2"/>
      <c r="AG539" s="2"/>
      <c r="AH539" s="2"/>
      <c r="AI539" s="2"/>
      <c r="AJ539" s="2"/>
      <c r="AK539" s="2"/>
      <c r="AL539" s="2"/>
      <c r="AM539" s="2"/>
      <c r="AN539" s="9"/>
      <c r="AO539" s="9"/>
      <c r="AP539" s="9"/>
      <c r="AQ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224"/>
      <c r="X540" s="224"/>
      <c r="Y540" s="868"/>
      <c r="Z540" s="865"/>
      <c r="AA540" s="2"/>
      <c r="AB540" s="2"/>
      <c r="AC540" s="2"/>
      <c r="AD540" s="2"/>
      <c r="AE540" s="2"/>
      <c r="AF540" s="2"/>
      <c r="AG540" s="2"/>
      <c r="AH540" s="2"/>
      <c r="AI540" s="2"/>
      <c r="AJ540" s="2"/>
      <c r="AK540" s="2"/>
      <c r="AL540" s="2"/>
      <c r="AM540" s="2"/>
      <c r="AN540" s="9"/>
      <c r="AO540" s="9"/>
      <c r="AP540" s="9"/>
      <c r="AQ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224"/>
      <c r="X541" s="224"/>
      <c r="Y541" s="868"/>
      <c r="Z541" s="865"/>
      <c r="AA541" s="2"/>
      <c r="AB541" s="2"/>
      <c r="AC541" s="2"/>
      <c r="AD541" s="2"/>
      <c r="AE541" s="2"/>
      <c r="AF541" s="2"/>
      <c r="AG541" s="2"/>
      <c r="AH541" s="2"/>
      <c r="AI541" s="2"/>
      <c r="AJ541" s="2"/>
      <c r="AK541" s="2"/>
      <c r="AL541" s="2"/>
      <c r="AM541" s="2"/>
      <c r="AN541" s="9"/>
      <c r="AO541" s="9"/>
      <c r="AP541" s="9"/>
      <c r="AQ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224"/>
      <c r="X542" s="224"/>
      <c r="Y542" s="868"/>
      <c r="Z542" s="865"/>
      <c r="AA542" s="2"/>
      <c r="AB542" s="2"/>
      <c r="AC542" s="2"/>
      <c r="AD542" s="2"/>
      <c r="AE542" s="2"/>
      <c r="AF542" s="2"/>
      <c r="AG542" s="2"/>
      <c r="AH542" s="2"/>
      <c r="AI542" s="2"/>
      <c r="AJ542" s="2"/>
      <c r="AK542" s="2"/>
      <c r="AL542" s="2"/>
      <c r="AM542" s="2"/>
      <c r="AN542" s="9"/>
      <c r="AO542" s="9"/>
      <c r="AP542" s="9"/>
      <c r="AQ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224"/>
      <c r="X543" s="224"/>
      <c r="Y543" s="868"/>
      <c r="Z543" s="865"/>
      <c r="AA543" s="2"/>
      <c r="AB543" s="2"/>
      <c r="AC543" s="2"/>
      <c r="AD543" s="2"/>
      <c r="AE543" s="2"/>
      <c r="AF543" s="2"/>
      <c r="AG543" s="2"/>
      <c r="AH543" s="2"/>
      <c r="AI543" s="2"/>
      <c r="AJ543" s="2"/>
      <c r="AK543" s="2"/>
      <c r="AL543" s="2"/>
      <c r="AM543" s="2"/>
      <c r="AN543" s="9"/>
      <c r="AO543" s="9"/>
      <c r="AP543" s="9"/>
      <c r="AQ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224"/>
      <c r="X544" s="224"/>
      <c r="Y544" s="868"/>
      <c r="Z544" s="865"/>
      <c r="AA544" s="2"/>
      <c r="AB544" s="2"/>
      <c r="AC544" s="2"/>
      <c r="AD544" s="2"/>
      <c r="AE544" s="2"/>
      <c r="AF544" s="2"/>
      <c r="AG544" s="2"/>
      <c r="AH544" s="2"/>
      <c r="AI544" s="2"/>
      <c r="AJ544" s="2"/>
      <c r="AK544" s="2"/>
      <c r="AL544" s="2"/>
      <c r="AM544" s="2"/>
      <c r="AN544" s="9"/>
      <c r="AO544" s="9"/>
      <c r="AP544" s="9"/>
      <c r="AQ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224"/>
      <c r="X545" s="224"/>
      <c r="Y545" s="868"/>
      <c r="Z545" s="865"/>
      <c r="AA545" s="2"/>
      <c r="AB545" s="2"/>
      <c r="AC545" s="2"/>
      <c r="AD545" s="2"/>
      <c r="AE545" s="2"/>
      <c r="AF545" s="2"/>
      <c r="AG545" s="2"/>
      <c r="AH545" s="2"/>
      <c r="AI545" s="2"/>
      <c r="AJ545" s="2"/>
      <c r="AK545" s="2"/>
      <c r="AL545" s="2"/>
      <c r="AM545" s="2"/>
      <c r="AN545" s="9"/>
      <c r="AO545" s="9"/>
      <c r="AP545" s="9"/>
      <c r="AQ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224"/>
      <c r="X546" s="224"/>
      <c r="Y546" s="868"/>
      <c r="Z546" s="865"/>
      <c r="AA546" s="2"/>
      <c r="AB546" s="2"/>
      <c r="AC546" s="2"/>
      <c r="AD546" s="2"/>
      <c r="AE546" s="2"/>
      <c r="AF546" s="2"/>
      <c r="AG546" s="2"/>
      <c r="AH546" s="2"/>
      <c r="AI546" s="2"/>
      <c r="AJ546" s="2"/>
      <c r="AK546" s="2"/>
      <c r="AL546" s="2"/>
      <c r="AM546" s="2"/>
      <c r="AN546" s="9"/>
      <c r="AO546" s="9"/>
      <c r="AP546" s="9"/>
      <c r="AQ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224"/>
      <c r="X547" s="224"/>
      <c r="Y547" s="868"/>
      <c r="Z547" s="865"/>
      <c r="AA547" s="2"/>
      <c r="AB547" s="2"/>
      <c r="AC547" s="2"/>
      <c r="AD547" s="2"/>
      <c r="AE547" s="2"/>
      <c r="AF547" s="2"/>
      <c r="AG547" s="2"/>
      <c r="AH547" s="2"/>
      <c r="AI547" s="2"/>
      <c r="AJ547" s="2"/>
      <c r="AK547" s="2"/>
      <c r="AL547" s="2"/>
      <c r="AM547" s="2"/>
      <c r="AN547" s="9"/>
      <c r="AO547" s="9"/>
      <c r="AP547" s="9"/>
      <c r="AQ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224"/>
      <c r="X548" s="224"/>
      <c r="Y548" s="868"/>
      <c r="Z548" s="865"/>
      <c r="AA548" s="2"/>
      <c r="AB548" s="2"/>
      <c r="AC548" s="2"/>
      <c r="AD548" s="2"/>
      <c r="AE548" s="2"/>
      <c r="AF548" s="2"/>
      <c r="AG548" s="2"/>
      <c r="AH548" s="2"/>
      <c r="AI548" s="2"/>
      <c r="AJ548" s="2"/>
      <c r="AK548" s="2"/>
      <c r="AL548" s="2"/>
      <c r="AM548" s="2"/>
      <c r="AN548" s="9"/>
      <c r="AO548" s="9"/>
      <c r="AP548" s="9"/>
      <c r="AQ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224"/>
      <c r="X549" s="224"/>
      <c r="Y549" s="868"/>
      <c r="Z549" s="865"/>
      <c r="AA549" s="2"/>
      <c r="AB549" s="2"/>
      <c r="AC549" s="2"/>
      <c r="AD549" s="2"/>
      <c r="AE549" s="2"/>
      <c r="AF549" s="2"/>
      <c r="AG549" s="2"/>
      <c r="AH549" s="2"/>
      <c r="AI549" s="2"/>
      <c r="AJ549" s="2"/>
      <c r="AK549" s="2"/>
      <c r="AL549" s="2"/>
      <c r="AM549" s="2"/>
      <c r="AN549" s="9"/>
      <c r="AO549" s="9"/>
      <c r="AP549" s="9"/>
      <c r="AQ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224"/>
      <c r="X550" s="224"/>
      <c r="Y550" s="868"/>
      <c r="Z550" s="865"/>
      <c r="AA550" s="2"/>
      <c r="AB550" s="2"/>
      <c r="AC550" s="2"/>
      <c r="AD550" s="2"/>
      <c r="AE550" s="2"/>
      <c r="AF550" s="2"/>
      <c r="AG550" s="2"/>
      <c r="AH550" s="2"/>
      <c r="AI550" s="2"/>
      <c r="AJ550" s="2"/>
      <c r="AK550" s="2"/>
      <c r="AL550" s="2"/>
      <c r="AM550" s="2"/>
      <c r="AN550" s="9"/>
      <c r="AO550" s="9"/>
      <c r="AP550" s="9"/>
      <c r="AQ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224"/>
      <c r="X551" s="224"/>
      <c r="Y551" s="868"/>
      <c r="Z551" s="865"/>
      <c r="AA551" s="2"/>
      <c r="AB551" s="2"/>
      <c r="AC551" s="2"/>
      <c r="AD551" s="2"/>
      <c r="AE551" s="2"/>
      <c r="AF551" s="2"/>
      <c r="AG551" s="2"/>
      <c r="AH551" s="2"/>
      <c r="AI551" s="2"/>
      <c r="AJ551" s="2"/>
      <c r="AK551" s="2"/>
      <c r="AL551" s="2"/>
      <c r="AM551" s="2"/>
      <c r="AN551" s="9"/>
      <c r="AO551" s="9"/>
      <c r="AP551" s="9"/>
      <c r="AQ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224"/>
      <c r="X552" s="224"/>
      <c r="Y552" s="868"/>
      <c r="Z552" s="865"/>
      <c r="AA552" s="2"/>
      <c r="AB552" s="2"/>
      <c r="AC552" s="2"/>
      <c r="AD552" s="2"/>
      <c r="AE552" s="2"/>
      <c r="AF552" s="2"/>
      <c r="AG552" s="2"/>
      <c r="AH552" s="2"/>
      <c r="AI552" s="2"/>
      <c r="AJ552" s="2"/>
      <c r="AK552" s="2"/>
      <c r="AL552" s="2"/>
      <c r="AM552" s="2"/>
      <c r="AN552" s="9"/>
      <c r="AO552" s="9"/>
      <c r="AP552" s="9"/>
      <c r="AQ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224"/>
      <c r="X553" s="224"/>
      <c r="Y553" s="868"/>
      <c r="Z553" s="865"/>
      <c r="AA553" s="2"/>
      <c r="AB553" s="2"/>
      <c r="AC553" s="2"/>
      <c r="AD553" s="2"/>
      <c r="AE553" s="2"/>
      <c r="AF553" s="2"/>
      <c r="AG553" s="2"/>
      <c r="AH553" s="2"/>
      <c r="AI553" s="2"/>
      <c r="AJ553" s="2"/>
      <c r="AK553" s="2"/>
      <c r="AL553" s="2"/>
      <c r="AM553" s="2"/>
      <c r="AN553" s="9"/>
      <c r="AO553" s="9"/>
      <c r="AP553" s="9"/>
      <c r="AQ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224"/>
      <c r="X554" s="224"/>
      <c r="Y554" s="868"/>
      <c r="Z554" s="865"/>
      <c r="AA554" s="2"/>
      <c r="AB554" s="2"/>
      <c r="AC554" s="2"/>
      <c r="AD554" s="2"/>
      <c r="AE554" s="2"/>
      <c r="AF554" s="2"/>
      <c r="AG554" s="2"/>
      <c r="AH554" s="2"/>
      <c r="AI554" s="2"/>
      <c r="AJ554" s="2"/>
      <c r="AK554" s="2"/>
      <c r="AL554" s="2"/>
      <c r="AM554" s="2"/>
      <c r="AN554" s="9"/>
      <c r="AO554" s="9"/>
      <c r="AP554" s="9"/>
      <c r="AQ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224"/>
      <c r="X555" s="224"/>
      <c r="Y555" s="868"/>
      <c r="Z555" s="865"/>
      <c r="AA555" s="2"/>
      <c r="AB555" s="2"/>
      <c r="AC555" s="2"/>
      <c r="AD555" s="2"/>
      <c r="AE555" s="2"/>
      <c r="AF555" s="2"/>
      <c r="AG555" s="2"/>
      <c r="AH555" s="2"/>
      <c r="AI555" s="2"/>
      <c r="AJ555" s="2"/>
      <c r="AK555" s="2"/>
      <c r="AL555" s="2"/>
      <c r="AM555" s="2"/>
      <c r="AN555" s="9"/>
      <c r="AO555" s="9"/>
      <c r="AP555" s="9"/>
      <c r="AQ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224"/>
      <c r="X556" s="224"/>
      <c r="Y556" s="868"/>
      <c r="Z556" s="865"/>
      <c r="AA556" s="2"/>
      <c r="AB556" s="2"/>
      <c r="AC556" s="2"/>
      <c r="AD556" s="2"/>
      <c r="AE556" s="2"/>
      <c r="AF556" s="2"/>
      <c r="AG556" s="2"/>
      <c r="AH556" s="2"/>
      <c r="AI556" s="2"/>
      <c r="AJ556" s="2"/>
      <c r="AK556" s="2"/>
      <c r="AL556" s="2"/>
      <c r="AM556" s="2"/>
      <c r="AN556" s="9"/>
      <c r="AO556" s="9"/>
      <c r="AP556" s="9"/>
      <c r="AQ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224"/>
      <c r="X557" s="224"/>
      <c r="Y557" s="868"/>
      <c r="Z557" s="865"/>
      <c r="AA557" s="2"/>
      <c r="AB557" s="2"/>
      <c r="AC557" s="2"/>
      <c r="AD557" s="2"/>
      <c r="AE557" s="2"/>
      <c r="AF557" s="2"/>
      <c r="AG557" s="2"/>
      <c r="AH557" s="2"/>
      <c r="AI557" s="2"/>
      <c r="AJ557" s="2"/>
      <c r="AK557" s="2"/>
      <c r="AL557" s="2"/>
      <c r="AM557" s="2"/>
      <c r="AN557" s="9"/>
      <c r="AO557" s="9"/>
      <c r="AP557" s="9"/>
      <c r="AQ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224"/>
      <c r="X558" s="224"/>
      <c r="Y558" s="868"/>
      <c r="Z558" s="865"/>
      <c r="AA558" s="2"/>
      <c r="AB558" s="2"/>
      <c r="AC558" s="2"/>
      <c r="AD558" s="2"/>
      <c r="AE558" s="2"/>
      <c r="AF558" s="2"/>
      <c r="AG558" s="2"/>
      <c r="AH558" s="2"/>
      <c r="AI558" s="2"/>
      <c r="AJ558" s="2"/>
      <c r="AK558" s="2"/>
      <c r="AL558" s="2"/>
      <c r="AM558" s="2"/>
      <c r="AN558" s="9"/>
      <c r="AO558" s="9"/>
      <c r="AP558" s="9"/>
      <c r="AQ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224"/>
      <c r="X559" s="224"/>
      <c r="Y559" s="868"/>
      <c r="Z559" s="865"/>
      <c r="AA559" s="2"/>
      <c r="AB559" s="2"/>
      <c r="AC559" s="2"/>
      <c r="AD559" s="2"/>
      <c r="AE559" s="2"/>
      <c r="AF559" s="2"/>
      <c r="AG559" s="2"/>
      <c r="AH559" s="2"/>
      <c r="AI559" s="2"/>
      <c r="AJ559" s="2"/>
      <c r="AK559" s="2"/>
      <c r="AL559" s="2"/>
      <c r="AM559" s="2"/>
      <c r="AN559" s="9"/>
      <c r="AO559" s="9"/>
      <c r="AP559" s="9"/>
      <c r="AQ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224"/>
      <c r="X560" s="224"/>
      <c r="Y560" s="868"/>
      <c r="Z560" s="865"/>
      <c r="AA560" s="2"/>
      <c r="AB560" s="2"/>
      <c r="AC560" s="2"/>
      <c r="AD560" s="2"/>
      <c r="AE560" s="2"/>
      <c r="AF560" s="2"/>
      <c r="AG560" s="2"/>
      <c r="AH560" s="2"/>
      <c r="AI560" s="2"/>
      <c r="AJ560" s="2"/>
      <c r="AK560" s="2"/>
      <c r="AL560" s="2"/>
      <c r="AM560" s="2"/>
      <c r="AN560" s="9"/>
      <c r="AO560" s="9"/>
      <c r="AP560" s="9"/>
      <c r="AQ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224"/>
      <c r="X561" s="224"/>
      <c r="Y561" s="868"/>
      <c r="Z561" s="865"/>
      <c r="AA561" s="2"/>
      <c r="AB561" s="2"/>
      <c r="AC561" s="2"/>
      <c r="AD561" s="2"/>
      <c r="AE561" s="2"/>
      <c r="AF561" s="2"/>
      <c r="AG561" s="2"/>
      <c r="AH561" s="2"/>
      <c r="AI561" s="2"/>
      <c r="AJ561" s="2"/>
      <c r="AK561" s="2"/>
      <c r="AL561" s="2"/>
      <c r="AM561" s="2"/>
      <c r="AN561" s="9"/>
      <c r="AO561" s="9"/>
      <c r="AP561" s="9"/>
      <c r="AQ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224"/>
      <c r="X562" s="224"/>
      <c r="Y562" s="868"/>
      <c r="Z562" s="865"/>
      <c r="AA562" s="2"/>
      <c r="AB562" s="2"/>
      <c r="AC562" s="2"/>
      <c r="AD562" s="2"/>
      <c r="AE562" s="2"/>
      <c r="AF562" s="2"/>
      <c r="AG562" s="2"/>
      <c r="AH562" s="2"/>
      <c r="AI562" s="2"/>
      <c r="AJ562" s="2"/>
      <c r="AK562" s="2"/>
      <c r="AL562" s="2"/>
      <c r="AM562" s="2"/>
      <c r="AN562" s="9"/>
      <c r="AO562" s="9"/>
      <c r="AP562" s="9"/>
      <c r="AQ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224"/>
      <c r="X563" s="224"/>
      <c r="Y563" s="868"/>
      <c r="Z563" s="865"/>
      <c r="AA563" s="2"/>
      <c r="AB563" s="2"/>
      <c r="AC563" s="2"/>
      <c r="AD563" s="2"/>
      <c r="AE563" s="2"/>
      <c r="AF563" s="2"/>
      <c r="AG563" s="2"/>
      <c r="AH563" s="2"/>
      <c r="AI563" s="2"/>
      <c r="AJ563" s="2"/>
      <c r="AK563" s="2"/>
      <c r="AL563" s="2"/>
      <c r="AM563" s="2"/>
      <c r="AN563" s="9"/>
      <c r="AO563" s="9"/>
      <c r="AP563" s="9"/>
      <c r="AQ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224"/>
      <c r="X564" s="224"/>
      <c r="Y564" s="868"/>
      <c r="Z564" s="865"/>
      <c r="AA564" s="2"/>
      <c r="AB564" s="2"/>
      <c r="AC564" s="2"/>
      <c r="AD564" s="2"/>
      <c r="AE564" s="2"/>
      <c r="AF564" s="2"/>
      <c r="AG564" s="2"/>
      <c r="AH564" s="2"/>
      <c r="AI564" s="2"/>
      <c r="AJ564" s="2"/>
      <c r="AK564" s="2"/>
      <c r="AL564" s="2"/>
      <c r="AM564" s="2"/>
      <c r="AN564" s="9"/>
      <c r="AO564" s="9"/>
      <c r="AP564" s="9"/>
      <c r="AQ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224"/>
      <c r="X565" s="224"/>
      <c r="Y565" s="868"/>
      <c r="Z565" s="865"/>
      <c r="AA565" s="2"/>
      <c r="AB565" s="2"/>
      <c r="AC565" s="2"/>
      <c r="AD565" s="2"/>
      <c r="AE565" s="2"/>
      <c r="AF565" s="2"/>
      <c r="AG565" s="2"/>
      <c r="AH565" s="2"/>
      <c r="AI565" s="2"/>
      <c r="AJ565" s="2"/>
      <c r="AK565" s="2"/>
      <c r="AL565" s="2"/>
      <c r="AM565" s="2"/>
      <c r="AN565" s="9"/>
      <c r="AO565" s="9"/>
      <c r="AP565" s="9"/>
      <c r="AQ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224"/>
      <c r="X566" s="224"/>
      <c r="Y566" s="868"/>
      <c r="Z566" s="865"/>
      <c r="AA566" s="2"/>
      <c r="AB566" s="2"/>
      <c r="AC566" s="2"/>
      <c r="AD566" s="2"/>
      <c r="AE566" s="2"/>
      <c r="AF566" s="2"/>
      <c r="AG566" s="2"/>
      <c r="AH566" s="2"/>
      <c r="AI566" s="2"/>
      <c r="AJ566" s="2"/>
      <c r="AK566" s="2"/>
      <c r="AL566" s="2"/>
      <c r="AM566" s="2"/>
      <c r="AN566" s="9"/>
      <c r="AO566" s="9"/>
      <c r="AP566" s="9"/>
      <c r="AQ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224"/>
      <c r="X567" s="224"/>
      <c r="Y567" s="868"/>
      <c r="Z567" s="865"/>
      <c r="AA567" s="2"/>
      <c r="AB567" s="2"/>
      <c r="AC567" s="2"/>
      <c r="AD567" s="2"/>
      <c r="AE567" s="2"/>
      <c r="AF567" s="2"/>
      <c r="AG567" s="2"/>
      <c r="AH567" s="2"/>
      <c r="AI567" s="2"/>
      <c r="AJ567" s="2"/>
      <c r="AK567" s="2"/>
      <c r="AL567" s="2"/>
      <c r="AM567" s="2"/>
      <c r="AN567" s="9"/>
      <c r="AO567" s="9"/>
      <c r="AP567" s="9"/>
      <c r="AQ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224"/>
      <c r="X568" s="224"/>
      <c r="Y568" s="868"/>
      <c r="Z568" s="865"/>
      <c r="AA568" s="2"/>
      <c r="AB568" s="2"/>
      <c r="AC568" s="2"/>
      <c r="AD568" s="2"/>
      <c r="AE568" s="2"/>
      <c r="AF568" s="2"/>
      <c r="AG568" s="2"/>
      <c r="AH568" s="2"/>
      <c r="AI568" s="2"/>
      <c r="AJ568" s="2"/>
      <c r="AK568" s="2"/>
      <c r="AL568" s="2"/>
      <c r="AM568" s="2"/>
      <c r="AN568" s="9"/>
      <c r="AO568" s="9"/>
      <c r="AP568" s="9"/>
      <c r="AQ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224"/>
      <c r="X569" s="224"/>
      <c r="Y569" s="868"/>
      <c r="Z569" s="865"/>
      <c r="AA569" s="2"/>
      <c r="AB569" s="2"/>
      <c r="AC569" s="2"/>
      <c r="AD569" s="2"/>
      <c r="AE569" s="2"/>
      <c r="AF569" s="2"/>
      <c r="AG569" s="2"/>
      <c r="AH569" s="2"/>
      <c r="AI569" s="2"/>
      <c r="AJ569" s="2"/>
      <c r="AK569" s="2"/>
      <c r="AL569" s="2"/>
      <c r="AM569" s="2"/>
      <c r="AN569" s="9"/>
      <c r="AO569" s="9"/>
      <c r="AP569" s="9"/>
      <c r="AQ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224"/>
      <c r="X570" s="224"/>
      <c r="Y570" s="868"/>
      <c r="Z570" s="865"/>
      <c r="AA570" s="2"/>
      <c r="AB570" s="2"/>
      <c r="AC570" s="2"/>
      <c r="AD570" s="2"/>
      <c r="AE570" s="2"/>
      <c r="AF570" s="2"/>
      <c r="AG570" s="2"/>
      <c r="AH570" s="2"/>
      <c r="AI570" s="2"/>
      <c r="AJ570" s="2"/>
      <c r="AK570" s="2"/>
      <c r="AL570" s="2"/>
      <c r="AM570" s="2"/>
      <c r="AN570" s="9"/>
      <c r="AO570" s="9"/>
      <c r="AP570" s="9"/>
      <c r="AQ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224"/>
      <c r="X571" s="224"/>
      <c r="Y571" s="868"/>
      <c r="Z571" s="865"/>
      <c r="AA571" s="2"/>
      <c r="AB571" s="2"/>
      <c r="AC571" s="2"/>
      <c r="AD571" s="2"/>
      <c r="AE571" s="2"/>
      <c r="AF571" s="2"/>
      <c r="AG571" s="2"/>
      <c r="AH571" s="2"/>
      <c r="AI571" s="2"/>
      <c r="AJ571" s="2"/>
      <c r="AK571" s="2"/>
      <c r="AL571" s="2"/>
      <c r="AM571" s="2"/>
      <c r="AN571" s="9"/>
      <c r="AO571" s="9"/>
      <c r="AP571" s="9"/>
      <c r="AQ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224"/>
      <c r="X572" s="224"/>
      <c r="Y572" s="868"/>
      <c r="Z572" s="865"/>
      <c r="AA572" s="2"/>
      <c r="AB572" s="2"/>
      <c r="AC572" s="2"/>
      <c r="AD572" s="2"/>
      <c r="AE572" s="2"/>
      <c r="AF572" s="2"/>
      <c r="AG572" s="2"/>
      <c r="AH572" s="2"/>
      <c r="AI572" s="2"/>
      <c r="AJ572" s="2"/>
      <c r="AK572" s="2"/>
      <c r="AL572" s="2"/>
      <c r="AM572" s="2"/>
      <c r="AN572" s="9"/>
      <c r="AO572" s="9"/>
      <c r="AP572" s="9"/>
      <c r="AQ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224"/>
      <c r="X573" s="224"/>
      <c r="Y573" s="868"/>
      <c r="Z573" s="865"/>
      <c r="AA573" s="2"/>
      <c r="AB573" s="2"/>
      <c r="AC573" s="2"/>
      <c r="AD573" s="2"/>
      <c r="AE573" s="2"/>
      <c r="AF573" s="2"/>
      <c r="AG573" s="2"/>
      <c r="AH573" s="2"/>
      <c r="AI573" s="2"/>
      <c r="AJ573" s="2"/>
      <c r="AK573" s="2"/>
      <c r="AL573" s="2"/>
      <c r="AM573" s="2"/>
      <c r="AN573" s="9"/>
      <c r="AO573" s="9"/>
      <c r="AP573" s="9"/>
      <c r="AQ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224"/>
      <c r="X574" s="224"/>
      <c r="Y574" s="868"/>
      <c r="Z574" s="865"/>
      <c r="AA574" s="2"/>
      <c r="AB574" s="2"/>
      <c r="AC574" s="2"/>
      <c r="AD574" s="2"/>
      <c r="AE574" s="2"/>
      <c r="AF574" s="2"/>
      <c r="AG574" s="2"/>
      <c r="AH574" s="2"/>
      <c r="AI574" s="2"/>
      <c r="AJ574" s="2"/>
      <c r="AK574" s="2"/>
      <c r="AL574" s="2"/>
      <c r="AM574" s="2"/>
      <c r="AN574" s="9"/>
      <c r="AO574" s="9"/>
      <c r="AP574" s="9"/>
      <c r="AQ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224"/>
      <c r="X575" s="224"/>
      <c r="Y575" s="868"/>
      <c r="Z575" s="865"/>
      <c r="AA575" s="2"/>
      <c r="AB575" s="2"/>
      <c r="AC575" s="2"/>
      <c r="AD575" s="2"/>
      <c r="AE575" s="2"/>
      <c r="AF575" s="2"/>
      <c r="AG575" s="2"/>
      <c r="AH575" s="2"/>
      <c r="AI575" s="2"/>
      <c r="AJ575" s="2"/>
      <c r="AK575" s="2"/>
      <c r="AL575" s="2"/>
      <c r="AM575" s="2"/>
      <c r="AN575" s="9"/>
      <c r="AO575" s="9"/>
      <c r="AP575" s="9"/>
      <c r="AQ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224"/>
      <c r="X576" s="224"/>
      <c r="Y576" s="868"/>
      <c r="Z576" s="865"/>
      <c r="AA576" s="2"/>
      <c r="AB576" s="2"/>
      <c r="AC576" s="2"/>
      <c r="AD576" s="2"/>
      <c r="AE576" s="2"/>
      <c r="AF576" s="2"/>
      <c r="AG576" s="2"/>
      <c r="AH576" s="2"/>
      <c r="AI576" s="2"/>
      <c r="AJ576" s="2"/>
      <c r="AK576" s="2"/>
      <c r="AL576" s="2"/>
      <c r="AM576" s="2"/>
      <c r="AN576" s="9"/>
      <c r="AO576" s="9"/>
      <c r="AP576" s="9"/>
      <c r="AQ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224"/>
      <c r="X577" s="224"/>
      <c r="Y577" s="868"/>
      <c r="Z577" s="865"/>
      <c r="AA577" s="2"/>
      <c r="AB577" s="2"/>
      <c r="AC577" s="2"/>
      <c r="AD577" s="2"/>
      <c r="AE577" s="2"/>
      <c r="AF577" s="2"/>
      <c r="AG577" s="2"/>
      <c r="AH577" s="2"/>
      <c r="AI577" s="2"/>
      <c r="AJ577" s="2"/>
      <c r="AK577" s="2"/>
      <c r="AL577" s="2"/>
      <c r="AM577" s="2"/>
      <c r="AN577" s="9"/>
      <c r="AO577" s="9"/>
      <c r="AP577" s="9"/>
      <c r="AQ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224"/>
      <c r="X578" s="224"/>
      <c r="Y578" s="868"/>
      <c r="Z578" s="865"/>
      <c r="AA578" s="2"/>
      <c r="AB578" s="2"/>
      <c r="AC578" s="2"/>
      <c r="AD578" s="2"/>
      <c r="AE578" s="2"/>
      <c r="AF578" s="2"/>
      <c r="AG578" s="2"/>
      <c r="AH578" s="2"/>
      <c r="AI578" s="2"/>
      <c r="AJ578" s="2"/>
      <c r="AK578" s="2"/>
      <c r="AL578" s="2"/>
      <c r="AM578" s="2"/>
      <c r="AN578" s="9"/>
      <c r="AO578" s="9"/>
      <c r="AP578" s="9"/>
      <c r="AQ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224"/>
      <c r="X579" s="224"/>
      <c r="Y579" s="868"/>
      <c r="Z579" s="865"/>
      <c r="AA579" s="2"/>
      <c r="AB579" s="2"/>
      <c r="AC579" s="2"/>
      <c r="AD579" s="2"/>
      <c r="AE579" s="2"/>
      <c r="AF579" s="2"/>
      <c r="AG579" s="2"/>
      <c r="AH579" s="2"/>
      <c r="AI579" s="2"/>
      <c r="AJ579" s="2"/>
      <c r="AK579" s="2"/>
      <c r="AL579" s="2"/>
      <c r="AM579" s="2"/>
      <c r="AN579" s="9"/>
      <c r="AO579" s="9"/>
      <c r="AP579" s="9"/>
      <c r="AQ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224"/>
      <c r="X580" s="224"/>
      <c r="Y580" s="868"/>
      <c r="Z580" s="865"/>
      <c r="AA580" s="2"/>
      <c r="AB580" s="2"/>
      <c r="AC580" s="2"/>
      <c r="AD580" s="2"/>
      <c r="AE580" s="2"/>
      <c r="AF580" s="2"/>
      <c r="AG580" s="2"/>
      <c r="AH580" s="2"/>
      <c r="AI580" s="2"/>
      <c r="AJ580" s="2"/>
      <c r="AK580" s="2"/>
      <c r="AL580" s="2"/>
      <c r="AM580" s="2"/>
      <c r="AN580" s="9"/>
      <c r="AO580" s="9"/>
      <c r="AP580" s="9"/>
      <c r="AQ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224"/>
      <c r="X581" s="224"/>
      <c r="Y581" s="868"/>
      <c r="Z581" s="865"/>
      <c r="AA581" s="2"/>
      <c r="AB581" s="2"/>
      <c r="AC581" s="2"/>
      <c r="AD581" s="2"/>
      <c r="AE581" s="2"/>
      <c r="AF581" s="2"/>
      <c r="AG581" s="2"/>
      <c r="AH581" s="2"/>
      <c r="AI581" s="2"/>
      <c r="AJ581" s="2"/>
      <c r="AK581" s="2"/>
      <c r="AL581" s="2"/>
      <c r="AM581" s="2"/>
      <c r="AN581" s="9"/>
      <c r="AO581" s="9"/>
      <c r="AP581" s="9"/>
      <c r="AQ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224"/>
      <c r="X582" s="224"/>
      <c r="Y582" s="868"/>
      <c r="Z582" s="865"/>
      <c r="AA582" s="2"/>
      <c r="AB582" s="2"/>
      <c r="AC582" s="2"/>
      <c r="AD582" s="2"/>
      <c r="AE582" s="2"/>
      <c r="AF582" s="2"/>
      <c r="AG582" s="2"/>
      <c r="AH582" s="2"/>
      <c r="AI582" s="2"/>
      <c r="AJ582" s="2"/>
      <c r="AK582" s="2"/>
      <c r="AL582" s="2"/>
      <c r="AM582" s="2"/>
      <c r="AN582" s="9"/>
      <c r="AO582" s="9"/>
      <c r="AP582" s="9"/>
      <c r="AQ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224"/>
      <c r="X583" s="224"/>
      <c r="Y583" s="868"/>
      <c r="Z583" s="865"/>
      <c r="AA583" s="2"/>
      <c r="AB583" s="2"/>
      <c r="AC583" s="2"/>
      <c r="AD583" s="2"/>
      <c r="AE583" s="2"/>
      <c r="AF583" s="2"/>
      <c r="AG583" s="2"/>
      <c r="AH583" s="2"/>
      <c r="AI583" s="2"/>
      <c r="AJ583" s="2"/>
      <c r="AK583" s="2"/>
      <c r="AL583" s="2"/>
      <c r="AM583" s="2"/>
      <c r="AN583" s="9"/>
      <c r="AO583" s="9"/>
      <c r="AP583" s="9"/>
      <c r="AQ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224"/>
      <c r="X584" s="224"/>
      <c r="Y584" s="868"/>
      <c r="Z584" s="865"/>
      <c r="AA584" s="2"/>
      <c r="AB584" s="2"/>
      <c r="AC584" s="2"/>
      <c r="AD584" s="2"/>
      <c r="AE584" s="2"/>
      <c r="AF584" s="2"/>
      <c r="AG584" s="2"/>
      <c r="AH584" s="2"/>
      <c r="AI584" s="2"/>
      <c r="AJ584" s="2"/>
      <c r="AK584" s="2"/>
      <c r="AL584" s="2"/>
      <c r="AM584" s="2"/>
      <c r="AN584" s="9"/>
      <c r="AO584" s="9"/>
      <c r="AP584" s="9"/>
      <c r="AQ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224"/>
      <c r="X585" s="224"/>
      <c r="Y585" s="868"/>
      <c r="Z585" s="865"/>
      <c r="AA585" s="2"/>
      <c r="AB585" s="2"/>
      <c r="AC585" s="2"/>
      <c r="AD585" s="2"/>
      <c r="AE585" s="2"/>
      <c r="AF585" s="2"/>
      <c r="AG585" s="2"/>
      <c r="AH585" s="2"/>
      <c r="AI585" s="2"/>
      <c r="AJ585" s="2"/>
      <c r="AK585" s="2"/>
      <c r="AL585" s="2"/>
      <c r="AM585" s="2"/>
      <c r="AN585" s="9"/>
      <c r="AO585" s="9"/>
      <c r="AP585" s="9"/>
      <c r="AQ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224"/>
      <c r="X586" s="224"/>
      <c r="Y586" s="868"/>
      <c r="Z586" s="865"/>
      <c r="AA586" s="2"/>
      <c r="AB586" s="2"/>
      <c r="AC586" s="2"/>
      <c r="AD586" s="2"/>
      <c r="AE586" s="2"/>
      <c r="AF586" s="2"/>
      <c r="AG586" s="2"/>
      <c r="AH586" s="2"/>
      <c r="AI586" s="2"/>
      <c r="AJ586" s="2"/>
      <c r="AK586" s="2"/>
      <c r="AL586" s="2"/>
      <c r="AM586" s="2"/>
      <c r="AN586" s="9"/>
      <c r="AO586" s="9"/>
      <c r="AP586" s="9"/>
      <c r="AQ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224"/>
      <c r="X587" s="224"/>
      <c r="Y587" s="868"/>
      <c r="Z587" s="865"/>
      <c r="AA587" s="2"/>
      <c r="AB587" s="2"/>
      <c r="AC587" s="2"/>
      <c r="AD587" s="2"/>
      <c r="AE587" s="2"/>
      <c r="AF587" s="2"/>
      <c r="AG587" s="2"/>
      <c r="AH587" s="2"/>
      <c r="AI587" s="2"/>
      <c r="AJ587" s="2"/>
      <c r="AK587" s="2"/>
      <c r="AL587" s="2"/>
      <c r="AM587" s="2"/>
      <c r="AN587" s="9"/>
      <c r="AO587" s="9"/>
      <c r="AP587" s="9"/>
      <c r="AQ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224"/>
      <c r="X588" s="224"/>
      <c r="Y588" s="868"/>
      <c r="Z588" s="865"/>
      <c r="AA588" s="2"/>
      <c r="AB588" s="2"/>
      <c r="AC588" s="2"/>
      <c r="AD588" s="2"/>
      <c r="AE588" s="2"/>
      <c r="AF588" s="2"/>
      <c r="AG588" s="2"/>
      <c r="AH588" s="2"/>
      <c r="AI588" s="2"/>
      <c r="AJ588" s="2"/>
      <c r="AK588" s="2"/>
      <c r="AL588" s="2"/>
      <c r="AM588" s="2"/>
      <c r="AN588" s="9"/>
      <c r="AO588" s="9"/>
      <c r="AP588" s="9"/>
      <c r="AQ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224"/>
      <c r="X589" s="224"/>
      <c r="Y589" s="868"/>
      <c r="Z589" s="865"/>
      <c r="AA589" s="2"/>
      <c r="AB589" s="2"/>
      <c r="AC589" s="2"/>
      <c r="AD589" s="2"/>
      <c r="AE589" s="2"/>
      <c r="AF589" s="2"/>
      <c r="AG589" s="2"/>
      <c r="AH589" s="2"/>
      <c r="AI589" s="2"/>
      <c r="AJ589" s="2"/>
      <c r="AK589" s="2"/>
      <c r="AL589" s="2"/>
      <c r="AM589" s="2"/>
      <c r="AN589" s="9"/>
      <c r="AO589" s="9"/>
      <c r="AP589" s="9"/>
      <c r="AQ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224"/>
      <c r="X590" s="224"/>
      <c r="Y590" s="868"/>
      <c r="Z590" s="865"/>
      <c r="AA590" s="2"/>
      <c r="AB590" s="2"/>
      <c r="AC590" s="2"/>
      <c r="AD590" s="2"/>
      <c r="AE590" s="2"/>
      <c r="AF590" s="2"/>
      <c r="AG590" s="2"/>
      <c r="AH590" s="2"/>
      <c r="AI590" s="2"/>
      <c r="AJ590" s="2"/>
      <c r="AK590" s="2"/>
      <c r="AL590" s="2"/>
      <c r="AM590" s="2"/>
      <c r="AN590" s="9"/>
      <c r="AO590" s="9"/>
      <c r="AP590" s="9"/>
      <c r="AQ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224"/>
      <c r="X591" s="224"/>
      <c r="Y591" s="868"/>
      <c r="Z591" s="865"/>
      <c r="AA591" s="2"/>
      <c r="AB591" s="2"/>
      <c r="AC591" s="2"/>
      <c r="AD591" s="2"/>
      <c r="AE591" s="2"/>
      <c r="AF591" s="2"/>
      <c r="AG591" s="2"/>
      <c r="AH591" s="2"/>
      <c r="AI591" s="2"/>
      <c r="AJ591" s="2"/>
      <c r="AK591" s="2"/>
      <c r="AL591" s="2"/>
      <c r="AM591" s="2"/>
      <c r="AN591" s="9"/>
      <c r="AO591" s="9"/>
      <c r="AP591" s="9"/>
      <c r="AQ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224"/>
      <c r="X592" s="224"/>
      <c r="Y592" s="868"/>
      <c r="Z592" s="865"/>
      <c r="AA592" s="2"/>
      <c r="AB592" s="2"/>
      <c r="AC592" s="2"/>
      <c r="AD592" s="2"/>
      <c r="AE592" s="2"/>
      <c r="AF592" s="2"/>
      <c r="AG592" s="2"/>
      <c r="AH592" s="2"/>
      <c r="AI592" s="2"/>
      <c r="AJ592" s="2"/>
      <c r="AK592" s="2"/>
      <c r="AL592" s="2"/>
      <c r="AM592" s="2"/>
      <c r="AN592" s="9"/>
      <c r="AO592" s="9"/>
      <c r="AP592" s="9"/>
      <c r="AQ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224"/>
      <c r="X593" s="224"/>
      <c r="Y593" s="868"/>
      <c r="Z593" s="865"/>
      <c r="AA593" s="2"/>
      <c r="AB593" s="2"/>
      <c r="AC593" s="2"/>
      <c r="AD593" s="2"/>
      <c r="AE593" s="2"/>
      <c r="AF593" s="2"/>
      <c r="AG593" s="2"/>
      <c r="AH593" s="2"/>
      <c r="AI593" s="2"/>
      <c r="AJ593" s="2"/>
      <c r="AK593" s="2"/>
      <c r="AL593" s="2"/>
      <c r="AM593" s="2"/>
      <c r="AN593" s="9"/>
      <c r="AO593" s="9"/>
      <c r="AP593" s="9"/>
      <c r="AQ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224"/>
      <c r="X594" s="224"/>
      <c r="Y594" s="868"/>
      <c r="Z594" s="865"/>
      <c r="AA594" s="2"/>
      <c r="AB594" s="2"/>
      <c r="AC594" s="2"/>
      <c r="AD594" s="2"/>
      <c r="AE594" s="2"/>
      <c r="AF594" s="2"/>
      <c r="AG594" s="2"/>
      <c r="AH594" s="2"/>
      <c r="AI594" s="2"/>
      <c r="AJ594" s="2"/>
      <c r="AK594" s="2"/>
      <c r="AL594" s="2"/>
      <c r="AM594" s="2"/>
      <c r="AN594" s="9"/>
      <c r="AO594" s="9"/>
      <c r="AP594" s="9"/>
      <c r="AQ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224"/>
      <c r="X595" s="224"/>
      <c r="Y595" s="868"/>
      <c r="Z595" s="865"/>
      <c r="AA595" s="2"/>
      <c r="AB595" s="2"/>
      <c r="AC595" s="2"/>
      <c r="AD595" s="2"/>
      <c r="AE595" s="2"/>
      <c r="AF595" s="2"/>
      <c r="AG595" s="2"/>
      <c r="AH595" s="2"/>
      <c r="AI595" s="2"/>
      <c r="AJ595" s="2"/>
      <c r="AK595" s="2"/>
      <c r="AL595" s="2"/>
      <c r="AM595" s="2"/>
      <c r="AN595" s="9"/>
      <c r="AO595" s="9"/>
      <c r="AP595" s="9"/>
      <c r="AQ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224"/>
      <c r="X596" s="224"/>
      <c r="Y596" s="868"/>
      <c r="Z596" s="865"/>
      <c r="AA596" s="2"/>
      <c r="AB596" s="2"/>
      <c r="AC596" s="2"/>
      <c r="AD596" s="2"/>
      <c r="AE596" s="2"/>
      <c r="AF596" s="2"/>
      <c r="AG596" s="2"/>
      <c r="AH596" s="2"/>
      <c r="AI596" s="2"/>
      <c r="AJ596" s="2"/>
      <c r="AK596" s="2"/>
      <c r="AL596" s="2"/>
      <c r="AM596" s="2"/>
      <c r="AN596" s="9"/>
      <c r="AO596" s="9"/>
      <c r="AP596" s="9"/>
      <c r="AQ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224"/>
      <c r="X597" s="224"/>
      <c r="Y597" s="868"/>
      <c r="Z597" s="865"/>
      <c r="AA597" s="2"/>
      <c r="AB597" s="2"/>
      <c r="AC597" s="2"/>
      <c r="AD597" s="2"/>
      <c r="AE597" s="2"/>
      <c r="AF597" s="2"/>
      <c r="AG597" s="2"/>
      <c r="AH597" s="2"/>
      <c r="AI597" s="2"/>
      <c r="AJ597" s="2"/>
      <c r="AK597" s="2"/>
      <c r="AL597" s="2"/>
      <c r="AM597" s="2"/>
      <c r="AN597" s="9"/>
      <c r="AO597" s="9"/>
      <c r="AP597" s="9"/>
      <c r="AQ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224"/>
      <c r="X598" s="224"/>
      <c r="Y598" s="868"/>
      <c r="Z598" s="865"/>
      <c r="AA598" s="2"/>
      <c r="AB598" s="2"/>
      <c r="AC598" s="2"/>
      <c r="AD598" s="2"/>
      <c r="AE598" s="2"/>
      <c r="AF598" s="2"/>
      <c r="AG598" s="2"/>
      <c r="AH598" s="2"/>
      <c r="AI598" s="2"/>
      <c r="AJ598" s="2"/>
      <c r="AK598" s="2"/>
      <c r="AL598" s="2"/>
      <c r="AM598" s="2"/>
      <c r="AN598" s="9"/>
      <c r="AO598" s="9"/>
      <c r="AP598" s="9"/>
      <c r="AQ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224"/>
      <c r="X599" s="224"/>
      <c r="Y599" s="868"/>
      <c r="Z599" s="865"/>
      <c r="AA599" s="2"/>
      <c r="AB599" s="2"/>
      <c r="AC599" s="2"/>
      <c r="AD599" s="2"/>
      <c r="AE599" s="2"/>
      <c r="AF599" s="2"/>
      <c r="AG599" s="2"/>
      <c r="AH599" s="2"/>
      <c r="AI599" s="2"/>
      <c r="AJ599" s="2"/>
      <c r="AK599" s="2"/>
      <c r="AL599" s="2"/>
      <c r="AM599" s="2"/>
      <c r="AN599" s="9"/>
      <c r="AO599" s="9"/>
      <c r="AP599" s="9"/>
      <c r="AQ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224"/>
      <c r="X600" s="224"/>
      <c r="Y600" s="868"/>
      <c r="Z600" s="865"/>
      <c r="AA600" s="2"/>
      <c r="AB600" s="2"/>
      <c r="AC600" s="2"/>
      <c r="AD600" s="2"/>
      <c r="AE600" s="2"/>
      <c r="AF600" s="2"/>
      <c r="AG600" s="2"/>
      <c r="AH600" s="2"/>
      <c r="AI600" s="2"/>
      <c r="AJ600" s="2"/>
      <c r="AK600" s="2"/>
      <c r="AL600" s="2"/>
      <c r="AM600" s="2"/>
      <c r="AN600" s="9"/>
      <c r="AO600" s="9"/>
      <c r="AP600" s="9"/>
      <c r="AQ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224"/>
      <c r="X601" s="224"/>
      <c r="Y601" s="868"/>
      <c r="Z601" s="865"/>
      <c r="AA601" s="2"/>
      <c r="AB601" s="2"/>
      <c r="AC601" s="2"/>
      <c r="AD601" s="2"/>
      <c r="AE601" s="2"/>
      <c r="AF601" s="2"/>
      <c r="AG601" s="2"/>
      <c r="AH601" s="2"/>
      <c r="AI601" s="2"/>
      <c r="AJ601" s="2"/>
      <c r="AK601" s="2"/>
      <c r="AL601" s="2"/>
      <c r="AM601" s="2"/>
      <c r="AN601" s="9"/>
      <c r="AO601" s="9"/>
      <c r="AP601" s="9"/>
      <c r="AQ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224"/>
      <c r="X602" s="224"/>
      <c r="Y602" s="868"/>
      <c r="Z602" s="865"/>
      <c r="AA602" s="2"/>
      <c r="AB602" s="2"/>
      <c r="AC602" s="2"/>
      <c r="AD602" s="2"/>
      <c r="AE602" s="2"/>
      <c r="AF602" s="2"/>
      <c r="AG602" s="2"/>
      <c r="AH602" s="2"/>
      <c r="AI602" s="2"/>
      <c r="AJ602" s="2"/>
      <c r="AK602" s="2"/>
      <c r="AL602" s="2"/>
      <c r="AM602" s="2"/>
      <c r="AN602" s="9"/>
      <c r="AO602" s="9"/>
      <c r="AP602" s="9"/>
      <c r="AQ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224"/>
      <c r="X603" s="224"/>
      <c r="Y603" s="868"/>
      <c r="Z603" s="865"/>
      <c r="AA603" s="2"/>
      <c r="AB603" s="2"/>
      <c r="AC603" s="2"/>
      <c r="AD603" s="2"/>
      <c r="AE603" s="2"/>
      <c r="AF603" s="2"/>
      <c r="AG603" s="2"/>
      <c r="AH603" s="2"/>
      <c r="AI603" s="2"/>
      <c r="AJ603" s="2"/>
      <c r="AK603" s="2"/>
      <c r="AL603" s="2"/>
      <c r="AM603" s="2"/>
      <c r="AN603" s="9"/>
      <c r="AO603" s="9"/>
      <c r="AP603" s="9"/>
      <c r="AQ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224"/>
      <c r="X604" s="224"/>
      <c r="Y604" s="868"/>
      <c r="Z604" s="865"/>
      <c r="AA604" s="2"/>
      <c r="AB604" s="2"/>
      <c r="AC604" s="2"/>
      <c r="AD604" s="2"/>
      <c r="AE604" s="2"/>
      <c r="AF604" s="2"/>
      <c r="AG604" s="2"/>
      <c r="AH604" s="2"/>
      <c r="AI604" s="2"/>
      <c r="AJ604" s="2"/>
      <c r="AK604" s="2"/>
      <c r="AL604" s="2"/>
      <c r="AM604" s="2"/>
      <c r="AN604" s="9"/>
      <c r="AO604" s="9"/>
      <c r="AP604" s="9"/>
      <c r="AQ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224"/>
      <c r="X605" s="224"/>
      <c r="Y605" s="868"/>
      <c r="Z605" s="865"/>
      <c r="AA605" s="2"/>
      <c r="AB605" s="2"/>
      <c r="AC605" s="2"/>
      <c r="AD605" s="2"/>
      <c r="AE605" s="2"/>
      <c r="AF605" s="2"/>
      <c r="AG605" s="2"/>
      <c r="AH605" s="2"/>
      <c r="AI605" s="2"/>
      <c r="AJ605" s="2"/>
      <c r="AK605" s="2"/>
      <c r="AL605" s="2"/>
      <c r="AM605" s="2"/>
      <c r="AN605" s="9"/>
      <c r="AO605" s="9"/>
      <c r="AP605" s="9"/>
      <c r="AQ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224"/>
      <c r="X606" s="224"/>
      <c r="Y606" s="868"/>
      <c r="Z606" s="865"/>
      <c r="AA606" s="2"/>
      <c r="AB606" s="2"/>
      <c r="AC606" s="2"/>
      <c r="AD606" s="2"/>
      <c r="AE606" s="2"/>
      <c r="AF606" s="2"/>
      <c r="AG606" s="2"/>
      <c r="AH606" s="2"/>
      <c r="AI606" s="2"/>
      <c r="AJ606" s="2"/>
      <c r="AK606" s="2"/>
      <c r="AL606" s="2"/>
      <c r="AM606" s="2"/>
      <c r="AN606" s="9"/>
      <c r="AO606" s="9"/>
      <c r="AP606" s="9"/>
      <c r="AQ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224"/>
      <c r="X607" s="224"/>
      <c r="Y607" s="868"/>
      <c r="Z607" s="865"/>
      <c r="AA607" s="2"/>
      <c r="AB607" s="2"/>
      <c r="AC607" s="2"/>
      <c r="AD607" s="2"/>
      <c r="AE607" s="2"/>
      <c r="AF607" s="2"/>
      <c r="AG607" s="2"/>
      <c r="AH607" s="2"/>
      <c r="AI607" s="2"/>
      <c r="AJ607" s="2"/>
      <c r="AK607" s="2"/>
      <c r="AL607" s="2"/>
      <c r="AM607" s="2"/>
      <c r="AN607" s="9"/>
      <c r="AO607" s="9"/>
      <c r="AP607" s="9"/>
      <c r="AQ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224"/>
      <c r="X608" s="224"/>
      <c r="Y608" s="868"/>
      <c r="Z608" s="865"/>
      <c r="AA608" s="2"/>
      <c r="AB608" s="2"/>
      <c r="AC608" s="2"/>
      <c r="AD608" s="2"/>
      <c r="AE608" s="2"/>
      <c r="AF608" s="2"/>
      <c r="AG608" s="2"/>
      <c r="AH608" s="2"/>
      <c r="AI608" s="2"/>
      <c r="AJ608" s="2"/>
      <c r="AK608" s="2"/>
      <c r="AL608" s="2"/>
      <c r="AM608" s="2"/>
      <c r="AN608" s="9"/>
      <c r="AO608" s="9"/>
      <c r="AP608" s="9"/>
      <c r="AQ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224"/>
      <c r="X609" s="224"/>
      <c r="Y609" s="868"/>
      <c r="Z609" s="865"/>
      <c r="AA609" s="2"/>
      <c r="AB609" s="2"/>
      <c r="AC609" s="2"/>
      <c r="AD609" s="2"/>
      <c r="AE609" s="2"/>
      <c r="AF609" s="2"/>
      <c r="AG609" s="2"/>
      <c r="AH609" s="2"/>
      <c r="AI609" s="2"/>
      <c r="AJ609" s="2"/>
      <c r="AK609" s="2"/>
      <c r="AL609" s="2"/>
      <c r="AM609" s="2"/>
      <c r="AN609" s="9"/>
      <c r="AO609" s="9"/>
      <c r="AP609" s="9"/>
      <c r="AQ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224"/>
      <c r="X610" s="224"/>
      <c r="Y610" s="868"/>
      <c r="Z610" s="865"/>
      <c r="AA610" s="2"/>
      <c r="AB610" s="2"/>
      <c r="AC610" s="2"/>
      <c r="AD610" s="2"/>
      <c r="AE610" s="2"/>
      <c r="AF610" s="2"/>
      <c r="AG610" s="2"/>
      <c r="AH610" s="2"/>
      <c r="AI610" s="2"/>
      <c r="AJ610" s="2"/>
      <c r="AK610" s="2"/>
      <c r="AL610" s="2"/>
      <c r="AM610" s="2"/>
      <c r="AN610" s="9"/>
      <c r="AO610" s="9"/>
      <c r="AP610" s="9"/>
      <c r="AQ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224"/>
      <c r="X611" s="224"/>
      <c r="Y611" s="868"/>
      <c r="Z611" s="865"/>
      <c r="AA611" s="2"/>
      <c r="AB611" s="2"/>
      <c r="AC611" s="2"/>
      <c r="AD611" s="2"/>
      <c r="AE611" s="2"/>
      <c r="AF611" s="2"/>
      <c r="AG611" s="2"/>
      <c r="AH611" s="2"/>
      <c r="AI611" s="2"/>
      <c r="AJ611" s="2"/>
      <c r="AK611" s="2"/>
      <c r="AL611" s="2"/>
      <c r="AM611" s="2"/>
      <c r="AN611" s="9"/>
      <c r="AO611" s="9"/>
      <c r="AP611" s="9"/>
      <c r="AQ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224"/>
      <c r="X612" s="224"/>
      <c r="Y612" s="868"/>
      <c r="Z612" s="865"/>
      <c r="AA612" s="2"/>
      <c r="AB612" s="2"/>
      <c r="AC612" s="2"/>
      <c r="AD612" s="2"/>
      <c r="AE612" s="2"/>
      <c r="AF612" s="2"/>
      <c r="AG612" s="2"/>
      <c r="AH612" s="2"/>
      <c r="AI612" s="2"/>
      <c r="AJ612" s="2"/>
      <c r="AK612" s="2"/>
      <c r="AL612" s="2"/>
      <c r="AM612" s="2"/>
      <c r="AN612" s="9"/>
      <c r="AO612" s="9"/>
      <c r="AP612" s="9"/>
      <c r="AQ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224"/>
      <c r="X613" s="224"/>
      <c r="Y613" s="868"/>
      <c r="Z613" s="865"/>
      <c r="AA613" s="2"/>
      <c r="AB613" s="2"/>
      <c r="AC613" s="2"/>
      <c r="AD613" s="2"/>
      <c r="AE613" s="2"/>
      <c r="AF613" s="2"/>
      <c r="AG613" s="2"/>
      <c r="AH613" s="2"/>
      <c r="AI613" s="2"/>
      <c r="AJ613" s="2"/>
      <c r="AK613" s="2"/>
      <c r="AL613" s="2"/>
      <c r="AM613" s="2"/>
      <c r="AN613" s="9"/>
      <c r="AO613" s="9"/>
      <c r="AP613" s="9"/>
      <c r="AQ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224"/>
      <c r="X614" s="224"/>
      <c r="Y614" s="868"/>
      <c r="Z614" s="865"/>
      <c r="AA614" s="2"/>
      <c r="AB614" s="2"/>
      <c r="AC614" s="2"/>
      <c r="AD614" s="2"/>
      <c r="AE614" s="2"/>
      <c r="AF614" s="2"/>
      <c r="AG614" s="2"/>
      <c r="AH614" s="2"/>
      <c r="AI614" s="2"/>
      <c r="AJ614" s="2"/>
      <c r="AK614" s="2"/>
      <c r="AL614" s="2"/>
      <c r="AM614" s="2"/>
      <c r="AN614" s="9"/>
      <c r="AO614" s="9"/>
      <c r="AP614" s="9"/>
      <c r="AQ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224"/>
      <c r="X615" s="224"/>
      <c r="Y615" s="868"/>
      <c r="Z615" s="865"/>
      <c r="AA615" s="2"/>
      <c r="AB615" s="2"/>
      <c r="AC615" s="2"/>
      <c r="AD615" s="2"/>
      <c r="AE615" s="2"/>
      <c r="AF615" s="2"/>
      <c r="AG615" s="2"/>
      <c r="AH615" s="2"/>
      <c r="AI615" s="2"/>
      <c r="AJ615" s="2"/>
      <c r="AK615" s="2"/>
      <c r="AL615" s="2"/>
      <c r="AM615" s="2"/>
      <c r="AN615" s="9"/>
      <c r="AO615" s="9"/>
      <c r="AP615" s="9"/>
      <c r="AQ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224"/>
      <c r="X616" s="224"/>
      <c r="Y616" s="868"/>
      <c r="Z616" s="865"/>
      <c r="AA616" s="2"/>
      <c r="AB616" s="2"/>
      <c r="AC616" s="2"/>
      <c r="AD616" s="2"/>
      <c r="AE616" s="2"/>
      <c r="AF616" s="2"/>
      <c r="AG616" s="2"/>
      <c r="AH616" s="2"/>
      <c r="AI616" s="2"/>
      <c r="AJ616" s="2"/>
      <c r="AK616" s="2"/>
      <c r="AL616" s="2"/>
      <c r="AM616" s="2"/>
      <c r="AN616" s="9"/>
      <c r="AO616" s="9"/>
      <c r="AP616" s="9"/>
      <c r="AQ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224"/>
      <c r="X617" s="224"/>
      <c r="Y617" s="868"/>
      <c r="Z617" s="865"/>
      <c r="AA617" s="2"/>
      <c r="AB617" s="2"/>
      <c r="AC617" s="2"/>
      <c r="AD617" s="2"/>
      <c r="AE617" s="2"/>
      <c r="AF617" s="2"/>
      <c r="AG617" s="2"/>
      <c r="AH617" s="2"/>
      <c r="AI617" s="2"/>
      <c r="AJ617" s="2"/>
      <c r="AK617" s="2"/>
      <c r="AL617" s="2"/>
      <c r="AM617" s="2"/>
      <c r="AN617" s="9"/>
      <c r="AO617" s="9"/>
      <c r="AP617" s="9"/>
      <c r="AQ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224"/>
      <c r="X618" s="224"/>
      <c r="Y618" s="868"/>
      <c r="Z618" s="865"/>
      <c r="AA618" s="2"/>
      <c r="AB618" s="2"/>
      <c r="AC618" s="2"/>
      <c r="AD618" s="2"/>
      <c r="AE618" s="2"/>
      <c r="AF618" s="2"/>
      <c r="AG618" s="2"/>
      <c r="AH618" s="2"/>
      <c r="AI618" s="2"/>
      <c r="AJ618" s="2"/>
      <c r="AK618" s="2"/>
      <c r="AL618" s="2"/>
      <c r="AM618" s="2"/>
      <c r="AN618" s="9"/>
      <c r="AO618" s="9"/>
      <c r="AP618" s="9"/>
      <c r="AQ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224"/>
      <c r="X619" s="224"/>
      <c r="Y619" s="868"/>
      <c r="Z619" s="865"/>
      <c r="AA619" s="2"/>
      <c r="AB619" s="2"/>
      <c r="AC619" s="2"/>
      <c r="AD619" s="2"/>
      <c r="AE619" s="2"/>
      <c r="AF619" s="2"/>
      <c r="AG619" s="2"/>
      <c r="AH619" s="2"/>
      <c r="AI619" s="2"/>
      <c r="AJ619" s="2"/>
      <c r="AK619" s="2"/>
      <c r="AL619" s="2"/>
      <c r="AM619" s="2"/>
      <c r="AN619" s="9"/>
      <c r="AO619" s="9"/>
      <c r="AP619" s="9"/>
      <c r="AQ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224"/>
      <c r="X620" s="224"/>
      <c r="Y620" s="868"/>
      <c r="Z620" s="865"/>
      <c r="AA620" s="2"/>
      <c r="AB620" s="2"/>
      <c r="AC620" s="2"/>
      <c r="AD620" s="2"/>
      <c r="AE620" s="2"/>
      <c r="AF620" s="2"/>
      <c r="AG620" s="2"/>
      <c r="AH620" s="2"/>
      <c r="AI620" s="2"/>
      <c r="AJ620" s="2"/>
      <c r="AK620" s="2"/>
      <c r="AL620" s="2"/>
      <c r="AM620" s="2"/>
      <c r="AN620" s="9"/>
      <c r="AO620" s="9"/>
      <c r="AP620" s="9"/>
      <c r="AQ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224"/>
      <c r="X621" s="224"/>
      <c r="Y621" s="868"/>
      <c r="Z621" s="865"/>
      <c r="AA621" s="2"/>
      <c r="AB621" s="2"/>
      <c r="AC621" s="2"/>
      <c r="AD621" s="2"/>
      <c r="AE621" s="2"/>
      <c r="AF621" s="2"/>
      <c r="AG621" s="2"/>
      <c r="AH621" s="2"/>
      <c r="AI621" s="2"/>
      <c r="AJ621" s="2"/>
      <c r="AK621" s="2"/>
      <c r="AL621" s="2"/>
      <c r="AM621" s="2"/>
      <c r="AN621" s="9"/>
      <c r="AO621" s="9"/>
      <c r="AP621" s="9"/>
      <c r="AQ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224"/>
      <c r="X622" s="224"/>
      <c r="Y622" s="868"/>
      <c r="Z622" s="865"/>
      <c r="AA622" s="2"/>
      <c r="AB622" s="2"/>
      <c r="AC622" s="2"/>
      <c r="AD622" s="2"/>
      <c r="AE622" s="2"/>
      <c r="AF622" s="2"/>
      <c r="AG622" s="2"/>
      <c r="AH622" s="2"/>
      <c r="AI622" s="2"/>
      <c r="AJ622" s="2"/>
      <c r="AK622" s="2"/>
      <c r="AL622" s="2"/>
      <c r="AM622" s="2"/>
      <c r="AN622" s="9"/>
      <c r="AO622" s="9"/>
      <c r="AP622" s="9"/>
      <c r="AQ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224"/>
      <c r="X623" s="224"/>
      <c r="Y623" s="868"/>
      <c r="Z623" s="865"/>
      <c r="AA623" s="2"/>
      <c r="AB623" s="2"/>
      <c r="AC623" s="2"/>
      <c r="AD623" s="2"/>
      <c r="AE623" s="2"/>
      <c r="AF623" s="2"/>
      <c r="AG623" s="2"/>
      <c r="AH623" s="2"/>
      <c r="AI623" s="2"/>
      <c r="AJ623" s="2"/>
      <c r="AK623" s="2"/>
      <c r="AL623" s="2"/>
      <c r="AM623" s="2"/>
      <c r="AN623" s="9"/>
      <c r="AO623" s="9"/>
      <c r="AP623" s="9"/>
      <c r="AQ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224"/>
      <c r="X624" s="224"/>
      <c r="Y624" s="868"/>
      <c r="Z624" s="865"/>
      <c r="AA624" s="2"/>
      <c r="AB624" s="2"/>
      <c r="AC624" s="2"/>
      <c r="AD624" s="2"/>
      <c r="AE624" s="2"/>
      <c r="AF624" s="2"/>
      <c r="AG624" s="2"/>
      <c r="AH624" s="2"/>
      <c r="AI624" s="2"/>
      <c r="AJ624" s="2"/>
      <c r="AK624" s="2"/>
      <c r="AL624" s="2"/>
      <c r="AM624" s="2"/>
      <c r="AN624" s="9"/>
      <c r="AO624" s="9"/>
      <c r="AP624" s="9"/>
      <c r="AQ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224"/>
      <c r="X625" s="224"/>
      <c r="Y625" s="868"/>
      <c r="Z625" s="865"/>
      <c r="AA625" s="2"/>
      <c r="AB625" s="2"/>
      <c r="AC625" s="2"/>
      <c r="AD625" s="2"/>
      <c r="AE625" s="2"/>
      <c r="AF625" s="2"/>
      <c r="AG625" s="2"/>
      <c r="AH625" s="2"/>
      <c r="AI625" s="2"/>
      <c r="AJ625" s="2"/>
      <c r="AK625" s="2"/>
      <c r="AL625" s="2"/>
      <c r="AM625" s="2"/>
      <c r="AN625" s="9"/>
      <c r="AO625" s="9"/>
      <c r="AP625" s="9"/>
      <c r="AQ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224"/>
      <c r="X626" s="224"/>
      <c r="Y626" s="868"/>
      <c r="Z626" s="865"/>
      <c r="AA626" s="2"/>
      <c r="AB626" s="2"/>
      <c r="AC626" s="2"/>
      <c r="AD626" s="2"/>
      <c r="AE626" s="2"/>
      <c r="AF626" s="2"/>
      <c r="AG626" s="2"/>
      <c r="AH626" s="2"/>
      <c r="AI626" s="2"/>
      <c r="AJ626" s="2"/>
      <c r="AK626" s="2"/>
      <c r="AL626" s="2"/>
      <c r="AM626" s="2"/>
      <c r="AN626" s="9"/>
      <c r="AO626" s="9"/>
      <c r="AP626" s="9"/>
      <c r="AQ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224"/>
      <c r="X627" s="224"/>
      <c r="Y627" s="868"/>
      <c r="Z627" s="865"/>
      <c r="AA627" s="2"/>
      <c r="AB627" s="2"/>
      <c r="AC627" s="2"/>
      <c r="AD627" s="2"/>
      <c r="AE627" s="2"/>
      <c r="AF627" s="2"/>
      <c r="AG627" s="2"/>
      <c r="AH627" s="2"/>
      <c r="AI627" s="2"/>
      <c r="AJ627" s="2"/>
      <c r="AK627" s="2"/>
      <c r="AL627" s="2"/>
      <c r="AM627" s="2"/>
      <c r="AN627" s="9"/>
      <c r="AO627" s="9"/>
      <c r="AP627" s="9"/>
      <c r="AQ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224"/>
      <c r="X628" s="224"/>
      <c r="Y628" s="868"/>
      <c r="Z628" s="865"/>
      <c r="AA628" s="2"/>
      <c r="AB628" s="2"/>
      <c r="AC628" s="2"/>
      <c r="AD628" s="2"/>
      <c r="AE628" s="2"/>
      <c r="AF628" s="2"/>
      <c r="AG628" s="2"/>
      <c r="AH628" s="2"/>
      <c r="AI628" s="2"/>
      <c r="AJ628" s="2"/>
      <c r="AK628" s="2"/>
      <c r="AL628" s="2"/>
      <c r="AM628" s="2"/>
      <c r="AN628" s="9"/>
      <c r="AO628" s="9"/>
      <c r="AP628" s="9"/>
      <c r="AQ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224"/>
      <c r="X629" s="224"/>
      <c r="Y629" s="868"/>
      <c r="Z629" s="865"/>
      <c r="AA629" s="2"/>
      <c r="AB629" s="2"/>
      <c r="AC629" s="2"/>
      <c r="AD629" s="2"/>
      <c r="AE629" s="2"/>
      <c r="AF629" s="2"/>
      <c r="AG629" s="2"/>
      <c r="AH629" s="2"/>
      <c r="AI629" s="2"/>
      <c r="AJ629" s="2"/>
      <c r="AK629" s="2"/>
      <c r="AL629" s="2"/>
      <c r="AM629" s="2"/>
      <c r="AN629" s="9"/>
      <c r="AO629" s="9"/>
      <c r="AP629" s="9"/>
      <c r="AQ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224"/>
      <c r="X630" s="224"/>
      <c r="Y630" s="868"/>
      <c r="Z630" s="865"/>
      <c r="AA630" s="2"/>
      <c r="AB630" s="2"/>
      <c r="AC630" s="2"/>
      <c r="AD630" s="2"/>
      <c r="AE630" s="2"/>
      <c r="AF630" s="2"/>
      <c r="AG630" s="2"/>
      <c r="AH630" s="2"/>
      <c r="AI630" s="2"/>
      <c r="AJ630" s="2"/>
      <c r="AK630" s="2"/>
      <c r="AL630" s="2"/>
      <c r="AM630" s="2"/>
      <c r="AN630" s="9"/>
      <c r="AO630" s="9"/>
      <c r="AP630" s="9"/>
      <c r="AQ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224"/>
      <c r="X631" s="224"/>
      <c r="Y631" s="868"/>
      <c r="Z631" s="865"/>
      <c r="AA631" s="2"/>
      <c r="AB631" s="2"/>
      <c r="AC631" s="2"/>
      <c r="AD631" s="2"/>
      <c r="AE631" s="2"/>
      <c r="AF631" s="2"/>
      <c r="AG631" s="2"/>
      <c r="AH631" s="2"/>
      <c r="AI631" s="2"/>
      <c r="AJ631" s="2"/>
      <c r="AK631" s="2"/>
      <c r="AL631" s="2"/>
      <c r="AM631" s="2"/>
      <c r="AN631" s="9"/>
      <c r="AO631" s="9"/>
      <c r="AP631" s="9"/>
      <c r="AQ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224"/>
      <c r="X632" s="224"/>
      <c r="Y632" s="868"/>
      <c r="Z632" s="865"/>
      <c r="AA632" s="2"/>
      <c r="AB632" s="2"/>
      <c r="AC632" s="2"/>
      <c r="AD632" s="2"/>
      <c r="AE632" s="2"/>
      <c r="AF632" s="2"/>
      <c r="AG632" s="2"/>
      <c r="AH632" s="2"/>
      <c r="AI632" s="2"/>
      <c r="AJ632" s="2"/>
      <c r="AK632" s="2"/>
      <c r="AL632" s="2"/>
      <c r="AM632" s="2"/>
      <c r="AN632" s="9"/>
      <c r="AO632" s="9"/>
      <c r="AP632" s="9"/>
      <c r="AQ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224"/>
      <c r="X633" s="224"/>
      <c r="Y633" s="868"/>
      <c r="Z633" s="865"/>
      <c r="AA633" s="2"/>
      <c r="AB633" s="2"/>
      <c r="AC633" s="2"/>
      <c r="AD633" s="2"/>
      <c r="AE633" s="2"/>
      <c r="AF633" s="2"/>
      <c r="AG633" s="2"/>
      <c r="AH633" s="2"/>
      <c r="AI633" s="2"/>
      <c r="AJ633" s="2"/>
      <c r="AK633" s="2"/>
      <c r="AL633" s="2"/>
      <c r="AM633" s="2"/>
      <c r="AN633" s="9"/>
      <c r="AO633" s="9"/>
      <c r="AP633" s="9"/>
      <c r="AQ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224"/>
      <c r="X634" s="224"/>
      <c r="Y634" s="868"/>
      <c r="Z634" s="865"/>
      <c r="AA634" s="2"/>
      <c r="AB634" s="2"/>
      <c r="AC634" s="2"/>
      <c r="AD634" s="2"/>
      <c r="AE634" s="2"/>
      <c r="AF634" s="2"/>
      <c r="AG634" s="2"/>
      <c r="AH634" s="2"/>
      <c r="AI634" s="2"/>
      <c r="AJ634" s="2"/>
      <c r="AK634" s="2"/>
      <c r="AL634" s="2"/>
      <c r="AM634" s="2"/>
      <c r="AN634" s="9"/>
      <c r="AO634" s="9"/>
      <c r="AP634" s="9"/>
      <c r="AQ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224"/>
      <c r="X635" s="224"/>
      <c r="Y635" s="868"/>
      <c r="Z635" s="865"/>
      <c r="AA635" s="2"/>
      <c r="AB635" s="2"/>
      <c r="AC635" s="2"/>
      <c r="AD635" s="2"/>
      <c r="AE635" s="2"/>
      <c r="AF635" s="2"/>
      <c r="AG635" s="2"/>
      <c r="AH635" s="2"/>
      <c r="AI635" s="2"/>
      <c r="AJ635" s="2"/>
      <c r="AK635" s="2"/>
      <c r="AL635" s="2"/>
      <c r="AM635" s="2"/>
      <c r="AN635" s="9"/>
      <c r="AO635" s="9"/>
      <c r="AP635" s="9"/>
      <c r="AQ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224"/>
      <c r="X636" s="224"/>
      <c r="Y636" s="868"/>
      <c r="Z636" s="865"/>
      <c r="AA636" s="2"/>
      <c r="AB636" s="2"/>
      <c r="AC636" s="2"/>
      <c r="AD636" s="2"/>
      <c r="AE636" s="2"/>
      <c r="AF636" s="2"/>
      <c r="AG636" s="2"/>
      <c r="AH636" s="2"/>
      <c r="AI636" s="2"/>
      <c r="AJ636" s="2"/>
      <c r="AK636" s="2"/>
      <c r="AL636" s="2"/>
      <c r="AM636" s="2"/>
      <c r="AN636" s="9"/>
      <c r="AO636" s="9"/>
      <c r="AP636" s="9"/>
      <c r="AQ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224"/>
      <c r="X637" s="224"/>
      <c r="Y637" s="868"/>
      <c r="Z637" s="865"/>
      <c r="AA637" s="2"/>
      <c r="AB637" s="2"/>
      <c r="AC637" s="2"/>
      <c r="AD637" s="2"/>
      <c r="AE637" s="2"/>
      <c r="AF637" s="2"/>
      <c r="AG637" s="2"/>
      <c r="AH637" s="2"/>
      <c r="AI637" s="2"/>
      <c r="AJ637" s="2"/>
      <c r="AK637" s="2"/>
      <c r="AL637" s="2"/>
      <c r="AM637" s="2"/>
      <c r="AN637" s="9"/>
      <c r="AO637" s="9"/>
      <c r="AP637" s="9"/>
      <c r="AQ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224"/>
      <c r="X638" s="224"/>
      <c r="Y638" s="868"/>
      <c r="Z638" s="865"/>
      <c r="AA638" s="2"/>
      <c r="AB638" s="2"/>
      <c r="AC638" s="2"/>
      <c r="AD638" s="2"/>
      <c r="AE638" s="2"/>
      <c r="AF638" s="2"/>
      <c r="AG638" s="2"/>
      <c r="AH638" s="2"/>
      <c r="AI638" s="2"/>
      <c r="AJ638" s="2"/>
      <c r="AK638" s="2"/>
      <c r="AL638" s="2"/>
      <c r="AM638" s="2"/>
      <c r="AN638" s="9"/>
      <c r="AO638" s="9"/>
      <c r="AP638" s="9"/>
      <c r="AQ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224"/>
      <c r="X639" s="224"/>
      <c r="Y639" s="868"/>
      <c r="Z639" s="865"/>
      <c r="AA639" s="2"/>
      <c r="AB639" s="2"/>
      <c r="AC639" s="2"/>
      <c r="AD639" s="2"/>
      <c r="AE639" s="2"/>
      <c r="AF639" s="2"/>
      <c r="AG639" s="2"/>
      <c r="AH639" s="2"/>
      <c r="AI639" s="2"/>
      <c r="AJ639" s="2"/>
      <c r="AK639" s="2"/>
      <c r="AL639" s="2"/>
      <c r="AM639" s="2"/>
      <c r="AN639" s="9"/>
      <c r="AO639" s="9"/>
      <c r="AP639" s="9"/>
      <c r="AQ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224"/>
      <c r="X640" s="224"/>
      <c r="Y640" s="868"/>
      <c r="Z640" s="865"/>
      <c r="AA640" s="2"/>
      <c r="AB640" s="2"/>
      <c r="AC640" s="2"/>
      <c r="AD640" s="2"/>
      <c r="AE640" s="2"/>
      <c r="AF640" s="2"/>
      <c r="AG640" s="2"/>
      <c r="AH640" s="2"/>
      <c r="AI640" s="2"/>
      <c r="AJ640" s="2"/>
      <c r="AK640" s="2"/>
      <c r="AL640" s="2"/>
      <c r="AM640" s="2"/>
      <c r="AN640" s="9"/>
      <c r="AO640" s="9"/>
      <c r="AP640" s="9"/>
      <c r="AQ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224"/>
      <c r="X641" s="224"/>
      <c r="Y641" s="868"/>
      <c r="Z641" s="865"/>
      <c r="AA641" s="2"/>
      <c r="AB641" s="2"/>
      <c r="AC641" s="2"/>
      <c r="AD641" s="2"/>
      <c r="AE641" s="2"/>
      <c r="AF641" s="2"/>
      <c r="AG641" s="2"/>
      <c r="AH641" s="2"/>
      <c r="AI641" s="2"/>
      <c r="AJ641" s="2"/>
      <c r="AK641" s="2"/>
      <c r="AL641" s="2"/>
      <c r="AM641" s="2"/>
      <c r="AN641" s="9"/>
      <c r="AO641" s="9"/>
      <c r="AP641" s="9"/>
      <c r="AQ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224"/>
      <c r="X642" s="224"/>
      <c r="Y642" s="868"/>
      <c r="Z642" s="865"/>
      <c r="AA642" s="2"/>
      <c r="AB642" s="2"/>
      <c r="AC642" s="2"/>
      <c r="AD642" s="2"/>
      <c r="AE642" s="2"/>
      <c r="AF642" s="2"/>
      <c r="AG642" s="2"/>
      <c r="AH642" s="2"/>
      <c r="AI642" s="2"/>
      <c r="AJ642" s="2"/>
      <c r="AK642" s="2"/>
      <c r="AL642" s="2"/>
      <c r="AM642" s="2"/>
      <c r="AN642" s="9"/>
      <c r="AO642" s="9"/>
      <c r="AP642" s="9"/>
      <c r="AQ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224"/>
      <c r="X643" s="224"/>
      <c r="Y643" s="868"/>
      <c r="Z643" s="865"/>
      <c r="AA643" s="2"/>
      <c r="AB643" s="2"/>
      <c r="AC643" s="2"/>
      <c r="AD643" s="2"/>
      <c r="AE643" s="2"/>
      <c r="AF643" s="2"/>
      <c r="AG643" s="2"/>
      <c r="AH643" s="2"/>
      <c r="AI643" s="2"/>
      <c r="AJ643" s="2"/>
      <c r="AK643" s="2"/>
      <c r="AL643" s="2"/>
      <c r="AM643" s="2"/>
      <c r="AN643" s="9"/>
      <c r="AO643" s="9"/>
      <c r="AP643" s="9"/>
      <c r="AQ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224"/>
      <c r="X644" s="224"/>
      <c r="Y644" s="868"/>
      <c r="Z644" s="865"/>
      <c r="AA644" s="2"/>
      <c r="AB644" s="2"/>
      <c r="AC644" s="2"/>
      <c r="AD644" s="2"/>
      <c r="AE644" s="2"/>
      <c r="AF644" s="2"/>
      <c r="AG644" s="2"/>
      <c r="AH644" s="2"/>
      <c r="AI644" s="2"/>
      <c r="AJ644" s="2"/>
      <c r="AK644" s="2"/>
      <c r="AL644" s="2"/>
      <c r="AM644" s="2"/>
      <c r="AN644" s="9"/>
      <c r="AO644" s="9"/>
      <c r="AP644" s="9"/>
      <c r="AQ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224"/>
      <c r="X645" s="224"/>
      <c r="Y645" s="868"/>
      <c r="Z645" s="865"/>
      <c r="AA645" s="2"/>
      <c r="AB645" s="2"/>
      <c r="AC645" s="2"/>
      <c r="AD645" s="2"/>
      <c r="AE645" s="2"/>
      <c r="AF645" s="2"/>
      <c r="AG645" s="2"/>
      <c r="AH645" s="2"/>
      <c r="AI645" s="2"/>
      <c r="AJ645" s="2"/>
      <c r="AK645" s="2"/>
      <c r="AL645" s="2"/>
      <c r="AM645" s="2"/>
      <c r="AN645" s="9"/>
      <c r="AO645" s="9"/>
      <c r="AP645" s="9"/>
      <c r="AQ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224"/>
      <c r="X646" s="224"/>
      <c r="Y646" s="868"/>
      <c r="Z646" s="865"/>
      <c r="AA646" s="2"/>
      <c r="AB646" s="2"/>
      <c r="AC646" s="2"/>
      <c r="AD646" s="2"/>
      <c r="AE646" s="2"/>
      <c r="AF646" s="2"/>
      <c r="AG646" s="2"/>
      <c r="AH646" s="2"/>
      <c r="AI646" s="2"/>
      <c r="AJ646" s="2"/>
      <c r="AK646" s="2"/>
      <c r="AL646" s="2"/>
      <c r="AM646" s="2"/>
      <c r="AN646" s="9"/>
      <c r="AO646" s="9"/>
      <c r="AP646" s="9"/>
      <c r="AQ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224"/>
      <c r="X647" s="224"/>
      <c r="Y647" s="868"/>
      <c r="Z647" s="865"/>
      <c r="AA647" s="2"/>
      <c r="AB647" s="2"/>
      <c r="AC647" s="2"/>
      <c r="AD647" s="2"/>
      <c r="AE647" s="2"/>
      <c r="AF647" s="2"/>
      <c r="AG647" s="2"/>
      <c r="AH647" s="2"/>
      <c r="AI647" s="2"/>
      <c r="AJ647" s="2"/>
      <c r="AK647" s="2"/>
      <c r="AL647" s="2"/>
      <c r="AM647" s="2"/>
      <c r="AN647" s="9"/>
      <c r="AO647" s="9"/>
      <c r="AP647" s="9"/>
      <c r="AQ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224"/>
      <c r="X648" s="224"/>
      <c r="Y648" s="868"/>
      <c r="Z648" s="865"/>
      <c r="AA648" s="2"/>
      <c r="AB648" s="2"/>
      <c r="AC648" s="2"/>
      <c r="AD648" s="2"/>
      <c r="AE648" s="2"/>
      <c r="AF648" s="2"/>
      <c r="AG648" s="2"/>
      <c r="AH648" s="2"/>
      <c r="AI648" s="2"/>
      <c r="AJ648" s="2"/>
      <c r="AK648" s="2"/>
      <c r="AL648" s="2"/>
      <c r="AM648" s="2"/>
      <c r="AN648" s="9"/>
      <c r="AO648" s="9"/>
      <c r="AP648" s="9"/>
      <c r="AQ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224"/>
      <c r="X649" s="224"/>
      <c r="Y649" s="868"/>
      <c r="Z649" s="865"/>
      <c r="AA649" s="2"/>
      <c r="AB649" s="2"/>
      <c r="AC649" s="2"/>
      <c r="AD649" s="2"/>
      <c r="AE649" s="2"/>
      <c r="AF649" s="2"/>
      <c r="AG649" s="2"/>
      <c r="AH649" s="2"/>
      <c r="AI649" s="2"/>
      <c r="AJ649" s="2"/>
      <c r="AK649" s="2"/>
      <c r="AL649" s="2"/>
      <c r="AM649" s="2"/>
      <c r="AN649" s="9"/>
      <c r="AO649" s="9"/>
      <c r="AP649" s="9"/>
      <c r="AQ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224"/>
      <c r="X650" s="224"/>
      <c r="Y650" s="868"/>
      <c r="Z650" s="865"/>
      <c r="AA650" s="2"/>
      <c r="AB650" s="2"/>
      <c r="AC650" s="2"/>
      <c r="AD650" s="2"/>
      <c r="AE650" s="2"/>
      <c r="AF650" s="2"/>
      <c r="AG650" s="2"/>
      <c r="AH650" s="2"/>
      <c r="AI650" s="2"/>
      <c r="AJ650" s="2"/>
      <c r="AK650" s="2"/>
      <c r="AL650" s="2"/>
      <c r="AM650" s="2"/>
      <c r="AN650" s="9"/>
      <c r="AO650" s="9"/>
      <c r="AP650" s="9"/>
      <c r="AQ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224"/>
      <c r="X651" s="224"/>
      <c r="Y651" s="868"/>
      <c r="Z651" s="865"/>
      <c r="AA651" s="2"/>
      <c r="AB651" s="2"/>
      <c r="AC651" s="2"/>
      <c r="AD651" s="2"/>
      <c r="AE651" s="2"/>
      <c r="AF651" s="2"/>
      <c r="AG651" s="2"/>
      <c r="AH651" s="2"/>
      <c r="AI651" s="2"/>
      <c r="AJ651" s="2"/>
      <c r="AK651" s="2"/>
      <c r="AL651" s="2"/>
      <c r="AM651" s="2"/>
      <c r="AN651" s="9"/>
      <c r="AO651" s="9"/>
      <c r="AP651" s="9"/>
      <c r="AQ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224"/>
      <c r="X652" s="224"/>
      <c r="Y652" s="868"/>
      <c r="Z652" s="865"/>
      <c r="AA652" s="2"/>
      <c r="AB652" s="2"/>
      <c r="AC652" s="2"/>
      <c r="AD652" s="2"/>
      <c r="AE652" s="2"/>
      <c r="AF652" s="2"/>
      <c r="AG652" s="2"/>
      <c r="AH652" s="2"/>
      <c r="AI652" s="2"/>
      <c r="AJ652" s="2"/>
      <c r="AK652" s="2"/>
      <c r="AL652" s="2"/>
      <c r="AM652" s="2"/>
      <c r="AN652" s="9"/>
      <c r="AO652" s="9"/>
      <c r="AP652" s="9"/>
      <c r="AQ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224"/>
      <c r="X653" s="224"/>
      <c r="Y653" s="868"/>
      <c r="Z653" s="865"/>
      <c r="AA653" s="2"/>
      <c r="AB653" s="2"/>
      <c r="AC653" s="2"/>
      <c r="AD653" s="2"/>
      <c r="AE653" s="2"/>
      <c r="AF653" s="2"/>
      <c r="AG653" s="2"/>
      <c r="AH653" s="2"/>
      <c r="AI653" s="2"/>
      <c r="AJ653" s="2"/>
      <c r="AK653" s="2"/>
      <c r="AL653" s="2"/>
      <c r="AM653" s="2"/>
      <c r="AN653" s="9"/>
      <c r="AO653" s="9"/>
      <c r="AP653" s="9"/>
      <c r="AQ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224"/>
      <c r="X654" s="224"/>
      <c r="Y654" s="868"/>
      <c r="Z654" s="865"/>
      <c r="AA654" s="2"/>
      <c r="AB654" s="2"/>
      <c r="AC654" s="2"/>
      <c r="AD654" s="2"/>
      <c r="AE654" s="2"/>
      <c r="AF654" s="2"/>
      <c r="AG654" s="2"/>
      <c r="AH654" s="2"/>
      <c r="AI654" s="2"/>
      <c r="AJ654" s="2"/>
      <c r="AK654" s="2"/>
      <c r="AL654" s="2"/>
      <c r="AM654" s="2"/>
      <c r="AN654" s="9"/>
      <c r="AO654" s="9"/>
      <c r="AP654" s="9"/>
      <c r="AQ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224"/>
      <c r="X655" s="224"/>
      <c r="Y655" s="868"/>
      <c r="Z655" s="865"/>
      <c r="AA655" s="2"/>
      <c r="AB655" s="2"/>
      <c r="AC655" s="2"/>
      <c r="AD655" s="2"/>
      <c r="AE655" s="2"/>
      <c r="AF655" s="2"/>
      <c r="AG655" s="2"/>
      <c r="AH655" s="2"/>
      <c r="AI655" s="2"/>
      <c r="AJ655" s="2"/>
      <c r="AK655" s="2"/>
      <c r="AL655" s="2"/>
      <c r="AM655" s="2"/>
      <c r="AN655" s="9"/>
      <c r="AO655" s="9"/>
      <c r="AP655" s="9"/>
      <c r="AQ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224"/>
      <c r="X656" s="224"/>
      <c r="Y656" s="868"/>
      <c r="Z656" s="865"/>
      <c r="AA656" s="2"/>
      <c r="AB656" s="2"/>
      <c r="AC656" s="2"/>
      <c r="AD656" s="2"/>
      <c r="AE656" s="2"/>
      <c r="AF656" s="2"/>
      <c r="AG656" s="2"/>
      <c r="AH656" s="2"/>
      <c r="AI656" s="2"/>
      <c r="AJ656" s="2"/>
      <c r="AK656" s="2"/>
      <c r="AL656" s="2"/>
      <c r="AM656" s="2"/>
      <c r="AN656" s="9"/>
      <c r="AO656" s="9"/>
      <c r="AP656" s="9"/>
      <c r="AQ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224"/>
      <c r="X657" s="224"/>
      <c r="Y657" s="868"/>
      <c r="Z657" s="865"/>
      <c r="AA657" s="2"/>
      <c r="AB657" s="2"/>
      <c r="AC657" s="2"/>
      <c r="AD657" s="2"/>
      <c r="AE657" s="2"/>
      <c r="AF657" s="2"/>
      <c r="AG657" s="2"/>
      <c r="AH657" s="2"/>
      <c r="AI657" s="2"/>
      <c r="AJ657" s="2"/>
      <c r="AK657" s="2"/>
      <c r="AL657" s="2"/>
      <c r="AM657" s="2"/>
      <c r="AN657" s="9"/>
      <c r="AO657" s="9"/>
      <c r="AP657" s="9"/>
      <c r="AQ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224"/>
      <c r="X658" s="224"/>
      <c r="Y658" s="868"/>
      <c r="Z658" s="865"/>
      <c r="AA658" s="2"/>
      <c r="AB658" s="2"/>
      <c r="AC658" s="2"/>
      <c r="AD658" s="2"/>
      <c r="AE658" s="2"/>
      <c r="AF658" s="2"/>
      <c r="AG658" s="2"/>
      <c r="AH658" s="2"/>
      <c r="AI658" s="2"/>
      <c r="AJ658" s="2"/>
      <c r="AK658" s="2"/>
      <c r="AL658" s="2"/>
      <c r="AM658" s="2"/>
      <c r="AN658" s="9"/>
      <c r="AO658" s="9"/>
      <c r="AP658" s="9"/>
      <c r="AQ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224"/>
      <c r="X659" s="224"/>
      <c r="Y659" s="868"/>
      <c r="Z659" s="865"/>
      <c r="AA659" s="2"/>
      <c r="AB659" s="2"/>
      <c r="AC659" s="2"/>
      <c r="AD659" s="2"/>
      <c r="AE659" s="2"/>
      <c r="AF659" s="2"/>
      <c r="AG659" s="2"/>
      <c r="AH659" s="2"/>
      <c r="AI659" s="2"/>
      <c r="AJ659" s="2"/>
      <c r="AK659" s="2"/>
      <c r="AL659" s="2"/>
      <c r="AM659" s="2"/>
      <c r="AN659" s="9"/>
      <c r="AO659" s="9"/>
      <c r="AP659" s="9"/>
      <c r="AQ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224"/>
      <c r="X660" s="224"/>
      <c r="Y660" s="868"/>
      <c r="Z660" s="865"/>
      <c r="AA660" s="2"/>
      <c r="AB660" s="2"/>
      <c r="AC660" s="2"/>
      <c r="AD660" s="2"/>
      <c r="AE660" s="2"/>
      <c r="AF660" s="2"/>
      <c r="AG660" s="2"/>
      <c r="AH660" s="2"/>
      <c r="AI660" s="2"/>
      <c r="AJ660" s="2"/>
      <c r="AK660" s="2"/>
      <c r="AL660" s="2"/>
      <c r="AM660" s="2"/>
      <c r="AN660" s="9"/>
      <c r="AO660" s="9"/>
      <c r="AP660" s="9"/>
      <c r="AQ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224"/>
      <c r="X661" s="224"/>
      <c r="Y661" s="868"/>
      <c r="Z661" s="865"/>
      <c r="AA661" s="2"/>
      <c r="AB661" s="2"/>
      <c r="AC661" s="2"/>
      <c r="AD661" s="2"/>
      <c r="AE661" s="2"/>
      <c r="AF661" s="2"/>
      <c r="AG661" s="2"/>
      <c r="AH661" s="2"/>
      <c r="AI661" s="2"/>
      <c r="AJ661" s="2"/>
      <c r="AK661" s="2"/>
      <c r="AL661" s="2"/>
      <c r="AM661" s="2"/>
      <c r="AN661" s="9"/>
      <c r="AO661" s="9"/>
      <c r="AP661" s="9"/>
      <c r="AQ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224"/>
      <c r="X662" s="224"/>
      <c r="Y662" s="868"/>
      <c r="Z662" s="865"/>
      <c r="AA662" s="2"/>
      <c r="AB662" s="2"/>
      <c r="AC662" s="2"/>
      <c r="AD662" s="2"/>
      <c r="AE662" s="2"/>
      <c r="AF662" s="2"/>
      <c r="AG662" s="2"/>
      <c r="AH662" s="2"/>
      <c r="AI662" s="2"/>
      <c r="AJ662" s="2"/>
      <c r="AK662" s="2"/>
      <c r="AL662" s="2"/>
      <c r="AM662" s="2"/>
      <c r="AN662" s="9"/>
      <c r="AO662" s="9"/>
      <c r="AP662" s="9"/>
      <c r="AQ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224"/>
      <c r="X663" s="224"/>
      <c r="Y663" s="868"/>
      <c r="Z663" s="865"/>
      <c r="AA663" s="2"/>
      <c r="AB663" s="2"/>
      <c r="AC663" s="2"/>
      <c r="AD663" s="2"/>
      <c r="AE663" s="2"/>
      <c r="AF663" s="2"/>
      <c r="AG663" s="2"/>
      <c r="AH663" s="2"/>
      <c r="AI663" s="2"/>
      <c r="AJ663" s="2"/>
      <c r="AK663" s="2"/>
      <c r="AL663" s="2"/>
      <c r="AM663" s="2"/>
      <c r="AN663" s="9"/>
      <c r="AO663" s="9"/>
      <c r="AP663" s="9"/>
      <c r="AQ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224"/>
      <c r="X664" s="224"/>
      <c r="Y664" s="868"/>
      <c r="Z664" s="865"/>
      <c r="AA664" s="2"/>
      <c r="AB664" s="2"/>
      <c r="AC664" s="2"/>
      <c r="AD664" s="2"/>
      <c r="AE664" s="2"/>
      <c r="AF664" s="2"/>
      <c r="AG664" s="2"/>
      <c r="AH664" s="2"/>
      <c r="AI664" s="2"/>
      <c r="AJ664" s="2"/>
      <c r="AK664" s="2"/>
      <c r="AL664" s="2"/>
      <c r="AM664" s="2"/>
      <c r="AN664" s="9"/>
      <c r="AO664" s="9"/>
      <c r="AP664" s="9"/>
      <c r="AQ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224"/>
      <c r="X665" s="224"/>
      <c r="Y665" s="868"/>
      <c r="Z665" s="865"/>
      <c r="AA665" s="2"/>
      <c r="AB665" s="2"/>
      <c r="AC665" s="2"/>
      <c r="AD665" s="2"/>
      <c r="AE665" s="2"/>
      <c r="AF665" s="2"/>
      <c r="AG665" s="2"/>
      <c r="AH665" s="2"/>
      <c r="AI665" s="2"/>
      <c r="AJ665" s="2"/>
      <c r="AK665" s="2"/>
      <c r="AL665" s="2"/>
      <c r="AM665" s="2"/>
      <c r="AN665" s="9"/>
      <c r="AO665" s="9"/>
      <c r="AP665" s="9"/>
      <c r="AQ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224"/>
      <c r="X666" s="224"/>
      <c r="Y666" s="868"/>
      <c r="Z666" s="865"/>
      <c r="AA666" s="2"/>
      <c r="AB666" s="2"/>
      <c r="AC666" s="2"/>
      <c r="AD666" s="2"/>
      <c r="AE666" s="2"/>
      <c r="AF666" s="2"/>
      <c r="AG666" s="2"/>
      <c r="AH666" s="2"/>
      <c r="AI666" s="2"/>
      <c r="AJ666" s="2"/>
      <c r="AK666" s="2"/>
      <c r="AL666" s="2"/>
      <c r="AM666" s="2"/>
      <c r="AN666" s="9"/>
      <c r="AO666" s="9"/>
      <c r="AP666" s="9"/>
      <c r="AQ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224"/>
      <c r="X667" s="224"/>
      <c r="Y667" s="868"/>
      <c r="Z667" s="865"/>
      <c r="AA667" s="2"/>
      <c r="AB667" s="2"/>
      <c r="AC667" s="2"/>
      <c r="AD667" s="2"/>
      <c r="AE667" s="2"/>
      <c r="AF667" s="2"/>
      <c r="AG667" s="2"/>
      <c r="AH667" s="2"/>
      <c r="AI667" s="2"/>
      <c r="AJ667" s="2"/>
      <c r="AK667" s="2"/>
      <c r="AL667" s="2"/>
      <c r="AM667" s="2"/>
      <c r="AN667" s="9"/>
      <c r="AO667" s="9"/>
      <c r="AP667" s="9"/>
      <c r="AQ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224"/>
      <c r="X668" s="224"/>
      <c r="Y668" s="868"/>
      <c r="Z668" s="865"/>
      <c r="AA668" s="2"/>
      <c r="AB668" s="2"/>
      <c r="AC668" s="2"/>
      <c r="AD668" s="2"/>
      <c r="AE668" s="2"/>
      <c r="AF668" s="2"/>
      <c r="AG668" s="2"/>
      <c r="AH668" s="2"/>
      <c r="AI668" s="2"/>
      <c r="AJ668" s="2"/>
      <c r="AK668" s="2"/>
      <c r="AL668" s="2"/>
      <c r="AM668" s="2"/>
      <c r="AN668" s="9"/>
      <c r="AO668" s="9"/>
      <c r="AP668" s="9"/>
      <c r="AQ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224"/>
      <c r="X669" s="224"/>
      <c r="Y669" s="868"/>
      <c r="Z669" s="865"/>
      <c r="AA669" s="2"/>
      <c r="AB669" s="2"/>
      <c r="AC669" s="2"/>
      <c r="AD669" s="2"/>
      <c r="AE669" s="2"/>
      <c r="AF669" s="2"/>
      <c r="AG669" s="2"/>
      <c r="AH669" s="2"/>
      <c r="AI669" s="2"/>
      <c r="AJ669" s="2"/>
      <c r="AK669" s="2"/>
      <c r="AL669" s="2"/>
      <c r="AM669" s="2"/>
      <c r="AN669" s="9"/>
      <c r="AO669" s="9"/>
      <c r="AP669" s="9"/>
      <c r="AQ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224"/>
      <c r="X670" s="224"/>
      <c r="Y670" s="868"/>
      <c r="Z670" s="865"/>
      <c r="AA670" s="2"/>
      <c r="AB670" s="2"/>
      <c r="AC670" s="2"/>
      <c r="AD670" s="2"/>
      <c r="AE670" s="2"/>
      <c r="AF670" s="2"/>
      <c r="AG670" s="2"/>
      <c r="AH670" s="2"/>
      <c r="AI670" s="2"/>
      <c r="AJ670" s="2"/>
      <c r="AK670" s="2"/>
      <c r="AL670" s="2"/>
      <c r="AM670" s="2"/>
      <c r="AN670" s="9"/>
      <c r="AO670" s="9"/>
      <c r="AP670" s="9"/>
      <c r="AQ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224"/>
      <c r="X671" s="224"/>
      <c r="Y671" s="868"/>
      <c r="Z671" s="865"/>
      <c r="AA671" s="2"/>
      <c r="AB671" s="2"/>
      <c r="AC671" s="2"/>
      <c r="AD671" s="2"/>
      <c r="AE671" s="2"/>
      <c r="AF671" s="2"/>
      <c r="AG671" s="2"/>
      <c r="AH671" s="2"/>
      <c r="AI671" s="2"/>
      <c r="AJ671" s="2"/>
      <c r="AK671" s="2"/>
      <c r="AL671" s="2"/>
      <c r="AM671" s="2"/>
      <c r="AN671" s="9"/>
      <c r="AO671" s="9"/>
      <c r="AP671" s="9"/>
      <c r="AQ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224"/>
      <c r="X672" s="224"/>
      <c r="Y672" s="868"/>
      <c r="Z672" s="865"/>
      <c r="AA672" s="2"/>
      <c r="AB672" s="2"/>
      <c r="AC672" s="2"/>
      <c r="AD672" s="2"/>
      <c r="AE672" s="2"/>
      <c r="AF672" s="2"/>
      <c r="AG672" s="2"/>
      <c r="AH672" s="2"/>
      <c r="AI672" s="2"/>
      <c r="AJ672" s="2"/>
      <c r="AK672" s="2"/>
      <c r="AL672" s="2"/>
      <c r="AM672" s="2"/>
      <c r="AN672" s="9"/>
      <c r="AO672" s="9"/>
      <c r="AP672" s="9"/>
      <c r="AQ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224"/>
      <c r="X673" s="224"/>
      <c r="Y673" s="868"/>
      <c r="Z673" s="865"/>
      <c r="AA673" s="2"/>
      <c r="AB673" s="2"/>
      <c r="AC673" s="2"/>
      <c r="AD673" s="2"/>
      <c r="AE673" s="2"/>
      <c r="AF673" s="2"/>
      <c r="AG673" s="2"/>
      <c r="AH673" s="2"/>
      <c r="AI673" s="2"/>
      <c r="AJ673" s="2"/>
      <c r="AK673" s="2"/>
      <c r="AL673" s="2"/>
      <c r="AM673" s="2"/>
      <c r="AN673" s="9"/>
      <c r="AO673" s="9"/>
      <c r="AP673" s="9"/>
      <c r="AQ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224"/>
      <c r="X674" s="224"/>
      <c r="Y674" s="868"/>
      <c r="Z674" s="865"/>
      <c r="AA674" s="2"/>
      <c r="AB674" s="2"/>
      <c r="AC674" s="2"/>
      <c r="AD674" s="2"/>
      <c r="AE674" s="2"/>
      <c r="AF674" s="2"/>
      <c r="AG674" s="2"/>
      <c r="AH674" s="2"/>
      <c r="AI674" s="2"/>
      <c r="AJ674" s="2"/>
      <c r="AK674" s="2"/>
      <c r="AL674" s="2"/>
      <c r="AM674" s="2"/>
      <c r="AN674" s="9"/>
      <c r="AO674" s="9"/>
      <c r="AP674" s="9"/>
      <c r="AQ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224"/>
      <c r="X675" s="224"/>
      <c r="Y675" s="868"/>
      <c r="Z675" s="865"/>
      <c r="AA675" s="2"/>
      <c r="AB675" s="2"/>
      <c r="AC675" s="2"/>
      <c r="AD675" s="2"/>
      <c r="AE675" s="2"/>
      <c r="AF675" s="2"/>
      <c r="AG675" s="2"/>
      <c r="AH675" s="2"/>
      <c r="AI675" s="2"/>
      <c r="AJ675" s="2"/>
      <c r="AK675" s="2"/>
      <c r="AL675" s="2"/>
      <c r="AM675" s="2"/>
      <c r="AN675" s="9"/>
      <c r="AO675" s="9"/>
      <c r="AP675" s="9"/>
      <c r="AQ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224"/>
      <c r="X676" s="224"/>
      <c r="Y676" s="868"/>
      <c r="Z676" s="865"/>
      <c r="AA676" s="2"/>
      <c r="AB676" s="2"/>
      <c r="AC676" s="2"/>
      <c r="AD676" s="2"/>
      <c r="AE676" s="2"/>
      <c r="AF676" s="2"/>
      <c r="AG676" s="2"/>
      <c r="AH676" s="2"/>
      <c r="AI676" s="2"/>
      <c r="AJ676" s="2"/>
      <c r="AK676" s="2"/>
      <c r="AL676" s="2"/>
      <c r="AM676" s="2"/>
      <c r="AN676" s="9"/>
      <c r="AO676" s="9"/>
      <c r="AP676" s="9"/>
      <c r="AQ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224"/>
      <c r="X677" s="224"/>
      <c r="Y677" s="868"/>
      <c r="Z677" s="865"/>
      <c r="AA677" s="2"/>
      <c r="AB677" s="2"/>
      <c r="AC677" s="2"/>
      <c r="AD677" s="2"/>
      <c r="AE677" s="2"/>
      <c r="AF677" s="2"/>
      <c r="AG677" s="2"/>
      <c r="AH677" s="2"/>
      <c r="AI677" s="2"/>
      <c r="AJ677" s="2"/>
      <c r="AK677" s="2"/>
      <c r="AL677" s="2"/>
      <c r="AM677" s="2"/>
      <c r="AN677" s="9"/>
      <c r="AO677" s="9"/>
      <c r="AP677" s="9"/>
      <c r="AQ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224"/>
      <c r="X678" s="224"/>
      <c r="Y678" s="868"/>
      <c r="Z678" s="865"/>
      <c r="AA678" s="2"/>
      <c r="AB678" s="2"/>
      <c r="AC678" s="2"/>
      <c r="AD678" s="2"/>
      <c r="AE678" s="2"/>
      <c r="AF678" s="2"/>
      <c r="AG678" s="2"/>
      <c r="AH678" s="2"/>
      <c r="AI678" s="2"/>
      <c r="AJ678" s="2"/>
      <c r="AK678" s="2"/>
      <c r="AL678" s="2"/>
      <c r="AM678" s="2"/>
      <c r="AN678" s="9"/>
      <c r="AO678" s="9"/>
      <c r="AP678" s="9"/>
      <c r="AQ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224"/>
      <c r="X679" s="224"/>
      <c r="Y679" s="868"/>
      <c r="Z679" s="865"/>
      <c r="AA679" s="2"/>
      <c r="AB679" s="2"/>
      <c r="AC679" s="2"/>
      <c r="AD679" s="2"/>
      <c r="AE679" s="2"/>
      <c r="AF679" s="2"/>
      <c r="AG679" s="2"/>
      <c r="AH679" s="2"/>
      <c r="AI679" s="2"/>
      <c r="AJ679" s="2"/>
      <c r="AK679" s="2"/>
      <c r="AL679" s="2"/>
      <c r="AM679" s="2"/>
      <c r="AN679" s="9"/>
      <c r="AO679" s="9"/>
      <c r="AP679" s="9"/>
      <c r="AQ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224"/>
      <c r="X680" s="224"/>
      <c r="Y680" s="868"/>
      <c r="Z680" s="865"/>
      <c r="AA680" s="2"/>
      <c r="AB680" s="2"/>
      <c r="AC680" s="2"/>
      <c r="AD680" s="2"/>
      <c r="AE680" s="2"/>
      <c r="AF680" s="2"/>
      <c r="AG680" s="2"/>
      <c r="AH680" s="2"/>
      <c r="AI680" s="2"/>
      <c r="AJ680" s="2"/>
      <c r="AK680" s="2"/>
      <c r="AL680" s="2"/>
      <c r="AM680" s="2"/>
      <c r="AN680" s="9"/>
      <c r="AO680" s="9"/>
      <c r="AP680" s="9"/>
      <c r="AQ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224"/>
      <c r="X681" s="224"/>
      <c r="Y681" s="868"/>
      <c r="Z681" s="865"/>
      <c r="AA681" s="2"/>
      <c r="AB681" s="2"/>
      <c r="AC681" s="2"/>
      <c r="AD681" s="2"/>
      <c r="AE681" s="2"/>
      <c r="AF681" s="2"/>
      <c r="AG681" s="2"/>
      <c r="AH681" s="2"/>
      <c r="AI681" s="2"/>
      <c r="AJ681" s="2"/>
      <c r="AK681" s="2"/>
      <c r="AL681" s="2"/>
      <c r="AM681" s="2"/>
      <c r="AN681" s="9"/>
      <c r="AO681" s="9"/>
      <c r="AP681" s="9"/>
      <c r="AQ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224"/>
      <c r="X682" s="224"/>
      <c r="Y682" s="868"/>
      <c r="Z682" s="865"/>
      <c r="AA682" s="2"/>
      <c r="AB682" s="2"/>
      <c r="AC682" s="2"/>
      <c r="AD682" s="2"/>
      <c r="AE682" s="2"/>
      <c r="AF682" s="2"/>
      <c r="AG682" s="2"/>
      <c r="AH682" s="2"/>
      <c r="AI682" s="2"/>
      <c r="AJ682" s="2"/>
      <c r="AK682" s="2"/>
      <c r="AL682" s="2"/>
      <c r="AM682" s="2"/>
      <c r="AN682" s="9"/>
      <c r="AO682" s="9"/>
      <c r="AP682" s="9"/>
      <c r="AQ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224"/>
      <c r="X683" s="224"/>
      <c r="Y683" s="868"/>
      <c r="Z683" s="865"/>
      <c r="AA683" s="2"/>
      <c r="AB683" s="2"/>
      <c r="AC683" s="2"/>
      <c r="AD683" s="2"/>
      <c r="AE683" s="2"/>
      <c r="AF683" s="2"/>
      <c r="AG683" s="2"/>
      <c r="AH683" s="2"/>
      <c r="AI683" s="2"/>
      <c r="AJ683" s="2"/>
      <c r="AK683" s="2"/>
      <c r="AL683" s="2"/>
      <c r="AM683" s="2"/>
      <c r="AN683" s="9"/>
      <c r="AO683" s="9"/>
      <c r="AP683" s="9"/>
      <c r="AQ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224"/>
      <c r="X684" s="224"/>
      <c r="Y684" s="868"/>
      <c r="Z684" s="865"/>
      <c r="AA684" s="2"/>
      <c r="AB684" s="2"/>
      <c r="AC684" s="2"/>
      <c r="AD684" s="2"/>
      <c r="AE684" s="2"/>
      <c r="AF684" s="2"/>
      <c r="AG684" s="2"/>
      <c r="AH684" s="2"/>
      <c r="AI684" s="2"/>
      <c r="AJ684" s="2"/>
      <c r="AK684" s="2"/>
      <c r="AL684" s="2"/>
      <c r="AM684" s="2"/>
      <c r="AN684" s="9"/>
      <c r="AO684" s="9"/>
      <c r="AP684" s="9"/>
      <c r="AQ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224"/>
      <c r="X685" s="224"/>
      <c r="Y685" s="868"/>
      <c r="Z685" s="865"/>
      <c r="AA685" s="2"/>
      <c r="AB685" s="2"/>
      <c r="AC685" s="2"/>
      <c r="AD685" s="2"/>
      <c r="AE685" s="2"/>
      <c r="AF685" s="2"/>
      <c r="AG685" s="2"/>
      <c r="AH685" s="2"/>
      <c r="AI685" s="2"/>
      <c r="AJ685" s="2"/>
      <c r="AK685" s="2"/>
      <c r="AL685" s="2"/>
      <c r="AM685" s="2"/>
      <c r="AN685" s="9"/>
      <c r="AO685" s="9"/>
      <c r="AP685" s="9"/>
      <c r="AQ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224"/>
      <c r="X686" s="224"/>
      <c r="Y686" s="868"/>
      <c r="Z686" s="865"/>
      <c r="AA686" s="2"/>
      <c r="AB686" s="2"/>
      <c r="AC686" s="2"/>
      <c r="AD686" s="2"/>
      <c r="AE686" s="2"/>
      <c r="AF686" s="2"/>
      <c r="AG686" s="2"/>
      <c r="AH686" s="2"/>
      <c r="AI686" s="2"/>
      <c r="AJ686" s="2"/>
      <c r="AK686" s="2"/>
      <c r="AL686" s="2"/>
      <c r="AM686" s="2"/>
      <c r="AN686" s="9"/>
      <c r="AO686" s="9"/>
      <c r="AP686" s="9"/>
      <c r="AQ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224"/>
      <c r="X687" s="224"/>
      <c r="Y687" s="868"/>
      <c r="Z687" s="865"/>
      <c r="AA687" s="2"/>
      <c r="AB687" s="2"/>
      <c r="AC687" s="2"/>
      <c r="AD687" s="2"/>
      <c r="AE687" s="2"/>
      <c r="AF687" s="2"/>
      <c r="AG687" s="2"/>
      <c r="AH687" s="2"/>
      <c r="AI687" s="2"/>
      <c r="AJ687" s="2"/>
      <c r="AK687" s="2"/>
      <c r="AL687" s="2"/>
      <c r="AM687" s="2"/>
      <c r="AN687" s="9"/>
      <c r="AO687" s="9"/>
      <c r="AP687" s="9"/>
      <c r="AQ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224"/>
      <c r="X688" s="224"/>
      <c r="Y688" s="868"/>
      <c r="Z688" s="865"/>
      <c r="AA688" s="2"/>
      <c r="AB688" s="2"/>
      <c r="AC688" s="2"/>
      <c r="AD688" s="2"/>
      <c r="AE688" s="2"/>
      <c r="AF688" s="2"/>
      <c r="AG688" s="2"/>
      <c r="AH688" s="2"/>
      <c r="AI688" s="2"/>
      <c r="AJ688" s="2"/>
      <c r="AK688" s="2"/>
      <c r="AL688" s="2"/>
      <c r="AM688" s="2"/>
      <c r="AN688" s="9"/>
      <c r="AO688" s="9"/>
      <c r="AP688" s="9"/>
      <c r="AQ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224"/>
      <c r="X689" s="224"/>
      <c r="Y689" s="868"/>
      <c r="Z689" s="865"/>
      <c r="AA689" s="2"/>
      <c r="AB689" s="2"/>
      <c r="AC689" s="2"/>
      <c r="AD689" s="2"/>
      <c r="AE689" s="2"/>
      <c r="AF689" s="2"/>
      <c r="AG689" s="2"/>
      <c r="AH689" s="2"/>
      <c r="AI689" s="2"/>
      <c r="AJ689" s="2"/>
      <c r="AK689" s="2"/>
      <c r="AL689" s="2"/>
      <c r="AM689" s="2"/>
      <c r="AN689" s="9"/>
      <c r="AO689" s="9"/>
      <c r="AP689" s="9"/>
      <c r="AQ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224"/>
      <c r="X690" s="224"/>
      <c r="Y690" s="868"/>
      <c r="Z690" s="865"/>
      <c r="AA690" s="2"/>
      <c r="AB690" s="2"/>
      <c r="AC690" s="2"/>
      <c r="AD690" s="2"/>
      <c r="AE690" s="2"/>
      <c r="AF690" s="2"/>
      <c r="AG690" s="2"/>
      <c r="AH690" s="2"/>
      <c r="AI690" s="2"/>
      <c r="AJ690" s="2"/>
      <c r="AK690" s="2"/>
      <c r="AL690" s="2"/>
      <c r="AM690" s="2"/>
      <c r="AN690" s="9"/>
      <c r="AO690" s="9"/>
      <c r="AP690" s="9"/>
      <c r="AQ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224"/>
      <c r="X691" s="224"/>
      <c r="Y691" s="868"/>
      <c r="Z691" s="865"/>
      <c r="AA691" s="2"/>
      <c r="AB691" s="2"/>
      <c r="AC691" s="2"/>
      <c r="AD691" s="2"/>
      <c r="AE691" s="2"/>
      <c r="AF691" s="2"/>
      <c r="AG691" s="2"/>
      <c r="AH691" s="2"/>
      <c r="AI691" s="2"/>
      <c r="AJ691" s="2"/>
      <c r="AK691" s="2"/>
      <c r="AL691" s="2"/>
      <c r="AM691" s="2"/>
      <c r="AN691" s="9"/>
      <c r="AO691" s="9"/>
      <c r="AP691" s="9"/>
      <c r="AQ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224"/>
      <c r="X692" s="224"/>
      <c r="Y692" s="868"/>
      <c r="Z692" s="865"/>
      <c r="AA692" s="2"/>
      <c r="AB692" s="2"/>
      <c r="AC692" s="2"/>
      <c r="AD692" s="2"/>
      <c r="AE692" s="2"/>
      <c r="AF692" s="2"/>
      <c r="AG692" s="2"/>
      <c r="AH692" s="2"/>
      <c r="AI692" s="2"/>
      <c r="AJ692" s="2"/>
      <c r="AK692" s="2"/>
      <c r="AL692" s="2"/>
      <c r="AM692" s="2"/>
      <c r="AN692" s="9"/>
      <c r="AO692" s="9"/>
      <c r="AP692" s="9"/>
      <c r="AQ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224"/>
      <c r="X693" s="224"/>
      <c r="Y693" s="868"/>
      <c r="Z693" s="865"/>
      <c r="AA693" s="2"/>
      <c r="AB693" s="2"/>
      <c r="AC693" s="2"/>
      <c r="AD693" s="2"/>
      <c r="AE693" s="2"/>
      <c r="AF693" s="2"/>
      <c r="AG693" s="2"/>
      <c r="AH693" s="2"/>
      <c r="AI693" s="2"/>
      <c r="AJ693" s="2"/>
      <c r="AK693" s="2"/>
      <c r="AL693" s="2"/>
      <c r="AM693" s="2"/>
      <c r="AN693" s="9"/>
      <c r="AO693" s="9"/>
      <c r="AP693" s="9"/>
      <c r="AQ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224"/>
      <c r="X694" s="224"/>
      <c r="Y694" s="868"/>
      <c r="Z694" s="865"/>
      <c r="AA694" s="2"/>
      <c r="AB694" s="2"/>
      <c r="AC694" s="2"/>
      <c r="AD694" s="2"/>
      <c r="AE694" s="2"/>
      <c r="AF694" s="2"/>
      <c r="AG694" s="2"/>
      <c r="AH694" s="2"/>
      <c r="AI694" s="2"/>
      <c r="AJ694" s="2"/>
      <c r="AK694" s="2"/>
      <c r="AL694" s="2"/>
      <c r="AM694" s="2"/>
      <c r="AN694" s="9"/>
      <c r="AO694" s="9"/>
      <c r="AP694" s="9"/>
      <c r="AQ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224"/>
      <c r="X695" s="224"/>
      <c r="Y695" s="868"/>
      <c r="Z695" s="865"/>
      <c r="AA695" s="2"/>
      <c r="AB695" s="2"/>
      <c r="AC695" s="2"/>
      <c r="AD695" s="2"/>
      <c r="AE695" s="2"/>
      <c r="AF695" s="2"/>
      <c r="AG695" s="2"/>
      <c r="AH695" s="2"/>
      <c r="AI695" s="2"/>
      <c r="AJ695" s="2"/>
      <c r="AK695" s="2"/>
      <c r="AL695" s="2"/>
      <c r="AM695" s="2"/>
      <c r="AN695" s="9"/>
      <c r="AO695" s="9"/>
      <c r="AP695" s="9"/>
      <c r="AQ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224"/>
      <c r="X696" s="224"/>
      <c r="Y696" s="868"/>
      <c r="Z696" s="865"/>
      <c r="AA696" s="2"/>
      <c r="AB696" s="2"/>
      <c r="AC696" s="2"/>
      <c r="AD696" s="2"/>
      <c r="AE696" s="2"/>
      <c r="AF696" s="2"/>
      <c r="AG696" s="2"/>
      <c r="AH696" s="2"/>
      <c r="AI696" s="2"/>
      <c r="AJ696" s="2"/>
      <c r="AK696" s="2"/>
      <c r="AL696" s="2"/>
      <c r="AM696" s="2"/>
      <c r="AN696" s="9"/>
      <c r="AO696" s="9"/>
      <c r="AP696" s="9"/>
      <c r="AQ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224"/>
      <c r="X697" s="224"/>
      <c r="Y697" s="868"/>
      <c r="Z697" s="865"/>
      <c r="AA697" s="2"/>
      <c r="AB697" s="2"/>
      <c r="AC697" s="2"/>
      <c r="AD697" s="2"/>
      <c r="AE697" s="2"/>
      <c r="AF697" s="2"/>
      <c r="AG697" s="2"/>
      <c r="AH697" s="2"/>
      <c r="AI697" s="2"/>
      <c r="AJ697" s="2"/>
      <c r="AK697" s="2"/>
      <c r="AL697" s="2"/>
      <c r="AM697" s="2"/>
      <c r="AN697" s="9"/>
      <c r="AO697" s="9"/>
      <c r="AP697" s="9"/>
      <c r="AQ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224"/>
      <c r="X698" s="224"/>
      <c r="Y698" s="868"/>
      <c r="Z698" s="865"/>
      <c r="AA698" s="2"/>
      <c r="AB698" s="2"/>
      <c r="AC698" s="2"/>
      <c r="AD698" s="2"/>
      <c r="AE698" s="2"/>
      <c r="AF698" s="2"/>
      <c r="AG698" s="2"/>
      <c r="AH698" s="2"/>
      <c r="AI698" s="2"/>
      <c r="AJ698" s="2"/>
      <c r="AK698" s="2"/>
      <c r="AL698" s="2"/>
      <c r="AM698" s="2"/>
      <c r="AN698" s="9"/>
      <c r="AO698" s="9"/>
      <c r="AP698" s="9"/>
      <c r="AQ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224"/>
      <c r="X699" s="224"/>
      <c r="Y699" s="868"/>
      <c r="Z699" s="865"/>
      <c r="AA699" s="2"/>
      <c r="AB699" s="2"/>
      <c r="AC699" s="2"/>
      <c r="AD699" s="2"/>
      <c r="AE699" s="2"/>
      <c r="AF699" s="2"/>
      <c r="AG699" s="2"/>
      <c r="AH699" s="2"/>
      <c r="AI699" s="2"/>
      <c r="AJ699" s="2"/>
      <c r="AK699" s="2"/>
      <c r="AL699" s="2"/>
      <c r="AM699" s="2"/>
      <c r="AN699" s="9"/>
      <c r="AO699" s="9"/>
      <c r="AP699" s="9"/>
      <c r="AQ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224"/>
      <c r="X700" s="224"/>
      <c r="Y700" s="868"/>
      <c r="Z700" s="865"/>
      <c r="AA700" s="2"/>
      <c r="AB700" s="2"/>
      <c r="AC700" s="2"/>
      <c r="AD700" s="2"/>
      <c r="AE700" s="2"/>
      <c r="AF700" s="2"/>
      <c r="AG700" s="2"/>
      <c r="AH700" s="2"/>
      <c r="AI700" s="2"/>
      <c r="AJ700" s="2"/>
      <c r="AK700" s="2"/>
      <c r="AL700" s="2"/>
      <c r="AM700" s="2"/>
      <c r="AN700" s="9"/>
      <c r="AO700" s="9"/>
      <c r="AP700" s="9"/>
      <c r="AQ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224"/>
      <c r="X701" s="224"/>
      <c r="Y701" s="868"/>
      <c r="Z701" s="865"/>
      <c r="AA701" s="2"/>
      <c r="AB701" s="2"/>
      <c r="AC701" s="2"/>
      <c r="AD701" s="2"/>
      <c r="AE701" s="2"/>
      <c r="AF701" s="2"/>
      <c r="AG701" s="2"/>
      <c r="AH701" s="2"/>
      <c r="AI701" s="2"/>
      <c r="AJ701" s="2"/>
      <c r="AK701" s="2"/>
      <c r="AL701" s="2"/>
      <c r="AM701" s="2"/>
      <c r="AN701" s="9"/>
      <c r="AO701" s="9"/>
      <c r="AP701" s="9"/>
      <c r="AQ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224"/>
      <c r="X702" s="224"/>
      <c r="Y702" s="868"/>
      <c r="Z702" s="865"/>
      <c r="AA702" s="2"/>
      <c r="AB702" s="2"/>
      <c r="AC702" s="2"/>
      <c r="AD702" s="2"/>
      <c r="AE702" s="2"/>
      <c r="AF702" s="2"/>
      <c r="AG702" s="2"/>
      <c r="AH702" s="2"/>
      <c r="AI702" s="2"/>
      <c r="AJ702" s="2"/>
      <c r="AK702" s="2"/>
      <c r="AL702" s="2"/>
      <c r="AM702" s="2"/>
      <c r="AN702" s="9"/>
      <c r="AO702" s="9"/>
      <c r="AP702" s="9"/>
      <c r="AQ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224"/>
      <c r="X703" s="224"/>
      <c r="Y703" s="868"/>
      <c r="Z703" s="865"/>
      <c r="AA703" s="2"/>
      <c r="AB703" s="2"/>
      <c r="AC703" s="2"/>
      <c r="AD703" s="2"/>
      <c r="AE703" s="2"/>
      <c r="AF703" s="2"/>
      <c r="AG703" s="2"/>
      <c r="AH703" s="2"/>
      <c r="AI703" s="2"/>
      <c r="AJ703" s="2"/>
      <c r="AK703" s="2"/>
      <c r="AL703" s="2"/>
      <c r="AM703" s="2"/>
      <c r="AN703" s="9"/>
      <c r="AO703" s="9"/>
      <c r="AP703" s="9"/>
      <c r="AQ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224"/>
      <c r="X704" s="224"/>
      <c r="Y704" s="868"/>
      <c r="Z704" s="865"/>
      <c r="AA704" s="2"/>
      <c r="AB704" s="2"/>
      <c r="AC704" s="2"/>
      <c r="AD704" s="2"/>
      <c r="AE704" s="2"/>
      <c r="AF704" s="2"/>
      <c r="AG704" s="2"/>
      <c r="AH704" s="2"/>
      <c r="AI704" s="2"/>
      <c r="AJ704" s="2"/>
      <c r="AK704" s="2"/>
      <c r="AL704" s="2"/>
      <c r="AM704" s="2"/>
      <c r="AN704" s="9"/>
      <c r="AO704" s="9"/>
      <c r="AP704" s="9"/>
      <c r="AQ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224"/>
      <c r="X705" s="224"/>
      <c r="Y705" s="868"/>
      <c r="Z705" s="865"/>
      <c r="AA705" s="2"/>
      <c r="AB705" s="2"/>
      <c r="AC705" s="2"/>
      <c r="AD705" s="2"/>
      <c r="AE705" s="2"/>
      <c r="AF705" s="2"/>
      <c r="AG705" s="2"/>
      <c r="AH705" s="2"/>
      <c r="AI705" s="2"/>
      <c r="AJ705" s="2"/>
      <c r="AK705" s="2"/>
      <c r="AL705" s="2"/>
      <c r="AM705" s="2"/>
      <c r="AN705" s="9"/>
      <c r="AO705" s="9"/>
      <c r="AP705" s="9"/>
      <c r="AQ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224"/>
      <c r="X706" s="224"/>
      <c r="Y706" s="868"/>
      <c r="Z706" s="865"/>
      <c r="AA706" s="2"/>
      <c r="AB706" s="2"/>
      <c r="AC706" s="2"/>
      <c r="AD706" s="2"/>
      <c r="AE706" s="2"/>
      <c r="AF706" s="2"/>
      <c r="AG706" s="2"/>
      <c r="AH706" s="2"/>
      <c r="AI706" s="2"/>
      <c r="AJ706" s="2"/>
      <c r="AK706" s="2"/>
      <c r="AL706" s="2"/>
      <c r="AM706" s="2"/>
      <c r="AN706" s="9"/>
      <c r="AO706" s="9"/>
      <c r="AP706" s="9"/>
      <c r="AQ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224"/>
      <c r="X707" s="224"/>
      <c r="Y707" s="868"/>
      <c r="Z707" s="865"/>
      <c r="AA707" s="2"/>
      <c r="AB707" s="2"/>
      <c r="AC707" s="2"/>
      <c r="AD707" s="2"/>
      <c r="AE707" s="2"/>
      <c r="AF707" s="2"/>
      <c r="AG707" s="2"/>
      <c r="AH707" s="2"/>
      <c r="AI707" s="2"/>
      <c r="AJ707" s="2"/>
      <c r="AK707" s="2"/>
      <c r="AL707" s="2"/>
      <c r="AM707" s="2"/>
      <c r="AN707" s="9"/>
      <c r="AO707" s="9"/>
      <c r="AP707" s="9"/>
      <c r="AQ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224"/>
      <c r="X708" s="224"/>
      <c r="Y708" s="868"/>
      <c r="Z708" s="865"/>
      <c r="AA708" s="2"/>
      <c r="AB708" s="2"/>
      <c r="AC708" s="2"/>
      <c r="AD708" s="2"/>
      <c r="AE708" s="2"/>
      <c r="AF708" s="2"/>
      <c r="AG708" s="2"/>
      <c r="AH708" s="2"/>
      <c r="AI708" s="2"/>
      <c r="AJ708" s="2"/>
      <c r="AK708" s="2"/>
      <c r="AL708" s="2"/>
      <c r="AM708" s="2"/>
      <c r="AN708" s="9"/>
      <c r="AO708" s="9"/>
      <c r="AP708" s="9"/>
      <c r="AQ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224"/>
      <c r="X709" s="224"/>
      <c r="Y709" s="868"/>
      <c r="Z709" s="865"/>
      <c r="AA709" s="2"/>
      <c r="AB709" s="2"/>
      <c r="AC709" s="2"/>
      <c r="AD709" s="2"/>
      <c r="AE709" s="2"/>
      <c r="AF709" s="2"/>
      <c r="AG709" s="2"/>
      <c r="AH709" s="2"/>
      <c r="AI709" s="2"/>
      <c r="AJ709" s="2"/>
      <c r="AK709" s="2"/>
      <c r="AL709" s="2"/>
      <c r="AM709" s="2"/>
      <c r="AN709" s="9"/>
      <c r="AO709" s="9"/>
      <c r="AP709" s="9"/>
      <c r="AQ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224"/>
      <c r="X710" s="224"/>
      <c r="Y710" s="868"/>
      <c r="Z710" s="865"/>
      <c r="AA710" s="2"/>
      <c r="AB710" s="2"/>
      <c r="AC710" s="2"/>
      <c r="AD710" s="2"/>
      <c r="AE710" s="2"/>
      <c r="AF710" s="2"/>
      <c r="AG710" s="2"/>
      <c r="AH710" s="2"/>
      <c r="AI710" s="2"/>
      <c r="AJ710" s="2"/>
      <c r="AK710" s="2"/>
      <c r="AL710" s="2"/>
      <c r="AM710" s="2"/>
      <c r="AN710" s="9"/>
      <c r="AO710" s="9"/>
      <c r="AP710" s="9"/>
      <c r="AQ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224"/>
      <c r="X711" s="224"/>
      <c r="Y711" s="868"/>
      <c r="Z711" s="865"/>
      <c r="AA711" s="2"/>
      <c r="AB711" s="2"/>
      <c r="AC711" s="2"/>
      <c r="AD711" s="2"/>
      <c r="AE711" s="2"/>
      <c r="AF711" s="2"/>
      <c r="AG711" s="2"/>
      <c r="AH711" s="2"/>
      <c r="AI711" s="2"/>
      <c r="AJ711" s="2"/>
      <c r="AK711" s="2"/>
      <c r="AL711" s="2"/>
      <c r="AM711" s="2"/>
      <c r="AN711" s="9"/>
      <c r="AO711" s="9"/>
      <c r="AP711" s="9"/>
      <c r="AQ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224"/>
      <c r="X712" s="224"/>
      <c r="Y712" s="868"/>
      <c r="Z712" s="865"/>
      <c r="AA712" s="2"/>
      <c r="AB712" s="2"/>
      <c r="AC712" s="2"/>
      <c r="AD712" s="2"/>
      <c r="AE712" s="2"/>
      <c r="AF712" s="2"/>
      <c r="AG712" s="2"/>
      <c r="AH712" s="2"/>
      <c r="AI712" s="2"/>
      <c r="AJ712" s="2"/>
      <c r="AK712" s="2"/>
      <c r="AL712" s="2"/>
      <c r="AM712" s="2"/>
      <c r="AN712" s="9"/>
      <c r="AO712" s="9"/>
      <c r="AP712" s="9"/>
      <c r="AQ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224"/>
      <c r="X713" s="224"/>
      <c r="Y713" s="868"/>
      <c r="Z713" s="865"/>
      <c r="AA713" s="2"/>
      <c r="AB713" s="2"/>
      <c r="AC713" s="2"/>
      <c r="AD713" s="2"/>
      <c r="AE713" s="2"/>
      <c r="AF713" s="2"/>
      <c r="AG713" s="2"/>
      <c r="AH713" s="2"/>
      <c r="AI713" s="2"/>
      <c r="AJ713" s="2"/>
      <c r="AK713" s="2"/>
      <c r="AL713" s="2"/>
      <c r="AM713" s="2"/>
      <c r="AN713" s="9"/>
      <c r="AO713" s="9"/>
      <c r="AP713" s="9"/>
      <c r="AQ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224"/>
      <c r="X714" s="224"/>
      <c r="Y714" s="868"/>
      <c r="Z714" s="865"/>
      <c r="AA714" s="2"/>
      <c r="AB714" s="2"/>
      <c r="AC714" s="2"/>
      <c r="AD714" s="2"/>
      <c r="AE714" s="2"/>
      <c r="AF714" s="2"/>
      <c r="AG714" s="2"/>
      <c r="AH714" s="2"/>
      <c r="AI714" s="2"/>
      <c r="AJ714" s="2"/>
      <c r="AK714" s="2"/>
      <c r="AL714" s="2"/>
      <c r="AM714" s="2"/>
      <c r="AN714" s="9"/>
      <c r="AO714" s="9"/>
      <c r="AP714" s="9"/>
      <c r="AQ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224"/>
      <c r="X715" s="224"/>
      <c r="Y715" s="868"/>
      <c r="Z715" s="865"/>
      <c r="AA715" s="2"/>
      <c r="AB715" s="2"/>
      <c r="AC715" s="2"/>
      <c r="AD715" s="2"/>
      <c r="AE715" s="2"/>
      <c r="AF715" s="2"/>
      <c r="AG715" s="2"/>
      <c r="AH715" s="2"/>
      <c r="AI715" s="2"/>
      <c r="AJ715" s="2"/>
      <c r="AK715" s="2"/>
      <c r="AL715" s="2"/>
      <c r="AM715" s="2"/>
      <c r="AN715" s="9"/>
      <c r="AO715" s="9"/>
      <c r="AP715" s="9"/>
      <c r="AQ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224"/>
      <c r="X716" s="224"/>
      <c r="Y716" s="868"/>
      <c r="Z716" s="865"/>
      <c r="AA716" s="2"/>
      <c r="AB716" s="2"/>
      <c r="AC716" s="2"/>
      <c r="AD716" s="2"/>
      <c r="AE716" s="2"/>
      <c r="AF716" s="2"/>
      <c r="AG716" s="2"/>
      <c r="AH716" s="2"/>
      <c r="AI716" s="2"/>
      <c r="AJ716" s="2"/>
      <c r="AK716" s="2"/>
      <c r="AL716" s="2"/>
      <c r="AM716" s="2"/>
      <c r="AN716" s="9"/>
      <c r="AO716" s="9"/>
      <c r="AP716" s="9"/>
      <c r="AQ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224"/>
      <c r="X717" s="224"/>
      <c r="Y717" s="868"/>
      <c r="Z717" s="865"/>
      <c r="AA717" s="2"/>
      <c r="AB717" s="2"/>
      <c r="AC717" s="2"/>
      <c r="AD717" s="2"/>
      <c r="AE717" s="2"/>
      <c r="AF717" s="2"/>
      <c r="AG717" s="2"/>
      <c r="AH717" s="2"/>
      <c r="AI717" s="2"/>
      <c r="AJ717" s="2"/>
      <c r="AK717" s="2"/>
      <c r="AL717" s="2"/>
      <c r="AM717" s="2"/>
      <c r="AN717" s="9"/>
      <c r="AO717" s="9"/>
      <c r="AP717" s="9"/>
      <c r="AQ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224"/>
      <c r="X718" s="224"/>
      <c r="Y718" s="868"/>
      <c r="Z718" s="865"/>
      <c r="AA718" s="2"/>
      <c r="AB718" s="2"/>
      <c r="AC718" s="2"/>
      <c r="AD718" s="2"/>
      <c r="AE718" s="2"/>
      <c r="AF718" s="2"/>
      <c r="AG718" s="2"/>
      <c r="AH718" s="2"/>
      <c r="AI718" s="2"/>
      <c r="AJ718" s="2"/>
      <c r="AK718" s="2"/>
      <c r="AL718" s="2"/>
      <c r="AM718" s="2"/>
      <c r="AN718" s="9"/>
      <c r="AO718" s="9"/>
      <c r="AP718" s="9"/>
      <c r="AQ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224"/>
      <c r="X719" s="224"/>
      <c r="Y719" s="868"/>
      <c r="Z719" s="865"/>
      <c r="AA719" s="2"/>
      <c r="AB719" s="2"/>
      <c r="AC719" s="2"/>
      <c r="AD719" s="2"/>
      <c r="AE719" s="2"/>
      <c r="AF719" s="2"/>
      <c r="AG719" s="2"/>
      <c r="AH719" s="2"/>
      <c r="AI719" s="2"/>
      <c r="AJ719" s="2"/>
      <c r="AK719" s="2"/>
      <c r="AL719" s="2"/>
      <c r="AM719" s="2"/>
      <c r="AN719" s="9"/>
      <c r="AO719" s="9"/>
      <c r="AP719" s="9"/>
      <c r="AQ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224"/>
      <c r="X720" s="224"/>
      <c r="Y720" s="868"/>
      <c r="Z720" s="865"/>
      <c r="AA720" s="2"/>
      <c r="AB720" s="2"/>
      <c r="AC720" s="2"/>
      <c r="AD720" s="2"/>
      <c r="AE720" s="2"/>
      <c r="AF720" s="2"/>
      <c r="AG720" s="2"/>
      <c r="AH720" s="2"/>
      <c r="AI720" s="2"/>
      <c r="AJ720" s="2"/>
      <c r="AK720" s="2"/>
      <c r="AL720" s="2"/>
      <c r="AM720" s="2"/>
      <c r="AN720" s="9"/>
      <c r="AO720" s="9"/>
      <c r="AP720" s="9"/>
      <c r="AQ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224"/>
      <c r="X721" s="224"/>
      <c r="Y721" s="868"/>
      <c r="Z721" s="865"/>
      <c r="AA721" s="2"/>
      <c r="AB721" s="2"/>
      <c r="AC721" s="2"/>
      <c r="AD721" s="2"/>
      <c r="AE721" s="2"/>
      <c r="AF721" s="2"/>
      <c r="AG721" s="2"/>
      <c r="AH721" s="2"/>
      <c r="AI721" s="2"/>
      <c r="AJ721" s="2"/>
      <c r="AK721" s="2"/>
      <c r="AL721" s="2"/>
      <c r="AM721" s="2"/>
      <c r="AN721" s="9"/>
      <c r="AO721" s="9"/>
      <c r="AP721" s="9"/>
      <c r="AQ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224"/>
      <c r="X722" s="224"/>
      <c r="Y722" s="868"/>
      <c r="Z722" s="865"/>
      <c r="AA722" s="2"/>
      <c r="AB722" s="2"/>
      <c r="AC722" s="2"/>
      <c r="AD722" s="2"/>
      <c r="AE722" s="2"/>
      <c r="AF722" s="2"/>
      <c r="AG722" s="2"/>
      <c r="AH722" s="2"/>
      <c r="AI722" s="2"/>
      <c r="AJ722" s="2"/>
      <c r="AK722" s="2"/>
      <c r="AL722" s="2"/>
      <c r="AM722" s="2"/>
      <c r="AN722" s="9"/>
      <c r="AO722" s="9"/>
      <c r="AP722" s="9"/>
      <c r="AQ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224"/>
      <c r="X723" s="224"/>
      <c r="Y723" s="868"/>
      <c r="Z723" s="865"/>
      <c r="AA723" s="2"/>
      <c r="AB723" s="2"/>
      <c r="AC723" s="2"/>
      <c r="AD723" s="2"/>
      <c r="AE723" s="2"/>
      <c r="AF723" s="2"/>
      <c r="AG723" s="2"/>
      <c r="AH723" s="2"/>
      <c r="AI723" s="2"/>
      <c r="AJ723" s="2"/>
      <c r="AK723" s="2"/>
      <c r="AL723" s="2"/>
      <c r="AM723" s="2"/>
      <c r="AN723" s="9"/>
      <c r="AO723" s="9"/>
      <c r="AP723" s="9"/>
      <c r="AQ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224"/>
      <c r="X724" s="224"/>
      <c r="Y724" s="868"/>
      <c r="Z724" s="865"/>
      <c r="AA724" s="2"/>
      <c r="AB724" s="2"/>
      <c r="AC724" s="2"/>
      <c r="AD724" s="2"/>
      <c r="AE724" s="2"/>
      <c r="AF724" s="2"/>
      <c r="AG724" s="2"/>
      <c r="AH724" s="2"/>
      <c r="AI724" s="2"/>
      <c r="AJ724" s="2"/>
      <c r="AK724" s="2"/>
      <c r="AL724" s="2"/>
      <c r="AM724" s="2"/>
      <c r="AN724" s="9"/>
      <c r="AO724" s="9"/>
      <c r="AP724" s="9"/>
      <c r="AQ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224"/>
      <c r="X725" s="224"/>
      <c r="Y725" s="868"/>
      <c r="Z725" s="865"/>
      <c r="AA725" s="2"/>
      <c r="AB725" s="2"/>
      <c r="AC725" s="2"/>
      <c r="AD725" s="2"/>
      <c r="AE725" s="2"/>
      <c r="AF725" s="2"/>
      <c r="AG725" s="2"/>
      <c r="AH725" s="2"/>
      <c r="AI725" s="2"/>
      <c r="AJ725" s="2"/>
      <c r="AK725" s="2"/>
      <c r="AL725" s="2"/>
      <c r="AM725" s="2"/>
      <c r="AN725" s="9"/>
      <c r="AO725" s="9"/>
      <c r="AP725" s="9"/>
      <c r="AQ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224"/>
      <c r="X726" s="224"/>
      <c r="Y726" s="868"/>
      <c r="Z726" s="865"/>
      <c r="AA726" s="2"/>
      <c r="AB726" s="2"/>
      <c r="AC726" s="2"/>
      <c r="AD726" s="2"/>
      <c r="AE726" s="2"/>
      <c r="AF726" s="2"/>
      <c r="AG726" s="2"/>
      <c r="AH726" s="2"/>
      <c r="AI726" s="2"/>
      <c r="AJ726" s="2"/>
      <c r="AK726" s="2"/>
      <c r="AL726" s="2"/>
      <c r="AM726" s="2"/>
      <c r="AN726" s="9"/>
      <c r="AO726" s="9"/>
      <c r="AP726" s="9"/>
      <c r="AQ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224"/>
      <c r="X727" s="224"/>
      <c r="Y727" s="868"/>
      <c r="Z727" s="865"/>
      <c r="AA727" s="2"/>
      <c r="AB727" s="2"/>
      <c r="AC727" s="2"/>
      <c r="AD727" s="2"/>
      <c r="AE727" s="2"/>
      <c r="AF727" s="2"/>
      <c r="AG727" s="2"/>
      <c r="AH727" s="2"/>
      <c r="AI727" s="2"/>
      <c r="AJ727" s="2"/>
      <c r="AK727" s="2"/>
      <c r="AL727" s="2"/>
      <c r="AM727" s="2"/>
      <c r="AN727" s="9"/>
      <c r="AO727" s="9"/>
      <c r="AP727" s="9"/>
      <c r="AQ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224"/>
      <c r="X728" s="224"/>
      <c r="Y728" s="868"/>
      <c r="Z728" s="865"/>
      <c r="AA728" s="2"/>
      <c r="AB728" s="2"/>
      <c r="AC728" s="2"/>
      <c r="AD728" s="2"/>
      <c r="AE728" s="2"/>
      <c r="AF728" s="2"/>
      <c r="AG728" s="2"/>
      <c r="AH728" s="2"/>
      <c r="AI728" s="2"/>
      <c r="AJ728" s="2"/>
      <c r="AK728" s="2"/>
      <c r="AL728" s="2"/>
      <c r="AM728" s="2"/>
      <c r="AN728" s="9"/>
      <c r="AO728" s="9"/>
      <c r="AP728" s="9"/>
      <c r="AQ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224"/>
      <c r="X729" s="224"/>
      <c r="Y729" s="868"/>
      <c r="Z729" s="865"/>
      <c r="AA729" s="2"/>
      <c r="AB729" s="2"/>
      <c r="AC729" s="2"/>
      <c r="AD729" s="2"/>
      <c r="AE729" s="2"/>
      <c r="AF729" s="2"/>
      <c r="AG729" s="2"/>
      <c r="AH729" s="2"/>
      <c r="AI729" s="2"/>
      <c r="AJ729" s="2"/>
      <c r="AK729" s="2"/>
      <c r="AL729" s="2"/>
      <c r="AM729" s="2"/>
      <c r="AN729" s="9"/>
      <c r="AO729" s="9"/>
      <c r="AP729" s="9"/>
      <c r="AQ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224"/>
      <c r="X730" s="224"/>
      <c r="Y730" s="868"/>
      <c r="Z730" s="865"/>
      <c r="AA730" s="2"/>
      <c r="AB730" s="2"/>
      <c r="AC730" s="2"/>
      <c r="AD730" s="2"/>
      <c r="AE730" s="2"/>
      <c r="AF730" s="2"/>
      <c r="AG730" s="2"/>
      <c r="AH730" s="2"/>
      <c r="AI730" s="2"/>
      <c r="AJ730" s="2"/>
      <c r="AK730" s="2"/>
      <c r="AL730" s="2"/>
      <c r="AM730" s="2"/>
      <c r="AN730" s="9"/>
      <c r="AO730" s="9"/>
      <c r="AP730" s="9"/>
      <c r="AQ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224"/>
      <c r="X731" s="224"/>
      <c r="Y731" s="868"/>
      <c r="Z731" s="865"/>
      <c r="AA731" s="2"/>
      <c r="AB731" s="2"/>
      <c r="AC731" s="2"/>
      <c r="AD731" s="2"/>
      <c r="AE731" s="2"/>
      <c r="AF731" s="2"/>
      <c r="AG731" s="2"/>
      <c r="AH731" s="2"/>
      <c r="AI731" s="2"/>
      <c r="AJ731" s="2"/>
      <c r="AK731" s="2"/>
      <c r="AL731" s="2"/>
      <c r="AM731" s="2"/>
      <c r="AN731" s="9"/>
      <c r="AO731" s="9"/>
      <c r="AP731" s="9"/>
      <c r="AQ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224"/>
      <c r="X732" s="224"/>
      <c r="Y732" s="868"/>
      <c r="Z732" s="865"/>
      <c r="AA732" s="2"/>
      <c r="AB732" s="2"/>
      <c r="AC732" s="2"/>
      <c r="AD732" s="2"/>
      <c r="AE732" s="2"/>
      <c r="AF732" s="2"/>
      <c r="AG732" s="2"/>
      <c r="AH732" s="2"/>
      <c r="AI732" s="2"/>
      <c r="AJ732" s="2"/>
      <c r="AK732" s="2"/>
      <c r="AL732" s="2"/>
      <c r="AM732" s="2"/>
      <c r="AN732" s="9"/>
      <c r="AO732" s="9"/>
      <c r="AP732" s="9"/>
      <c r="AQ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224"/>
      <c r="X733" s="224"/>
      <c r="Y733" s="868"/>
      <c r="Z733" s="865"/>
      <c r="AA733" s="2"/>
      <c r="AB733" s="2"/>
      <c r="AC733" s="2"/>
      <c r="AD733" s="2"/>
      <c r="AE733" s="2"/>
      <c r="AF733" s="2"/>
      <c r="AG733" s="2"/>
      <c r="AH733" s="2"/>
      <c r="AI733" s="2"/>
      <c r="AJ733" s="2"/>
      <c r="AK733" s="2"/>
      <c r="AL733" s="2"/>
      <c r="AM733" s="2"/>
      <c r="AN733" s="9"/>
      <c r="AO733" s="9"/>
      <c r="AP733" s="9"/>
      <c r="AQ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224"/>
      <c r="X734" s="224"/>
      <c r="Y734" s="868"/>
      <c r="Z734" s="865"/>
      <c r="AA734" s="2"/>
      <c r="AB734" s="2"/>
      <c r="AC734" s="2"/>
      <c r="AD734" s="2"/>
      <c r="AE734" s="2"/>
      <c r="AF734" s="2"/>
      <c r="AG734" s="2"/>
      <c r="AH734" s="2"/>
      <c r="AI734" s="2"/>
      <c r="AJ734" s="2"/>
      <c r="AK734" s="2"/>
      <c r="AL734" s="2"/>
      <c r="AM734" s="2"/>
      <c r="AN734" s="9"/>
      <c r="AO734" s="9"/>
      <c r="AP734" s="9"/>
      <c r="AQ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224"/>
      <c r="X735" s="224"/>
      <c r="Y735" s="868"/>
      <c r="Z735" s="865"/>
      <c r="AA735" s="2"/>
      <c r="AB735" s="2"/>
      <c r="AC735" s="2"/>
      <c r="AD735" s="2"/>
      <c r="AE735" s="2"/>
      <c r="AF735" s="2"/>
      <c r="AG735" s="2"/>
      <c r="AH735" s="2"/>
      <c r="AI735" s="2"/>
      <c r="AJ735" s="2"/>
      <c r="AK735" s="2"/>
      <c r="AL735" s="2"/>
      <c r="AM735" s="2"/>
      <c r="AN735" s="9"/>
      <c r="AO735" s="9"/>
      <c r="AP735" s="9"/>
      <c r="AQ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224"/>
      <c r="X736" s="224"/>
      <c r="Y736" s="868"/>
      <c r="Z736" s="865"/>
      <c r="AA736" s="2"/>
      <c r="AB736" s="2"/>
      <c r="AC736" s="2"/>
      <c r="AD736" s="2"/>
      <c r="AE736" s="2"/>
      <c r="AF736" s="2"/>
      <c r="AG736" s="2"/>
      <c r="AH736" s="2"/>
      <c r="AI736" s="2"/>
      <c r="AJ736" s="2"/>
      <c r="AK736" s="2"/>
      <c r="AL736" s="2"/>
      <c r="AM736" s="2"/>
      <c r="AN736" s="9"/>
      <c r="AO736" s="9"/>
      <c r="AP736" s="9"/>
      <c r="AQ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224"/>
      <c r="X737" s="224"/>
      <c r="Y737" s="868"/>
      <c r="Z737" s="865"/>
      <c r="AA737" s="2"/>
      <c r="AB737" s="2"/>
      <c r="AC737" s="2"/>
      <c r="AD737" s="2"/>
      <c r="AE737" s="2"/>
      <c r="AF737" s="2"/>
      <c r="AG737" s="2"/>
      <c r="AH737" s="2"/>
      <c r="AI737" s="2"/>
      <c r="AJ737" s="2"/>
      <c r="AK737" s="2"/>
      <c r="AL737" s="2"/>
      <c r="AM737" s="2"/>
      <c r="AN737" s="9"/>
      <c r="AO737" s="9"/>
      <c r="AP737" s="9"/>
      <c r="AQ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224"/>
      <c r="X738" s="224"/>
      <c r="Y738" s="868"/>
      <c r="Z738" s="865"/>
      <c r="AA738" s="2"/>
      <c r="AB738" s="2"/>
      <c r="AC738" s="2"/>
      <c r="AD738" s="2"/>
      <c r="AE738" s="2"/>
      <c r="AF738" s="2"/>
      <c r="AG738" s="2"/>
      <c r="AH738" s="2"/>
      <c r="AI738" s="2"/>
      <c r="AJ738" s="2"/>
      <c r="AK738" s="2"/>
      <c r="AL738" s="2"/>
      <c r="AM738" s="2"/>
      <c r="AN738" s="9"/>
      <c r="AO738" s="9"/>
      <c r="AP738" s="9"/>
      <c r="AQ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224"/>
      <c r="X739" s="224"/>
      <c r="Y739" s="868"/>
      <c r="Z739" s="865"/>
      <c r="AA739" s="2"/>
      <c r="AB739" s="2"/>
      <c r="AC739" s="2"/>
      <c r="AD739" s="2"/>
      <c r="AE739" s="2"/>
      <c r="AF739" s="2"/>
      <c r="AG739" s="2"/>
      <c r="AH739" s="2"/>
      <c r="AI739" s="2"/>
      <c r="AJ739" s="2"/>
      <c r="AK739" s="2"/>
      <c r="AL739" s="2"/>
      <c r="AM739" s="2"/>
      <c r="AN739" s="9"/>
      <c r="AO739" s="9"/>
      <c r="AP739" s="9"/>
      <c r="AQ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224"/>
      <c r="X740" s="224"/>
      <c r="Y740" s="868"/>
      <c r="Z740" s="865"/>
      <c r="AA740" s="2"/>
      <c r="AB740" s="2"/>
      <c r="AC740" s="2"/>
      <c r="AD740" s="2"/>
      <c r="AE740" s="2"/>
      <c r="AF740" s="2"/>
      <c r="AG740" s="2"/>
      <c r="AH740" s="2"/>
      <c r="AI740" s="2"/>
      <c r="AJ740" s="2"/>
      <c r="AK740" s="2"/>
      <c r="AL740" s="2"/>
      <c r="AM740" s="2"/>
      <c r="AN740" s="9"/>
      <c r="AO740" s="9"/>
      <c r="AP740" s="9"/>
      <c r="AQ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224"/>
      <c r="X741" s="224"/>
      <c r="Y741" s="868"/>
      <c r="Z741" s="865"/>
      <c r="AA741" s="2"/>
      <c r="AB741" s="2"/>
      <c r="AC741" s="2"/>
      <c r="AD741" s="2"/>
      <c r="AE741" s="2"/>
      <c r="AF741" s="2"/>
      <c r="AG741" s="2"/>
      <c r="AH741" s="2"/>
      <c r="AI741" s="2"/>
      <c r="AJ741" s="2"/>
      <c r="AK741" s="2"/>
      <c r="AL741" s="2"/>
      <c r="AM741" s="2"/>
      <c r="AN741" s="9"/>
      <c r="AO741" s="9"/>
      <c r="AP741" s="9"/>
      <c r="AQ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224"/>
      <c r="X742" s="224"/>
      <c r="Y742" s="868"/>
      <c r="Z742" s="865"/>
      <c r="AA742" s="2"/>
      <c r="AB742" s="2"/>
      <c r="AC742" s="2"/>
      <c r="AD742" s="2"/>
      <c r="AE742" s="2"/>
      <c r="AF742" s="2"/>
      <c r="AG742" s="2"/>
      <c r="AH742" s="2"/>
      <c r="AI742" s="2"/>
      <c r="AJ742" s="2"/>
      <c r="AK742" s="2"/>
      <c r="AL742" s="2"/>
      <c r="AM742" s="2"/>
      <c r="AN742" s="9"/>
      <c r="AO742" s="9"/>
      <c r="AP742" s="9"/>
      <c r="AQ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224"/>
      <c r="X743" s="224"/>
      <c r="Y743" s="868"/>
      <c r="Z743" s="865"/>
      <c r="AA743" s="2"/>
      <c r="AB743" s="2"/>
      <c r="AC743" s="2"/>
      <c r="AD743" s="2"/>
      <c r="AE743" s="2"/>
      <c r="AF743" s="2"/>
      <c r="AG743" s="2"/>
      <c r="AH743" s="2"/>
      <c r="AI743" s="2"/>
      <c r="AJ743" s="2"/>
      <c r="AK743" s="2"/>
      <c r="AL743" s="2"/>
      <c r="AM743" s="2"/>
      <c r="AN743" s="9"/>
      <c r="AO743" s="9"/>
      <c r="AP743" s="9"/>
      <c r="AQ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224"/>
      <c r="X744" s="224"/>
      <c r="Y744" s="868"/>
      <c r="Z744" s="865"/>
      <c r="AA744" s="2"/>
      <c r="AB744" s="2"/>
      <c r="AC744" s="2"/>
      <c r="AD744" s="2"/>
      <c r="AE744" s="2"/>
      <c r="AF744" s="2"/>
      <c r="AG744" s="2"/>
      <c r="AH744" s="2"/>
      <c r="AI744" s="2"/>
      <c r="AJ744" s="2"/>
      <c r="AK744" s="2"/>
      <c r="AL744" s="2"/>
      <c r="AM744" s="2"/>
      <c r="AN744" s="9"/>
      <c r="AO744" s="9"/>
      <c r="AP744" s="9"/>
      <c r="AQ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224"/>
      <c r="X745" s="224"/>
      <c r="Y745" s="868"/>
      <c r="Z745" s="865"/>
      <c r="AA745" s="2"/>
      <c r="AB745" s="2"/>
      <c r="AC745" s="2"/>
      <c r="AD745" s="2"/>
      <c r="AE745" s="2"/>
      <c r="AF745" s="2"/>
      <c r="AG745" s="2"/>
      <c r="AH745" s="2"/>
      <c r="AI745" s="2"/>
      <c r="AJ745" s="2"/>
      <c r="AK745" s="2"/>
      <c r="AL745" s="2"/>
      <c r="AM745" s="2"/>
      <c r="AN745" s="9"/>
      <c r="AO745" s="9"/>
      <c r="AP745" s="9"/>
      <c r="AQ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224"/>
      <c r="X746" s="224"/>
      <c r="Y746" s="868"/>
      <c r="Z746" s="865"/>
      <c r="AA746" s="2"/>
      <c r="AB746" s="2"/>
      <c r="AC746" s="2"/>
      <c r="AD746" s="2"/>
      <c r="AE746" s="2"/>
      <c r="AF746" s="2"/>
      <c r="AG746" s="2"/>
      <c r="AH746" s="2"/>
      <c r="AI746" s="2"/>
      <c r="AJ746" s="2"/>
      <c r="AK746" s="2"/>
      <c r="AL746" s="2"/>
      <c r="AM746" s="2"/>
      <c r="AN746" s="9"/>
      <c r="AO746" s="9"/>
      <c r="AP746" s="9"/>
      <c r="AQ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224"/>
      <c r="X747" s="224"/>
      <c r="Y747" s="868"/>
      <c r="Z747" s="865"/>
      <c r="AA747" s="2"/>
      <c r="AB747" s="2"/>
      <c r="AC747" s="2"/>
      <c r="AD747" s="2"/>
      <c r="AE747" s="2"/>
      <c r="AF747" s="2"/>
      <c r="AG747" s="2"/>
      <c r="AH747" s="2"/>
      <c r="AI747" s="2"/>
      <c r="AJ747" s="2"/>
      <c r="AK747" s="2"/>
      <c r="AL747" s="2"/>
      <c r="AM747" s="2"/>
      <c r="AN747" s="9"/>
      <c r="AO747" s="9"/>
      <c r="AP747" s="9"/>
      <c r="AQ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224"/>
      <c r="X748" s="224"/>
      <c r="Y748" s="868"/>
      <c r="Z748" s="865"/>
      <c r="AA748" s="2"/>
      <c r="AB748" s="2"/>
      <c r="AC748" s="2"/>
      <c r="AD748" s="2"/>
      <c r="AE748" s="2"/>
      <c r="AF748" s="2"/>
      <c r="AG748" s="2"/>
      <c r="AH748" s="2"/>
      <c r="AI748" s="2"/>
      <c r="AJ748" s="2"/>
      <c r="AK748" s="2"/>
      <c r="AL748" s="2"/>
      <c r="AM748" s="2"/>
      <c r="AN748" s="9"/>
      <c r="AO748" s="9"/>
      <c r="AP748" s="9"/>
      <c r="AQ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224"/>
      <c r="X749" s="224"/>
      <c r="Y749" s="868"/>
      <c r="Z749" s="865"/>
      <c r="AA749" s="2"/>
      <c r="AB749" s="2"/>
      <c r="AC749" s="2"/>
      <c r="AD749" s="2"/>
      <c r="AE749" s="2"/>
      <c r="AF749" s="2"/>
      <c r="AG749" s="2"/>
      <c r="AH749" s="2"/>
      <c r="AI749" s="2"/>
      <c r="AJ749" s="2"/>
      <c r="AK749" s="2"/>
      <c r="AL749" s="2"/>
      <c r="AM749" s="2"/>
      <c r="AN749" s="9"/>
      <c r="AO749" s="9"/>
      <c r="AP749" s="9"/>
      <c r="AQ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224"/>
      <c r="X750" s="224"/>
      <c r="Y750" s="868"/>
      <c r="Z750" s="865"/>
      <c r="AA750" s="2"/>
      <c r="AB750" s="2"/>
      <c r="AC750" s="2"/>
      <c r="AD750" s="2"/>
      <c r="AE750" s="2"/>
      <c r="AF750" s="2"/>
      <c r="AG750" s="2"/>
      <c r="AH750" s="2"/>
      <c r="AI750" s="2"/>
      <c r="AJ750" s="2"/>
      <c r="AK750" s="2"/>
      <c r="AL750" s="2"/>
      <c r="AM750" s="2"/>
      <c r="AN750" s="9"/>
      <c r="AO750" s="9"/>
      <c r="AP750" s="9"/>
      <c r="AQ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224"/>
      <c r="X751" s="224"/>
      <c r="Y751" s="868"/>
      <c r="Z751" s="865"/>
      <c r="AA751" s="2"/>
      <c r="AB751" s="2"/>
      <c r="AC751" s="2"/>
      <c r="AD751" s="2"/>
      <c r="AE751" s="2"/>
      <c r="AF751" s="2"/>
      <c r="AG751" s="2"/>
      <c r="AH751" s="2"/>
      <c r="AI751" s="2"/>
      <c r="AJ751" s="2"/>
      <c r="AK751" s="2"/>
      <c r="AL751" s="2"/>
      <c r="AM751" s="2"/>
      <c r="AN751" s="9"/>
      <c r="AO751" s="9"/>
      <c r="AP751" s="9"/>
      <c r="AQ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224"/>
      <c r="X752" s="224"/>
      <c r="Y752" s="868"/>
      <c r="Z752" s="865"/>
      <c r="AA752" s="2"/>
      <c r="AB752" s="2"/>
      <c r="AC752" s="2"/>
      <c r="AD752" s="2"/>
      <c r="AE752" s="2"/>
      <c r="AF752" s="2"/>
      <c r="AG752" s="2"/>
      <c r="AH752" s="2"/>
      <c r="AI752" s="2"/>
      <c r="AJ752" s="2"/>
      <c r="AK752" s="2"/>
      <c r="AL752" s="2"/>
      <c r="AM752" s="2"/>
      <c r="AN752" s="9"/>
      <c r="AO752" s="9"/>
      <c r="AP752" s="9"/>
      <c r="AQ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224"/>
      <c r="X753" s="224"/>
      <c r="Y753" s="868"/>
      <c r="Z753" s="865"/>
      <c r="AA753" s="2"/>
      <c r="AB753" s="2"/>
      <c r="AC753" s="2"/>
      <c r="AD753" s="2"/>
      <c r="AE753" s="2"/>
      <c r="AF753" s="2"/>
      <c r="AG753" s="2"/>
      <c r="AH753" s="2"/>
      <c r="AI753" s="2"/>
      <c r="AJ753" s="2"/>
      <c r="AK753" s="2"/>
      <c r="AL753" s="2"/>
      <c r="AM753" s="2"/>
      <c r="AN753" s="9"/>
      <c r="AO753" s="9"/>
      <c r="AP753" s="9"/>
      <c r="AQ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224"/>
      <c r="X754" s="224"/>
      <c r="Y754" s="868"/>
      <c r="Z754" s="865"/>
      <c r="AA754" s="2"/>
      <c r="AB754" s="2"/>
      <c r="AC754" s="2"/>
      <c r="AD754" s="2"/>
      <c r="AE754" s="2"/>
      <c r="AF754" s="2"/>
      <c r="AG754" s="2"/>
      <c r="AH754" s="2"/>
      <c r="AI754" s="2"/>
      <c r="AJ754" s="2"/>
      <c r="AK754" s="2"/>
      <c r="AL754" s="2"/>
      <c r="AM754" s="2"/>
      <c r="AN754" s="9"/>
      <c r="AO754" s="9"/>
      <c r="AP754" s="9"/>
      <c r="AQ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224"/>
      <c r="X755" s="224"/>
      <c r="Y755" s="868"/>
      <c r="Z755" s="865"/>
      <c r="AA755" s="2"/>
      <c r="AB755" s="2"/>
      <c r="AC755" s="2"/>
      <c r="AD755" s="2"/>
      <c r="AE755" s="2"/>
      <c r="AF755" s="2"/>
      <c r="AG755" s="2"/>
      <c r="AH755" s="2"/>
      <c r="AI755" s="2"/>
      <c r="AJ755" s="2"/>
      <c r="AK755" s="2"/>
      <c r="AL755" s="2"/>
      <c r="AM755" s="2"/>
      <c r="AN755" s="9"/>
      <c r="AO755" s="9"/>
      <c r="AP755" s="9"/>
      <c r="AQ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224"/>
      <c r="X756" s="224"/>
      <c r="Y756" s="868"/>
      <c r="Z756" s="865"/>
      <c r="AA756" s="2"/>
      <c r="AB756" s="2"/>
      <c r="AC756" s="2"/>
      <c r="AD756" s="2"/>
      <c r="AE756" s="2"/>
      <c r="AF756" s="2"/>
      <c r="AG756" s="2"/>
      <c r="AH756" s="2"/>
      <c r="AI756" s="2"/>
      <c r="AJ756" s="2"/>
      <c r="AK756" s="2"/>
      <c r="AL756" s="2"/>
      <c r="AM756" s="2"/>
      <c r="AN756" s="9"/>
      <c r="AO756" s="9"/>
      <c r="AP756" s="9"/>
      <c r="AQ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224"/>
      <c r="X757" s="224"/>
      <c r="Y757" s="868"/>
      <c r="Z757" s="865"/>
      <c r="AA757" s="2"/>
      <c r="AB757" s="2"/>
      <c r="AC757" s="2"/>
      <c r="AD757" s="2"/>
      <c r="AE757" s="2"/>
      <c r="AF757" s="2"/>
      <c r="AG757" s="2"/>
      <c r="AH757" s="2"/>
      <c r="AI757" s="2"/>
      <c r="AJ757" s="2"/>
      <c r="AK757" s="2"/>
      <c r="AL757" s="2"/>
      <c r="AM757" s="2"/>
      <c r="AN757" s="9"/>
      <c r="AO757" s="9"/>
      <c r="AP757" s="9"/>
      <c r="AQ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224"/>
      <c r="X758" s="224"/>
      <c r="Y758" s="868"/>
      <c r="Z758" s="865"/>
      <c r="AA758" s="2"/>
      <c r="AB758" s="2"/>
      <c r="AC758" s="2"/>
      <c r="AD758" s="2"/>
      <c r="AE758" s="2"/>
      <c r="AF758" s="2"/>
      <c r="AG758" s="2"/>
      <c r="AH758" s="2"/>
      <c r="AI758" s="2"/>
      <c r="AJ758" s="2"/>
      <c r="AK758" s="2"/>
      <c r="AL758" s="2"/>
      <c r="AM758" s="2"/>
      <c r="AN758" s="9"/>
      <c r="AO758" s="9"/>
      <c r="AP758" s="9"/>
      <c r="AQ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224"/>
      <c r="X759" s="224"/>
      <c r="Y759" s="868"/>
      <c r="Z759" s="865"/>
      <c r="AA759" s="2"/>
      <c r="AB759" s="2"/>
      <c r="AC759" s="2"/>
      <c r="AD759" s="2"/>
      <c r="AE759" s="2"/>
      <c r="AF759" s="2"/>
      <c r="AG759" s="2"/>
      <c r="AH759" s="2"/>
      <c r="AI759" s="2"/>
      <c r="AJ759" s="2"/>
      <c r="AK759" s="2"/>
      <c r="AL759" s="2"/>
      <c r="AM759" s="2"/>
      <c r="AN759" s="9"/>
      <c r="AO759" s="9"/>
      <c r="AP759" s="9"/>
      <c r="AQ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224"/>
      <c r="X760" s="224"/>
      <c r="Y760" s="868"/>
      <c r="Z760" s="865"/>
      <c r="AA760" s="2"/>
      <c r="AB760" s="2"/>
      <c r="AC760" s="2"/>
      <c r="AD760" s="2"/>
      <c r="AE760" s="2"/>
      <c r="AF760" s="2"/>
      <c r="AG760" s="2"/>
      <c r="AH760" s="2"/>
      <c r="AI760" s="2"/>
      <c r="AJ760" s="2"/>
      <c r="AK760" s="2"/>
      <c r="AL760" s="2"/>
      <c r="AM760" s="2"/>
      <c r="AN760" s="9"/>
      <c r="AO760" s="9"/>
      <c r="AP760" s="9"/>
      <c r="AQ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224"/>
      <c r="X761" s="224"/>
      <c r="Y761" s="868"/>
      <c r="Z761" s="865"/>
      <c r="AA761" s="2"/>
      <c r="AB761" s="2"/>
      <c r="AC761" s="2"/>
      <c r="AD761" s="2"/>
      <c r="AE761" s="2"/>
      <c r="AF761" s="2"/>
      <c r="AG761" s="2"/>
      <c r="AH761" s="2"/>
      <c r="AI761" s="2"/>
      <c r="AJ761" s="2"/>
      <c r="AK761" s="2"/>
      <c r="AL761" s="2"/>
      <c r="AM761" s="2"/>
      <c r="AN761" s="9"/>
      <c r="AO761" s="9"/>
      <c r="AP761" s="9"/>
      <c r="AQ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224"/>
      <c r="X762" s="224"/>
      <c r="Y762" s="868"/>
      <c r="Z762" s="865"/>
      <c r="AA762" s="2"/>
      <c r="AB762" s="2"/>
      <c r="AC762" s="2"/>
      <c r="AD762" s="2"/>
      <c r="AE762" s="2"/>
      <c r="AF762" s="2"/>
      <c r="AG762" s="2"/>
      <c r="AH762" s="2"/>
      <c r="AI762" s="2"/>
      <c r="AJ762" s="2"/>
      <c r="AK762" s="2"/>
      <c r="AL762" s="2"/>
      <c r="AM762" s="2"/>
      <c r="AN762" s="9"/>
      <c r="AO762" s="9"/>
      <c r="AP762" s="9"/>
      <c r="AQ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224"/>
      <c r="X763" s="224"/>
      <c r="Y763" s="868"/>
      <c r="Z763" s="865"/>
      <c r="AA763" s="2"/>
      <c r="AB763" s="2"/>
      <c r="AC763" s="2"/>
      <c r="AD763" s="2"/>
      <c r="AE763" s="2"/>
      <c r="AF763" s="2"/>
      <c r="AG763" s="2"/>
      <c r="AH763" s="2"/>
      <c r="AI763" s="2"/>
      <c r="AJ763" s="2"/>
      <c r="AK763" s="2"/>
      <c r="AL763" s="2"/>
      <c r="AM763" s="2"/>
      <c r="AN763" s="9"/>
      <c r="AO763" s="9"/>
      <c r="AP763" s="9"/>
      <c r="AQ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224"/>
      <c r="X764" s="224"/>
      <c r="Y764" s="868"/>
      <c r="Z764" s="865"/>
      <c r="AA764" s="2"/>
      <c r="AB764" s="2"/>
      <c r="AC764" s="2"/>
      <c r="AD764" s="2"/>
      <c r="AE764" s="2"/>
      <c r="AF764" s="2"/>
      <c r="AG764" s="2"/>
      <c r="AH764" s="2"/>
      <c r="AI764" s="2"/>
      <c r="AJ764" s="2"/>
      <c r="AK764" s="2"/>
      <c r="AL764" s="2"/>
      <c r="AM764" s="2"/>
      <c r="AN764" s="9"/>
      <c r="AO764" s="9"/>
      <c r="AP764" s="9"/>
      <c r="AQ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224"/>
      <c r="X765" s="224"/>
      <c r="Y765" s="868"/>
      <c r="Z765" s="865"/>
      <c r="AA765" s="2"/>
      <c r="AB765" s="2"/>
      <c r="AC765" s="2"/>
      <c r="AD765" s="2"/>
      <c r="AE765" s="2"/>
      <c r="AF765" s="2"/>
      <c r="AG765" s="2"/>
      <c r="AH765" s="2"/>
      <c r="AI765" s="2"/>
      <c r="AJ765" s="2"/>
      <c r="AK765" s="2"/>
      <c r="AL765" s="2"/>
      <c r="AM765" s="2"/>
      <c r="AN765" s="9"/>
      <c r="AO765" s="9"/>
      <c r="AP765" s="9"/>
      <c r="AQ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224"/>
      <c r="X766" s="224"/>
      <c r="Y766" s="868"/>
      <c r="Z766" s="865"/>
      <c r="AA766" s="2"/>
      <c r="AB766" s="2"/>
      <c r="AC766" s="2"/>
      <c r="AD766" s="2"/>
      <c r="AE766" s="2"/>
      <c r="AF766" s="2"/>
      <c r="AG766" s="2"/>
      <c r="AH766" s="2"/>
      <c r="AI766" s="2"/>
      <c r="AJ766" s="2"/>
      <c r="AK766" s="2"/>
      <c r="AL766" s="2"/>
      <c r="AM766" s="2"/>
      <c r="AN766" s="9"/>
      <c r="AO766" s="9"/>
      <c r="AP766" s="9"/>
      <c r="AQ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224"/>
      <c r="X767" s="224"/>
      <c r="Y767" s="868"/>
      <c r="Z767" s="865"/>
      <c r="AA767" s="2"/>
      <c r="AB767" s="2"/>
      <c r="AC767" s="2"/>
      <c r="AD767" s="2"/>
      <c r="AE767" s="2"/>
      <c r="AF767" s="2"/>
      <c r="AG767" s="2"/>
      <c r="AH767" s="2"/>
      <c r="AI767" s="2"/>
      <c r="AJ767" s="2"/>
      <c r="AK767" s="2"/>
      <c r="AL767" s="2"/>
      <c r="AM767" s="2"/>
      <c r="AN767" s="9"/>
      <c r="AO767" s="9"/>
      <c r="AP767" s="9"/>
      <c r="AQ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224"/>
      <c r="X768" s="224"/>
      <c r="Y768" s="868"/>
      <c r="Z768" s="865"/>
      <c r="AA768" s="2"/>
      <c r="AB768" s="2"/>
      <c r="AC768" s="2"/>
      <c r="AD768" s="2"/>
      <c r="AE768" s="2"/>
      <c r="AF768" s="2"/>
      <c r="AG768" s="2"/>
      <c r="AH768" s="2"/>
      <c r="AI768" s="2"/>
      <c r="AJ768" s="2"/>
      <c r="AK768" s="2"/>
      <c r="AL768" s="2"/>
      <c r="AM768" s="2"/>
      <c r="AN768" s="9"/>
      <c r="AO768" s="9"/>
      <c r="AP768" s="9"/>
      <c r="AQ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224"/>
      <c r="X769" s="224"/>
      <c r="Y769" s="868"/>
      <c r="Z769" s="865"/>
      <c r="AA769" s="2"/>
      <c r="AB769" s="2"/>
      <c r="AC769" s="2"/>
      <c r="AD769" s="2"/>
      <c r="AE769" s="2"/>
      <c r="AF769" s="2"/>
      <c r="AG769" s="2"/>
      <c r="AH769" s="2"/>
      <c r="AI769" s="2"/>
      <c r="AJ769" s="2"/>
      <c r="AK769" s="2"/>
      <c r="AL769" s="2"/>
      <c r="AM769" s="2"/>
      <c r="AN769" s="9"/>
      <c r="AO769" s="9"/>
      <c r="AP769" s="9"/>
      <c r="AQ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224"/>
      <c r="X770" s="224"/>
      <c r="Y770" s="868"/>
      <c r="Z770" s="865"/>
      <c r="AA770" s="2"/>
      <c r="AB770" s="2"/>
      <c r="AC770" s="2"/>
      <c r="AD770" s="2"/>
      <c r="AE770" s="2"/>
      <c r="AF770" s="2"/>
      <c r="AG770" s="2"/>
      <c r="AH770" s="2"/>
      <c r="AI770" s="2"/>
      <c r="AJ770" s="2"/>
      <c r="AK770" s="2"/>
      <c r="AL770" s="2"/>
      <c r="AM770" s="2"/>
      <c r="AN770" s="9"/>
      <c r="AO770" s="9"/>
      <c r="AP770" s="9"/>
      <c r="AQ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224"/>
      <c r="X771" s="224"/>
      <c r="Y771" s="868"/>
      <c r="Z771" s="865"/>
      <c r="AA771" s="2"/>
      <c r="AB771" s="2"/>
      <c r="AC771" s="2"/>
      <c r="AD771" s="2"/>
      <c r="AE771" s="2"/>
      <c r="AF771" s="2"/>
      <c r="AG771" s="2"/>
      <c r="AH771" s="2"/>
      <c r="AI771" s="2"/>
      <c r="AJ771" s="2"/>
      <c r="AK771" s="2"/>
      <c r="AL771" s="2"/>
      <c r="AM771" s="2"/>
      <c r="AN771" s="9"/>
      <c r="AO771" s="9"/>
      <c r="AP771" s="9"/>
      <c r="AQ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224"/>
      <c r="X772" s="224"/>
      <c r="Y772" s="868"/>
      <c r="Z772" s="865"/>
      <c r="AA772" s="2"/>
      <c r="AB772" s="2"/>
      <c r="AC772" s="2"/>
      <c r="AD772" s="2"/>
      <c r="AE772" s="2"/>
      <c r="AF772" s="2"/>
      <c r="AG772" s="2"/>
      <c r="AH772" s="2"/>
      <c r="AI772" s="2"/>
      <c r="AJ772" s="2"/>
      <c r="AK772" s="2"/>
      <c r="AL772" s="2"/>
      <c r="AM772" s="2"/>
      <c r="AN772" s="9"/>
      <c r="AO772" s="9"/>
      <c r="AP772" s="9"/>
      <c r="AQ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224"/>
      <c r="X773" s="224"/>
      <c r="Y773" s="868"/>
      <c r="Z773" s="865"/>
      <c r="AA773" s="2"/>
      <c r="AB773" s="2"/>
      <c r="AC773" s="2"/>
      <c r="AD773" s="2"/>
      <c r="AE773" s="2"/>
      <c r="AF773" s="2"/>
      <c r="AG773" s="2"/>
      <c r="AH773" s="2"/>
      <c r="AI773" s="2"/>
      <c r="AJ773" s="2"/>
      <c r="AK773" s="2"/>
      <c r="AL773" s="2"/>
      <c r="AM773" s="2"/>
      <c r="AN773" s="9"/>
      <c r="AO773" s="9"/>
      <c r="AP773" s="9"/>
      <c r="AQ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224"/>
      <c r="X774" s="224"/>
      <c r="Y774" s="868"/>
      <c r="Z774" s="865"/>
      <c r="AA774" s="2"/>
      <c r="AB774" s="2"/>
      <c r="AC774" s="2"/>
      <c r="AD774" s="2"/>
      <c r="AE774" s="2"/>
      <c r="AF774" s="2"/>
      <c r="AG774" s="2"/>
      <c r="AH774" s="2"/>
      <c r="AI774" s="2"/>
      <c r="AJ774" s="2"/>
      <c r="AK774" s="2"/>
      <c r="AL774" s="2"/>
      <c r="AM774" s="2"/>
      <c r="AN774" s="9"/>
      <c r="AO774" s="9"/>
      <c r="AP774" s="9"/>
      <c r="AQ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224"/>
      <c r="X775" s="224"/>
      <c r="Y775" s="868"/>
      <c r="Z775" s="865"/>
      <c r="AA775" s="2"/>
      <c r="AB775" s="2"/>
      <c r="AC775" s="2"/>
      <c r="AD775" s="2"/>
      <c r="AE775" s="2"/>
      <c r="AF775" s="2"/>
      <c r="AG775" s="2"/>
      <c r="AH775" s="2"/>
      <c r="AI775" s="2"/>
      <c r="AJ775" s="2"/>
      <c r="AK775" s="2"/>
      <c r="AL775" s="2"/>
      <c r="AM775" s="2"/>
      <c r="AN775" s="9"/>
      <c r="AO775" s="9"/>
      <c r="AP775" s="9"/>
      <c r="AQ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224"/>
      <c r="X776" s="224"/>
      <c r="Y776" s="868"/>
      <c r="Z776" s="865"/>
      <c r="AA776" s="2"/>
      <c r="AB776" s="2"/>
      <c r="AC776" s="2"/>
      <c r="AD776" s="2"/>
      <c r="AE776" s="2"/>
      <c r="AF776" s="2"/>
      <c r="AG776" s="2"/>
      <c r="AH776" s="2"/>
      <c r="AI776" s="2"/>
      <c r="AJ776" s="2"/>
      <c r="AK776" s="2"/>
      <c r="AL776" s="2"/>
      <c r="AM776" s="2"/>
      <c r="AN776" s="9"/>
      <c r="AO776" s="9"/>
      <c r="AP776" s="9"/>
      <c r="AQ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224"/>
      <c r="X777" s="224"/>
      <c r="Y777" s="868"/>
      <c r="Z777" s="865"/>
      <c r="AA777" s="2"/>
      <c r="AB777" s="2"/>
      <c r="AC777" s="2"/>
      <c r="AD777" s="2"/>
      <c r="AE777" s="2"/>
      <c r="AF777" s="2"/>
      <c r="AG777" s="2"/>
      <c r="AH777" s="2"/>
      <c r="AI777" s="2"/>
      <c r="AJ777" s="2"/>
      <c r="AK777" s="2"/>
      <c r="AL777" s="2"/>
      <c r="AM777" s="2"/>
      <c r="AN777" s="9"/>
      <c r="AO777" s="9"/>
      <c r="AP777" s="9"/>
      <c r="AQ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224"/>
      <c r="X778" s="224"/>
      <c r="Y778" s="868"/>
      <c r="Z778" s="865"/>
      <c r="AA778" s="2"/>
      <c r="AB778" s="2"/>
      <c r="AC778" s="2"/>
      <c r="AD778" s="2"/>
      <c r="AE778" s="2"/>
      <c r="AF778" s="2"/>
      <c r="AG778" s="2"/>
      <c r="AH778" s="2"/>
      <c r="AI778" s="2"/>
      <c r="AJ778" s="2"/>
      <c r="AK778" s="2"/>
      <c r="AL778" s="2"/>
      <c r="AM778" s="2"/>
      <c r="AN778" s="9"/>
      <c r="AO778" s="9"/>
      <c r="AP778" s="9"/>
      <c r="AQ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224"/>
      <c r="X779" s="224"/>
      <c r="Y779" s="868"/>
      <c r="Z779" s="865"/>
      <c r="AA779" s="2"/>
      <c r="AB779" s="2"/>
      <c r="AC779" s="2"/>
      <c r="AD779" s="2"/>
      <c r="AE779" s="2"/>
      <c r="AF779" s="2"/>
      <c r="AG779" s="2"/>
      <c r="AH779" s="2"/>
      <c r="AI779" s="2"/>
      <c r="AJ779" s="2"/>
      <c r="AK779" s="2"/>
      <c r="AL779" s="2"/>
      <c r="AM779" s="2"/>
      <c r="AN779" s="9"/>
      <c r="AO779" s="9"/>
      <c r="AP779" s="9"/>
      <c r="AQ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224"/>
      <c r="X780" s="224"/>
      <c r="Y780" s="868"/>
      <c r="Z780" s="865"/>
      <c r="AA780" s="2"/>
      <c r="AB780" s="2"/>
      <c r="AC780" s="2"/>
      <c r="AD780" s="2"/>
      <c r="AE780" s="2"/>
      <c r="AF780" s="2"/>
      <c r="AG780" s="2"/>
      <c r="AH780" s="2"/>
      <c r="AI780" s="2"/>
      <c r="AJ780" s="2"/>
      <c r="AK780" s="2"/>
      <c r="AL780" s="2"/>
      <c r="AM780" s="2"/>
      <c r="AN780" s="9"/>
      <c r="AO780" s="9"/>
      <c r="AP780" s="9"/>
      <c r="AQ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224"/>
      <c r="X781" s="224"/>
      <c r="Y781" s="868"/>
      <c r="Z781" s="865"/>
      <c r="AA781" s="2"/>
      <c r="AB781" s="2"/>
      <c r="AC781" s="2"/>
      <c r="AD781" s="2"/>
      <c r="AE781" s="2"/>
      <c r="AF781" s="2"/>
      <c r="AG781" s="2"/>
      <c r="AH781" s="2"/>
      <c r="AI781" s="2"/>
      <c r="AJ781" s="2"/>
      <c r="AK781" s="2"/>
      <c r="AL781" s="2"/>
      <c r="AM781" s="2"/>
      <c r="AN781" s="9"/>
      <c r="AO781" s="9"/>
      <c r="AP781" s="9"/>
      <c r="AQ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224"/>
      <c r="X782" s="224"/>
      <c r="Y782" s="868"/>
      <c r="Z782" s="865"/>
      <c r="AA782" s="2"/>
      <c r="AB782" s="2"/>
      <c r="AC782" s="2"/>
      <c r="AD782" s="2"/>
      <c r="AE782" s="2"/>
      <c r="AF782" s="2"/>
      <c r="AG782" s="2"/>
      <c r="AH782" s="2"/>
      <c r="AI782" s="2"/>
      <c r="AJ782" s="2"/>
      <c r="AK782" s="2"/>
      <c r="AL782" s="2"/>
      <c r="AM782" s="2"/>
      <c r="AN782" s="9"/>
      <c r="AO782" s="9"/>
      <c r="AP782" s="9"/>
      <c r="AQ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224"/>
      <c r="X783" s="224"/>
      <c r="Y783" s="868"/>
      <c r="Z783" s="865"/>
      <c r="AA783" s="2"/>
      <c r="AB783" s="2"/>
      <c r="AC783" s="2"/>
      <c r="AD783" s="2"/>
      <c r="AE783" s="2"/>
      <c r="AF783" s="2"/>
      <c r="AG783" s="2"/>
      <c r="AH783" s="2"/>
      <c r="AI783" s="2"/>
      <c r="AJ783" s="2"/>
      <c r="AK783" s="2"/>
      <c r="AL783" s="2"/>
      <c r="AM783" s="2"/>
      <c r="AN783" s="9"/>
      <c r="AO783" s="9"/>
      <c r="AP783" s="9"/>
      <c r="AQ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224"/>
      <c r="X784" s="224"/>
      <c r="Y784" s="868"/>
      <c r="Z784" s="865"/>
      <c r="AA784" s="2"/>
      <c r="AB784" s="2"/>
      <c r="AC784" s="2"/>
      <c r="AD784" s="2"/>
      <c r="AE784" s="2"/>
      <c r="AF784" s="2"/>
      <c r="AG784" s="2"/>
      <c r="AH784" s="2"/>
      <c r="AI784" s="2"/>
      <c r="AJ784" s="2"/>
      <c r="AK784" s="2"/>
      <c r="AL784" s="2"/>
      <c r="AM784" s="2"/>
      <c r="AN784" s="9"/>
      <c r="AO784" s="9"/>
      <c r="AP784" s="9"/>
      <c r="AQ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224"/>
      <c r="X785" s="224"/>
      <c r="Y785" s="868"/>
      <c r="Z785" s="865"/>
      <c r="AA785" s="2"/>
      <c r="AB785" s="2"/>
      <c r="AC785" s="2"/>
      <c r="AD785" s="2"/>
      <c r="AE785" s="2"/>
      <c r="AF785" s="2"/>
      <c r="AG785" s="2"/>
      <c r="AH785" s="2"/>
      <c r="AI785" s="2"/>
      <c r="AJ785" s="2"/>
      <c r="AK785" s="2"/>
      <c r="AL785" s="2"/>
      <c r="AM785" s="2"/>
      <c r="AN785" s="9"/>
      <c r="AO785" s="9"/>
      <c r="AP785" s="9"/>
      <c r="AQ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224"/>
      <c r="X786" s="224"/>
      <c r="Y786" s="868"/>
      <c r="Z786" s="865"/>
      <c r="AA786" s="2"/>
      <c r="AB786" s="2"/>
      <c r="AC786" s="2"/>
      <c r="AD786" s="2"/>
      <c r="AE786" s="2"/>
      <c r="AF786" s="2"/>
      <c r="AG786" s="2"/>
      <c r="AH786" s="2"/>
      <c r="AI786" s="2"/>
      <c r="AJ786" s="2"/>
      <c r="AK786" s="2"/>
      <c r="AL786" s="2"/>
      <c r="AM786" s="2"/>
      <c r="AN786" s="9"/>
      <c r="AO786" s="9"/>
      <c r="AP786" s="9"/>
      <c r="AQ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224"/>
      <c r="X787" s="224"/>
      <c r="Y787" s="868"/>
      <c r="Z787" s="865"/>
      <c r="AA787" s="2"/>
      <c r="AB787" s="2"/>
      <c r="AC787" s="2"/>
      <c r="AD787" s="2"/>
      <c r="AE787" s="2"/>
      <c r="AF787" s="2"/>
      <c r="AG787" s="2"/>
      <c r="AH787" s="2"/>
      <c r="AI787" s="2"/>
      <c r="AJ787" s="2"/>
      <c r="AK787" s="2"/>
      <c r="AL787" s="2"/>
      <c r="AM787" s="2"/>
      <c r="AN787" s="9"/>
      <c r="AO787" s="9"/>
      <c r="AP787" s="9"/>
      <c r="AQ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224"/>
      <c r="X788" s="224"/>
      <c r="Y788" s="868"/>
      <c r="Z788" s="865"/>
      <c r="AA788" s="2"/>
      <c r="AB788" s="2"/>
      <c r="AC788" s="2"/>
      <c r="AD788" s="2"/>
      <c r="AE788" s="2"/>
      <c r="AF788" s="2"/>
      <c r="AG788" s="2"/>
      <c r="AH788" s="2"/>
      <c r="AI788" s="2"/>
      <c r="AJ788" s="2"/>
      <c r="AK788" s="2"/>
      <c r="AL788" s="2"/>
      <c r="AM788" s="2"/>
      <c r="AN788" s="9"/>
      <c r="AO788" s="9"/>
      <c r="AP788" s="9"/>
      <c r="AQ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224"/>
      <c r="X789" s="224"/>
      <c r="Y789" s="868"/>
      <c r="Z789" s="865"/>
      <c r="AA789" s="2"/>
      <c r="AB789" s="2"/>
      <c r="AC789" s="2"/>
      <c r="AD789" s="2"/>
      <c r="AE789" s="2"/>
      <c r="AF789" s="2"/>
      <c r="AG789" s="2"/>
      <c r="AH789" s="2"/>
      <c r="AI789" s="2"/>
      <c r="AJ789" s="2"/>
      <c r="AK789" s="2"/>
      <c r="AL789" s="2"/>
      <c r="AM789" s="2"/>
      <c r="AN789" s="9"/>
      <c r="AO789" s="9"/>
      <c r="AP789" s="9"/>
      <c r="AQ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224"/>
      <c r="X790" s="224"/>
      <c r="Y790" s="868"/>
      <c r="Z790" s="865"/>
      <c r="AA790" s="2"/>
      <c r="AB790" s="2"/>
      <c r="AC790" s="2"/>
      <c r="AD790" s="2"/>
      <c r="AE790" s="2"/>
      <c r="AF790" s="2"/>
      <c r="AG790" s="2"/>
      <c r="AH790" s="2"/>
      <c r="AI790" s="2"/>
      <c r="AJ790" s="2"/>
      <c r="AK790" s="2"/>
      <c r="AL790" s="2"/>
      <c r="AM790" s="2"/>
      <c r="AN790" s="9"/>
      <c r="AO790" s="9"/>
      <c r="AP790" s="9"/>
      <c r="AQ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224"/>
      <c r="X791" s="224"/>
      <c r="Y791" s="868"/>
      <c r="Z791" s="865"/>
      <c r="AA791" s="2"/>
      <c r="AB791" s="2"/>
      <c r="AC791" s="2"/>
      <c r="AD791" s="2"/>
      <c r="AE791" s="2"/>
      <c r="AF791" s="2"/>
      <c r="AG791" s="2"/>
      <c r="AH791" s="2"/>
      <c r="AI791" s="2"/>
      <c r="AJ791" s="2"/>
      <c r="AK791" s="2"/>
      <c r="AL791" s="2"/>
      <c r="AM791" s="2"/>
      <c r="AN791" s="9"/>
      <c r="AO791" s="9"/>
      <c r="AP791" s="9"/>
      <c r="AQ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224"/>
      <c r="X792" s="224"/>
      <c r="Y792" s="868"/>
      <c r="Z792" s="865"/>
      <c r="AA792" s="2"/>
      <c r="AB792" s="2"/>
      <c r="AC792" s="2"/>
      <c r="AD792" s="2"/>
      <c r="AE792" s="2"/>
      <c r="AF792" s="2"/>
      <c r="AG792" s="2"/>
      <c r="AH792" s="2"/>
      <c r="AI792" s="2"/>
      <c r="AJ792" s="2"/>
      <c r="AK792" s="2"/>
      <c r="AL792" s="2"/>
      <c r="AM792" s="2"/>
      <c r="AN792" s="9"/>
      <c r="AO792" s="9"/>
      <c r="AP792" s="9"/>
      <c r="AQ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224"/>
      <c r="X793" s="224"/>
      <c r="Y793" s="868"/>
      <c r="Z793" s="865"/>
      <c r="AA793" s="2"/>
      <c r="AB793" s="2"/>
      <c r="AC793" s="2"/>
      <c r="AD793" s="2"/>
      <c r="AE793" s="2"/>
      <c r="AF793" s="2"/>
      <c r="AG793" s="2"/>
      <c r="AH793" s="2"/>
      <c r="AI793" s="2"/>
      <c r="AJ793" s="2"/>
      <c r="AK793" s="2"/>
      <c r="AL793" s="2"/>
      <c r="AM793" s="2"/>
      <c r="AN793" s="9"/>
      <c r="AO793" s="9"/>
      <c r="AP793" s="9"/>
      <c r="AQ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224"/>
      <c r="X794" s="224"/>
      <c r="Y794" s="868"/>
      <c r="Z794" s="865"/>
      <c r="AA794" s="2"/>
      <c r="AB794" s="2"/>
      <c r="AC794" s="2"/>
      <c r="AD794" s="2"/>
      <c r="AE794" s="2"/>
      <c r="AF794" s="2"/>
      <c r="AG794" s="2"/>
      <c r="AH794" s="2"/>
      <c r="AI794" s="2"/>
      <c r="AJ794" s="2"/>
      <c r="AK794" s="2"/>
      <c r="AL794" s="2"/>
      <c r="AM794" s="2"/>
      <c r="AN794" s="9"/>
      <c r="AO794" s="9"/>
      <c r="AP794" s="9"/>
      <c r="AQ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224"/>
      <c r="X795" s="224"/>
      <c r="Y795" s="868"/>
      <c r="Z795" s="865"/>
      <c r="AA795" s="2"/>
      <c r="AB795" s="2"/>
      <c r="AC795" s="2"/>
      <c r="AD795" s="2"/>
      <c r="AE795" s="2"/>
      <c r="AF795" s="2"/>
      <c r="AG795" s="2"/>
      <c r="AH795" s="2"/>
      <c r="AI795" s="2"/>
      <c r="AJ795" s="2"/>
      <c r="AK795" s="2"/>
      <c r="AL795" s="2"/>
      <c r="AM795" s="2"/>
      <c r="AN795" s="9"/>
      <c r="AO795" s="9"/>
      <c r="AP795" s="9"/>
      <c r="AQ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224"/>
      <c r="X796" s="224"/>
      <c r="Y796" s="868"/>
      <c r="Z796" s="865"/>
      <c r="AA796" s="2"/>
      <c r="AB796" s="2"/>
      <c r="AC796" s="2"/>
      <c r="AD796" s="2"/>
      <c r="AE796" s="2"/>
      <c r="AF796" s="2"/>
      <c r="AG796" s="2"/>
      <c r="AH796" s="2"/>
      <c r="AI796" s="2"/>
      <c r="AJ796" s="2"/>
      <c r="AK796" s="2"/>
      <c r="AL796" s="2"/>
      <c r="AM796" s="2"/>
      <c r="AN796" s="9"/>
      <c r="AO796" s="9"/>
      <c r="AP796" s="9"/>
      <c r="AQ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224"/>
      <c r="X797" s="224"/>
      <c r="Y797" s="868"/>
      <c r="Z797" s="865"/>
      <c r="AA797" s="2"/>
      <c r="AB797" s="2"/>
      <c r="AC797" s="2"/>
      <c r="AD797" s="2"/>
      <c r="AE797" s="2"/>
      <c r="AF797" s="2"/>
      <c r="AG797" s="2"/>
      <c r="AH797" s="2"/>
      <c r="AI797" s="2"/>
      <c r="AJ797" s="2"/>
      <c r="AK797" s="2"/>
      <c r="AL797" s="2"/>
      <c r="AM797" s="2"/>
      <c r="AN797" s="9"/>
      <c r="AO797" s="9"/>
      <c r="AP797" s="9"/>
      <c r="AQ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224"/>
      <c r="X798" s="224"/>
      <c r="Y798" s="868"/>
      <c r="Z798" s="865"/>
      <c r="AA798" s="2"/>
      <c r="AB798" s="2"/>
      <c r="AC798" s="2"/>
      <c r="AD798" s="2"/>
      <c r="AE798" s="2"/>
      <c r="AF798" s="2"/>
      <c r="AG798" s="2"/>
      <c r="AH798" s="2"/>
      <c r="AI798" s="2"/>
      <c r="AJ798" s="2"/>
      <c r="AK798" s="2"/>
      <c r="AL798" s="2"/>
      <c r="AM798" s="2"/>
      <c r="AN798" s="9"/>
      <c r="AO798" s="9"/>
      <c r="AP798" s="9"/>
      <c r="AQ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224"/>
      <c r="X799" s="224"/>
      <c r="Y799" s="868"/>
      <c r="Z799" s="865"/>
      <c r="AA799" s="2"/>
      <c r="AB799" s="2"/>
      <c r="AC799" s="2"/>
      <c r="AD799" s="2"/>
      <c r="AE799" s="2"/>
      <c r="AF799" s="2"/>
      <c r="AG799" s="2"/>
      <c r="AH799" s="2"/>
      <c r="AI799" s="2"/>
      <c r="AJ799" s="2"/>
      <c r="AK799" s="2"/>
      <c r="AL799" s="2"/>
      <c r="AM799" s="2"/>
      <c r="AN799" s="9"/>
      <c r="AO799" s="9"/>
      <c r="AP799" s="9"/>
      <c r="AQ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224"/>
      <c r="X800" s="224"/>
      <c r="Y800" s="868"/>
      <c r="Z800" s="865"/>
      <c r="AA800" s="2"/>
      <c r="AB800" s="2"/>
      <c r="AC800" s="2"/>
      <c r="AD800" s="2"/>
      <c r="AE800" s="2"/>
      <c r="AF800" s="2"/>
      <c r="AG800" s="2"/>
      <c r="AH800" s="2"/>
      <c r="AI800" s="2"/>
      <c r="AJ800" s="2"/>
      <c r="AK800" s="2"/>
      <c r="AL800" s="2"/>
      <c r="AM800" s="2"/>
      <c r="AN800" s="9"/>
      <c r="AO800" s="9"/>
      <c r="AP800" s="9"/>
      <c r="AQ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224"/>
      <c r="X801" s="224"/>
      <c r="Y801" s="868"/>
      <c r="Z801" s="865"/>
      <c r="AA801" s="2"/>
      <c r="AB801" s="2"/>
      <c r="AC801" s="2"/>
      <c r="AD801" s="2"/>
      <c r="AE801" s="2"/>
      <c r="AF801" s="2"/>
      <c r="AG801" s="2"/>
      <c r="AH801" s="2"/>
      <c r="AI801" s="2"/>
      <c r="AJ801" s="2"/>
      <c r="AK801" s="2"/>
      <c r="AL801" s="2"/>
      <c r="AM801" s="2"/>
      <c r="AN801" s="9"/>
      <c r="AO801" s="9"/>
      <c r="AP801" s="9"/>
      <c r="AQ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224"/>
      <c r="X802" s="224"/>
      <c r="Y802" s="868"/>
      <c r="Z802" s="865"/>
      <c r="AA802" s="2"/>
      <c r="AB802" s="2"/>
      <c r="AC802" s="2"/>
      <c r="AD802" s="2"/>
      <c r="AE802" s="2"/>
      <c r="AF802" s="2"/>
      <c r="AG802" s="2"/>
      <c r="AH802" s="2"/>
      <c r="AI802" s="2"/>
      <c r="AJ802" s="2"/>
      <c r="AK802" s="2"/>
      <c r="AL802" s="2"/>
      <c r="AM802" s="2"/>
      <c r="AN802" s="9"/>
      <c r="AO802" s="9"/>
      <c r="AP802" s="9"/>
      <c r="AQ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224"/>
      <c r="X803" s="224"/>
      <c r="Y803" s="868"/>
      <c r="Z803" s="865"/>
      <c r="AA803" s="2"/>
      <c r="AB803" s="2"/>
      <c r="AC803" s="2"/>
      <c r="AD803" s="2"/>
      <c r="AE803" s="2"/>
      <c r="AF803" s="2"/>
      <c r="AG803" s="2"/>
      <c r="AH803" s="2"/>
      <c r="AI803" s="2"/>
      <c r="AJ803" s="2"/>
      <c r="AK803" s="2"/>
      <c r="AL803" s="2"/>
      <c r="AM803" s="2"/>
      <c r="AN803" s="9"/>
      <c r="AO803" s="9"/>
      <c r="AP803" s="9"/>
      <c r="AQ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224"/>
      <c r="X804" s="224"/>
      <c r="Y804" s="868"/>
      <c r="Z804" s="865"/>
      <c r="AA804" s="2"/>
      <c r="AB804" s="2"/>
      <c r="AC804" s="2"/>
      <c r="AD804" s="2"/>
      <c r="AE804" s="2"/>
      <c r="AF804" s="2"/>
      <c r="AG804" s="2"/>
      <c r="AH804" s="2"/>
      <c r="AI804" s="2"/>
      <c r="AJ804" s="2"/>
      <c r="AK804" s="2"/>
      <c r="AL804" s="2"/>
      <c r="AM804" s="2"/>
      <c r="AN804" s="9"/>
      <c r="AO804" s="9"/>
      <c r="AP804" s="9"/>
      <c r="AQ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224"/>
      <c r="X805" s="224"/>
      <c r="Y805" s="868"/>
      <c r="Z805" s="865"/>
      <c r="AA805" s="2"/>
      <c r="AB805" s="2"/>
      <c r="AC805" s="2"/>
      <c r="AD805" s="2"/>
      <c r="AE805" s="2"/>
      <c r="AF805" s="2"/>
      <c r="AG805" s="2"/>
      <c r="AH805" s="2"/>
      <c r="AI805" s="2"/>
      <c r="AJ805" s="2"/>
      <c r="AK805" s="2"/>
      <c r="AL805" s="2"/>
      <c r="AM805" s="2"/>
      <c r="AN805" s="9"/>
      <c r="AO805" s="9"/>
      <c r="AP805" s="9"/>
      <c r="AQ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224"/>
      <c r="X806" s="224"/>
      <c r="Y806" s="868"/>
      <c r="Z806" s="865"/>
      <c r="AA806" s="2"/>
      <c r="AB806" s="2"/>
      <c r="AC806" s="2"/>
      <c r="AD806" s="2"/>
      <c r="AE806" s="2"/>
      <c r="AF806" s="2"/>
      <c r="AG806" s="2"/>
      <c r="AH806" s="2"/>
      <c r="AI806" s="2"/>
      <c r="AJ806" s="2"/>
      <c r="AK806" s="2"/>
      <c r="AL806" s="2"/>
      <c r="AM806" s="2"/>
      <c r="AN806" s="9"/>
      <c r="AO806" s="9"/>
      <c r="AP806" s="9"/>
      <c r="AQ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224"/>
      <c r="X807" s="224"/>
      <c r="Y807" s="868"/>
      <c r="Z807" s="865"/>
      <c r="AA807" s="2"/>
      <c r="AB807" s="2"/>
      <c r="AC807" s="2"/>
      <c r="AD807" s="2"/>
      <c r="AE807" s="2"/>
      <c r="AF807" s="2"/>
      <c r="AG807" s="2"/>
      <c r="AH807" s="2"/>
      <c r="AI807" s="2"/>
      <c r="AJ807" s="2"/>
      <c r="AK807" s="2"/>
      <c r="AL807" s="2"/>
      <c r="AM807" s="2"/>
      <c r="AN807" s="9"/>
      <c r="AO807" s="9"/>
      <c r="AP807" s="9"/>
      <c r="AQ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224"/>
      <c r="X808" s="224"/>
      <c r="Y808" s="868"/>
      <c r="Z808" s="865"/>
      <c r="AA808" s="2"/>
      <c r="AB808" s="2"/>
      <c r="AC808" s="2"/>
      <c r="AD808" s="2"/>
      <c r="AE808" s="2"/>
      <c r="AF808" s="2"/>
      <c r="AG808" s="2"/>
      <c r="AH808" s="2"/>
      <c r="AI808" s="2"/>
      <c r="AJ808" s="2"/>
      <c r="AK808" s="2"/>
      <c r="AL808" s="2"/>
      <c r="AM808" s="2"/>
      <c r="AN808" s="9"/>
      <c r="AO808" s="9"/>
      <c r="AP808" s="9"/>
      <c r="AQ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224"/>
      <c r="X809" s="224"/>
      <c r="Y809" s="868"/>
      <c r="Z809" s="865"/>
      <c r="AA809" s="2"/>
      <c r="AB809" s="2"/>
      <c r="AC809" s="2"/>
      <c r="AD809" s="2"/>
      <c r="AE809" s="2"/>
      <c r="AF809" s="2"/>
      <c r="AG809" s="2"/>
      <c r="AH809" s="2"/>
      <c r="AI809" s="2"/>
      <c r="AJ809" s="2"/>
      <c r="AK809" s="2"/>
      <c r="AL809" s="2"/>
      <c r="AM809" s="2"/>
      <c r="AN809" s="9"/>
      <c r="AO809" s="9"/>
      <c r="AP809" s="9"/>
      <c r="AQ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224"/>
      <c r="X810" s="224"/>
      <c r="Y810" s="868"/>
      <c r="Z810" s="865"/>
      <c r="AA810" s="2"/>
      <c r="AB810" s="2"/>
      <c r="AC810" s="2"/>
      <c r="AD810" s="2"/>
      <c r="AE810" s="2"/>
      <c r="AF810" s="2"/>
      <c r="AG810" s="2"/>
      <c r="AH810" s="2"/>
      <c r="AI810" s="2"/>
      <c r="AJ810" s="2"/>
      <c r="AK810" s="2"/>
      <c r="AL810" s="2"/>
      <c r="AM810" s="2"/>
      <c r="AN810" s="9"/>
      <c r="AO810" s="9"/>
      <c r="AP810" s="9"/>
      <c r="AQ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224"/>
      <c r="X811" s="224"/>
      <c r="Y811" s="868"/>
      <c r="Z811" s="865"/>
      <c r="AA811" s="2"/>
      <c r="AB811" s="2"/>
      <c r="AC811" s="2"/>
      <c r="AD811" s="2"/>
      <c r="AE811" s="2"/>
      <c r="AF811" s="2"/>
      <c r="AG811" s="2"/>
      <c r="AH811" s="2"/>
      <c r="AI811" s="2"/>
      <c r="AJ811" s="2"/>
      <c r="AK811" s="2"/>
      <c r="AL811" s="2"/>
      <c r="AM811" s="2"/>
      <c r="AN811" s="9"/>
      <c r="AO811" s="9"/>
      <c r="AP811" s="9"/>
      <c r="AQ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224"/>
      <c r="X812" s="224"/>
      <c r="Y812" s="868"/>
      <c r="Z812" s="865"/>
      <c r="AA812" s="2"/>
      <c r="AB812" s="2"/>
      <c r="AC812" s="2"/>
      <c r="AD812" s="2"/>
      <c r="AE812" s="2"/>
      <c r="AF812" s="2"/>
      <c r="AG812" s="2"/>
      <c r="AH812" s="2"/>
      <c r="AI812" s="2"/>
      <c r="AJ812" s="2"/>
      <c r="AK812" s="2"/>
      <c r="AL812" s="2"/>
      <c r="AM812" s="2"/>
      <c r="AN812" s="9"/>
      <c r="AO812" s="9"/>
      <c r="AP812" s="9"/>
      <c r="AQ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224"/>
      <c r="X813" s="224"/>
      <c r="Y813" s="868"/>
      <c r="Z813" s="865"/>
      <c r="AA813" s="2"/>
      <c r="AB813" s="2"/>
      <c r="AC813" s="2"/>
      <c r="AD813" s="2"/>
      <c r="AE813" s="2"/>
      <c r="AF813" s="2"/>
      <c r="AG813" s="2"/>
      <c r="AH813" s="2"/>
      <c r="AI813" s="2"/>
      <c r="AJ813" s="2"/>
      <c r="AK813" s="2"/>
      <c r="AL813" s="2"/>
      <c r="AM813" s="2"/>
      <c r="AN813" s="9"/>
      <c r="AO813" s="9"/>
      <c r="AP813" s="9"/>
      <c r="AQ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224"/>
      <c r="X814" s="224"/>
      <c r="Y814" s="868"/>
      <c r="Z814" s="865"/>
      <c r="AA814" s="2"/>
      <c r="AB814" s="2"/>
      <c r="AC814" s="2"/>
      <c r="AD814" s="2"/>
      <c r="AE814" s="2"/>
      <c r="AF814" s="2"/>
      <c r="AG814" s="2"/>
      <c r="AH814" s="2"/>
      <c r="AI814" s="2"/>
      <c r="AJ814" s="2"/>
      <c r="AK814" s="2"/>
      <c r="AL814" s="2"/>
      <c r="AM814" s="2"/>
      <c r="AN814" s="9"/>
      <c r="AO814" s="9"/>
      <c r="AP814" s="9"/>
      <c r="AQ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224"/>
      <c r="X815" s="224"/>
      <c r="Y815" s="868"/>
      <c r="Z815" s="865"/>
      <c r="AA815" s="2"/>
      <c r="AB815" s="2"/>
      <c r="AC815" s="2"/>
      <c r="AD815" s="2"/>
      <c r="AE815" s="2"/>
      <c r="AF815" s="2"/>
      <c r="AG815" s="2"/>
      <c r="AH815" s="2"/>
      <c r="AI815" s="2"/>
      <c r="AJ815" s="2"/>
      <c r="AK815" s="2"/>
      <c r="AL815" s="2"/>
      <c r="AM815" s="2"/>
      <c r="AN815" s="9"/>
      <c r="AO815" s="9"/>
      <c r="AP815" s="9"/>
      <c r="AQ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224"/>
      <c r="X816" s="224"/>
      <c r="Y816" s="868"/>
      <c r="Z816" s="865"/>
      <c r="AA816" s="2"/>
      <c r="AB816" s="2"/>
      <c r="AC816" s="2"/>
      <c r="AD816" s="2"/>
      <c r="AE816" s="2"/>
      <c r="AF816" s="2"/>
      <c r="AG816" s="2"/>
      <c r="AH816" s="2"/>
      <c r="AI816" s="2"/>
      <c r="AJ816" s="2"/>
      <c r="AK816" s="2"/>
      <c r="AL816" s="2"/>
      <c r="AM816" s="2"/>
      <c r="AN816" s="9"/>
      <c r="AO816" s="9"/>
      <c r="AP816" s="9"/>
      <c r="AQ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224"/>
      <c r="X817" s="224"/>
      <c r="Y817" s="868"/>
      <c r="Z817" s="865"/>
      <c r="AA817" s="2"/>
      <c r="AB817" s="2"/>
      <c r="AC817" s="2"/>
      <c r="AD817" s="2"/>
      <c r="AE817" s="2"/>
      <c r="AF817" s="2"/>
      <c r="AG817" s="2"/>
      <c r="AH817" s="2"/>
      <c r="AI817" s="2"/>
      <c r="AJ817" s="2"/>
      <c r="AK817" s="2"/>
      <c r="AL817" s="2"/>
      <c r="AM817" s="2"/>
      <c r="AN817" s="9"/>
      <c r="AO817" s="9"/>
      <c r="AP817" s="9"/>
      <c r="AQ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224"/>
      <c r="X818" s="224"/>
      <c r="Y818" s="868"/>
      <c r="Z818" s="865"/>
      <c r="AA818" s="2"/>
      <c r="AB818" s="2"/>
      <c r="AC818" s="2"/>
      <c r="AD818" s="2"/>
      <c r="AE818" s="2"/>
      <c r="AF818" s="2"/>
      <c r="AG818" s="2"/>
      <c r="AH818" s="2"/>
      <c r="AI818" s="2"/>
      <c r="AJ818" s="2"/>
      <c r="AK818" s="2"/>
      <c r="AL818" s="2"/>
      <c r="AM818" s="2"/>
      <c r="AN818" s="9"/>
      <c r="AO818" s="9"/>
      <c r="AP818" s="9"/>
      <c r="AQ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224"/>
      <c r="X819" s="224"/>
      <c r="Y819" s="868"/>
      <c r="Z819" s="865"/>
      <c r="AA819" s="2"/>
      <c r="AB819" s="2"/>
      <c r="AC819" s="2"/>
      <c r="AD819" s="2"/>
      <c r="AE819" s="2"/>
      <c r="AF819" s="2"/>
      <c r="AG819" s="2"/>
      <c r="AH819" s="2"/>
      <c r="AI819" s="2"/>
      <c r="AJ819" s="2"/>
      <c r="AK819" s="2"/>
      <c r="AL819" s="2"/>
      <c r="AM819" s="2"/>
      <c r="AN819" s="9"/>
      <c r="AO819" s="9"/>
      <c r="AP819" s="9"/>
      <c r="AQ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224"/>
      <c r="X820" s="224"/>
      <c r="Y820" s="868"/>
      <c r="Z820" s="865"/>
      <c r="AA820" s="2"/>
      <c r="AB820" s="2"/>
      <c r="AC820" s="2"/>
      <c r="AD820" s="2"/>
      <c r="AE820" s="2"/>
      <c r="AF820" s="2"/>
      <c r="AG820" s="2"/>
      <c r="AH820" s="2"/>
      <c r="AI820" s="2"/>
      <c r="AJ820" s="2"/>
      <c r="AK820" s="2"/>
      <c r="AL820" s="2"/>
      <c r="AM820" s="2"/>
      <c r="AN820" s="9"/>
      <c r="AO820" s="9"/>
      <c r="AP820" s="9"/>
      <c r="AQ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224"/>
      <c r="X821" s="224"/>
      <c r="Y821" s="868"/>
      <c r="Z821" s="865"/>
      <c r="AA821" s="2"/>
      <c r="AB821" s="2"/>
      <c r="AC821" s="2"/>
      <c r="AD821" s="2"/>
      <c r="AE821" s="2"/>
      <c r="AF821" s="2"/>
      <c r="AG821" s="2"/>
      <c r="AH821" s="2"/>
      <c r="AI821" s="2"/>
      <c r="AJ821" s="2"/>
      <c r="AK821" s="2"/>
      <c r="AL821" s="2"/>
      <c r="AM821" s="2"/>
      <c r="AN821" s="9"/>
      <c r="AO821" s="9"/>
      <c r="AP821" s="9"/>
      <c r="AQ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224"/>
      <c r="X822" s="224"/>
      <c r="Y822" s="868"/>
      <c r="Z822" s="865"/>
      <c r="AA822" s="2"/>
      <c r="AB822" s="2"/>
      <c r="AC822" s="2"/>
      <c r="AD822" s="2"/>
      <c r="AE822" s="2"/>
      <c r="AF822" s="2"/>
      <c r="AG822" s="2"/>
      <c r="AH822" s="2"/>
      <c r="AI822" s="2"/>
      <c r="AJ822" s="2"/>
      <c r="AK822" s="2"/>
      <c r="AL822" s="2"/>
      <c r="AM822" s="2"/>
      <c r="AN822" s="9"/>
      <c r="AO822" s="9"/>
      <c r="AP822" s="9"/>
      <c r="AQ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224"/>
      <c r="X823" s="224"/>
      <c r="Y823" s="868"/>
      <c r="Z823" s="865"/>
      <c r="AA823" s="2"/>
      <c r="AB823" s="2"/>
      <c r="AC823" s="2"/>
      <c r="AD823" s="2"/>
      <c r="AE823" s="2"/>
      <c r="AF823" s="2"/>
      <c r="AG823" s="2"/>
      <c r="AH823" s="2"/>
      <c r="AI823" s="2"/>
      <c r="AJ823" s="2"/>
      <c r="AK823" s="2"/>
      <c r="AL823" s="2"/>
      <c r="AM823" s="2"/>
      <c r="AN823" s="9"/>
      <c r="AO823" s="9"/>
      <c r="AP823" s="9"/>
      <c r="AQ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224"/>
      <c r="X824" s="224"/>
      <c r="Y824" s="868"/>
      <c r="Z824" s="865"/>
      <c r="AA824" s="2"/>
      <c r="AB824" s="2"/>
      <c r="AC824" s="2"/>
      <c r="AD824" s="2"/>
      <c r="AE824" s="2"/>
      <c r="AF824" s="2"/>
      <c r="AG824" s="2"/>
      <c r="AH824" s="2"/>
      <c r="AI824" s="2"/>
      <c r="AJ824" s="2"/>
      <c r="AK824" s="2"/>
      <c r="AL824" s="2"/>
      <c r="AM824" s="2"/>
      <c r="AN824" s="9"/>
      <c r="AO824" s="9"/>
      <c r="AP824" s="9"/>
      <c r="AQ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224"/>
      <c r="X825" s="224"/>
      <c r="Y825" s="868"/>
      <c r="Z825" s="865"/>
      <c r="AA825" s="2"/>
      <c r="AB825" s="2"/>
      <c r="AC825" s="2"/>
      <c r="AD825" s="2"/>
      <c r="AE825" s="2"/>
      <c r="AF825" s="2"/>
      <c r="AG825" s="2"/>
      <c r="AH825" s="2"/>
      <c r="AI825" s="2"/>
      <c r="AJ825" s="2"/>
      <c r="AK825" s="2"/>
      <c r="AL825" s="2"/>
      <c r="AM825" s="2"/>
      <c r="AN825" s="9"/>
      <c r="AO825" s="9"/>
      <c r="AP825" s="9"/>
      <c r="AQ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224"/>
      <c r="X826" s="224"/>
      <c r="Y826" s="868"/>
      <c r="Z826" s="865"/>
      <c r="AA826" s="2"/>
      <c r="AB826" s="2"/>
      <c r="AC826" s="2"/>
      <c r="AD826" s="2"/>
      <c r="AE826" s="2"/>
      <c r="AF826" s="2"/>
      <c r="AG826" s="2"/>
      <c r="AH826" s="2"/>
      <c r="AI826" s="2"/>
      <c r="AJ826" s="2"/>
      <c r="AK826" s="2"/>
      <c r="AL826" s="2"/>
      <c r="AM826" s="2"/>
      <c r="AN826" s="9"/>
      <c r="AO826" s="9"/>
      <c r="AP826" s="9"/>
      <c r="AQ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224"/>
      <c r="X827" s="224"/>
      <c r="Y827" s="868"/>
      <c r="Z827" s="865"/>
      <c r="AA827" s="2"/>
      <c r="AB827" s="2"/>
      <c r="AC827" s="2"/>
      <c r="AD827" s="2"/>
      <c r="AE827" s="2"/>
      <c r="AF827" s="2"/>
      <c r="AG827" s="2"/>
      <c r="AH827" s="2"/>
      <c r="AI827" s="2"/>
      <c r="AJ827" s="2"/>
      <c r="AK827" s="2"/>
      <c r="AL827" s="2"/>
      <c r="AM827" s="2"/>
      <c r="AN827" s="9"/>
      <c r="AO827" s="9"/>
      <c r="AP827" s="9"/>
      <c r="AQ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224"/>
      <c r="X828" s="224"/>
      <c r="Y828" s="868"/>
      <c r="Z828" s="865"/>
      <c r="AA828" s="2"/>
      <c r="AB828" s="2"/>
      <c r="AC828" s="2"/>
      <c r="AD828" s="2"/>
      <c r="AE828" s="2"/>
      <c r="AF828" s="2"/>
      <c r="AG828" s="2"/>
      <c r="AH828" s="2"/>
      <c r="AI828" s="2"/>
      <c r="AJ828" s="2"/>
      <c r="AK828" s="2"/>
      <c r="AL828" s="2"/>
      <c r="AM828" s="2"/>
      <c r="AN828" s="9"/>
      <c r="AO828" s="9"/>
      <c r="AP828" s="9"/>
      <c r="AQ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224"/>
      <c r="X829" s="224"/>
      <c r="Y829" s="868"/>
      <c r="Z829" s="865"/>
      <c r="AA829" s="2"/>
      <c r="AB829" s="2"/>
      <c r="AC829" s="2"/>
      <c r="AD829" s="2"/>
      <c r="AE829" s="2"/>
      <c r="AF829" s="2"/>
      <c r="AG829" s="2"/>
      <c r="AH829" s="2"/>
      <c r="AI829" s="2"/>
      <c r="AJ829" s="2"/>
      <c r="AK829" s="2"/>
      <c r="AL829" s="2"/>
      <c r="AM829" s="2"/>
      <c r="AN829" s="9"/>
      <c r="AO829" s="9"/>
      <c r="AP829" s="9"/>
      <c r="AQ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224"/>
      <c r="X830" s="224"/>
      <c r="Y830" s="868"/>
      <c r="Z830" s="865"/>
      <c r="AA830" s="2"/>
      <c r="AB830" s="2"/>
      <c r="AC830" s="2"/>
      <c r="AD830" s="2"/>
      <c r="AE830" s="2"/>
      <c r="AF830" s="2"/>
      <c r="AG830" s="2"/>
      <c r="AH830" s="2"/>
      <c r="AI830" s="2"/>
      <c r="AJ830" s="2"/>
      <c r="AK830" s="2"/>
      <c r="AL830" s="2"/>
      <c r="AM830" s="2"/>
      <c r="AN830" s="9"/>
      <c r="AO830" s="9"/>
      <c r="AP830" s="9"/>
      <c r="AQ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224"/>
      <c r="X831" s="224"/>
      <c r="Y831" s="868"/>
      <c r="Z831" s="865"/>
      <c r="AA831" s="2"/>
      <c r="AB831" s="2"/>
      <c r="AC831" s="2"/>
      <c r="AD831" s="2"/>
      <c r="AE831" s="2"/>
      <c r="AF831" s="2"/>
      <c r="AG831" s="2"/>
      <c r="AH831" s="2"/>
      <c r="AI831" s="2"/>
      <c r="AJ831" s="2"/>
      <c r="AK831" s="2"/>
      <c r="AL831" s="2"/>
      <c r="AM831" s="2"/>
      <c r="AN831" s="9"/>
      <c r="AO831" s="9"/>
      <c r="AP831" s="9"/>
      <c r="AQ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224"/>
      <c r="X832" s="224"/>
      <c r="Y832" s="868"/>
      <c r="Z832" s="865"/>
      <c r="AA832" s="2"/>
      <c r="AB832" s="2"/>
      <c r="AC832" s="2"/>
      <c r="AD832" s="2"/>
      <c r="AE832" s="2"/>
      <c r="AF832" s="2"/>
      <c r="AG832" s="2"/>
      <c r="AH832" s="2"/>
      <c r="AI832" s="2"/>
      <c r="AJ832" s="2"/>
      <c r="AK832" s="2"/>
      <c r="AL832" s="2"/>
      <c r="AM832" s="2"/>
      <c r="AN832" s="9"/>
      <c r="AO832" s="9"/>
      <c r="AP832" s="9"/>
      <c r="AQ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224"/>
      <c r="X833" s="224"/>
      <c r="Y833" s="868"/>
      <c r="Z833" s="865"/>
      <c r="AA833" s="2"/>
      <c r="AB833" s="2"/>
      <c r="AC833" s="2"/>
      <c r="AD833" s="2"/>
      <c r="AE833" s="2"/>
      <c r="AF833" s="2"/>
      <c r="AG833" s="2"/>
      <c r="AH833" s="2"/>
      <c r="AI833" s="2"/>
      <c r="AJ833" s="2"/>
      <c r="AK833" s="2"/>
      <c r="AL833" s="2"/>
      <c r="AM833" s="2"/>
      <c r="AN833" s="9"/>
      <c r="AO833" s="9"/>
      <c r="AP833" s="9"/>
      <c r="AQ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224"/>
      <c r="X834" s="224"/>
      <c r="Y834" s="868"/>
      <c r="Z834" s="865"/>
      <c r="AA834" s="2"/>
      <c r="AB834" s="2"/>
      <c r="AC834" s="2"/>
      <c r="AD834" s="2"/>
      <c r="AE834" s="2"/>
      <c r="AF834" s="2"/>
      <c r="AG834" s="2"/>
      <c r="AH834" s="2"/>
      <c r="AI834" s="2"/>
      <c r="AJ834" s="2"/>
      <c r="AK834" s="2"/>
      <c r="AL834" s="2"/>
      <c r="AM834" s="2"/>
      <c r="AN834" s="9"/>
      <c r="AO834" s="9"/>
      <c r="AP834" s="9"/>
      <c r="AQ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224"/>
      <c r="X835" s="224"/>
      <c r="Y835" s="868"/>
      <c r="Z835" s="865"/>
      <c r="AA835" s="2"/>
      <c r="AB835" s="2"/>
      <c r="AC835" s="2"/>
      <c r="AD835" s="2"/>
      <c r="AE835" s="2"/>
      <c r="AF835" s="2"/>
      <c r="AG835" s="2"/>
      <c r="AH835" s="2"/>
      <c r="AI835" s="2"/>
      <c r="AJ835" s="2"/>
      <c r="AK835" s="2"/>
      <c r="AL835" s="2"/>
      <c r="AM835" s="2"/>
      <c r="AN835" s="9"/>
      <c r="AO835" s="9"/>
      <c r="AP835" s="9"/>
      <c r="AQ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224"/>
      <c r="X836" s="224"/>
      <c r="Y836" s="868"/>
      <c r="Z836" s="865"/>
      <c r="AA836" s="2"/>
      <c r="AB836" s="2"/>
      <c r="AC836" s="2"/>
      <c r="AD836" s="2"/>
      <c r="AE836" s="2"/>
      <c r="AF836" s="2"/>
      <c r="AG836" s="2"/>
      <c r="AH836" s="2"/>
      <c r="AI836" s="2"/>
      <c r="AJ836" s="2"/>
      <c r="AK836" s="2"/>
      <c r="AL836" s="2"/>
      <c r="AM836" s="2"/>
      <c r="AN836" s="9"/>
      <c r="AO836" s="9"/>
      <c r="AP836" s="9"/>
      <c r="AQ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224"/>
      <c r="X837" s="224"/>
      <c r="Y837" s="868"/>
      <c r="Z837" s="865"/>
      <c r="AA837" s="2"/>
      <c r="AB837" s="2"/>
      <c r="AC837" s="2"/>
      <c r="AD837" s="2"/>
      <c r="AE837" s="2"/>
      <c r="AF837" s="2"/>
      <c r="AG837" s="2"/>
      <c r="AH837" s="2"/>
      <c r="AI837" s="2"/>
      <c r="AJ837" s="2"/>
      <c r="AK837" s="2"/>
      <c r="AL837" s="2"/>
      <c r="AM837" s="2"/>
      <c r="AN837" s="9"/>
      <c r="AO837" s="9"/>
      <c r="AP837" s="9"/>
      <c r="AQ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224"/>
      <c r="X838" s="224"/>
      <c r="Y838" s="868"/>
      <c r="Z838" s="865"/>
      <c r="AA838" s="2"/>
      <c r="AB838" s="2"/>
      <c r="AC838" s="2"/>
      <c r="AD838" s="2"/>
      <c r="AE838" s="2"/>
      <c r="AF838" s="2"/>
      <c r="AG838" s="2"/>
      <c r="AH838" s="2"/>
      <c r="AI838" s="2"/>
      <c r="AJ838" s="2"/>
      <c r="AK838" s="2"/>
      <c r="AL838" s="2"/>
      <c r="AM838" s="2"/>
      <c r="AN838" s="9"/>
      <c r="AO838" s="9"/>
      <c r="AP838" s="9"/>
      <c r="AQ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224"/>
      <c r="X839" s="224"/>
      <c r="Y839" s="868"/>
      <c r="Z839" s="865"/>
      <c r="AA839" s="2"/>
      <c r="AB839" s="2"/>
      <c r="AC839" s="2"/>
      <c r="AD839" s="2"/>
      <c r="AE839" s="2"/>
      <c r="AF839" s="2"/>
      <c r="AG839" s="2"/>
      <c r="AH839" s="2"/>
      <c r="AI839" s="2"/>
      <c r="AJ839" s="2"/>
      <c r="AK839" s="2"/>
      <c r="AL839" s="2"/>
      <c r="AM839" s="2"/>
      <c r="AN839" s="9"/>
      <c r="AO839" s="9"/>
      <c r="AP839" s="9"/>
      <c r="AQ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224"/>
      <c r="X840" s="224"/>
      <c r="Y840" s="868"/>
      <c r="Z840" s="865"/>
      <c r="AA840" s="2"/>
      <c r="AB840" s="2"/>
      <c r="AC840" s="2"/>
      <c r="AD840" s="2"/>
      <c r="AE840" s="2"/>
      <c r="AF840" s="2"/>
      <c r="AG840" s="2"/>
      <c r="AH840" s="2"/>
      <c r="AI840" s="2"/>
      <c r="AJ840" s="2"/>
      <c r="AK840" s="2"/>
      <c r="AL840" s="2"/>
      <c r="AM840" s="2"/>
      <c r="AN840" s="9"/>
      <c r="AO840" s="9"/>
      <c r="AP840" s="9"/>
      <c r="AQ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224"/>
      <c r="X841" s="224"/>
      <c r="Y841" s="868"/>
      <c r="Z841" s="865"/>
      <c r="AA841" s="2"/>
      <c r="AB841" s="2"/>
      <c r="AC841" s="2"/>
      <c r="AD841" s="2"/>
      <c r="AE841" s="2"/>
      <c r="AF841" s="2"/>
      <c r="AG841" s="2"/>
      <c r="AH841" s="2"/>
      <c r="AI841" s="2"/>
      <c r="AJ841" s="2"/>
      <c r="AK841" s="2"/>
      <c r="AL841" s="2"/>
      <c r="AM841" s="2"/>
      <c r="AN841" s="9"/>
      <c r="AO841" s="9"/>
      <c r="AP841" s="9"/>
      <c r="AQ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224"/>
      <c r="X842" s="224"/>
      <c r="Y842" s="868"/>
      <c r="Z842" s="865"/>
      <c r="AA842" s="2"/>
      <c r="AB842" s="2"/>
      <c r="AC842" s="2"/>
      <c r="AD842" s="2"/>
      <c r="AE842" s="2"/>
      <c r="AF842" s="2"/>
      <c r="AG842" s="2"/>
      <c r="AH842" s="2"/>
      <c r="AI842" s="2"/>
      <c r="AJ842" s="2"/>
      <c r="AK842" s="2"/>
      <c r="AL842" s="2"/>
      <c r="AM842" s="2"/>
      <c r="AN842" s="9"/>
      <c r="AO842" s="9"/>
      <c r="AP842" s="9"/>
      <c r="AQ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224"/>
      <c r="X843" s="224"/>
      <c r="Y843" s="868"/>
      <c r="Z843" s="865"/>
      <c r="AA843" s="2"/>
      <c r="AB843" s="2"/>
      <c r="AC843" s="2"/>
      <c r="AD843" s="2"/>
      <c r="AE843" s="2"/>
      <c r="AF843" s="2"/>
      <c r="AG843" s="2"/>
      <c r="AH843" s="2"/>
      <c r="AI843" s="2"/>
      <c r="AJ843" s="2"/>
      <c r="AK843" s="2"/>
      <c r="AL843" s="2"/>
      <c r="AM843" s="2"/>
      <c r="AN843" s="9"/>
      <c r="AO843" s="9"/>
      <c r="AP843" s="9"/>
      <c r="AQ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224"/>
      <c r="X844" s="224"/>
      <c r="Y844" s="868"/>
      <c r="Z844" s="865"/>
      <c r="AA844" s="2"/>
      <c r="AB844" s="2"/>
      <c r="AC844" s="2"/>
      <c r="AD844" s="2"/>
      <c r="AE844" s="2"/>
      <c r="AF844" s="2"/>
      <c r="AG844" s="2"/>
      <c r="AH844" s="2"/>
      <c r="AI844" s="2"/>
      <c r="AJ844" s="2"/>
      <c r="AK844" s="2"/>
      <c r="AL844" s="2"/>
      <c r="AM844" s="2"/>
      <c r="AN844" s="9"/>
      <c r="AO844" s="9"/>
      <c r="AP844" s="9"/>
      <c r="AQ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224"/>
      <c r="X845" s="224"/>
      <c r="Y845" s="868"/>
      <c r="Z845" s="865"/>
      <c r="AA845" s="2"/>
      <c r="AB845" s="2"/>
      <c r="AC845" s="2"/>
      <c r="AD845" s="2"/>
      <c r="AE845" s="2"/>
      <c r="AF845" s="2"/>
      <c r="AG845" s="2"/>
      <c r="AH845" s="2"/>
      <c r="AI845" s="2"/>
      <c r="AJ845" s="2"/>
      <c r="AK845" s="2"/>
      <c r="AL845" s="2"/>
      <c r="AM845" s="2"/>
      <c r="AN845" s="9"/>
      <c r="AO845" s="9"/>
      <c r="AP845" s="9"/>
      <c r="AQ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224"/>
      <c r="X846" s="224"/>
      <c r="Y846" s="868"/>
      <c r="Z846" s="865"/>
      <c r="AA846" s="2"/>
      <c r="AB846" s="2"/>
      <c r="AC846" s="2"/>
      <c r="AD846" s="2"/>
      <c r="AE846" s="2"/>
      <c r="AF846" s="2"/>
      <c r="AG846" s="2"/>
      <c r="AH846" s="2"/>
      <c r="AI846" s="2"/>
      <c r="AJ846" s="2"/>
      <c r="AK846" s="2"/>
      <c r="AL846" s="2"/>
      <c r="AM846" s="2"/>
      <c r="AN846" s="9"/>
      <c r="AO846" s="9"/>
      <c r="AP846" s="9"/>
      <c r="AQ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224"/>
      <c r="X847" s="224"/>
      <c r="Y847" s="868"/>
      <c r="Z847" s="865"/>
      <c r="AA847" s="2"/>
      <c r="AB847" s="2"/>
      <c r="AC847" s="2"/>
      <c r="AD847" s="2"/>
      <c r="AE847" s="2"/>
      <c r="AF847" s="2"/>
      <c r="AG847" s="2"/>
      <c r="AH847" s="2"/>
      <c r="AI847" s="2"/>
      <c r="AJ847" s="2"/>
      <c r="AK847" s="2"/>
      <c r="AL847" s="2"/>
      <c r="AM847" s="2"/>
      <c r="AN847" s="9"/>
      <c r="AO847" s="9"/>
      <c r="AP847" s="9"/>
      <c r="AQ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224"/>
      <c r="X848" s="224"/>
      <c r="Y848" s="868"/>
      <c r="Z848" s="865"/>
      <c r="AA848" s="2"/>
      <c r="AB848" s="2"/>
      <c r="AC848" s="2"/>
      <c r="AD848" s="2"/>
      <c r="AE848" s="2"/>
      <c r="AF848" s="2"/>
      <c r="AG848" s="2"/>
      <c r="AH848" s="2"/>
      <c r="AI848" s="2"/>
      <c r="AJ848" s="2"/>
      <c r="AK848" s="2"/>
      <c r="AL848" s="2"/>
      <c r="AM848" s="2"/>
      <c r="AN848" s="9"/>
      <c r="AO848" s="9"/>
      <c r="AP848" s="9"/>
      <c r="AQ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224"/>
      <c r="X849" s="224"/>
      <c r="Y849" s="868"/>
      <c r="Z849" s="865"/>
      <c r="AA849" s="2"/>
      <c r="AB849" s="2"/>
      <c r="AC849" s="2"/>
      <c r="AD849" s="2"/>
      <c r="AE849" s="2"/>
      <c r="AF849" s="2"/>
      <c r="AG849" s="2"/>
      <c r="AH849" s="2"/>
      <c r="AI849" s="2"/>
      <c r="AJ849" s="2"/>
      <c r="AK849" s="2"/>
      <c r="AL849" s="2"/>
      <c r="AM849" s="2"/>
      <c r="AN849" s="9"/>
      <c r="AO849" s="9"/>
      <c r="AP849" s="9"/>
      <c r="AQ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224"/>
      <c r="X850" s="224"/>
      <c r="Y850" s="868"/>
      <c r="Z850" s="865"/>
      <c r="AA850" s="2"/>
      <c r="AB850" s="2"/>
      <c r="AC850" s="2"/>
      <c r="AD850" s="2"/>
      <c r="AE850" s="2"/>
      <c r="AF850" s="2"/>
      <c r="AG850" s="2"/>
      <c r="AH850" s="2"/>
      <c r="AI850" s="2"/>
      <c r="AJ850" s="2"/>
      <c r="AK850" s="2"/>
      <c r="AL850" s="2"/>
      <c r="AM850" s="2"/>
      <c r="AN850" s="9"/>
      <c r="AO850" s="9"/>
      <c r="AP850" s="9"/>
      <c r="AQ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224"/>
      <c r="X851" s="224"/>
      <c r="Y851" s="868"/>
      <c r="Z851" s="865"/>
      <c r="AA851" s="2"/>
      <c r="AB851" s="2"/>
      <c r="AC851" s="2"/>
      <c r="AD851" s="2"/>
      <c r="AE851" s="2"/>
      <c r="AF851" s="2"/>
      <c r="AG851" s="2"/>
      <c r="AH851" s="2"/>
      <c r="AI851" s="2"/>
      <c r="AJ851" s="2"/>
      <c r="AK851" s="2"/>
      <c r="AL851" s="2"/>
      <c r="AM851" s="2"/>
      <c r="AN851" s="9"/>
      <c r="AO851" s="9"/>
      <c r="AP851" s="9"/>
      <c r="AQ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224"/>
      <c r="X852" s="224"/>
      <c r="Y852" s="868"/>
      <c r="Z852" s="865"/>
      <c r="AA852" s="2"/>
      <c r="AB852" s="2"/>
      <c r="AC852" s="2"/>
      <c r="AD852" s="2"/>
      <c r="AE852" s="2"/>
      <c r="AF852" s="2"/>
      <c r="AG852" s="2"/>
      <c r="AH852" s="2"/>
      <c r="AI852" s="2"/>
      <c r="AJ852" s="2"/>
      <c r="AK852" s="2"/>
      <c r="AL852" s="2"/>
      <c r="AM852" s="2"/>
      <c r="AN852" s="9"/>
      <c r="AO852" s="9"/>
      <c r="AP852" s="9"/>
      <c r="AQ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224"/>
      <c r="X853" s="224"/>
      <c r="Y853" s="868"/>
      <c r="Z853" s="865"/>
      <c r="AA853" s="2"/>
      <c r="AB853" s="2"/>
      <c r="AC853" s="2"/>
      <c r="AD853" s="2"/>
      <c r="AE853" s="2"/>
      <c r="AF853" s="2"/>
      <c r="AG853" s="2"/>
      <c r="AH853" s="2"/>
      <c r="AI853" s="2"/>
      <c r="AJ853" s="2"/>
      <c r="AK853" s="2"/>
      <c r="AL853" s="2"/>
      <c r="AM853" s="2"/>
      <c r="AN853" s="9"/>
      <c r="AO853" s="9"/>
      <c r="AP853" s="9"/>
      <c r="AQ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224"/>
      <c r="X854" s="224"/>
      <c r="Y854" s="868"/>
      <c r="Z854" s="865"/>
      <c r="AA854" s="2"/>
      <c r="AB854" s="2"/>
      <c r="AC854" s="2"/>
      <c r="AD854" s="2"/>
      <c r="AE854" s="2"/>
      <c r="AF854" s="2"/>
      <c r="AG854" s="2"/>
      <c r="AH854" s="2"/>
      <c r="AI854" s="2"/>
      <c r="AJ854" s="2"/>
      <c r="AK854" s="2"/>
      <c r="AL854" s="2"/>
      <c r="AM854" s="2"/>
      <c r="AN854" s="9"/>
      <c r="AO854" s="9"/>
      <c r="AP854" s="9"/>
      <c r="AQ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224"/>
      <c r="X855" s="224"/>
      <c r="Y855" s="868"/>
      <c r="Z855" s="865"/>
      <c r="AA855" s="2"/>
      <c r="AB855" s="2"/>
      <c r="AC855" s="2"/>
      <c r="AD855" s="2"/>
      <c r="AE855" s="2"/>
      <c r="AF855" s="2"/>
      <c r="AG855" s="2"/>
      <c r="AH855" s="2"/>
      <c r="AI855" s="2"/>
      <c r="AJ855" s="2"/>
      <c r="AK855" s="2"/>
      <c r="AL855" s="2"/>
      <c r="AM855" s="2"/>
      <c r="AN855" s="9"/>
      <c r="AO855" s="9"/>
      <c r="AP855" s="9"/>
      <c r="AQ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224"/>
      <c r="X856" s="224"/>
      <c r="Y856" s="868"/>
      <c r="Z856" s="865"/>
      <c r="AA856" s="2"/>
      <c r="AB856" s="2"/>
      <c r="AC856" s="2"/>
      <c r="AD856" s="2"/>
      <c r="AE856" s="2"/>
      <c r="AF856" s="2"/>
      <c r="AG856" s="2"/>
      <c r="AH856" s="2"/>
      <c r="AI856" s="2"/>
      <c r="AJ856" s="2"/>
      <c r="AK856" s="2"/>
      <c r="AL856" s="2"/>
      <c r="AM856" s="2"/>
      <c r="AN856" s="9"/>
      <c r="AO856" s="9"/>
      <c r="AP856" s="9"/>
      <c r="AQ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224"/>
      <c r="X857" s="224"/>
      <c r="Y857" s="868"/>
      <c r="Z857" s="865"/>
      <c r="AA857" s="2"/>
      <c r="AB857" s="2"/>
      <c r="AC857" s="2"/>
      <c r="AD857" s="2"/>
      <c r="AE857" s="2"/>
      <c r="AF857" s="2"/>
      <c r="AG857" s="2"/>
      <c r="AH857" s="2"/>
      <c r="AI857" s="2"/>
      <c r="AJ857" s="2"/>
      <c r="AK857" s="2"/>
      <c r="AL857" s="2"/>
      <c r="AM857" s="2"/>
      <c r="AN857" s="9"/>
      <c r="AO857" s="9"/>
      <c r="AP857" s="9"/>
      <c r="AQ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224"/>
      <c r="X858" s="224"/>
      <c r="Y858" s="868"/>
      <c r="Z858" s="865"/>
      <c r="AA858" s="2"/>
      <c r="AB858" s="2"/>
      <c r="AC858" s="2"/>
      <c r="AD858" s="2"/>
      <c r="AE858" s="2"/>
      <c r="AF858" s="2"/>
      <c r="AG858" s="2"/>
      <c r="AH858" s="2"/>
      <c r="AI858" s="2"/>
      <c r="AJ858" s="2"/>
      <c r="AK858" s="2"/>
      <c r="AL858" s="2"/>
      <c r="AM858" s="2"/>
      <c r="AN858" s="9"/>
      <c r="AO858" s="9"/>
      <c r="AP858" s="9"/>
      <c r="AQ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224"/>
      <c r="X859" s="224"/>
      <c r="Y859" s="868"/>
      <c r="Z859" s="865"/>
      <c r="AA859" s="2"/>
      <c r="AB859" s="2"/>
      <c r="AC859" s="2"/>
      <c r="AD859" s="2"/>
      <c r="AE859" s="2"/>
      <c r="AF859" s="2"/>
      <c r="AG859" s="2"/>
      <c r="AH859" s="2"/>
      <c r="AI859" s="2"/>
      <c r="AJ859" s="2"/>
      <c r="AK859" s="2"/>
      <c r="AL859" s="2"/>
      <c r="AM859" s="2"/>
      <c r="AN859" s="9"/>
      <c r="AO859" s="9"/>
      <c r="AP859" s="9"/>
      <c r="AQ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224"/>
      <c r="X860" s="224"/>
      <c r="Y860" s="868"/>
      <c r="Z860" s="865"/>
      <c r="AA860" s="2"/>
      <c r="AB860" s="2"/>
      <c r="AC860" s="2"/>
      <c r="AD860" s="2"/>
      <c r="AE860" s="2"/>
      <c r="AF860" s="2"/>
      <c r="AG860" s="2"/>
      <c r="AH860" s="2"/>
      <c r="AI860" s="2"/>
      <c r="AJ860" s="2"/>
      <c r="AK860" s="2"/>
      <c r="AL860" s="2"/>
      <c r="AM860" s="2"/>
      <c r="AN860" s="9"/>
      <c r="AO860" s="9"/>
      <c r="AP860" s="9"/>
      <c r="AQ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224"/>
      <c r="X861" s="224"/>
      <c r="Y861" s="868"/>
      <c r="Z861" s="865"/>
      <c r="AA861" s="2"/>
      <c r="AB861" s="2"/>
      <c r="AC861" s="2"/>
      <c r="AD861" s="2"/>
      <c r="AE861" s="2"/>
      <c r="AF861" s="2"/>
      <c r="AG861" s="2"/>
      <c r="AH861" s="2"/>
      <c r="AI861" s="2"/>
      <c r="AJ861" s="2"/>
      <c r="AK861" s="2"/>
      <c r="AL861" s="2"/>
      <c r="AM861" s="2"/>
      <c r="AN861" s="9"/>
      <c r="AO861" s="9"/>
      <c r="AP861" s="9"/>
      <c r="AQ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224"/>
      <c r="X862" s="224"/>
      <c r="Y862" s="868"/>
      <c r="Z862" s="865"/>
      <c r="AA862" s="2"/>
      <c r="AB862" s="2"/>
      <c r="AC862" s="2"/>
      <c r="AD862" s="2"/>
      <c r="AE862" s="2"/>
      <c r="AF862" s="2"/>
      <c r="AG862" s="2"/>
      <c r="AH862" s="2"/>
      <c r="AI862" s="2"/>
      <c r="AJ862" s="2"/>
      <c r="AK862" s="2"/>
      <c r="AL862" s="2"/>
      <c r="AM862" s="2"/>
      <c r="AN862" s="9"/>
      <c r="AO862" s="9"/>
      <c r="AP862" s="9"/>
      <c r="AQ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224"/>
      <c r="X863" s="224"/>
      <c r="Y863" s="868"/>
      <c r="Z863" s="865"/>
      <c r="AA863" s="2"/>
      <c r="AB863" s="2"/>
      <c r="AC863" s="2"/>
      <c r="AD863" s="2"/>
      <c r="AE863" s="2"/>
      <c r="AF863" s="2"/>
      <c r="AG863" s="2"/>
      <c r="AH863" s="2"/>
      <c r="AI863" s="2"/>
      <c r="AJ863" s="2"/>
      <c r="AK863" s="2"/>
      <c r="AL863" s="2"/>
      <c r="AM863" s="2"/>
      <c r="AN863" s="9"/>
      <c r="AO863" s="9"/>
      <c r="AP863" s="9"/>
      <c r="AQ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224"/>
      <c r="X864" s="224"/>
      <c r="Y864" s="868"/>
      <c r="Z864" s="865"/>
      <c r="AA864" s="2"/>
      <c r="AB864" s="2"/>
      <c r="AC864" s="2"/>
      <c r="AD864" s="2"/>
      <c r="AE864" s="2"/>
      <c r="AF864" s="2"/>
      <c r="AG864" s="2"/>
      <c r="AH864" s="2"/>
      <c r="AI864" s="2"/>
      <c r="AJ864" s="2"/>
      <c r="AK864" s="2"/>
      <c r="AL864" s="2"/>
      <c r="AM864" s="2"/>
      <c r="AN864" s="9"/>
      <c r="AO864" s="9"/>
      <c r="AP864" s="9"/>
      <c r="AQ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224"/>
      <c r="X865" s="224"/>
      <c r="Y865" s="868"/>
      <c r="Z865" s="865"/>
      <c r="AA865" s="2"/>
      <c r="AB865" s="2"/>
      <c r="AC865" s="2"/>
      <c r="AD865" s="2"/>
      <c r="AE865" s="2"/>
      <c r="AF865" s="2"/>
      <c r="AG865" s="2"/>
      <c r="AH865" s="2"/>
      <c r="AI865" s="2"/>
      <c r="AJ865" s="2"/>
      <c r="AK865" s="2"/>
      <c r="AL865" s="2"/>
      <c r="AM865" s="2"/>
      <c r="AN865" s="9"/>
      <c r="AO865" s="9"/>
      <c r="AP865" s="9"/>
      <c r="AQ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224"/>
      <c r="X866" s="224"/>
      <c r="Y866" s="868"/>
      <c r="Z866" s="865"/>
      <c r="AA866" s="2"/>
      <c r="AB866" s="2"/>
      <c r="AC866" s="2"/>
      <c r="AD866" s="2"/>
      <c r="AE866" s="2"/>
      <c r="AF866" s="2"/>
      <c r="AG866" s="2"/>
      <c r="AH866" s="2"/>
      <c r="AI866" s="2"/>
      <c r="AJ866" s="2"/>
      <c r="AK866" s="2"/>
      <c r="AL866" s="2"/>
      <c r="AM866" s="2"/>
      <c r="AN866" s="9"/>
      <c r="AO866" s="9"/>
      <c r="AP866" s="9"/>
      <c r="AQ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224"/>
      <c r="X867" s="224"/>
      <c r="Y867" s="868"/>
      <c r="Z867" s="865"/>
      <c r="AA867" s="2"/>
      <c r="AB867" s="2"/>
      <c r="AC867" s="2"/>
      <c r="AD867" s="2"/>
      <c r="AE867" s="2"/>
      <c r="AF867" s="2"/>
      <c r="AG867" s="2"/>
      <c r="AH867" s="2"/>
      <c r="AI867" s="2"/>
      <c r="AJ867" s="2"/>
      <c r="AK867" s="2"/>
      <c r="AL867" s="2"/>
      <c r="AM867" s="2"/>
      <c r="AN867" s="9"/>
      <c r="AO867" s="9"/>
      <c r="AP867" s="9"/>
      <c r="AQ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224"/>
      <c r="X868" s="224"/>
      <c r="Y868" s="868"/>
      <c r="Z868" s="865"/>
      <c r="AA868" s="2"/>
      <c r="AB868" s="2"/>
      <c r="AC868" s="2"/>
      <c r="AD868" s="2"/>
      <c r="AE868" s="2"/>
      <c r="AF868" s="2"/>
      <c r="AG868" s="2"/>
      <c r="AH868" s="2"/>
      <c r="AI868" s="2"/>
      <c r="AJ868" s="2"/>
      <c r="AK868" s="2"/>
      <c r="AL868" s="2"/>
      <c r="AM868" s="2"/>
      <c r="AN868" s="9"/>
      <c r="AO868" s="9"/>
      <c r="AP868" s="9"/>
      <c r="AQ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224"/>
      <c r="X869" s="224"/>
      <c r="Y869" s="868"/>
      <c r="Z869" s="865"/>
      <c r="AA869" s="2"/>
      <c r="AB869" s="2"/>
      <c r="AC869" s="2"/>
      <c r="AD869" s="2"/>
      <c r="AE869" s="2"/>
      <c r="AF869" s="2"/>
      <c r="AG869" s="2"/>
      <c r="AH869" s="2"/>
      <c r="AI869" s="2"/>
      <c r="AJ869" s="2"/>
      <c r="AK869" s="2"/>
      <c r="AL869" s="2"/>
      <c r="AM869" s="2"/>
      <c r="AN869" s="9"/>
      <c r="AO869" s="9"/>
      <c r="AP869" s="9"/>
      <c r="AQ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224"/>
      <c r="X870" s="224"/>
      <c r="Y870" s="868"/>
      <c r="Z870" s="865"/>
      <c r="AA870" s="2"/>
      <c r="AB870" s="2"/>
      <c r="AC870" s="2"/>
      <c r="AD870" s="2"/>
      <c r="AE870" s="2"/>
      <c r="AF870" s="2"/>
      <c r="AG870" s="2"/>
      <c r="AH870" s="2"/>
      <c r="AI870" s="2"/>
      <c r="AJ870" s="2"/>
      <c r="AK870" s="2"/>
      <c r="AL870" s="2"/>
      <c r="AM870" s="2"/>
      <c r="AN870" s="9"/>
      <c r="AO870" s="9"/>
      <c r="AP870" s="9"/>
      <c r="AQ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224"/>
      <c r="X871" s="224"/>
      <c r="Y871" s="868"/>
      <c r="Z871" s="865"/>
      <c r="AA871" s="2"/>
      <c r="AB871" s="2"/>
      <c r="AC871" s="2"/>
      <c r="AD871" s="2"/>
      <c r="AE871" s="2"/>
      <c r="AF871" s="2"/>
      <c r="AG871" s="2"/>
      <c r="AH871" s="2"/>
      <c r="AI871" s="2"/>
      <c r="AJ871" s="2"/>
      <c r="AK871" s="2"/>
      <c r="AL871" s="2"/>
      <c r="AM871" s="2"/>
      <c r="AN871" s="9"/>
      <c r="AO871" s="9"/>
      <c r="AP871" s="9"/>
      <c r="AQ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224"/>
      <c r="X872" s="224"/>
      <c r="Y872" s="868"/>
      <c r="Z872" s="865"/>
      <c r="AA872" s="2"/>
      <c r="AB872" s="2"/>
      <c r="AC872" s="2"/>
      <c r="AD872" s="2"/>
      <c r="AE872" s="2"/>
      <c r="AF872" s="2"/>
      <c r="AG872" s="2"/>
      <c r="AH872" s="2"/>
      <c r="AI872" s="2"/>
      <c r="AJ872" s="2"/>
      <c r="AK872" s="2"/>
      <c r="AL872" s="2"/>
      <c r="AM872" s="2"/>
      <c r="AN872" s="9"/>
      <c r="AO872" s="9"/>
      <c r="AP872" s="9"/>
      <c r="AQ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224"/>
      <c r="X873" s="224"/>
      <c r="Y873" s="868"/>
      <c r="Z873" s="865"/>
      <c r="AA873" s="2"/>
      <c r="AB873" s="2"/>
      <c r="AC873" s="2"/>
      <c r="AD873" s="2"/>
      <c r="AE873" s="2"/>
      <c r="AF873" s="2"/>
      <c r="AG873" s="2"/>
      <c r="AH873" s="2"/>
      <c r="AI873" s="2"/>
      <c r="AJ873" s="2"/>
      <c r="AK873" s="2"/>
      <c r="AL873" s="2"/>
      <c r="AM873" s="2"/>
      <c r="AN873" s="9"/>
      <c r="AO873" s="9"/>
      <c r="AP873" s="9"/>
      <c r="AQ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224"/>
      <c r="X874" s="224"/>
      <c r="Y874" s="868"/>
      <c r="Z874" s="865"/>
      <c r="AA874" s="2"/>
      <c r="AB874" s="2"/>
      <c r="AC874" s="2"/>
      <c r="AD874" s="2"/>
      <c r="AE874" s="2"/>
      <c r="AF874" s="2"/>
      <c r="AG874" s="2"/>
      <c r="AH874" s="2"/>
      <c r="AI874" s="2"/>
      <c r="AJ874" s="2"/>
      <c r="AK874" s="2"/>
      <c r="AL874" s="2"/>
      <c r="AM874" s="2"/>
      <c r="AN874" s="9"/>
      <c r="AO874" s="9"/>
      <c r="AP874" s="9"/>
      <c r="AQ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224"/>
      <c r="X875" s="224"/>
      <c r="Y875" s="868"/>
      <c r="Z875" s="865"/>
      <c r="AA875" s="2"/>
      <c r="AB875" s="2"/>
      <c r="AC875" s="2"/>
      <c r="AD875" s="2"/>
      <c r="AE875" s="2"/>
      <c r="AF875" s="2"/>
      <c r="AG875" s="2"/>
      <c r="AH875" s="2"/>
      <c r="AI875" s="2"/>
      <c r="AJ875" s="2"/>
      <c r="AK875" s="2"/>
      <c r="AL875" s="2"/>
      <c r="AM875" s="2"/>
      <c r="AN875" s="9"/>
      <c r="AO875" s="9"/>
      <c r="AP875" s="9"/>
      <c r="AQ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224"/>
      <c r="X876" s="224"/>
      <c r="Y876" s="868"/>
      <c r="Z876" s="865"/>
      <c r="AA876" s="2"/>
      <c r="AB876" s="2"/>
      <c r="AC876" s="2"/>
      <c r="AD876" s="2"/>
      <c r="AE876" s="2"/>
      <c r="AF876" s="2"/>
      <c r="AG876" s="2"/>
      <c r="AH876" s="2"/>
      <c r="AI876" s="2"/>
      <c r="AJ876" s="2"/>
      <c r="AK876" s="2"/>
      <c r="AL876" s="2"/>
      <c r="AM876" s="2"/>
      <c r="AN876" s="9"/>
      <c r="AO876" s="9"/>
      <c r="AP876" s="9"/>
      <c r="AQ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224"/>
      <c r="X877" s="224"/>
      <c r="Y877" s="868"/>
      <c r="Z877" s="865"/>
      <c r="AA877" s="2"/>
      <c r="AB877" s="2"/>
      <c r="AC877" s="2"/>
      <c r="AD877" s="2"/>
      <c r="AE877" s="2"/>
      <c r="AF877" s="2"/>
      <c r="AG877" s="2"/>
      <c r="AH877" s="2"/>
      <c r="AI877" s="2"/>
      <c r="AJ877" s="2"/>
      <c r="AK877" s="2"/>
      <c r="AL877" s="2"/>
      <c r="AM877" s="2"/>
      <c r="AN877" s="9"/>
      <c r="AO877" s="9"/>
      <c r="AP877" s="9"/>
      <c r="AQ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224"/>
      <c r="X878" s="224"/>
      <c r="Y878" s="868"/>
      <c r="Z878" s="865"/>
      <c r="AA878" s="2"/>
      <c r="AB878" s="2"/>
      <c r="AC878" s="2"/>
      <c r="AD878" s="2"/>
      <c r="AE878" s="2"/>
      <c r="AF878" s="2"/>
      <c r="AG878" s="2"/>
      <c r="AH878" s="2"/>
      <c r="AI878" s="2"/>
      <c r="AJ878" s="2"/>
      <c r="AK878" s="2"/>
      <c r="AL878" s="2"/>
      <c r="AM878" s="2"/>
      <c r="AN878" s="9"/>
      <c r="AO878" s="9"/>
      <c r="AP878" s="9"/>
      <c r="AQ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224"/>
      <c r="X879" s="224"/>
      <c r="Y879" s="868"/>
      <c r="Z879" s="865"/>
      <c r="AA879" s="2"/>
      <c r="AB879" s="2"/>
      <c r="AC879" s="2"/>
      <c r="AD879" s="2"/>
      <c r="AE879" s="2"/>
      <c r="AF879" s="2"/>
      <c r="AG879" s="2"/>
      <c r="AH879" s="2"/>
      <c r="AI879" s="2"/>
      <c r="AJ879" s="2"/>
      <c r="AK879" s="2"/>
      <c r="AL879" s="2"/>
      <c r="AM879" s="2"/>
      <c r="AN879" s="9"/>
      <c r="AO879" s="9"/>
      <c r="AP879" s="9"/>
      <c r="AQ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224"/>
      <c r="X880" s="224"/>
      <c r="Y880" s="868"/>
      <c r="Z880" s="865"/>
      <c r="AA880" s="2"/>
      <c r="AB880" s="2"/>
      <c r="AC880" s="2"/>
      <c r="AD880" s="2"/>
      <c r="AE880" s="2"/>
      <c r="AF880" s="2"/>
      <c r="AG880" s="2"/>
      <c r="AH880" s="2"/>
      <c r="AI880" s="2"/>
      <c r="AJ880" s="2"/>
      <c r="AK880" s="2"/>
      <c r="AL880" s="2"/>
      <c r="AM880" s="2"/>
      <c r="AN880" s="9"/>
      <c r="AO880" s="9"/>
      <c r="AP880" s="9"/>
      <c r="AQ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224"/>
      <c r="X881" s="224"/>
      <c r="Y881" s="868"/>
      <c r="Z881" s="865"/>
      <c r="AA881" s="2"/>
      <c r="AB881" s="2"/>
      <c r="AC881" s="2"/>
      <c r="AD881" s="2"/>
      <c r="AE881" s="2"/>
      <c r="AF881" s="2"/>
      <c r="AG881" s="2"/>
      <c r="AH881" s="2"/>
      <c r="AI881" s="2"/>
      <c r="AJ881" s="2"/>
      <c r="AK881" s="2"/>
      <c r="AL881" s="2"/>
      <c r="AM881" s="2"/>
      <c r="AN881" s="9"/>
      <c r="AO881" s="9"/>
      <c r="AP881" s="9"/>
      <c r="AQ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224"/>
      <c r="X882" s="224"/>
      <c r="Y882" s="868"/>
      <c r="Z882" s="865"/>
      <c r="AA882" s="2"/>
      <c r="AB882" s="2"/>
      <c r="AC882" s="2"/>
      <c r="AD882" s="2"/>
      <c r="AE882" s="2"/>
      <c r="AF882" s="2"/>
      <c r="AG882" s="2"/>
      <c r="AH882" s="2"/>
      <c r="AI882" s="2"/>
      <c r="AJ882" s="2"/>
      <c r="AK882" s="2"/>
      <c r="AL882" s="2"/>
      <c r="AM882" s="2"/>
      <c r="AN882" s="9"/>
      <c r="AO882" s="9"/>
      <c r="AP882" s="9"/>
      <c r="AQ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224"/>
      <c r="X883" s="224"/>
      <c r="Y883" s="868"/>
      <c r="Z883" s="865"/>
      <c r="AA883" s="2"/>
      <c r="AB883" s="2"/>
      <c r="AC883" s="2"/>
      <c r="AD883" s="2"/>
      <c r="AE883" s="2"/>
      <c r="AF883" s="2"/>
      <c r="AG883" s="2"/>
      <c r="AH883" s="2"/>
      <c r="AI883" s="2"/>
      <c r="AJ883" s="2"/>
      <c r="AK883" s="2"/>
      <c r="AL883" s="2"/>
      <c r="AM883" s="2"/>
      <c r="AN883" s="9"/>
      <c r="AO883" s="9"/>
      <c r="AP883" s="9"/>
      <c r="AQ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224"/>
      <c r="X884" s="224"/>
      <c r="Y884" s="868"/>
      <c r="Z884" s="865"/>
      <c r="AA884" s="2"/>
      <c r="AB884" s="2"/>
      <c r="AC884" s="2"/>
      <c r="AD884" s="2"/>
      <c r="AE884" s="2"/>
      <c r="AF884" s="2"/>
      <c r="AG884" s="2"/>
      <c r="AH884" s="2"/>
      <c r="AI884" s="2"/>
      <c r="AJ884" s="2"/>
      <c r="AK884" s="2"/>
      <c r="AL884" s="2"/>
      <c r="AM884" s="2"/>
      <c r="AN884" s="9"/>
      <c r="AO884" s="9"/>
      <c r="AP884" s="9"/>
      <c r="AQ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224"/>
      <c r="X885" s="224"/>
      <c r="Y885" s="868"/>
      <c r="Z885" s="865"/>
      <c r="AA885" s="2"/>
      <c r="AB885" s="2"/>
      <c r="AC885" s="2"/>
      <c r="AD885" s="2"/>
      <c r="AE885" s="2"/>
      <c r="AF885" s="2"/>
      <c r="AG885" s="2"/>
      <c r="AH885" s="2"/>
      <c r="AI885" s="2"/>
      <c r="AJ885" s="2"/>
      <c r="AK885" s="2"/>
      <c r="AL885" s="2"/>
      <c r="AM885" s="2"/>
      <c r="AN885" s="9"/>
      <c r="AO885" s="9"/>
      <c r="AP885" s="9"/>
      <c r="AQ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224"/>
      <c r="X886" s="224"/>
      <c r="Y886" s="868"/>
      <c r="Z886" s="865"/>
      <c r="AA886" s="2"/>
      <c r="AB886" s="2"/>
      <c r="AC886" s="2"/>
      <c r="AD886" s="2"/>
      <c r="AE886" s="2"/>
      <c r="AF886" s="2"/>
      <c r="AG886" s="2"/>
      <c r="AH886" s="2"/>
      <c r="AI886" s="2"/>
      <c r="AJ886" s="2"/>
      <c r="AK886" s="2"/>
      <c r="AL886" s="2"/>
      <c r="AM886" s="2"/>
      <c r="AN886" s="9"/>
      <c r="AO886" s="9"/>
      <c r="AP886" s="9"/>
      <c r="AQ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224"/>
      <c r="X887" s="224"/>
      <c r="Y887" s="868"/>
      <c r="Z887" s="865"/>
      <c r="AA887" s="2"/>
      <c r="AB887" s="2"/>
      <c r="AC887" s="2"/>
      <c r="AD887" s="2"/>
      <c r="AE887" s="2"/>
      <c r="AF887" s="2"/>
      <c r="AG887" s="2"/>
      <c r="AH887" s="2"/>
      <c r="AI887" s="2"/>
      <c r="AJ887" s="2"/>
      <c r="AK887" s="2"/>
      <c r="AL887" s="2"/>
      <c r="AM887" s="2"/>
      <c r="AN887" s="9"/>
      <c r="AO887" s="9"/>
      <c r="AP887" s="9"/>
      <c r="AQ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224"/>
      <c r="X888" s="224"/>
      <c r="Y888" s="868"/>
      <c r="Z888" s="865"/>
      <c r="AA888" s="2"/>
      <c r="AB888" s="2"/>
      <c r="AC888" s="2"/>
      <c r="AD888" s="2"/>
      <c r="AE888" s="2"/>
      <c r="AF888" s="2"/>
      <c r="AG888" s="2"/>
      <c r="AH888" s="2"/>
      <c r="AI888" s="2"/>
      <c r="AJ888" s="2"/>
      <c r="AK888" s="2"/>
      <c r="AL888" s="2"/>
      <c r="AM888" s="2"/>
      <c r="AN888" s="9"/>
      <c r="AO888" s="9"/>
      <c r="AP888" s="9"/>
      <c r="AQ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224"/>
      <c r="X889" s="224"/>
      <c r="Y889" s="868"/>
      <c r="Z889" s="865"/>
      <c r="AA889" s="2"/>
      <c r="AB889" s="2"/>
      <c r="AC889" s="2"/>
      <c r="AD889" s="2"/>
      <c r="AE889" s="2"/>
      <c r="AF889" s="2"/>
      <c r="AG889" s="2"/>
      <c r="AH889" s="2"/>
      <c r="AI889" s="2"/>
      <c r="AJ889" s="2"/>
      <c r="AK889" s="2"/>
      <c r="AL889" s="2"/>
      <c r="AM889" s="2"/>
      <c r="AN889" s="9"/>
      <c r="AO889" s="9"/>
      <c r="AP889" s="9"/>
      <c r="AQ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224"/>
      <c r="X890" s="224"/>
      <c r="Y890" s="868"/>
      <c r="Z890" s="865"/>
      <c r="AA890" s="2"/>
      <c r="AB890" s="2"/>
      <c r="AC890" s="2"/>
      <c r="AD890" s="2"/>
      <c r="AE890" s="2"/>
      <c r="AF890" s="2"/>
      <c r="AG890" s="2"/>
      <c r="AH890" s="2"/>
      <c r="AI890" s="2"/>
      <c r="AJ890" s="2"/>
      <c r="AK890" s="2"/>
      <c r="AL890" s="2"/>
      <c r="AM890" s="2"/>
      <c r="AN890" s="9"/>
      <c r="AO890" s="9"/>
      <c r="AP890" s="9"/>
      <c r="AQ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224"/>
      <c r="X891" s="224"/>
      <c r="Y891" s="868"/>
      <c r="Z891" s="865"/>
      <c r="AA891" s="2"/>
      <c r="AB891" s="2"/>
      <c r="AC891" s="2"/>
      <c r="AD891" s="2"/>
      <c r="AE891" s="2"/>
      <c r="AF891" s="2"/>
      <c r="AG891" s="2"/>
      <c r="AH891" s="2"/>
      <c r="AI891" s="2"/>
      <c r="AJ891" s="2"/>
      <c r="AK891" s="2"/>
      <c r="AL891" s="2"/>
      <c r="AM891" s="2"/>
      <c r="AN891" s="9"/>
      <c r="AO891" s="9"/>
      <c r="AP891" s="9"/>
      <c r="AQ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224"/>
      <c r="X892" s="224"/>
      <c r="Y892" s="868"/>
      <c r="Z892" s="865"/>
      <c r="AA892" s="2"/>
      <c r="AB892" s="2"/>
      <c r="AC892" s="2"/>
      <c r="AD892" s="2"/>
      <c r="AE892" s="2"/>
      <c r="AF892" s="2"/>
      <c r="AG892" s="2"/>
      <c r="AH892" s="2"/>
      <c r="AI892" s="2"/>
      <c r="AJ892" s="2"/>
      <c r="AK892" s="2"/>
      <c r="AL892" s="2"/>
      <c r="AM892" s="2"/>
      <c r="AN892" s="9"/>
      <c r="AO892" s="9"/>
      <c r="AP892" s="9"/>
      <c r="AQ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224"/>
      <c r="X893" s="224"/>
      <c r="Y893" s="868"/>
      <c r="Z893" s="865"/>
      <c r="AA893" s="2"/>
      <c r="AB893" s="2"/>
      <c r="AC893" s="2"/>
      <c r="AD893" s="2"/>
      <c r="AE893" s="2"/>
      <c r="AF893" s="2"/>
      <c r="AG893" s="2"/>
      <c r="AH893" s="2"/>
      <c r="AI893" s="2"/>
      <c r="AJ893" s="2"/>
      <c r="AK893" s="2"/>
      <c r="AL893" s="2"/>
      <c r="AM893" s="2"/>
      <c r="AN893" s="9"/>
      <c r="AO893" s="9"/>
      <c r="AP893" s="9"/>
      <c r="AQ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224"/>
      <c r="X894" s="224"/>
      <c r="Y894" s="868"/>
      <c r="Z894" s="865"/>
      <c r="AA894" s="2"/>
      <c r="AB894" s="2"/>
      <c r="AC894" s="2"/>
      <c r="AD894" s="2"/>
      <c r="AE894" s="2"/>
      <c r="AF894" s="2"/>
      <c r="AG894" s="2"/>
      <c r="AH894" s="2"/>
      <c r="AI894" s="2"/>
      <c r="AJ894" s="2"/>
      <c r="AK894" s="2"/>
      <c r="AL894" s="2"/>
      <c r="AM894" s="2"/>
      <c r="AN894" s="9"/>
      <c r="AO894" s="9"/>
      <c r="AP894" s="9"/>
      <c r="AQ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224"/>
      <c r="X895" s="224"/>
      <c r="Y895" s="868"/>
      <c r="Z895" s="865"/>
      <c r="AA895" s="2"/>
      <c r="AB895" s="2"/>
      <c r="AC895" s="2"/>
      <c r="AD895" s="2"/>
      <c r="AE895" s="2"/>
      <c r="AF895" s="2"/>
      <c r="AG895" s="2"/>
      <c r="AH895" s="2"/>
      <c r="AI895" s="2"/>
      <c r="AJ895" s="2"/>
      <c r="AK895" s="2"/>
      <c r="AL895" s="2"/>
      <c r="AM895" s="2"/>
      <c r="AN895" s="9"/>
      <c r="AO895" s="9"/>
      <c r="AP895" s="9"/>
      <c r="AQ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224"/>
      <c r="X896" s="224"/>
      <c r="Y896" s="868"/>
      <c r="Z896" s="865"/>
      <c r="AA896" s="2"/>
      <c r="AB896" s="2"/>
      <c r="AC896" s="2"/>
      <c r="AD896" s="2"/>
      <c r="AE896" s="2"/>
      <c r="AF896" s="2"/>
      <c r="AG896" s="2"/>
      <c r="AH896" s="2"/>
      <c r="AI896" s="2"/>
      <c r="AJ896" s="2"/>
      <c r="AK896" s="2"/>
      <c r="AL896" s="2"/>
      <c r="AM896" s="2"/>
      <c r="AN896" s="9"/>
      <c r="AO896" s="9"/>
      <c r="AP896" s="9"/>
      <c r="AQ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224"/>
      <c r="X897" s="224"/>
      <c r="Y897" s="868"/>
      <c r="Z897" s="865"/>
      <c r="AA897" s="2"/>
      <c r="AB897" s="2"/>
      <c r="AC897" s="2"/>
      <c r="AD897" s="2"/>
      <c r="AE897" s="2"/>
      <c r="AF897" s="2"/>
      <c r="AG897" s="2"/>
      <c r="AH897" s="2"/>
      <c r="AI897" s="2"/>
      <c r="AJ897" s="2"/>
      <c r="AK897" s="2"/>
      <c r="AL897" s="2"/>
      <c r="AM897" s="2"/>
      <c r="AN897" s="9"/>
      <c r="AO897" s="9"/>
      <c r="AP897" s="9"/>
      <c r="AQ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224"/>
      <c r="X898" s="224"/>
      <c r="Y898" s="868"/>
      <c r="Z898" s="865"/>
      <c r="AA898" s="2"/>
      <c r="AB898" s="2"/>
      <c r="AC898" s="2"/>
      <c r="AD898" s="2"/>
      <c r="AE898" s="2"/>
      <c r="AF898" s="2"/>
      <c r="AG898" s="2"/>
      <c r="AH898" s="2"/>
      <c r="AI898" s="2"/>
      <c r="AJ898" s="2"/>
      <c r="AK898" s="2"/>
      <c r="AL898" s="2"/>
      <c r="AM898" s="2"/>
      <c r="AN898" s="9"/>
      <c r="AO898" s="9"/>
      <c r="AP898" s="9"/>
      <c r="AQ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224"/>
      <c r="X899" s="224"/>
      <c r="Y899" s="868"/>
      <c r="Z899" s="865"/>
      <c r="AA899" s="2"/>
      <c r="AB899" s="2"/>
      <c r="AC899" s="2"/>
      <c r="AD899" s="2"/>
      <c r="AE899" s="2"/>
      <c r="AF899" s="2"/>
      <c r="AG899" s="2"/>
      <c r="AH899" s="2"/>
      <c r="AI899" s="2"/>
      <c r="AJ899" s="2"/>
      <c r="AK899" s="2"/>
      <c r="AL899" s="2"/>
      <c r="AM899" s="2"/>
      <c r="AN899" s="9"/>
      <c r="AO899" s="9"/>
      <c r="AP899" s="9"/>
      <c r="AQ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224"/>
      <c r="X900" s="224"/>
      <c r="Y900" s="868"/>
      <c r="Z900" s="865"/>
      <c r="AA900" s="2"/>
      <c r="AB900" s="2"/>
      <c r="AC900" s="2"/>
      <c r="AD900" s="2"/>
      <c r="AE900" s="2"/>
      <c r="AF900" s="2"/>
      <c r="AG900" s="2"/>
      <c r="AH900" s="2"/>
      <c r="AI900" s="2"/>
      <c r="AJ900" s="2"/>
      <c r="AK900" s="2"/>
      <c r="AL900" s="2"/>
      <c r="AM900" s="2"/>
      <c r="AN900" s="9"/>
      <c r="AO900" s="9"/>
      <c r="AP900" s="9"/>
      <c r="AQ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224"/>
      <c r="X901" s="224"/>
      <c r="Y901" s="868"/>
      <c r="Z901" s="865"/>
      <c r="AA901" s="2"/>
      <c r="AB901" s="2"/>
      <c r="AC901" s="2"/>
      <c r="AD901" s="2"/>
      <c r="AE901" s="2"/>
      <c r="AF901" s="2"/>
      <c r="AG901" s="2"/>
      <c r="AH901" s="2"/>
      <c r="AI901" s="2"/>
      <c r="AJ901" s="2"/>
      <c r="AK901" s="2"/>
      <c r="AL901" s="2"/>
      <c r="AM901" s="2"/>
      <c r="AN901" s="9"/>
      <c r="AO901" s="9"/>
      <c r="AP901" s="9"/>
      <c r="AQ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224"/>
      <c r="X902" s="224"/>
      <c r="Y902" s="868"/>
      <c r="Z902" s="865"/>
      <c r="AA902" s="2"/>
      <c r="AB902" s="2"/>
      <c r="AC902" s="2"/>
      <c r="AD902" s="2"/>
      <c r="AE902" s="2"/>
      <c r="AF902" s="2"/>
      <c r="AG902" s="2"/>
      <c r="AH902" s="2"/>
      <c r="AI902" s="2"/>
      <c r="AJ902" s="2"/>
      <c r="AK902" s="2"/>
      <c r="AL902" s="2"/>
      <c r="AM902" s="2"/>
      <c r="AN902" s="9"/>
      <c r="AO902" s="9"/>
      <c r="AP902" s="9"/>
      <c r="AQ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224"/>
      <c r="X903" s="224"/>
      <c r="Y903" s="868"/>
      <c r="Z903" s="865"/>
      <c r="AA903" s="2"/>
      <c r="AB903" s="2"/>
      <c r="AC903" s="2"/>
      <c r="AD903" s="2"/>
      <c r="AE903" s="2"/>
      <c r="AF903" s="2"/>
      <c r="AG903" s="2"/>
      <c r="AH903" s="2"/>
      <c r="AI903" s="2"/>
      <c r="AJ903" s="2"/>
      <c r="AK903" s="2"/>
      <c r="AL903" s="2"/>
      <c r="AM903" s="2"/>
      <c r="AN903" s="9"/>
      <c r="AO903" s="9"/>
      <c r="AP903" s="9"/>
      <c r="AQ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224"/>
      <c r="X904" s="224"/>
      <c r="Y904" s="868"/>
      <c r="Z904" s="865"/>
      <c r="AA904" s="2"/>
      <c r="AB904" s="2"/>
      <c r="AC904" s="2"/>
      <c r="AD904" s="2"/>
      <c r="AE904" s="2"/>
      <c r="AF904" s="2"/>
      <c r="AG904" s="2"/>
      <c r="AH904" s="2"/>
      <c r="AI904" s="2"/>
      <c r="AJ904" s="2"/>
      <c r="AK904" s="2"/>
      <c r="AL904" s="2"/>
      <c r="AM904" s="2"/>
      <c r="AN904" s="9"/>
      <c r="AO904" s="9"/>
      <c r="AP904" s="9"/>
      <c r="AQ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224"/>
      <c r="X905" s="224"/>
      <c r="Y905" s="868"/>
      <c r="Z905" s="865"/>
      <c r="AA905" s="2"/>
      <c r="AB905" s="2"/>
      <c r="AC905" s="2"/>
      <c r="AD905" s="2"/>
      <c r="AE905" s="2"/>
      <c r="AF905" s="2"/>
      <c r="AG905" s="2"/>
      <c r="AH905" s="2"/>
      <c r="AI905" s="2"/>
      <c r="AJ905" s="2"/>
      <c r="AK905" s="2"/>
      <c r="AL905" s="2"/>
      <c r="AM905" s="2"/>
      <c r="AN905" s="9"/>
      <c r="AO905" s="9"/>
      <c r="AP905" s="9"/>
      <c r="AQ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224"/>
      <c r="X906" s="224"/>
      <c r="Y906" s="868"/>
      <c r="Z906" s="865"/>
      <c r="AA906" s="2"/>
      <c r="AB906" s="2"/>
      <c r="AC906" s="2"/>
      <c r="AD906" s="2"/>
      <c r="AE906" s="2"/>
      <c r="AF906" s="2"/>
      <c r="AG906" s="2"/>
      <c r="AH906" s="2"/>
      <c r="AI906" s="2"/>
      <c r="AJ906" s="2"/>
      <c r="AK906" s="2"/>
      <c r="AL906" s="2"/>
      <c r="AM906" s="2"/>
      <c r="AN906" s="9"/>
      <c r="AO906" s="9"/>
      <c r="AP906" s="9"/>
      <c r="AQ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224"/>
      <c r="X907" s="224"/>
      <c r="Y907" s="868"/>
      <c r="Z907" s="865"/>
      <c r="AA907" s="2"/>
      <c r="AB907" s="2"/>
      <c r="AC907" s="2"/>
      <c r="AD907" s="2"/>
      <c r="AE907" s="2"/>
      <c r="AF907" s="2"/>
      <c r="AG907" s="2"/>
      <c r="AH907" s="2"/>
      <c r="AI907" s="2"/>
      <c r="AJ907" s="2"/>
      <c r="AK907" s="2"/>
      <c r="AL907" s="2"/>
      <c r="AM907" s="2"/>
      <c r="AN907" s="9"/>
      <c r="AO907" s="9"/>
      <c r="AP907" s="9"/>
      <c r="AQ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224"/>
      <c r="X908" s="224"/>
      <c r="Y908" s="868"/>
      <c r="Z908" s="865"/>
      <c r="AA908" s="2"/>
      <c r="AB908" s="2"/>
      <c r="AC908" s="2"/>
      <c r="AD908" s="2"/>
      <c r="AE908" s="2"/>
      <c r="AF908" s="2"/>
      <c r="AG908" s="2"/>
      <c r="AH908" s="2"/>
      <c r="AI908" s="2"/>
      <c r="AJ908" s="2"/>
      <c r="AK908" s="2"/>
      <c r="AL908" s="2"/>
      <c r="AM908" s="2"/>
      <c r="AN908" s="9"/>
      <c r="AO908" s="9"/>
      <c r="AP908" s="9"/>
      <c r="AQ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224"/>
      <c r="X909" s="224"/>
      <c r="Y909" s="868"/>
      <c r="Z909" s="865"/>
      <c r="AA909" s="2"/>
      <c r="AB909" s="2"/>
      <c r="AC909" s="2"/>
      <c r="AD909" s="2"/>
      <c r="AE909" s="2"/>
      <c r="AF909" s="2"/>
      <c r="AG909" s="2"/>
      <c r="AH909" s="2"/>
      <c r="AI909" s="2"/>
      <c r="AJ909" s="2"/>
      <c r="AK909" s="2"/>
      <c r="AL909" s="2"/>
      <c r="AM909" s="2"/>
      <c r="AN909" s="9"/>
      <c r="AO909" s="9"/>
      <c r="AP909" s="9"/>
      <c r="AQ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224"/>
      <c r="X910" s="224"/>
      <c r="Y910" s="868"/>
      <c r="Z910" s="865"/>
      <c r="AA910" s="2"/>
      <c r="AB910" s="2"/>
      <c r="AC910" s="2"/>
      <c r="AD910" s="2"/>
      <c r="AE910" s="2"/>
      <c r="AF910" s="2"/>
      <c r="AG910" s="2"/>
      <c r="AH910" s="2"/>
      <c r="AI910" s="2"/>
      <c r="AJ910" s="2"/>
      <c r="AK910" s="2"/>
      <c r="AL910" s="2"/>
      <c r="AM910" s="2"/>
      <c r="AN910" s="9"/>
      <c r="AO910" s="9"/>
      <c r="AP910" s="9"/>
      <c r="AQ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224"/>
      <c r="X911" s="224"/>
      <c r="Y911" s="868"/>
      <c r="Z911" s="865"/>
      <c r="AA911" s="2"/>
      <c r="AB911" s="2"/>
      <c r="AC911" s="2"/>
      <c r="AD911" s="2"/>
      <c r="AE911" s="2"/>
      <c r="AF911" s="2"/>
      <c r="AG911" s="2"/>
      <c r="AH911" s="2"/>
      <c r="AI911" s="2"/>
      <c r="AJ911" s="2"/>
      <c r="AK911" s="2"/>
      <c r="AL911" s="2"/>
      <c r="AM911" s="2"/>
      <c r="AN911" s="9"/>
      <c r="AO911" s="9"/>
      <c r="AP911" s="9"/>
      <c r="AQ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224"/>
      <c r="X912" s="224"/>
      <c r="Y912" s="868"/>
      <c r="Z912" s="865"/>
      <c r="AA912" s="2"/>
      <c r="AB912" s="2"/>
      <c r="AC912" s="2"/>
      <c r="AD912" s="2"/>
      <c r="AE912" s="2"/>
      <c r="AF912" s="2"/>
      <c r="AG912" s="2"/>
      <c r="AH912" s="2"/>
      <c r="AI912" s="2"/>
      <c r="AJ912" s="2"/>
      <c r="AK912" s="2"/>
      <c r="AL912" s="2"/>
      <c r="AM912" s="2"/>
      <c r="AN912" s="9"/>
      <c r="AO912" s="9"/>
      <c r="AP912" s="9"/>
      <c r="AQ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224"/>
      <c r="X913" s="224"/>
      <c r="Y913" s="868"/>
      <c r="Z913" s="865"/>
      <c r="AA913" s="2"/>
      <c r="AB913" s="2"/>
      <c r="AC913" s="2"/>
      <c r="AD913" s="2"/>
      <c r="AE913" s="2"/>
      <c r="AF913" s="2"/>
      <c r="AG913" s="2"/>
      <c r="AH913" s="2"/>
      <c r="AI913" s="2"/>
      <c r="AJ913" s="2"/>
      <c r="AK913" s="2"/>
      <c r="AL913" s="2"/>
      <c r="AM913" s="2"/>
      <c r="AN913" s="9"/>
      <c r="AO913" s="9"/>
      <c r="AP913" s="9"/>
      <c r="AQ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224"/>
      <c r="X914" s="224"/>
      <c r="Y914" s="868"/>
      <c r="Z914" s="865"/>
      <c r="AA914" s="2"/>
      <c r="AB914" s="2"/>
      <c r="AC914" s="2"/>
      <c r="AD914" s="2"/>
      <c r="AE914" s="2"/>
      <c r="AF914" s="2"/>
      <c r="AG914" s="2"/>
      <c r="AH914" s="2"/>
      <c r="AI914" s="2"/>
      <c r="AJ914" s="2"/>
      <c r="AK914" s="2"/>
      <c r="AL914" s="2"/>
      <c r="AM914" s="2"/>
      <c r="AN914" s="9"/>
      <c r="AO914" s="9"/>
      <c r="AP914" s="9"/>
      <c r="AQ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224"/>
      <c r="X915" s="224"/>
      <c r="Y915" s="868"/>
      <c r="Z915" s="865"/>
      <c r="AA915" s="2"/>
      <c r="AB915" s="2"/>
      <c r="AC915" s="2"/>
      <c r="AD915" s="2"/>
      <c r="AE915" s="2"/>
      <c r="AF915" s="2"/>
      <c r="AG915" s="2"/>
      <c r="AH915" s="2"/>
      <c r="AI915" s="2"/>
      <c r="AJ915" s="2"/>
      <c r="AK915" s="2"/>
      <c r="AL915" s="2"/>
      <c r="AM915" s="2"/>
      <c r="AN915" s="9"/>
      <c r="AO915" s="9"/>
      <c r="AP915" s="9"/>
      <c r="AQ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224"/>
      <c r="X916" s="224"/>
      <c r="Y916" s="868"/>
      <c r="Z916" s="865"/>
      <c r="AA916" s="2"/>
      <c r="AB916" s="2"/>
      <c r="AC916" s="2"/>
      <c r="AD916" s="2"/>
      <c r="AE916" s="2"/>
      <c r="AF916" s="2"/>
      <c r="AG916" s="2"/>
      <c r="AH916" s="2"/>
      <c r="AI916" s="2"/>
      <c r="AJ916" s="2"/>
      <c r="AK916" s="2"/>
      <c r="AL916" s="2"/>
      <c r="AM916" s="2"/>
      <c r="AN916" s="9"/>
      <c r="AO916" s="9"/>
      <c r="AP916" s="9"/>
      <c r="AQ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224"/>
      <c r="X917" s="224"/>
      <c r="Y917" s="868"/>
      <c r="Z917" s="865"/>
      <c r="AA917" s="2"/>
      <c r="AB917" s="2"/>
      <c r="AC917" s="2"/>
      <c r="AD917" s="2"/>
      <c r="AE917" s="2"/>
      <c r="AF917" s="2"/>
      <c r="AG917" s="2"/>
      <c r="AH917" s="2"/>
      <c r="AI917" s="2"/>
      <c r="AJ917" s="2"/>
      <c r="AK917" s="2"/>
      <c r="AL917" s="2"/>
      <c r="AM917" s="2"/>
      <c r="AN917" s="9"/>
      <c r="AO917" s="9"/>
      <c r="AP917" s="9"/>
      <c r="AQ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224"/>
      <c r="X918" s="224"/>
      <c r="Y918" s="868"/>
      <c r="Z918" s="865"/>
      <c r="AA918" s="2"/>
      <c r="AB918" s="2"/>
      <c r="AC918" s="2"/>
      <c r="AD918" s="2"/>
      <c r="AE918" s="2"/>
      <c r="AF918" s="2"/>
      <c r="AG918" s="2"/>
      <c r="AH918" s="2"/>
      <c r="AI918" s="2"/>
      <c r="AJ918" s="2"/>
      <c r="AK918" s="2"/>
      <c r="AL918" s="2"/>
      <c r="AM918" s="2"/>
      <c r="AN918" s="9"/>
      <c r="AO918" s="9"/>
      <c r="AP918" s="9"/>
      <c r="AQ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224"/>
      <c r="X919" s="224"/>
      <c r="Y919" s="868"/>
      <c r="Z919" s="865"/>
      <c r="AA919" s="2"/>
      <c r="AB919" s="2"/>
      <c r="AC919" s="2"/>
      <c r="AD919" s="2"/>
      <c r="AE919" s="2"/>
      <c r="AF919" s="2"/>
      <c r="AG919" s="2"/>
      <c r="AH919" s="2"/>
      <c r="AI919" s="2"/>
      <c r="AJ919" s="2"/>
      <c r="AK919" s="2"/>
      <c r="AL919" s="2"/>
      <c r="AM919" s="2"/>
      <c r="AN919" s="9"/>
      <c r="AO919" s="9"/>
      <c r="AP919" s="9"/>
      <c r="AQ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224"/>
      <c r="X920" s="224"/>
      <c r="Y920" s="868"/>
      <c r="Z920" s="865"/>
      <c r="AA920" s="2"/>
      <c r="AB920" s="2"/>
      <c r="AC920" s="2"/>
      <c r="AD920" s="2"/>
      <c r="AE920" s="2"/>
      <c r="AF920" s="2"/>
      <c r="AG920" s="2"/>
      <c r="AH920" s="2"/>
      <c r="AI920" s="2"/>
      <c r="AJ920" s="2"/>
      <c r="AK920" s="2"/>
      <c r="AL920" s="2"/>
      <c r="AM920" s="2"/>
      <c r="AN920" s="9"/>
      <c r="AO920" s="9"/>
      <c r="AP920" s="9"/>
      <c r="AQ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224"/>
      <c r="X921" s="224"/>
      <c r="Y921" s="868"/>
      <c r="Z921" s="865"/>
      <c r="AA921" s="2"/>
      <c r="AB921" s="2"/>
      <c r="AC921" s="2"/>
      <c r="AD921" s="2"/>
      <c r="AE921" s="2"/>
      <c r="AF921" s="2"/>
      <c r="AG921" s="2"/>
      <c r="AH921" s="2"/>
      <c r="AI921" s="2"/>
      <c r="AJ921" s="2"/>
      <c r="AK921" s="2"/>
      <c r="AL921" s="2"/>
      <c r="AM921" s="2"/>
      <c r="AN921" s="9"/>
      <c r="AO921" s="9"/>
      <c r="AP921" s="9"/>
      <c r="AQ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224"/>
      <c r="X922" s="224"/>
      <c r="Y922" s="868"/>
      <c r="Z922" s="865"/>
      <c r="AA922" s="2"/>
      <c r="AB922" s="2"/>
      <c r="AC922" s="2"/>
      <c r="AD922" s="2"/>
      <c r="AE922" s="2"/>
      <c r="AF922" s="2"/>
      <c r="AG922" s="2"/>
      <c r="AH922" s="2"/>
      <c r="AI922" s="2"/>
      <c r="AJ922" s="2"/>
      <c r="AK922" s="2"/>
      <c r="AL922" s="2"/>
      <c r="AM922" s="2"/>
      <c r="AN922" s="9"/>
      <c r="AO922" s="9"/>
      <c r="AP922" s="9"/>
      <c r="AQ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224"/>
      <c r="X923" s="224"/>
      <c r="Y923" s="868"/>
      <c r="Z923" s="865"/>
      <c r="AA923" s="2"/>
      <c r="AB923" s="2"/>
      <c r="AC923" s="2"/>
      <c r="AD923" s="2"/>
      <c r="AE923" s="2"/>
      <c r="AF923" s="2"/>
      <c r="AG923" s="2"/>
      <c r="AH923" s="2"/>
      <c r="AI923" s="2"/>
      <c r="AJ923" s="2"/>
      <c r="AK923" s="2"/>
      <c r="AL923" s="2"/>
      <c r="AM923" s="2"/>
      <c r="AN923" s="9"/>
      <c r="AO923" s="9"/>
      <c r="AP923" s="9"/>
      <c r="AQ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224"/>
      <c r="X924" s="224"/>
      <c r="Y924" s="868"/>
      <c r="Z924" s="865"/>
      <c r="AA924" s="2"/>
      <c r="AB924" s="2"/>
      <c r="AC924" s="2"/>
      <c r="AD924" s="2"/>
      <c r="AE924" s="2"/>
      <c r="AF924" s="2"/>
      <c r="AG924" s="2"/>
      <c r="AH924" s="2"/>
      <c r="AI924" s="2"/>
      <c r="AJ924" s="2"/>
      <c r="AK924" s="2"/>
      <c r="AL924" s="2"/>
      <c r="AM924" s="2"/>
      <c r="AN924" s="9"/>
      <c r="AO924" s="9"/>
      <c r="AP924" s="9"/>
      <c r="AQ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224"/>
      <c r="X925" s="224"/>
      <c r="Y925" s="868"/>
      <c r="Z925" s="865"/>
      <c r="AA925" s="2"/>
      <c r="AB925" s="2"/>
      <c r="AC925" s="2"/>
      <c r="AD925" s="2"/>
      <c r="AE925" s="2"/>
      <c r="AF925" s="2"/>
      <c r="AG925" s="2"/>
      <c r="AH925" s="2"/>
      <c r="AI925" s="2"/>
      <c r="AJ925" s="2"/>
      <c r="AK925" s="2"/>
      <c r="AL925" s="2"/>
      <c r="AM925" s="2"/>
      <c r="AN925" s="9"/>
      <c r="AO925" s="9"/>
      <c r="AP925" s="9"/>
      <c r="AQ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224"/>
      <c r="X926" s="224"/>
      <c r="Y926" s="868"/>
      <c r="Z926" s="865"/>
      <c r="AA926" s="2"/>
      <c r="AB926" s="2"/>
      <c r="AC926" s="2"/>
      <c r="AD926" s="2"/>
      <c r="AE926" s="2"/>
      <c r="AF926" s="2"/>
      <c r="AG926" s="2"/>
      <c r="AH926" s="2"/>
      <c r="AI926" s="2"/>
      <c r="AJ926" s="2"/>
      <c r="AK926" s="2"/>
      <c r="AL926" s="2"/>
      <c r="AM926" s="2"/>
      <c r="AN926" s="9"/>
      <c r="AO926" s="9"/>
      <c r="AP926" s="9"/>
      <c r="AQ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224"/>
      <c r="X927" s="224"/>
      <c r="Y927" s="868"/>
      <c r="Z927" s="865"/>
      <c r="AA927" s="2"/>
      <c r="AB927" s="2"/>
      <c r="AC927" s="2"/>
      <c r="AD927" s="2"/>
      <c r="AE927" s="2"/>
      <c r="AF927" s="2"/>
      <c r="AG927" s="2"/>
      <c r="AH927" s="2"/>
      <c r="AI927" s="2"/>
      <c r="AJ927" s="2"/>
      <c r="AK927" s="2"/>
      <c r="AL927" s="2"/>
      <c r="AM927" s="2"/>
      <c r="AN927" s="9"/>
      <c r="AO927" s="9"/>
      <c r="AP927" s="9"/>
      <c r="AQ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224"/>
      <c r="X928" s="224"/>
      <c r="Y928" s="868"/>
      <c r="Z928" s="865"/>
      <c r="AA928" s="2"/>
      <c r="AB928" s="2"/>
      <c r="AC928" s="2"/>
      <c r="AD928" s="2"/>
      <c r="AE928" s="2"/>
      <c r="AF928" s="2"/>
      <c r="AG928" s="2"/>
      <c r="AH928" s="2"/>
      <c r="AI928" s="2"/>
      <c r="AJ928" s="2"/>
      <c r="AK928" s="2"/>
      <c r="AL928" s="2"/>
      <c r="AM928" s="2"/>
      <c r="AN928" s="9"/>
      <c r="AO928" s="9"/>
      <c r="AP928" s="9"/>
      <c r="AQ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224"/>
      <c r="X929" s="224"/>
      <c r="Y929" s="868"/>
      <c r="Z929" s="865"/>
      <c r="AA929" s="2"/>
      <c r="AB929" s="2"/>
      <c r="AC929" s="2"/>
      <c r="AD929" s="2"/>
      <c r="AE929" s="2"/>
      <c r="AF929" s="2"/>
      <c r="AG929" s="2"/>
      <c r="AH929" s="2"/>
      <c r="AI929" s="2"/>
      <c r="AJ929" s="2"/>
      <c r="AK929" s="2"/>
      <c r="AL929" s="2"/>
      <c r="AM929" s="2"/>
      <c r="AN929" s="9"/>
      <c r="AO929" s="9"/>
      <c r="AP929" s="9"/>
      <c r="AQ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224"/>
      <c r="X930" s="224"/>
      <c r="Y930" s="868"/>
      <c r="Z930" s="865"/>
      <c r="AA930" s="2"/>
      <c r="AB930" s="2"/>
      <c r="AC930" s="2"/>
      <c r="AD930" s="2"/>
      <c r="AE930" s="2"/>
      <c r="AF930" s="2"/>
      <c r="AG930" s="2"/>
      <c r="AH930" s="2"/>
      <c r="AI930" s="2"/>
      <c r="AJ930" s="2"/>
      <c r="AK930" s="2"/>
      <c r="AL930" s="2"/>
      <c r="AM930" s="2"/>
      <c r="AN930" s="9"/>
      <c r="AO930" s="9"/>
      <c r="AP930" s="9"/>
      <c r="AQ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224"/>
      <c r="X931" s="224"/>
      <c r="Y931" s="868"/>
      <c r="Z931" s="865"/>
      <c r="AA931" s="2"/>
      <c r="AB931" s="2"/>
      <c r="AC931" s="2"/>
      <c r="AD931" s="2"/>
      <c r="AE931" s="2"/>
      <c r="AF931" s="2"/>
      <c r="AG931" s="2"/>
      <c r="AH931" s="2"/>
      <c r="AI931" s="2"/>
      <c r="AJ931" s="2"/>
      <c r="AK931" s="2"/>
      <c r="AL931" s="2"/>
      <c r="AM931" s="2"/>
      <c r="AN931" s="9"/>
      <c r="AO931" s="9"/>
      <c r="AP931" s="9"/>
      <c r="AQ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224"/>
      <c r="X932" s="224"/>
      <c r="Y932" s="868"/>
      <c r="Z932" s="865"/>
      <c r="AA932" s="2"/>
      <c r="AB932" s="2"/>
      <c r="AC932" s="2"/>
      <c r="AD932" s="2"/>
      <c r="AE932" s="2"/>
      <c r="AF932" s="2"/>
      <c r="AG932" s="2"/>
      <c r="AH932" s="2"/>
      <c r="AI932" s="2"/>
      <c r="AJ932" s="2"/>
      <c r="AK932" s="2"/>
      <c r="AL932" s="2"/>
      <c r="AM932" s="2"/>
      <c r="AN932" s="9"/>
      <c r="AO932" s="9"/>
      <c r="AP932" s="9"/>
      <c r="AQ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224"/>
      <c r="X933" s="224"/>
      <c r="Y933" s="868"/>
      <c r="Z933" s="865"/>
      <c r="AA933" s="2"/>
      <c r="AB933" s="2"/>
      <c r="AC933" s="2"/>
      <c r="AD933" s="2"/>
      <c r="AE933" s="2"/>
      <c r="AF933" s="2"/>
      <c r="AG933" s="2"/>
      <c r="AH933" s="2"/>
      <c r="AI933" s="2"/>
      <c r="AJ933" s="2"/>
      <c r="AK933" s="2"/>
      <c r="AL933" s="2"/>
      <c r="AM933" s="2"/>
      <c r="AN933" s="9"/>
      <c r="AO933" s="9"/>
      <c r="AP933" s="9"/>
      <c r="AQ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224"/>
      <c r="X934" s="224"/>
      <c r="Y934" s="868"/>
      <c r="Z934" s="865"/>
      <c r="AA934" s="2"/>
      <c r="AB934" s="2"/>
      <c r="AC934" s="2"/>
      <c r="AD934" s="2"/>
      <c r="AE934" s="2"/>
      <c r="AF934" s="2"/>
      <c r="AG934" s="2"/>
      <c r="AH934" s="2"/>
      <c r="AI934" s="2"/>
      <c r="AJ934" s="2"/>
      <c r="AK934" s="2"/>
      <c r="AL934" s="2"/>
      <c r="AM934" s="2"/>
      <c r="AN934" s="9"/>
      <c r="AO934" s="9"/>
      <c r="AP934" s="9"/>
      <c r="AQ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224"/>
      <c r="X935" s="224"/>
      <c r="Y935" s="868"/>
      <c r="Z935" s="865"/>
      <c r="AA935" s="2"/>
      <c r="AB935" s="2"/>
      <c r="AC935" s="2"/>
      <c r="AD935" s="2"/>
      <c r="AE935" s="2"/>
      <c r="AF935" s="2"/>
      <c r="AG935" s="2"/>
      <c r="AH935" s="2"/>
      <c r="AI935" s="2"/>
      <c r="AJ935" s="2"/>
      <c r="AK935" s="2"/>
      <c r="AL935" s="2"/>
      <c r="AM935" s="2"/>
      <c r="AN935" s="9"/>
      <c r="AO935" s="9"/>
      <c r="AP935" s="9"/>
      <c r="AQ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224"/>
      <c r="X936" s="224"/>
      <c r="Y936" s="868"/>
      <c r="Z936" s="865"/>
      <c r="AA936" s="2"/>
      <c r="AB936" s="2"/>
      <c r="AC936" s="2"/>
      <c r="AD936" s="2"/>
      <c r="AE936" s="2"/>
      <c r="AF936" s="2"/>
      <c r="AG936" s="2"/>
      <c r="AH936" s="2"/>
      <c r="AI936" s="2"/>
      <c r="AJ936" s="2"/>
      <c r="AK936" s="2"/>
      <c r="AL936" s="2"/>
      <c r="AM936" s="2"/>
      <c r="AN936" s="9"/>
      <c r="AO936" s="9"/>
      <c r="AP936" s="9"/>
      <c r="AQ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224"/>
      <c r="X937" s="224"/>
      <c r="Y937" s="868"/>
      <c r="Z937" s="865"/>
      <c r="AA937" s="2"/>
      <c r="AB937" s="2"/>
      <c r="AC937" s="2"/>
      <c r="AD937" s="2"/>
      <c r="AE937" s="2"/>
      <c r="AF937" s="2"/>
      <c r="AG937" s="2"/>
      <c r="AH937" s="2"/>
      <c r="AI937" s="2"/>
      <c r="AJ937" s="2"/>
      <c r="AK937" s="2"/>
      <c r="AL937" s="2"/>
      <c r="AM937" s="2"/>
      <c r="AN937" s="9"/>
      <c r="AO937" s="9"/>
      <c r="AP937" s="9"/>
      <c r="AQ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224"/>
      <c r="X938" s="224"/>
      <c r="Y938" s="868"/>
      <c r="Z938" s="865"/>
      <c r="AA938" s="2"/>
      <c r="AB938" s="2"/>
      <c r="AC938" s="2"/>
      <c r="AD938" s="2"/>
      <c r="AE938" s="2"/>
      <c r="AF938" s="2"/>
      <c r="AG938" s="2"/>
      <c r="AH938" s="2"/>
      <c r="AI938" s="2"/>
      <c r="AJ938" s="2"/>
      <c r="AK938" s="2"/>
      <c r="AL938" s="2"/>
      <c r="AM938" s="2"/>
      <c r="AN938" s="9"/>
      <c r="AO938" s="9"/>
      <c r="AP938" s="9"/>
      <c r="AQ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224"/>
      <c r="X939" s="224"/>
      <c r="Y939" s="868"/>
      <c r="Z939" s="865"/>
      <c r="AA939" s="2"/>
      <c r="AB939" s="2"/>
      <c r="AC939" s="2"/>
      <c r="AD939" s="2"/>
      <c r="AE939" s="2"/>
      <c r="AF939" s="2"/>
      <c r="AG939" s="2"/>
      <c r="AH939" s="2"/>
      <c r="AI939" s="2"/>
      <c r="AJ939" s="2"/>
      <c r="AK939" s="2"/>
      <c r="AL939" s="2"/>
      <c r="AM939" s="2"/>
      <c r="AN939" s="9"/>
      <c r="AO939" s="9"/>
      <c r="AP939" s="9"/>
      <c r="AQ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224"/>
      <c r="X940" s="224"/>
      <c r="Y940" s="868"/>
      <c r="Z940" s="865"/>
      <c r="AA940" s="2"/>
      <c r="AB940" s="2"/>
      <c r="AC940" s="2"/>
      <c r="AD940" s="2"/>
      <c r="AE940" s="2"/>
      <c r="AF940" s="2"/>
      <c r="AG940" s="2"/>
      <c r="AH940" s="2"/>
      <c r="AI940" s="2"/>
      <c r="AJ940" s="2"/>
      <c r="AK940" s="2"/>
      <c r="AL940" s="2"/>
      <c r="AM940" s="2"/>
      <c r="AN940" s="9"/>
      <c r="AO940" s="9"/>
      <c r="AP940" s="9"/>
      <c r="AQ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224"/>
      <c r="X941" s="224"/>
      <c r="Y941" s="868"/>
      <c r="Z941" s="865"/>
      <c r="AA941" s="2"/>
      <c r="AB941" s="2"/>
      <c r="AC941" s="2"/>
      <c r="AD941" s="2"/>
      <c r="AE941" s="2"/>
      <c r="AF941" s="2"/>
      <c r="AG941" s="2"/>
      <c r="AH941" s="2"/>
      <c r="AI941" s="2"/>
      <c r="AJ941" s="2"/>
      <c r="AK941" s="2"/>
      <c r="AL941" s="2"/>
      <c r="AM941" s="2"/>
      <c r="AN941" s="9"/>
      <c r="AO941" s="9"/>
      <c r="AP941" s="9"/>
      <c r="AQ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224"/>
      <c r="X942" s="224"/>
      <c r="Y942" s="868"/>
      <c r="Z942" s="865"/>
      <c r="AA942" s="2"/>
      <c r="AB942" s="2"/>
      <c r="AC942" s="2"/>
      <c r="AD942" s="2"/>
      <c r="AE942" s="2"/>
      <c r="AF942" s="2"/>
      <c r="AG942" s="2"/>
      <c r="AH942" s="2"/>
      <c r="AI942" s="2"/>
      <c r="AJ942" s="2"/>
      <c r="AK942" s="2"/>
      <c r="AL942" s="2"/>
      <c r="AM942" s="2"/>
      <c r="AN942" s="9"/>
      <c r="AO942" s="9"/>
      <c r="AP942" s="9"/>
      <c r="AQ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224"/>
      <c r="X943" s="224"/>
      <c r="Y943" s="868"/>
      <c r="Z943" s="865"/>
      <c r="AA943" s="2"/>
      <c r="AB943" s="2"/>
      <c r="AC943" s="2"/>
      <c r="AD943" s="2"/>
      <c r="AE943" s="2"/>
      <c r="AF943" s="2"/>
      <c r="AG943" s="2"/>
      <c r="AH943" s="2"/>
      <c r="AI943" s="2"/>
      <c r="AJ943" s="2"/>
      <c r="AK943" s="2"/>
      <c r="AL943" s="2"/>
      <c r="AM943" s="2"/>
      <c r="AN943" s="9"/>
      <c r="AO943" s="9"/>
      <c r="AP943" s="9"/>
      <c r="AQ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224"/>
      <c r="X944" s="224"/>
      <c r="Y944" s="868"/>
      <c r="Z944" s="865"/>
      <c r="AA944" s="2"/>
      <c r="AB944" s="2"/>
      <c r="AC944" s="2"/>
      <c r="AD944" s="2"/>
      <c r="AE944" s="2"/>
      <c r="AF944" s="2"/>
      <c r="AG944" s="2"/>
      <c r="AH944" s="2"/>
      <c r="AI944" s="2"/>
      <c r="AJ944" s="2"/>
      <c r="AK944" s="2"/>
      <c r="AL944" s="2"/>
      <c r="AM944" s="2"/>
      <c r="AN944" s="9"/>
      <c r="AO944" s="9"/>
      <c r="AP944" s="9"/>
      <c r="AQ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224"/>
      <c r="X945" s="224"/>
      <c r="Y945" s="868"/>
      <c r="Z945" s="865"/>
      <c r="AA945" s="2"/>
      <c r="AB945" s="2"/>
      <c r="AC945" s="2"/>
      <c r="AD945" s="2"/>
      <c r="AE945" s="2"/>
      <c r="AF945" s="2"/>
      <c r="AG945" s="2"/>
      <c r="AH945" s="2"/>
      <c r="AI945" s="2"/>
      <c r="AJ945" s="2"/>
      <c r="AK945" s="2"/>
      <c r="AL945" s="2"/>
      <c r="AM945" s="2"/>
      <c r="AN945" s="9"/>
      <c r="AO945" s="9"/>
      <c r="AP945" s="9"/>
      <c r="AQ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224"/>
      <c r="X946" s="224"/>
      <c r="Y946" s="868"/>
      <c r="Z946" s="865"/>
      <c r="AA946" s="2"/>
      <c r="AB946" s="2"/>
      <c r="AC946" s="2"/>
      <c r="AD946" s="2"/>
      <c r="AE946" s="2"/>
      <c r="AF946" s="2"/>
      <c r="AG946" s="2"/>
      <c r="AH946" s="2"/>
      <c r="AI946" s="2"/>
      <c r="AJ946" s="2"/>
      <c r="AK946" s="2"/>
      <c r="AL946" s="2"/>
      <c r="AM946" s="2"/>
      <c r="AN946" s="9"/>
      <c r="AO946" s="9"/>
      <c r="AP946" s="9"/>
      <c r="AQ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224"/>
      <c r="X947" s="224"/>
      <c r="Y947" s="868"/>
      <c r="Z947" s="865"/>
      <c r="AA947" s="2"/>
      <c r="AB947" s="2"/>
      <c r="AC947" s="2"/>
      <c r="AD947" s="2"/>
      <c r="AE947" s="2"/>
      <c r="AF947" s="2"/>
      <c r="AG947" s="2"/>
      <c r="AH947" s="2"/>
      <c r="AI947" s="2"/>
      <c r="AJ947" s="2"/>
      <c r="AK947" s="2"/>
      <c r="AL947" s="2"/>
      <c r="AM947" s="2"/>
      <c r="AN947" s="9"/>
      <c r="AO947" s="9"/>
      <c r="AP947" s="9"/>
      <c r="AQ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224"/>
      <c r="X948" s="224"/>
      <c r="Y948" s="868"/>
      <c r="Z948" s="865"/>
      <c r="AA948" s="2"/>
      <c r="AB948" s="2"/>
      <c r="AC948" s="2"/>
      <c r="AD948" s="2"/>
      <c r="AE948" s="2"/>
      <c r="AF948" s="2"/>
      <c r="AG948" s="2"/>
      <c r="AH948" s="2"/>
      <c r="AI948" s="2"/>
      <c r="AJ948" s="2"/>
      <c r="AK948" s="2"/>
      <c r="AL948" s="2"/>
      <c r="AM948" s="2"/>
      <c r="AN948" s="9"/>
      <c r="AO948" s="9"/>
      <c r="AP948" s="9"/>
      <c r="AQ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224"/>
      <c r="X949" s="224"/>
      <c r="Y949" s="868"/>
      <c r="Z949" s="865"/>
      <c r="AA949" s="2"/>
      <c r="AB949" s="2"/>
      <c r="AC949" s="2"/>
      <c r="AD949" s="2"/>
      <c r="AE949" s="2"/>
      <c r="AF949" s="2"/>
      <c r="AG949" s="2"/>
      <c r="AH949" s="2"/>
      <c r="AI949" s="2"/>
      <c r="AJ949" s="2"/>
      <c r="AK949" s="2"/>
      <c r="AL949" s="2"/>
      <c r="AM949" s="2"/>
      <c r="AN949" s="9"/>
      <c r="AO949" s="9"/>
      <c r="AP949" s="9"/>
      <c r="AQ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224"/>
      <c r="X950" s="224"/>
      <c r="Y950" s="868"/>
      <c r="Z950" s="865"/>
      <c r="AA950" s="2"/>
      <c r="AB950" s="2"/>
      <c r="AC950" s="2"/>
      <c r="AD950" s="2"/>
      <c r="AE950" s="2"/>
      <c r="AF950" s="2"/>
      <c r="AG950" s="2"/>
      <c r="AH950" s="2"/>
      <c r="AI950" s="2"/>
      <c r="AJ950" s="2"/>
      <c r="AK950" s="2"/>
      <c r="AL950" s="2"/>
      <c r="AM950" s="2"/>
      <c r="AN950" s="9"/>
      <c r="AO950" s="9"/>
      <c r="AP950" s="9"/>
      <c r="AQ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224"/>
      <c r="X951" s="224"/>
      <c r="Y951" s="868"/>
      <c r="Z951" s="865"/>
      <c r="AA951" s="2"/>
      <c r="AB951" s="2"/>
      <c r="AC951" s="2"/>
      <c r="AD951" s="2"/>
      <c r="AE951" s="2"/>
      <c r="AF951" s="2"/>
      <c r="AG951" s="2"/>
      <c r="AH951" s="2"/>
      <c r="AI951" s="2"/>
      <c r="AJ951" s="2"/>
      <c r="AK951" s="2"/>
      <c r="AL951" s="2"/>
      <c r="AM951" s="2"/>
      <c r="AN951" s="9"/>
      <c r="AO951" s="9"/>
      <c r="AP951" s="9"/>
      <c r="AQ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224"/>
      <c r="X952" s="224"/>
      <c r="Y952" s="868"/>
      <c r="Z952" s="865"/>
      <c r="AA952" s="2"/>
      <c r="AB952" s="2"/>
      <c r="AC952" s="2"/>
      <c r="AD952" s="2"/>
      <c r="AE952" s="2"/>
      <c r="AF952" s="2"/>
      <c r="AG952" s="2"/>
      <c r="AH952" s="2"/>
      <c r="AI952" s="2"/>
      <c r="AJ952" s="2"/>
      <c r="AK952" s="2"/>
      <c r="AL952" s="2"/>
      <c r="AM952" s="2"/>
      <c r="AN952" s="9"/>
      <c r="AO952" s="9"/>
      <c r="AP952" s="9"/>
      <c r="AQ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224"/>
      <c r="X953" s="224"/>
      <c r="Y953" s="868"/>
      <c r="Z953" s="865"/>
      <c r="AA953" s="2"/>
      <c r="AB953" s="2"/>
      <c r="AC953" s="2"/>
      <c r="AD953" s="2"/>
      <c r="AE953" s="2"/>
      <c r="AF953" s="2"/>
      <c r="AG953" s="2"/>
      <c r="AH953" s="2"/>
      <c r="AI953" s="2"/>
      <c r="AJ953" s="2"/>
      <c r="AK953" s="2"/>
      <c r="AL953" s="2"/>
      <c r="AM953" s="2"/>
      <c r="AN953" s="9"/>
      <c r="AO953" s="9"/>
      <c r="AP953" s="9"/>
      <c r="AQ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224"/>
      <c r="X954" s="224"/>
      <c r="Y954" s="868"/>
      <c r="Z954" s="865"/>
      <c r="AA954" s="2"/>
      <c r="AB954" s="2"/>
      <c r="AC954" s="2"/>
      <c r="AD954" s="2"/>
      <c r="AE954" s="2"/>
      <c r="AF954" s="2"/>
      <c r="AG954" s="2"/>
      <c r="AH954" s="2"/>
      <c r="AI954" s="2"/>
      <c r="AJ954" s="2"/>
      <c r="AK954" s="2"/>
      <c r="AL954" s="2"/>
      <c r="AM954" s="2"/>
      <c r="AN954" s="9"/>
      <c r="AO954" s="9"/>
      <c r="AP954" s="9"/>
      <c r="AQ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224"/>
      <c r="X955" s="224"/>
      <c r="Y955" s="868"/>
      <c r="Z955" s="865"/>
      <c r="AA955" s="2"/>
      <c r="AB955" s="2"/>
      <c r="AC955" s="2"/>
      <c r="AD955" s="2"/>
      <c r="AE955" s="2"/>
      <c r="AF955" s="2"/>
      <c r="AG955" s="2"/>
      <c r="AH955" s="2"/>
      <c r="AI955" s="2"/>
      <c r="AJ955" s="2"/>
      <c r="AK955" s="2"/>
      <c r="AL955" s="2"/>
      <c r="AM955" s="2"/>
      <c r="AN955" s="9"/>
      <c r="AO955" s="9"/>
      <c r="AP955" s="9"/>
      <c r="AQ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224"/>
      <c r="X956" s="224"/>
      <c r="Y956" s="868"/>
      <c r="Z956" s="865"/>
      <c r="AA956" s="2"/>
      <c r="AB956" s="2"/>
      <c r="AC956" s="2"/>
      <c r="AD956" s="2"/>
      <c r="AE956" s="2"/>
      <c r="AF956" s="2"/>
      <c r="AG956" s="2"/>
      <c r="AH956" s="2"/>
      <c r="AI956" s="2"/>
      <c r="AJ956" s="2"/>
      <c r="AK956" s="2"/>
      <c r="AL956" s="2"/>
      <c r="AM956" s="2"/>
      <c r="AN956" s="9"/>
      <c r="AO956" s="9"/>
      <c r="AP956" s="9"/>
      <c r="AQ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224"/>
      <c r="X957" s="224"/>
      <c r="Y957" s="868"/>
      <c r="Z957" s="865"/>
      <c r="AA957" s="2"/>
      <c r="AB957" s="2"/>
      <c r="AC957" s="2"/>
      <c r="AD957" s="2"/>
      <c r="AE957" s="2"/>
      <c r="AF957" s="2"/>
      <c r="AG957" s="2"/>
      <c r="AH957" s="2"/>
      <c r="AI957" s="2"/>
      <c r="AJ957" s="2"/>
      <c r="AK957" s="2"/>
      <c r="AL957" s="2"/>
      <c r="AM957" s="2"/>
      <c r="AN957" s="9"/>
      <c r="AO957" s="9"/>
      <c r="AP957" s="9"/>
      <c r="AQ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224"/>
      <c r="X958" s="224"/>
      <c r="Y958" s="868"/>
      <c r="Z958" s="865"/>
      <c r="AA958" s="2"/>
      <c r="AB958" s="2"/>
      <c r="AC958" s="2"/>
      <c r="AD958" s="2"/>
      <c r="AE958" s="2"/>
      <c r="AF958" s="2"/>
      <c r="AG958" s="2"/>
      <c r="AH958" s="2"/>
      <c r="AI958" s="2"/>
      <c r="AJ958" s="2"/>
      <c r="AK958" s="2"/>
      <c r="AL958" s="2"/>
      <c r="AM958" s="2"/>
      <c r="AN958" s="9"/>
      <c r="AO958" s="9"/>
      <c r="AP958" s="9"/>
      <c r="AQ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224"/>
      <c r="X959" s="224"/>
      <c r="Y959" s="868"/>
      <c r="Z959" s="865"/>
      <c r="AA959" s="2"/>
      <c r="AB959" s="2"/>
      <c r="AC959" s="2"/>
      <c r="AD959" s="2"/>
      <c r="AE959" s="2"/>
      <c r="AF959" s="2"/>
      <c r="AG959" s="2"/>
      <c r="AH959" s="2"/>
      <c r="AI959" s="2"/>
      <c r="AJ959" s="2"/>
      <c r="AK959" s="2"/>
      <c r="AL959" s="2"/>
      <c r="AM959" s="2"/>
      <c r="AN959" s="9"/>
      <c r="AO959" s="9"/>
      <c r="AP959" s="9"/>
      <c r="AQ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224"/>
      <c r="X960" s="224"/>
      <c r="Y960" s="868"/>
      <c r="Z960" s="865"/>
      <c r="AA960" s="2"/>
      <c r="AB960" s="2"/>
      <c r="AC960" s="2"/>
      <c r="AD960" s="2"/>
      <c r="AE960" s="2"/>
      <c r="AF960" s="2"/>
      <c r="AG960" s="2"/>
      <c r="AH960" s="2"/>
      <c r="AI960" s="2"/>
      <c r="AJ960" s="2"/>
      <c r="AK960" s="2"/>
      <c r="AL960" s="2"/>
      <c r="AM960" s="2"/>
      <c r="AN960" s="9"/>
      <c r="AO960" s="9"/>
      <c r="AP960" s="9"/>
      <c r="AQ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224"/>
      <c r="X961" s="224"/>
      <c r="Y961" s="868"/>
      <c r="Z961" s="865"/>
      <c r="AA961" s="2"/>
      <c r="AB961" s="2"/>
      <c r="AC961" s="2"/>
      <c r="AD961" s="2"/>
      <c r="AE961" s="2"/>
      <c r="AF961" s="2"/>
      <c r="AG961" s="2"/>
      <c r="AH961" s="2"/>
      <c r="AI961" s="2"/>
      <c r="AJ961" s="2"/>
      <c r="AK961" s="2"/>
      <c r="AL961" s="2"/>
      <c r="AM961" s="2"/>
      <c r="AN961" s="9"/>
      <c r="AO961" s="9"/>
      <c r="AP961" s="9"/>
      <c r="AQ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224"/>
      <c r="X962" s="224"/>
      <c r="Y962" s="868"/>
      <c r="Z962" s="865"/>
      <c r="AA962" s="2"/>
      <c r="AB962" s="2"/>
      <c r="AC962" s="2"/>
      <c r="AD962" s="2"/>
      <c r="AE962" s="2"/>
      <c r="AF962" s="2"/>
      <c r="AG962" s="2"/>
      <c r="AH962" s="2"/>
      <c r="AI962" s="2"/>
      <c r="AJ962" s="2"/>
      <c r="AK962" s="2"/>
      <c r="AL962" s="2"/>
      <c r="AM962" s="2"/>
      <c r="AN962" s="9"/>
      <c r="AO962" s="9"/>
      <c r="AP962" s="9"/>
      <c r="AQ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224"/>
      <c r="X963" s="224"/>
      <c r="Y963" s="868"/>
      <c r="Z963" s="865"/>
      <c r="AA963" s="2"/>
      <c r="AB963" s="2"/>
      <c r="AC963" s="2"/>
      <c r="AD963" s="2"/>
      <c r="AE963" s="2"/>
      <c r="AF963" s="2"/>
      <c r="AG963" s="2"/>
      <c r="AH963" s="2"/>
      <c r="AI963" s="2"/>
      <c r="AJ963" s="2"/>
      <c r="AK963" s="2"/>
      <c r="AL963" s="2"/>
      <c r="AM963" s="2"/>
      <c r="AN963" s="9"/>
      <c r="AO963" s="9"/>
      <c r="AP963" s="9"/>
      <c r="AQ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224"/>
      <c r="X964" s="224"/>
      <c r="Y964" s="868"/>
      <c r="Z964" s="865"/>
      <c r="AA964" s="2"/>
      <c r="AB964" s="2"/>
      <c r="AC964" s="2"/>
      <c r="AD964" s="2"/>
      <c r="AE964" s="2"/>
      <c r="AF964" s="2"/>
      <c r="AG964" s="2"/>
      <c r="AH964" s="2"/>
      <c r="AI964" s="2"/>
      <c r="AJ964" s="2"/>
      <c r="AK964" s="2"/>
      <c r="AL964" s="2"/>
      <c r="AM964" s="2"/>
      <c r="AN964" s="9"/>
      <c r="AO964" s="9"/>
      <c r="AP964" s="9"/>
      <c r="AQ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224"/>
      <c r="X965" s="224"/>
      <c r="Y965" s="868"/>
      <c r="Z965" s="865"/>
      <c r="AA965" s="2"/>
      <c r="AB965" s="2"/>
      <c r="AC965" s="2"/>
      <c r="AD965" s="2"/>
      <c r="AE965" s="2"/>
      <c r="AF965" s="2"/>
      <c r="AG965" s="2"/>
      <c r="AH965" s="2"/>
      <c r="AI965" s="2"/>
      <c r="AJ965" s="2"/>
      <c r="AK965" s="2"/>
      <c r="AL965" s="2"/>
      <c r="AM965" s="2"/>
      <c r="AN965" s="9"/>
      <c r="AO965" s="9"/>
      <c r="AP965" s="9"/>
      <c r="AQ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224"/>
      <c r="X966" s="224"/>
      <c r="Y966" s="868"/>
      <c r="Z966" s="865"/>
      <c r="AA966" s="2"/>
      <c r="AB966" s="2"/>
      <c r="AC966" s="2"/>
      <c r="AD966" s="2"/>
      <c r="AE966" s="2"/>
      <c r="AF966" s="2"/>
      <c r="AG966" s="2"/>
      <c r="AH966" s="2"/>
      <c r="AI966" s="2"/>
      <c r="AJ966" s="2"/>
      <c r="AK966" s="2"/>
      <c r="AL966" s="2"/>
      <c r="AM966" s="2"/>
      <c r="AN966" s="9"/>
      <c r="AO966" s="9"/>
      <c r="AP966" s="9"/>
      <c r="AQ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224"/>
      <c r="X967" s="224"/>
      <c r="Y967" s="868"/>
      <c r="Z967" s="865"/>
      <c r="AA967" s="2"/>
      <c r="AB967" s="2"/>
      <c r="AC967" s="2"/>
      <c r="AD967" s="2"/>
      <c r="AE967" s="2"/>
      <c r="AF967" s="2"/>
      <c r="AG967" s="2"/>
      <c r="AH967" s="2"/>
      <c r="AI967" s="2"/>
      <c r="AJ967" s="2"/>
      <c r="AK967" s="2"/>
      <c r="AL967" s="2"/>
      <c r="AM967" s="2"/>
      <c r="AN967" s="9"/>
      <c r="AO967" s="9"/>
      <c r="AP967" s="9"/>
      <c r="AQ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224"/>
      <c r="X968" s="224"/>
      <c r="Y968" s="868"/>
      <c r="Z968" s="865"/>
      <c r="AA968" s="2"/>
      <c r="AB968" s="2"/>
      <c r="AC968" s="2"/>
      <c r="AD968" s="2"/>
      <c r="AE968" s="2"/>
      <c r="AF968" s="2"/>
      <c r="AG968" s="2"/>
      <c r="AH968" s="2"/>
      <c r="AI968" s="2"/>
      <c r="AJ968" s="2"/>
      <c r="AK968" s="2"/>
      <c r="AL968" s="2"/>
      <c r="AM968" s="2"/>
      <c r="AN968" s="9"/>
      <c r="AO968" s="9"/>
      <c r="AP968" s="9"/>
      <c r="AQ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224"/>
      <c r="X969" s="224"/>
      <c r="Y969" s="868"/>
      <c r="Z969" s="865"/>
      <c r="AA969" s="2"/>
      <c r="AB969" s="2"/>
      <c r="AC969" s="2"/>
      <c r="AD969" s="2"/>
      <c r="AE969" s="2"/>
      <c r="AF969" s="2"/>
      <c r="AG969" s="2"/>
      <c r="AH969" s="2"/>
      <c r="AI969" s="2"/>
      <c r="AJ969" s="2"/>
      <c r="AK969" s="2"/>
      <c r="AL969" s="2"/>
      <c r="AM969" s="2"/>
      <c r="AN969" s="9"/>
      <c r="AO969" s="9"/>
      <c r="AP969" s="9"/>
      <c r="AQ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224"/>
      <c r="X970" s="224"/>
      <c r="Y970" s="868"/>
      <c r="Z970" s="865"/>
      <c r="AA970" s="2"/>
      <c r="AB970" s="2"/>
      <c r="AC970" s="2"/>
      <c r="AD970" s="2"/>
      <c r="AE970" s="2"/>
      <c r="AF970" s="2"/>
      <c r="AG970" s="2"/>
      <c r="AH970" s="2"/>
      <c r="AI970" s="2"/>
      <c r="AJ970" s="2"/>
      <c r="AK970" s="2"/>
      <c r="AL970" s="2"/>
      <c r="AM970" s="2"/>
      <c r="AN970" s="9"/>
      <c r="AO970" s="9"/>
      <c r="AP970" s="9"/>
      <c r="AQ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224"/>
      <c r="X971" s="224"/>
      <c r="Y971" s="868"/>
      <c r="Z971" s="865"/>
      <c r="AA971" s="2"/>
      <c r="AB971" s="2"/>
      <c r="AC971" s="2"/>
      <c r="AD971" s="2"/>
      <c r="AE971" s="2"/>
      <c r="AF971" s="2"/>
      <c r="AG971" s="2"/>
      <c r="AH971" s="2"/>
      <c r="AI971" s="2"/>
      <c r="AJ971" s="2"/>
      <c r="AK971" s="2"/>
      <c r="AL971" s="2"/>
      <c r="AM971" s="2"/>
      <c r="AN971" s="9"/>
      <c r="AO971" s="9"/>
      <c r="AP971" s="9"/>
      <c r="AQ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224"/>
      <c r="X972" s="224"/>
      <c r="Y972" s="868"/>
      <c r="Z972" s="865"/>
      <c r="AA972" s="2"/>
      <c r="AB972" s="2"/>
      <c r="AC972" s="2"/>
      <c r="AD972" s="2"/>
      <c r="AE972" s="2"/>
      <c r="AF972" s="2"/>
      <c r="AG972" s="2"/>
      <c r="AH972" s="2"/>
      <c r="AI972" s="2"/>
      <c r="AJ972" s="2"/>
      <c r="AK972" s="2"/>
      <c r="AL972" s="2"/>
      <c r="AM972" s="2"/>
      <c r="AN972" s="9"/>
      <c r="AO972" s="9"/>
      <c r="AP972" s="9"/>
      <c r="AQ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224"/>
      <c r="X973" s="224"/>
      <c r="Y973" s="868"/>
      <c r="Z973" s="865"/>
      <c r="AA973" s="2"/>
      <c r="AB973" s="2"/>
      <c r="AC973" s="2"/>
      <c r="AD973" s="2"/>
      <c r="AE973" s="2"/>
      <c r="AF973" s="2"/>
      <c r="AG973" s="2"/>
      <c r="AH973" s="2"/>
      <c r="AI973" s="2"/>
      <c r="AJ973" s="2"/>
      <c r="AK973" s="2"/>
      <c r="AL973" s="2"/>
      <c r="AM973" s="2"/>
      <c r="AN973" s="9"/>
      <c r="AO973" s="9"/>
      <c r="AP973" s="9"/>
      <c r="AQ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224"/>
      <c r="X974" s="224"/>
      <c r="Y974" s="868"/>
      <c r="Z974" s="865"/>
      <c r="AA974" s="2"/>
      <c r="AB974" s="2"/>
      <c r="AC974" s="2"/>
      <c r="AD974" s="2"/>
      <c r="AE974" s="2"/>
      <c r="AF974" s="2"/>
      <c r="AG974" s="2"/>
      <c r="AH974" s="2"/>
      <c r="AI974" s="2"/>
      <c r="AJ974" s="2"/>
      <c r="AK974" s="2"/>
      <c r="AL974" s="2"/>
      <c r="AM974" s="2"/>
      <c r="AN974" s="9"/>
      <c r="AO974" s="9"/>
      <c r="AP974" s="9"/>
      <c r="AQ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224"/>
      <c r="X975" s="224"/>
      <c r="Y975" s="868"/>
      <c r="Z975" s="865"/>
      <c r="AA975" s="2"/>
      <c r="AB975" s="2"/>
      <c r="AC975" s="2"/>
      <c r="AD975" s="2"/>
      <c r="AE975" s="2"/>
      <c r="AF975" s="2"/>
      <c r="AG975" s="2"/>
      <c r="AH975" s="2"/>
      <c r="AI975" s="2"/>
      <c r="AJ975" s="2"/>
      <c r="AK975" s="2"/>
      <c r="AL975" s="2"/>
      <c r="AM975" s="2"/>
      <c r="AN975" s="9"/>
      <c r="AO975" s="9"/>
      <c r="AP975" s="9"/>
      <c r="AQ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224"/>
      <c r="X976" s="224"/>
      <c r="Y976" s="868"/>
      <c r="Z976" s="865"/>
      <c r="AA976" s="2"/>
      <c r="AB976" s="2"/>
      <c r="AC976" s="2"/>
      <c r="AD976" s="2"/>
      <c r="AE976" s="2"/>
      <c r="AF976" s="2"/>
      <c r="AG976" s="2"/>
      <c r="AH976" s="2"/>
      <c r="AI976" s="2"/>
      <c r="AJ976" s="2"/>
      <c r="AK976" s="2"/>
      <c r="AL976" s="2"/>
      <c r="AM976" s="2"/>
      <c r="AN976" s="9"/>
      <c r="AO976" s="9"/>
      <c r="AP976" s="9"/>
      <c r="AQ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224"/>
      <c r="X977" s="224"/>
      <c r="Y977" s="868"/>
      <c r="Z977" s="865"/>
      <c r="AA977" s="2"/>
      <c r="AB977" s="2"/>
      <c r="AC977" s="2"/>
      <c r="AD977" s="2"/>
      <c r="AE977" s="2"/>
      <c r="AF977" s="2"/>
      <c r="AG977" s="2"/>
      <c r="AH977" s="2"/>
      <c r="AI977" s="2"/>
      <c r="AJ977" s="2"/>
      <c r="AK977" s="2"/>
      <c r="AL977" s="2"/>
      <c r="AM977" s="2"/>
      <c r="AN977" s="9"/>
      <c r="AO977" s="9"/>
      <c r="AP977" s="9"/>
      <c r="AQ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224"/>
      <c r="X978" s="224"/>
      <c r="Y978" s="868"/>
      <c r="Z978" s="865"/>
      <c r="AA978" s="2"/>
      <c r="AB978" s="2"/>
      <c r="AC978" s="2"/>
      <c r="AD978" s="2"/>
      <c r="AE978" s="2"/>
      <c r="AF978" s="2"/>
      <c r="AG978" s="2"/>
      <c r="AH978" s="2"/>
      <c r="AI978" s="2"/>
      <c r="AJ978" s="2"/>
      <c r="AK978" s="2"/>
      <c r="AL978" s="2"/>
      <c r="AM978" s="2"/>
      <c r="AN978" s="9"/>
      <c r="AO978" s="9"/>
      <c r="AP978" s="9"/>
      <c r="AQ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224"/>
      <c r="X979" s="224"/>
      <c r="Y979" s="868"/>
      <c r="Z979" s="865"/>
      <c r="AA979" s="2"/>
      <c r="AB979" s="2"/>
      <c r="AC979" s="2"/>
      <c r="AD979" s="2"/>
      <c r="AE979" s="2"/>
      <c r="AF979" s="2"/>
      <c r="AG979" s="2"/>
      <c r="AH979" s="2"/>
      <c r="AI979" s="2"/>
      <c r="AJ979" s="2"/>
      <c r="AK979" s="2"/>
      <c r="AL979" s="2"/>
      <c r="AM979" s="2"/>
      <c r="AN979" s="9"/>
      <c r="AO979" s="9"/>
      <c r="AP979" s="9"/>
      <c r="AQ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224"/>
      <c r="X980" s="224"/>
      <c r="Y980" s="868"/>
      <c r="Z980" s="865"/>
      <c r="AA980" s="2"/>
      <c r="AB980" s="2"/>
      <c r="AC980" s="2"/>
      <c r="AD980" s="2"/>
      <c r="AE980" s="2"/>
      <c r="AF980" s="2"/>
      <c r="AG980" s="2"/>
      <c r="AH980" s="2"/>
      <c r="AI980" s="2"/>
      <c r="AJ980" s="2"/>
      <c r="AK980" s="2"/>
      <c r="AL980" s="2"/>
      <c r="AM980" s="2"/>
      <c r="AN980" s="9"/>
      <c r="AO980" s="9"/>
      <c r="AP980" s="9"/>
      <c r="AQ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224"/>
      <c r="X981" s="224"/>
      <c r="Y981" s="868"/>
      <c r="Z981" s="865"/>
      <c r="AA981" s="2"/>
      <c r="AB981" s="2"/>
      <c r="AC981" s="2"/>
      <c r="AD981" s="2"/>
      <c r="AE981" s="2"/>
      <c r="AF981" s="2"/>
      <c r="AG981" s="2"/>
      <c r="AH981" s="2"/>
      <c r="AI981" s="2"/>
      <c r="AJ981" s="2"/>
      <c r="AK981" s="2"/>
      <c r="AL981" s="2"/>
      <c r="AM981" s="2"/>
      <c r="AN981" s="9"/>
      <c r="AO981" s="9"/>
      <c r="AP981" s="9"/>
      <c r="AQ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224"/>
      <c r="X982" s="224"/>
      <c r="Y982" s="868"/>
      <c r="Z982" s="865"/>
      <c r="AA982" s="2"/>
      <c r="AB982" s="2"/>
      <c r="AC982" s="2"/>
      <c r="AD982" s="2"/>
      <c r="AE982" s="2"/>
      <c r="AF982" s="2"/>
      <c r="AG982" s="2"/>
      <c r="AH982" s="2"/>
      <c r="AI982" s="2"/>
      <c r="AJ982" s="2"/>
      <c r="AK982" s="2"/>
      <c r="AL982" s="2"/>
      <c r="AM982" s="2"/>
      <c r="AN982" s="9"/>
      <c r="AO982" s="9"/>
      <c r="AP982" s="9"/>
      <c r="AQ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224"/>
      <c r="X983" s="224"/>
      <c r="Y983" s="868"/>
      <c r="Z983" s="865"/>
      <c r="AA983" s="2"/>
      <c r="AB983" s="2"/>
      <c r="AC983" s="2"/>
      <c r="AD983" s="2"/>
      <c r="AE983" s="2"/>
      <c r="AF983" s="2"/>
      <c r="AG983" s="2"/>
      <c r="AH983" s="2"/>
      <c r="AI983" s="2"/>
      <c r="AJ983" s="2"/>
      <c r="AK983" s="2"/>
      <c r="AL983" s="2"/>
      <c r="AM983" s="2"/>
      <c r="AN983" s="9"/>
      <c r="AO983" s="9"/>
      <c r="AP983" s="9"/>
      <c r="AQ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224"/>
      <c r="X984" s="224"/>
      <c r="Y984" s="868"/>
      <c r="Z984" s="865"/>
      <c r="AA984" s="2"/>
      <c r="AB984" s="2"/>
      <c r="AC984" s="2"/>
      <c r="AD984" s="2"/>
      <c r="AE984" s="2"/>
      <c r="AF984" s="2"/>
      <c r="AG984" s="2"/>
      <c r="AH984" s="2"/>
      <c r="AI984" s="2"/>
      <c r="AJ984" s="2"/>
      <c r="AK984" s="2"/>
      <c r="AL984" s="2"/>
      <c r="AM984" s="2"/>
      <c r="AN984" s="9"/>
      <c r="AO984" s="9"/>
      <c r="AP984" s="9"/>
      <c r="AQ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224"/>
      <c r="X985" s="224"/>
      <c r="Y985" s="868"/>
      <c r="Z985" s="865"/>
      <c r="AA985" s="2"/>
      <c r="AB985" s="2"/>
      <c r="AC985" s="2"/>
      <c r="AD985" s="2"/>
      <c r="AE985" s="2"/>
      <c r="AF985" s="2"/>
      <c r="AG985" s="2"/>
      <c r="AH985" s="2"/>
      <c r="AI985" s="2"/>
      <c r="AJ985" s="2"/>
      <c r="AK985" s="2"/>
      <c r="AL985" s="2"/>
      <c r="AM985" s="2"/>
      <c r="AN985" s="9"/>
      <c r="AO985" s="9"/>
      <c r="AP985" s="9"/>
      <c r="AQ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224"/>
      <c r="X986" s="224"/>
      <c r="Y986" s="868"/>
      <c r="Z986" s="865"/>
      <c r="AA986" s="2"/>
      <c r="AB986" s="2"/>
      <c r="AC986" s="2"/>
      <c r="AD986" s="2"/>
      <c r="AE986" s="2"/>
      <c r="AF986" s="2"/>
      <c r="AG986" s="2"/>
      <c r="AH986" s="2"/>
      <c r="AI986" s="2"/>
      <c r="AJ986" s="2"/>
      <c r="AK986" s="2"/>
      <c r="AL986" s="2"/>
      <c r="AM986" s="2"/>
      <c r="AN986" s="9"/>
      <c r="AO986" s="9"/>
      <c r="AP986" s="9"/>
      <c r="AQ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224"/>
      <c r="X987" s="224"/>
      <c r="Y987" s="868"/>
      <c r="Z987" s="865"/>
      <c r="AA987" s="2"/>
      <c r="AB987" s="2"/>
      <c r="AC987" s="2"/>
      <c r="AD987" s="2"/>
      <c r="AE987" s="2"/>
      <c r="AF987" s="2"/>
      <c r="AG987" s="2"/>
      <c r="AH987" s="2"/>
      <c r="AI987" s="2"/>
      <c r="AJ987" s="2"/>
      <c r="AK987" s="2"/>
      <c r="AL987" s="2"/>
      <c r="AM987" s="2"/>
      <c r="AN987" s="9"/>
      <c r="AO987" s="9"/>
      <c r="AP987" s="9"/>
      <c r="AQ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224"/>
      <c r="X988" s="224"/>
      <c r="Y988" s="868"/>
      <c r="Z988" s="865"/>
      <c r="AA988" s="2"/>
      <c r="AB988" s="2"/>
      <c r="AC988" s="2"/>
      <c r="AD988" s="2"/>
      <c r="AE988" s="2"/>
      <c r="AF988" s="2"/>
      <c r="AG988" s="2"/>
      <c r="AH988" s="2"/>
      <c r="AI988" s="2"/>
      <c r="AJ988" s="2"/>
      <c r="AK988" s="2"/>
      <c r="AL988" s="2"/>
      <c r="AM988" s="2"/>
      <c r="AN988" s="9"/>
      <c r="AO988" s="9"/>
      <c r="AP988" s="9"/>
      <c r="AQ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224"/>
      <c r="X989" s="224"/>
      <c r="Y989" s="868"/>
      <c r="Z989" s="865"/>
      <c r="AA989" s="2"/>
      <c r="AB989" s="2"/>
      <c r="AC989" s="2"/>
      <c r="AD989" s="2"/>
      <c r="AE989" s="2"/>
      <c r="AF989" s="2"/>
      <c r="AG989" s="2"/>
      <c r="AH989" s="2"/>
      <c r="AI989" s="2"/>
      <c r="AJ989" s="2"/>
      <c r="AK989" s="2"/>
      <c r="AL989" s="2"/>
      <c r="AM989" s="2"/>
      <c r="AN989" s="9"/>
      <c r="AO989" s="9"/>
      <c r="AP989" s="9"/>
      <c r="AQ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224"/>
      <c r="X990" s="224"/>
      <c r="Y990" s="868"/>
      <c r="Z990" s="865"/>
      <c r="AA990" s="2"/>
      <c r="AB990" s="2"/>
      <c r="AC990" s="2"/>
      <c r="AD990" s="2"/>
      <c r="AE990" s="2"/>
      <c r="AF990" s="2"/>
      <c r="AG990" s="2"/>
      <c r="AH990" s="2"/>
      <c r="AI990" s="2"/>
      <c r="AJ990" s="2"/>
      <c r="AK990" s="2"/>
      <c r="AL990" s="2"/>
      <c r="AM990" s="2"/>
      <c r="AN990" s="9"/>
      <c r="AO990" s="9"/>
      <c r="AP990" s="9"/>
      <c r="AQ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224"/>
      <c r="X991" s="224"/>
      <c r="Y991" s="868"/>
      <c r="Z991" s="865"/>
      <c r="AA991" s="2"/>
      <c r="AB991" s="2"/>
      <c r="AC991" s="2"/>
      <c r="AD991" s="2"/>
      <c r="AE991" s="2"/>
      <c r="AF991" s="2"/>
      <c r="AG991" s="2"/>
      <c r="AH991" s="2"/>
      <c r="AI991" s="2"/>
      <c r="AJ991" s="2"/>
      <c r="AK991" s="2"/>
      <c r="AL991" s="2"/>
      <c r="AM991" s="2"/>
      <c r="AN991" s="9"/>
      <c r="AO991" s="9"/>
      <c r="AP991" s="9"/>
      <c r="AQ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224"/>
      <c r="X992" s="224"/>
      <c r="Y992" s="868"/>
      <c r="Z992" s="865"/>
      <c r="AA992" s="2"/>
      <c r="AB992" s="2"/>
      <c r="AC992" s="2"/>
      <c r="AD992" s="2"/>
      <c r="AE992" s="2"/>
      <c r="AF992" s="2"/>
      <c r="AG992" s="2"/>
      <c r="AH992" s="2"/>
      <c r="AI992" s="2"/>
      <c r="AJ992" s="2"/>
      <c r="AK992" s="2"/>
      <c r="AL992" s="2"/>
      <c r="AM992" s="2"/>
      <c r="AN992" s="9"/>
      <c r="AO992" s="9"/>
      <c r="AP992" s="9"/>
      <c r="AQ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224"/>
      <c r="X993" s="224"/>
      <c r="Y993" s="868"/>
      <c r="Z993" s="865"/>
      <c r="AA993" s="2"/>
      <c r="AB993" s="2"/>
      <c r="AC993" s="2"/>
      <c r="AD993" s="2"/>
      <c r="AE993" s="2"/>
      <c r="AF993" s="2"/>
      <c r="AG993" s="2"/>
      <c r="AH993" s="2"/>
      <c r="AI993" s="2"/>
      <c r="AJ993" s="2"/>
      <c r="AK993" s="2"/>
      <c r="AL993" s="2"/>
      <c r="AM993" s="2"/>
      <c r="AN993" s="9"/>
      <c r="AO993" s="9"/>
      <c r="AP993" s="9"/>
      <c r="AQ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224"/>
      <c r="X994" s="224"/>
      <c r="Y994" s="868"/>
      <c r="Z994" s="865"/>
      <c r="AA994" s="2"/>
      <c r="AB994" s="2"/>
      <c r="AC994" s="2"/>
      <c r="AD994" s="2"/>
      <c r="AE994" s="2"/>
      <c r="AF994" s="2"/>
      <c r="AG994" s="2"/>
      <c r="AH994" s="2"/>
      <c r="AI994" s="2"/>
      <c r="AJ994" s="2"/>
      <c r="AK994" s="2"/>
      <c r="AL994" s="2"/>
      <c r="AM994" s="2"/>
      <c r="AN994" s="9"/>
      <c r="AO994" s="9"/>
      <c r="AP994" s="9"/>
      <c r="AQ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224"/>
      <c r="X995" s="224"/>
      <c r="Y995" s="868"/>
      <c r="Z995" s="865"/>
      <c r="AA995" s="2"/>
      <c r="AB995" s="2"/>
      <c r="AC995" s="2"/>
      <c r="AD995" s="2"/>
      <c r="AE995" s="2"/>
      <c r="AF995" s="2"/>
      <c r="AG995" s="2"/>
      <c r="AH995" s="2"/>
      <c r="AI995" s="2"/>
      <c r="AJ995" s="2"/>
      <c r="AK995" s="2"/>
      <c r="AL995" s="2"/>
      <c r="AM995" s="2"/>
      <c r="AN995" s="9"/>
      <c r="AO995" s="9"/>
      <c r="AP995" s="9"/>
      <c r="AQ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224"/>
      <c r="X996" s="224"/>
      <c r="Y996" s="868"/>
      <c r="Z996" s="865"/>
      <c r="AA996" s="2"/>
      <c r="AB996" s="2"/>
      <c r="AC996" s="2"/>
      <c r="AD996" s="2"/>
      <c r="AE996" s="2"/>
      <c r="AF996" s="2"/>
      <c r="AG996" s="2"/>
      <c r="AH996" s="2"/>
      <c r="AI996" s="2"/>
      <c r="AJ996" s="2"/>
      <c r="AK996" s="2"/>
      <c r="AL996" s="2"/>
      <c r="AM996" s="2"/>
      <c r="AN996" s="9"/>
      <c r="AO996" s="9"/>
      <c r="AP996" s="9"/>
      <c r="AQ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224"/>
      <c r="X997" s="224"/>
      <c r="Y997" s="868"/>
      <c r="Z997" s="865"/>
      <c r="AA997" s="2"/>
      <c r="AB997" s="2"/>
      <c r="AC997" s="2"/>
      <c r="AD997" s="2"/>
      <c r="AE997" s="2"/>
      <c r="AF997" s="2"/>
      <c r="AG997" s="2"/>
      <c r="AH997" s="2"/>
      <c r="AI997" s="2"/>
      <c r="AJ997" s="2"/>
      <c r="AK997" s="2"/>
      <c r="AL997" s="2"/>
      <c r="AM997" s="2"/>
      <c r="AN997" s="9"/>
      <c r="AO997" s="9"/>
      <c r="AP997" s="9"/>
      <c r="AQ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224"/>
      <c r="X998" s="224"/>
      <c r="Y998" s="868"/>
      <c r="Z998" s="865"/>
      <c r="AA998" s="2"/>
      <c r="AB998" s="2"/>
      <c r="AC998" s="2"/>
      <c r="AD998" s="2"/>
      <c r="AE998" s="2"/>
      <c r="AF998" s="2"/>
      <c r="AG998" s="2"/>
      <c r="AH998" s="2"/>
      <c r="AI998" s="2"/>
      <c r="AJ998" s="2"/>
      <c r="AK998" s="2"/>
      <c r="AL998" s="2"/>
      <c r="AM998" s="2"/>
      <c r="AN998" s="9"/>
      <c r="AO998" s="9"/>
      <c r="AP998" s="9"/>
      <c r="AQ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224"/>
      <c r="X999" s="224"/>
      <c r="Y999" s="868"/>
      <c r="Z999" s="865"/>
      <c r="AA999" s="2"/>
      <c r="AB999" s="2"/>
      <c r="AC999" s="2"/>
      <c r="AD999" s="2"/>
      <c r="AE999" s="2"/>
      <c r="AF999" s="2"/>
      <c r="AG999" s="2"/>
      <c r="AH999" s="2"/>
      <c r="AI999" s="2"/>
      <c r="AJ999" s="2"/>
      <c r="AK999" s="2"/>
      <c r="AL999" s="2"/>
      <c r="AM999" s="2"/>
      <c r="AN999" s="9"/>
      <c r="AO999" s="9"/>
      <c r="AP999" s="9"/>
      <c r="AQ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224"/>
      <c r="X1000" s="224"/>
      <c r="Y1000" s="868"/>
      <c r="Z1000" s="865"/>
      <c r="AA1000" s="2"/>
      <c r="AB1000" s="2"/>
      <c r="AC1000" s="2"/>
      <c r="AD1000" s="2"/>
      <c r="AE1000" s="2"/>
      <c r="AF1000" s="2"/>
      <c r="AG1000" s="2"/>
      <c r="AH1000" s="2"/>
      <c r="AI1000" s="2"/>
      <c r="AJ1000" s="2"/>
      <c r="AK1000" s="2"/>
      <c r="AL1000" s="2"/>
      <c r="AM1000" s="2"/>
      <c r="AN1000" s="9"/>
      <c r="AO1000" s="9"/>
      <c r="AP1000" s="9"/>
      <c r="AQ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224"/>
      <c r="X1001" s="224"/>
      <c r="Y1001" s="868"/>
      <c r="Z1001" s="865"/>
      <c r="AA1001" s="2"/>
      <c r="AB1001" s="2"/>
      <c r="AC1001" s="2"/>
      <c r="AD1001" s="2"/>
      <c r="AE1001" s="2"/>
      <c r="AF1001" s="2"/>
      <c r="AG1001" s="2"/>
      <c r="AH1001" s="2"/>
      <c r="AI1001" s="2"/>
      <c r="AJ1001" s="2"/>
      <c r="AK1001" s="2"/>
      <c r="AL1001" s="2"/>
      <c r="AM1001" s="2"/>
      <c r="AN1001" s="9"/>
      <c r="AO1001" s="9"/>
      <c r="AP1001" s="9"/>
      <c r="AQ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224"/>
      <c r="X1002" s="224"/>
      <c r="Y1002" s="868"/>
      <c r="Z1002" s="865"/>
      <c r="AA1002" s="2"/>
      <c r="AB1002" s="2"/>
      <c r="AC1002" s="2"/>
      <c r="AD1002" s="2"/>
      <c r="AE1002" s="2"/>
      <c r="AF1002" s="2"/>
      <c r="AG1002" s="2"/>
      <c r="AH1002" s="2"/>
      <c r="AI1002" s="2"/>
      <c r="AJ1002" s="2"/>
      <c r="AK1002" s="2"/>
      <c r="AL1002" s="2"/>
      <c r="AM1002" s="2"/>
      <c r="AN1002" s="9"/>
      <c r="AO1002" s="9"/>
      <c r="AP1002" s="9"/>
      <c r="AQ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224"/>
      <c r="X1003" s="224"/>
      <c r="Y1003" s="868"/>
      <c r="Z1003" s="865"/>
      <c r="AA1003" s="2"/>
      <c r="AB1003" s="2"/>
      <c r="AC1003" s="2"/>
      <c r="AD1003" s="2"/>
      <c r="AE1003" s="2"/>
      <c r="AF1003" s="2"/>
      <c r="AG1003" s="2"/>
      <c r="AH1003" s="2"/>
      <c r="AI1003" s="2"/>
      <c r="AJ1003" s="2"/>
      <c r="AK1003" s="2"/>
      <c r="AL1003" s="2"/>
      <c r="AM1003" s="2"/>
      <c r="AN1003" s="9"/>
      <c r="AO1003" s="9"/>
      <c r="AP1003" s="9"/>
      <c r="AQ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224"/>
      <c r="X1004" s="224"/>
      <c r="Y1004" s="868"/>
      <c r="Z1004" s="865"/>
      <c r="AA1004" s="2"/>
      <c r="AB1004" s="2"/>
      <c r="AC1004" s="2"/>
      <c r="AD1004" s="2"/>
      <c r="AE1004" s="2"/>
      <c r="AF1004" s="2"/>
      <c r="AG1004" s="2"/>
      <c r="AH1004" s="2"/>
      <c r="AI1004" s="2"/>
      <c r="AJ1004" s="2"/>
      <c r="AK1004" s="2"/>
      <c r="AL1004" s="2"/>
      <c r="AM1004" s="2"/>
      <c r="AN1004" s="9"/>
      <c r="AO1004" s="9"/>
      <c r="AP1004" s="9"/>
      <c r="AQ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224"/>
      <c r="X1005" s="224"/>
      <c r="Y1005" s="868"/>
      <c r="Z1005" s="865"/>
      <c r="AA1005" s="2"/>
      <c r="AB1005" s="2"/>
      <c r="AC1005" s="2"/>
      <c r="AD1005" s="2"/>
      <c r="AE1005" s="2"/>
      <c r="AF1005" s="2"/>
      <c r="AG1005" s="2"/>
      <c r="AH1005" s="2"/>
      <c r="AI1005" s="2"/>
      <c r="AJ1005" s="2"/>
      <c r="AK1005" s="2"/>
      <c r="AL1005" s="2"/>
      <c r="AM1005" s="2"/>
      <c r="AN1005" s="9"/>
      <c r="AO1005" s="9"/>
      <c r="AP1005" s="9"/>
      <c r="AQ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224"/>
      <c r="X1006" s="224"/>
      <c r="Y1006" s="868"/>
      <c r="Z1006" s="865"/>
      <c r="AA1006" s="2"/>
      <c r="AB1006" s="2"/>
      <c r="AC1006" s="2"/>
      <c r="AD1006" s="2"/>
      <c r="AE1006" s="2"/>
      <c r="AF1006" s="2"/>
      <c r="AG1006" s="2"/>
      <c r="AH1006" s="2"/>
      <c r="AI1006" s="2"/>
      <c r="AJ1006" s="2"/>
      <c r="AK1006" s="2"/>
      <c r="AL1006" s="2"/>
      <c r="AM1006" s="2"/>
      <c r="AN1006" s="9"/>
      <c r="AO1006" s="9"/>
      <c r="AP1006" s="9"/>
      <c r="AQ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224"/>
      <c r="X1007" s="224"/>
      <c r="Y1007" s="868"/>
      <c r="Z1007" s="865"/>
      <c r="AA1007" s="2"/>
      <c r="AB1007" s="2"/>
      <c r="AC1007" s="2"/>
      <c r="AD1007" s="2"/>
      <c r="AE1007" s="2"/>
      <c r="AF1007" s="2"/>
      <c r="AG1007" s="2"/>
      <c r="AH1007" s="2"/>
      <c r="AI1007" s="2"/>
      <c r="AJ1007" s="2"/>
      <c r="AK1007" s="2"/>
      <c r="AL1007" s="2"/>
      <c r="AM1007" s="2"/>
      <c r="AN1007" s="9"/>
      <c r="AO1007" s="9"/>
      <c r="AP1007" s="9"/>
      <c r="AQ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224"/>
      <c r="X1008" s="224"/>
      <c r="Y1008" s="868"/>
      <c r="Z1008" s="865"/>
      <c r="AA1008" s="2"/>
      <c r="AB1008" s="2"/>
      <c r="AC1008" s="2"/>
      <c r="AD1008" s="2"/>
      <c r="AE1008" s="2"/>
      <c r="AF1008" s="2"/>
      <c r="AG1008" s="2"/>
      <c r="AH1008" s="2"/>
      <c r="AI1008" s="2"/>
      <c r="AJ1008" s="2"/>
      <c r="AK1008" s="2"/>
      <c r="AL1008" s="2"/>
      <c r="AM1008" s="2"/>
      <c r="AN1008" s="9"/>
      <c r="AO1008" s="9"/>
      <c r="AP1008" s="9"/>
      <c r="AQ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224"/>
      <c r="X1009" s="224"/>
      <c r="Y1009" s="868"/>
      <c r="Z1009" s="865"/>
      <c r="AA1009" s="2"/>
      <c r="AB1009" s="2"/>
      <c r="AC1009" s="2"/>
      <c r="AD1009" s="2"/>
      <c r="AE1009" s="2"/>
      <c r="AF1009" s="2"/>
      <c r="AG1009" s="2"/>
      <c r="AH1009" s="2"/>
      <c r="AI1009" s="2"/>
      <c r="AJ1009" s="2"/>
      <c r="AK1009" s="2"/>
      <c r="AL1009" s="2"/>
      <c r="AM1009" s="2"/>
      <c r="AN1009" s="9"/>
      <c r="AO1009" s="9"/>
      <c r="AP1009" s="9"/>
      <c r="AQ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224"/>
      <c r="X1010" s="224"/>
      <c r="Y1010" s="868"/>
      <c r="Z1010" s="865"/>
      <c r="AA1010" s="2"/>
      <c r="AB1010" s="2"/>
      <c r="AC1010" s="2"/>
      <c r="AD1010" s="2"/>
      <c r="AE1010" s="2"/>
      <c r="AF1010" s="2"/>
      <c r="AG1010" s="2"/>
      <c r="AH1010" s="2"/>
      <c r="AI1010" s="2"/>
      <c r="AJ1010" s="2"/>
      <c r="AK1010" s="2"/>
      <c r="AL1010" s="2"/>
      <c r="AM1010" s="2"/>
      <c r="AN1010" s="9"/>
      <c r="AO1010" s="9"/>
      <c r="AP1010" s="9"/>
      <c r="AQ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224"/>
      <c r="X1011" s="224"/>
      <c r="Y1011" s="868"/>
      <c r="Z1011" s="865"/>
      <c r="AA1011" s="2"/>
      <c r="AB1011" s="2"/>
      <c r="AC1011" s="2"/>
      <c r="AD1011" s="2"/>
      <c r="AE1011" s="2"/>
      <c r="AF1011" s="2"/>
      <c r="AG1011" s="2"/>
      <c r="AH1011" s="2"/>
      <c r="AI1011" s="2"/>
      <c r="AJ1011" s="2"/>
      <c r="AK1011" s="2"/>
      <c r="AL1011" s="2"/>
      <c r="AM1011" s="2"/>
      <c r="AN1011" s="9"/>
      <c r="AO1011" s="9"/>
      <c r="AP1011" s="9"/>
      <c r="AQ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224"/>
      <c r="X1012" s="224"/>
      <c r="Y1012" s="868"/>
      <c r="Z1012" s="865"/>
      <c r="AA1012" s="2"/>
      <c r="AB1012" s="2"/>
      <c r="AC1012" s="2"/>
      <c r="AD1012" s="2"/>
      <c r="AE1012" s="2"/>
      <c r="AF1012" s="2"/>
      <c r="AG1012" s="2"/>
      <c r="AH1012" s="2"/>
      <c r="AI1012" s="2"/>
      <c r="AJ1012" s="2"/>
      <c r="AK1012" s="2"/>
      <c r="AL1012" s="2"/>
      <c r="AM1012" s="2"/>
      <c r="AN1012" s="9"/>
      <c r="AO1012" s="9"/>
      <c r="AP1012" s="9"/>
      <c r="AQ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224"/>
      <c r="X1013" s="224"/>
      <c r="Y1013" s="868"/>
      <c r="Z1013" s="865"/>
      <c r="AA1013" s="2"/>
      <c r="AB1013" s="2"/>
      <c r="AC1013" s="2"/>
      <c r="AD1013" s="2"/>
      <c r="AE1013" s="2"/>
      <c r="AF1013" s="2"/>
      <c r="AG1013" s="2"/>
      <c r="AH1013" s="2"/>
      <c r="AI1013" s="2"/>
      <c r="AJ1013" s="2"/>
      <c r="AK1013" s="2"/>
      <c r="AL1013" s="2"/>
      <c r="AM1013" s="2"/>
      <c r="AN1013" s="9"/>
      <c r="AO1013" s="9"/>
      <c r="AP1013" s="9"/>
      <c r="AQ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224"/>
      <c r="X1014" s="224"/>
      <c r="Y1014" s="868"/>
      <c r="Z1014" s="865"/>
      <c r="AA1014" s="2"/>
      <c r="AB1014" s="2"/>
      <c r="AC1014" s="2"/>
      <c r="AD1014" s="2"/>
      <c r="AE1014" s="2"/>
      <c r="AF1014" s="2"/>
      <c r="AG1014" s="2"/>
      <c r="AH1014" s="2"/>
      <c r="AI1014" s="2"/>
      <c r="AJ1014" s="2"/>
      <c r="AK1014" s="2"/>
      <c r="AL1014" s="2"/>
      <c r="AM1014" s="2"/>
      <c r="AN1014" s="9"/>
      <c r="AO1014" s="9"/>
      <c r="AP1014" s="9"/>
      <c r="AQ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224"/>
      <c r="X1015" s="224"/>
      <c r="Y1015" s="868"/>
      <c r="Z1015" s="865"/>
      <c r="AA1015" s="2"/>
      <c r="AB1015" s="2"/>
      <c r="AC1015" s="2"/>
      <c r="AD1015" s="2"/>
      <c r="AE1015" s="2"/>
      <c r="AF1015" s="2"/>
      <c r="AG1015" s="2"/>
      <c r="AH1015" s="2"/>
      <c r="AI1015" s="2"/>
      <c r="AJ1015" s="2"/>
      <c r="AK1015" s="2"/>
      <c r="AL1015" s="2"/>
      <c r="AM1015" s="2"/>
      <c r="AN1015" s="9"/>
      <c r="AO1015" s="9"/>
      <c r="AP1015" s="9"/>
      <c r="AQ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224"/>
      <c r="X1016" s="224"/>
      <c r="Y1016" s="868"/>
      <c r="Z1016" s="865"/>
      <c r="AA1016" s="2"/>
      <c r="AB1016" s="2"/>
      <c r="AC1016" s="2"/>
      <c r="AD1016" s="2"/>
      <c r="AE1016" s="2"/>
      <c r="AF1016" s="2"/>
      <c r="AG1016" s="2"/>
      <c r="AH1016" s="2"/>
      <c r="AI1016" s="2"/>
      <c r="AJ1016" s="2"/>
      <c r="AK1016" s="2"/>
      <c r="AL1016" s="2"/>
      <c r="AM1016" s="2"/>
      <c r="AN1016" s="9"/>
      <c r="AO1016" s="9"/>
      <c r="AP1016" s="9"/>
      <c r="AQ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224"/>
      <c r="X1017" s="224"/>
      <c r="Y1017" s="868"/>
      <c r="Z1017" s="865"/>
      <c r="AA1017" s="2"/>
      <c r="AB1017" s="2"/>
      <c r="AC1017" s="2"/>
      <c r="AD1017" s="2"/>
      <c r="AE1017" s="2"/>
      <c r="AF1017" s="2"/>
      <c r="AG1017" s="2"/>
      <c r="AH1017" s="2"/>
      <c r="AI1017" s="2"/>
      <c r="AJ1017" s="2"/>
      <c r="AK1017" s="2"/>
      <c r="AL1017" s="2"/>
      <c r="AM1017" s="2"/>
      <c r="AN1017" s="9"/>
      <c r="AO1017" s="9"/>
      <c r="AP1017" s="9"/>
      <c r="AQ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224"/>
      <c r="X1018" s="224"/>
      <c r="Y1018" s="868"/>
      <c r="Z1018" s="865"/>
      <c r="AA1018" s="2"/>
      <c r="AB1018" s="2"/>
      <c r="AC1018" s="2"/>
      <c r="AD1018" s="2"/>
      <c r="AE1018" s="2"/>
      <c r="AF1018" s="2"/>
      <c r="AG1018" s="2"/>
      <c r="AH1018" s="2"/>
      <c r="AI1018" s="2"/>
      <c r="AJ1018" s="2"/>
      <c r="AK1018" s="2"/>
      <c r="AL1018" s="2"/>
      <c r="AM1018" s="2"/>
      <c r="AN1018" s="9"/>
      <c r="AO1018" s="9"/>
      <c r="AP1018" s="9"/>
      <c r="AQ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224"/>
      <c r="X1019" s="224"/>
      <c r="Y1019" s="868"/>
      <c r="Z1019" s="865"/>
      <c r="AA1019" s="2"/>
      <c r="AB1019" s="2"/>
      <c r="AC1019" s="2"/>
      <c r="AD1019" s="2"/>
      <c r="AE1019" s="2"/>
      <c r="AF1019" s="2"/>
      <c r="AG1019" s="2"/>
      <c r="AH1019" s="2"/>
      <c r="AI1019" s="2"/>
      <c r="AJ1019" s="2"/>
      <c r="AK1019" s="2"/>
      <c r="AL1019" s="2"/>
      <c r="AM1019" s="2"/>
      <c r="AN1019" s="9"/>
      <c r="AO1019" s="9"/>
      <c r="AP1019" s="9"/>
      <c r="AQ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224"/>
      <c r="X1020" s="224"/>
      <c r="Y1020" s="868"/>
      <c r="Z1020" s="865"/>
      <c r="AA1020" s="2"/>
      <c r="AB1020" s="2"/>
      <c r="AC1020" s="2"/>
      <c r="AD1020" s="2"/>
      <c r="AE1020" s="2"/>
      <c r="AF1020" s="2"/>
      <c r="AG1020" s="2"/>
      <c r="AH1020" s="2"/>
      <c r="AI1020" s="2"/>
      <c r="AJ1020" s="2"/>
      <c r="AK1020" s="2"/>
      <c r="AL1020" s="2"/>
      <c r="AM1020" s="2"/>
      <c r="AN1020" s="9"/>
      <c r="AO1020" s="9"/>
      <c r="AP1020" s="9"/>
      <c r="AQ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224"/>
      <c r="X1021" s="224"/>
      <c r="Y1021" s="868"/>
      <c r="Z1021" s="865"/>
      <c r="AA1021" s="2"/>
      <c r="AB1021" s="2"/>
      <c r="AC1021" s="2"/>
      <c r="AD1021" s="2"/>
      <c r="AE1021" s="2"/>
      <c r="AF1021" s="2"/>
      <c r="AG1021" s="2"/>
      <c r="AH1021" s="2"/>
      <c r="AI1021" s="2"/>
      <c r="AJ1021" s="2"/>
      <c r="AK1021" s="2"/>
      <c r="AL1021" s="2"/>
      <c r="AM1021" s="2"/>
      <c r="AN1021" s="9"/>
      <c r="AO1021" s="9"/>
      <c r="AP1021" s="9"/>
      <c r="AQ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224"/>
      <c r="X1022" s="224"/>
      <c r="Y1022" s="868"/>
      <c r="Z1022" s="865"/>
      <c r="AA1022" s="2"/>
      <c r="AB1022" s="2"/>
      <c r="AC1022" s="2"/>
      <c r="AD1022" s="2"/>
      <c r="AE1022" s="2"/>
      <c r="AF1022" s="2"/>
      <c r="AG1022" s="2"/>
      <c r="AH1022" s="2"/>
      <c r="AI1022" s="2"/>
      <c r="AJ1022" s="2"/>
      <c r="AK1022" s="2"/>
      <c r="AL1022" s="2"/>
      <c r="AM1022" s="2"/>
      <c r="AN1022" s="9"/>
      <c r="AO1022" s="9"/>
      <c r="AP1022" s="9"/>
      <c r="AQ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224"/>
      <c r="X1023" s="224"/>
      <c r="Y1023" s="868"/>
      <c r="Z1023" s="865"/>
      <c r="AA1023" s="2"/>
      <c r="AB1023" s="2"/>
      <c r="AC1023" s="2"/>
      <c r="AD1023" s="2"/>
      <c r="AE1023" s="2"/>
      <c r="AF1023" s="2"/>
      <c r="AG1023" s="2"/>
      <c r="AH1023" s="2"/>
      <c r="AI1023" s="2"/>
      <c r="AJ1023" s="2"/>
      <c r="AK1023" s="2"/>
      <c r="AL1023" s="2"/>
      <c r="AM1023" s="2"/>
      <c r="AN1023" s="9"/>
      <c r="AO1023" s="9"/>
      <c r="AP1023" s="9"/>
      <c r="AQ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224"/>
      <c r="X1024" s="224"/>
      <c r="Y1024" s="868"/>
      <c r="Z1024" s="865"/>
      <c r="AA1024" s="2"/>
      <c r="AB1024" s="2"/>
      <c r="AC1024" s="2"/>
      <c r="AD1024" s="2"/>
      <c r="AE1024" s="2"/>
      <c r="AF1024" s="2"/>
      <c r="AG1024" s="2"/>
      <c r="AH1024" s="2"/>
      <c r="AI1024" s="2"/>
      <c r="AJ1024" s="2"/>
      <c r="AK1024" s="2"/>
      <c r="AL1024" s="2"/>
      <c r="AM1024" s="2"/>
      <c r="AN1024" s="9"/>
      <c r="AO1024" s="9"/>
      <c r="AP1024" s="9"/>
      <c r="AQ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224"/>
      <c r="X1025" s="224"/>
      <c r="Y1025" s="868"/>
      <c r="Z1025" s="865"/>
      <c r="AA1025" s="2"/>
      <c r="AB1025" s="2"/>
      <c r="AC1025" s="2"/>
      <c r="AD1025" s="2"/>
      <c r="AE1025" s="2"/>
      <c r="AF1025" s="2"/>
      <c r="AG1025" s="2"/>
      <c r="AH1025" s="2"/>
      <c r="AI1025" s="2"/>
      <c r="AJ1025" s="2"/>
      <c r="AK1025" s="2"/>
      <c r="AL1025" s="2"/>
      <c r="AM1025" s="2"/>
      <c r="AN1025" s="9"/>
      <c r="AO1025" s="9"/>
      <c r="AP1025" s="9"/>
      <c r="AQ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224"/>
      <c r="X1026" s="224"/>
      <c r="Y1026" s="868"/>
      <c r="Z1026" s="865"/>
      <c r="AA1026" s="2"/>
      <c r="AB1026" s="2"/>
      <c r="AC1026" s="2"/>
      <c r="AD1026" s="2"/>
      <c r="AE1026" s="2"/>
      <c r="AF1026" s="2"/>
      <c r="AG1026" s="2"/>
      <c r="AH1026" s="2"/>
      <c r="AI1026" s="2"/>
      <c r="AJ1026" s="2"/>
      <c r="AK1026" s="2"/>
      <c r="AL1026" s="2"/>
      <c r="AM1026" s="2"/>
      <c r="AN1026" s="9"/>
      <c r="AO1026" s="9"/>
      <c r="AP1026" s="9"/>
      <c r="AQ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224"/>
      <c r="X1027" s="224"/>
      <c r="Y1027" s="868"/>
      <c r="Z1027" s="865"/>
      <c r="AA1027" s="2"/>
      <c r="AB1027" s="2"/>
      <c r="AC1027" s="2"/>
      <c r="AD1027" s="2"/>
      <c r="AE1027" s="2"/>
      <c r="AF1027" s="2"/>
      <c r="AG1027" s="2"/>
      <c r="AH1027" s="2"/>
      <c r="AI1027" s="2"/>
      <c r="AJ1027" s="2"/>
      <c r="AK1027" s="2"/>
      <c r="AL1027" s="2"/>
      <c r="AM1027" s="2"/>
      <c r="AN1027" s="9"/>
      <c r="AO1027" s="9"/>
      <c r="AP1027" s="9"/>
      <c r="AQ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224"/>
      <c r="X1028" s="224"/>
      <c r="Y1028" s="868"/>
      <c r="Z1028" s="865"/>
      <c r="AA1028" s="2"/>
      <c r="AB1028" s="2"/>
      <c r="AC1028" s="2"/>
      <c r="AD1028" s="2"/>
      <c r="AE1028" s="2"/>
      <c r="AF1028" s="2"/>
      <c r="AG1028" s="2"/>
      <c r="AH1028" s="2"/>
      <c r="AI1028" s="2"/>
      <c r="AJ1028" s="2"/>
      <c r="AK1028" s="2"/>
      <c r="AL1028" s="2"/>
      <c r="AM1028" s="2"/>
      <c r="AN1028" s="9"/>
      <c r="AO1028" s="9"/>
      <c r="AP1028" s="9"/>
      <c r="AQ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224"/>
      <c r="X1029" s="224"/>
      <c r="Y1029" s="868"/>
      <c r="Z1029" s="865"/>
      <c r="AA1029" s="2"/>
      <c r="AB1029" s="2"/>
      <c r="AC1029" s="2"/>
      <c r="AD1029" s="2"/>
      <c r="AE1029" s="2"/>
      <c r="AF1029" s="2"/>
      <c r="AG1029" s="2"/>
      <c r="AH1029" s="2"/>
      <c r="AI1029" s="2"/>
      <c r="AJ1029" s="2"/>
      <c r="AK1029" s="2"/>
      <c r="AL1029" s="2"/>
      <c r="AM1029" s="2"/>
      <c r="AN1029" s="9"/>
      <c r="AO1029" s="9"/>
      <c r="AP1029" s="9"/>
      <c r="AQ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224"/>
      <c r="X1030" s="224"/>
      <c r="Y1030" s="868"/>
      <c r="Z1030" s="865"/>
      <c r="AA1030" s="2"/>
      <c r="AB1030" s="2"/>
      <c r="AC1030" s="2"/>
      <c r="AD1030" s="2"/>
      <c r="AE1030" s="2"/>
      <c r="AF1030" s="2"/>
      <c r="AG1030" s="2"/>
      <c r="AH1030" s="2"/>
      <c r="AI1030" s="2"/>
      <c r="AJ1030" s="2"/>
      <c r="AK1030" s="2"/>
      <c r="AL1030" s="2"/>
      <c r="AM1030" s="2"/>
      <c r="AN1030" s="9"/>
      <c r="AO1030" s="9"/>
      <c r="AP1030" s="9"/>
      <c r="AQ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224"/>
      <c r="X1031" s="224"/>
      <c r="Y1031" s="868"/>
      <c r="Z1031" s="865"/>
      <c r="AA1031" s="2"/>
      <c r="AB1031" s="2"/>
      <c r="AC1031" s="2"/>
      <c r="AD1031" s="2"/>
      <c r="AE1031" s="2"/>
      <c r="AF1031" s="2"/>
      <c r="AG1031" s="2"/>
      <c r="AH1031" s="2"/>
      <c r="AI1031" s="2"/>
      <c r="AJ1031" s="2"/>
      <c r="AK1031" s="2"/>
      <c r="AL1031" s="2"/>
      <c r="AM1031" s="2"/>
      <c r="AN1031" s="9"/>
      <c r="AO1031" s="9"/>
      <c r="AP1031" s="9"/>
      <c r="AQ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224"/>
      <c r="X1032" s="224"/>
      <c r="Y1032" s="868"/>
      <c r="Z1032" s="865"/>
      <c r="AA1032" s="2"/>
      <c r="AB1032" s="2"/>
      <c r="AC1032" s="2"/>
      <c r="AD1032" s="2"/>
      <c r="AE1032" s="2"/>
      <c r="AF1032" s="2"/>
      <c r="AG1032" s="2"/>
      <c r="AH1032" s="2"/>
      <c r="AI1032" s="2"/>
      <c r="AJ1032" s="2"/>
      <c r="AK1032" s="2"/>
      <c r="AL1032" s="2"/>
      <c r="AM1032" s="2"/>
      <c r="AN1032" s="9"/>
      <c r="AO1032" s="9"/>
      <c r="AP1032" s="9"/>
      <c r="AQ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224"/>
      <c r="X1033" s="224"/>
      <c r="Y1033" s="868"/>
      <c r="Z1033" s="865"/>
      <c r="AA1033" s="2"/>
      <c r="AB1033" s="2"/>
      <c r="AC1033" s="2"/>
      <c r="AD1033" s="2"/>
      <c r="AE1033" s="2"/>
      <c r="AF1033" s="2"/>
      <c r="AG1033" s="2"/>
      <c r="AH1033" s="2"/>
      <c r="AI1033" s="2"/>
      <c r="AJ1033" s="2"/>
      <c r="AK1033" s="2"/>
      <c r="AL1033" s="2"/>
      <c r="AM1033" s="2"/>
      <c r="AN1033" s="9"/>
      <c r="AO1033" s="9"/>
      <c r="AP1033" s="9"/>
      <c r="AQ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224"/>
      <c r="X1034" s="224"/>
      <c r="Y1034" s="868"/>
      <c r="Z1034" s="865"/>
      <c r="AA1034" s="2"/>
      <c r="AB1034" s="2"/>
      <c r="AC1034" s="2"/>
      <c r="AD1034" s="2"/>
      <c r="AE1034" s="2"/>
      <c r="AF1034" s="2"/>
      <c r="AG1034" s="2"/>
      <c r="AH1034" s="2"/>
      <c r="AI1034" s="2"/>
      <c r="AJ1034" s="2"/>
      <c r="AK1034" s="2"/>
      <c r="AL1034" s="2"/>
      <c r="AM1034" s="2"/>
      <c r="AN1034" s="9"/>
      <c r="AO1034" s="9"/>
      <c r="AP1034" s="9"/>
      <c r="AQ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224"/>
      <c r="X1035" s="224"/>
      <c r="Y1035" s="868"/>
      <c r="Z1035" s="865"/>
      <c r="AA1035" s="2"/>
      <c r="AB1035" s="2"/>
      <c r="AC1035" s="2"/>
      <c r="AD1035" s="2"/>
      <c r="AE1035" s="2"/>
      <c r="AF1035" s="2"/>
      <c r="AG1035" s="2"/>
      <c r="AH1035" s="2"/>
      <c r="AI1035" s="2"/>
      <c r="AJ1035" s="2"/>
      <c r="AK1035" s="2"/>
      <c r="AL1035" s="2"/>
      <c r="AM1035" s="2"/>
      <c r="AN1035" s="9"/>
      <c r="AO1035" s="9"/>
      <c r="AP1035" s="9"/>
      <c r="AQ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224"/>
      <c r="X1036" s="224"/>
      <c r="Y1036" s="868"/>
      <c r="Z1036" s="865"/>
      <c r="AA1036" s="2"/>
      <c r="AB1036" s="2"/>
      <c r="AC1036" s="2"/>
      <c r="AD1036" s="2"/>
      <c r="AE1036" s="2"/>
      <c r="AF1036" s="2"/>
      <c r="AG1036" s="2"/>
      <c r="AH1036" s="2"/>
      <c r="AI1036" s="2"/>
      <c r="AJ1036" s="2"/>
      <c r="AK1036" s="2"/>
      <c r="AL1036" s="2"/>
      <c r="AM1036" s="2"/>
      <c r="AN1036" s="9"/>
      <c r="AO1036" s="9"/>
      <c r="AP1036" s="9"/>
      <c r="AQ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224"/>
      <c r="X1037" s="224"/>
      <c r="Y1037" s="868"/>
      <c r="Z1037" s="865"/>
      <c r="AA1037" s="2"/>
      <c r="AB1037" s="2"/>
      <c r="AC1037" s="2"/>
      <c r="AD1037" s="2"/>
      <c r="AE1037" s="2"/>
      <c r="AF1037" s="2"/>
      <c r="AG1037" s="2"/>
      <c r="AH1037" s="2"/>
      <c r="AI1037" s="2"/>
      <c r="AJ1037" s="2"/>
      <c r="AK1037" s="2"/>
      <c r="AL1037" s="2"/>
      <c r="AM1037" s="2"/>
      <c r="AN1037" s="9"/>
      <c r="AO1037" s="9"/>
      <c r="AP1037" s="9"/>
      <c r="AQ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224"/>
      <c r="X1038" s="224"/>
      <c r="Y1038" s="868"/>
      <c r="Z1038" s="865"/>
      <c r="AA1038" s="2"/>
      <c r="AB1038" s="2"/>
      <c r="AC1038" s="2"/>
      <c r="AD1038" s="2"/>
      <c r="AE1038" s="2"/>
      <c r="AF1038" s="2"/>
      <c r="AG1038" s="2"/>
      <c r="AH1038" s="2"/>
      <c r="AI1038" s="2"/>
      <c r="AJ1038" s="2"/>
      <c r="AK1038" s="2"/>
      <c r="AL1038" s="2"/>
      <c r="AM1038" s="2"/>
      <c r="AN1038" s="9"/>
      <c r="AO1038" s="9"/>
      <c r="AP1038" s="9"/>
      <c r="AQ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224"/>
      <c r="X1039" s="224"/>
      <c r="Y1039" s="868"/>
      <c r="Z1039" s="865"/>
      <c r="AA1039" s="2"/>
      <c r="AB1039" s="2"/>
      <c r="AC1039" s="2"/>
      <c r="AD1039" s="2"/>
      <c r="AE1039" s="2"/>
      <c r="AF1039" s="2"/>
      <c r="AG1039" s="2"/>
      <c r="AH1039" s="2"/>
      <c r="AI1039" s="2"/>
      <c r="AJ1039" s="2"/>
      <c r="AK1039" s="2"/>
      <c r="AL1039" s="2"/>
      <c r="AM1039" s="2"/>
      <c r="AN1039" s="9"/>
      <c r="AO1039" s="9"/>
      <c r="AP1039" s="9"/>
      <c r="AQ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224"/>
      <c r="X1040" s="224"/>
      <c r="Y1040" s="868"/>
      <c r="Z1040" s="865"/>
      <c r="AA1040" s="2"/>
      <c r="AB1040" s="2"/>
      <c r="AC1040" s="2"/>
      <c r="AD1040" s="2"/>
      <c r="AE1040" s="2"/>
      <c r="AF1040" s="2"/>
      <c r="AG1040" s="2"/>
      <c r="AH1040" s="2"/>
      <c r="AI1040" s="2"/>
      <c r="AJ1040" s="2"/>
      <c r="AK1040" s="2"/>
      <c r="AL1040" s="2"/>
      <c r="AM1040" s="2"/>
      <c r="AN1040" s="9"/>
      <c r="AO1040" s="9"/>
      <c r="AP1040" s="9"/>
      <c r="AQ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224"/>
      <c r="X1041" s="224"/>
      <c r="Y1041" s="868"/>
      <c r="Z1041" s="865"/>
      <c r="AA1041" s="2"/>
      <c r="AB1041" s="2"/>
      <c r="AC1041" s="2"/>
      <c r="AD1041" s="2"/>
      <c r="AE1041" s="2"/>
      <c r="AF1041" s="2"/>
      <c r="AG1041" s="2"/>
      <c r="AH1041" s="2"/>
      <c r="AI1041" s="2"/>
      <c r="AJ1041" s="2"/>
      <c r="AK1041" s="2"/>
      <c r="AL1041" s="2"/>
      <c r="AM1041" s="2"/>
      <c r="AN1041" s="9"/>
      <c r="AO1041" s="9"/>
      <c r="AP1041" s="9"/>
      <c r="AQ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224"/>
      <c r="X1042" s="224"/>
      <c r="Y1042" s="868"/>
      <c r="Z1042" s="865"/>
      <c r="AA1042" s="2"/>
      <c r="AB1042" s="2"/>
      <c r="AC1042" s="2"/>
      <c r="AD1042" s="2"/>
      <c r="AE1042" s="2"/>
      <c r="AF1042" s="2"/>
      <c r="AG1042" s="2"/>
      <c r="AH1042" s="2"/>
      <c r="AI1042" s="2"/>
      <c r="AJ1042" s="2"/>
      <c r="AK1042" s="2"/>
      <c r="AL1042" s="2"/>
      <c r="AM1042" s="2"/>
      <c r="AN1042" s="9"/>
      <c r="AO1042" s="9"/>
      <c r="AP1042" s="9"/>
      <c r="AQ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224"/>
      <c r="X1043" s="224"/>
      <c r="Y1043" s="868"/>
      <c r="Z1043" s="865"/>
      <c r="AA1043" s="2"/>
      <c r="AB1043" s="2"/>
      <c r="AC1043" s="2"/>
      <c r="AD1043" s="2"/>
      <c r="AE1043" s="2"/>
      <c r="AF1043" s="2"/>
      <c r="AG1043" s="2"/>
      <c r="AH1043" s="2"/>
      <c r="AI1043" s="2"/>
      <c r="AJ1043" s="2"/>
      <c r="AK1043" s="2"/>
      <c r="AL1043" s="2"/>
      <c r="AM1043" s="2"/>
      <c r="AN1043" s="9"/>
      <c r="AO1043" s="9"/>
      <c r="AP1043" s="9"/>
      <c r="AQ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224"/>
      <c r="X1044" s="224"/>
      <c r="Y1044" s="868"/>
      <c r="Z1044" s="865"/>
      <c r="AA1044" s="2"/>
      <c r="AB1044" s="2"/>
      <c r="AC1044" s="2"/>
      <c r="AD1044" s="2"/>
      <c r="AE1044" s="2"/>
      <c r="AF1044" s="2"/>
      <c r="AG1044" s="2"/>
      <c r="AH1044" s="2"/>
      <c r="AI1044" s="2"/>
      <c r="AJ1044" s="2"/>
      <c r="AK1044" s="2"/>
      <c r="AL1044" s="2"/>
      <c r="AM1044" s="2"/>
      <c r="AN1044" s="9"/>
      <c r="AO1044" s="9"/>
      <c r="AP1044" s="9"/>
      <c r="AQ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224"/>
      <c r="X1045" s="224"/>
      <c r="Y1045" s="868"/>
      <c r="Z1045" s="865"/>
      <c r="AA1045" s="2"/>
      <c r="AB1045" s="2"/>
      <c r="AC1045" s="2"/>
      <c r="AD1045" s="2"/>
      <c r="AE1045" s="2"/>
      <c r="AF1045" s="2"/>
      <c r="AG1045" s="2"/>
      <c r="AH1045" s="2"/>
      <c r="AI1045" s="2"/>
      <c r="AJ1045" s="2"/>
      <c r="AK1045" s="2"/>
      <c r="AL1045" s="2"/>
      <c r="AM1045" s="2"/>
      <c r="AN1045" s="9"/>
      <c r="AO1045" s="9"/>
      <c r="AP1045" s="9"/>
      <c r="AQ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224"/>
      <c r="X1046" s="224"/>
      <c r="Y1046" s="868"/>
      <c r="Z1046" s="865"/>
      <c r="AA1046" s="2"/>
      <c r="AB1046" s="2"/>
      <c r="AC1046" s="2"/>
      <c r="AD1046" s="2"/>
      <c r="AE1046" s="2"/>
      <c r="AF1046" s="2"/>
      <c r="AG1046" s="2"/>
      <c r="AH1046" s="2"/>
      <c r="AI1046" s="2"/>
      <c r="AJ1046" s="2"/>
      <c r="AK1046" s="2"/>
      <c r="AL1046" s="2"/>
      <c r="AM1046" s="2"/>
      <c r="AN1046" s="9"/>
      <c r="AO1046" s="9"/>
      <c r="AP1046" s="9"/>
      <c r="AQ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224"/>
      <c r="X1047" s="224"/>
      <c r="Y1047" s="868"/>
      <c r="Z1047" s="865"/>
      <c r="AA1047" s="2"/>
      <c r="AB1047" s="2"/>
      <c r="AC1047" s="2"/>
      <c r="AD1047" s="2"/>
      <c r="AE1047" s="2"/>
      <c r="AF1047" s="2"/>
      <c r="AG1047" s="2"/>
      <c r="AH1047" s="2"/>
      <c r="AI1047" s="2"/>
      <c r="AJ1047" s="2"/>
      <c r="AK1047" s="2"/>
      <c r="AL1047" s="2"/>
      <c r="AM1047" s="2"/>
      <c r="AN1047" s="9"/>
      <c r="AO1047" s="9"/>
      <c r="AP1047" s="9"/>
      <c r="AQ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224"/>
      <c r="X1048" s="224"/>
      <c r="Y1048" s="868"/>
      <c r="Z1048" s="865"/>
      <c r="AA1048" s="2"/>
      <c r="AB1048" s="2"/>
      <c r="AC1048" s="2"/>
      <c r="AD1048" s="2"/>
      <c r="AE1048" s="2"/>
      <c r="AF1048" s="2"/>
      <c r="AG1048" s="2"/>
      <c r="AH1048" s="2"/>
      <c r="AI1048" s="2"/>
      <c r="AJ1048" s="2"/>
      <c r="AK1048" s="2"/>
      <c r="AL1048" s="2"/>
      <c r="AM1048" s="2"/>
      <c r="AN1048" s="9"/>
      <c r="AO1048" s="9"/>
      <c r="AP1048" s="9"/>
      <c r="AQ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224"/>
      <c r="X1049" s="224"/>
      <c r="Y1049" s="868"/>
      <c r="Z1049" s="865"/>
      <c r="AA1049" s="2"/>
      <c r="AB1049" s="2"/>
      <c r="AC1049" s="2"/>
      <c r="AD1049" s="2"/>
      <c r="AE1049" s="2"/>
      <c r="AF1049" s="2"/>
      <c r="AG1049" s="2"/>
      <c r="AH1049" s="2"/>
      <c r="AI1049" s="2"/>
      <c r="AJ1049" s="2"/>
      <c r="AK1049" s="2"/>
      <c r="AL1049" s="2"/>
      <c r="AM1049" s="2"/>
      <c r="AN1049" s="9"/>
      <c r="AO1049" s="9"/>
      <c r="AP1049" s="9"/>
      <c r="AQ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224"/>
      <c r="X1050" s="224"/>
      <c r="Y1050" s="868"/>
      <c r="Z1050" s="865"/>
      <c r="AA1050" s="2"/>
      <c r="AB1050" s="2"/>
      <c r="AC1050" s="2"/>
      <c r="AD1050" s="2"/>
      <c r="AE1050" s="2"/>
      <c r="AF1050" s="2"/>
      <c r="AG1050" s="2"/>
      <c r="AH1050" s="2"/>
      <c r="AI1050" s="2"/>
      <c r="AJ1050" s="2"/>
      <c r="AK1050" s="2"/>
      <c r="AL1050" s="2"/>
      <c r="AM1050" s="2"/>
      <c r="AN1050" s="9"/>
      <c r="AO1050" s="9"/>
      <c r="AP1050" s="9"/>
      <c r="AQ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224"/>
      <c r="X1051" s="224"/>
      <c r="Y1051" s="868"/>
      <c r="Z1051" s="865"/>
      <c r="AA1051" s="2"/>
      <c r="AB1051" s="2"/>
      <c r="AC1051" s="2"/>
      <c r="AD1051" s="2"/>
      <c r="AE1051" s="2"/>
      <c r="AF1051" s="2"/>
      <c r="AG1051" s="2"/>
      <c r="AH1051" s="2"/>
      <c r="AI1051" s="2"/>
      <c r="AJ1051" s="2"/>
      <c r="AK1051" s="2"/>
      <c r="AL1051" s="2"/>
      <c r="AM1051" s="2"/>
      <c r="AN1051" s="9"/>
      <c r="AO1051" s="9"/>
      <c r="AP1051" s="9"/>
      <c r="AQ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224"/>
      <c r="X1052" s="224"/>
      <c r="Y1052" s="868"/>
      <c r="Z1052" s="865"/>
      <c r="AA1052" s="2"/>
      <c r="AB1052" s="2"/>
      <c r="AC1052" s="2"/>
      <c r="AD1052" s="2"/>
      <c r="AE1052" s="2"/>
      <c r="AF1052" s="2"/>
      <c r="AG1052" s="2"/>
      <c r="AH1052" s="2"/>
      <c r="AI1052" s="2"/>
      <c r="AJ1052" s="2"/>
      <c r="AK1052" s="2"/>
      <c r="AL1052" s="2"/>
      <c r="AM1052" s="2"/>
      <c r="AN1052" s="9"/>
      <c r="AO1052" s="9"/>
      <c r="AP1052" s="9"/>
      <c r="AQ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224"/>
      <c r="X1053" s="224"/>
      <c r="Y1053" s="868"/>
      <c r="Z1053" s="865"/>
      <c r="AA1053" s="2"/>
      <c r="AB1053" s="2"/>
      <c r="AC1053" s="2"/>
      <c r="AD1053" s="2"/>
      <c r="AE1053" s="2"/>
      <c r="AF1053" s="2"/>
      <c r="AG1053" s="2"/>
      <c r="AH1053" s="2"/>
      <c r="AI1053" s="2"/>
      <c r="AJ1053" s="2"/>
      <c r="AK1053" s="2"/>
      <c r="AL1053" s="2"/>
      <c r="AM1053" s="2"/>
      <c r="AN1053" s="9"/>
      <c r="AO1053" s="9"/>
      <c r="AP1053" s="9"/>
      <c r="AQ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224"/>
      <c r="X1054" s="224"/>
      <c r="Y1054" s="868"/>
      <c r="Z1054" s="865"/>
      <c r="AA1054" s="2"/>
      <c r="AB1054" s="2"/>
      <c r="AC1054" s="2"/>
      <c r="AD1054" s="2"/>
      <c r="AE1054" s="2"/>
      <c r="AF1054" s="2"/>
      <c r="AG1054" s="2"/>
      <c r="AH1054" s="2"/>
      <c r="AI1054" s="2"/>
      <c r="AJ1054" s="2"/>
      <c r="AK1054" s="2"/>
      <c r="AL1054" s="2"/>
      <c r="AM1054" s="2"/>
      <c r="AN1054" s="9"/>
      <c r="AO1054" s="9"/>
      <c r="AP1054" s="9"/>
      <c r="AQ1054" s="9"/>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c r="W1055" s="224"/>
      <c r="X1055" s="224"/>
      <c r="Y1055" s="868"/>
      <c r="Z1055" s="865"/>
      <c r="AA1055" s="2"/>
      <c r="AB1055" s="2"/>
      <c r="AC1055" s="2"/>
      <c r="AD1055" s="2"/>
      <c r="AE1055" s="2"/>
      <c r="AF1055" s="2"/>
      <c r="AG1055" s="2"/>
      <c r="AH1055" s="2"/>
      <c r="AI1055" s="2"/>
      <c r="AJ1055" s="2"/>
      <c r="AK1055" s="2"/>
      <c r="AL1055" s="2"/>
      <c r="AM1055" s="2"/>
      <c r="AN1055" s="9"/>
      <c r="AO1055" s="9"/>
      <c r="AP1055" s="9"/>
      <c r="AQ1055" s="9"/>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c r="W1056" s="224"/>
      <c r="X1056" s="224"/>
      <c r="Y1056" s="868"/>
      <c r="Z1056" s="865"/>
      <c r="AA1056" s="2"/>
      <c r="AB1056" s="2"/>
      <c r="AC1056" s="2"/>
      <c r="AD1056" s="2"/>
      <c r="AE1056" s="2"/>
      <c r="AF1056" s="2"/>
      <c r="AG1056" s="2"/>
      <c r="AH1056" s="2"/>
      <c r="AI1056" s="2"/>
      <c r="AJ1056" s="2"/>
      <c r="AK1056" s="2"/>
      <c r="AL1056" s="2"/>
      <c r="AM1056" s="2"/>
      <c r="AN1056" s="9"/>
      <c r="AO1056" s="9"/>
      <c r="AP1056" s="9"/>
      <c r="AQ1056" s="9"/>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c r="W1057" s="224"/>
      <c r="X1057" s="224"/>
      <c r="Y1057" s="868"/>
      <c r="Z1057" s="865"/>
      <c r="AA1057" s="2"/>
      <c r="AB1057" s="2"/>
      <c r="AC1057" s="2"/>
      <c r="AD1057" s="2"/>
      <c r="AE1057" s="2"/>
      <c r="AF1057" s="2"/>
      <c r="AG1057" s="2"/>
      <c r="AH1057" s="2"/>
      <c r="AI1057" s="2"/>
      <c r="AJ1057" s="2"/>
      <c r="AK1057" s="2"/>
      <c r="AL1057" s="2"/>
      <c r="AM1057" s="2"/>
      <c r="AN1057" s="9"/>
      <c r="AO1057" s="9"/>
      <c r="AP1057" s="9"/>
      <c r="AQ1057" s="9"/>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c r="W1058" s="224"/>
      <c r="X1058" s="224"/>
      <c r="Y1058" s="868"/>
      <c r="Z1058" s="865"/>
      <c r="AA1058" s="2"/>
      <c r="AB1058" s="2"/>
      <c r="AC1058" s="2"/>
      <c r="AD1058" s="2"/>
      <c r="AE1058" s="2"/>
      <c r="AF1058" s="2"/>
      <c r="AG1058" s="2"/>
      <c r="AH1058" s="2"/>
      <c r="AI1058" s="2"/>
      <c r="AJ1058" s="2"/>
      <c r="AK1058" s="2"/>
      <c r="AL1058" s="2"/>
      <c r="AM1058" s="2"/>
      <c r="AN1058" s="9"/>
      <c r="AO1058" s="9"/>
      <c r="AP1058" s="9"/>
      <c r="AQ1058" s="9"/>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c r="W1059" s="224"/>
      <c r="X1059" s="224"/>
      <c r="Y1059" s="868"/>
      <c r="Z1059" s="865"/>
      <c r="AA1059" s="2"/>
      <c r="AB1059" s="2"/>
      <c r="AC1059" s="2"/>
      <c r="AD1059" s="2"/>
      <c r="AE1059" s="2"/>
      <c r="AF1059" s="2"/>
      <c r="AG1059" s="2"/>
      <c r="AH1059" s="2"/>
      <c r="AI1059" s="2"/>
      <c r="AJ1059" s="2"/>
      <c r="AK1059" s="2"/>
      <c r="AL1059" s="2"/>
      <c r="AM1059" s="2"/>
      <c r="AN1059" s="9"/>
      <c r="AO1059" s="9"/>
      <c r="AP1059" s="9"/>
      <c r="AQ1059" s="9"/>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c r="W1060" s="224"/>
      <c r="X1060" s="224"/>
      <c r="Y1060" s="868"/>
      <c r="Z1060" s="865"/>
      <c r="AA1060" s="2"/>
      <c r="AB1060" s="2"/>
      <c r="AC1060" s="2"/>
      <c r="AD1060" s="2"/>
      <c r="AE1060" s="2"/>
      <c r="AF1060" s="2"/>
      <c r="AG1060" s="2"/>
      <c r="AH1060" s="2"/>
      <c r="AI1060" s="2"/>
      <c r="AJ1060" s="2"/>
      <c r="AK1060" s="2"/>
      <c r="AL1060" s="2"/>
      <c r="AM1060" s="2"/>
      <c r="AN1060" s="9"/>
      <c r="AO1060" s="9"/>
      <c r="AP1060" s="9"/>
      <c r="AQ1060" s="9"/>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c r="W1061" s="224"/>
      <c r="X1061" s="224"/>
      <c r="Y1061" s="868"/>
      <c r="Z1061" s="865"/>
      <c r="AA1061" s="2"/>
      <c r="AB1061" s="2"/>
      <c r="AC1061" s="2"/>
      <c r="AD1061" s="2"/>
      <c r="AE1061" s="2"/>
      <c r="AF1061" s="2"/>
      <c r="AG1061" s="2"/>
      <c r="AH1061" s="2"/>
      <c r="AI1061" s="2"/>
      <c r="AJ1061" s="2"/>
      <c r="AK1061" s="2"/>
      <c r="AL1061" s="2"/>
      <c r="AM1061" s="2"/>
      <c r="AN1061" s="9"/>
      <c r="AO1061" s="9"/>
      <c r="AP1061" s="9"/>
      <c r="AQ1061" s="9"/>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c r="W1062" s="224"/>
      <c r="X1062" s="224"/>
      <c r="Y1062" s="868"/>
      <c r="Z1062" s="865"/>
      <c r="AA1062" s="2"/>
      <c r="AB1062" s="2"/>
      <c r="AC1062" s="2"/>
      <c r="AD1062" s="2"/>
      <c r="AE1062" s="2"/>
      <c r="AF1062" s="2"/>
      <c r="AG1062" s="2"/>
      <c r="AH1062" s="2"/>
      <c r="AI1062" s="2"/>
      <c r="AJ1062" s="2"/>
      <c r="AK1062" s="2"/>
      <c r="AL1062" s="2"/>
      <c r="AM1062" s="2"/>
      <c r="AN1062" s="9"/>
      <c r="AO1062" s="9"/>
      <c r="AP1062" s="9"/>
      <c r="AQ1062" s="9"/>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c r="W1063" s="224"/>
      <c r="X1063" s="224"/>
      <c r="Y1063" s="868"/>
      <c r="Z1063" s="865"/>
      <c r="AA1063" s="2"/>
      <c r="AB1063" s="2"/>
      <c r="AC1063" s="2"/>
      <c r="AD1063" s="2"/>
      <c r="AE1063" s="2"/>
      <c r="AF1063" s="2"/>
      <c r="AG1063" s="2"/>
      <c r="AH1063" s="2"/>
      <c r="AI1063" s="2"/>
      <c r="AJ1063" s="2"/>
      <c r="AK1063" s="2"/>
      <c r="AL1063" s="2"/>
      <c r="AM1063" s="2"/>
      <c r="AN1063" s="9"/>
      <c r="AO1063" s="9"/>
      <c r="AP1063" s="9"/>
      <c r="AQ1063" s="9"/>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c r="W1064" s="224"/>
      <c r="X1064" s="224"/>
      <c r="Y1064" s="868"/>
      <c r="Z1064" s="865"/>
      <c r="AA1064" s="2"/>
      <c r="AB1064" s="2"/>
      <c r="AC1064" s="2"/>
      <c r="AD1064" s="2"/>
      <c r="AE1064" s="2"/>
      <c r="AF1064" s="2"/>
      <c r="AG1064" s="2"/>
      <c r="AH1064" s="2"/>
      <c r="AI1064" s="2"/>
      <c r="AJ1064" s="2"/>
      <c r="AK1064" s="2"/>
      <c r="AL1064" s="2"/>
      <c r="AM1064" s="2"/>
      <c r="AN1064" s="9"/>
      <c r="AO1064" s="9"/>
      <c r="AP1064" s="9"/>
      <c r="AQ1064" s="9"/>
    </row>
  </sheetData>
  <mergeCells count="373">
    <mergeCell ref="A54:A55"/>
    <mergeCell ref="B56:B57"/>
    <mergeCell ref="C56:C57"/>
    <mergeCell ref="D56:D57"/>
    <mergeCell ref="E56:E57"/>
    <mergeCell ref="F56:F57"/>
    <mergeCell ref="G56:G57"/>
    <mergeCell ref="A56:A57"/>
    <mergeCell ref="B58:B59"/>
    <mergeCell ref="C58:C59"/>
    <mergeCell ref="D58:D59"/>
    <mergeCell ref="E58:E59"/>
    <mergeCell ref="F58:F59"/>
    <mergeCell ref="G58:G59"/>
    <mergeCell ref="A58:A59"/>
    <mergeCell ref="B60:B61"/>
    <mergeCell ref="C60:C61"/>
    <mergeCell ref="D60:D61"/>
    <mergeCell ref="E60:E61"/>
    <mergeCell ref="F60:F61"/>
    <mergeCell ref="G60:G61"/>
    <mergeCell ref="A60:A61"/>
    <mergeCell ref="B62:B63"/>
    <mergeCell ref="C62:C63"/>
    <mergeCell ref="D62:D63"/>
    <mergeCell ref="E62:E63"/>
    <mergeCell ref="F62:F63"/>
    <mergeCell ref="G62:G63"/>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62:A63"/>
    <mergeCell ref="A64:A65"/>
    <mergeCell ref="B64:B65"/>
    <mergeCell ref="C64:C65"/>
    <mergeCell ref="D64:D65"/>
    <mergeCell ref="E64:E65"/>
    <mergeCell ref="F64:F65"/>
    <mergeCell ref="G64:G65"/>
    <mergeCell ref="A78:A79"/>
    <mergeCell ref="B78:B79"/>
    <mergeCell ref="C78:C79"/>
    <mergeCell ref="D78:D79"/>
    <mergeCell ref="E78:E79"/>
    <mergeCell ref="F78:F79"/>
    <mergeCell ref="G78:G79"/>
    <mergeCell ref="A80:A81"/>
    <mergeCell ref="B80:B81"/>
    <mergeCell ref="C80:C81"/>
    <mergeCell ref="D80:D81"/>
    <mergeCell ref="E80:E81"/>
    <mergeCell ref="F80:F81"/>
    <mergeCell ref="G80:G81"/>
    <mergeCell ref="A82:A83"/>
    <mergeCell ref="B82:B83"/>
    <mergeCell ref="C82:C83"/>
    <mergeCell ref="D82:D83"/>
    <mergeCell ref="E82:E83"/>
    <mergeCell ref="F82:F83"/>
    <mergeCell ref="G82:G83"/>
    <mergeCell ref="A86:A87"/>
    <mergeCell ref="B86:B87"/>
    <mergeCell ref="C86:C87"/>
    <mergeCell ref="D86:D87"/>
    <mergeCell ref="E86:E87"/>
    <mergeCell ref="F86:F87"/>
    <mergeCell ref="G86:G87"/>
    <mergeCell ref="A50:A51"/>
    <mergeCell ref="B52:B53"/>
    <mergeCell ref="C52:C53"/>
    <mergeCell ref="D52:D53"/>
    <mergeCell ref="E52:E53"/>
    <mergeCell ref="F52:F53"/>
    <mergeCell ref="G52:G53"/>
    <mergeCell ref="A52:A53"/>
    <mergeCell ref="B54:B55"/>
    <mergeCell ref="C54:C55"/>
    <mergeCell ref="D54:D55"/>
    <mergeCell ref="E54:E55"/>
    <mergeCell ref="F54:F55"/>
    <mergeCell ref="G54:G55"/>
    <mergeCell ref="A66:A67"/>
    <mergeCell ref="B66:B67"/>
    <mergeCell ref="C66:C67"/>
    <mergeCell ref="D66:D67"/>
    <mergeCell ref="E66:E67"/>
    <mergeCell ref="F66:F67"/>
    <mergeCell ref="G66:G67"/>
    <mergeCell ref="A68:A69"/>
    <mergeCell ref="B68:B69"/>
    <mergeCell ref="C68:C69"/>
    <mergeCell ref="D68:D69"/>
    <mergeCell ref="E68:E69"/>
    <mergeCell ref="F68:F69"/>
    <mergeCell ref="G68:G69"/>
    <mergeCell ref="A70:A71"/>
    <mergeCell ref="B70:B71"/>
    <mergeCell ref="C70:C71"/>
    <mergeCell ref="D70:D71"/>
    <mergeCell ref="E70:E71"/>
    <mergeCell ref="F70:F71"/>
    <mergeCell ref="G70:G71"/>
    <mergeCell ref="A72:A73"/>
    <mergeCell ref="B72:B73"/>
    <mergeCell ref="C72:C73"/>
    <mergeCell ref="D72:D73"/>
    <mergeCell ref="E72:E73"/>
    <mergeCell ref="F72:F73"/>
    <mergeCell ref="G72:G73"/>
    <mergeCell ref="A92:B93"/>
    <mergeCell ref="C105:H105"/>
    <mergeCell ref="T30:T31"/>
    <mergeCell ref="T32:T33"/>
    <mergeCell ref="R24:R25"/>
    <mergeCell ref="R26:R27"/>
    <mergeCell ref="T26:T27"/>
    <mergeCell ref="R28:R29"/>
    <mergeCell ref="T28:T29"/>
    <mergeCell ref="R30:R31"/>
    <mergeCell ref="R32:R33"/>
    <mergeCell ref="R40:R41"/>
    <mergeCell ref="T40:T41"/>
    <mergeCell ref="M42:M43"/>
    <mergeCell ref="N42:N43"/>
    <mergeCell ref="Q42:Q43"/>
    <mergeCell ref="R44:R45"/>
    <mergeCell ref="T44:T45"/>
    <mergeCell ref="R46:R47"/>
    <mergeCell ref="R48:R49"/>
    <mergeCell ref="R50:R51"/>
    <mergeCell ref="T50:T51"/>
    <mergeCell ref="R52:R53"/>
    <mergeCell ref="R54:R55"/>
    <mergeCell ref="R56:R57"/>
    <mergeCell ref="T72:T73"/>
    <mergeCell ref="T84:T85"/>
    <mergeCell ref="R86:R91"/>
    <mergeCell ref="T88:T89"/>
    <mergeCell ref="M92:M93"/>
    <mergeCell ref="N92:N93"/>
    <mergeCell ref="Q92:Q93"/>
    <mergeCell ref="R58:R59"/>
    <mergeCell ref="T58:T59"/>
    <mergeCell ref="R60:R61"/>
    <mergeCell ref="R62:R63"/>
    <mergeCell ref="R64:R77"/>
    <mergeCell ref="T64:T65"/>
    <mergeCell ref="R78:R85"/>
    <mergeCell ref="E7:E8"/>
    <mergeCell ref="E9:E10"/>
    <mergeCell ref="AB17:AI17"/>
    <mergeCell ref="AB18:AE18"/>
    <mergeCell ref="AF18:AI18"/>
    <mergeCell ref="S19:S21"/>
    <mergeCell ref="T19:T21"/>
    <mergeCell ref="Q20:Q21"/>
    <mergeCell ref="A5:A6"/>
    <mergeCell ref="B5:B6"/>
    <mergeCell ref="E5:E6"/>
    <mergeCell ref="A7:A8"/>
    <mergeCell ref="B7:B8"/>
    <mergeCell ref="A9:A10"/>
    <mergeCell ref="B9:B10"/>
    <mergeCell ref="A20:B21"/>
    <mergeCell ref="B22:B23"/>
    <mergeCell ref="C22:C23"/>
    <mergeCell ref="D22:D23"/>
    <mergeCell ref="E22:E23"/>
    <mergeCell ref="F22:F23"/>
    <mergeCell ref="G22:G23"/>
    <mergeCell ref="M20:M21"/>
    <mergeCell ref="N20:N21"/>
    <mergeCell ref="R22:R23"/>
    <mergeCell ref="T22:T23"/>
    <mergeCell ref="X22:X23"/>
    <mergeCell ref="T24:T25"/>
    <mergeCell ref="X24:X25"/>
    <mergeCell ref="A26:A27"/>
    <mergeCell ref="A28:A29"/>
    <mergeCell ref="B28:B29"/>
    <mergeCell ref="C28:C29"/>
    <mergeCell ref="D28:D29"/>
    <mergeCell ref="E28:E29"/>
    <mergeCell ref="F28:F29"/>
    <mergeCell ref="G28:G29"/>
    <mergeCell ref="R34:R35"/>
    <mergeCell ref="T34:T35"/>
    <mergeCell ref="W34:W35"/>
    <mergeCell ref="X34:X35"/>
    <mergeCell ref="W36:W37"/>
    <mergeCell ref="X36:X37"/>
    <mergeCell ref="R36:R37"/>
    <mergeCell ref="R38:R39"/>
    <mergeCell ref="T38:T39"/>
    <mergeCell ref="W38:W39"/>
    <mergeCell ref="X38:X39"/>
    <mergeCell ref="A38:A39"/>
    <mergeCell ref="B38:B39"/>
    <mergeCell ref="C38:C39"/>
    <mergeCell ref="D38:D39"/>
    <mergeCell ref="E38:E39"/>
    <mergeCell ref="F38:F39"/>
    <mergeCell ref="G38:G39"/>
    <mergeCell ref="A40:A41"/>
    <mergeCell ref="B40:B41"/>
    <mergeCell ref="C40:C41"/>
    <mergeCell ref="D40:D41"/>
    <mergeCell ref="E40:E41"/>
    <mergeCell ref="F40:F41"/>
    <mergeCell ref="G40:G41"/>
    <mergeCell ref="A42:B43"/>
    <mergeCell ref="B44:B45"/>
    <mergeCell ref="C44:C45"/>
    <mergeCell ref="D44:D45"/>
    <mergeCell ref="E44:E45"/>
    <mergeCell ref="F44:F45"/>
    <mergeCell ref="G44:G45"/>
    <mergeCell ref="A44:A45"/>
    <mergeCell ref="B46:B47"/>
    <mergeCell ref="C46:C47"/>
    <mergeCell ref="D46:D47"/>
    <mergeCell ref="E46:E47"/>
    <mergeCell ref="F46:F47"/>
    <mergeCell ref="G46:G47"/>
    <mergeCell ref="A46:A47"/>
    <mergeCell ref="B48:B49"/>
    <mergeCell ref="C48:C49"/>
    <mergeCell ref="D48:D49"/>
    <mergeCell ref="E48:E49"/>
    <mergeCell ref="F48:F49"/>
    <mergeCell ref="G48:G49"/>
    <mergeCell ref="A48:A49"/>
    <mergeCell ref="B50:B51"/>
    <mergeCell ref="C50:C51"/>
    <mergeCell ref="D50:D51"/>
    <mergeCell ref="E50:E51"/>
    <mergeCell ref="F50:F51"/>
    <mergeCell ref="G50:G51"/>
    <mergeCell ref="A74:A75"/>
    <mergeCell ref="B74:B75"/>
    <mergeCell ref="C74:C75"/>
    <mergeCell ref="D74:D75"/>
    <mergeCell ref="E74:E75"/>
    <mergeCell ref="F74:F75"/>
    <mergeCell ref="G74:G75"/>
    <mergeCell ref="A76:A77"/>
    <mergeCell ref="B76:B77"/>
    <mergeCell ref="C76:C77"/>
    <mergeCell ref="D76:D77"/>
    <mergeCell ref="E76:E77"/>
    <mergeCell ref="F76:F77"/>
    <mergeCell ref="G76:G77"/>
    <mergeCell ref="A84:A85"/>
    <mergeCell ref="B84:B85"/>
    <mergeCell ref="C84:C85"/>
    <mergeCell ref="D84:D85"/>
    <mergeCell ref="E84:E85"/>
    <mergeCell ref="F84:F85"/>
    <mergeCell ref="G84:G85"/>
    <mergeCell ref="A90:A91"/>
    <mergeCell ref="B90:B91"/>
    <mergeCell ref="C90:C91"/>
    <mergeCell ref="D90:D91"/>
    <mergeCell ref="E90:E91"/>
    <mergeCell ref="F90:F91"/>
    <mergeCell ref="G90:G91"/>
    <mergeCell ref="A88:A89"/>
    <mergeCell ref="B88:B89"/>
    <mergeCell ref="C88:C89"/>
    <mergeCell ref="D88:D89"/>
    <mergeCell ref="E88:E89"/>
    <mergeCell ref="F88:F89"/>
    <mergeCell ref="G88:G89"/>
    <mergeCell ref="W88:W89"/>
    <mergeCell ref="W90:W91"/>
    <mergeCell ref="AJ107:AK107"/>
    <mergeCell ref="W74:W75"/>
    <mergeCell ref="W76:W77"/>
    <mergeCell ref="W78:W79"/>
    <mergeCell ref="W80:W81"/>
    <mergeCell ref="W82:W83"/>
    <mergeCell ref="W84:W85"/>
    <mergeCell ref="W86:W87"/>
    <mergeCell ref="W22:W23"/>
    <mergeCell ref="W24:W25"/>
    <mergeCell ref="W26:W27"/>
    <mergeCell ref="X26:X27"/>
    <mergeCell ref="W28:W29"/>
    <mergeCell ref="X28:X29"/>
    <mergeCell ref="X30:X31"/>
    <mergeCell ref="X32:X33"/>
    <mergeCell ref="W30:W31"/>
    <mergeCell ref="W32:W33"/>
    <mergeCell ref="W40:W41"/>
    <mergeCell ref="X40:X41"/>
    <mergeCell ref="W44:W45"/>
    <mergeCell ref="X44:X45"/>
    <mergeCell ref="X46:X47"/>
    <mergeCell ref="W46:W47"/>
    <mergeCell ref="W48:W49"/>
    <mergeCell ref="W50:W51"/>
    <mergeCell ref="W52:W53"/>
    <mergeCell ref="W54:W55"/>
    <mergeCell ref="W56:W57"/>
    <mergeCell ref="W58:W59"/>
    <mergeCell ref="X48:X49"/>
    <mergeCell ref="X50:X51"/>
    <mergeCell ref="X52:X53"/>
    <mergeCell ref="X54:X55"/>
    <mergeCell ref="X56:X57"/>
    <mergeCell ref="X58:X59"/>
    <mergeCell ref="X60:X61"/>
    <mergeCell ref="W60:W61"/>
    <mergeCell ref="W62:W63"/>
    <mergeCell ref="W64:W65"/>
    <mergeCell ref="W66:W67"/>
    <mergeCell ref="W68:W69"/>
    <mergeCell ref="W70:W71"/>
    <mergeCell ref="W72:W73"/>
    <mergeCell ref="X76:X77"/>
    <mergeCell ref="X78:X79"/>
    <mergeCell ref="X80:X81"/>
    <mergeCell ref="X82:X83"/>
    <mergeCell ref="X84:X85"/>
    <mergeCell ref="X86:X87"/>
    <mergeCell ref="X88:X89"/>
    <mergeCell ref="X90:X91"/>
    <mergeCell ref="X62:X63"/>
    <mergeCell ref="X64:X65"/>
    <mergeCell ref="X66:X67"/>
    <mergeCell ref="X68:X69"/>
    <mergeCell ref="X70:X71"/>
    <mergeCell ref="X72:X73"/>
    <mergeCell ref="X74:X75"/>
  </mergeCells>
  <conditionalFormatting sqref="D22:D77 D79:D91">
    <cfRule type="expression" dxfId="0" priority="1">
      <formula>#REF!=TRUE</formula>
    </cfRule>
  </conditionalFormatting>
  <conditionalFormatting sqref="D22:D77 D79:D91">
    <cfRule type="expression" dxfId="1" priority="2">
      <formula>#REF!=TRUE</formula>
    </cfRule>
  </conditionalFormatting>
  <conditionalFormatting sqref="D26:D27 D34:D35 D46:D49 D60:D61 D64:D69 D82:D83 D95:D96 D100 D104">
    <cfRule type="expression" dxfId="0" priority="3">
      <formula>AF26=TRUE</formula>
    </cfRule>
  </conditionalFormatting>
  <conditionalFormatting sqref="D26:D27 D34:D35 D46:D49 D60:D61 D64:D69 D82:D83 D95:D96 D100 D104">
    <cfRule type="expression" dxfId="1" priority="4">
      <formula>P26=TRUE</formula>
    </cfRule>
  </conditionalFormatting>
  <conditionalFormatting sqref="B22:B41 B44:B91 B94:B105">
    <cfRule type="expression" dxfId="13" priority="5">
      <formula>$Z22&lt;&gt;""</formula>
    </cfRule>
  </conditionalFormatting>
  <dataValidations>
    <dataValidation type="list" allowBlank="1" showErrorMessage="1" sqref="G22 G24 G26 G28 G30 G32 G34 G36 G38 G40 G44 G46 G48 G50 G52 G54 G56 G58 G60 G62 G64 G66 G68 G70 G72 G74 G76 G78 G80 G82 G84 G86 G88 G90 G94:G103">
      <formula1>"Hồ Chí Minh,Đồng Nai,Bình Dương,Hải Dương,Hà Nội ,Hải Phòng,Sóc Trăng,Cần Thơ,Mass,Đồng Tháp"</formula1>
    </dataValidation>
    <dataValidation type="list" allowBlank="1" showErrorMessage="1" sqref="W22 W24 W26 W28 W30 W32 W34 W36 W38 W40 W44 W46 W48 W50 W52 W54 W56 W58 W60 W62 W64 W66 W68 W70 W72 W74 W76 W78 W80 W82 W84 W86 W88 W90 W94:W105">
      <formula1>"Ký Cá Nhân,Ký Công ty (VAT 8%),Ký HKD (6-7%),Chưa phản hồi"</formula1>
    </dataValidation>
    <dataValidation type="list" allowBlank="1" showErrorMessage="1" sqref="E22 E24 E26 E28 E30 E32 E34 E36 E38 E40 E44 E46 E48 E50 E52 E54 E56 E58 E60 E62 E64 E66 E68 E70 E72 E74 E76 E78 E80 E82 E84 E86 E88 E90 E94:E103">
      <formula1>"Nano,Macro,Micro"</formula1>
    </dataValidation>
    <dataValidation type="list" allowBlank="1" showErrorMessage="1" sqref="T22 T24 T26 T28 T30 T32 T34 T36 T38 T40 T44 T46 T48 T50 T52 T54 T56 T58 T60 T62 T64 T66 T68 T70 T72 T74 T76 T78 T80 T82 T84 T86 T88 T90 T94:T103">
      <formula1>"Confirm,Không phù hợp,Cân nhắc"</formula1>
    </dataValidation>
    <dataValidation type="list" allowBlank="1" showErrorMessage="1" sqref="C22 C24 C26 C28 C30 C32 C34 C36 C38 C40 C44 C46 C48 C50 C52 C54 C56 C58 C60 C62 C64 C66 C68 C70 C72 C74 C76 C78 C80 C82 C84 C86 C88 C90 C94:C103">
      <formula1>"Tiktok,Facebook,Instagram,TikTok &amp; Facebook"</formula1>
    </dataValidation>
    <dataValidation type="list" allowBlank="1" showErrorMessage="1" sqref="X22 X24 X26 X28 X30 X32 X34 X36 X38 X40 X44 X46 X48 X50 X52 X54 X56 X58 X60 X62 X64 X66 X68 X70 X72 X74 X76 X78 X80 X82 X84 X86 X88 X90 X94:X105">
      <formula1>"Thanh Toán sau 100%, 30 ngày,Thanh Toán sau 100%, 14 ngày,Thanh toán 50/50, 14 ngày,Thanh toán 50/50, 30 ngày,Thanh toán trước 100%,Thanh toán 50/50, 7 ngày,Chưa phản hồi,Thanh toán 30/70, 14 ngày"</formula1>
    </dataValidation>
  </dataValidations>
  <hyperlinks>
    <hyperlink r:id="rId1" ref="F22"/>
    <hyperlink r:id="rId2" ref="H22"/>
    <hyperlink r:id="rId3" ref="S22"/>
    <hyperlink r:id="rId4" location="gid=0" ref="Y22"/>
    <hyperlink r:id="rId5" ref="F24"/>
    <hyperlink r:id="rId6" ref="H24"/>
    <hyperlink r:id="rId7" location="gid=0" ref="Y24"/>
    <hyperlink r:id="rId8" ref="F26"/>
    <hyperlink r:id="rId9" ref="H26"/>
    <hyperlink r:id="rId10" location="gid=1826739190" ref="Y26"/>
    <hyperlink r:id="rId11" ref="F28"/>
    <hyperlink r:id="rId12" ref="H28"/>
    <hyperlink r:id="rId13" location="gid=1826739190" ref="Y28"/>
    <hyperlink r:id="rId14" ref="F30"/>
    <hyperlink r:id="rId15" ref="H30"/>
    <hyperlink r:id="rId16" ref="F32"/>
    <hyperlink r:id="rId17" ref="H32"/>
    <hyperlink r:id="rId18" location="gid=0" ref="Y32"/>
    <hyperlink r:id="rId19" ref="F34"/>
    <hyperlink r:id="rId20" ref="H34"/>
    <hyperlink r:id="rId21" location="gid=0" ref="Y34"/>
    <hyperlink r:id="rId22" ref="F36"/>
    <hyperlink r:id="rId23" ref="H36"/>
    <hyperlink r:id="rId24" ref="F38"/>
    <hyperlink r:id="rId25" ref="H38"/>
    <hyperlink r:id="rId26" ref="F40"/>
    <hyperlink r:id="rId27" ref="H40"/>
    <hyperlink r:id="rId28" ref="F44"/>
    <hyperlink r:id="rId29" ref="H44"/>
    <hyperlink r:id="rId30" location="gid=1826739190" ref="Y44"/>
    <hyperlink r:id="rId31" ref="F46"/>
    <hyperlink r:id="rId32" ref="H46"/>
    <hyperlink r:id="rId33" location="gid=1826739190" ref="Y46"/>
    <hyperlink r:id="rId34" ref="F48"/>
    <hyperlink r:id="rId35" ref="H48"/>
    <hyperlink r:id="rId36" location="gid=1826739190" ref="Y48"/>
    <hyperlink r:id="rId37" ref="F50"/>
    <hyperlink r:id="rId38" ref="H50"/>
    <hyperlink r:id="rId39" location="gid=1826739190" ref="Y50"/>
    <hyperlink r:id="rId40" ref="F52"/>
    <hyperlink r:id="rId41" ref="H52"/>
    <hyperlink r:id="rId42" location="gid=1826739190" ref="Y52"/>
    <hyperlink r:id="rId43" ref="F54"/>
    <hyperlink r:id="rId44" ref="H54"/>
    <hyperlink r:id="rId45" location="gid=1826739190" ref="Y54"/>
    <hyperlink r:id="rId46" ref="F56"/>
    <hyperlink r:id="rId47" ref="H56"/>
    <hyperlink r:id="rId48" location="gid=1826739190" ref="Y56"/>
    <hyperlink r:id="rId49" ref="F58"/>
    <hyperlink r:id="rId50" ref="H58"/>
    <hyperlink r:id="rId51" location="gid=1826739190" ref="Y58"/>
    <hyperlink r:id="rId52" ref="F60"/>
    <hyperlink r:id="rId53" ref="H60"/>
    <hyperlink r:id="rId54" location="gid=1826739190" ref="Y60"/>
    <hyperlink r:id="rId55" ref="F62"/>
    <hyperlink r:id="rId56" ref="H62"/>
    <hyperlink r:id="rId57" location="gid=1826739190" ref="Y62"/>
    <hyperlink r:id="rId58" ref="F64"/>
    <hyperlink r:id="rId59" ref="H64"/>
    <hyperlink r:id="rId60" location="gid=317397432" ref="Y64"/>
    <hyperlink r:id="rId61" location="gid=317397432" ref="Y65"/>
    <hyperlink r:id="rId62" ref="F66"/>
    <hyperlink r:id="rId63" ref="H66"/>
    <hyperlink r:id="rId64" location="gid=317397432" ref="Y66"/>
    <hyperlink r:id="rId65" location="gid=317397432" ref="Y67"/>
    <hyperlink r:id="rId66" ref="F68"/>
    <hyperlink r:id="rId67" ref="H68"/>
    <hyperlink r:id="rId68" location="gid=317397432" ref="Y68"/>
    <hyperlink r:id="rId69" location="gid=317397432" ref="Y69"/>
    <hyperlink r:id="rId70" ref="F70"/>
    <hyperlink r:id="rId71" ref="H70"/>
    <hyperlink r:id="rId72" location="gid=317397432" ref="Y70"/>
    <hyperlink r:id="rId73" location="gid=317397432" ref="Y71"/>
    <hyperlink r:id="rId74" ref="F72"/>
    <hyperlink r:id="rId75" ref="H72"/>
    <hyperlink r:id="rId76" location="gid=317397432" ref="Y72"/>
    <hyperlink r:id="rId77" location="gid=317397432" ref="Y73"/>
    <hyperlink r:id="rId78" ref="F74"/>
    <hyperlink r:id="rId79" ref="H74"/>
    <hyperlink r:id="rId80" location="gid=317397432" ref="Y74"/>
    <hyperlink r:id="rId81" location="gid=317397432" ref="Y75"/>
    <hyperlink r:id="rId82" ref="F76"/>
    <hyperlink r:id="rId83" ref="H76"/>
    <hyperlink r:id="rId84" location="gid=317397432" ref="Y76"/>
    <hyperlink r:id="rId85" location="gid=317397432" ref="Y77"/>
    <hyperlink r:id="rId86" ref="F78"/>
    <hyperlink r:id="rId87" ref="H78"/>
    <hyperlink r:id="rId88" location="gid=317397432" ref="Y78"/>
    <hyperlink r:id="rId89" location="gid=317397432" ref="Y79"/>
    <hyperlink r:id="rId90" ref="F80"/>
    <hyperlink r:id="rId91" ref="H80"/>
    <hyperlink r:id="rId92" location="gid=317397432" ref="Y80"/>
    <hyperlink r:id="rId93" location="gid=317397432" ref="Y81"/>
    <hyperlink r:id="rId94" ref="F82"/>
    <hyperlink r:id="rId95" ref="H82"/>
    <hyperlink r:id="rId96" location="gid=317397432" ref="Y82"/>
    <hyperlink r:id="rId97" location="gid=317397432" ref="Y83"/>
    <hyperlink r:id="rId98" ref="F84"/>
    <hyperlink r:id="rId99" ref="H84"/>
    <hyperlink r:id="rId100" location="gid=317397432" ref="Y84"/>
    <hyperlink r:id="rId101" location="gid=317397432" ref="Y85"/>
    <hyperlink r:id="rId102" ref="F86"/>
    <hyperlink r:id="rId103" ref="H86"/>
    <hyperlink r:id="rId104" location="gid=317397432" ref="Y86"/>
    <hyperlink r:id="rId105" location="gid=317397432" ref="Y87"/>
    <hyperlink r:id="rId106" ref="F88"/>
    <hyperlink r:id="rId107" ref="H88"/>
    <hyperlink r:id="rId108" location="gid=317397432" ref="Y88"/>
    <hyperlink r:id="rId109" location="gid=317397432" ref="Y89"/>
    <hyperlink r:id="rId110" ref="F90"/>
    <hyperlink r:id="rId111" ref="H90"/>
    <hyperlink r:id="rId112" location="gid=317397432" ref="Y90"/>
    <hyperlink r:id="rId113" location="gid=317397432" ref="Y91"/>
    <hyperlink r:id="rId114" ref="F94"/>
    <hyperlink r:id="rId115" location="gid=1537112938" ref="Y94"/>
    <hyperlink r:id="rId116" ref="F95"/>
    <hyperlink r:id="rId117" location="gid=1537112938" ref="Y95"/>
    <hyperlink r:id="rId118" ref="F96"/>
    <hyperlink r:id="rId119" location="gid=1537112938" ref="Y96"/>
    <hyperlink r:id="rId120" ref="F97"/>
    <hyperlink r:id="rId121" location="gid=1537112938" ref="Y97"/>
    <hyperlink r:id="rId122" ref="F98"/>
    <hyperlink r:id="rId123" location="gid=1537112938" ref="Y98"/>
    <hyperlink r:id="rId124" ref="F99"/>
    <hyperlink r:id="rId125" location="gid=1537112938" ref="Y99"/>
    <hyperlink r:id="rId126" ref="F100"/>
    <hyperlink r:id="rId127" ref="F101"/>
    <hyperlink r:id="rId128" location="gid=1537112938" ref="Y101"/>
    <hyperlink r:id="rId129" ref="F102"/>
    <hyperlink r:id="rId130" ref="F103"/>
    <hyperlink r:id="rId131" location="gid=1537112938" ref="Y103"/>
  </hyperlinks>
  <drawing r:id="rId13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1.5"/>
    <col customWidth="1" min="21" max="22" width="13.25"/>
    <col customWidth="1" min="23" max="23" width="15.38"/>
    <col customWidth="1" min="24" max="24" width="14.88"/>
    <col customWidth="1" min="25" max="25" width="16.75"/>
    <col customWidth="1" min="26" max="26" width="18.75"/>
    <col customWidth="1" min="28" max="35" width="11.0"/>
    <col customWidth="1" min="36" max="36" width="28.63"/>
    <col customWidth="1" min="37" max="37" width="22.13"/>
    <col customWidth="1" min="40" max="40" width="35.38"/>
    <col customWidth="1" min="41" max="43" width="7.25"/>
  </cols>
  <sheetData>
    <row r="1" outlineLevel="1">
      <c r="A1" s="1" t="s">
        <v>1425</v>
      </c>
      <c r="B1" s="2"/>
      <c r="C1" s="2"/>
      <c r="D1" s="3"/>
      <c r="E1" s="2"/>
      <c r="F1" s="4"/>
      <c r="G1" s="2"/>
      <c r="H1" s="2"/>
      <c r="I1" s="2"/>
      <c r="J1" s="2"/>
      <c r="K1" s="5"/>
      <c r="L1" s="6"/>
      <c r="M1" s="6"/>
      <c r="N1" s="6"/>
      <c r="O1" s="6"/>
      <c r="P1" s="6"/>
      <c r="Q1" s="6"/>
      <c r="R1" s="7"/>
      <c r="S1" s="8"/>
      <c r="T1" s="8"/>
      <c r="U1" s="8"/>
      <c r="V1" s="8"/>
      <c r="W1" s="8"/>
      <c r="X1" s="8"/>
      <c r="Y1" s="580"/>
      <c r="Z1" s="581"/>
      <c r="AA1" s="3"/>
      <c r="AB1" s="3"/>
      <c r="AC1" s="3"/>
      <c r="AD1" s="3"/>
      <c r="AE1" s="3"/>
      <c r="AF1" s="3"/>
      <c r="AG1" s="3"/>
      <c r="AH1" s="3"/>
      <c r="AI1" s="3"/>
      <c r="AJ1" s="3"/>
      <c r="AK1" s="3"/>
      <c r="AL1" s="3"/>
      <c r="AM1" s="3"/>
      <c r="AN1" s="9"/>
      <c r="AO1" s="9"/>
      <c r="AP1" s="9"/>
      <c r="AQ1" s="9"/>
    </row>
    <row r="2" outlineLevel="1">
      <c r="A2" s="10"/>
      <c r="B2" s="11"/>
      <c r="C2" s="11"/>
      <c r="D2" s="11"/>
      <c r="E2" s="2"/>
      <c r="F2" s="4"/>
      <c r="G2" s="2"/>
      <c r="H2" s="2"/>
      <c r="I2" s="2"/>
      <c r="J2" s="2"/>
      <c r="K2" s="5"/>
      <c r="L2" s="6"/>
      <c r="M2" s="6"/>
      <c r="N2" s="6"/>
      <c r="O2" s="6"/>
      <c r="P2" s="6"/>
      <c r="Q2" s="6"/>
      <c r="R2" s="7"/>
      <c r="S2" s="8"/>
      <c r="T2" s="8"/>
      <c r="U2" s="8"/>
      <c r="V2" s="8"/>
      <c r="W2" s="8"/>
      <c r="X2" s="8"/>
      <c r="Y2" s="580"/>
      <c r="Z2" s="581"/>
      <c r="AA2" s="3"/>
      <c r="AB2" s="3"/>
      <c r="AC2" s="3"/>
      <c r="AD2" s="3"/>
      <c r="AE2" s="3"/>
      <c r="AF2" s="3"/>
      <c r="AG2" s="3"/>
      <c r="AH2" s="3"/>
      <c r="AI2" s="3"/>
      <c r="AJ2" s="3"/>
      <c r="AK2" s="3"/>
      <c r="AL2" s="3"/>
      <c r="AM2" s="3"/>
      <c r="AN2" s="9"/>
      <c r="AO2" s="9"/>
      <c r="AP2" s="9"/>
      <c r="AQ2" s="9"/>
    </row>
    <row r="3" ht="27.0" customHeight="1" outlineLevel="1">
      <c r="A3" s="12" t="s">
        <v>1</v>
      </c>
      <c r="B3" s="13" t="s">
        <v>2</v>
      </c>
      <c r="C3" s="14" t="s">
        <v>3</v>
      </c>
      <c r="D3" s="14" t="s">
        <v>4</v>
      </c>
      <c r="E3" s="15" t="s">
        <v>5</v>
      </c>
      <c r="J3" s="6"/>
      <c r="K3" s="2"/>
      <c r="L3" s="5"/>
      <c r="M3" s="6"/>
      <c r="N3" s="6"/>
      <c r="O3" s="6"/>
      <c r="P3" s="6"/>
      <c r="Q3" s="6"/>
      <c r="R3" s="6"/>
      <c r="S3" s="7"/>
      <c r="T3" s="7"/>
      <c r="U3" s="7"/>
      <c r="V3" s="7"/>
      <c r="W3" s="8"/>
      <c r="X3" s="8"/>
      <c r="Y3" s="580"/>
      <c r="Z3" s="8"/>
      <c r="AA3" s="581"/>
      <c r="AB3" s="3"/>
      <c r="AC3" s="3"/>
      <c r="AD3" s="3"/>
      <c r="AE3" s="3"/>
      <c r="AF3" s="3"/>
      <c r="AG3" s="3"/>
      <c r="AH3" s="3"/>
      <c r="AI3" s="3"/>
      <c r="AJ3" s="3"/>
      <c r="AK3" s="3"/>
      <c r="AL3" s="3"/>
      <c r="AM3" s="3"/>
      <c r="AN3" s="9"/>
      <c r="AO3" s="9"/>
      <c r="AP3" s="9"/>
      <c r="AQ3" s="9"/>
    </row>
    <row r="4" ht="27.0" customHeight="1" outlineLevel="1">
      <c r="A4" s="17"/>
      <c r="B4" s="18"/>
      <c r="C4" s="19" t="s">
        <v>6</v>
      </c>
      <c r="D4" s="20">
        <f>sum(D5,D7,D9:D10)</f>
        <v>39</v>
      </c>
      <c r="E4" s="20">
        <f>Sum(E5:E11)</f>
        <v>601000000</v>
      </c>
      <c r="J4" s="2"/>
      <c r="K4" s="2"/>
      <c r="L4" s="5"/>
      <c r="M4" s="6"/>
      <c r="N4" s="6"/>
      <c r="O4" s="6"/>
      <c r="P4" s="6"/>
      <c r="Q4" s="6"/>
      <c r="R4" s="6"/>
      <c r="S4" s="7"/>
      <c r="T4" s="7"/>
      <c r="U4" s="7"/>
      <c r="V4" s="7"/>
      <c r="W4" s="672"/>
      <c r="X4" s="672"/>
      <c r="Y4" s="673"/>
      <c r="Z4" s="672"/>
      <c r="AA4" s="674"/>
      <c r="AB4" s="219"/>
      <c r="AC4" s="3"/>
      <c r="AD4" s="3"/>
      <c r="AE4" s="3"/>
      <c r="AF4" s="3"/>
      <c r="AG4" s="3"/>
      <c r="AH4" s="3"/>
      <c r="AI4" s="3"/>
      <c r="AJ4" s="3"/>
      <c r="AK4" s="3"/>
      <c r="AL4" s="3"/>
      <c r="AM4" s="3"/>
      <c r="AN4" s="9"/>
      <c r="AO4" s="9"/>
      <c r="AP4" s="9"/>
      <c r="AQ4" s="9"/>
    </row>
    <row r="5" ht="27.0" customHeight="1" outlineLevel="1">
      <c r="A5" s="675">
        <v>1.0</v>
      </c>
      <c r="B5" s="22" t="str">
        <f>A20</f>
        <v>FOODY REVIEWER</v>
      </c>
      <c r="C5" s="23" t="s">
        <v>7</v>
      </c>
      <c r="D5" s="24">
        <f t="shared" ref="D5:D6" si="1">K20</f>
        <v>8</v>
      </c>
      <c r="E5" s="25">
        <f>Q20</f>
        <v>171000000</v>
      </c>
      <c r="J5" s="2"/>
      <c r="K5" s="2"/>
      <c r="L5" s="5"/>
      <c r="M5" s="6"/>
      <c r="N5" s="6"/>
      <c r="O5" s="6"/>
      <c r="P5" s="6"/>
      <c r="Q5" s="6"/>
      <c r="R5" s="6"/>
      <c r="S5" s="7"/>
      <c r="T5" s="7"/>
      <c r="U5" s="7"/>
      <c r="V5" s="7"/>
      <c r="W5" s="672"/>
      <c r="X5" s="672"/>
      <c r="Y5" s="673"/>
      <c r="Z5" s="672"/>
      <c r="AA5" s="674"/>
      <c r="AB5" s="219"/>
      <c r="AC5" s="3"/>
      <c r="AD5" s="3"/>
      <c r="AE5" s="3"/>
      <c r="AF5" s="3"/>
      <c r="AG5" s="3"/>
      <c r="AH5" s="3"/>
      <c r="AI5" s="3"/>
      <c r="AJ5" s="3"/>
      <c r="AK5" s="3"/>
      <c r="AL5" s="3"/>
      <c r="AM5" s="3"/>
      <c r="AN5" s="9"/>
      <c r="AO5" s="9"/>
      <c r="AP5" s="9"/>
      <c r="AQ5" s="9"/>
    </row>
    <row r="6" ht="27.0" customHeight="1" outlineLevel="1">
      <c r="A6" s="26"/>
      <c r="B6" s="26"/>
      <c r="C6" s="23" t="s">
        <v>8</v>
      </c>
      <c r="D6" s="24">
        <f t="shared" si="1"/>
        <v>5</v>
      </c>
      <c r="E6" s="26"/>
      <c r="J6" s="2"/>
      <c r="K6" s="2"/>
      <c r="L6" s="5"/>
      <c r="M6" s="6"/>
      <c r="N6" s="6"/>
      <c r="O6" s="6"/>
      <c r="P6" s="6"/>
      <c r="Q6" s="6"/>
      <c r="R6" s="6"/>
      <c r="S6" s="7"/>
      <c r="T6" s="7"/>
      <c r="U6" s="7"/>
      <c r="V6" s="7"/>
      <c r="W6" s="672"/>
      <c r="X6" s="672"/>
      <c r="Y6" s="673"/>
      <c r="Z6" s="672"/>
      <c r="AA6" s="674"/>
      <c r="AB6" s="219"/>
      <c r="AC6" s="3"/>
      <c r="AD6" s="3"/>
      <c r="AE6" s="3"/>
      <c r="AF6" s="3"/>
      <c r="AG6" s="3"/>
      <c r="AH6" s="3"/>
      <c r="AI6" s="3"/>
      <c r="AJ6" s="3"/>
      <c r="AK6" s="3"/>
      <c r="AL6" s="3"/>
      <c r="AM6" s="3"/>
      <c r="AN6" s="9"/>
      <c r="AO6" s="9"/>
      <c r="AP6" s="9"/>
      <c r="AQ6" s="9"/>
    </row>
    <row r="7" ht="27.0" customHeight="1" outlineLevel="1">
      <c r="A7" s="676">
        <v>2.0</v>
      </c>
      <c r="B7" s="22" t="str">
        <f>A42</f>
        <v>FOODY UGC</v>
      </c>
      <c r="C7" s="23" t="s">
        <v>7</v>
      </c>
      <c r="D7" s="24">
        <f t="shared" ref="D7:D8" si="2">K42</f>
        <v>21</v>
      </c>
      <c r="E7" s="25">
        <f>Q42</f>
        <v>194000000</v>
      </c>
      <c r="J7" s="2"/>
      <c r="K7" s="2"/>
      <c r="L7" s="5"/>
      <c r="M7" s="6"/>
      <c r="N7" s="6"/>
      <c r="O7" s="6"/>
      <c r="P7" s="6"/>
      <c r="Q7" s="6"/>
      <c r="R7" s="6"/>
      <c r="S7" s="7"/>
      <c r="T7" s="7"/>
      <c r="U7" s="7"/>
      <c r="V7" s="7"/>
      <c r="W7" s="672"/>
      <c r="X7" s="672"/>
      <c r="Y7" s="673"/>
      <c r="Z7" s="672"/>
      <c r="AA7" s="674"/>
      <c r="AB7" s="219"/>
      <c r="AC7" s="3"/>
      <c r="AD7" s="3"/>
      <c r="AE7" s="3"/>
      <c r="AF7" s="3"/>
      <c r="AG7" s="3"/>
      <c r="AH7" s="3"/>
      <c r="AI7" s="3"/>
      <c r="AJ7" s="3"/>
      <c r="AK7" s="3"/>
      <c r="AL7" s="3"/>
      <c r="AM7" s="3"/>
      <c r="AN7" s="9"/>
      <c r="AO7" s="9"/>
      <c r="AP7" s="9"/>
      <c r="AQ7" s="9"/>
    </row>
    <row r="8" ht="27.0" customHeight="1" outlineLevel="1">
      <c r="A8" s="26"/>
      <c r="B8" s="26"/>
      <c r="C8" s="23" t="s">
        <v>8</v>
      </c>
      <c r="D8" s="28">
        <f t="shared" si="2"/>
        <v>21</v>
      </c>
      <c r="E8" s="26"/>
      <c r="J8" s="2"/>
      <c r="K8" s="2"/>
      <c r="L8" s="5"/>
      <c r="M8" s="6"/>
      <c r="N8" s="6"/>
      <c r="O8" s="6"/>
      <c r="P8" s="6"/>
      <c r="Q8" s="6"/>
      <c r="R8" s="6"/>
      <c r="S8" s="7"/>
      <c r="T8" s="7"/>
      <c r="U8" s="7"/>
      <c r="V8" s="7"/>
      <c r="W8" s="672"/>
      <c r="X8" s="672"/>
      <c r="Y8" s="673"/>
      <c r="Z8" s="672"/>
      <c r="AA8" s="674"/>
      <c r="AB8" s="219"/>
      <c r="AC8" s="3"/>
      <c r="AD8" s="3"/>
      <c r="AE8" s="3"/>
      <c r="AF8" s="3"/>
      <c r="AG8" s="3"/>
      <c r="AH8" s="3"/>
      <c r="AI8" s="3"/>
      <c r="AJ8" s="3"/>
      <c r="AK8" s="3"/>
      <c r="AL8" s="3"/>
      <c r="AM8" s="3"/>
      <c r="AN8" s="9"/>
      <c r="AO8" s="9"/>
      <c r="AP8" s="9"/>
      <c r="AQ8" s="9"/>
    </row>
    <row r="9" ht="27.0" customHeight="1" outlineLevel="1">
      <c r="A9" s="676">
        <v>3.0</v>
      </c>
      <c r="B9" s="22" t="str">
        <f>A96</f>
        <v>FOODY COMMUNITY</v>
      </c>
      <c r="C9" s="23" t="s">
        <v>9</v>
      </c>
      <c r="D9" s="28">
        <f>K97</f>
        <v>5</v>
      </c>
      <c r="E9" s="25">
        <f>Q96</f>
        <v>216000000</v>
      </c>
      <c r="J9" s="2"/>
      <c r="K9" s="2"/>
      <c r="L9" s="5"/>
      <c r="M9" s="6"/>
      <c r="N9" s="6"/>
      <c r="O9" s="6"/>
      <c r="P9" s="6"/>
      <c r="Q9" s="6"/>
      <c r="R9" s="6"/>
      <c r="S9" s="7"/>
      <c r="T9" s="7"/>
      <c r="U9" s="7"/>
      <c r="V9" s="7"/>
      <c r="W9" s="672"/>
      <c r="X9" s="672"/>
      <c r="Y9" s="673"/>
      <c r="Z9" s="672"/>
      <c r="AA9" s="674"/>
      <c r="AB9" s="219"/>
      <c r="AC9" s="3"/>
      <c r="AD9" s="3"/>
      <c r="AE9" s="3"/>
      <c r="AF9" s="3"/>
      <c r="AG9" s="3"/>
      <c r="AH9" s="3"/>
      <c r="AI9" s="3"/>
      <c r="AJ9" s="3"/>
      <c r="AK9" s="3"/>
      <c r="AL9" s="3"/>
      <c r="AM9" s="3"/>
      <c r="AN9" s="9"/>
      <c r="AO9" s="9"/>
      <c r="AP9" s="9"/>
      <c r="AQ9" s="9"/>
    </row>
    <row r="10" ht="27.0" customHeight="1" outlineLevel="1">
      <c r="A10" s="26"/>
      <c r="B10" s="26"/>
      <c r="C10" s="29" t="s">
        <v>10</v>
      </c>
      <c r="D10" s="28">
        <f>K96</f>
        <v>5</v>
      </c>
      <c r="E10" s="26"/>
      <c r="J10" s="2"/>
      <c r="K10" s="2"/>
      <c r="L10" s="5"/>
      <c r="M10" s="6"/>
      <c r="N10" s="6"/>
      <c r="O10" s="6"/>
      <c r="P10" s="6"/>
      <c r="Q10" s="6"/>
      <c r="R10" s="6"/>
      <c r="S10" s="7"/>
      <c r="T10" s="7"/>
      <c r="U10" s="7"/>
      <c r="V10" s="7"/>
      <c r="W10" s="672"/>
      <c r="X10" s="672"/>
      <c r="Y10" s="673"/>
      <c r="Z10" s="672"/>
      <c r="AA10" s="674"/>
      <c r="AB10" s="219"/>
      <c r="AC10" s="3"/>
      <c r="AD10" s="3"/>
      <c r="AE10" s="3"/>
      <c r="AF10" s="3"/>
      <c r="AG10" s="3"/>
      <c r="AH10" s="3"/>
      <c r="AI10" s="3"/>
      <c r="AJ10" s="3"/>
      <c r="AK10" s="3"/>
      <c r="AL10" s="3"/>
      <c r="AM10" s="3"/>
      <c r="AN10" s="9"/>
      <c r="AO10" s="9"/>
      <c r="AP10" s="9"/>
      <c r="AQ10" s="9"/>
    </row>
    <row r="11" ht="27.0" customHeight="1" outlineLevel="1">
      <c r="A11" s="677">
        <v>4.0</v>
      </c>
      <c r="B11" s="31" t="str">
        <f>A108</f>
        <v>SEEDING PACKAGE</v>
      </c>
      <c r="C11" s="29" t="s">
        <v>11</v>
      </c>
      <c r="D11" s="28">
        <f>K109</f>
        <v>2000</v>
      </c>
      <c r="E11" s="32">
        <f>Q108</f>
        <v>20000000</v>
      </c>
      <c r="J11" s="2"/>
      <c r="K11" s="2"/>
      <c r="L11" s="5"/>
      <c r="M11" s="6"/>
      <c r="N11" s="6"/>
      <c r="O11" s="6"/>
      <c r="P11" s="6"/>
      <c r="Q11" s="6"/>
      <c r="R11" s="6"/>
      <c r="S11" s="7"/>
      <c r="T11" s="7"/>
      <c r="U11" s="7"/>
      <c r="V11" s="7"/>
      <c r="W11" s="672"/>
      <c r="X11" s="672"/>
      <c r="Y11" s="673"/>
      <c r="Z11" s="672"/>
      <c r="AA11" s="674"/>
      <c r="AB11" s="219"/>
      <c r="AC11" s="3"/>
      <c r="AD11" s="3"/>
      <c r="AE11" s="3"/>
      <c r="AF11" s="3"/>
      <c r="AG11" s="3"/>
      <c r="AH11" s="3"/>
      <c r="AI11" s="3"/>
      <c r="AJ11" s="3"/>
      <c r="AK11" s="3"/>
      <c r="AL11" s="3"/>
      <c r="AM11" s="3"/>
      <c r="AN11" s="9"/>
      <c r="AO11" s="9"/>
      <c r="AP11" s="9"/>
      <c r="AQ11" s="9"/>
    </row>
    <row r="12" ht="27.0" customHeight="1" outlineLevel="1">
      <c r="A12" s="33"/>
      <c r="B12" s="34" t="s">
        <v>12</v>
      </c>
      <c r="C12" s="35"/>
      <c r="D12" s="35"/>
      <c r="E12" s="36">
        <f>E4</f>
        <v>601000000</v>
      </c>
      <c r="K12" s="2"/>
      <c r="L12" s="5"/>
      <c r="M12" s="6"/>
      <c r="N12" s="6"/>
      <c r="O12" s="6"/>
      <c r="P12" s="6"/>
      <c r="Q12" s="6"/>
      <c r="R12" s="681"/>
      <c r="S12" s="7"/>
      <c r="T12" s="7"/>
      <c r="U12" s="7"/>
      <c r="V12" s="7"/>
      <c r="W12" s="672"/>
      <c r="X12" s="672"/>
      <c r="Y12" s="673"/>
      <c r="Z12" s="672"/>
      <c r="AA12" s="682"/>
      <c r="AB12" s="218"/>
      <c r="AC12" s="2"/>
      <c r="AD12" s="2"/>
      <c r="AE12" s="2"/>
      <c r="AF12" s="2"/>
      <c r="AG12" s="2"/>
      <c r="AH12" s="2"/>
      <c r="AI12" s="2"/>
      <c r="AJ12" s="2"/>
      <c r="AK12" s="2"/>
      <c r="AL12" s="2"/>
      <c r="AM12" s="2"/>
      <c r="AN12" s="9"/>
      <c r="AO12" s="9"/>
      <c r="AP12" s="9"/>
      <c r="AQ12" s="9"/>
    </row>
    <row r="13" ht="27.0" customHeight="1" outlineLevel="1">
      <c r="A13" s="38"/>
      <c r="B13" s="34" t="s">
        <v>13</v>
      </c>
      <c r="C13" s="39"/>
      <c r="D13" s="40">
        <v>0.12</v>
      </c>
      <c r="E13" s="41">
        <f>E12*D13</f>
        <v>72120000</v>
      </c>
      <c r="J13" s="42"/>
      <c r="K13" s="42"/>
      <c r="L13" s="43"/>
      <c r="M13" s="43"/>
      <c r="N13" s="43"/>
      <c r="O13" s="43"/>
      <c r="P13" s="43"/>
      <c r="Q13" s="43"/>
      <c r="R13" s="7"/>
      <c r="S13" s="8"/>
      <c r="T13" s="8"/>
      <c r="U13" s="8"/>
      <c r="V13" s="8"/>
      <c r="W13" s="8"/>
      <c r="X13" s="8"/>
      <c r="Y13" s="580"/>
      <c r="Z13" s="683"/>
      <c r="AA13" s="42"/>
      <c r="AB13" s="42"/>
      <c r="AC13" s="42"/>
      <c r="AD13" s="42"/>
      <c r="AE13" s="42"/>
      <c r="AF13" s="42"/>
      <c r="AG13" s="42"/>
      <c r="AH13" s="42"/>
      <c r="AI13" s="42"/>
      <c r="AJ13" s="43"/>
      <c r="AK13" s="43"/>
      <c r="AL13" s="43"/>
      <c r="AM13" s="43"/>
      <c r="AN13" s="9"/>
      <c r="AO13" s="9"/>
      <c r="AP13" s="9"/>
      <c r="AQ13" s="9"/>
    </row>
    <row r="14" ht="27.0" customHeight="1" outlineLevel="1">
      <c r="A14" s="38"/>
      <c r="B14" s="34" t="s">
        <v>14</v>
      </c>
      <c r="C14" s="39"/>
      <c r="D14" s="39"/>
      <c r="E14" s="41">
        <f>sum(E12:E13)</f>
        <v>673120000</v>
      </c>
      <c r="J14" s="42"/>
      <c r="K14" s="42"/>
      <c r="L14" s="43"/>
      <c r="M14" s="43"/>
      <c r="N14" s="43"/>
      <c r="O14" s="43"/>
      <c r="P14" s="43"/>
      <c r="Q14" s="43"/>
      <c r="R14" s="7"/>
      <c r="S14" s="8"/>
      <c r="T14" s="8"/>
      <c r="U14" s="8"/>
      <c r="V14" s="8"/>
      <c r="W14" s="8"/>
      <c r="X14" s="8"/>
      <c r="Y14" s="580"/>
      <c r="Z14" s="683"/>
      <c r="AA14" s="42"/>
      <c r="AB14" s="42"/>
      <c r="AC14" s="42"/>
      <c r="AD14" s="42"/>
      <c r="AE14" s="42"/>
      <c r="AF14" s="42"/>
      <c r="AG14" s="42"/>
      <c r="AH14" s="42"/>
      <c r="AI14" s="42"/>
      <c r="AJ14" s="43"/>
      <c r="AK14" s="43"/>
      <c r="AL14" s="43"/>
      <c r="AM14" s="43"/>
      <c r="AN14" s="9"/>
      <c r="AO14" s="9"/>
      <c r="AP14" s="9"/>
      <c r="AQ14" s="9"/>
    </row>
    <row r="15" ht="27.0" customHeight="1" outlineLevel="1">
      <c r="A15" s="38"/>
      <c r="B15" s="34" t="s">
        <v>15</v>
      </c>
      <c r="C15" s="39"/>
      <c r="D15" s="39"/>
      <c r="E15" s="41">
        <f>E14*1.08</f>
        <v>726969600</v>
      </c>
      <c r="J15" s="42"/>
      <c r="K15" s="42"/>
      <c r="L15" s="43"/>
      <c r="M15" s="43"/>
      <c r="N15" s="43"/>
      <c r="O15" s="43"/>
      <c r="P15" s="43"/>
      <c r="Q15" s="43"/>
      <c r="R15" s="7"/>
      <c r="S15" s="8"/>
      <c r="T15" s="8"/>
      <c r="U15" s="8"/>
      <c r="V15" s="8"/>
      <c r="W15" s="8"/>
      <c r="X15" s="8"/>
      <c r="Y15" s="580"/>
      <c r="Z15" s="683"/>
      <c r="AA15" s="42"/>
      <c r="AB15" s="42"/>
      <c r="AC15" s="42"/>
      <c r="AD15" s="42"/>
      <c r="AE15" s="42"/>
      <c r="AF15" s="42"/>
      <c r="AG15" s="42"/>
      <c r="AH15" s="42"/>
      <c r="AI15" s="42"/>
      <c r="AJ15" s="43"/>
      <c r="AK15" s="43"/>
      <c r="AL15" s="43"/>
      <c r="AM15" s="43"/>
      <c r="AN15" s="9"/>
      <c r="AO15" s="9"/>
      <c r="AP15" s="9"/>
      <c r="AQ15" s="9"/>
    </row>
    <row r="16" outlineLevel="1">
      <c r="A16" s="38"/>
      <c r="B16" s="44"/>
      <c r="C16" s="42"/>
      <c r="D16" s="42"/>
      <c r="E16" s="42"/>
      <c r="J16" s="42"/>
      <c r="K16" s="42"/>
      <c r="L16" s="43"/>
      <c r="M16" s="43"/>
      <c r="N16" s="43"/>
      <c r="O16" s="43"/>
      <c r="P16" s="43"/>
      <c r="Q16" s="43"/>
      <c r="R16" s="7"/>
      <c r="S16" s="8"/>
      <c r="T16" s="8"/>
      <c r="U16" s="8"/>
      <c r="V16" s="8"/>
      <c r="W16" s="8"/>
      <c r="X16" s="8"/>
      <c r="Y16" s="580"/>
      <c r="Z16" s="683"/>
      <c r="AA16" s="42"/>
      <c r="AB16" s="42"/>
      <c r="AC16" s="42"/>
      <c r="AD16" s="42"/>
      <c r="AE16" s="42"/>
      <c r="AF16" s="42"/>
      <c r="AG16" s="42"/>
      <c r="AH16" s="42"/>
      <c r="AI16" s="42"/>
      <c r="AJ16" s="43"/>
      <c r="AK16" s="43"/>
      <c r="AL16" s="43"/>
      <c r="AM16" s="43"/>
      <c r="AN16" s="9"/>
      <c r="AO16" s="9"/>
      <c r="AP16" s="9"/>
      <c r="AQ16" s="9"/>
    </row>
    <row r="17" outlineLevel="1">
      <c r="R17" s="892"/>
      <c r="S17" s="8"/>
      <c r="T17" s="8"/>
      <c r="U17" s="8"/>
      <c r="V17" s="8"/>
      <c r="W17" s="8"/>
      <c r="X17" s="8"/>
      <c r="Y17" s="580"/>
      <c r="Z17" s="685" t="s">
        <v>891</v>
      </c>
      <c r="AA17" s="686"/>
      <c r="AB17" s="687" t="s">
        <v>892</v>
      </c>
      <c r="AC17" s="688"/>
      <c r="AD17" s="688"/>
      <c r="AE17" s="688"/>
      <c r="AF17" s="688"/>
      <c r="AG17" s="688"/>
      <c r="AH17" s="688"/>
      <c r="AI17" s="688"/>
      <c r="AJ17" s="686"/>
      <c r="AK17" s="686"/>
      <c r="AL17" s="686"/>
      <c r="AM17" s="689"/>
      <c r="AN17" s="9"/>
      <c r="AO17" s="9"/>
      <c r="AP17" s="9"/>
      <c r="AQ17" s="9"/>
    </row>
    <row r="18" ht="44.25" customHeight="1" outlineLevel="1">
      <c r="A18" s="43"/>
      <c r="B18" s="43"/>
      <c r="C18" s="43"/>
      <c r="D18" s="43"/>
      <c r="E18" s="43"/>
      <c r="G18" s="43"/>
      <c r="H18" s="43"/>
      <c r="K18" s="43"/>
      <c r="L18" s="43"/>
      <c r="M18" s="43"/>
      <c r="N18" s="43"/>
      <c r="O18" s="43"/>
      <c r="P18" s="43"/>
      <c r="Q18" s="43"/>
      <c r="R18" s="690"/>
      <c r="S18" s="47"/>
      <c r="T18" s="47"/>
      <c r="U18" s="47"/>
      <c r="V18" s="47"/>
      <c r="W18" s="47"/>
      <c r="X18" s="47"/>
      <c r="Y18" s="691"/>
      <c r="Z18" s="692" t="s">
        <v>893</v>
      </c>
      <c r="AA18" s="693" t="s">
        <v>894</v>
      </c>
      <c r="AB18" s="694" t="s">
        <v>38</v>
      </c>
      <c r="AC18" s="688"/>
      <c r="AD18" s="688"/>
      <c r="AE18" s="688"/>
      <c r="AF18" s="695" t="s">
        <v>320</v>
      </c>
      <c r="AG18" s="696"/>
      <c r="AH18" s="696"/>
      <c r="AI18" s="697"/>
      <c r="AJ18" s="698" t="s">
        <v>895</v>
      </c>
      <c r="AK18" s="693" t="s">
        <v>896</v>
      </c>
      <c r="AL18" s="693" t="s">
        <v>897</v>
      </c>
      <c r="AM18" s="693" t="s">
        <v>898</v>
      </c>
      <c r="AN18" s="9"/>
      <c r="AO18" s="9"/>
      <c r="AP18" s="9"/>
      <c r="AQ18" s="9"/>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34</v>
      </c>
      <c r="U19" s="54"/>
      <c r="V19" s="54"/>
      <c r="W19" s="703" t="s">
        <v>899</v>
      </c>
      <c r="X19" s="703" t="s">
        <v>900</v>
      </c>
      <c r="Y19" s="704"/>
      <c r="Z19" s="705"/>
      <c r="AA19" s="706"/>
      <c r="AB19" s="707" t="s">
        <v>901</v>
      </c>
      <c r="AC19" s="707" t="s">
        <v>902</v>
      </c>
      <c r="AD19" s="707" t="s">
        <v>903</v>
      </c>
      <c r="AE19" s="707" t="s">
        <v>904</v>
      </c>
      <c r="AF19" s="708" t="s">
        <v>901</v>
      </c>
      <c r="AG19" s="708" t="s">
        <v>902</v>
      </c>
      <c r="AH19" s="708" t="s">
        <v>903</v>
      </c>
      <c r="AI19" s="708" t="s">
        <v>904</v>
      </c>
      <c r="AJ19" s="707" t="s">
        <v>905</v>
      </c>
      <c r="AK19" s="706"/>
      <c r="AL19" s="706"/>
      <c r="AM19" s="706"/>
      <c r="AN19" s="9"/>
      <c r="AO19" s="9"/>
      <c r="AP19" s="9"/>
      <c r="AQ19" s="9"/>
    </row>
    <row r="20" ht="30.0" customHeight="1">
      <c r="A20" s="55" t="s">
        <v>35</v>
      </c>
      <c r="B20" s="56"/>
      <c r="C20" s="57"/>
      <c r="D20" s="58"/>
      <c r="E20" s="59"/>
      <c r="F20" s="60"/>
      <c r="G20" s="61"/>
      <c r="H20" s="61"/>
      <c r="I20" s="62"/>
      <c r="J20" s="63" t="s">
        <v>7</v>
      </c>
      <c r="K20" s="64">
        <f>SUMIFS(K22:K41,J22:J41,"Video Post")</f>
        <v>8</v>
      </c>
      <c r="L20" s="65"/>
      <c r="M20" s="66">
        <f t="shared" ref="M20:N20" si="3">sum(M22:M41)</f>
        <v>690000</v>
      </c>
      <c r="N20" s="66">
        <f t="shared" si="3"/>
        <v>24200</v>
      </c>
      <c r="O20" s="65"/>
      <c r="P20" s="65"/>
      <c r="Q20" s="66">
        <f>sum(Q22:Q41)</f>
        <v>171000000</v>
      </c>
      <c r="R20" s="67"/>
      <c r="S20" s="68"/>
      <c r="T20" s="68"/>
      <c r="U20" s="69"/>
      <c r="V20" s="69"/>
      <c r="W20" s="717"/>
      <c r="X20" s="717"/>
      <c r="Y20" s="718"/>
      <c r="Z20" s="719"/>
      <c r="AA20" s="720"/>
      <c r="AB20" s="721"/>
      <c r="AC20" s="721"/>
      <c r="AD20" s="721"/>
      <c r="AE20" s="722"/>
      <c r="AF20" s="723"/>
      <c r="AG20" s="721"/>
      <c r="AH20" s="721"/>
      <c r="AI20" s="721"/>
      <c r="AJ20" s="724"/>
      <c r="AK20" s="724"/>
      <c r="AL20" s="724"/>
      <c r="AM20" s="725"/>
      <c r="AN20" s="9"/>
      <c r="AO20" s="9"/>
      <c r="AP20" s="9"/>
      <c r="AQ20" s="9"/>
    </row>
    <row r="21" ht="30.0" customHeight="1">
      <c r="A21" s="70"/>
      <c r="B21" s="71"/>
      <c r="C21" s="57"/>
      <c r="D21" s="58"/>
      <c r="E21" s="59"/>
      <c r="F21" s="60"/>
      <c r="G21" s="61"/>
      <c r="H21" s="61"/>
      <c r="I21" s="62"/>
      <c r="J21" s="63" t="s">
        <v>8</v>
      </c>
      <c r="K21" s="64">
        <f>SUMIFS(K22:K41,J22:J41,"Tháng")</f>
        <v>5</v>
      </c>
      <c r="L21" s="65"/>
      <c r="M21" s="72"/>
      <c r="N21" s="72"/>
      <c r="O21" s="65"/>
      <c r="P21" s="65"/>
      <c r="Q21" s="72"/>
      <c r="R21" s="67"/>
      <c r="S21" s="72"/>
      <c r="T21" s="72"/>
      <c r="U21" s="69"/>
      <c r="V21" s="69"/>
      <c r="W21" s="717"/>
      <c r="X21" s="717"/>
      <c r="Y21" s="728"/>
      <c r="Z21" s="719"/>
      <c r="AA21" s="720"/>
      <c r="AB21" s="721"/>
      <c r="AC21" s="721"/>
      <c r="AD21" s="721"/>
      <c r="AE21" s="722"/>
      <c r="AF21" s="723"/>
      <c r="AG21" s="721"/>
      <c r="AH21" s="721"/>
      <c r="AI21" s="721"/>
      <c r="AJ21" s="724"/>
      <c r="AK21" s="724"/>
      <c r="AL21" s="724"/>
      <c r="AM21" s="725"/>
      <c r="AN21" s="9"/>
      <c r="AO21" s="9"/>
      <c r="AP21" s="9"/>
      <c r="AQ21" s="9"/>
    </row>
    <row r="22" ht="114.75" customHeight="1" outlineLevel="1">
      <c r="A22" s="73" t="s">
        <v>36</v>
      </c>
      <c r="B22" s="74" t="s">
        <v>37</v>
      </c>
      <c r="C22" s="75" t="s">
        <v>38</v>
      </c>
      <c r="D22" s="76" t="s">
        <v>39</v>
      </c>
      <c r="E22" s="77" t="s">
        <v>40</v>
      </c>
      <c r="F22" s="78" t="s">
        <v>21</v>
      </c>
      <c r="G22" s="79" t="s">
        <v>41</v>
      </c>
      <c r="H22" s="80" t="s">
        <v>1426</v>
      </c>
      <c r="I22" s="81" t="b">
        <v>1</v>
      </c>
      <c r="J22" s="82" t="s">
        <v>7</v>
      </c>
      <c r="K22" s="83">
        <f t="shared" ref="K22:K41" si="4">if(I22=True,1,if(I22=False,0))</f>
        <v>1</v>
      </c>
      <c r="L22" s="84">
        <f t="shared" ref="L22:L24" si="5">round(Z22*(1+AA22),-6)</f>
        <v>16000000</v>
      </c>
      <c r="M22" s="84">
        <f t="shared" ref="M22:M32" si="6">(sum(AB22:AC22)+sum(AF22:AG22))*K22</f>
        <v>50000</v>
      </c>
      <c r="N22" s="84">
        <f t="shared" ref="N22:N32" si="7">(sum(AD22:AE22)+sum(AH22:AI22))*K22</f>
        <v>3000</v>
      </c>
      <c r="O22" s="84">
        <f t="shared" ref="O22:O32" si="8">IFERROR(Q22/M22,"-")</f>
        <v>320</v>
      </c>
      <c r="P22" s="84">
        <f t="shared" ref="P22:P32" si="9">IFERROR(Q22/N22,"-")</f>
        <v>5333.333333</v>
      </c>
      <c r="Q22" s="84">
        <f t="shared" ref="Q22:Q41" si="10">iferror(L22*K22,"-")</f>
        <v>16000000</v>
      </c>
      <c r="R22" s="75" t="s">
        <v>1427</v>
      </c>
      <c r="S22" s="85" t="s">
        <v>44</v>
      </c>
      <c r="T22" s="86" t="s">
        <v>45</v>
      </c>
      <c r="U22" s="87"/>
      <c r="V22" s="87"/>
      <c r="W22" s="740"/>
      <c r="X22" s="740"/>
      <c r="Y22" s="741" t="s">
        <v>1428</v>
      </c>
      <c r="Z22" s="742">
        <f>2000000/0.9</f>
        <v>2222222.222</v>
      </c>
      <c r="AA22" s="743">
        <v>6.0</v>
      </c>
      <c r="AB22" s="744">
        <v>20000.0</v>
      </c>
      <c r="AC22" s="744">
        <v>30000.0</v>
      </c>
      <c r="AD22" s="744">
        <v>1000.0</v>
      </c>
      <c r="AE22" s="745">
        <v>2000.0</v>
      </c>
      <c r="AF22" s="746"/>
      <c r="AG22" s="744"/>
      <c r="AH22" s="744"/>
      <c r="AI22" s="744"/>
      <c r="AJ22" s="747">
        <f t="shared" ref="AJ22:AJ41" si="11">(AC22*2+AE22*50+AG22*10+AI22*50)*K22</f>
        <v>160000</v>
      </c>
      <c r="AK22" s="747">
        <f t="shared" ref="AK22:AK41" si="12">sum(Z22,AJ22)*K22</f>
        <v>2382222.222</v>
      </c>
      <c r="AL22" s="747">
        <f t="shared" ref="AL22:AL41" si="13">iferror(Q22-AK22,"-")</f>
        <v>13617777.78</v>
      </c>
      <c r="AM22" s="748">
        <f t="shared" ref="AM22:AM41" si="14">iferror(AL22/Q22,"-")</f>
        <v>0.8511111111</v>
      </c>
      <c r="AN22" s="9"/>
      <c r="AO22" s="9"/>
      <c r="AP22" s="9"/>
      <c r="AQ22" s="9"/>
    </row>
    <row r="23" ht="114.75" customHeight="1" outlineLevel="1">
      <c r="A23" s="72"/>
      <c r="B23" s="72"/>
      <c r="C23" s="72"/>
      <c r="D23" s="72"/>
      <c r="E23" s="72"/>
      <c r="F23" s="72"/>
      <c r="G23" s="72"/>
      <c r="H23" s="88" t="s">
        <v>1429</v>
      </c>
      <c r="I23" s="81" t="b">
        <v>1</v>
      </c>
      <c r="J23" s="82" t="s">
        <v>47</v>
      </c>
      <c r="K23" s="83">
        <f t="shared" si="4"/>
        <v>1</v>
      </c>
      <c r="L23" s="84">
        <f t="shared" si="5"/>
        <v>8000000</v>
      </c>
      <c r="M23" s="84">
        <f t="shared" si="6"/>
        <v>0</v>
      </c>
      <c r="N23" s="84">
        <f t="shared" si="7"/>
        <v>0</v>
      </c>
      <c r="O23" s="84" t="str">
        <f t="shared" si="8"/>
        <v>-</v>
      </c>
      <c r="P23" s="84" t="str">
        <f t="shared" si="9"/>
        <v>-</v>
      </c>
      <c r="Q23" s="84">
        <f t="shared" si="10"/>
        <v>8000000</v>
      </c>
      <c r="R23" s="72"/>
      <c r="S23" s="72"/>
      <c r="T23" s="72"/>
      <c r="U23" s="87"/>
      <c r="V23" s="87"/>
      <c r="W23" s="26"/>
      <c r="X23" s="26"/>
      <c r="Y23" s="751" t="s">
        <v>910</v>
      </c>
      <c r="Z23" s="742">
        <f>1500000/0.9</f>
        <v>1666666.667</v>
      </c>
      <c r="AA23" s="743">
        <v>4.0</v>
      </c>
      <c r="AB23" s="744"/>
      <c r="AC23" s="744"/>
      <c r="AD23" s="744"/>
      <c r="AE23" s="745"/>
      <c r="AF23" s="746"/>
      <c r="AG23" s="744"/>
      <c r="AH23" s="744"/>
      <c r="AI23" s="744"/>
      <c r="AJ23" s="747">
        <f t="shared" si="11"/>
        <v>0</v>
      </c>
      <c r="AK23" s="747">
        <f t="shared" si="12"/>
        <v>1666666.667</v>
      </c>
      <c r="AL23" s="747">
        <f t="shared" si="13"/>
        <v>6333333.333</v>
      </c>
      <c r="AM23" s="748">
        <f t="shared" si="14"/>
        <v>0.7916666667</v>
      </c>
      <c r="AN23" s="9"/>
      <c r="AO23" s="9"/>
      <c r="AP23" s="9"/>
      <c r="AQ23" s="9"/>
    </row>
    <row r="24" ht="114.75" customHeight="1" outlineLevel="1">
      <c r="A24" s="73" t="s">
        <v>36</v>
      </c>
      <c r="B24" s="89" t="s">
        <v>48</v>
      </c>
      <c r="C24" s="75" t="s">
        <v>38</v>
      </c>
      <c r="D24" s="76" t="s">
        <v>49</v>
      </c>
      <c r="E24" s="77" t="s">
        <v>40</v>
      </c>
      <c r="F24" s="78" t="s">
        <v>21</v>
      </c>
      <c r="G24" s="79" t="s">
        <v>50</v>
      </c>
      <c r="H24" s="80" t="s">
        <v>1430</v>
      </c>
      <c r="I24" s="81" t="b">
        <v>1</v>
      </c>
      <c r="J24" s="82" t="s">
        <v>7</v>
      </c>
      <c r="K24" s="83">
        <f t="shared" si="4"/>
        <v>1</v>
      </c>
      <c r="L24" s="84">
        <f t="shared" si="5"/>
        <v>12000000</v>
      </c>
      <c r="M24" s="84">
        <f t="shared" si="6"/>
        <v>100000</v>
      </c>
      <c r="N24" s="84">
        <f t="shared" si="7"/>
        <v>3000</v>
      </c>
      <c r="O24" s="84">
        <f t="shared" si="8"/>
        <v>120</v>
      </c>
      <c r="P24" s="84">
        <f t="shared" si="9"/>
        <v>4000</v>
      </c>
      <c r="Q24" s="84">
        <f t="shared" si="10"/>
        <v>12000000</v>
      </c>
      <c r="R24" s="75" t="s">
        <v>1431</v>
      </c>
      <c r="S24" s="85" t="s">
        <v>53</v>
      </c>
      <c r="T24" s="86" t="s">
        <v>45</v>
      </c>
      <c r="U24" s="87"/>
      <c r="V24" s="87"/>
      <c r="W24" s="740"/>
      <c r="X24" s="740"/>
      <c r="Y24" s="751" t="s">
        <v>913</v>
      </c>
      <c r="Z24" s="742">
        <f>5500000/0.9</f>
        <v>6111111.111</v>
      </c>
      <c r="AA24" s="743">
        <v>1.0</v>
      </c>
      <c r="AB24" s="744">
        <v>50000.0</v>
      </c>
      <c r="AC24" s="744">
        <v>50000.0</v>
      </c>
      <c r="AD24" s="744">
        <v>1000.0</v>
      </c>
      <c r="AE24" s="745">
        <v>2000.0</v>
      </c>
      <c r="AF24" s="746"/>
      <c r="AG24" s="744"/>
      <c r="AH24" s="744"/>
      <c r="AI24" s="744"/>
      <c r="AJ24" s="747">
        <f t="shared" si="11"/>
        <v>200000</v>
      </c>
      <c r="AK24" s="747">
        <f t="shared" si="12"/>
        <v>6311111.111</v>
      </c>
      <c r="AL24" s="747">
        <f t="shared" si="13"/>
        <v>5688888.889</v>
      </c>
      <c r="AM24" s="748">
        <f t="shared" si="14"/>
        <v>0.4740740741</v>
      </c>
      <c r="AN24" s="9"/>
      <c r="AO24" s="9"/>
      <c r="AP24" s="9"/>
      <c r="AQ24" s="9"/>
    </row>
    <row r="25" ht="114.75" customHeight="1" outlineLevel="1">
      <c r="A25" s="72"/>
      <c r="B25" s="72"/>
      <c r="C25" s="72"/>
      <c r="D25" s="72"/>
      <c r="E25" s="72"/>
      <c r="F25" s="72"/>
      <c r="G25" s="72"/>
      <c r="H25" s="88" t="s">
        <v>1432</v>
      </c>
      <c r="I25" s="81" t="b">
        <v>1</v>
      </c>
      <c r="J25" s="82" t="s">
        <v>47</v>
      </c>
      <c r="K25" s="83">
        <f t="shared" si="4"/>
        <v>1</v>
      </c>
      <c r="L25" s="90">
        <v>6000000.0</v>
      </c>
      <c r="M25" s="84">
        <f t="shared" si="6"/>
        <v>0</v>
      </c>
      <c r="N25" s="84">
        <f t="shared" si="7"/>
        <v>0</v>
      </c>
      <c r="O25" s="84" t="str">
        <f t="shared" si="8"/>
        <v>-</v>
      </c>
      <c r="P25" s="84" t="str">
        <f t="shared" si="9"/>
        <v>-</v>
      </c>
      <c r="Q25" s="84">
        <f t="shared" si="10"/>
        <v>6000000</v>
      </c>
      <c r="R25" s="72"/>
      <c r="S25" s="72"/>
      <c r="T25" s="72"/>
      <c r="U25" s="9"/>
      <c r="V25" s="9"/>
      <c r="W25" s="26"/>
      <c r="X25" s="26"/>
      <c r="Y25" s="751" t="s">
        <v>915</v>
      </c>
      <c r="Z25" s="742">
        <v>0.0</v>
      </c>
      <c r="AA25" s="743"/>
      <c r="AB25" s="744"/>
      <c r="AC25" s="744"/>
      <c r="AD25" s="744"/>
      <c r="AE25" s="745"/>
      <c r="AF25" s="746"/>
      <c r="AG25" s="744"/>
      <c r="AH25" s="744"/>
      <c r="AI25" s="744"/>
      <c r="AJ25" s="747">
        <f t="shared" si="11"/>
        <v>0</v>
      </c>
      <c r="AK25" s="747">
        <f t="shared" si="12"/>
        <v>0</v>
      </c>
      <c r="AL25" s="747">
        <f t="shared" si="13"/>
        <v>6000000</v>
      </c>
      <c r="AM25" s="748">
        <f t="shared" si="14"/>
        <v>1</v>
      </c>
      <c r="AN25" s="9"/>
      <c r="AO25" s="9"/>
      <c r="AP25" s="9"/>
      <c r="AQ25" s="9"/>
    </row>
    <row r="26" ht="114.75" customHeight="1" outlineLevel="1">
      <c r="A26" s="73" t="s">
        <v>36</v>
      </c>
      <c r="B26" s="89" t="s">
        <v>55</v>
      </c>
      <c r="C26" s="75" t="s">
        <v>38</v>
      </c>
      <c r="D26" s="76" t="s">
        <v>56</v>
      </c>
      <c r="E26" s="77" t="s">
        <v>40</v>
      </c>
      <c r="F26" s="78" t="s">
        <v>21</v>
      </c>
      <c r="G26" s="79" t="s">
        <v>50</v>
      </c>
      <c r="H26" s="80" t="s">
        <v>1433</v>
      </c>
      <c r="I26" s="81" t="b">
        <v>1</v>
      </c>
      <c r="J26" s="82" t="s">
        <v>7</v>
      </c>
      <c r="K26" s="83">
        <f t="shared" si="4"/>
        <v>1</v>
      </c>
      <c r="L26" s="84">
        <f t="shared" ref="L26:L28" si="15">round(Z26*(1+AA26),-6)</f>
        <v>20000000</v>
      </c>
      <c r="M26" s="84">
        <f t="shared" si="6"/>
        <v>130000</v>
      </c>
      <c r="N26" s="84">
        <f t="shared" si="7"/>
        <v>4000</v>
      </c>
      <c r="O26" s="84">
        <f t="shared" si="8"/>
        <v>153.8461538</v>
      </c>
      <c r="P26" s="84">
        <f t="shared" si="9"/>
        <v>5000</v>
      </c>
      <c r="Q26" s="84">
        <f t="shared" si="10"/>
        <v>20000000</v>
      </c>
      <c r="R26" s="75" t="s">
        <v>1434</v>
      </c>
      <c r="S26" s="85" t="s">
        <v>59</v>
      </c>
      <c r="T26" s="86" t="s">
        <v>45</v>
      </c>
      <c r="U26" s="87"/>
      <c r="V26" s="87"/>
      <c r="W26" s="740"/>
      <c r="X26" s="740"/>
      <c r="Y26" s="741" t="s">
        <v>918</v>
      </c>
      <c r="Z26" s="742">
        <f>12000000/0.9</f>
        <v>13333333.33</v>
      </c>
      <c r="AA26" s="743">
        <v>0.5</v>
      </c>
      <c r="AB26" s="744">
        <v>80000.0</v>
      </c>
      <c r="AC26" s="744">
        <v>50000.0</v>
      </c>
      <c r="AD26" s="744">
        <v>2000.0</v>
      </c>
      <c r="AE26" s="745">
        <v>2000.0</v>
      </c>
      <c r="AF26" s="746"/>
      <c r="AG26" s="744"/>
      <c r="AH26" s="744"/>
      <c r="AI26" s="744"/>
      <c r="AJ26" s="747">
        <f t="shared" si="11"/>
        <v>200000</v>
      </c>
      <c r="AK26" s="747">
        <f t="shared" si="12"/>
        <v>13533333.33</v>
      </c>
      <c r="AL26" s="747">
        <f t="shared" si="13"/>
        <v>6466666.667</v>
      </c>
      <c r="AM26" s="748">
        <f t="shared" si="14"/>
        <v>0.3233333333</v>
      </c>
      <c r="AN26" s="9"/>
      <c r="AO26" s="9"/>
      <c r="AP26" s="9"/>
      <c r="AQ26" s="9"/>
    </row>
    <row r="27" ht="114.75" customHeight="1" outlineLevel="1">
      <c r="A27" s="72"/>
      <c r="B27" s="72"/>
      <c r="C27" s="72"/>
      <c r="D27" s="72"/>
      <c r="E27" s="72"/>
      <c r="F27" s="72"/>
      <c r="G27" s="72"/>
      <c r="H27" s="88" t="s">
        <v>1435</v>
      </c>
      <c r="I27" s="81" t="b">
        <v>1</v>
      </c>
      <c r="J27" s="82" t="s">
        <v>47</v>
      </c>
      <c r="K27" s="83">
        <f t="shared" si="4"/>
        <v>1</v>
      </c>
      <c r="L27" s="84">
        <f t="shared" si="15"/>
        <v>13000000</v>
      </c>
      <c r="M27" s="84">
        <f t="shared" si="6"/>
        <v>0</v>
      </c>
      <c r="N27" s="84">
        <f t="shared" si="7"/>
        <v>0</v>
      </c>
      <c r="O27" s="84" t="str">
        <f t="shared" si="8"/>
        <v>-</v>
      </c>
      <c r="P27" s="84" t="str">
        <f t="shared" si="9"/>
        <v>-</v>
      </c>
      <c r="Q27" s="84">
        <f t="shared" si="10"/>
        <v>13000000</v>
      </c>
      <c r="R27" s="72"/>
      <c r="S27" s="72"/>
      <c r="T27" s="72"/>
      <c r="U27" s="9"/>
      <c r="V27" s="9"/>
      <c r="W27" s="26"/>
      <c r="X27" s="26"/>
      <c r="Y27" s="751" t="s">
        <v>910</v>
      </c>
      <c r="Z27" s="742">
        <f>8000000/0.9</f>
        <v>8888888.889</v>
      </c>
      <c r="AA27" s="743">
        <v>0.5</v>
      </c>
      <c r="AB27" s="744"/>
      <c r="AC27" s="744"/>
      <c r="AD27" s="744"/>
      <c r="AE27" s="745"/>
      <c r="AF27" s="746"/>
      <c r="AG27" s="744"/>
      <c r="AH27" s="744"/>
      <c r="AI27" s="744"/>
      <c r="AJ27" s="747">
        <f t="shared" si="11"/>
        <v>0</v>
      </c>
      <c r="AK27" s="747">
        <f t="shared" si="12"/>
        <v>8888888.889</v>
      </c>
      <c r="AL27" s="747">
        <f t="shared" si="13"/>
        <v>4111111.111</v>
      </c>
      <c r="AM27" s="748">
        <f t="shared" si="14"/>
        <v>0.3162393162</v>
      </c>
      <c r="AN27" s="9"/>
      <c r="AO27" s="9"/>
      <c r="AP27" s="9"/>
      <c r="AQ27" s="9"/>
    </row>
    <row r="28" ht="114.75" customHeight="1" outlineLevel="1">
      <c r="A28" s="73" t="s">
        <v>36</v>
      </c>
      <c r="B28" s="89" t="s">
        <v>61</v>
      </c>
      <c r="C28" s="75" t="s">
        <v>38</v>
      </c>
      <c r="D28" s="76" t="s">
        <v>62</v>
      </c>
      <c r="E28" s="77" t="s">
        <v>40</v>
      </c>
      <c r="F28" s="78" t="s">
        <v>21</v>
      </c>
      <c r="G28" s="79" t="s">
        <v>50</v>
      </c>
      <c r="H28" s="80" t="s">
        <v>1436</v>
      </c>
      <c r="I28" s="81" t="b">
        <v>1</v>
      </c>
      <c r="J28" s="82" t="s">
        <v>7</v>
      </c>
      <c r="K28" s="83">
        <f t="shared" si="4"/>
        <v>1</v>
      </c>
      <c r="L28" s="84">
        <f t="shared" si="15"/>
        <v>8000000</v>
      </c>
      <c r="M28" s="84">
        <f t="shared" si="6"/>
        <v>30000</v>
      </c>
      <c r="N28" s="84">
        <f t="shared" si="7"/>
        <v>1200</v>
      </c>
      <c r="O28" s="84">
        <f t="shared" si="8"/>
        <v>266.6666667</v>
      </c>
      <c r="P28" s="84">
        <f t="shared" si="9"/>
        <v>6666.666667</v>
      </c>
      <c r="Q28" s="84">
        <f t="shared" si="10"/>
        <v>8000000</v>
      </c>
      <c r="R28" s="75" t="s">
        <v>1437</v>
      </c>
      <c r="S28" s="85" t="s">
        <v>65</v>
      </c>
      <c r="T28" s="86" t="s">
        <v>45</v>
      </c>
      <c r="U28" s="87"/>
      <c r="V28" s="87"/>
      <c r="W28" s="740"/>
      <c r="X28" s="740"/>
      <c r="Y28" s="751" t="s">
        <v>913</v>
      </c>
      <c r="Z28" s="742">
        <f>3800000/0.9</f>
        <v>4222222.222</v>
      </c>
      <c r="AA28" s="743">
        <v>1.0</v>
      </c>
      <c r="AB28" s="744">
        <v>5000.0</v>
      </c>
      <c r="AC28" s="744">
        <v>25000.0</v>
      </c>
      <c r="AD28" s="744">
        <v>200.0</v>
      </c>
      <c r="AE28" s="745">
        <v>1000.0</v>
      </c>
      <c r="AF28" s="746"/>
      <c r="AG28" s="744"/>
      <c r="AH28" s="744"/>
      <c r="AI28" s="744"/>
      <c r="AJ28" s="747">
        <f t="shared" si="11"/>
        <v>100000</v>
      </c>
      <c r="AK28" s="747">
        <f t="shared" si="12"/>
        <v>4322222.222</v>
      </c>
      <c r="AL28" s="747">
        <f t="shared" si="13"/>
        <v>3677777.778</v>
      </c>
      <c r="AM28" s="748">
        <f t="shared" si="14"/>
        <v>0.4597222222</v>
      </c>
      <c r="AN28" s="9"/>
      <c r="AO28" s="9"/>
      <c r="AP28" s="9"/>
      <c r="AQ28" s="9"/>
    </row>
    <row r="29" ht="114.75" customHeight="1" outlineLevel="1">
      <c r="A29" s="72"/>
      <c r="B29" s="72"/>
      <c r="C29" s="72"/>
      <c r="D29" s="72"/>
      <c r="E29" s="72"/>
      <c r="F29" s="72"/>
      <c r="G29" s="72"/>
      <c r="H29" s="88" t="s">
        <v>1438</v>
      </c>
      <c r="I29" s="81" t="b">
        <v>1</v>
      </c>
      <c r="J29" s="82" t="s">
        <v>47</v>
      </c>
      <c r="K29" s="83">
        <f t="shared" si="4"/>
        <v>1</v>
      </c>
      <c r="L29" s="90">
        <v>4000000.0</v>
      </c>
      <c r="M29" s="84">
        <f t="shared" si="6"/>
        <v>0</v>
      </c>
      <c r="N29" s="84">
        <f t="shared" si="7"/>
        <v>0</v>
      </c>
      <c r="O29" s="84" t="str">
        <f t="shared" si="8"/>
        <v>-</v>
      </c>
      <c r="P29" s="84" t="str">
        <f t="shared" si="9"/>
        <v>-</v>
      </c>
      <c r="Q29" s="84">
        <f t="shared" si="10"/>
        <v>4000000</v>
      </c>
      <c r="R29" s="72"/>
      <c r="S29" s="72"/>
      <c r="T29" s="72"/>
      <c r="U29" s="9"/>
      <c r="V29" s="9"/>
      <c r="W29" s="26"/>
      <c r="X29" s="26"/>
      <c r="Y29" s="751" t="s">
        <v>923</v>
      </c>
      <c r="Z29" s="742">
        <v>0.0</v>
      </c>
      <c r="AA29" s="743"/>
      <c r="AB29" s="744"/>
      <c r="AC29" s="744"/>
      <c r="AD29" s="744"/>
      <c r="AE29" s="745"/>
      <c r="AF29" s="746"/>
      <c r="AG29" s="744"/>
      <c r="AH29" s="744"/>
      <c r="AI29" s="744"/>
      <c r="AJ29" s="747">
        <f t="shared" si="11"/>
        <v>0</v>
      </c>
      <c r="AK29" s="747">
        <f t="shared" si="12"/>
        <v>0</v>
      </c>
      <c r="AL29" s="747">
        <f t="shared" si="13"/>
        <v>4000000</v>
      </c>
      <c r="AM29" s="748">
        <f t="shared" si="14"/>
        <v>1</v>
      </c>
      <c r="AN29" s="9"/>
      <c r="AO29" s="9"/>
      <c r="AP29" s="9"/>
      <c r="AQ29" s="9"/>
    </row>
    <row r="30" ht="114.75" customHeight="1" outlineLevel="1">
      <c r="A30" s="73" t="s">
        <v>36</v>
      </c>
      <c r="B30" s="89" t="s">
        <v>67</v>
      </c>
      <c r="C30" s="75" t="s">
        <v>38</v>
      </c>
      <c r="D30" s="76" t="s">
        <v>68</v>
      </c>
      <c r="E30" s="77" t="s">
        <v>40</v>
      </c>
      <c r="F30" s="78" t="s">
        <v>21</v>
      </c>
      <c r="G30" s="79" t="s">
        <v>50</v>
      </c>
      <c r="H30" s="80" t="s">
        <v>1439</v>
      </c>
      <c r="I30" s="81" t="b">
        <v>1</v>
      </c>
      <c r="J30" s="82" t="s">
        <v>7</v>
      </c>
      <c r="K30" s="83">
        <f t="shared" si="4"/>
        <v>1</v>
      </c>
      <c r="L30" s="84">
        <f>round(Z30*(1+AA30),-6)</f>
        <v>10000000</v>
      </c>
      <c r="M30" s="84">
        <f t="shared" si="6"/>
        <v>50000</v>
      </c>
      <c r="N30" s="84">
        <f t="shared" si="7"/>
        <v>3000</v>
      </c>
      <c r="O30" s="84">
        <f t="shared" si="8"/>
        <v>200</v>
      </c>
      <c r="P30" s="84">
        <f t="shared" si="9"/>
        <v>3333.333333</v>
      </c>
      <c r="Q30" s="84">
        <f t="shared" si="10"/>
        <v>10000000</v>
      </c>
      <c r="R30" s="75" t="s">
        <v>1440</v>
      </c>
      <c r="S30" s="85" t="s">
        <v>71</v>
      </c>
      <c r="T30" s="86" t="s">
        <v>45</v>
      </c>
      <c r="U30" s="87"/>
      <c r="V30" s="87"/>
      <c r="W30" s="740"/>
      <c r="X30" s="740"/>
      <c r="Y30" s="751" t="s">
        <v>913</v>
      </c>
      <c r="Z30" s="742">
        <f>5000000/0.9</f>
        <v>5555555.556</v>
      </c>
      <c r="AA30" s="743">
        <v>0.8</v>
      </c>
      <c r="AB30" s="744">
        <v>15000.0</v>
      </c>
      <c r="AC30" s="744">
        <v>35000.0</v>
      </c>
      <c r="AD30" s="744">
        <v>1000.0</v>
      </c>
      <c r="AE30" s="745">
        <v>2000.0</v>
      </c>
      <c r="AF30" s="746"/>
      <c r="AG30" s="744"/>
      <c r="AH30" s="744"/>
      <c r="AI30" s="744"/>
      <c r="AJ30" s="747">
        <f t="shared" si="11"/>
        <v>170000</v>
      </c>
      <c r="AK30" s="747">
        <f t="shared" si="12"/>
        <v>5725555.556</v>
      </c>
      <c r="AL30" s="747">
        <f t="shared" si="13"/>
        <v>4274444.444</v>
      </c>
      <c r="AM30" s="748">
        <f t="shared" si="14"/>
        <v>0.4274444444</v>
      </c>
      <c r="AN30" s="9"/>
      <c r="AO30" s="9"/>
      <c r="AP30" s="9"/>
      <c r="AQ30" s="9"/>
    </row>
    <row r="31" ht="114.75" customHeight="1" outlineLevel="1">
      <c r="A31" s="72"/>
      <c r="B31" s="72"/>
      <c r="C31" s="72"/>
      <c r="D31" s="72"/>
      <c r="E31" s="72"/>
      <c r="F31" s="72"/>
      <c r="G31" s="72"/>
      <c r="H31" s="88" t="s">
        <v>1441</v>
      </c>
      <c r="I31" s="81" t="b">
        <v>1</v>
      </c>
      <c r="J31" s="82" t="s">
        <v>47</v>
      </c>
      <c r="K31" s="83">
        <f t="shared" si="4"/>
        <v>1</v>
      </c>
      <c r="L31" s="90">
        <v>5000000.0</v>
      </c>
      <c r="M31" s="84">
        <f t="shared" si="6"/>
        <v>0</v>
      </c>
      <c r="N31" s="84">
        <f t="shared" si="7"/>
        <v>0</v>
      </c>
      <c r="O31" s="84" t="str">
        <f t="shared" si="8"/>
        <v>-</v>
      </c>
      <c r="P31" s="84" t="str">
        <f t="shared" si="9"/>
        <v>-</v>
      </c>
      <c r="Q31" s="84">
        <f t="shared" si="10"/>
        <v>5000000</v>
      </c>
      <c r="R31" s="72"/>
      <c r="S31" s="72"/>
      <c r="T31" s="72"/>
      <c r="U31" s="9"/>
      <c r="V31" s="9"/>
      <c r="W31" s="26"/>
      <c r="X31" s="26"/>
      <c r="Y31" s="751" t="s">
        <v>927</v>
      </c>
      <c r="Z31" s="742">
        <v>0.0</v>
      </c>
      <c r="AA31" s="743"/>
      <c r="AB31" s="744"/>
      <c r="AC31" s="744"/>
      <c r="AD31" s="744"/>
      <c r="AE31" s="745"/>
      <c r="AF31" s="746"/>
      <c r="AG31" s="744"/>
      <c r="AH31" s="744"/>
      <c r="AI31" s="744"/>
      <c r="AJ31" s="747">
        <f t="shared" si="11"/>
        <v>0</v>
      </c>
      <c r="AK31" s="747">
        <f t="shared" si="12"/>
        <v>0</v>
      </c>
      <c r="AL31" s="747">
        <f t="shared" si="13"/>
        <v>5000000</v>
      </c>
      <c r="AM31" s="748">
        <f t="shared" si="14"/>
        <v>1</v>
      </c>
      <c r="AN31" s="9"/>
      <c r="AO31" s="9"/>
      <c r="AP31" s="9"/>
      <c r="AQ31" s="9"/>
    </row>
    <row r="32" ht="114.75" customHeight="1" outlineLevel="1">
      <c r="A32" s="73" t="s">
        <v>73</v>
      </c>
      <c r="B32" s="91" t="s">
        <v>74</v>
      </c>
      <c r="C32" s="75" t="s">
        <v>38</v>
      </c>
      <c r="D32" s="76" t="s">
        <v>75</v>
      </c>
      <c r="E32" s="77" t="s">
        <v>40</v>
      </c>
      <c r="F32" s="78" t="s">
        <v>21</v>
      </c>
      <c r="G32" s="79" t="s">
        <v>50</v>
      </c>
      <c r="H32" s="80" t="s">
        <v>1442</v>
      </c>
      <c r="I32" s="81" t="b">
        <v>1</v>
      </c>
      <c r="J32" s="82" t="s">
        <v>7</v>
      </c>
      <c r="K32" s="83">
        <f t="shared" si="4"/>
        <v>1</v>
      </c>
      <c r="L32" s="84">
        <f t="shared" ref="L32:L41" si="16">round(Z32*(1+AA32),-6)</f>
        <v>30000000</v>
      </c>
      <c r="M32" s="84">
        <f t="shared" si="6"/>
        <v>80000</v>
      </c>
      <c r="N32" s="84">
        <f t="shared" si="7"/>
        <v>4000</v>
      </c>
      <c r="O32" s="84">
        <f t="shared" si="8"/>
        <v>375</v>
      </c>
      <c r="P32" s="84">
        <f t="shared" si="9"/>
        <v>7500</v>
      </c>
      <c r="Q32" s="84">
        <f t="shared" si="10"/>
        <v>30000000</v>
      </c>
      <c r="R32" s="75" t="s">
        <v>1443</v>
      </c>
      <c r="S32" s="92" t="s">
        <v>78</v>
      </c>
      <c r="T32" s="153" t="s">
        <v>222</v>
      </c>
      <c r="U32" s="9"/>
      <c r="V32" s="9"/>
      <c r="W32" s="740"/>
      <c r="X32" s="740"/>
      <c r="Y32" s="741" t="s">
        <v>918</v>
      </c>
      <c r="Z32" s="742">
        <f>18000000/0.9</f>
        <v>20000000</v>
      </c>
      <c r="AA32" s="743">
        <v>0.5</v>
      </c>
      <c r="AB32" s="744">
        <v>30000.0</v>
      </c>
      <c r="AC32" s="744">
        <v>50000.0</v>
      </c>
      <c r="AD32" s="744">
        <v>2000.0</v>
      </c>
      <c r="AE32" s="745">
        <v>2000.0</v>
      </c>
      <c r="AF32" s="746"/>
      <c r="AG32" s="744"/>
      <c r="AH32" s="744"/>
      <c r="AI32" s="744"/>
      <c r="AJ32" s="747">
        <f t="shared" si="11"/>
        <v>200000</v>
      </c>
      <c r="AK32" s="747">
        <f t="shared" si="12"/>
        <v>20200000</v>
      </c>
      <c r="AL32" s="747">
        <f t="shared" si="13"/>
        <v>9800000</v>
      </c>
      <c r="AM32" s="748">
        <f t="shared" si="14"/>
        <v>0.3266666667</v>
      </c>
      <c r="AN32" s="9"/>
      <c r="AO32" s="9"/>
      <c r="AP32" s="9"/>
      <c r="AQ32" s="9"/>
    </row>
    <row r="33" ht="114.75" customHeight="1" outlineLevel="1">
      <c r="A33" s="72"/>
      <c r="B33" s="72"/>
      <c r="C33" s="72"/>
      <c r="D33" s="72"/>
      <c r="E33" s="72"/>
      <c r="F33" s="72"/>
      <c r="G33" s="72"/>
      <c r="H33" s="88" t="s">
        <v>1444</v>
      </c>
      <c r="I33" s="81" t="b">
        <v>0</v>
      </c>
      <c r="J33" s="82" t="s">
        <v>47</v>
      </c>
      <c r="K33" s="83">
        <f t="shared" si="4"/>
        <v>0</v>
      </c>
      <c r="L33" s="84">
        <f t="shared" si="16"/>
        <v>17000000</v>
      </c>
      <c r="M33" s="84">
        <v>0.0</v>
      </c>
      <c r="N33" s="84">
        <v>0.0</v>
      </c>
      <c r="O33" s="84" t="s">
        <v>81</v>
      </c>
      <c r="P33" s="84" t="s">
        <v>81</v>
      </c>
      <c r="Q33" s="84">
        <f t="shared" si="10"/>
        <v>0</v>
      </c>
      <c r="R33" s="72"/>
      <c r="S33" s="72"/>
      <c r="T33" s="72"/>
      <c r="U33" s="9"/>
      <c r="V33" s="9"/>
      <c r="W33" s="26"/>
      <c r="X33" s="26"/>
      <c r="Y33" s="751" t="s">
        <v>910</v>
      </c>
      <c r="Z33" s="742">
        <f>10000000/0.9</f>
        <v>11111111.11</v>
      </c>
      <c r="AA33" s="743">
        <v>0.5</v>
      </c>
      <c r="AB33" s="744"/>
      <c r="AC33" s="744"/>
      <c r="AD33" s="744"/>
      <c r="AE33" s="745"/>
      <c r="AF33" s="746"/>
      <c r="AG33" s="744"/>
      <c r="AH33" s="744"/>
      <c r="AI33" s="744"/>
      <c r="AJ33" s="747">
        <f t="shared" si="11"/>
        <v>0</v>
      </c>
      <c r="AK33" s="747">
        <f t="shared" si="12"/>
        <v>0</v>
      </c>
      <c r="AL33" s="747">
        <f t="shared" si="13"/>
        <v>0</v>
      </c>
      <c r="AM33" s="748" t="str">
        <f t="shared" si="14"/>
        <v>-</v>
      </c>
      <c r="AN33" s="9"/>
      <c r="AO33" s="9"/>
      <c r="AP33" s="9"/>
      <c r="AQ33" s="9"/>
    </row>
    <row r="34" ht="114.75" customHeight="1" outlineLevel="1">
      <c r="A34" s="73" t="s">
        <v>73</v>
      </c>
      <c r="B34" s="95" t="s">
        <v>82</v>
      </c>
      <c r="C34" s="75" t="s">
        <v>38</v>
      </c>
      <c r="D34" s="76" t="s">
        <v>83</v>
      </c>
      <c r="E34" s="77" t="s">
        <v>40</v>
      </c>
      <c r="F34" s="78" t="s">
        <v>21</v>
      </c>
      <c r="G34" s="79" t="s">
        <v>50</v>
      </c>
      <c r="H34" s="80" t="s">
        <v>1445</v>
      </c>
      <c r="I34" s="81" t="b">
        <v>1</v>
      </c>
      <c r="J34" s="82" t="s">
        <v>7</v>
      </c>
      <c r="K34" s="83">
        <f t="shared" si="4"/>
        <v>1</v>
      </c>
      <c r="L34" s="84">
        <f t="shared" si="16"/>
        <v>22000000</v>
      </c>
      <c r="M34" s="84">
        <f t="shared" ref="M34:M41" si="17">(sum(AB34:AC34)+sum(AF34:AG34))*K34</f>
        <v>100000</v>
      </c>
      <c r="N34" s="84">
        <f t="shared" ref="N34:N41" si="18">(sum(AD34:AE34)+sum(AH34:AI34))*K34</f>
        <v>2000</v>
      </c>
      <c r="O34" s="84">
        <f t="shared" ref="O34:O41" si="19">IFERROR(Q34/M34,"-")</f>
        <v>220</v>
      </c>
      <c r="P34" s="84">
        <f t="shared" ref="P34:P41" si="20">IFERROR(Q34/N34,"-")</f>
        <v>11000</v>
      </c>
      <c r="Q34" s="84">
        <f t="shared" si="10"/>
        <v>22000000</v>
      </c>
      <c r="R34" s="75" t="s">
        <v>1446</v>
      </c>
      <c r="S34" s="85" t="s">
        <v>86</v>
      </c>
      <c r="T34" s="153" t="s">
        <v>222</v>
      </c>
      <c r="U34" s="87"/>
      <c r="V34" s="87"/>
      <c r="W34" s="740"/>
      <c r="X34" s="740"/>
      <c r="Y34" s="741" t="s">
        <v>918</v>
      </c>
      <c r="Z34" s="742">
        <f>13000000/0.9</f>
        <v>14444444.44</v>
      </c>
      <c r="AA34" s="743">
        <v>0.5</v>
      </c>
      <c r="AB34" s="744">
        <v>80000.0</v>
      </c>
      <c r="AC34" s="744">
        <v>20000.0</v>
      </c>
      <c r="AD34" s="744">
        <v>1000.0</v>
      </c>
      <c r="AE34" s="745">
        <v>1000.0</v>
      </c>
      <c r="AF34" s="746"/>
      <c r="AG34" s="744"/>
      <c r="AH34" s="744"/>
      <c r="AI34" s="744"/>
      <c r="AJ34" s="747">
        <f t="shared" si="11"/>
        <v>90000</v>
      </c>
      <c r="AK34" s="747">
        <f t="shared" si="12"/>
        <v>14534444.44</v>
      </c>
      <c r="AL34" s="747">
        <f t="shared" si="13"/>
        <v>7465555.556</v>
      </c>
      <c r="AM34" s="748">
        <f t="shared" si="14"/>
        <v>0.3393434343</v>
      </c>
      <c r="AN34" s="9"/>
      <c r="AO34" s="9"/>
      <c r="AP34" s="9"/>
      <c r="AQ34" s="9"/>
    </row>
    <row r="35" ht="114.75" customHeight="1" outlineLevel="1">
      <c r="A35" s="72"/>
      <c r="B35" s="72"/>
      <c r="C35" s="72"/>
      <c r="D35" s="72"/>
      <c r="E35" s="72"/>
      <c r="F35" s="72"/>
      <c r="G35" s="72"/>
      <c r="H35" s="88" t="s">
        <v>1447</v>
      </c>
      <c r="I35" s="81" t="b">
        <v>0</v>
      </c>
      <c r="J35" s="82" t="s">
        <v>47</v>
      </c>
      <c r="K35" s="83">
        <f t="shared" si="4"/>
        <v>0</v>
      </c>
      <c r="L35" s="84">
        <f t="shared" si="16"/>
        <v>13000000</v>
      </c>
      <c r="M35" s="84">
        <f t="shared" si="17"/>
        <v>0</v>
      </c>
      <c r="N35" s="84">
        <f t="shared" si="18"/>
        <v>0</v>
      </c>
      <c r="O35" s="84" t="str">
        <f t="shared" si="19"/>
        <v>-</v>
      </c>
      <c r="P35" s="84" t="str">
        <f t="shared" si="20"/>
        <v>-</v>
      </c>
      <c r="Q35" s="84">
        <f t="shared" si="10"/>
        <v>0</v>
      </c>
      <c r="R35" s="72"/>
      <c r="S35" s="72"/>
      <c r="T35" s="72"/>
      <c r="U35" s="9"/>
      <c r="V35" s="9"/>
      <c r="W35" s="26"/>
      <c r="X35" s="26"/>
      <c r="Y35" s="751" t="s">
        <v>1068</v>
      </c>
      <c r="Z35" s="742">
        <f>8000000/0.9</f>
        <v>8888888.889</v>
      </c>
      <c r="AA35" s="743">
        <v>0.5</v>
      </c>
      <c r="AB35" s="744"/>
      <c r="AC35" s="744"/>
      <c r="AD35" s="744"/>
      <c r="AE35" s="745"/>
      <c r="AF35" s="746"/>
      <c r="AG35" s="744"/>
      <c r="AH35" s="744"/>
      <c r="AI35" s="744"/>
      <c r="AJ35" s="747">
        <f t="shared" si="11"/>
        <v>0</v>
      </c>
      <c r="AK35" s="747">
        <f t="shared" si="12"/>
        <v>0</v>
      </c>
      <c r="AL35" s="747">
        <f t="shared" si="13"/>
        <v>0</v>
      </c>
      <c r="AM35" s="748" t="str">
        <f t="shared" si="14"/>
        <v>-</v>
      </c>
      <c r="AN35" s="9"/>
      <c r="AO35" s="9"/>
      <c r="AP35" s="9"/>
      <c r="AQ35" s="9"/>
    </row>
    <row r="36" ht="114.75" customHeight="1" outlineLevel="1">
      <c r="A36" s="73" t="s">
        <v>73</v>
      </c>
      <c r="B36" s="91" t="s">
        <v>89</v>
      </c>
      <c r="C36" s="75" t="s">
        <v>38</v>
      </c>
      <c r="D36" s="76" t="s">
        <v>90</v>
      </c>
      <c r="E36" s="77" t="s">
        <v>40</v>
      </c>
      <c r="F36" s="78" t="s">
        <v>21</v>
      </c>
      <c r="G36" s="79" t="s">
        <v>50</v>
      </c>
      <c r="H36" s="80" t="s">
        <v>1448</v>
      </c>
      <c r="I36" s="81" t="b">
        <v>1</v>
      </c>
      <c r="J36" s="82" t="s">
        <v>7</v>
      </c>
      <c r="K36" s="83">
        <f t="shared" si="4"/>
        <v>1</v>
      </c>
      <c r="L36" s="84">
        <f t="shared" si="16"/>
        <v>17000000</v>
      </c>
      <c r="M36" s="84">
        <f t="shared" si="17"/>
        <v>150000</v>
      </c>
      <c r="N36" s="84">
        <f t="shared" si="18"/>
        <v>4000</v>
      </c>
      <c r="O36" s="84">
        <f t="shared" si="19"/>
        <v>113.3333333</v>
      </c>
      <c r="P36" s="84">
        <f t="shared" si="20"/>
        <v>4250</v>
      </c>
      <c r="Q36" s="84">
        <f t="shared" si="10"/>
        <v>17000000</v>
      </c>
      <c r="R36" s="75" t="s">
        <v>1449</v>
      </c>
      <c r="S36" s="85" t="s">
        <v>93</v>
      </c>
      <c r="T36" s="153" t="s">
        <v>222</v>
      </c>
      <c r="U36" s="9"/>
      <c r="V36" s="9"/>
      <c r="W36" s="740"/>
      <c r="X36" s="740"/>
      <c r="Y36" s="741" t="s">
        <v>1450</v>
      </c>
      <c r="Z36" s="742">
        <f>4300000/0.9</f>
        <v>4777777.778</v>
      </c>
      <c r="AA36" s="743">
        <v>2.5</v>
      </c>
      <c r="AB36" s="744">
        <v>100000.0</v>
      </c>
      <c r="AC36" s="744">
        <v>50000.0</v>
      </c>
      <c r="AD36" s="744">
        <v>2000.0</v>
      </c>
      <c r="AE36" s="745">
        <v>2000.0</v>
      </c>
      <c r="AF36" s="746"/>
      <c r="AG36" s="744"/>
      <c r="AH36" s="744"/>
      <c r="AI36" s="744"/>
      <c r="AJ36" s="747">
        <f t="shared" si="11"/>
        <v>200000</v>
      </c>
      <c r="AK36" s="747">
        <f t="shared" si="12"/>
        <v>4977777.778</v>
      </c>
      <c r="AL36" s="747">
        <f t="shared" si="13"/>
        <v>12022222.22</v>
      </c>
      <c r="AM36" s="748">
        <f t="shared" si="14"/>
        <v>0.7071895425</v>
      </c>
      <c r="AN36" s="9"/>
      <c r="AO36" s="9"/>
      <c r="AP36" s="9"/>
      <c r="AQ36" s="9"/>
    </row>
    <row r="37" ht="114.75" customHeight="1" outlineLevel="1">
      <c r="A37" s="72"/>
      <c r="B37" s="72"/>
      <c r="C37" s="72"/>
      <c r="D37" s="72"/>
      <c r="E37" s="72"/>
      <c r="F37" s="72"/>
      <c r="G37" s="72"/>
      <c r="H37" s="88" t="s">
        <v>1451</v>
      </c>
      <c r="I37" s="81" t="b">
        <v>0</v>
      </c>
      <c r="J37" s="82" t="s">
        <v>47</v>
      </c>
      <c r="K37" s="83">
        <f t="shared" si="4"/>
        <v>0</v>
      </c>
      <c r="L37" s="84">
        <f t="shared" si="16"/>
        <v>7000000</v>
      </c>
      <c r="M37" s="84">
        <f t="shared" si="17"/>
        <v>0</v>
      </c>
      <c r="N37" s="84">
        <f t="shared" si="18"/>
        <v>0</v>
      </c>
      <c r="O37" s="84" t="str">
        <f t="shared" si="19"/>
        <v>-</v>
      </c>
      <c r="P37" s="84" t="str">
        <f t="shared" si="20"/>
        <v>-</v>
      </c>
      <c r="Q37" s="84">
        <f t="shared" si="10"/>
        <v>0</v>
      </c>
      <c r="R37" s="72"/>
      <c r="S37" s="72"/>
      <c r="T37" s="72"/>
      <c r="U37" s="9"/>
      <c r="V37" s="9"/>
      <c r="W37" s="26"/>
      <c r="X37" s="26"/>
      <c r="Y37" s="751" t="s">
        <v>910</v>
      </c>
      <c r="Z37" s="742">
        <f>2000000/0.9</f>
        <v>2222222.222</v>
      </c>
      <c r="AA37" s="743">
        <v>2.0</v>
      </c>
      <c r="AB37" s="744"/>
      <c r="AC37" s="744"/>
      <c r="AD37" s="744"/>
      <c r="AE37" s="745"/>
      <c r="AF37" s="746"/>
      <c r="AG37" s="744"/>
      <c r="AH37" s="744"/>
      <c r="AI37" s="744"/>
      <c r="AJ37" s="747">
        <f t="shared" si="11"/>
        <v>0</v>
      </c>
      <c r="AK37" s="747">
        <f t="shared" si="12"/>
        <v>0</v>
      </c>
      <c r="AL37" s="747">
        <f t="shared" si="13"/>
        <v>0</v>
      </c>
      <c r="AM37" s="748" t="str">
        <f t="shared" si="14"/>
        <v>-</v>
      </c>
      <c r="AN37" s="9"/>
      <c r="AO37" s="9"/>
      <c r="AP37" s="9"/>
      <c r="AQ37" s="9"/>
    </row>
    <row r="38" ht="114.75" customHeight="1" outlineLevel="1">
      <c r="A38" s="73" t="s">
        <v>73</v>
      </c>
      <c r="B38" s="96" t="s">
        <v>95</v>
      </c>
      <c r="C38" s="75" t="s">
        <v>38</v>
      </c>
      <c r="D38" s="76" t="s">
        <v>96</v>
      </c>
      <c r="E38" s="77" t="s">
        <v>40</v>
      </c>
      <c r="F38" s="78" t="s">
        <v>21</v>
      </c>
      <c r="G38" s="79" t="s">
        <v>50</v>
      </c>
      <c r="H38" s="80" t="s">
        <v>1452</v>
      </c>
      <c r="I38" s="81" t="b">
        <v>0</v>
      </c>
      <c r="J38" s="82" t="s">
        <v>7</v>
      </c>
      <c r="K38" s="83">
        <f t="shared" si="4"/>
        <v>0</v>
      </c>
      <c r="L38" s="84">
        <f t="shared" si="16"/>
        <v>17000000</v>
      </c>
      <c r="M38" s="84">
        <f t="shared" si="17"/>
        <v>0</v>
      </c>
      <c r="N38" s="84">
        <f t="shared" si="18"/>
        <v>0</v>
      </c>
      <c r="O38" s="84" t="str">
        <f t="shared" si="19"/>
        <v>-</v>
      </c>
      <c r="P38" s="84" t="str">
        <f t="shared" si="20"/>
        <v>-</v>
      </c>
      <c r="Q38" s="84">
        <f t="shared" si="10"/>
        <v>0</v>
      </c>
      <c r="R38" s="75" t="s">
        <v>1453</v>
      </c>
      <c r="S38" s="85" t="s">
        <v>99</v>
      </c>
      <c r="T38" s="153" t="s">
        <v>222</v>
      </c>
      <c r="U38" s="9"/>
      <c r="V38" s="9"/>
      <c r="W38" s="740"/>
      <c r="X38" s="740"/>
      <c r="Y38" s="741" t="s">
        <v>918</v>
      </c>
      <c r="Z38" s="742">
        <f>10000000/0.9</f>
        <v>11111111.11</v>
      </c>
      <c r="AA38" s="743">
        <v>0.5</v>
      </c>
      <c r="AB38" s="744">
        <v>15000.0</v>
      </c>
      <c r="AC38" s="744">
        <v>30000.0</v>
      </c>
      <c r="AD38" s="744">
        <v>1000.0</v>
      </c>
      <c r="AE38" s="745">
        <v>1000.0</v>
      </c>
      <c r="AF38" s="746"/>
      <c r="AG38" s="744"/>
      <c r="AH38" s="744"/>
      <c r="AI38" s="744"/>
      <c r="AJ38" s="747">
        <f t="shared" si="11"/>
        <v>0</v>
      </c>
      <c r="AK38" s="747">
        <f t="shared" si="12"/>
        <v>0</v>
      </c>
      <c r="AL38" s="747">
        <f t="shared" si="13"/>
        <v>0</v>
      </c>
      <c r="AM38" s="748" t="str">
        <f t="shared" si="14"/>
        <v>-</v>
      </c>
      <c r="AN38" s="9"/>
      <c r="AO38" s="9"/>
      <c r="AP38" s="9"/>
      <c r="AQ38" s="9"/>
    </row>
    <row r="39" ht="114.75" customHeight="1" outlineLevel="1">
      <c r="A39" s="72"/>
      <c r="B39" s="72"/>
      <c r="C39" s="72"/>
      <c r="D39" s="72"/>
      <c r="E39" s="72"/>
      <c r="F39" s="72"/>
      <c r="G39" s="72"/>
      <c r="H39" s="88" t="s">
        <v>1454</v>
      </c>
      <c r="I39" s="97" t="b">
        <v>0</v>
      </c>
      <c r="J39" s="98" t="s">
        <v>47</v>
      </c>
      <c r="K39" s="99">
        <f t="shared" si="4"/>
        <v>0</v>
      </c>
      <c r="L39" s="84">
        <f t="shared" si="16"/>
        <v>10000000</v>
      </c>
      <c r="M39" s="100">
        <f t="shared" si="17"/>
        <v>0</v>
      </c>
      <c r="N39" s="100">
        <f t="shared" si="18"/>
        <v>0</v>
      </c>
      <c r="O39" s="100" t="str">
        <f t="shared" si="19"/>
        <v>-</v>
      </c>
      <c r="P39" s="100" t="str">
        <f t="shared" si="20"/>
        <v>-</v>
      </c>
      <c r="Q39" s="84">
        <f t="shared" si="10"/>
        <v>0</v>
      </c>
      <c r="R39" s="72"/>
      <c r="S39" s="72"/>
      <c r="T39" s="72"/>
      <c r="U39" s="9"/>
      <c r="V39" s="9"/>
      <c r="W39" s="26"/>
      <c r="X39" s="26"/>
      <c r="Y39" s="751" t="s">
        <v>910</v>
      </c>
      <c r="Z39" s="742">
        <f>6000000/0.9</f>
        <v>6666666.667</v>
      </c>
      <c r="AA39" s="743">
        <v>0.5</v>
      </c>
      <c r="AB39" s="744"/>
      <c r="AC39" s="744"/>
      <c r="AD39" s="744"/>
      <c r="AE39" s="745"/>
      <c r="AF39" s="746"/>
      <c r="AG39" s="744"/>
      <c r="AH39" s="744"/>
      <c r="AI39" s="744"/>
      <c r="AJ39" s="747">
        <f t="shared" si="11"/>
        <v>0</v>
      </c>
      <c r="AK39" s="747">
        <f t="shared" si="12"/>
        <v>0</v>
      </c>
      <c r="AL39" s="747">
        <f t="shared" si="13"/>
        <v>0</v>
      </c>
      <c r="AM39" s="748" t="str">
        <f t="shared" si="14"/>
        <v>-</v>
      </c>
      <c r="AN39" s="9"/>
      <c r="AO39" s="9"/>
      <c r="AP39" s="9"/>
      <c r="AQ39" s="9"/>
    </row>
    <row r="40" ht="114.75" customHeight="1" outlineLevel="1">
      <c r="A40" s="73" t="s">
        <v>186</v>
      </c>
      <c r="B40" s="152" t="s">
        <v>1455</v>
      </c>
      <c r="C40" s="75" t="s">
        <v>38</v>
      </c>
      <c r="D40" s="76" t="s">
        <v>1456</v>
      </c>
      <c r="E40" s="77" t="s">
        <v>40</v>
      </c>
      <c r="F40" s="78" t="s">
        <v>21</v>
      </c>
      <c r="G40" s="79" t="s">
        <v>50</v>
      </c>
      <c r="H40" s="80" t="s">
        <v>1457</v>
      </c>
      <c r="I40" s="81" t="b">
        <v>0</v>
      </c>
      <c r="J40" s="82" t="s">
        <v>7</v>
      </c>
      <c r="K40" s="83">
        <f t="shared" si="4"/>
        <v>0</v>
      </c>
      <c r="L40" s="84">
        <f t="shared" si="16"/>
        <v>39000000</v>
      </c>
      <c r="M40" s="84">
        <f t="shared" si="17"/>
        <v>0</v>
      </c>
      <c r="N40" s="84">
        <f t="shared" si="18"/>
        <v>0</v>
      </c>
      <c r="O40" s="84" t="str">
        <f t="shared" si="19"/>
        <v>-</v>
      </c>
      <c r="P40" s="84" t="str">
        <f t="shared" si="20"/>
        <v>-</v>
      </c>
      <c r="Q40" s="84">
        <f t="shared" si="10"/>
        <v>0</v>
      </c>
      <c r="R40" s="75" t="s">
        <v>1458</v>
      </c>
      <c r="S40" s="85" t="s">
        <v>1292</v>
      </c>
      <c r="T40" s="94" t="s">
        <v>122</v>
      </c>
      <c r="U40" s="9"/>
      <c r="V40" s="9"/>
      <c r="W40" s="740"/>
      <c r="X40" s="740"/>
      <c r="Y40" s="741" t="s">
        <v>918</v>
      </c>
      <c r="Z40" s="742">
        <f>25000000/0.9</f>
        <v>27777777.78</v>
      </c>
      <c r="AA40" s="743">
        <v>0.4</v>
      </c>
      <c r="AB40" s="744">
        <v>10000.0</v>
      </c>
      <c r="AC40" s="744">
        <v>100000.0</v>
      </c>
      <c r="AD40" s="744">
        <v>1000.0</v>
      </c>
      <c r="AE40" s="745">
        <v>3000.0</v>
      </c>
      <c r="AF40" s="746"/>
      <c r="AG40" s="744"/>
      <c r="AH40" s="744"/>
      <c r="AI40" s="744"/>
      <c r="AJ40" s="747">
        <f t="shared" si="11"/>
        <v>0</v>
      </c>
      <c r="AK40" s="747">
        <f t="shared" si="12"/>
        <v>0</v>
      </c>
      <c r="AL40" s="747">
        <f t="shared" si="13"/>
        <v>0</v>
      </c>
      <c r="AM40" s="748" t="str">
        <f t="shared" si="14"/>
        <v>-</v>
      </c>
      <c r="AN40" s="9"/>
      <c r="AO40" s="9"/>
      <c r="AP40" s="9"/>
      <c r="AQ40" s="9"/>
    </row>
    <row r="41" ht="114.75" customHeight="1" outlineLevel="1">
      <c r="A41" s="72"/>
      <c r="B41" s="72"/>
      <c r="C41" s="72"/>
      <c r="D41" s="72"/>
      <c r="E41" s="72"/>
      <c r="F41" s="72"/>
      <c r="G41" s="72"/>
      <c r="H41" s="88" t="s">
        <v>1459</v>
      </c>
      <c r="I41" s="81" t="b">
        <v>0</v>
      </c>
      <c r="J41" s="82" t="s">
        <v>47</v>
      </c>
      <c r="K41" s="83">
        <f t="shared" si="4"/>
        <v>0</v>
      </c>
      <c r="L41" s="84">
        <f t="shared" si="16"/>
        <v>13000000</v>
      </c>
      <c r="M41" s="84">
        <f t="shared" si="17"/>
        <v>0</v>
      </c>
      <c r="N41" s="84">
        <f t="shared" si="18"/>
        <v>0</v>
      </c>
      <c r="O41" s="84" t="str">
        <f t="shared" si="19"/>
        <v>-</v>
      </c>
      <c r="P41" s="84" t="str">
        <f t="shared" si="20"/>
        <v>-</v>
      </c>
      <c r="Q41" s="84">
        <f t="shared" si="10"/>
        <v>0</v>
      </c>
      <c r="R41" s="72"/>
      <c r="S41" s="72"/>
      <c r="T41" s="72"/>
      <c r="U41" s="9"/>
      <c r="V41" s="9"/>
      <c r="W41" s="26"/>
      <c r="X41" s="26"/>
      <c r="Y41" s="751" t="s">
        <v>910</v>
      </c>
      <c r="Z41" s="742">
        <f>8500000/0.9</f>
        <v>9444444.444</v>
      </c>
      <c r="AA41" s="743">
        <v>0.4</v>
      </c>
      <c r="AB41" s="744"/>
      <c r="AC41" s="744"/>
      <c r="AD41" s="744"/>
      <c r="AE41" s="745"/>
      <c r="AF41" s="746"/>
      <c r="AG41" s="744"/>
      <c r="AH41" s="744"/>
      <c r="AI41" s="744"/>
      <c r="AJ41" s="747">
        <f t="shared" si="11"/>
        <v>0</v>
      </c>
      <c r="AK41" s="747">
        <f t="shared" si="12"/>
        <v>0</v>
      </c>
      <c r="AL41" s="747">
        <f t="shared" si="13"/>
        <v>0</v>
      </c>
      <c r="AM41" s="748" t="str">
        <f t="shared" si="14"/>
        <v>-</v>
      </c>
      <c r="AN41" s="9"/>
      <c r="AO41" s="9"/>
      <c r="AP41" s="9"/>
      <c r="AQ41" s="9"/>
    </row>
    <row r="42" ht="30.0" customHeight="1">
      <c r="A42" s="55" t="s">
        <v>134</v>
      </c>
      <c r="B42" s="56"/>
      <c r="C42" s="57"/>
      <c r="D42" s="58"/>
      <c r="E42" s="59"/>
      <c r="F42" s="59"/>
      <c r="G42" s="61"/>
      <c r="H42" s="61"/>
      <c r="I42" s="62"/>
      <c r="J42" s="63" t="s">
        <v>7</v>
      </c>
      <c r="K42" s="64">
        <f>SUMIFS(K45:K95,J45:J95,"Video Post")</f>
        <v>21</v>
      </c>
      <c r="L42" s="65"/>
      <c r="M42" s="66">
        <f t="shared" ref="M42:N42" si="21">sum(M45:M95)</f>
        <v>625000</v>
      </c>
      <c r="N42" s="66">
        <f t="shared" si="21"/>
        <v>42000</v>
      </c>
      <c r="O42" s="65"/>
      <c r="P42" s="65"/>
      <c r="Q42" s="66">
        <f>sum(Q45:Q95)</f>
        <v>194000000</v>
      </c>
      <c r="R42" s="133"/>
      <c r="S42" s="133"/>
      <c r="T42" s="133"/>
      <c r="U42" s="69"/>
      <c r="V42" s="69"/>
      <c r="W42" s="717"/>
      <c r="X42" s="717"/>
      <c r="Y42" s="718"/>
      <c r="Z42" s="719"/>
      <c r="AA42" s="720"/>
      <c r="AB42" s="721"/>
      <c r="AC42" s="721"/>
      <c r="AD42" s="721"/>
      <c r="AE42" s="722"/>
      <c r="AF42" s="723"/>
      <c r="AG42" s="721"/>
      <c r="AH42" s="721"/>
      <c r="AI42" s="721"/>
      <c r="AJ42" s="724"/>
      <c r="AK42" s="724"/>
      <c r="AL42" s="724"/>
      <c r="AM42" s="725"/>
      <c r="AN42" s="9"/>
      <c r="AO42" s="9"/>
      <c r="AP42" s="9"/>
      <c r="AQ42" s="9"/>
    </row>
    <row r="43" ht="30.0" customHeight="1">
      <c r="A43" s="70"/>
      <c r="B43" s="71"/>
      <c r="C43" s="57"/>
      <c r="D43" s="58"/>
      <c r="E43" s="59"/>
      <c r="F43" s="60"/>
      <c r="G43" s="61"/>
      <c r="H43" s="61"/>
      <c r="I43" s="62"/>
      <c r="J43" s="63" t="s">
        <v>8</v>
      </c>
      <c r="K43" s="64">
        <f>SUMIFS(K45:K95,J45:J95,"Tháng")</f>
        <v>21</v>
      </c>
      <c r="L43" s="65"/>
      <c r="M43" s="72"/>
      <c r="N43" s="72"/>
      <c r="O43" s="65"/>
      <c r="P43" s="65"/>
      <c r="Q43" s="72"/>
      <c r="R43" s="133"/>
      <c r="S43" s="133"/>
      <c r="T43" s="133"/>
      <c r="U43" s="69"/>
      <c r="V43" s="69"/>
      <c r="W43" s="717"/>
      <c r="X43" s="717"/>
      <c r="Y43" s="728"/>
      <c r="Z43" s="719"/>
      <c r="AA43" s="720"/>
      <c r="AB43" s="721"/>
      <c r="AC43" s="721"/>
      <c r="AD43" s="721"/>
      <c r="AE43" s="722"/>
      <c r="AF43" s="723"/>
      <c r="AG43" s="721"/>
      <c r="AH43" s="721"/>
      <c r="AI43" s="721"/>
      <c r="AJ43" s="724"/>
      <c r="AK43" s="724"/>
      <c r="AL43" s="724"/>
      <c r="AM43" s="725"/>
      <c r="AN43" s="9"/>
      <c r="AO43" s="9"/>
      <c r="AP43" s="9"/>
      <c r="AQ43" s="9"/>
    </row>
    <row r="44" outlineLevel="1">
      <c r="A44" s="134" t="s">
        <v>135</v>
      </c>
      <c r="B44" s="135" t="s">
        <v>136</v>
      </c>
      <c r="C44" s="136"/>
      <c r="D44" s="137"/>
      <c r="E44" s="138"/>
      <c r="F44" s="139"/>
      <c r="G44" s="140"/>
      <c r="H44" s="136"/>
      <c r="I44" s="141" t="b">
        <v>0</v>
      </c>
      <c r="J44" s="142"/>
      <c r="K44" s="143"/>
      <c r="L44" s="144"/>
      <c r="M44" s="144"/>
      <c r="N44" s="144"/>
      <c r="O44" s="144"/>
      <c r="P44" s="144"/>
      <c r="Q44" s="144"/>
      <c r="R44" s="136"/>
      <c r="S44" s="145"/>
      <c r="T44" s="138"/>
      <c r="U44" s="146"/>
      <c r="V44" s="146"/>
      <c r="W44" s="773"/>
      <c r="X44" s="773"/>
      <c r="Y44" s="774"/>
      <c r="Z44" s="775"/>
      <c r="AA44" s="776"/>
      <c r="AB44" s="777"/>
      <c r="AC44" s="777"/>
      <c r="AD44" s="777"/>
      <c r="AE44" s="778"/>
      <c r="AF44" s="779"/>
      <c r="AG44" s="777"/>
      <c r="AH44" s="777"/>
      <c r="AI44" s="777"/>
      <c r="AJ44" s="780"/>
      <c r="AK44" s="780"/>
      <c r="AL44" s="780"/>
      <c r="AM44" s="781"/>
      <c r="AN44" s="146"/>
      <c r="AO44" s="146"/>
      <c r="AP44" s="146"/>
      <c r="AQ44" s="146"/>
    </row>
    <row r="45" ht="96.0" customHeight="1" outlineLevel="1">
      <c r="A45" s="73" t="s">
        <v>45</v>
      </c>
      <c r="B45" s="147" t="s">
        <v>137</v>
      </c>
      <c r="C45" s="75" t="s">
        <v>38</v>
      </c>
      <c r="D45" s="76" t="s">
        <v>138</v>
      </c>
      <c r="E45" s="77" t="s">
        <v>40</v>
      </c>
      <c r="F45" s="78" t="s">
        <v>139</v>
      </c>
      <c r="G45" s="79" t="s">
        <v>50</v>
      </c>
      <c r="H45" s="80" t="s">
        <v>1460</v>
      </c>
      <c r="I45" s="81" t="b">
        <v>1</v>
      </c>
      <c r="J45" s="82" t="s">
        <v>7</v>
      </c>
      <c r="K45" s="83">
        <f t="shared" ref="K45:K64" si="22">if(I45=True,1,if(I45=False,0))</f>
        <v>1</v>
      </c>
      <c r="L45" s="84">
        <f t="shared" ref="L45:L64" si="23">round(Z45*(1+AA45),-6)</f>
        <v>6000000</v>
      </c>
      <c r="M45" s="84">
        <f>(sum(AB45:AC45)+sum(AF45:AG45))*K45</f>
        <v>30000</v>
      </c>
      <c r="N45" s="84">
        <f>(sum(AD45:AE45)+sum(AH45:AI45))*K45</f>
        <v>2000</v>
      </c>
      <c r="O45" s="84">
        <f>IFERROR(Q45/M45,"-")</f>
        <v>200</v>
      </c>
      <c r="P45" s="84">
        <f>IFERROR(Q45/N45,"-")</f>
        <v>3000</v>
      </c>
      <c r="Q45" s="84">
        <f t="shared" ref="Q45:Q64" si="24">iferror(L45*K45,"-")</f>
        <v>6000000</v>
      </c>
      <c r="R45" s="75" t="s">
        <v>1461</v>
      </c>
      <c r="S45" s="85" t="s">
        <v>142</v>
      </c>
      <c r="T45" s="86" t="s">
        <v>45</v>
      </c>
      <c r="U45" s="9"/>
      <c r="V45" s="9"/>
      <c r="W45" s="740"/>
      <c r="X45" s="740"/>
      <c r="Y45" s="741" t="s">
        <v>1462</v>
      </c>
      <c r="Z45" s="742">
        <f>3300000/0.9</f>
        <v>3666666.667</v>
      </c>
      <c r="AA45" s="743">
        <v>0.5</v>
      </c>
      <c r="AB45" s="744">
        <v>20000.0</v>
      </c>
      <c r="AC45" s="744">
        <v>10000.0</v>
      </c>
      <c r="AD45" s="744">
        <v>1000.0</v>
      </c>
      <c r="AE45" s="745">
        <v>1000.0</v>
      </c>
      <c r="AF45" s="746"/>
      <c r="AG45" s="744"/>
      <c r="AH45" s="744"/>
      <c r="AI45" s="744"/>
      <c r="AJ45" s="747">
        <f t="shared" ref="AJ45:AJ64" si="25">(AC45*2+AE45*50+AG45*10+AI45*50)*K45</f>
        <v>70000</v>
      </c>
      <c r="AK45" s="747">
        <f t="shared" ref="AK45:AK64" si="26">sum(Z45,AJ45)*K45</f>
        <v>3736666.667</v>
      </c>
      <c r="AL45" s="747">
        <f t="shared" ref="AL45:AL64" si="27">iferror(Q45-AK45,"-")</f>
        <v>2263333.333</v>
      </c>
      <c r="AM45" s="748">
        <f t="shared" ref="AM45:AM64" si="28">iferror(AL45/Q45,"-")</f>
        <v>0.3772222222</v>
      </c>
      <c r="AN45" s="9"/>
      <c r="AO45" s="9"/>
      <c r="AP45" s="9"/>
      <c r="AQ45" s="9"/>
    </row>
    <row r="46" ht="96.0" customHeight="1" outlineLevel="1">
      <c r="A46" s="72"/>
      <c r="B46" s="72"/>
      <c r="C46" s="72"/>
      <c r="D46" s="72"/>
      <c r="E46" s="72"/>
      <c r="F46" s="72"/>
      <c r="G46" s="72"/>
      <c r="H46" s="88" t="s">
        <v>1463</v>
      </c>
      <c r="I46" s="81" t="b">
        <v>1</v>
      </c>
      <c r="J46" s="82" t="s">
        <v>47</v>
      </c>
      <c r="K46" s="83">
        <f t="shared" si="22"/>
        <v>1</v>
      </c>
      <c r="L46" s="84">
        <f t="shared" si="23"/>
        <v>2000000</v>
      </c>
      <c r="M46" s="84">
        <v>0.0</v>
      </c>
      <c r="N46" s="84">
        <v>0.0</v>
      </c>
      <c r="O46" s="84" t="s">
        <v>81</v>
      </c>
      <c r="P46" s="84" t="s">
        <v>81</v>
      </c>
      <c r="Q46" s="84">
        <f t="shared" si="24"/>
        <v>2000000</v>
      </c>
      <c r="R46" s="72"/>
      <c r="S46" s="72"/>
      <c r="T46" s="72"/>
      <c r="U46" s="9"/>
      <c r="V46" s="9"/>
      <c r="W46" s="26"/>
      <c r="X46" s="26"/>
      <c r="Y46" s="751" t="s">
        <v>910</v>
      </c>
      <c r="Z46" s="742">
        <f>1000000/0.9</f>
        <v>1111111.111</v>
      </c>
      <c r="AA46" s="743">
        <v>0.5</v>
      </c>
      <c r="AB46" s="744"/>
      <c r="AC46" s="744"/>
      <c r="AD46" s="744"/>
      <c r="AE46" s="745"/>
      <c r="AF46" s="746"/>
      <c r="AG46" s="744"/>
      <c r="AH46" s="744"/>
      <c r="AI46" s="744"/>
      <c r="AJ46" s="747">
        <f t="shared" si="25"/>
        <v>0</v>
      </c>
      <c r="AK46" s="747">
        <f t="shared" si="26"/>
        <v>1111111.111</v>
      </c>
      <c r="AL46" s="747">
        <f t="shared" si="27"/>
        <v>888888.8889</v>
      </c>
      <c r="AM46" s="748">
        <f t="shared" si="28"/>
        <v>0.4444444444</v>
      </c>
      <c r="AN46" s="9"/>
      <c r="AO46" s="9"/>
      <c r="AP46" s="9"/>
      <c r="AQ46" s="9"/>
    </row>
    <row r="47" ht="96.0" customHeight="1" outlineLevel="1">
      <c r="A47" s="73" t="s">
        <v>45</v>
      </c>
      <c r="B47" s="89" t="s">
        <v>144</v>
      </c>
      <c r="C47" s="75" t="s">
        <v>38</v>
      </c>
      <c r="D47" s="76" t="s">
        <v>145</v>
      </c>
      <c r="E47" s="77" t="s">
        <v>146</v>
      </c>
      <c r="F47" s="78" t="s">
        <v>139</v>
      </c>
      <c r="G47" s="79" t="s">
        <v>50</v>
      </c>
      <c r="H47" s="80" t="s">
        <v>1464</v>
      </c>
      <c r="I47" s="81" t="b">
        <v>1</v>
      </c>
      <c r="J47" s="82" t="s">
        <v>7</v>
      </c>
      <c r="K47" s="83">
        <f t="shared" si="22"/>
        <v>1</v>
      </c>
      <c r="L47" s="84">
        <f t="shared" si="23"/>
        <v>5000000</v>
      </c>
      <c r="M47" s="84">
        <f t="shared" ref="M47:M64" si="29">(sum(AB47:AC47)+sum(AF47:AG47))*K47</f>
        <v>20000</v>
      </c>
      <c r="N47" s="84">
        <f t="shared" ref="N47:N64" si="30">(sum(AD47:AE47)+sum(AH47:AI47))*K47</f>
        <v>1500</v>
      </c>
      <c r="O47" s="84">
        <f t="shared" ref="O47:O64" si="31">IFERROR(Q47/M47,"-")</f>
        <v>250</v>
      </c>
      <c r="P47" s="84">
        <f t="shared" ref="P47:P64" si="32">IFERROR(Q47/N47,"-")</f>
        <v>3333.333333</v>
      </c>
      <c r="Q47" s="84">
        <f t="shared" si="24"/>
        <v>5000000</v>
      </c>
      <c r="R47" s="75" t="s">
        <v>1465</v>
      </c>
      <c r="S47" s="85" t="s">
        <v>149</v>
      </c>
      <c r="T47" s="86" t="s">
        <v>45</v>
      </c>
      <c r="U47" s="87"/>
      <c r="V47" s="87"/>
      <c r="W47" s="740"/>
      <c r="X47" s="740"/>
      <c r="Y47" s="741" t="s">
        <v>1466</v>
      </c>
      <c r="Z47" s="742">
        <f>2700000/0.9</f>
        <v>3000000</v>
      </c>
      <c r="AA47" s="743">
        <v>0.5</v>
      </c>
      <c r="AB47" s="744">
        <v>10000.0</v>
      </c>
      <c r="AC47" s="744">
        <v>10000.0</v>
      </c>
      <c r="AD47" s="744">
        <v>500.0</v>
      </c>
      <c r="AE47" s="745">
        <v>1000.0</v>
      </c>
      <c r="AF47" s="746"/>
      <c r="AG47" s="744"/>
      <c r="AH47" s="744"/>
      <c r="AI47" s="744"/>
      <c r="AJ47" s="747">
        <f t="shared" si="25"/>
        <v>70000</v>
      </c>
      <c r="AK47" s="747">
        <f t="shared" si="26"/>
        <v>3070000</v>
      </c>
      <c r="AL47" s="747">
        <f t="shared" si="27"/>
        <v>1930000</v>
      </c>
      <c r="AM47" s="748">
        <f t="shared" si="28"/>
        <v>0.386</v>
      </c>
      <c r="AN47" s="9"/>
      <c r="AO47" s="9"/>
      <c r="AP47" s="9"/>
      <c r="AQ47" s="9"/>
    </row>
    <row r="48" ht="96.0" customHeight="1" outlineLevel="1">
      <c r="A48" s="72"/>
      <c r="B48" s="72"/>
      <c r="C48" s="72"/>
      <c r="D48" s="72"/>
      <c r="E48" s="72"/>
      <c r="F48" s="72"/>
      <c r="G48" s="72"/>
      <c r="H48" s="88" t="s">
        <v>1467</v>
      </c>
      <c r="I48" s="81" t="b">
        <v>1</v>
      </c>
      <c r="J48" s="82" t="s">
        <v>47</v>
      </c>
      <c r="K48" s="83">
        <f t="shared" si="22"/>
        <v>1</v>
      </c>
      <c r="L48" s="84">
        <f t="shared" si="23"/>
        <v>2000000</v>
      </c>
      <c r="M48" s="84">
        <f t="shared" si="29"/>
        <v>0</v>
      </c>
      <c r="N48" s="84">
        <f t="shared" si="30"/>
        <v>0</v>
      </c>
      <c r="O48" s="84" t="str">
        <f t="shared" si="31"/>
        <v>-</v>
      </c>
      <c r="P48" s="84" t="str">
        <f t="shared" si="32"/>
        <v>-</v>
      </c>
      <c r="Q48" s="84">
        <f t="shared" si="24"/>
        <v>2000000</v>
      </c>
      <c r="R48" s="72"/>
      <c r="S48" s="72"/>
      <c r="T48" s="72"/>
      <c r="U48" s="9"/>
      <c r="V48" s="9"/>
      <c r="W48" s="26"/>
      <c r="X48" s="26"/>
      <c r="Y48" s="751" t="s">
        <v>910</v>
      </c>
      <c r="Z48" s="742">
        <f>1200000/0.9</f>
        <v>1333333.333</v>
      </c>
      <c r="AA48" s="743">
        <v>0.8</v>
      </c>
      <c r="AB48" s="744"/>
      <c r="AC48" s="744"/>
      <c r="AD48" s="744"/>
      <c r="AE48" s="745"/>
      <c r="AF48" s="746"/>
      <c r="AG48" s="744"/>
      <c r="AH48" s="744"/>
      <c r="AI48" s="744"/>
      <c r="AJ48" s="747">
        <f t="shared" si="25"/>
        <v>0</v>
      </c>
      <c r="AK48" s="747">
        <f t="shared" si="26"/>
        <v>1333333.333</v>
      </c>
      <c r="AL48" s="747">
        <f t="shared" si="27"/>
        <v>666666.6667</v>
      </c>
      <c r="AM48" s="748">
        <f t="shared" si="28"/>
        <v>0.3333333333</v>
      </c>
      <c r="AN48" s="9"/>
      <c r="AO48" s="9"/>
      <c r="AP48" s="9"/>
      <c r="AQ48" s="9"/>
    </row>
    <row r="49" ht="96.0" customHeight="1" outlineLevel="1">
      <c r="A49" s="73" t="s">
        <v>45</v>
      </c>
      <c r="B49" s="147" t="s">
        <v>151</v>
      </c>
      <c r="C49" s="75" t="s">
        <v>38</v>
      </c>
      <c r="D49" s="76" t="s">
        <v>152</v>
      </c>
      <c r="E49" s="77" t="s">
        <v>146</v>
      </c>
      <c r="F49" s="78" t="s">
        <v>139</v>
      </c>
      <c r="G49" s="79" t="s">
        <v>50</v>
      </c>
      <c r="H49" s="80" t="s">
        <v>1468</v>
      </c>
      <c r="I49" s="81" t="b">
        <v>1</v>
      </c>
      <c r="J49" s="82" t="s">
        <v>7</v>
      </c>
      <c r="K49" s="83">
        <f t="shared" si="22"/>
        <v>1</v>
      </c>
      <c r="L49" s="84">
        <f t="shared" si="23"/>
        <v>3000000</v>
      </c>
      <c r="M49" s="84">
        <f t="shared" si="29"/>
        <v>20000</v>
      </c>
      <c r="N49" s="84">
        <f t="shared" si="30"/>
        <v>1500</v>
      </c>
      <c r="O49" s="84">
        <f t="shared" si="31"/>
        <v>150</v>
      </c>
      <c r="P49" s="84">
        <f t="shared" si="32"/>
        <v>2000</v>
      </c>
      <c r="Q49" s="84">
        <f t="shared" si="24"/>
        <v>3000000</v>
      </c>
      <c r="R49" s="75" t="s">
        <v>1469</v>
      </c>
      <c r="S49" s="85" t="s">
        <v>155</v>
      </c>
      <c r="T49" s="86" t="s">
        <v>45</v>
      </c>
      <c r="U49" s="9"/>
      <c r="V49" s="9"/>
      <c r="W49" s="740"/>
      <c r="X49" s="740"/>
      <c r="Y49" s="741" t="s">
        <v>1470</v>
      </c>
      <c r="Z49" s="742">
        <f>2000000/0.9</f>
        <v>2222222.222</v>
      </c>
      <c r="AA49" s="743">
        <v>0.5</v>
      </c>
      <c r="AB49" s="744">
        <v>10000.0</v>
      </c>
      <c r="AC49" s="744">
        <v>10000.0</v>
      </c>
      <c r="AD49" s="744">
        <v>500.0</v>
      </c>
      <c r="AE49" s="745">
        <v>1000.0</v>
      </c>
      <c r="AF49" s="746"/>
      <c r="AG49" s="744"/>
      <c r="AH49" s="744"/>
      <c r="AI49" s="744"/>
      <c r="AJ49" s="747">
        <f t="shared" si="25"/>
        <v>70000</v>
      </c>
      <c r="AK49" s="747">
        <f t="shared" si="26"/>
        <v>2292222.222</v>
      </c>
      <c r="AL49" s="747">
        <f t="shared" si="27"/>
        <v>707777.7778</v>
      </c>
      <c r="AM49" s="748">
        <f t="shared" si="28"/>
        <v>0.2359259259</v>
      </c>
      <c r="AN49" s="9"/>
      <c r="AO49" s="9"/>
      <c r="AP49" s="9"/>
      <c r="AQ49" s="9"/>
    </row>
    <row r="50" ht="96.0" customHeight="1" outlineLevel="1">
      <c r="A50" s="72"/>
      <c r="B50" s="72"/>
      <c r="C50" s="72"/>
      <c r="D50" s="72"/>
      <c r="E50" s="72"/>
      <c r="F50" s="72"/>
      <c r="G50" s="72"/>
      <c r="H50" s="88" t="s">
        <v>1471</v>
      </c>
      <c r="I50" s="81" t="b">
        <v>1</v>
      </c>
      <c r="J50" s="82" t="s">
        <v>47</v>
      </c>
      <c r="K50" s="83">
        <f t="shared" si="22"/>
        <v>1</v>
      </c>
      <c r="L50" s="84">
        <f t="shared" si="23"/>
        <v>2000000</v>
      </c>
      <c r="M50" s="84">
        <f t="shared" si="29"/>
        <v>0</v>
      </c>
      <c r="N50" s="84">
        <f t="shared" si="30"/>
        <v>0</v>
      </c>
      <c r="O50" s="84" t="str">
        <f t="shared" si="31"/>
        <v>-</v>
      </c>
      <c r="P50" s="84" t="str">
        <f t="shared" si="32"/>
        <v>-</v>
      </c>
      <c r="Q50" s="84">
        <f t="shared" si="24"/>
        <v>2000000</v>
      </c>
      <c r="R50" s="72"/>
      <c r="S50" s="72"/>
      <c r="T50" s="72"/>
      <c r="U50" s="9"/>
      <c r="V50" s="9"/>
      <c r="W50" s="26"/>
      <c r="X50" s="26"/>
      <c r="Y50" s="751" t="s">
        <v>910</v>
      </c>
      <c r="Z50" s="742">
        <f>1000000/0.9</f>
        <v>1111111.111</v>
      </c>
      <c r="AA50" s="743">
        <v>1.0</v>
      </c>
      <c r="AB50" s="744"/>
      <c r="AC50" s="744"/>
      <c r="AD50" s="744"/>
      <c r="AE50" s="745"/>
      <c r="AF50" s="746"/>
      <c r="AG50" s="744"/>
      <c r="AH50" s="744"/>
      <c r="AI50" s="744"/>
      <c r="AJ50" s="747">
        <f t="shared" si="25"/>
        <v>0</v>
      </c>
      <c r="AK50" s="747">
        <f t="shared" si="26"/>
        <v>1111111.111</v>
      </c>
      <c r="AL50" s="747">
        <f t="shared" si="27"/>
        <v>888888.8889</v>
      </c>
      <c r="AM50" s="748">
        <f t="shared" si="28"/>
        <v>0.4444444444</v>
      </c>
      <c r="AN50" s="9"/>
      <c r="AO50" s="9"/>
      <c r="AP50" s="9"/>
      <c r="AQ50" s="9"/>
    </row>
    <row r="51" ht="96.0" customHeight="1" outlineLevel="1">
      <c r="A51" s="73" t="s">
        <v>73</v>
      </c>
      <c r="B51" s="96" t="s">
        <v>157</v>
      </c>
      <c r="C51" s="75" t="s">
        <v>38</v>
      </c>
      <c r="D51" s="76" t="s">
        <v>158</v>
      </c>
      <c r="E51" s="77" t="s">
        <v>40</v>
      </c>
      <c r="F51" s="78" t="s">
        <v>139</v>
      </c>
      <c r="G51" s="79" t="s">
        <v>50</v>
      </c>
      <c r="H51" s="80" t="s">
        <v>1472</v>
      </c>
      <c r="I51" s="81" t="b">
        <v>1</v>
      </c>
      <c r="J51" s="82" t="s">
        <v>7</v>
      </c>
      <c r="K51" s="83">
        <f t="shared" si="22"/>
        <v>1</v>
      </c>
      <c r="L51" s="84">
        <f t="shared" si="23"/>
        <v>6000000</v>
      </c>
      <c r="M51" s="84">
        <f t="shared" si="29"/>
        <v>30000</v>
      </c>
      <c r="N51" s="84">
        <f t="shared" si="30"/>
        <v>2000</v>
      </c>
      <c r="O51" s="84">
        <f t="shared" si="31"/>
        <v>200</v>
      </c>
      <c r="P51" s="84">
        <f t="shared" si="32"/>
        <v>3000</v>
      </c>
      <c r="Q51" s="84">
        <f t="shared" si="24"/>
        <v>6000000</v>
      </c>
      <c r="R51" s="75" t="s">
        <v>1473</v>
      </c>
      <c r="S51" s="85" t="s">
        <v>161</v>
      </c>
      <c r="T51" s="153" t="s">
        <v>222</v>
      </c>
      <c r="U51" s="87"/>
      <c r="V51" s="87"/>
      <c r="W51" s="740"/>
      <c r="X51" s="740"/>
      <c r="Y51" s="741" t="s">
        <v>1474</v>
      </c>
      <c r="Z51" s="742">
        <f>3300000/0.9</f>
        <v>3666666.667</v>
      </c>
      <c r="AA51" s="743">
        <v>0.5</v>
      </c>
      <c r="AB51" s="744">
        <v>20000.0</v>
      </c>
      <c r="AC51" s="744">
        <v>10000.0</v>
      </c>
      <c r="AD51" s="744">
        <v>1000.0</v>
      </c>
      <c r="AE51" s="745">
        <v>1000.0</v>
      </c>
      <c r="AF51" s="746"/>
      <c r="AG51" s="744"/>
      <c r="AH51" s="744"/>
      <c r="AI51" s="744"/>
      <c r="AJ51" s="747">
        <f t="shared" si="25"/>
        <v>70000</v>
      </c>
      <c r="AK51" s="747">
        <f t="shared" si="26"/>
        <v>3736666.667</v>
      </c>
      <c r="AL51" s="747">
        <f t="shared" si="27"/>
        <v>2263333.333</v>
      </c>
      <c r="AM51" s="748">
        <f t="shared" si="28"/>
        <v>0.3772222222</v>
      </c>
      <c r="AN51" s="9"/>
      <c r="AO51" s="9"/>
      <c r="AP51" s="9"/>
      <c r="AQ51" s="9"/>
    </row>
    <row r="52" ht="96.0" customHeight="1" outlineLevel="1">
      <c r="A52" s="72"/>
      <c r="B52" s="72"/>
      <c r="C52" s="72"/>
      <c r="D52" s="72"/>
      <c r="E52" s="72"/>
      <c r="F52" s="72"/>
      <c r="G52" s="72"/>
      <c r="H52" s="88" t="s">
        <v>1475</v>
      </c>
      <c r="I52" s="81" t="b">
        <v>1</v>
      </c>
      <c r="J52" s="82" t="s">
        <v>47</v>
      </c>
      <c r="K52" s="83">
        <f t="shared" si="22"/>
        <v>1</v>
      </c>
      <c r="L52" s="84">
        <f t="shared" si="23"/>
        <v>2000000</v>
      </c>
      <c r="M52" s="84">
        <f t="shared" si="29"/>
        <v>0</v>
      </c>
      <c r="N52" s="84">
        <f t="shared" si="30"/>
        <v>0</v>
      </c>
      <c r="O52" s="84" t="str">
        <f t="shared" si="31"/>
        <v>-</v>
      </c>
      <c r="P52" s="84" t="str">
        <f t="shared" si="32"/>
        <v>-</v>
      </c>
      <c r="Q52" s="84">
        <f t="shared" si="24"/>
        <v>2000000</v>
      </c>
      <c r="R52" s="72"/>
      <c r="S52" s="72"/>
      <c r="T52" s="72"/>
      <c r="U52" s="87"/>
      <c r="V52" s="87"/>
      <c r="W52" s="26"/>
      <c r="X52" s="26"/>
      <c r="Y52" s="751" t="s">
        <v>910</v>
      </c>
      <c r="Z52" s="742">
        <f>1000000/0.9</f>
        <v>1111111.111</v>
      </c>
      <c r="AA52" s="743">
        <v>0.5</v>
      </c>
      <c r="AB52" s="744"/>
      <c r="AC52" s="744"/>
      <c r="AD52" s="744"/>
      <c r="AE52" s="745"/>
      <c r="AF52" s="746"/>
      <c r="AG52" s="744"/>
      <c r="AH52" s="744"/>
      <c r="AI52" s="744"/>
      <c r="AJ52" s="747">
        <f t="shared" si="25"/>
        <v>0</v>
      </c>
      <c r="AK52" s="747">
        <f t="shared" si="26"/>
        <v>1111111.111</v>
      </c>
      <c r="AL52" s="747">
        <f t="shared" si="27"/>
        <v>888888.8889</v>
      </c>
      <c r="AM52" s="748">
        <f t="shared" si="28"/>
        <v>0.4444444444</v>
      </c>
      <c r="AN52" s="9"/>
      <c r="AO52" s="9"/>
      <c r="AP52" s="9"/>
      <c r="AQ52" s="9"/>
    </row>
    <row r="53" ht="96.0" customHeight="1" outlineLevel="1">
      <c r="A53" s="73" t="s">
        <v>73</v>
      </c>
      <c r="B53" s="96" t="s">
        <v>163</v>
      </c>
      <c r="C53" s="75" t="s">
        <v>38</v>
      </c>
      <c r="D53" s="76" t="s">
        <v>164</v>
      </c>
      <c r="E53" s="77" t="s">
        <v>146</v>
      </c>
      <c r="F53" s="78" t="s">
        <v>21</v>
      </c>
      <c r="G53" s="79" t="s">
        <v>50</v>
      </c>
      <c r="H53" s="80" t="s">
        <v>1476</v>
      </c>
      <c r="I53" s="81" t="b">
        <v>1</v>
      </c>
      <c r="J53" s="82" t="s">
        <v>7</v>
      </c>
      <c r="K53" s="83">
        <f t="shared" si="22"/>
        <v>1</v>
      </c>
      <c r="L53" s="84">
        <f t="shared" si="23"/>
        <v>5000000</v>
      </c>
      <c r="M53" s="84">
        <f t="shared" si="29"/>
        <v>20000</v>
      </c>
      <c r="N53" s="84">
        <f t="shared" si="30"/>
        <v>1500</v>
      </c>
      <c r="O53" s="84">
        <f t="shared" si="31"/>
        <v>250</v>
      </c>
      <c r="P53" s="84">
        <f t="shared" si="32"/>
        <v>3333.333333</v>
      </c>
      <c r="Q53" s="84">
        <f t="shared" si="24"/>
        <v>5000000</v>
      </c>
      <c r="R53" s="75" t="s">
        <v>1477</v>
      </c>
      <c r="S53" s="85" t="s">
        <v>167</v>
      </c>
      <c r="T53" s="153" t="s">
        <v>222</v>
      </c>
      <c r="U53" s="87"/>
      <c r="V53" s="87"/>
      <c r="W53" s="740"/>
      <c r="X53" s="740"/>
      <c r="Y53" s="741" t="s">
        <v>1478</v>
      </c>
      <c r="Z53" s="742">
        <f>2700000/0.9</f>
        <v>3000000</v>
      </c>
      <c r="AA53" s="743">
        <v>0.5</v>
      </c>
      <c r="AB53" s="744">
        <v>10000.0</v>
      </c>
      <c r="AC53" s="744">
        <v>10000.0</v>
      </c>
      <c r="AD53" s="744">
        <v>500.0</v>
      </c>
      <c r="AE53" s="745">
        <v>1000.0</v>
      </c>
      <c r="AF53" s="746"/>
      <c r="AG53" s="744"/>
      <c r="AH53" s="744"/>
      <c r="AI53" s="744"/>
      <c r="AJ53" s="747">
        <f t="shared" si="25"/>
        <v>70000</v>
      </c>
      <c r="AK53" s="747">
        <f t="shared" si="26"/>
        <v>3070000</v>
      </c>
      <c r="AL53" s="747">
        <f t="shared" si="27"/>
        <v>1930000</v>
      </c>
      <c r="AM53" s="748">
        <f t="shared" si="28"/>
        <v>0.386</v>
      </c>
      <c r="AN53" s="9"/>
      <c r="AO53" s="9"/>
      <c r="AP53" s="9"/>
      <c r="AQ53" s="9"/>
    </row>
    <row r="54" ht="96.0" customHeight="1" outlineLevel="1">
      <c r="A54" s="72"/>
      <c r="B54" s="72"/>
      <c r="C54" s="72"/>
      <c r="D54" s="72"/>
      <c r="E54" s="72"/>
      <c r="F54" s="72"/>
      <c r="G54" s="72"/>
      <c r="H54" s="88" t="s">
        <v>1479</v>
      </c>
      <c r="I54" s="81" t="b">
        <v>1</v>
      </c>
      <c r="J54" s="82" t="s">
        <v>47</v>
      </c>
      <c r="K54" s="83">
        <f t="shared" si="22"/>
        <v>1</v>
      </c>
      <c r="L54" s="84">
        <f t="shared" si="23"/>
        <v>3000000</v>
      </c>
      <c r="M54" s="84">
        <f t="shared" si="29"/>
        <v>0</v>
      </c>
      <c r="N54" s="84">
        <f t="shared" si="30"/>
        <v>0</v>
      </c>
      <c r="O54" s="84" t="str">
        <f t="shared" si="31"/>
        <v>-</v>
      </c>
      <c r="P54" s="84" t="str">
        <f t="shared" si="32"/>
        <v>-</v>
      </c>
      <c r="Q54" s="84">
        <f t="shared" si="24"/>
        <v>3000000</v>
      </c>
      <c r="R54" s="72"/>
      <c r="S54" s="72"/>
      <c r="T54" s="72"/>
      <c r="U54" s="9"/>
      <c r="V54" s="9"/>
      <c r="W54" s="26"/>
      <c r="X54" s="26"/>
      <c r="Y54" s="751" t="s">
        <v>910</v>
      </c>
      <c r="Z54" s="742">
        <f>1500000/0.9</f>
        <v>1666666.667</v>
      </c>
      <c r="AA54" s="743">
        <v>0.5</v>
      </c>
      <c r="AB54" s="744"/>
      <c r="AC54" s="744"/>
      <c r="AD54" s="744"/>
      <c r="AE54" s="745"/>
      <c r="AF54" s="746"/>
      <c r="AG54" s="744"/>
      <c r="AH54" s="744"/>
      <c r="AI54" s="744"/>
      <c r="AJ54" s="747">
        <f t="shared" si="25"/>
        <v>0</v>
      </c>
      <c r="AK54" s="747">
        <f t="shared" si="26"/>
        <v>1666666.667</v>
      </c>
      <c r="AL54" s="747">
        <f t="shared" si="27"/>
        <v>1333333.333</v>
      </c>
      <c r="AM54" s="748">
        <f t="shared" si="28"/>
        <v>0.4444444444</v>
      </c>
      <c r="AN54" s="9"/>
      <c r="AO54" s="9"/>
      <c r="AP54" s="9"/>
      <c r="AQ54" s="9"/>
    </row>
    <row r="55" ht="96.0" customHeight="1" outlineLevel="1">
      <c r="A55" s="73" t="s">
        <v>73</v>
      </c>
      <c r="B55" s="91" t="s">
        <v>169</v>
      </c>
      <c r="C55" s="75" t="s">
        <v>38</v>
      </c>
      <c r="D55" s="76">
        <v>6489.0</v>
      </c>
      <c r="E55" s="77" t="s">
        <v>146</v>
      </c>
      <c r="F55" s="78" t="s">
        <v>139</v>
      </c>
      <c r="G55" s="79" t="s">
        <v>50</v>
      </c>
      <c r="H55" s="80" t="s">
        <v>1480</v>
      </c>
      <c r="I55" s="81" t="b">
        <v>1</v>
      </c>
      <c r="J55" s="82" t="s">
        <v>7</v>
      </c>
      <c r="K55" s="83">
        <f t="shared" si="22"/>
        <v>1</v>
      </c>
      <c r="L55" s="84">
        <f t="shared" si="23"/>
        <v>3000000</v>
      </c>
      <c r="M55" s="84">
        <f t="shared" si="29"/>
        <v>10000</v>
      </c>
      <c r="N55" s="84">
        <f t="shared" si="30"/>
        <v>1000</v>
      </c>
      <c r="O55" s="84">
        <f t="shared" si="31"/>
        <v>300</v>
      </c>
      <c r="P55" s="84">
        <f t="shared" si="32"/>
        <v>3000</v>
      </c>
      <c r="Q55" s="84">
        <f t="shared" si="24"/>
        <v>3000000</v>
      </c>
      <c r="R55" s="75" t="s">
        <v>1481</v>
      </c>
      <c r="S55" s="85" t="s">
        <v>172</v>
      </c>
      <c r="T55" s="153" t="s">
        <v>222</v>
      </c>
      <c r="U55" s="9"/>
      <c r="V55" s="9"/>
      <c r="W55" s="740"/>
      <c r="X55" s="740"/>
      <c r="Y55" s="741" t="s">
        <v>1482</v>
      </c>
      <c r="Z55" s="742">
        <f>1800000/0.9</f>
        <v>2000000</v>
      </c>
      <c r="AA55" s="743">
        <v>0.5</v>
      </c>
      <c r="AB55" s="744">
        <v>5000.0</v>
      </c>
      <c r="AC55" s="744">
        <v>5000.0</v>
      </c>
      <c r="AD55" s="744">
        <v>500.0</v>
      </c>
      <c r="AE55" s="745">
        <v>500.0</v>
      </c>
      <c r="AF55" s="746"/>
      <c r="AG55" s="744"/>
      <c r="AH55" s="744"/>
      <c r="AI55" s="744"/>
      <c r="AJ55" s="747">
        <f t="shared" si="25"/>
        <v>35000</v>
      </c>
      <c r="AK55" s="747">
        <f t="shared" si="26"/>
        <v>2035000</v>
      </c>
      <c r="AL55" s="747">
        <f t="shared" si="27"/>
        <v>965000</v>
      </c>
      <c r="AM55" s="748">
        <f t="shared" si="28"/>
        <v>0.3216666667</v>
      </c>
      <c r="AN55" s="9"/>
      <c r="AO55" s="9"/>
      <c r="AP55" s="9"/>
      <c r="AQ55" s="9"/>
    </row>
    <row r="56" ht="96.0" customHeight="1" outlineLevel="1">
      <c r="A56" s="72"/>
      <c r="B56" s="72"/>
      <c r="C56" s="72"/>
      <c r="D56" s="72"/>
      <c r="E56" s="72"/>
      <c r="F56" s="72"/>
      <c r="G56" s="72"/>
      <c r="H56" s="88" t="s">
        <v>1483</v>
      </c>
      <c r="I56" s="81" t="b">
        <v>1</v>
      </c>
      <c r="J56" s="82" t="s">
        <v>47</v>
      </c>
      <c r="K56" s="83">
        <f t="shared" si="22"/>
        <v>1</v>
      </c>
      <c r="L56" s="84">
        <f t="shared" si="23"/>
        <v>2000000</v>
      </c>
      <c r="M56" s="84">
        <f t="shared" si="29"/>
        <v>0</v>
      </c>
      <c r="N56" s="84">
        <f t="shared" si="30"/>
        <v>0</v>
      </c>
      <c r="O56" s="84" t="str">
        <f t="shared" si="31"/>
        <v>-</v>
      </c>
      <c r="P56" s="84" t="str">
        <f t="shared" si="32"/>
        <v>-</v>
      </c>
      <c r="Q56" s="84">
        <f t="shared" si="24"/>
        <v>2000000</v>
      </c>
      <c r="R56" s="72"/>
      <c r="S56" s="72"/>
      <c r="T56" s="72"/>
      <c r="U56" s="9"/>
      <c r="V56" s="9"/>
      <c r="W56" s="26"/>
      <c r="X56" s="26"/>
      <c r="Y56" s="751" t="s">
        <v>910</v>
      </c>
      <c r="Z56" s="742">
        <f>1000000/0.9</f>
        <v>1111111.111</v>
      </c>
      <c r="AA56" s="743">
        <v>1.2</v>
      </c>
      <c r="AB56" s="744"/>
      <c r="AC56" s="744"/>
      <c r="AD56" s="744"/>
      <c r="AE56" s="745"/>
      <c r="AF56" s="746"/>
      <c r="AG56" s="744"/>
      <c r="AH56" s="744"/>
      <c r="AI56" s="744"/>
      <c r="AJ56" s="747">
        <f t="shared" si="25"/>
        <v>0</v>
      </c>
      <c r="AK56" s="747">
        <f t="shared" si="26"/>
        <v>1111111.111</v>
      </c>
      <c r="AL56" s="747">
        <f t="shared" si="27"/>
        <v>888888.8889</v>
      </c>
      <c r="AM56" s="748">
        <f t="shared" si="28"/>
        <v>0.4444444444</v>
      </c>
      <c r="AN56" s="9"/>
      <c r="AO56" s="9"/>
      <c r="AP56" s="9"/>
      <c r="AQ56" s="9"/>
    </row>
    <row r="57" ht="96.0" customHeight="1" outlineLevel="1">
      <c r="A57" s="73" t="s">
        <v>186</v>
      </c>
      <c r="B57" s="151" t="s">
        <v>237</v>
      </c>
      <c r="C57" s="75" t="s">
        <v>38</v>
      </c>
      <c r="D57" s="76" t="s">
        <v>238</v>
      </c>
      <c r="E57" s="77" t="s">
        <v>146</v>
      </c>
      <c r="F57" s="78" t="s">
        <v>139</v>
      </c>
      <c r="G57" s="79" t="s">
        <v>50</v>
      </c>
      <c r="H57" s="80" t="s">
        <v>1484</v>
      </c>
      <c r="I57" s="81" t="b">
        <v>1</v>
      </c>
      <c r="J57" s="82" t="s">
        <v>7</v>
      </c>
      <c r="K57" s="83">
        <f t="shared" si="22"/>
        <v>1</v>
      </c>
      <c r="L57" s="84">
        <f t="shared" si="23"/>
        <v>16000000</v>
      </c>
      <c r="M57" s="84">
        <f t="shared" si="29"/>
        <v>70000</v>
      </c>
      <c r="N57" s="84">
        <f t="shared" si="30"/>
        <v>4000</v>
      </c>
      <c r="O57" s="84">
        <f t="shared" si="31"/>
        <v>228.5714286</v>
      </c>
      <c r="P57" s="84">
        <f t="shared" si="32"/>
        <v>4000</v>
      </c>
      <c r="Q57" s="84">
        <f t="shared" si="24"/>
        <v>16000000</v>
      </c>
      <c r="R57" s="75" t="s">
        <v>1485</v>
      </c>
      <c r="S57" s="85"/>
      <c r="T57" s="149" t="s">
        <v>122</v>
      </c>
      <c r="U57" s="87"/>
      <c r="V57" s="87"/>
      <c r="W57" s="740"/>
      <c r="X57" s="740"/>
      <c r="Y57" s="741" t="s">
        <v>918</v>
      </c>
      <c r="Z57" s="742">
        <f>10000000/0.9</f>
        <v>11111111.11</v>
      </c>
      <c r="AA57" s="743">
        <v>0.4</v>
      </c>
      <c r="AB57" s="744"/>
      <c r="AC57" s="744">
        <v>70000.0</v>
      </c>
      <c r="AD57" s="744"/>
      <c r="AE57" s="745">
        <v>4000.0</v>
      </c>
      <c r="AF57" s="746"/>
      <c r="AG57" s="744"/>
      <c r="AH57" s="744"/>
      <c r="AI57" s="744"/>
      <c r="AJ57" s="747">
        <f t="shared" si="25"/>
        <v>340000</v>
      </c>
      <c r="AK57" s="747">
        <f t="shared" si="26"/>
        <v>11451111.11</v>
      </c>
      <c r="AL57" s="747">
        <f t="shared" si="27"/>
        <v>4548888.889</v>
      </c>
      <c r="AM57" s="748">
        <f t="shared" si="28"/>
        <v>0.2843055556</v>
      </c>
      <c r="AN57" s="9"/>
      <c r="AO57" s="9"/>
      <c r="AP57" s="9"/>
      <c r="AQ57" s="9"/>
    </row>
    <row r="58" ht="96.0" customHeight="1" outlineLevel="1">
      <c r="A58" s="72"/>
      <c r="B58" s="72"/>
      <c r="C58" s="72"/>
      <c r="D58" s="72"/>
      <c r="E58" s="72"/>
      <c r="F58" s="72"/>
      <c r="G58" s="72"/>
      <c r="H58" s="88" t="s">
        <v>1486</v>
      </c>
      <c r="I58" s="81" t="b">
        <v>1</v>
      </c>
      <c r="J58" s="82" t="s">
        <v>47</v>
      </c>
      <c r="K58" s="83">
        <f t="shared" si="22"/>
        <v>1</v>
      </c>
      <c r="L58" s="84">
        <f t="shared" si="23"/>
        <v>8000000</v>
      </c>
      <c r="M58" s="84">
        <f t="shared" si="29"/>
        <v>0</v>
      </c>
      <c r="N58" s="84">
        <f t="shared" si="30"/>
        <v>0</v>
      </c>
      <c r="O58" s="84" t="str">
        <f t="shared" si="31"/>
        <v>-</v>
      </c>
      <c r="P58" s="84" t="str">
        <f t="shared" si="32"/>
        <v>-</v>
      </c>
      <c r="Q58" s="84">
        <f t="shared" si="24"/>
        <v>8000000</v>
      </c>
      <c r="R58" s="72"/>
      <c r="S58" s="72"/>
      <c r="T58" s="72"/>
      <c r="U58" s="9"/>
      <c r="V58" s="9"/>
      <c r="W58" s="26"/>
      <c r="X58" s="26"/>
      <c r="Y58" s="751" t="s">
        <v>910</v>
      </c>
      <c r="Z58" s="742">
        <f>5000000/0.9</f>
        <v>5555555.556</v>
      </c>
      <c r="AA58" s="743">
        <v>0.4</v>
      </c>
      <c r="AB58" s="744"/>
      <c r="AC58" s="744"/>
      <c r="AD58" s="744"/>
      <c r="AE58" s="745"/>
      <c r="AF58" s="746"/>
      <c r="AG58" s="744"/>
      <c r="AH58" s="744"/>
      <c r="AI58" s="744"/>
      <c r="AJ58" s="747">
        <f t="shared" si="25"/>
        <v>0</v>
      </c>
      <c r="AK58" s="747">
        <f t="shared" si="26"/>
        <v>5555555.556</v>
      </c>
      <c r="AL58" s="747">
        <f t="shared" si="27"/>
        <v>2444444.444</v>
      </c>
      <c r="AM58" s="748">
        <f t="shared" si="28"/>
        <v>0.3055555556</v>
      </c>
      <c r="AN58" s="9"/>
      <c r="AO58" s="9"/>
      <c r="AP58" s="9"/>
      <c r="AQ58" s="9"/>
    </row>
    <row r="59" ht="96.0" customHeight="1" outlineLevel="1">
      <c r="A59" s="73" t="s">
        <v>186</v>
      </c>
      <c r="B59" s="151" t="s">
        <v>187</v>
      </c>
      <c r="C59" s="75" t="s">
        <v>38</v>
      </c>
      <c r="D59" s="76" t="s">
        <v>188</v>
      </c>
      <c r="E59" s="77" t="s">
        <v>146</v>
      </c>
      <c r="F59" s="78" t="s">
        <v>139</v>
      </c>
      <c r="G59" s="79" t="s">
        <v>50</v>
      </c>
      <c r="H59" s="80" t="s">
        <v>1487</v>
      </c>
      <c r="I59" s="81" t="b">
        <v>1</v>
      </c>
      <c r="J59" s="82" t="s">
        <v>7</v>
      </c>
      <c r="K59" s="83">
        <f t="shared" si="22"/>
        <v>1</v>
      </c>
      <c r="L59" s="84">
        <f t="shared" si="23"/>
        <v>12000000</v>
      </c>
      <c r="M59" s="84">
        <f t="shared" si="29"/>
        <v>60000</v>
      </c>
      <c r="N59" s="84">
        <f t="shared" si="30"/>
        <v>3000</v>
      </c>
      <c r="O59" s="84">
        <f t="shared" si="31"/>
        <v>200</v>
      </c>
      <c r="P59" s="84">
        <f t="shared" si="32"/>
        <v>4000</v>
      </c>
      <c r="Q59" s="84">
        <f t="shared" si="24"/>
        <v>12000000</v>
      </c>
      <c r="R59" s="75" t="s">
        <v>1488</v>
      </c>
      <c r="S59" s="85"/>
      <c r="T59" s="149" t="s">
        <v>122</v>
      </c>
      <c r="U59" s="87"/>
      <c r="V59" s="87"/>
      <c r="W59" s="740"/>
      <c r="X59" s="740"/>
      <c r="Y59" s="741" t="s">
        <v>918</v>
      </c>
      <c r="Z59" s="742">
        <f>8000000/0.9</f>
        <v>8888888.889</v>
      </c>
      <c r="AA59" s="743">
        <v>0.4</v>
      </c>
      <c r="AB59" s="744">
        <v>10000.0</v>
      </c>
      <c r="AC59" s="744">
        <v>50000.0</v>
      </c>
      <c r="AD59" s="744">
        <v>500.0</v>
      </c>
      <c r="AE59" s="745">
        <v>2500.0</v>
      </c>
      <c r="AF59" s="746"/>
      <c r="AG59" s="744"/>
      <c r="AH59" s="744"/>
      <c r="AI59" s="744"/>
      <c r="AJ59" s="747">
        <f t="shared" si="25"/>
        <v>225000</v>
      </c>
      <c r="AK59" s="747">
        <f t="shared" si="26"/>
        <v>9113888.889</v>
      </c>
      <c r="AL59" s="747">
        <f t="shared" si="27"/>
        <v>2886111.111</v>
      </c>
      <c r="AM59" s="748">
        <f t="shared" si="28"/>
        <v>0.2405092593</v>
      </c>
      <c r="AN59" s="9"/>
      <c r="AO59" s="9"/>
      <c r="AP59" s="9"/>
      <c r="AQ59" s="9"/>
    </row>
    <row r="60" ht="96.0" customHeight="1" outlineLevel="1">
      <c r="A60" s="72"/>
      <c r="B60" s="72"/>
      <c r="C60" s="72"/>
      <c r="D60" s="72"/>
      <c r="E60" s="72"/>
      <c r="F60" s="72"/>
      <c r="G60" s="72"/>
      <c r="H60" s="88" t="s">
        <v>1489</v>
      </c>
      <c r="I60" s="81" t="b">
        <v>1</v>
      </c>
      <c r="J60" s="82" t="s">
        <v>47</v>
      </c>
      <c r="K60" s="83">
        <f t="shared" si="22"/>
        <v>1</v>
      </c>
      <c r="L60" s="84">
        <f t="shared" si="23"/>
        <v>8000000</v>
      </c>
      <c r="M60" s="84">
        <f t="shared" si="29"/>
        <v>0</v>
      </c>
      <c r="N60" s="84">
        <f t="shared" si="30"/>
        <v>0</v>
      </c>
      <c r="O60" s="84" t="str">
        <f t="shared" si="31"/>
        <v>-</v>
      </c>
      <c r="P60" s="84" t="str">
        <f t="shared" si="32"/>
        <v>-</v>
      </c>
      <c r="Q60" s="84">
        <f t="shared" si="24"/>
        <v>8000000</v>
      </c>
      <c r="R60" s="72"/>
      <c r="S60" s="72"/>
      <c r="T60" s="72"/>
      <c r="U60" s="9"/>
      <c r="V60" s="9"/>
      <c r="W60" s="26"/>
      <c r="X60" s="26"/>
      <c r="Y60" s="751" t="s">
        <v>910</v>
      </c>
      <c r="Z60" s="742">
        <f>5000000/0.9</f>
        <v>5555555.556</v>
      </c>
      <c r="AA60" s="743">
        <v>0.4</v>
      </c>
      <c r="AB60" s="744"/>
      <c r="AC60" s="744"/>
      <c r="AD60" s="744"/>
      <c r="AE60" s="745"/>
      <c r="AF60" s="746"/>
      <c r="AG60" s="744"/>
      <c r="AH60" s="744"/>
      <c r="AI60" s="744"/>
      <c r="AJ60" s="747">
        <f t="shared" si="25"/>
        <v>0</v>
      </c>
      <c r="AK60" s="747">
        <f t="shared" si="26"/>
        <v>5555555.556</v>
      </c>
      <c r="AL60" s="747">
        <f t="shared" si="27"/>
        <v>2444444.444</v>
      </c>
      <c r="AM60" s="748">
        <f t="shared" si="28"/>
        <v>0.3055555556</v>
      </c>
      <c r="AN60" s="9"/>
      <c r="AO60" s="9"/>
      <c r="AP60" s="9"/>
      <c r="AQ60" s="9"/>
    </row>
    <row r="61" ht="96.0" customHeight="1" outlineLevel="1">
      <c r="A61" s="73" t="s">
        <v>186</v>
      </c>
      <c r="B61" s="151" t="s">
        <v>192</v>
      </c>
      <c r="C61" s="75" t="s">
        <v>38</v>
      </c>
      <c r="D61" s="76" t="s">
        <v>193</v>
      </c>
      <c r="E61" s="77" t="s">
        <v>146</v>
      </c>
      <c r="F61" s="78" t="s">
        <v>139</v>
      </c>
      <c r="G61" s="79" t="s">
        <v>50</v>
      </c>
      <c r="H61" s="80" t="s">
        <v>1490</v>
      </c>
      <c r="I61" s="81" t="b">
        <v>1</v>
      </c>
      <c r="J61" s="82" t="s">
        <v>7</v>
      </c>
      <c r="K61" s="83">
        <f t="shared" si="22"/>
        <v>1</v>
      </c>
      <c r="L61" s="84">
        <f t="shared" si="23"/>
        <v>6000000</v>
      </c>
      <c r="M61" s="84">
        <f t="shared" si="29"/>
        <v>25000</v>
      </c>
      <c r="N61" s="84">
        <f t="shared" si="30"/>
        <v>2000</v>
      </c>
      <c r="O61" s="84">
        <f t="shared" si="31"/>
        <v>240</v>
      </c>
      <c r="P61" s="84">
        <f t="shared" si="32"/>
        <v>3000</v>
      </c>
      <c r="Q61" s="84">
        <f t="shared" si="24"/>
        <v>6000000</v>
      </c>
      <c r="R61" s="75" t="s">
        <v>1491</v>
      </c>
      <c r="S61" s="85"/>
      <c r="T61" s="149" t="s">
        <v>122</v>
      </c>
      <c r="U61" s="87"/>
      <c r="V61" s="87"/>
      <c r="W61" s="740"/>
      <c r="X61" s="740"/>
      <c r="Y61" s="741" t="s">
        <v>1492</v>
      </c>
      <c r="Z61" s="742">
        <f>2500000/0.9</f>
        <v>2777777.778</v>
      </c>
      <c r="AA61" s="743">
        <v>1.0</v>
      </c>
      <c r="AB61" s="744">
        <v>10000.0</v>
      </c>
      <c r="AC61" s="744">
        <v>15000.0</v>
      </c>
      <c r="AD61" s="744"/>
      <c r="AE61" s="745">
        <v>2000.0</v>
      </c>
      <c r="AF61" s="746"/>
      <c r="AG61" s="744"/>
      <c r="AH61" s="744"/>
      <c r="AI61" s="744"/>
      <c r="AJ61" s="747">
        <f t="shared" si="25"/>
        <v>130000</v>
      </c>
      <c r="AK61" s="747">
        <f t="shared" si="26"/>
        <v>2907777.778</v>
      </c>
      <c r="AL61" s="747">
        <f t="shared" si="27"/>
        <v>3092222.222</v>
      </c>
      <c r="AM61" s="748">
        <f t="shared" si="28"/>
        <v>0.5153703704</v>
      </c>
      <c r="AN61" s="9"/>
      <c r="AO61" s="9"/>
      <c r="AP61" s="9"/>
      <c r="AQ61" s="9"/>
    </row>
    <row r="62" ht="96.0" customHeight="1" outlineLevel="1">
      <c r="A62" s="72"/>
      <c r="B62" s="72"/>
      <c r="C62" s="72"/>
      <c r="D62" s="72"/>
      <c r="E62" s="72"/>
      <c r="F62" s="72"/>
      <c r="G62" s="72"/>
      <c r="H62" s="88" t="s">
        <v>1493</v>
      </c>
      <c r="I62" s="81" t="b">
        <v>1</v>
      </c>
      <c r="J62" s="82" t="s">
        <v>47</v>
      </c>
      <c r="K62" s="83">
        <f t="shared" si="22"/>
        <v>1</v>
      </c>
      <c r="L62" s="84">
        <f t="shared" si="23"/>
        <v>2000000</v>
      </c>
      <c r="M62" s="84">
        <f t="shared" si="29"/>
        <v>0</v>
      </c>
      <c r="N62" s="84">
        <f t="shared" si="30"/>
        <v>0</v>
      </c>
      <c r="O62" s="84" t="str">
        <f t="shared" si="31"/>
        <v>-</v>
      </c>
      <c r="P62" s="84" t="str">
        <f t="shared" si="32"/>
        <v>-</v>
      </c>
      <c r="Q62" s="84">
        <f t="shared" si="24"/>
        <v>2000000</v>
      </c>
      <c r="R62" s="72"/>
      <c r="S62" s="72"/>
      <c r="T62" s="72"/>
      <c r="U62" s="9"/>
      <c r="V62" s="9"/>
      <c r="W62" s="26"/>
      <c r="X62" s="26"/>
      <c r="Y62" s="751" t="s">
        <v>910</v>
      </c>
      <c r="Z62" s="742">
        <f>1000000/0.9</f>
        <v>1111111.111</v>
      </c>
      <c r="AA62" s="743">
        <v>1.0</v>
      </c>
      <c r="AB62" s="744"/>
      <c r="AC62" s="744"/>
      <c r="AD62" s="744"/>
      <c r="AE62" s="745"/>
      <c r="AF62" s="746"/>
      <c r="AG62" s="744"/>
      <c r="AH62" s="744"/>
      <c r="AI62" s="744"/>
      <c r="AJ62" s="747">
        <f t="shared" si="25"/>
        <v>0</v>
      </c>
      <c r="AK62" s="747">
        <f t="shared" si="26"/>
        <v>1111111.111</v>
      </c>
      <c r="AL62" s="747">
        <f t="shared" si="27"/>
        <v>888888.8889</v>
      </c>
      <c r="AM62" s="748">
        <f t="shared" si="28"/>
        <v>0.4444444444</v>
      </c>
      <c r="AN62" s="9"/>
      <c r="AO62" s="9"/>
      <c r="AP62" s="9"/>
      <c r="AQ62" s="9"/>
    </row>
    <row r="63" ht="96.0" customHeight="1" outlineLevel="1">
      <c r="A63" s="73" t="s">
        <v>186</v>
      </c>
      <c r="B63" s="152" t="s">
        <v>197</v>
      </c>
      <c r="C63" s="75" t="s">
        <v>38</v>
      </c>
      <c r="D63" s="76" t="s">
        <v>198</v>
      </c>
      <c r="E63" s="77" t="s">
        <v>40</v>
      </c>
      <c r="F63" s="78" t="s">
        <v>139</v>
      </c>
      <c r="G63" s="79" t="s">
        <v>50</v>
      </c>
      <c r="H63" s="80" t="s">
        <v>1494</v>
      </c>
      <c r="I63" s="81" t="b">
        <v>0</v>
      </c>
      <c r="J63" s="82" t="s">
        <v>7</v>
      </c>
      <c r="K63" s="83">
        <f t="shared" si="22"/>
        <v>0</v>
      </c>
      <c r="L63" s="84">
        <f t="shared" si="23"/>
        <v>22000000</v>
      </c>
      <c r="M63" s="84">
        <f t="shared" si="29"/>
        <v>0</v>
      </c>
      <c r="N63" s="84">
        <f t="shared" si="30"/>
        <v>0</v>
      </c>
      <c r="O63" s="84" t="str">
        <f t="shared" si="31"/>
        <v>-</v>
      </c>
      <c r="P63" s="84" t="str">
        <f t="shared" si="32"/>
        <v>-</v>
      </c>
      <c r="Q63" s="84">
        <f t="shared" si="24"/>
        <v>0</v>
      </c>
      <c r="R63" s="75" t="s">
        <v>1495</v>
      </c>
      <c r="S63" s="85"/>
      <c r="T63" s="149" t="s">
        <v>122</v>
      </c>
      <c r="U63" s="9"/>
      <c r="V63" s="9"/>
      <c r="W63" s="740"/>
      <c r="X63" s="740"/>
      <c r="Y63" s="741" t="s">
        <v>918</v>
      </c>
      <c r="Z63" s="742">
        <f>14000000/0.9</f>
        <v>15555555.56</v>
      </c>
      <c r="AA63" s="743">
        <v>0.4</v>
      </c>
      <c r="AB63" s="744">
        <v>10000.0</v>
      </c>
      <c r="AC63" s="744">
        <v>80000.0</v>
      </c>
      <c r="AD63" s="744">
        <v>1000.0</v>
      </c>
      <c r="AE63" s="745">
        <v>3000.0</v>
      </c>
      <c r="AF63" s="746"/>
      <c r="AG63" s="744"/>
      <c r="AH63" s="744"/>
      <c r="AI63" s="744"/>
      <c r="AJ63" s="747">
        <f t="shared" si="25"/>
        <v>0</v>
      </c>
      <c r="AK63" s="747">
        <f t="shared" si="26"/>
        <v>0</v>
      </c>
      <c r="AL63" s="747">
        <f t="shared" si="27"/>
        <v>0</v>
      </c>
      <c r="AM63" s="748" t="str">
        <f t="shared" si="28"/>
        <v>-</v>
      </c>
      <c r="AN63" s="9"/>
      <c r="AO63" s="9"/>
      <c r="AP63" s="9"/>
      <c r="AQ63" s="9"/>
    </row>
    <row r="64" ht="96.0" customHeight="1" outlineLevel="1">
      <c r="A64" s="72"/>
      <c r="B64" s="72"/>
      <c r="C64" s="72"/>
      <c r="D64" s="72"/>
      <c r="E64" s="72"/>
      <c r="F64" s="72"/>
      <c r="G64" s="72"/>
      <c r="H64" s="88" t="s">
        <v>1496</v>
      </c>
      <c r="I64" s="81" t="b">
        <v>0</v>
      </c>
      <c r="J64" s="82" t="s">
        <v>47</v>
      </c>
      <c r="K64" s="83">
        <f t="shared" si="22"/>
        <v>0</v>
      </c>
      <c r="L64" s="84">
        <f t="shared" si="23"/>
        <v>6000000</v>
      </c>
      <c r="M64" s="84">
        <f t="shared" si="29"/>
        <v>0</v>
      </c>
      <c r="N64" s="84">
        <f t="shared" si="30"/>
        <v>0</v>
      </c>
      <c r="O64" s="84" t="str">
        <f t="shared" si="31"/>
        <v>-</v>
      </c>
      <c r="P64" s="84" t="str">
        <f t="shared" si="32"/>
        <v>-</v>
      </c>
      <c r="Q64" s="84">
        <f t="shared" si="24"/>
        <v>0</v>
      </c>
      <c r="R64" s="72"/>
      <c r="S64" s="72"/>
      <c r="T64" s="72"/>
      <c r="U64" s="9"/>
      <c r="V64" s="9"/>
      <c r="W64" s="26"/>
      <c r="X64" s="26"/>
      <c r="Y64" s="751" t="s">
        <v>1497</v>
      </c>
      <c r="Z64" s="742">
        <f>1000000/0.9</f>
        <v>1111111.111</v>
      </c>
      <c r="AA64" s="743">
        <v>4.0</v>
      </c>
      <c r="AB64" s="744"/>
      <c r="AC64" s="744"/>
      <c r="AD64" s="744"/>
      <c r="AE64" s="745"/>
      <c r="AF64" s="746"/>
      <c r="AG64" s="744"/>
      <c r="AH64" s="744"/>
      <c r="AI64" s="744"/>
      <c r="AJ64" s="747">
        <f t="shared" si="25"/>
        <v>0</v>
      </c>
      <c r="AK64" s="747">
        <f t="shared" si="26"/>
        <v>0</v>
      </c>
      <c r="AL64" s="747">
        <f t="shared" si="27"/>
        <v>0</v>
      </c>
      <c r="AM64" s="748" t="str">
        <f t="shared" si="28"/>
        <v>-</v>
      </c>
      <c r="AN64" s="9"/>
      <c r="AO64" s="9"/>
      <c r="AP64" s="9"/>
      <c r="AQ64" s="9"/>
    </row>
    <row r="65" outlineLevel="1">
      <c r="A65" s="134" t="s">
        <v>202</v>
      </c>
      <c r="B65" s="135" t="s">
        <v>203</v>
      </c>
      <c r="C65" s="136"/>
      <c r="D65" s="137"/>
      <c r="E65" s="138"/>
      <c r="F65" s="139"/>
      <c r="G65" s="140"/>
      <c r="H65" s="136"/>
      <c r="I65" s="141" t="b">
        <v>0</v>
      </c>
      <c r="J65" s="142"/>
      <c r="K65" s="143"/>
      <c r="L65" s="144"/>
      <c r="M65" s="144"/>
      <c r="N65" s="144"/>
      <c r="O65" s="144"/>
      <c r="P65" s="144"/>
      <c r="Q65" s="144"/>
      <c r="R65" s="136"/>
      <c r="S65" s="145"/>
      <c r="T65" s="138"/>
      <c r="U65" s="146"/>
      <c r="V65" s="146"/>
      <c r="W65" s="773"/>
      <c r="X65" s="773"/>
      <c r="Y65" s="774"/>
      <c r="Z65" s="775"/>
      <c r="AA65" s="776"/>
      <c r="AB65" s="777"/>
      <c r="AC65" s="777"/>
      <c r="AD65" s="777"/>
      <c r="AE65" s="778"/>
      <c r="AF65" s="779"/>
      <c r="AG65" s="777"/>
      <c r="AH65" s="777"/>
      <c r="AI65" s="777"/>
      <c r="AJ65" s="780"/>
      <c r="AK65" s="780"/>
      <c r="AL65" s="780"/>
      <c r="AM65" s="781"/>
      <c r="AN65" s="146"/>
      <c r="AO65" s="146"/>
      <c r="AP65" s="146"/>
      <c r="AQ65" s="146"/>
    </row>
    <row r="66" ht="96.0" customHeight="1" outlineLevel="1">
      <c r="A66" s="73" t="s">
        <v>101</v>
      </c>
      <c r="B66" s="147" t="s">
        <v>204</v>
      </c>
      <c r="C66" s="75" t="s">
        <v>38</v>
      </c>
      <c r="D66" s="76" t="s">
        <v>205</v>
      </c>
      <c r="E66" s="77" t="s">
        <v>146</v>
      </c>
      <c r="F66" s="78" t="s">
        <v>206</v>
      </c>
      <c r="G66" s="79" t="s">
        <v>105</v>
      </c>
      <c r="H66" s="80" t="s">
        <v>1498</v>
      </c>
      <c r="I66" s="81" t="b">
        <v>1</v>
      </c>
      <c r="J66" s="82" t="s">
        <v>7</v>
      </c>
      <c r="K66" s="83">
        <f t="shared" ref="K66:K79" si="33">if(I66=True,1,if(I66=False,0))</f>
        <v>1</v>
      </c>
      <c r="L66" s="84">
        <f t="shared" ref="L66:L79" si="34">round(Z66*(1+AA66),-6)</f>
        <v>4000000</v>
      </c>
      <c r="M66" s="84">
        <f t="shared" ref="M66:M72" si="35">(sum(AB66:AC66)+sum(AF66:AG66))*K66</f>
        <v>20000</v>
      </c>
      <c r="N66" s="84">
        <f t="shared" ref="N66:N72" si="36">(sum(AD66:AE66)+sum(AH66:AI66))*K66</f>
        <v>1500</v>
      </c>
      <c r="O66" s="84">
        <f t="shared" ref="O66:O72" si="37">IFERROR(Q66/M66,"-")</f>
        <v>200</v>
      </c>
      <c r="P66" s="84">
        <f t="shared" ref="P66:P72" si="38">IFERROR(Q66/N66,"-")</f>
        <v>2666.666667</v>
      </c>
      <c r="Q66" s="84">
        <f t="shared" ref="Q66:Q79" si="39">iferror(L66*K66,"-")</f>
        <v>4000000</v>
      </c>
      <c r="R66" s="75" t="s">
        <v>1499</v>
      </c>
      <c r="S66" s="85" t="s">
        <v>209</v>
      </c>
      <c r="T66" s="86" t="s">
        <v>45</v>
      </c>
      <c r="U66" s="9"/>
      <c r="V66" s="9"/>
      <c r="W66" s="740"/>
      <c r="X66" s="740"/>
      <c r="Y66" s="741" t="s">
        <v>1500</v>
      </c>
      <c r="Z66" s="742">
        <f>2300000/0.9</f>
        <v>2555555.556</v>
      </c>
      <c r="AA66" s="743">
        <v>0.5</v>
      </c>
      <c r="AB66" s="744">
        <v>10000.0</v>
      </c>
      <c r="AC66" s="744">
        <v>10000.0</v>
      </c>
      <c r="AD66" s="744">
        <v>500.0</v>
      </c>
      <c r="AE66" s="745">
        <v>1000.0</v>
      </c>
      <c r="AF66" s="746"/>
      <c r="AG66" s="744"/>
      <c r="AH66" s="744"/>
      <c r="AI66" s="744"/>
      <c r="AJ66" s="747">
        <f t="shared" ref="AJ66:AJ79" si="40">(AC66*2+AE66*50+AG66*10+AI66*50)*K66</f>
        <v>70000</v>
      </c>
      <c r="AK66" s="747">
        <f t="shared" ref="AK66:AK79" si="41">sum(Z66,AJ66)*K66</f>
        <v>2625555.556</v>
      </c>
      <c r="AL66" s="747">
        <f t="shared" ref="AL66:AL79" si="42">iferror(Q66-AK66,"-")</f>
        <v>1374444.444</v>
      </c>
      <c r="AM66" s="748">
        <f t="shared" ref="AM66:AM79" si="43">iferror(AL66/Q66,"-")</f>
        <v>0.3436111111</v>
      </c>
      <c r="AN66" s="9"/>
      <c r="AO66" s="9"/>
      <c r="AP66" s="9"/>
      <c r="AQ66" s="9"/>
    </row>
    <row r="67" ht="96.0" customHeight="1" outlineLevel="1">
      <c r="A67" s="72"/>
      <c r="B67" s="72"/>
      <c r="C67" s="72"/>
      <c r="D67" s="72"/>
      <c r="E67" s="72"/>
      <c r="F67" s="72"/>
      <c r="G67" s="72"/>
      <c r="H67" s="88" t="s">
        <v>1501</v>
      </c>
      <c r="I67" s="81" t="b">
        <v>1</v>
      </c>
      <c r="J67" s="82" t="s">
        <v>47</v>
      </c>
      <c r="K67" s="83">
        <f t="shared" si="33"/>
        <v>1</v>
      </c>
      <c r="L67" s="84">
        <f t="shared" si="34"/>
        <v>2000000</v>
      </c>
      <c r="M67" s="84">
        <f t="shared" si="35"/>
        <v>0</v>
      </c>
      <c r="N67" s="84">
        <f t="shared" si="36"/>
        <v>0</v>
      </c>
      <c r="O67" s="84" t="str">
        <f t="shared" si="37"/>
        <v>-</v>
      </c>
      <c r="P67" s="84" t="str">
        <f t="shared" si="38"/>
        <v>-</v>
      </c>
      <c r="Q67" s="84">
        <f t="shared" si="39"/>
        <v>2000000</v>
      </c>
      <c r="R67" s="68"/>
      <c r="S67" s="72"/>
      <c r="T67" s="72"/>
      <c r="U67" s="9"/>
      <c r="V67" s="9"/>
      <c r="W67" s="26"/>
      <c r="X67" s="26"/>
      <c r="Y67" s="741" t="s">
        <v>1502</v>
      </c>
      <c r="Z67" s="742">
        <f>500000/0.9</f>
        <v>555555.5556</v>
      </c>
      <c r="AA67" s="743">
        <v>2.0</v>
      </c>
      <c r="AB67" s="744"/>
      <c r="AC67" s="744"/>
      <c r="AD67" s="744"/>
      <c r="AE67" s="745"/>
      <c r="AF67" s="746"/>
      <c r="AG67" s="744"/>
      <c r="AH67" s="744"/>
      <c r="AI67" s="744"/>
      <c r="AJ67" s="747">
        <f t="shared" si="40"/>
        <v>0</v>
      </c>
      <c r="AK67" s="747">
        <f t="shared" si="41"/>
        <v>555555.5556</v>
      </c>
      <c r="AL67" s="747">
        <f t="shared" si="42"/>
        <v>1444444.444</v>
      </c>
      <c r="AM67" s="748">
        <f t="shared" si="43"/>
        <v>0.7222222222</v>
      </c>
      <c r="AN67" s="9"/>
      <c r="AO67" s="9"/>
      <c r="AP67" s="9"/>
      <c r="AQ67" s="9"/>
    </row>
    <row r="68" ht="96.0" customHeight="1" outlineLevel="1">
      <c r="A68" s="73" t="s">
        <v>101</v>
      </c>
      <c r="B68" s="89" t="s">
        <v>211</v>
      </c>
      <c r="C68" s="75" t="s">
        <v>38</v>
      </c>
      <c r="D68" s="76">
        <v>45000.0</v>
      </c>
      <c r="E68" s="77" t="s">
        <v>146</v>
      </c>
      <c r="F68" s="78" t="s">
        <v>212</v>
      </c>
      <c r="G68" s="79" t="s">
        <v>213</v>
      </c>
      <c r="H68" s="80" t="s">
        <v>1503</v>
      </c>
      <c r="I68" s="81" t="b">
        <v>1</v>
      </c>
      <c r="J68" s="82" t="s">
        <v>7</v>
      </c>
      <c r="K68" s="83">
        <f t="shared" si="33"/>
        <v>1</v>
      </c>
      <c r="L68" s="84">
        <f t="shared" si="34"/>
        <v>5000000</v>
      </c>
      <c r="M68" s="84">
        <f t="shared" si="35"/>
        <v>20000</v>
      </c>
      <c r="N68" s="84">
        <f t="shared" si="36"/>
        <v>1500</v>
      </c>
      <c r="O68" s="84">
        <f t="shared" si="37"/>
        <v>250</v>
      </c>
      <c r="P68" s="84">
        <f t="shared" si="38"/>
        <v>3333.333333</v>
      </c>
      <c r="Q68" s="84">
        <f t="shared" si="39"/>
        <v>5000000</v>
      </c>
      <c r="R68" s="68"/>
      <c r="S68" s="85" t="s">
        <v>215</v>
      </c>
      <c r="T68" s="86" t="s">
        <v>45</v>
      </c>
      <c r="U68" s="9"/>
      <c r="V68" s="9"/>
      <c r="W68" s="740"/>
      <c r="X68" s="740"/>
      <c r="Y68" s="741" t="s">
        <v>1504</v>
      </c>
      <c r="Z68" s="742">
        <f>2800000/0.9</f>
        <v>3111111.111</v>
      </c>
      <c r="AA68" s="743">
        <v>0.5</v>
      </c>
      <c r="AB68" s="744">
        <v>10000.0</v>
      </c>
      <c r="AC68" s="744">
        <v>10000.0</v>
      </c>
      <c r="AD68" s="744">
        <v>500.0</v>
      </c>
      <c r="AE68" s="745">
        <v>1000.0</v>
      </c>
      <c r="AF68" s="746"/>
      <c r="AG68" s="744"/>
      <c r="AH68" s="744"/>
      <c r="AI68" s="744"/>
      <c r="AJ68" s="747">
        <f t="shared" si="40"/>
        <v>70000</v>
      </c>
      <c r="AK68" s="747">
        <f t="shared" si="41"/>
        <v>3181111.111</v>
      </c>
      <c r="AL68" s="747">
        <f t="shared" si="42"/>
        <v>1818888.889</v>
      </c>
      <c r="AM68" s="748">
        <f t="shared" si="43"/>
        <v>0.3637777778</v>
      </c>
      <c r="AN68" s="9"/>
      <c r="AO68" s="9"/>
      <c r="AP68" s="9"/>
      <c r="AQ68" s="9"/>
    </row>
    <row r="69" ht="96.0" customHeight="1" outlineLevel="1">
      <c r="A69" s="72"/>
      <c r="B69" s="72"/>
      <c r="C69" s="72"/>
      <c r="D69" s="72"/>
      <c r="E69" s="72"/>
      <c r="F69" s="72"/>
      <c r="G69" s="72"/>
      <c r="H69" s="88" t="s">
        <v>1505</v>
      </c>
      <c r="I69" s="81" t="b">
        <v>1</v>
      </c>
      <c r="J69" s="82" t="s">
        <v>47</v>
      </c>
      <c r="K69" s="83">
        <f t="shared" si="33"/>
        <v>1</v>
      </c>
      <c r="L69" s="84">
        <f t="shared" si="34"/>
        <v>2000000</v>
      </c>
      <c r="M69" s="84">
        <f t="shared" si="35"/>
        <v>0</v>
      </c>
      <c r="N69" s="84">
        <f t="shared" si="36"/>
        <v>0</v>
      </c>
      <c r="O69" s="84" t="str">
        <f t="shared" si="37"/>
        <v>-</v>
      </c>
      <c r="P69" s="84" t="str">
        <f t="shared" si="38"/>
        <v>-</v>
      </c>
      <c r="Q69" s="84">
        <f t="shared" si="39"/>
        <v>2000000</v>
      </c>
      <c r="R69" s="68"/>
      <c r="S69" s="72"/>
      <c r="T69" s="72"/>
      <c r="U69" s="87"/>
      <c r="V69" s="87"/>
      <c r="W69" s="26"/>
      <c r="X69" s="26"/>
      <c r="Y69" s="741" t="s">
        <v>1506</v>
      </c>
      <c r="Z69" s="742">
        <f>500000/0.9</f>
        <v>555555.5556</v>
      </c>
      <c r="AA69" s="743">
        <v>2.0</v>
      </c>
      <c r="AB69" s="744"/>
      <c r="AC69" s="744"/>
      <c r="AD69" s="744"/>
      <c r="AE69" s="745"/>
      <c r="AF69" s="746"/>
      <c r="AG69" s="744"/>
      <c r="AH69" s="744"/>
      <c r="AI69" s="744"/>
      <c r="AJ69" s="747">
        <f t="shared" si="40"/>
        <v>0</v>
      </c>
      <c r="AK69" s="747">
        <f t="shared" si="41"/>
        <v>555555.5556</v>
      </c>
      <c r="AL69" s="747">
        <f t="shared" si="42"/>
        <v>1444444.444</v>
      </c>
      <c r="AM69" s="748">
        <f t="shared" si="43"/>
        <v>0.7222222222</v>
      </c>
      <c r="AN69" s="9"/>
      <c r="AO69" s="9"/>
      <c r="AP69" s="9"/>
      <c r="AQ69" s="9"/>
    </row>
    <row r="70" ht="96.0" customHeight="1" outlineLevel="1">
      <c r="A70" s="73" t="s">
        <v>101</v>
      </c>
      <c r="B70" s="96" t="s">
        <v>217</v>
      </c>
      <c r="C70" s="75" t="s">
        <v>38</v>
      </c>
      <c r="D70" s="76" t="s">
        <v>218</v>
      </c>
      <c r="E70" s="77" t="s">
        <v>146</v>
      </c>
      <c r="F70" s="78" t="s">
        <v>219</v>
      </c>
      <c r="G70" s="79" t="s">
        <v>105</v>
      </c>
      <c r="H70" s="80" t="s">
        <v>1507</v>
      </c>
      <c r="I70" s="81" t="b">
        <v>1</v>
      </c>
      <c r="J70" s="82" t="s">
        <v>7</v>
      </c>
      <c r="K70" s="83">
        <f t="shared" si="33"/>
        <v>1</v>
      </c>
      <c r="L70" s="84">
        <f t="shared" si="34"/>
        <v>4000000</v>
      </c>
      <c r="M70" s="84">
        <f t="shared" si="35"/>
        <v>20000</v>
      </c>
      <c r="N70" s="84">
        <f t="shared" si="36"/>
        <v>1500</v>
      </c>
      <c r="O70" s="84">
        <f t="shared" si="37"/>
        <v>200</v>
      </c>
      <c r="P70" s="84">
        <f t="shared" si="38"/>
        <v>2666.666667</v>
      </c>
      <c r="Q70" s="84">
        <f t="shared" si="39"/>
        <v>4000000</v>
      </c>
      <c r="R70" s="68"/>
      <c r="S70" s="85" t="s">
        <v>221</v>
      </c>
      <c r="T70" s="153" t="s">
        <v>222</v>
      </c>
      <c r="U70" s="9"/>
      <c r="V70" s="9"/>
      <c r="W70" s="740"/>
      <c r="X70" s="740"/>
      <c r="Y70" s="741" t="s">
        <v>1508</v>
      </c>
      <c r="Z70" s="742">
        <f>2300000/0.9</f>
        <v>2555555.556</v>
      </c>
      <c r="AA70" s="743">
        <v>0.5</v>
      </c>
      <c r="AB70" s="744">
        <v>10000.0</v>
      </c>
      <c r="AC70" s="744">
        <v>10000.0</v>
      </c>
      <c r="AD70" s="744">
        <v>500.0</v>
      </c>
      <c r="AE70" s="745">
        <v>1000.0</v>
      </c>
      <c r="AF70" s="746"/>
      <c r="AG70" s="744"/>
      <c r="AH70" s="744"/>
      <c r="AI70" s="744"/>
      <c r="AJ70" s="747">
        <f t="shared" si="40"/>
        <v>70000</v>
      </c>
      <c r="AK70" s="747">
        <f t="shared" si="41"/>
        <v>2625555.556</v>
      </c>
      <c r="AL70" s="747">
        <f t="shared" si="42"/>
        <v>1374444.444</v>
      </c>
      <c r="AM70" s="748">
        <f t="shared" si="43"/>
        <v>0.3436111111</v>
      </c>
      <c r="AN70" s="9"/>
      <c r="AO70" s="9"/>
      <c r="AP70" s="9"/>
      <c r="AQ70" s="9"/>
    </row>
    <row r="71" ht="96.0" customHeight="1" outlineLevel="1">
      <c r="A71" s="72"/>
      <c r="B71" s="72"/>
      <c r="C71" s="72"/>
      <c r="D71" s="72"/>
      <c r="E71" s="72"/>
      <c r="F71" s="72"/>
      <c r="G71" s="72"/>
      <c r="H71" s="88" t="s">
        <v>1509</v>
      </c>
      <c r="I71" s="81" t="b">
        <v>1</v>
      </c>
      <c r="J71" s="82" t="s">
        <v>47</v>
      </c>
      <c r="K71" s="83">
        <f t="shared" si="33"/>
        <v>1</v>
      </c>
      <c r="L71" s="84">
        <f t="shared" si="34"/>
        <v>2000000</v>
      </c>
      <c r="M71" s="84">
        <f t="shared" si="35"/>
        <v>0</v>
      </c>
      <c r="N71" s="84">
        <f t="shared" si="36"/>
        <v>0</v>
      </c>
      <c r="O71" s="84" t="str">
        <f t="shared" si="37"/>
        <v>-</v>
      </c>
      <c r="P71" s="84" t="str">
        <f t="shared" si="38"/>
        <v>-</v>
      </c>
      <c r="Q71" s="84">
        <f t="shared" si="39"/>
        <v>2000000</v>
      </c>
      <c r="R71" s="68"/>
      <c r="S71" s="72"/>
      <c r="T71" s="72"/>
      <c r="U71" s="87"/>
      <c r="V71" s="87"/>
      <c r="W71" s="26"/>
      <c r="X71" s="26"/>
      <c r="Y71" s="741" t="s">
        <v>1510</v>
      </c>
      <c r="Z71" s="742">
        <f>500000/0.9</f>
        <v>555555.5556</v>
      </c>
      <c r="AA71" s="743">
        <v>2.0</v>
      </c>
      <c r="AB71" s="744"/>
      <c r="AC71" s="744"/>
      <c r="AD71" s="744"/>
      <c r="AE71" s="745"/>
      <c r="AF71" s="746"/>
      <c r="AG71" s="744"/>
      <c r="AH71" s="744"/>
      <c r="AI71" s="744"/>
      <c r="AJ71" s="747">
        <f t="shared" si="40"/>
        <v>0</v>
      </c>
      <c r="AK71" s="747">
        <f t="shared" si="41"/>
        <v>555555.5556</v>
      </c>
      <c r="AL71" s="747">
        <f t="shared" si="42"/>
        <v>1444444.444</v>
      </c>
      <c r="AM71" s="748">
        <f t="shared" si="43"/>
        <v>0.7222222222</v>
      </c>
      <c r="AN71" s="9"/>
      <c r="AO71" s="9"/>
      <c r="AP71" s="9"/>
      <c r="AQ71" s="9"/>
    </row>
    <row r="72" ht="96.0" customHeight="1" outlineLevel="1">
      <c r="A72" s="73" t="s">
        <v>101</v>
      </c>
      <c r="B72" s="91" t="s">
        <v>224</v>
      </c>
      <c r="C72" s="75" t="s">
        <v>38</v>
      </c>
      <c r="D72" s="76">
        <v>76600.0</v>
      </c>
      <c r="E72" s="77" t="s">
        <v>146</v>
      </c>
      <c r="F72" s="78" t="s">
        <v>225</v>
      </c>
      <c r="G72" s="79" t="s">
        <v>226</v>
      </c>
      <c r="H72" s="80" t="s">
        <v>1511</v>
      </c>
      <c r="I72" s="81" t="b">
        <v>1</v>
      </c>
      <c r="J72" s="82" t="s">
        <v>7</v>
      </c>
      <c r="K72" s="83">
        <f t="shared" si="33"/>
        <v>1</v>
      </c>
      <c r="L72" s="84">
        <f t="shared" si="34"/>
        <v>5000000</v>
      </c>
      <c r="M72" s="84">
        <f t="shared" si="35"/>
        <v>30000</v>
      </c>
      <c r="N72" s="84">
        <f t="shared" si="36"/>
        <v>2000</v>
      </c>
      <c r="O72" s="84">
        <f t="shared" si="37"/>
        <v>166.6666667</v>
      </c>
      <c r="P72" s="84">
        <f t="shared" si="38"/>
        <v>2500</v>
      </c>
      <c r="Q72" s="84">
        <f t="shared" si="39"/>
        <v>5000000</v>
      </c>
      <c r="R72" s="68"/>
      <c r="S72" s="85" t="s">
        <v>228</v>
      </c>
      <c r="T72" s="153" t="s">
        <v>222</v>
      </c>
      <c r="U72" s="9"/>
      <c r="V72" s="9"/>
      <c r="W72" s="740"/>
      <c r="X72" s="740"/>
      <c r="Y72" s="741" t="s">
        <v>1512</v>
      </c>
      <c r="Z72" s="742">
        <f>3000000/0.9</f>
        <v>3333333.333</v>
      </c>
      <c r="AA72" s="743">
        <v>0.5</v>
      </c>
      <c r="AB72" s="744">
        <v>20000.0</v>
      </c>
      <c r="AC72" s="744">
        <v>10000.0</v>
      </c>
      <c r="AD72" s="744">
        <v>1000.0</v>
      </c>
      <c r="AE72" s="745">
        <v>1000.0</v>
      </c>
      <c r="AF72" s="746"/>
      <c r="AG72" s="744"/>
      <c r="AH72" s="744"/>
      <c r="AI72" s="744"/>
      <c r="AJ72" s="747">
        <f t="shared" si="40"/>
        <v>70000</v>
      </c>
      <c r="AK72" s="747">
        <f t="shared" si="41"/>
        <v>3403333.333</v>
      </c>
      <c r="AL72" s="747">
        <f t="shared" si="42"/>
        <v>1596666.667</v>
      </c>
      <c r="AM72" s="748">
        <f t="shared" si="43"/>
        <v>0.3193333333</v>
      </c>
      <c r="AN72" s="9"/>
      <c r="AO72" s="9"/>
      <c r="AP72" s="9"/>
      <c r="AQ72" s="9"/>
    </row>
    <row r="73" ht="96.0" customHeight="1" outlineLevel="1">
      <c r="A73" s="72"/>
      <c r="B73" s="72"/>
      <c r="C73" s="72"/>
      <c r="D73" s="72"/>
      <c r="E73" s="72"/>
      <c r="F73" s="72"/>
      <c r="G73" s="72"/>
      <c r="H73" s="88" t="s">
        <v>1513</v>
      </c>
      <c r="I73" s="81" t="b">
        <v>1</v>
      </c>
      <c r="J73" s="82" t="s">
        <v>47</v>
      </c>
      <c r="K73" s="83">
        <f t="shared" si="33"/>
        <v>1</v>
      </c>
      <c r="L73" s="84">
        <f t="shared" si="34"/>
        <v>2000000</v>
      </c>
      <c r="M73" s="84">
        <v>0.0</v>
      </c>
      <c r="N73" s="84">
        <v>0.0</v>
      </c>
      <c r="O73" s="84" t="s">
        <v>81</v>
      </c>
      <c r="P73" s="84" t="s">
        <v>81</v>
      </c>
      <c r="Q73" s="84">
        <f t="shared" si="39"/>
        <v>2000000</v>
      </c>
      <c r="R73" s="68"/>
      <c r="S73" s="72"/>
      <c r="T73" s="72"/>
      <c r="U73" s="9"/>
      <c r="V73" s="9"/>
      <c r="W73" s="26"/>
      <c r="X73" s="26"/>
      <c r="Y73" s="741" t="s">
        <v>1514</v>
      </c>
      <c r="Z73" s="742">
        <f>500000/0.9</f>
        <v>555555.5556</v>
      </c>
      <c r="AA73" s="743">
        <v>2.0</v>
      </c>
      <c r="AB73" s="744"/>
      <c r="AC73" s="744"/>
      <c r="AD73" s="744"/>
      <c r="AE73" s="745"/>
      <c r="AF73" s="746"/>
      <c r="AG73" s="744"/>
      <c r="AH73" s="744"/>
      <c r="AI73" s="744"/>
      <c r="AJ73" s="747">
        <f t="shared" si="40"/>
        <v>0</v>
      </c>
      <c r="AK73" s="747">
        <f t="shared" si="41"/>
        <v>555555.5556</v>
      </c>
      <c r="AL73" s="747">
        <f t="shared" si="42"/>
        <v>1444444.444</v>
      </c>
      <c r="AM73" s="748">
        <f t="shared" si="43"/>
        <v>0.7222222222</v>
      </c>
      <c r="AN73" s="9"/>
      <c r="AO73" s="9"/>
      <c r="AP73" s="9"/>
      <c r="AQ73" s="9"/>
    </row>
    <row r="74" ht="96.0" customHeight="1" outlineLevel="1">
      <c r="A74" s="73" t="s">
        <v>101</v>
      </c>
      <c r="B74" s="91" t="s">
        <v>230</v>
      </c>
      <c r="C74" s="75" t="s">
        <v>38</v>
      </c>
      <c r="D74" s="76" t="s">
        <v>231</v>
      </c>
      <c r="E74" s="77" t="s">
        <v>146</v>
      </c>
      <c r="F74" s="78" t="s">
        <v>232</v>
      </c>
      <c r="G74" s="79" t="s">
        <v>226</v>
      </c>
      <c r="H74" s="80" t="s">
        <v>1515</v>
      </c>
      <c r="I74" s="81" t="b">
        <v>1</v>
      </c>
      <c r="J74" s="82" t="s">
        <v>7</v>
      </c>
      <c r="K74" s="83">
        <f t="shared" si="33"/>
        <v>1</v>
      </c>
      <c r="L74" s="84">
        <f t="shared" si="34"/>
        <v>4000000</v>
      </c>
      <c r="M74" s="84">
        <f>(sum(AB74:AC74)+sum(AF74:AG74))*K74</f>
        <v>30000</v>
      </c>
      <c r="N74" s="84">
        <f>(sum(AD74:AE74)+sum(AH74:AI74))*K74</f>
        <v>2000</v>
      </c>
      <c r="O74" s="84">
        <f>IFERROR(Q74/M74,"-")</f>
        <v>133.3333333</v>
      </c>
      <c r="P74" s="84">
        <f>IFERROR(Q74/N74,"-")</f>
        <v>2000</v>
      </c>
      <c r="Q74" s="84">
        <f t="shared" si="39"/>
        <v>4000000</v>
      </c>
      <c r="R74" s="68"/>
      <c r="S74" s="85" t="s">
        <v>234</v>
      </c>
      <c r="T74" s="153" t="s">
        <v>222</v>
      </c>
      <c r="U74" s="9"/>
      <c r="V74" s="9"/>
      <c r="W74" s="740"/>
      <c r="X74" s="740"/>
      <c r="Y74" s="741" t="s">
        <v>1516</v>
      </c>
      <c r="Z74" s="742">
        <f>2500000/0.9</f>
        <v>2777777.778</v>
      </c>
      <c r="AA74" s="743">
        <v>0.5</v>
      </c>
      <c r="AB74" s="744">
        <v>20000.0</v>
      </c>
      <c r="AC74" s="744">
        <v>10000.0</v>
      </c>
      <c r="AD74" s="744">
        <v>1000.0</v>
      </c>
      <c r="AE74" s="745">
        <v>1000.0</v>
      </c>
      <c r="AF74" s="746"/>
      <c r="AG74" s="744"/>
      <c r="AH74" s="744"/>
      <c r="AI74" s="744"/>
      <c r="AJ74" s="747">
        <f t="shared" si="40"/>
        <v>70000</v>
      </c>
      <c r="AK74" s="747">
        <f t="shared" si="41"/>
        <v>2847777.778</v>
      </c>
      <c r="AL74" s="747">
        <f t="shared" si="42"/>
        <v>1152222.222</v>
      </c>
      <c r="AM74" s="748">
        <f t="shared" si="43"/>
        <v>0.2880555556</v>
      </c>
      <c r="AN74" s="9"/>
      <c r="AO74" s="9"/>
      <c r="AP74" s="9"/>
      <c r="AQ74" s="9"/>
    </row>
    <row r="75" ht="96.0" customHeight="1" outlineLevel="1">
      <c r="A75" s="72"/>
      <c r="B75" s="72"/>
      <c r="C75" s="72"/>
      <c r="D75" s="72"/>
      <c r="E75" s="72"/>
      <c r="F75" s="72"/>
      <c r="G75" s="72"/>
      <c r="H75" s="88" t="s">
        <v>1517</v>
      </c>
      <c r="I75" s="81" t="b">
        <v>1</v>
      </c>
      <c r="J75" s="82" t="s">
        <v>47</v>
      </c>
      <c r="K75" s="83">
        <f t="shared" si="33"/>
        <v>1</v>
      </c>
      <c r="L75" s="84">
        <f t="shared" si="34"/>
        <v>2000000</v>
      </c>
      <c r="M75" s="84">
        <v>0.0</v>
      </c>
      <c r="N75" s="84">
        <v>0.0</v>
      </c>
      <c r="O75" s="84" t="s">
        <v>81</v>
      </c>
      <c r="P75" s="84" t="s">
        <v>81</v>
      </c>
      <c r="Q75" s="84">
        <f t="shared" si="39"/>
        <v>2000000</v>
      </c>
      <c r="R75" s="68"/>
      <c r="S75" s="72"/>
      <c r="T75" s="72"/>
      <c r="U75" s="9"/>
      <c r="V75" s="9"/>
      <c r="W75" s="26"/>
      <c r="X75" s="26"/>
      <c r="Y75" s="741" t="s">
        <v>1518</v>
      </c>
      <c r="Z75" s="742">
        <f>500000/0.9</f>
        <v>555555.5556</v>
      </c>
      <c r="AA75" s="743">
        <v>2.0</v>
      </c>
      <c r="AB75" s="744"/>
      <c r="AC75" s="744"/>
      <c r="AD75" s="744"/>
      <c r="AE75" s="745"/>
      <c r="AF75" s="746"/>
      <c r="AG75" s="744"/>
      <c r="AH75" s="744"/>
      <c r="AI75" s="744"/>
      <c r="AJ75" s="747">
        <f t="shared" si="40"/>
        <v>0</v>
      </c>
      <c r="AK75" s="747">
        <f t="shared" si="41"/>
        <v>555555.5556</v>
      </c>
      <c r="AL75" s="747">
        <f t="shared" si="42"/>
        <v>1444444.444</v>
      </c>
      <c r="AM75" s="748">
        <f t="shared" si="43"/>
        <v>0.7222222222</v>
      </c>
      <c r="AN75" s="9"/>
      <c r="AO75" s="9"/>
      <c r="AP75" s="9"/>
      <c r="AQ75" s="9"/>
    </row>
    <row r="76" ht="96.0" customHeight="1" outlineLevel="1">
      <c r="A76" s="73" t="s">
        <v>101</v>
      </c>
      <c r="B76" s="154" t="s">
        <v>260</v>
      </c>
      <c r="C76" s="75" t="s">
        <v>38</v>
      </c>
      <c r="D76" s="76" t="s">
        <v>261</v>
      </c>
      <c r="E76" s="77" t="s">
        <v>146</v>
      </c>
      <c r="F76" s="78" t="s">
        <v>262</v>
      </c>
      <c r="G76" s="79" t="s">
        <v>105</v>
      </c>
      <c r="H76" s="80" t="s">
        <v>1519</v>
      </c>
      <c r="I76" s="81" t="b">
        <v>0</v>
      </c>
      <c r="J76" s="82" t="s">
        <v>7</v>
      </c>
      <c r="K76" s="83">
        <f t="shared" si="33"/>
        <v>0</v>
      </c>
      <c r="L76" s="84">
        <f t="shared" si="34"/>
        <v>6000000</v>
      </c>
      <c r="M76" s="84">
        <f t="shared" ref="M76:M79" si="44">(sum(AB76:AC76)+sum(AF76:AG76))*K76</f>
        <v>0</v>
      </c>
      <c r="N76" s="84">
        <f t="shared" ref="N76:N79" si="45">(sum(AD76:AE76)+sum(AH76:AI76))*K76</f>
        <v>0</v>
      </c>
      <c r="O76" s="84" t="str">
        <f t="shared" ref="O76:O79" si="46">IFERROR(Q76/M76,"-")</f>
        <v>-</v>
      </c>
      <c r="P76" s="84" t="str">
        <f t="shared" ref="P76:P79" si="47">IFERROR(Q76/N76,"-")</f>
        <v>-</v>
      </c>
      <c r="Q76" s="84">
        <f t="shared" si="39"/>
        <v>0</v>
      </c>
      <c r="R76" s="68"/>
      <c r="S76" s="85"/>
      <c r="T76" s="149" t="s">
        <v>122</v>
      </c>
      <c r="U76" s="9"/>
      <c r="V76" s="9"/>
      <c r="W76" s="740"/>
      <c r="X76" s="740"/>
      <c r="Y76" s="741" t="s">
        <v>1520</v>
      </c>
      <c r="Z76" s="742">
        <v>3000000.0</v>
      </c>
      <c r="AA76" s="743">
        <v>1.0</v>
      </c>
      <c r="AB76" s="744">
        <v>10000.0</v>
      </c>
      <c r="AC76" s="744">
        <v>10000.0</v>
      </c>
      <c r="AD76" s="744">
        <v>1000.0</v>
      </c>
      <c r="AE76" s="745"/>
      <c r="AF76" s="746"/>
      <c r="AG76" s="744"/>
      <c r="AH76" s="744"/>
      <c r="AI76" s="744"/>
      <c r="AJ76" s="747">
        <f t="shared" si="40"/>
        <v>0</v>
      </c>
      <c r="AK76" s="747">
        <f t="shared" si="41"/>
        <v>0</v>
      </c>
      <c r="AL76" s="747">
        <f t="shared" si="42"/>
        <v>0</v>
      </c>
      <c r="AM76" s="748" t="str">
        <f t="shared" si="43"/>
        <v>-</v>
      </c>
      <c r="AN76" s="9"/>
      <c r="AO76" s="9"/>
      <c r="AP76" s="9"/>
      <c r="AQ76" s="9"/>
    </row>
    <row r="77" ht="96.0" customHeight="1" outlineLevel="1">
      <c r="A77" s="72"/>
      <c r="B77" s="72"/>
      <c r="C77" s="72"/>
      <c r="D77" s="72"/>
      <c r="E77" s="72"/>
      <c r="F77" s="72"/>
      <c r="G77" s="72"/>
      <c r="H77" s="88" t="s">
        <v>1521</v>
      </c>
      <c r="I77" s="81" t="b">
        <v>0</v>
      </c>
      <c r="J77" s="82" t="s">
        <v>47</v>
      </c>
      <c r="K77" s="83">
        <f t="shared" si="33"/>
        <v>0</v>
      </c>
      <c r="L77" s="84">
        <f t="shared" si="34"/>
        <v>3000000</v>
      </c>
      <c r="M77" s="84">
        <f t="shared" si="44"/>
        <v>0</v>
      </c>
      <c r="N77" s="84">
        <f t="shared" si="45"/>
        <v>0</v>
      </c>
      <c r="O77" s="84" t="str">
        <f t="shared" si="46"/>
        <v>-</v>
      </c>
      <c r="P77" s="84" t="str">
        <f t="shared" si="47"/>
        <v>-</v>
      </c>
      <c r="Q77" s="84">
        <f t="shared" si="39"/>
        <v>0</v>
      </c>
      <c r="R77" s="68"/>
      <c r="S77" s="72"/>
      <c r="T77" s="72"/>
      <c r="U77" s="87"/>
      <c r="V77" s="87"/>
      <c r="W77" s="26"/>
      <c r="X77" s="26"/>
      <c r="Y77" s="741" t="s">
        <v>1522</v>
      </c>
      <c r="Z77" s="742">
        <v>1000000.0</v>
      </c>
      <c r="AA77" s="743">
        <v>2.0</v>
      </c>
      <c r="AB77" s="744"/>
      <c r="AC77" s="744"/>
      <c r="AD77" s="744"/>
      <c r="AE77" s="745"/>
      <c r="AF77" s="746"/>
      <c r="AG77" s="744"/>
      <c r="AH77" s="744"/>
      <c r="AI77" s="744"/>
      <c r="AJ77" s="747">
        <f t="shared" si="40"/>
        <v>0</v>
      </c>
      <c r="AK77" s="747">
        <f t="shared" si="41"/>
        <v>0</v>
      </c>
      <c r="AL77" s="747">
        <f t="shared" si="42"/>
        <v>0</v>
      </c>
      <c r="AM77" s="748" t="str">
        <f t="shared" si="43"/>
        <v>-</v>
      </c>
      <c r="AN77" s="9"/>
      <c r="AO77" s="9"/>
      <c r="AP77" s="9"/>
      <c r="AQ77" s="9"/>
    </row>
    <row r="78" ht="96.0" customHeight="1" outlineLevel="1">
      <c r="A78" s="73" t="s">
        <v>101</v>
      </c>
      <c r="B78" s="151" t="s">
        <v>265</v>
      </c>
      <c r="C78" s="75" t="s">
        <v>38</v>
      </c>
      <c r="D78" s="76" t="s">
        <v>266</v>
      </c>
      <c r="E78" s="77" t="s">
        <v>146</v>
      </c>
      <c r="F78" s="78" t="s">
        <v>267</v>
      </c>
      <c r="G78" s="79" t="s">
        <v>226</v>
      </c>
      <c r="H78" s="80" t="s">
        <v>1523</v>
      </c>
      <c r="I78" s="81" t="b">
        <v>0</v>
      </c>
      <c r="J78" s="82" t="s">
        <v>7</v>
      </c>
      <c r="K78" s="83">
        <f t="shared" si="33"/>
        <v>0</v>
      </c>
      <c r="L78" s="84">
        <f t="shared" si="34"/>
        <v>8000000</v>
      </c>
      <c r="M78" s="84">
        <f t="shared" si="44"/>
        <v>0</v>
      </c>
      <c r="N78" s="84">
        <f t="shared" si="45"/>
        <v>0</v>
      </c>
      <c r="O78" s="84" t="str">
        <f t="shared" si="46"/>
        <v>-</v>
      </c>
      <c r="P78" s="84" t="str">
        <f t="shared" si="47"/>
        <v>-</v>
      </c>
      <c r="Q78" s="84">
        <f t="shared" si="39"/>
        <v>0</v>
      </c>
      <c r="R78" s="68"/>
      <c r="S78" s="85"/>
      <c r="T78" s="149" t="s">
        <v>122</v>
      </c>
      <c r="U78" s="9"/>
      <c r="V78" s="9"/>
      <c r="W78" s="740"/>
      <c r="X78" s="740"/>
      <c r="Y78" s="741" t="s">
        <v>1524</v>
      </c>
      <c r="Z78" s="742">
        <f>4500000/0.9</f>
        <v>5000000</v>
      </c>
      <c r="AA78" s="743">
        <v>0.5</v>
      </c>
      <c r="AB78" s="744">
        <v>10000.0</v>
      </c>
      <c r="AC78" s="744">
        <v>10000.0</v>
      </c>
      <c r="AD78" s="744">
        <v>500.0</v>
      </c>
      <c r="AE78" s="745">
        <v>1000.0</v>
      </c>
      <c r="AF78" s="746"/>
      <c r="AG78" s="744"/>
      <c r="AH78" s="744"/>
      <c r="AI78" s="744"/>
      <c r="AJ78" s="747">
        <f t="shared" si="40"/>
        <v>0</v>
      </c>
      <c r="AK78" s="747">
        <f t="shared" si="41"/>
        <v>0</v>
      </c>
      <c r="AL78" s="747">
        <f t="shared" si="42"/>
        <v>0</v>
      </c>
      <c r="AM78" s="748" t="str">
        <f t="shared" si="43"/>
        <v>-</v>
      </c>
      <c r="AN78" s="9"/>
      <c r="AO78" s="9"/>
      <c r="AP78" s="9"/>
      <c r="AQ78" s="9"/>
    </row>
    <row r="79" ht="96.0" customHeight="1" outlineLevel="1">
      <c r="A79" s="72"/>
      <c r="B79" s="72"/>
      <c r="C79" s="72"/>
      <c r="D79" s="72"/>
      <c r="E79" s="72"/>
      <c r="F79" s="72"/>
      <c r="G79" s="72"/>
      <c r="H79" s="88" t="s">
        <v>1525</v>
      </c>
      <c r="I79" s="81" t="b">
        <v>0</v>
      </c>
      <c r="J79" s="82" t="s">
        <v>47</v>
      </c>
      <c r="K79" s="83">
        <f t="shared" si="33"/>
        <v>0</v>
      </c>
      <c r="L79" s="84">
        <f t="shared" si="34"/>
        <v>4000000</v>
      </c>
      <c r="M79" s="84">
        <f t="shared" si="44"/>
        <v>0</v>
      </c>
      <c r="N79" s="84">
        <f t="shared" si="45"/>
        <v>0</v>
      </c>
      <c r="O79" s="84" t="str">
        <f t="shared" si="46"/>
        <v>-</v>
      </c>
      <c r="P79" s="84" t="str">
        <f t="shared" si="47"/>
        <v>-</v>
      </c>
      <c r="Q79" s="84">
        <f t="shared" si="39"/>
        <v>0</v>
      </c>
      <c r="R79" s="72"/>
      <c r="S79" s="72"/>
      <c r="T79" s="72"/>
      <c r="U79" s="9"/>
      <c r="V79" s="9"/>
      <c r="W79" s="26"/>
      <c r="X79" s="26"/>
      <c r="Y79" s="741" t="s">
        <v>1526</v>
      </c>
      <c r="Z79" s="742">
        <v>2000000.0</v>
      </c>
      <c r="AA79" s="743">
        <v>1.0</v>
      </c>
      <c r="AB79" s="744"/>
      <c r="AC79" s="744"/>
      <c r="AD79" s="744"/>
      <c r="AE79" s="745"/>
      <c r="AF79" s="746"/>
      <c r="AG79" s="744"/>
      <c r="AH79" s="744"/>
      <c r="AI79" s="744"/>
      <c r="AJ79" s="747">
        <f t="shared" si="40"/>
        <v>0</v>
      </c>
      <c r="AK79" s="747">
        <f t="shared" si="41"/>
        <v>0</v>
      </c>
      <c r="AL79" s="747">
        <f t="shared" si="42"/>
        <v>0</v>
      </c>
      <c r="AM79" s="748" t="str">
        <f t="shared" si="43"/>
        <v>-</v>
      </c>
      <c r="AN79" s="9"/>
      <c r="AO79" s="9"/>
      <c r="AP79" s="9"/>
      <c r="AQ79" s="9"/>
    </row>
    <row r="80" outlineLevel="1">
      <c r="A80" s="134" t="s">
        <v>270</v>
      </c>
      <c r="B80" s="135" t="s">
        <v>271</v>
      </c>
      <c r="C80" s="136"/>
      <c r="D80" s="137"/>
      <c r="E80" s="138"/>
      <c r="F80" s="139"/>
      <c r="G80" s="140"/>
      <c r="H80" s="136"/>
      <c r="I80" s="141" t="b">
        <v>0</v>
      </c>
      <c r="J80" s="142"/>
      <c r="K80" s="143"/>
      <c r="L80" s="144"/>
      <c r="M80" s="144"/>
      <c r="N80" s="144"/>
      <c r="O80" s="144"/>
      <c r="P80" s="144"/>
      <c r="Q80" s="144"/>
      <c r="R80" s="136"/>
      <c r="S80" s="145"/>
      <c r="T80" s="138"/>
      <c r="U80" s="146"/>
      <c r="V80" s="146"/>
      <c r="W80" s="773"/>
      <c r="X80" s="773"/>
      <c r="Y80" s="774"/>
      <c r="Z80" s="775"/>
      <c r="AA80" s="776"/>
      <c r="AB80" s="777"/>
      <c r="AC80" s="777"/>
      <c r="AD80" s="777"/>
      <c r="AE80" s="778"/>
      <c r="AF80" s="779"/>
      <c r="AG80" s="777"/>
      <c r="AH80" s="777"/>
      <c r="AI80" s="777"/>
      <c r="AJ80" s="780"/>
      <c r="AK80" s="780"/>
      <c r="AL80" s="780"/>
      <c r="AM80" s="781"/>
      <c r="AN80" s="146"/>
      <c r="AO80" s="146"/>
      <c r="AP80" s="146"/>
      <c r="AQ80" s="146"/>
    </row>
    <row r="81" ht="96.0" customHeight="1" outlineLevel="1">
      <c r="A81" s="73" t="s">
        <v>45</v>
      </c>
      <c r="B81" s="147" t="s">
        <v>272</v>
      </c>
      <c r="C81" s="75" t="s">
        <v>38</v>
      </c>
      <c r="D81" s="76" t="s">
        <v>273</v>
      </c>
      <c r="E81" s="77" t="s">
        <v>146</v>
      </c>
      <c r="F81" s="78" t="s">
        <v>274</v>
      </c>
      <c r="G81" s="79" t="s">
        <v>275</v>
      </c>
      <c r="H81" s="80" t="s">
        <v>1527</v>
      </c>
      <c r="I81" s="81" t="b">
        <v>1</v>
      </c>
      <c r="J81" s="82" t="s">
        <v>7</v>
      </c>
      <c r="K81" s="83">
        <f t="shared" ref="K81:K88" si="48">if(I81=True,1,if(I81=False,0))</f>
        <v>1</v>
      </c>
      <c r="L81" s="84">
        <f t="shared" ref="L81:L88" si="49">round(Z81*(1+AA81),-6)</f>
        <v>5000000</v>
      </c>
      <c r="M81" s="84">
        <f t="shared" ref="M81:M88" si="50">(sum(AB81:AC81)+sum(AF81:AG81))*K81</f>
        <v>40000</v>
      </c>
      <c r="N81" s="84">
        <f t="shared" ref="N81:N88" si="51">(sum(AD81:AE81)+sum(AH81:AI81))*K81</f>
        <v>2000</v>
      </c>
      <c r="O81" s="84">
        <f t="shared" ref="O81:O88" si="52">IFERROR(Q81/M81,"-")</f>
        <v>125</v>
      </c>
      <c r="P81" s="84">
        <f t="shared" ref="P81:P88" si="53">IFERROR(Q81/N81,"-")</f>
        <v>2500</v>
      </c>
      <c r="Q81" s="84">
        <f t="shared" ref="Q81:Q88" si="54">iferror(L81*K81,"-")</f>
        <v>5000000</v>
      </c>
      <c r="R81" s="75" t="s">
        <v>1528</v>
      </c>
      <c r="S81" s="85" t="s">
        <v>278</v>
      </c>
      <c r="T81" s="86" t="s">
        <v>45</v>
      </c>
      <c r="U81" s="9"/>
      <c r="V81" s="9"/>
      <c r="W81" s="740"/>
      <c r="X81" s="740"/>
      <c r="Y81" s="741" t="s">
        <v>1529</v>
      </c>
      <c r="Z81" s="742">
        <f>2800000/0.9</f>
        <v>3111111.111</v>
      </c>
      <c r="AA81" s="743">
        <v>0.5</v>
      </c>
      <c r="AB81" s="744">
        <v>20000.0</v>
      </c>
      <c r="AC81" s="744">
        <v>20000.0</v>
      </c>
      <c r="AD81" s="744">
        <v>1000.0</v>
      </c>
      <c r="AE81" s="745">
        <v>1000.0</v>
      </c>
      <c r="AF81" s="746"/>
      <c r="AG81" s="744"/>
      <c r="AH81" s="744"/>
      <c r="AI81" s="744"/>
      <c r="AJ81" s="747">
        <f t="shared" ref="AJ81:AJ88" si="55">(AC81*2+AE81*50+AG81*10+AI81*50)*K81</f>
        <v>90000</v>
      </c>
      <c r="AK81" s="747">
        <f t="shared" ref="AK81:AK88" si="56">sum(Z81,AJ81)*K81</f>
        <v>3201111.111</v>
      </c>
      <c r="AL81" s="747">
        <f t="shared" ref="AL81:AL88" si="57">iferror(Q81-AK81,"-")</f>
        <v>1798888.889</v>
      </c>
      <c r="AM81" s="748">
        <f t="shared" ref="AM81:AM88" si="58">iferror(AL81/Q81,"-")</f>
        <v>0.3597777778</v>
      </c>
      <c r="AN81" s="9"/>
      <c r="AO81" s="9"/>
      <c r="AP81" s="9"/>
      <c r="AQ81" s="9"/>
    </row>
    <row r="82" ht="96.0" customHeight="1" outlineLevel="1">
      <c r="A82" s="72"/>
      <c r="B82" s="72"/>
      <c r="C82" s="72"/>
      <c r="D82" s="72"/>
      <c r="E82" s="72"/>
      <c r="F82" s="72"/>
      <c r="G82" s="72"/>
      <c r="H82" s="88" t="s">
        <v>1530</v>
      </c>
      <c r="I82" s="81" t="b">
        <v>1</v>
      </c>
      <c r="J82" s="82" t="s">
        <v>47</v>
      </c>
      <c r="K82" s="83">
        <f t="shared" si="48"/>
        <v>1</v>
      </c>
      <c r="L82" s="84">
        <f t="shared" si="49"/>
        <v>2000000</v>
      </c>
      <c r="M82" s="84">
        <f t="shared" si="50"/>
        <v>0</v>
      </c>
      <c r="N82" s="84">
        <f t="shared" si="51"/>
        <v>0</v>
      </c>
      <c r="O82" s="84" t="str">
        <f t="shared" si="52"/>
        <v>-</v>
      </c>
      <c r="P82" s="84" t="str">
        <f t="shared" si="53"/>
        <v>-</v>
      </c>
      <c r="Q82" s="84">
        <f t="shared" si="54"/>
        <v>2000000</v>
      </c>
      <c r="R82" s="68"/>
      <c r="S82" s="72"/>
      <c r="T82" s="72"/>
      <c r="U82" s="9"/>
      <c r="V82" s="9"/>
      <c r="W82" s="26"/>
      <c r="X82" s="26"/>
      <c r="Y82" s="741" t="s">
        <v>1531</v>
      </c>
      <c r="Z82" s="742">
        <f>500000/0.9</f>
        <v>555555.5556</v>
      </c>
      <c r="AA82" s="743">
        <v>2.0</v>
      </c>
      <c r="AB82" s="744"/>
      <c r="AC82" s="744"/>
      <c r="AD82" s="744"/>
      <c r="AE82" s="745"/>
      <c r="AF82" s="746"/>
      <c r="AG82" s="744"/>
      <c r="AH82" s="744"/>
      <c r="AI82" s="744"/>
      <c r="AJ82" s="747">
        <f t="shared" si="55"/>
        <v>0</v>
      </c>
      <c r="AK82" s="747">
        <f t="shared" si="56"/>
        <v>555555.5556</v>
      </c>
      <c r="AL82" s="747">
        <f t="shared" si="57"/>
        <v>1444444.444</v>
      </c>
      <c r="AM82" s="748">
        <f t="shared" si="58"/>
        <v>0.7222222222</v>
      </c>
      <c r="AN82" s="9"/>
      <c r="AO82" s="9"/>
      <c r="AP82" s="9"/>
      <c r="AQ82" s="9"/>
    </row>
    <row r="83" ht="96.0" customHeight="1" outlineLevel="1">
      <c r="A83" s="73" t="s">
        <v>73</v>
      </c>
      <c r="B83" s="91" t="s">
        <v>280</v>
      </c>
      <c r="C83" s="75" t="s">
        <v>38</v>
      </c>
      <c r="D83" s="76">
        <v>13600.0</v>
      </c>
      <c r="E83" s="77" t="s">
        <v>146</v>
      </c>
      <c r="F83" s="78" t="s">
        <v>281</v>
      </c>
      <c r="G83" s="79" t="s">
        <v>41</v>
      </c>
      <c r="H83" s="80" t="s">
        <v>1532</v>
      </c>
      <c r="I83" s="81" t="b">
        <v>1</v>
      </c>
      <c r="J83" s="82" t="s">
        <v>7</v>
      </c>
      <c r="K83" s="83">
        <f t="shared" si="48"/>
        <v>1</v>
      </c>
      <c r="L83" s="84">
        <f t="shared" si="49"/>
        <v>5000000</v>
      </c>
      <c r="M83" s="84">
        <f t="shared" si="50"/>
        <v>20000</v>
      </c>
      <c r="N83" s="84">
        <f t="shared" si="51"/>
        <v>1500</v>
      </c>
      <c r="O83" s="84">
        <f t="shared" si="52"/>
        <v>250</v>
      </c>
      <c r="P83" s="84">
        <f t="shared" si="53"/>
        <v>3333.333333</v>
      </c>
      <c r="Q83" s="84">
        <f t="shared" si="54"/>
        <v>5000000</v>
      </c>
      <c r="R83" s="68"/>
      <c r="S83" s="85" t="s">
        <v>283</v>
      </c>
      <c r="T83" s="153" t="s">
        <v>222</v>
      </c>
      <c r="U83" s="9"/>
      <c r="V83" s="9"/>
      <c r="W83" s="740"/>
      <c r="X83" s="740"/>
      <c r="Y83" s="741" t="s">
        <v>1533</v>
      </c>
      <c r="Z83" s="742">
        <f>2800000/0.9</f>
        <v>3111111.111</v>
      </c>
      <c r="AA83" s="743">
        <v>0.5</v>
      </c>
      <c r="AB83" s="744">
        <v>10000.0</v>
      </c>
      <c r="AC83" s="744">
        <v>10000.0</v>
      </c>
      <c r="AD83" s="744">
        <v>500.0</v>
      </c>
      <c r="AE83" s="745">
        <v>1000.0</v>
      </c>
      <c r="AF83" s="746"/>
      <c r="AG83" s="744"/>
      <c r="AH83" s="744"/>
      <c r="AI83" s="744"/>
      <c r="AJ83" s="747">
        <f t="shared" si="55"/>
        <v>70000</v>
      </c>
      <c r="AK83" s="747">
        <f t="shared" si="56"/>
        <v>3181111.111</v>
      </c>
      <c r="AL83" s="747">
        <f t="shared" si="57"/>
        <v>1818888.889</v>
      </c>
      <c r="AM83" s="748">
        <f t="shared" si="58"/>
        <v>0.3637777778</v>
      </c>
      <c r="AN83" s="9"/>
      <c r="AO83" s="9"/>
      <c r="AP83" s="9"/>
      <c r="AQ83" s="9"/>
    </row>
    <row r="84" ht="96.0" customHeight="1" outlineLevel="1">
      <c r="A84" s="72"/>
      <c r="B84" s="72"/>
      <c r="C84" s="72"/>
      <c r="D84" s="72"/>
      <c r="E84" s="72"/>
      <c r="F84" s="72"/>
      <c r="G84" s="72"/>
      <c r="H84" s="88" t="s">
        <v>1534</v>
      </c>
      <c r="I84" s="81" t="b">
        <v>1</v>
      </c>
      <c r="J84" s="82" t="s">
        <v>47</v>
      </c>
      <c r="K84" s="83">
        <f t="shared" si="48"/>
        <v>1</v>
      </c>
      <c r="L84" s="84">
        <f t="shared" si="49"/>
        <v>2000000</v>
      </c>
      <c r="M84" s="84">
        <f t="shared" si="50"/>
        <v>0</v>
      </c>
      <c r="N84" s="84">
        <f t="shared" si="51"/>
        <v>0</v>
      </c>
      <c r="O84" s="84" t="str">
        <f t="shared" si="52"/>
        <v>-</v>
      </c>
      <c r="P84" s="84" t="str">
        <f t="shared" si="53"/>
        <v>-</v>
      </c>
      <c r="Q84" s="84">
        <f t="shared" si="54"/>
        <v>2000000</v>
      </c>
      <c r="R84" s="68"/>
      <c r="S84" s="72"/>
      <c r="T84" s="72"/>
      <c r="U84" s="9"/>
      <c r="V84" s="9"/>
      <c r="W84" s="26"/>
      <c r="X84" s="26"/>
      <c r="Y84" s="741" t="s">
        <v>1535</v>
      </c>
      <c r="Z84" s="742">
        <f>500000/0.9</f>
        <v>555555.5556</v>
      </c>
      <c r="AA84" s="743">
        <v>2.0</v>
      </c>
      <c r="AB84" s="744"/>
      <c r="AC84" s="744"/>
      <c r="AD84" s="744"/>
      <c r="AE84" s="745"/>
      <c r="AF84" s="746"/>
      <c r="AG84" s="744"/>
      <c r="AH84" s="744"/>
      <c r="AI84" s="744"/>
      <c r="AJ84" s="747">
        <f t="shared" si="55"/>
        <v>0</v>
      </c>
      <c r="AK84" s="747">
        <f t="shared" si="56"/>
        <v>555555.5556</v>
      </c>
      <c r="AL84" s="747">
        <f t="shared" si="57"/>
        <v>1444444.444</v>
      </c>
      <c r="AM84" s="748">
        <f t="shared" si="58"/>
        <v>0.7222222222</v>
      </c>
      <c r="AN84" s="9"/>
      <c r="AO84" s="9"/>
      <c r="AP84" s="9"/>
      <c r="AQ84" s="9"/>
    </row>
    <row r="85" ht="96.0" customHeight="1" outlineLevel="1">
      <c r="A85" s="73" t="s">
        <v>73</v>
      </c>
      <c r="B85" s="96" t="s">
        <v>285</v>
      </c>
      <c r="C85" s="75" t="s">
        <v>38</v>
      </c>
      <c r="D85" s="76" t="s">
        <v>286</v>
      </c>
      <c r="E85" s="77" t="s">
        <v>146</v>
      </c>
      <c r="F85" s="78" t="s">
        <v>287</v>
      </c>
      <c r="G85" s="79" t="s">
        <v>275</v>
      </c>
      <c r="H85" s="80" t="s">
        <v>1536</v>
      </c>
      <c r="I85" s="81" t="b">
        <v>1</v>
      </c>
      <c r="J85" s="82" t="s">
        <v>7</v>
      </c>
      <c r="K85" s="83">
        <f t="shared" si="48"/>
        <v>1</v>
      </c>
      <c r="L85" s="84">
        <f t="shared" si="49"/>
        <v>5000000</v>
      </c>
      <c r="M85" s="84">
        <f t="shared" si="50"/>
        <v>10000</v>
      </c>
      <c r="N85" s="84">
        <f t="shared" si="51"/>
        <v>1000</v>
      </c>
      <c r="O85" s="84">
        <f t="shared" si="52"/>
        <v>500</v>
      </c>
      <c r="P85" s="84">
        <f t="shared" si="53"/>
        <v>5000</v>
      </c>
      <c r="Q85" s="84">
        <f t="shared" si="54"/>
        <v>5000000</v>
      </c>
      <c r="R85" s="68"/>
      <c r="S85" s="85" t="s">
        <v>289</v>
      </c>
      <c r="T85" s="153" t="s">
        <v>222</v>
      </c>
      <c r="U85" s="9"/>
      <c r="V85" s="9"/>
      <c r="W85" s="740"/>
      <c r="X85" s="740"/>
      <c r="Y85" s="741" t="s">
        <v>1537</v>
      </c>
      <c r="Z85" s="742">
        <f>3000000/0.9</f>
        <v>3333333.333</v>
      </c>
      <c r="AA85" s="743">
        <v>0.5</v>
      </c>
      <c r="AB85" s="744">
        <v>5000.0</v>
      </c>
      <c r="AC85" s="744">
        <v>5000.0</v>
      </c>
      <c r="AD85" s="744">
        <v>500.0</v>
      </c>
      <c r="AE85" s="745">
        <v>500.0</v>
      </c>
      <c r="AF85" s="746"/>
      <c r="AG85" s="744"/>
      <c r="AH85" s="744"/>
      <c r="AI85" s="744"/>
      <c r="AJ85" s="747">
        <f t="shared" si="55"/>
        <v>35000</v>
      </c>
      <c r="AK85" s="747">
        <f t="shared" si="56"/>
        <v>3368333.333</v>
      </c>
      <c r="AL85" s="747">
        <f t="shared" si="57"/>
        <v>1631666.667</v>
      </c>
      <c r="AM85" s="748">
        <f t="shared" si="58"/>
        <v>0.3263333333</v>
      </c>
      <c r="AN85" s="9"/>
      <c r="AO85" s="9"/>
      <c r="AP85" s="9"/>
      <c r="AQ85" s="9"/>
    </row>
    <row r="86" ht="96.0" customHeight="1" outlineLevel="1">
      <c r="A86" s="72"/>
      <c r="B86" s="72"/>
      <c r="C86" s="72"/>
      <c r="D86" s="72"/>
      <c r="E86" s="72"/>
      <c r="F86" s="72"/>
      <c r="G86" s="72"/>
      <c r="H86" s="88" t="s">
        <v>1538</v>
      </c>
      <c r="I86" s="81" t="b">
        <v>1</v>
      </c>
      <c r="J86" s="82" t="s">
        <v>47</v>
      </c>
      <c r="K86" s="83">
        <f t="shared" si="48"/>
        <v>1</v>
      </c>
      <c r="L86" s="84">
        <f t="shared" si="49"/>
        <v>2000000</v>
      </c>
      <c r="M86" s="84">
        <f t="shared" si="50"/>
        <v>0</v>
      </c>
      <c r="N86" s="84">
        <f t="shared" si="51"/>
        <v>0</v>
      </c>
      <c r="O86" s="84" t="str">
        <f t="shared" si="52"/>
        <v>-</v>
      </c>
      <c r="P86" s="84" t="str">
        <f t="shared" si="53"/>
        <v>-</v>
      </c>
      <c r="Q86" s="84">
        <f t="shared" si="54"/>
        <v>2000000</v>
      </c>
      <c r="R86" s="68"/>
      <c r="S86" s="72"/>
      <c r="T86" s="72"/>
      <c r="U86" s="9"/>
      <c r="V86" s="9"/>
      <c r="W86" s="26"/>
      <c r="X86" s="26"/>
      <c r="Y86" s="741" t="s">
        <v>1539</v>
      </c>
      <c r="Z86" s="742">
        <f>500000/0.9</f>
        <v>555555.5556</v>
      </c>
      <c r="AA86" s="743">
        <v>2.0</v>
      </c>
      <c r="AB86" s="744"/>
      <c r="AC86" s="744"/>
      <c r="AD86" s="744"/>
      <c r="AE86" s="745"/>
      <c r="AF86" s="746"/>
      <c r="AG86" s="744"/>
      <c r="AH86" s="744"/>
      <c r="AI86" s="744"/>
      <c r="AJ86" s="747">
        <f t="shared" si="55"/>
        <v>0</v>
      </c>
      <c r="AK86" s="747">
        <f t="shared" si="56"/>
        <v>555555.5556</v>
      </c>
      <c r="AL86" s="747">
        <f t="shared" si="57"/>
        <v>1444444.444</v>
      </c>
      <c r="AM86" s="748">
        <f t="shared" si="58"/>
        <v>0.7222222222</v>
      </c>
      <c r="AN86" s="9"/>
      <c r="AO86" s="9"/>
      <c r="AP86" s="9"/>
      <c r="AQ86" s="9"/>
    </row>
    <row r="87" ht="96.0" customHeight="1" outlineLevel="1">
      <c r="A87" s="73" t="s">
        <v>101</v>
      </c>
      <c r="B87" s="151" t="s">
        <v>291</v>
      </c>
      <c r="C87" s="75" t="s">
        <v>38</v>
      </c>
      <c r="D87" s="155" t="s">
        <v>292</v>
      </c>
      <c r="E87" s="77" t="s">
        <v>146</v>
      </c>
      <c r="F87" s="78" t="s">
        <v>293</v>
      </c>
      <c r="G87" s="79" t="s">
        <v>41</v>
      </c>
      <c r="H87" s="80" t="s">
        <v>1540</v>
      </c>
      <c r="I87" s="81" t="b">
        <v>1</v>
      </c>
      <c r="J87" s="82" t="s">
        <v>7</v>
      </c>
      <c r="K87" s="83">
        <f t="shared" si="48"/>
        <v>1</v>
      </c>
      <c r="L87" s="84">
        <f t="shared" si="49"/>
        <v>5000000</v>
      </c>
      <c r="M87" s="84">
        <f t="shared" si="50"/>
        <v>20000</v>
      </c>
      <c r="N87" s="84">
        <f t="shared" si="51"/>
        <v>1500</v>
      </c>
      <c r="O87" s="84">
        <f t="shared" si="52"/>
        <v>250</v>
      </c>
      <c r="P87" s="84">
        <f t="shared" si="53"/>
        <v>3333.333333</v>
      </c>
      <c r="Q87" s="84">
        <f t="shared" si="54"/>
        <v>5000000</v>
      </c>
      <c r="R87" s="68"/>
      <c r="S87" s="85"/>
      <c r="T87" s="149" t="s">
        <v>122</v>
      </c>
      <c r="U87" s="9"/>
      <c r="V87" s="9"/>
      <c r="W87" s="740"/>
      <c r="X87" s="740"/>
      <c r="Y87" s="741" t="s">
        <v>1541</v>
      </c>
      <c r="Z87" s="742">
        <f>3000000/0.9</f>
        <v>3333333.333</v>
      </c>
      <c r="AA87" s="743">
        <v>0.5</v>
      </c>
      <c r="AB87" s="744">
        <v>10000.0</v>
      </c>
      <c r="AC87" s="744">
        <v>10000.0</v>
      </c>
      <c r="AD87" s="744">
        <v>500.0</v>
      </c>
      <c r="AE87" s="745">
        <v>1000.0</v>
      </c>
      <c r="AF87" s="746"/>
      <c r="AG87" s="744"/>
      <c r="AH87" s="744"/>
      <c r="AI87" s="744"/>
      <c r="AJ87" s="747">
        <f t="shared" si="55"/>
        <v>70000</v>
      </c>
      <c r="AK87" s="747">
        <f t="shared" si="56"/>
        <v>3403333.333</v>
      </c>
      <c r="AL87" s="747">
        <f t="shared" si="57"/>
        <v>1596666.667</v>
      </c>
      <c r="AM87" s="748">
        <f t="shared" si="58"/>
        <v>0.3193333333</v>
      </c>
      <c r="AN87" s="9"/>
      <c r="AO87" s="9"/>
      <c r="AP87" s="9"/>
      <c r="AQ87" s="9"/>
    </row>
    <row r="88" ht="96.0" customHeight="1" outlineLevel="1">
      <c r="A88" s="72"/>
      <c r="B88" s="72"/>
      <c r="C88" s="72"/>
      <c r="D88" s="72"/>
      <c r="E88" s="72"/>
      <c r="F88" s="72"/>
      <c r="G88" s="72"/>
      <c r="H88" s="88" t="s">
        <v>1542</v>
      </c>
      <c r="I88" s="81" t="b">
        <v>1</v>
      </c>
      <c r="J88" s="82" t="s">
        <v>47</v>
      </c>
      <c r="K88" s="83">
        <f t="shared" si="48"/>
        <v>1</v>
      </c>
      <c r="L88" s="84">
        <f t="shared" si="49"/>
        <v>3000000</v>
      </c>
      <c r="M88" s="84">
        <f t="shared" si="50"/>
        <v>0</v>
      </c>
      <c r="N88" s="84">
        <f t="shared" si="51"/>
        <v>0</v>
      </c>
      <c r="O88" s="84" t="str">
        <f t="shared" si="52"/>
        <v>-</v>
      </c>
      <c r="P88" s="84" t="str">
        <f t="shared" si="53"/>
        <v>-</v>
      </c>
      <c r="Q88" s="84">
        <f t="shared" si="54"/>
        <v>3000000</v>
      </c>
      <c r="R88" s="72"/>
      <c r="S88" s="72"/>
      <c r="T88" s="72"/>
      <c r="U88" s="87"/>
      <c r="V88" s="87"/>
      <c r="W88" s="26"/>
      <c r="X88" s="26"/>
      <c r="Y88" s="741" t="s">
        <v>1543</v>
      </c>
      <c r="Z88" s="742">
        <f>1000000/0.9</f>
        <v>1111111.111</v>
      </c>
      <c r="AA88" s="743">
        <v>2.0</v>
      </c>
      <c r="AB88" s="744"/>
      <c r="AC88" s="744"/>
      <c r="AD88" s="744"/>
      <c r="AE88" s="745"/>
      <c r="AF88" s="746"/>
      <c r="AG88" s="744"/>
      <c r="AH88" s="744"/>
      <c r="AI88" s="744"/>
      <c r="AJ88" s="747">
        <f t="shared" si="55"/>
        <v>0</v>
      </c>
      <c r="AK88" s="747">
        <f t="shared" si="56"/>
        <v>1111111.111</v>
      </c>
      <c r="AL88" s="747">
        <f t="shared" si="57"/>
        <v>1888888.889</v>
      </c>
      <c r="AM88" s="748">
        <f t="shared" si="58"/>
        <v>0.6296296296</v>
      </c>
      <c r="AN88" s="9"/>
      <c r="AO88" s="9"/>
      <c r="AP88" s="9"/>
      <c r="AQ88" s="9"/>
    </row>
    <row r="89" outlineLevel="1">
      <c r="A89" s="134" t="s">
        <v>296</v>
      </c>
      <c r="B89" s="135" t="s">
        <v>297</v>
      </c>
      <c r="C89" s="136"/>
      <c r="D89" s="137"/>
      <c r="E89" s="138"/>
      <c r="F89" s="139"/>
      <c r="G89" s="140"/>
      <c r="H89" s="136"/>
      <c r="I89" s="141" t="b">
        <v>0</v>
      </c>
      <c r="J89" s="142"/>
      <c r="K89" s="143"/>
      <c r="L89" s="144"/>
      <c r="M89" s="144"/>
      <c r="N89" s="144"/>
      <c r="O89" s="144"/>
      <c r="P89" s="144"/>
      <c r="Q89" s="144"/>
      <c r="R89" s="136"/>
      <c r="S89" s="145"/>
      <c r="T89" s="138"/>
      <c r="U89" s="146"/>
      <c r="V89" s="146"/>
      <c r="W89" s="773"/>
      <c r="X89" s="773"/>
      <c r="Y89" s="774"/>
      <c r="Z89" s="775"/>
      <c r="AA89" s="776"/>
      <c r="AB89" s="777"/>
      <c r="AC89" s="777"/>
      <c r="AD89" s="777"/>
      <c r="AE89" s="778"/>
      <c r="AF89" s="779"/>
      <c r="AG89" s="777"/>
      <c r="AH89" s="777"/>
      <c r="AI89" s="777"/>
      <c r="AJ89" s="780"/>
      <c r="AK89" s="780"/>
      <c r="AL89" s="780"/>
      <c r="AM89" s="781"/>
      <c r="AN89" s="146"/>
      <c r="AO89" s="146"/>
      <c r="AP89" s="146"/>
      <c r="AQ89" s="146"/>
    </row>
    <row r="90" ht="96.0" customHeight="1" outlineLevel="1">
      <c r="A90" s="73" t="s">
        <v>45</v>
      </c>
      <c r="B90" s="147" t="s">
        <v>298</v>
      </c>
      <c r="C90" s="75" t="s">
        <v>38</v>
      </c>
      <c r="D90" s="76">
        <v>270000.0</v>
      </c>
      <c r="E90" s="77" t="s">
        <v>40</v>
      </c>
      <c r="F90" s="78" t="s">
        <v>299</v>
      </c>
      <c r="G90" s="79" t="s">
        <v>300</v>
      </c>
      <c r="H90" s="80" t="s">
        <v>1544</v>
      </c>
      <c r="I90" s="81" t="b">
        <v>1</v>
      </c>
      <c r="J90" s="82" t="s">
        <v>7</v>
      </c>
      <c r="K90" s="83">
        <f t="shared" ref="K90:K95" si="59">if(I90=True,1,if(I90=False,0))</f>
        <v>1</v>
      </c>
      <c r="L90" s="84">
        <f t="shared" ref="L90:L95" si="60">round(Z90*(1+AA90),-6)</f>
        <v>6000000</v>
      </c>
      <c r="M90" s="84">
        <f>(sum(AB90:AC90)+sum(AF90:AG90))*K90</f>
        <v>30000</v>
      </c>
      <c r="N90" s="84">
        <f>(sum(AD90:AE90)+sum(AH90:AI90))*K90</f>
        <v>2000</v>
      </c>
      <c r="O90" s="84">
        <f>IFERROR(Q90/M90,"-")</f>
        <v>200</v>
      </c>
      <c r="P90" s="84">
        <f>IFERROR(Q90/N90,"-")</f>
        <v>3000</v>
      </c>
      <c r="Q90" s="84">
        <f t="shared" ref="Q90:Q95" si="61">iferror(L90*K90,"-")</f>
        <v>6000000</v>
      </c>
      <c r="R90" s="75" t="s">
        <v>1545</v>
      </c>
      <c r="S90" s="85" t="s">
        <v>303</v>
      </c>
      <c r="T90" s="86" t="s">
        <v>45</v>
      </c>
      <c r="U90" s="9"/>
      <c r="V90" s="9"/>
      <c r="W90" s="740"/>
      <c r="X90" s="740"/>
      <c r="Y90" s="741" t="s">
        <v>1546</v>
      </c>
      <c r="Z90" s="742">
        <f>3500000/0.9</f>
        <v>3888888.889</v>
      </c>
      <c r="AA90" s="743">
        <v>0.5</v>
      </c>
      <c r="AB90" s="744">
        <v>20000.0</v>
      </c>
      <c r="AC90" s="744">
        <v>10000.0</v>
      </c>
      <c r="AD90" s="744">
        <v>1000.0</v>
      </c>
      <c r="AE90" s="745">
        <v>1000.0</v>
      </c>
      <c r="AF90" s="746"/>
      <c r="AG90" s="744"/>
      <c r="AH90" s="744"/>
      <c r="AI90" s="744"/>
      <c r="AJ90" s="747">
        <f t="shared" ref="AJ90:AJ95" si="62">(AC90*2+AE90*50+AG90*10+AI90*50)*K90</f>
        <v>70000</v>
      </c>
      <c r="AK90" s="747">
        <f t="shared" ref="AK90:AK95" si="63">sum(Z90,AJ90)*K90</f>
        <v>3958888.889</v>
      </c>
      <c r="AL90" s="747">
        <f t="shared" ref="AL90:AL95" si="64">iferror(Q90-AK90,"-")</f>
        <v>2041111.111</v>
      </c>
      <c r="AM90" s="748">
        <f t="shared" ref="AM90:AM95" si="65">iferror(AL90/Q90,"-")</f>
        <v>0.3401851852</v>
      </c>
      <c r="AN90" s="9"/>
      <c r="AO90" s="9"/>
      <c r="AP90" s="9"/>
      <c r="AQ90" s="9"/>
    </row>
    <row r="91" ht="96.0" customHeight="1" outlineLevel="1">
      <c r="A91" s="72"/>
      <c r="B91" s="72"/>
      <c r="C91" s="72"/>
      <c r="D91" s="72"/>
      <c r="E91" s="72"/>
      <c r="F91" s="72"/>
      <c r="G91" s="72"/>
      <c r="H91" s="88" t="s">
        <v>1547</v>
      </c>
      <c r="I91" s="81" t="b">
        <v>1</v>
      </c>
      <c r="J91" s="82" t="s">
        <v>47</v>
      </c>
      <c r="K91" s="83">
        <f t="shared" si="59"/>
        <v>1</v>
      </c>
      <c r="L91" s="84">
        <f t="shared" si="60"/>
        <v>2000000</v>
      </c>
      <c r="M91" s="84">
        <v>0.0</v>
      </c>
      <c r="N91" s="84">
        <v>0.0</v>
      </c>
      <c r="O91" s="84" t="s">
        <v>81</v>
      </c>
      <c r="P91" s="84" t="s">
        <v>81</v>
      </c>
      <c r="Q91" s="84">
        <f t="shared" si="61"/>
        <v>2000000</v>
      </c>
      <c r="R91" s="68"/>
      <c r="S91" s="72"/>
      <c r="T91" s="72"/>
      <c r="U91" s="9"/>
      <c r="V91" s="9"/>
      <c r="W91" s="26"/>
      <c r="X91" s="26"/>
      <c r="Y91" s="741" t="s">
        <v>1548</v>
      </c>
      <c r="Z91" s="742">
        <f>500000/0.9</f>
        <v>555555.5556</v>
      </c>
      <c r="AA91" s="743">
        <v>2.0</v>
      </c>
      <c r="AB91" s="744"/>
      <c r="AC91" s="744"/>
      <c r="AD91" s="744"/>
      <c r="AE91" s="745"/>
      <c r="AF91" s="746"/>
      <c r="AG91" s="744"/>
      <c r="AH91" s="744"/>
      <c r="AI91" s="744"/>
      <c r="AJ91" s="747">
        <f t="shared" si="62"/>
        <v>0</v>
      </c>
      <c r="AK91" s="747">
        <f t="shared" si="63"/>
        <v>555555.5556</v>
      </c>
      <c r="AL91" s="747">
        <f t="shared" si="64"/>
        <v>1444444.444</v>
      </c>
      <c r="AM91" s="748">
        <f t="shared" si="65"/>
        <v>0.7222222222</v>
      </c>
      <c r="AN91" s="9"/>
      <c r="AO91" s="9"/>
      <c r="AP91" s="9"/>
      <c r="AQ91" s="9"/>
    </row>
    <row r="92" ht="96.0" customHeight="1" outlineLevel="1">
      <c r="A92" s="73" t="s">
        <v>73</v>
      </c>
      <c r="B92" s="91" t="s">
        <v>306</v>
      </c>
      <c r="C92" s="75" t="s">
        <v>38</v>
      </c>
      <c r="D92" s="76">
        <v>129000.0</v>
      </c>
      <c r="E92" s="77" t="s">
        <v>40</v>
      </c>
      <c r="F92" s="78" t="s">
        <v>307</v>
      </c>
      <c r="G92" s="79" t="s">
        <v>308</v>
      </c>
      <c r="H92" s="80" t="s">
        <v>1549</v>
      </c>
      <c r="I92" s="81" t="b">
        <v>1</v>
      </c>
      <c r="J92" s="82" t="s">
        <v>7</v>
      </c>
      <c r="K92" s="83">
        <f t="shared" si="59"/>
        <v>1</v>
      </c>
      <c r="L92" s="84">
        <f t="shared" si="60"/>
        <v>6000000</v>
      </c>
      <c r="M92" s="84">
        <f>(sum(AB92:AC92)+sum(AF92:AG92))*K92</f>
        <v>30000</v>
      </c>
      <c r="N92" s="84">
        <f>(sum(AD92:AE92)+sum(AH92:AI92))*K92</f>
        <v>2000</v>
      </c>
      <c r="O92" s="84">
        <f>IFERROR(Q92/M92,"-")</f>
        <v>200</v>
      </c>
      <c r="P92" s="84">
        <f>IFERROR(Q92/N92,"-")</f>
        <v>3000</v>
      </c>
      <c r="Q92" s="84">
        <f t="shared" si="61"/>
        <v>6000000</v>
      </c>
      <c r="R92" s="68"/>
      <c r="S92" s="85" t="s">
        <v>310</v>
      </c>
      <c r="T92" s="153" t="s">
        <v>222</v>
      </c>
      <c r="U92" s="9"/>
      <c r="V92" s="9"/>
      <c r="W92" s="740"/>
      <c r="X92" s="740"/>
      <c r="Y92" s="741" t="s">
        <v>1550</v>
      </c>
      <c r="Z92" s="742">
        <f>3500000/0.9</f>
        <v>3888888.889</v>
      </c>
      <c r="AA92" s="743">
        <v>0.5</v>
      </c>
      <c r="AB92" s="744">
        <v>20000.0</v>
      </c>
      <c r="AC92" s="744">
        <v>10000.0</v>
      </c>
      <c r="AD92" s="744">
        <v>1000.0</v>
      </c>
      <c r="AE92" s="745">
        <v>1000.0</v>
      </c>
      <c r="AF92" s="746"/>
      <c r="AG92" s="744"/>
      <c r="AH92" s="744"/>
      <c r="AI92" s="744"/>
      <c r="AJ92" s="747">
        <f t="shared" si="62"/>
        <v>70000</v>
      </c>
      <c r="AK92" s="747">
        <f t="shared" si="63"/>
        <v>3958888.889</v>
      </c>
      <c r="AL92" s="747">
        <f t="shared" si="64"/>
        <v>2041111.111</v>
      </c>
      <c r="AM92" s="748">
        <f t="shared" si="65"/>
        <v>0.3401851852</v>
      </c>
      <c r="AN92" s="9"/>
      <c r="AO92" s="9"/>
      <c r="AP92" s="9"/>
      <c r="AQ92" s="9"/>
    </row>
    <row r="93" ht="96.0" customHeight="1" outlineLevel="1">
      <c r="A93" s="72"/>
      <c r="B93" s="72"/>
      <c r="C93" s="72"/>
      <c r="D93" s="72"/>
      <c r="E93" s="72"/>
      <c r="F93" s="72"/>
      <c r="G93" s="72"/>
      <c r="H93" s="88" t="s">
        <v>1551</v>
      </c>
      <c r="I93" s="81" t="b">
        <v>1</v>
      </c>
      <c r="J93" s="82" t="s">
        <v>47</v>
      </c>
      <c r="K93" s="83">
        <f t="shared" si="59"/>
        <v>1</v>
      </c>
      <c r="L93" s="84">
        <f t="shared" si="60"/>
        <v>2000000</v>
      </c>
      <c r="M93" s="84">
        <v>0.0</v>
      </c>
      <c r="N93" s="84">
        <v>0.0</v>
      </c>
      <c r="O93" s="84" t="s">
        <v>81</v>
      </c>
      <c r="P93" s="84" t="s">
        <v>81</v>
      </c>
      <c r="Q93" s="84">
        <f t="shared" si="61"/>
        <v>2000000</v>
      </c>
      <c r="R93" s="68"/>
      <c r="S93" s="72"/>
      <c r="T93" s="72"/>
      <c r="U93" s="9"/>
      <c r="V93" s="9"/>
      <c r="W93" s="26"/>
      <c r="X93" s="26"/>
      <c r="Y93" s="741" t="s">
        <v>1552</v>
      </c>
      <c r="Z93" s="742">
        <f>500000/0.9</f>
        <v>555555.5556</v>
      </c>
      <c r="AA93" s="743">
        <v>2.0</v>
      </c>
      <c r="AB93" s="744"/>
      <c r="AC93" s="744"/>
      <c r="AD93" s="744"/>
      <c r="AE93" s="745"/>
      <c r="AF93" s="746"/>
      <c r="AG93" s="744"/>
      <c r="AH93" s="744"/>
      <c r="AI93" s="744"/>
      <c r="AJ93" s="747">
        <f t="shared" si="62"/>
        <v>0</v>
      </c>
      <c r="AK93" s="747">
        <f t="shared" si="63"/>
        <v>555555.5556</v>
      </c>
      <c r="AL93" s="747">
        <f t="shared" si="64"/>
        <v>1444444.444</v>
      </c>
      <c r="AM93" s="748">
        <f t="shared" si="65"/>
        <v>0.7222222222</v>
      </c>
      <c r="AN93" s="9"/>
      <c r="AO93" s="9"/>
      <c r="AP93" s="9"/>
      <c r="AQ93" s="9"/>
    </row>
    <row r="94" ht="96.0" customHeight="1" outlineLevel="1">
      <c r="A94" s="73" t="s">
        <v>101</v>
      </c>
      <c r="B94" s="152" t="s">
        <v>312</v>
      </c>
      <c r="C94" s="75" t="s">
        <v>38</v>
      </c>
      <c r="D94" s="76" t="s">
        <v>313</v>
      </c>
      <c r="E94" s="77" t="s">
        <v>40</v>
      </c>
      <c r="F94" s="78" t="s">
        <v>314</v>
      </c>
      <c r="G94" s="79" t="s">
        <v>315</v>
      </c>
      <c r="H94" s="80" t="s">
        <v>1553</v>
      </c>
      <c r="I94" s="81" t="b">
        <v>1</v>
      </c>
      <c r="J94" s="82" t="s">
        <v>7</v>
      </c>
      <c r="K94" s="83">
        <f t="shared" si="59"/>
        <v>1</v>
      </c>
      <c r="L94" s="84">
        <f t="shared" si="60"/>
        <v>17000000</v>
      </c>
      <c r="M94" s="84">
        <f>(sum(AB94:AC94)+sum(AF94:AG94))*K94</f>
        <v>70000</v>
      </c>
      <c r="N94" s="84">
        <f>(sum(AD94:AE94)+sum(AH94:AI94))*K94</f>
        <v>5000</v>
      </c>
      <c r="O94" s="84">
        <f>IFERROR(Q94/M94,"-")</f>
        <v>242.8571429</v>
      </c>
      <c r="P94" s="84">
        <f>IFERROR(Q94/N94,"-")</f>
        <v>3400</v>
      </c>
      <c r="Q94" s="84">
        <f t="shared" si="61"/>
        <v>17000000</v>
      </c>
      <c r="R94" s="68"/>
      <c r="S94" s="85"/>
      <c r="T94" s="149" t="s">
        <v>122</v>
      </c>
      <c r="U94" s="9"/>
      <c r="V94" s="9"/>
      <c r="W94" s="740"/>
      <c r="X94" s="740"/>
      <c r="Y94" s="741" t="s">
        <v>1554</v>
      </c>
      <c r="Z94" s="742">
        <f>3800000/0.9</f>
        <v>4222222.222</v>
      </c>
      <c r="AA94" s="743">
        <v>3.0</v>
      </c>
      <c r="AB94" s="744">
        <v>20000.0</v>
      </c>
      <c r="AC94" s="744">
        <v>50000.0</v>
      </c>
      <c r="AD94" s="744">
        <v>1000.0</v>
      </c>
      <c r="AE94" s="745">
        <v>4000.0</v>
      </c>
      <c r="AF94" s="746"/>
      <c r="AG94" s="744"/>
      <c r="AH94" s="744"/>
      <c r="AI94" s="744"/>
      <c r="AJ94" s="747">
        <f t="shared" si="62"/>
        <v>300000</v>
      </c>
      <c r="AK94" s="747">
        <f t="shared" si="63"/>
        <v>4522222.222</v>
      </c>
      <c r="AL94" s="747">
        <f t="shared" si="64"/>
        <v>12477777.78</v>
      </c>
      <c r="AM94" s="748">
        <f t="shared" si="65"/>
        <v>0.7339869281</v>
      </c>
      <c r="AN94" s="9"/>
      <c r="AO94" s="9"/>
      <c r="AP94" s="9"/>
      <c r="AQ94" s="9"/>
    </row>
    <row r="95" ht="96.0" customHeight="1" outlineLevel="1">
      <c r="A95" s="72"/>
      <c r="B95" s="72"/>
      <c r="C95" s="72"/>
      <c r="D95" s="72"/>
      <c r="E95" s="72"/>
      <c r="F95" s="72"/>
      <c r="G95" s="72"/>
      <c r="H95" s="88" t="s">
        <v>1555</v>
      </c>
      <c r="I95" s="81" t="b">
        <v>1</v>
      </c>
      <c r="J95" s="82" t="s">
        <v>47</v>
      </c>
      <c r="K95" s="83">
        <f t="shared" si="59"/>
        <v>1</v>
      </c>
      <c r="L95" s="84">
        <f t="shared" si="60"/>
        <v>7000000</v>
      </c>
      <c r="M95" s="84">
        <v>0.0</v>
      </c>
      <c r="N95" s="84">
        <v>0.0</v>
      </c>
      <c r="O95" s="84" t="s">
        <v>81</v>
      </c>
      <c r="P95" s="84" t="s">
        <v>81</v>
      </c>
      <c r="Q95" s="84">
        <f t="shared" si="61"/>
        <v>7000000</v>
      </c>
      <c r="R95" s="72"/>
      <c r="S95" s="72"/>
      <c r="T95" s="72"/>
      <c r="U95" s="9"/>
      <c r="V95" s="9"/>
      <c r="W95" s="26"/>
      <c r="X95" s="26"/>
      <c r="Y95" s="741" t="s">
        <v>1556</v>
      </c>
      <c r="Z95" s="742">
        <f>2000000/0.9</f>
        <v>2222222.222</v>
      </c>
      <c r="AA95" s="743">
        <v>2.0</v>
      </c>
      <c r="AB95" s="744"/>
      <c r="AC95" s="744"/>
      <c r="AD95" s="744"/>
      <c r="AE95" s="745"/>
      <c r="AF95" s="746"/>
      <c r="AG95" s="744"/>
      <c r="AH95" s="744"/>
      <c r="AI95" s="744"/>
      <c r="AJ95" s="747">
        <f t="shared" si="62"/>
        <v>0</v>
      </c>
      <c r="AK95" s="747">
        <f t="shared" si="63"/>
        <v>2222222.222</v>
      </c>
      <c r="AL95" s="747">
        <f t="shared" si="64"/>
        <v>4777777.778</v>
      </c>
      <c r="AM95" s="748">
        <f t="shared" si="65"/>
        <v>0.6825396825</v>
      </c>
      <c r="AN95" s="9"/>
      <c r="AO95" s="9"/>
      <c r="AP95" s="9"/>
      <c r="AQ95" s="9"/>
    </row>
    <row r="96" ht="34.5" customHeight="1">
      <c r="A96" s="156" t="s">
        <v>318</v>
      </c>
      <c r="B96" s="56"/>
      <c r="C96" s="61"/>
      <c r="D96" s="61"/>
      <c r="E96" s="61"/>
      <c r="F96" s="61"/>
      <c r="G96" s="61"/>
      <c r="H96" s="61"/>
      <c r="I96" s="62"/>
      <c r="J96" s="63" t="s">
        <v>10</v>
      </c>
      <c r="K96" s="64">
        <f>SUMIFS(K98:K107,J98:J107,"Photo Post")</f>
        <v>5</v>
      </c>
      <c r="L96" s="65"/>
      <c r="M96" s="66">
        <f t="shared" ref="M96:N96" si="66">sum(M98:M107)</f>
        <v>320000</v>
      </c>
      <c r="N96" s="66">
        <f t="shared" si="66"/>
        <v>23500</v>
      </c>
      <c r="O96" s="65"/>
      <c r="P96" s="65"/>
      <c r="Q96" s="66">
        <f>sum(Q98:Q107)</f>
        <v>216000000</v>
      </c>
      <c r="R96" s="133"/>
      <c r="S96" s="133"/>
      <c r="T96" s="133"/>
      <c r="U96" s="69"/>
      <c r="V96" s="69"/>
      <c r="W96" s="717"/>
      <c r="X96" s="717"/>
      <c r="Y96" s="9"/>
      <c r="Z96" s="719"/>
      <c r="AA96" s="720"/>
      <c r="AB96" s="721"/>
      <c r="AC96" s="721"/>
      <c r="AD96" s="721"/>
      <c r="AE96" s="722"/>
      <c r="AF96" s="723"/>
      <c r="AG96" s="721"/>
      <c r="AH96" s="721"/>
      <c r="AI96" s="721"/>
      <c r="AJ96" s="724"/>
      <c r="AK96" s="724"/>
      <c r="AL96" s="724"/>
      <c r="AM96" s="725"/>
      <c r="AN96" s="9"/>
      <c r="AO96" s="9"/>
      <c r="AP96" s="9"/>
      <c r="AQ96" s="9"/>
    </row>
    <row r="97" ht="34.5" customHeight="1">
      <c r="A97" s="70"/>
      <c r="B97" s="71"/>
      <c r="C97" s="61"/>
      <c r="D97" s="61"/>
      <c r="E97" s="61"/>
      <c r="F97" s="61"/>
      <c r="G97" s="61"/>
      <c r="H97" s="61"/>
      <c r="I97" s="62"/>
      <c r="J97" s="63" t="s">
        <v>7</v>
      </c>
      <c r="K97" s="64">
        <f>SUMIFS(K98:K107,J98:J107,"Video Post")</f>
        <v>5</v>
      </c>
      <c r="L97" s="65"/>
      <c r="M97" s="72"/>
      <c r="N97" s="72"/>
      <c r="O97" s="65"/>
      <c r="P97" s="65"/>
      <c r="Q97" s="72"/>
      <c r="R97" s="133"/>
      <c r="S97" s="133"/>
      <c r="T97" s="133"/>
      <c r="U97" s="69"/>
      <c r="V97" s="69"/>
      <c r="W97" s="717"/>
      <c r="X97" s="717"/>
      <c r="Y97" s="718"/>
      <c r="Z97" s="719"/>
      <c r="AA97" s="720"/>
      <c r="AB97" s="721"/>
      <c r="AC97" s="721"/>
      <c r="AD97" s="721"/>
      <c r="AE97" s="722"/>
      <c r="AF97" s="723"/>
      <c r="AG97" s="721"/>
      <c r="AH97" s="721"/>
      <c r="AI97" s="721"/>
      <c r="AJ97" s="724"/>
      <c r="AK97" s="724"/>
      <c r="AL97" s="724"/>
      <c r="AM97" s="725"/>
      <c r="AN97" s="9"/>
      <c r="AO97" s="9"/>
      <c r="AP97" s="9"/>
      <c r="AQ97" s="9"/>
    </row>
    <row r="98" ht="151.5" customHeight="1" outlineLevel="1">
      <c r="A98" s="157" t="s">
        <v>45</v>
      </c>
      <c r="B98" s="158" t="s">
        <v>319</v>
      </c>
      <c r="C98" s="159" t="s">
        <v>320</v>
      </c>
      <c r="D98" s="160" t="s">
        <v>321</v>
      </c>
      <c r="E98" s="161" t="s">
        <v>118</v>
      </c>
      <c r="F98" s="162" t="s">
        <v>21</v>
      </c>
      <c r="G98" s="163" t="s">
        <v>322</v>
      </c>
      <c r="H98" s="164" t="s">
        <v>323</v>
      </c>
      <c r="I98" s="97" t="b">
        <v>1</v>
      </c>
      <c r="J98" s="98" t="s">
        <v>10</v>
      </c>
      <c r="K98" s="99">
        <f t="shared" ref="K98:K107" si="67">if(I98=True,1,if(I98=False,0))</f>
        <v>1</v>
      </c>
      <c r="L98" s="100">
        <f t="shared" ref="L98:L107" si="68">round(Z98*(1+AA98),-6)</f>
        <v>32000000</v>
      </c>
      <c r="M98" s="100">
        <f t="shared" ref="M98:M107" si="69">(sum(AB98:AC98)+sum(AF98:AG98))*K98</f>
        <v>0</v>
      </c>
      <c r="N98" s="100">
        <f t="shared" ref="N98:N107" si="70">(sum(AD98:AE98)+sum(AH98:AI98))*K98</f>
        <v>3000</v>
      </c>
      <c r="O98" s="100" t="str">
        <f t="shared" ref="O98:O107" si="71">IFERROR(Q98/M98,"-")</f>
        <v>-</v>
      </c>
      <c r="P98" s="100">
        <f t="shared" ref="P98:P107" si="72">IFERROR(Q98/N98,"-")</f>
        <v>10666.66667</v>
      </c>
      <c r="Q98" s="100">
        <f t="shared" ref="Q98:Q107" si="73">iferror(L98*K98,"-")</f>
        <v>32000000</v>
      </c>
      <c r="R98" s="165" t="s">
        <v>1557</v>
      </c>
      <c r="S98" s="166"/>
      <c r="T98" s="167" t="s">
        <v>45</v>
      </c>
      <c r="U98" s="168"/>
      <c r="V98" s="168"/>
      <c r="W98" s="798"/>
      <c r="X98" s="798"/>
      <c r="Y98" s="799" t="s">
        <v>1017</v>
      </c>
      <c r="Z98" s="800">
        <f>14500000/0.9</f>
        <v>16111111.11</v>
      </c>
      <c r="AA98" s="743">
        <v>1.0</v>
      </c>
      <c r="AB98" s="801"/>
      <c r="AC98" s="801"/>
      <c r="AD98" s="801"/>
      <c r="AE98" s="802"/>
      <c r="AF98" s="803"/>
      <c r="AG98" s="801"/>
      <c r="AH98" s="744">
        <v>3000.0</v>
      </c>
      <c r="AI98" s="801"/>
      <c r="AJ98" s="804">
        <f>(AC98*2+AE98*50+AG98*10+AI98*50)*K98</f>
        <v>0</v>
      </c>
      <c r="AK98" s="804">
        <f t="shared" ref="AK98:AK107" si="74">sum(Z98,AJ98)*K98</f>
        <v>16111111.11</v>
      </c>
      <c r="AL98" s="804">
        <f t="shared" ref="AL98:AL107" si="75">iferror(Q98-AK98,"-")</f>
        <v>15888888.89</v>
      </c>
      <c r="AM98" s="805">
        <f t="shared" ref="AM98:AM107" si="76">iferror(AL98/Q98,"-")</f>
        <v>0.4965277778</v>
      </c>
      <c r="AN98" s="9"/>
      <c r="AO98" s="9"/>
      <c r="AP98" s="9"/>
      <c r="AQ98" s="9"/>
    </row>
    <row r="99" ht="151.5" customHeight="1" outlineLevel="1">
      <c r="A99" s="157" t="s">
        <v>45</v>
      </c>
      <c r="B99" s="158" t="s">
        <v>325</v>
      </c>
      <c r="C99" s="159" t="s">
        <v>320</v>
      </c>
      <c r="D99" s="160" t="s">
        <v>326</v>
      </c>
      <c r="E99" s="161" t="s">
        <v>118</v>
      </c>
      <c r="F99" s="162" t="s">
        <v>139</v>
      </c>
      <c r="G99" s="163" t="s">
        <v>322</v>
      </c>
      <c r="H99" s="164" t="s">
        <v>323</v>
      </c>
      <c r="I99" s="97" t="b">
        <v>1</v>
      </c>
      <c r="J99" s="98" t="s">
        <v>10</v>
      </c>
      <c r="K99" s="99">
        <f t="shared" si="67"/>
        <v>1</v>
      </c>
      <c r="L99" s="100">
        <f t="shared" si="68"/>
        <v>26000000</v>
      </c>
      <c r="M99" s="100">
        <f t="shared" si="69"/>
        <v>0</v>
      </c>
      <c r="N99" s="100">
        <f t="shared" si="70"/>
        <v>3000</v>
      </c>
      <c r="O99" s="100" t="str">
        <f t="shared" si="71"/>
        <v>-</v>
      </c>
      <c r="P99" s="100">
        <f t="shared" si="72"/>
        <v>8666.666667</v>
      </c>
      <c r="Q99" s="100">
        <f t="shared" si="73"/>
        <v>26000000</v>
      </c>
      <c r="R99" s="165" t="s">
        <v>1558</v>
      </c>
      <c r="S99" s="169"/>
      <c r="T99" s="167" t="s">
        <v>45</v>
      </c>
      <c r="U99" s="170"/>
      <c r="V99" s="170"/>
      <c r="W99" s="798"/>
      <c r="X99" s="798"/>
      <c r="Y99" s="799" t="s">
        <v>1017</v>
      </c>
      <c r="Z99" s="742">
        <f>11500000/0.9</f>
        <v>12777777.78</v>
      </c>
      <c r="AA99" s="743">
        <v>1.0</v>
      </c>
      <c r="AB99" s="744"/>
      <c r="AC99" s="744"/>
      <c r="AD99" s="744"/>
      <c r="AE99" s="745"/>
      <c r="AF99" s="746"/>
      <c r="AG99" s="744"/>
      <c r="AH99" s="744">
        <v>3000.0</v>
      </c>
      <c r="AI99" s="744"/>
      <c r="AJ99" s="747">
        <f t="shared" ref="AJ99:AJ100" si="77">(AI99*50+AE99*50+AG99*20+AC99*2)*K99</f>
        <v>0</v>
      </c>
      <c r="AK99" s="747">
        <f t="shared" si="74"/>
        <v>12777777.78</v>
      </c>
      <c r="AL99" s="747">
        <f t="shared" si="75"/>
        <v>13222222.22</v>
      </c>
      <c r="AM99" s="748">
        <f t="shared" si="76"/>
        <v>0.5085470085</v>
      </c>
      <c r="AN99" s="9"/>
      <c r="AO99" s="9"/>
      <c r="AP99" s="9"/>
      <c r="AQ99" s="9"/>
    </row>
    <row r="100" ht="151.5" customHeight="1" outlineLevel="1">
      <c r="A100" s="157" t="s">
        <v>45</v>
      </c>
      <c r="B100" s="158" t="s">
        <v>328</v>
      </c>
      <c r="C100" s="159" t="s">
        <v>320</v>
      </c>
      <c r="D100" s="160" t="s">
        <v>329</v>
      </c>
      <c r="E100" s="161" t="s">
        <v>118</v>
      </c>
      <c r="F100" s="162" t="s">
        <v>21</v>
      </c>
      <c r="G100" s="163" t="s">
        <v>322</v>
      </c>
      <c r="H100" s="164" t="s">
        <v>323</v>
      </c>
      <c r="I100" s="97" t="b">
        <v>1</v>
      </c>
      <c r="J100" s="98" t="s">
        <v>10</v>
      </c>
      <c r="K100" s="99">
        <f t="shared" si="67"/>
        <v>1</v>
      </c>
      <c r="L100" s="100">
        <f t="shared" si="68"/>
        <v>26000000</v>
      </c>
      <c r="M100" s="100">
        <f t="shared" si="69"/>
        <v>0</v>
      </c>
      <c r="N100" s="100">
        <f t="shared" si="70"/>
        <v>3000</v>
      </c>
      <c r="O100" s="100" t="str">
        <f t="shared" si="71"/>
        <v>-</v>
      </c>
      <c r="P100" s="100">
        <f t="shared" si="72"/>
        <v>8666.666667</v>
      </c>
      <c r="Q100" s="100">
        <f t="shared" si="73"/>
        <v>26000000</v>
      </c>
      <c r="R100" s="165" t="s">
        <v>1559</v>
      </c>
      <c r="S100" s="169"/>
      <c r="T100" s="167" t="s">
        <v>45</v>
      </c>
      <c r="U100" s="170"/>
      <c r="V100" s="170"/>
      <c r="W100" s="798"/>
      <c r="X100" s="798"/>
      <c r="Y100" s="799" t="s">
        <v>1017</v>
      </c>
      <c r="Z100" s="742">
        <f>10000000/0.9</f>
        <v>11111111.11</v>
      </c>
      <c r="AA100" s="743">
        <v>1.3</v>
      </c>
      <c r="AB100" s="744"/>
      <c r="AC100" s="744"/>
      <c r="AD100" s="744"/>
      <c r="AE100" s="745"/>
      <c r="AF100" s="746"/>
      <c r="AG100" s="744"/>
      <c r="AH100" s="744">
        <v>3000.0</v>
      </c>
      <c r="AI100" s="744"/>
      <c r="AJ100" s="747">
        <f t="shared" si="77"/>
        <v>0</v>
      </c>
      <c r="AK100" s="747">
        <f t="shared" si="74"/>
        <v>11111111.11</v>
      </c>
      <c r="AL100" s="747">
        <f t="shared" si="75"/>
        <v>14888888.89</v>
      </c>
      <c r="AM100" s="748">
        <f t="shared" si="76"/>
        <v>0.5726495726</v>
      </c>
      <c r="AN100" s="9"/>
      <c r="AO100" s="9"/>
      <c r="AP100" s="9"/>
      <c r="AQ100" s="9"/>
    </row>
    <row r="101" ht="151.5" customHeight="1" outlineLevel="1">
      <c r="A101" s="157" t="s">
        <v>45</v>
      </c>
      <c r="B101" s="171" t="s">
        <v>331</v>
      </c>
      <c r="C101" s="159" t="s">
        <v>320</v>
      </c>
      <c r="D101" s="160" t="s">
        <v>332</v>
      </c>
      <c r="E101" s="161" t="s">
        <v>40</v>
      </c>
      <c r="F101" s="162" t="s">
        <v>21</v>
      </c>
      <c r="G101" s="163" t="s">
        <v>50</v>
      </c>
      <c r="H101" s="164" t="s">
        <v>323</v>
      </c>
      <c r="I101" s="97" t="b">
        <v>1</v>
      </c>
      <c r="J101" s="98" t="s">
        <v>10</v>
      </c>
      <c r="K101" s="99">
        <f t="shared" si="67"/>
        <v>1</v>
      </c>
      <c r="L101" s="100">
        <f t="shared" si="68"/>
        <v>25000000</v>
      </c>
      <c r="M101" s="100">
        <f t="shared" si="69"/>
        <v>0</v>
      </c>
      <c r="N101" s="100">
        <f t="shared" si="70"/>
        <v>3000</v>
      </c>
      <c r="O101" s="100" t="str">
        <f t="shared" si="71"/>
        <v>-</v>
      </c>
      <c r="P101" s="100">
        <f t="shared" si="72"/>
        <v>8333.333333</v>
      </c>
      <c r="Q101" s="100">
        <f t="shared" si="73"/>
        <v>25000000</v>
      </c>
      <c r="R101" s="165" t="s">
        <v>1560</v>
      </c>
      <c r="S101" s="169"/>
      <c r="T101" s="167" t="s">
        <v>45</v>
      </c>
      <c r="U101" s="170"/>
      <c r="V101" s="170"/>
      <c r="W101" s="798"/>
      <c r="X101" s="798"/>
      <c r="Y101" s="799" t="s">
        <v>1017</v>
      </c>
      <c r="Z101" s="742">
        <f>11500000/0.9</f>
        <v>12777777.78</v>
      </c>
      <c r="AA101" s="743">
        <v>0.95</v>
      </c>
      <c r="AB101" s="744"/>
      <c r="AC101" s="744"/>
      <c r="AD101" s="744"/>
      <c r="AE101" s="745"/>
      <c r="AF101" s="746"/>
      <c r="AG101" s="744"/>
      <c r="AH101" s="744">
        <v>3000.0</v>
      </c>
      <c r="AI101" s="744"/>
      <c r="AJ101" s="747">
        <f t="shared" ref="AJ101:AJ103" si="78">(AC101*2+AE101*50+AG101*10+AI101*50)*K101</f>
        <v>0</v>
      </c>
      <c r="AK101" s="747">
        <f t="shared" si="74"/>
        <v>12777777.78</v>
      </c>
      <c r="AL101" s="747">
        <f t="shared" si="75"/>
        <v>12222222.22</v>
      </c>
      <c r="AM101" s="748">
        <f t="shared" si="76"/>
        <v>0.4888888889</v>
      </c>
      <c r="AN101" s="9"/>
      <c r="AO101" s="9"/>
      <c r="AP101" s="9"/>
      <c r="AQ101" s="9"/>
    </row>
    <row r="102" ht="151.5" customHeight="1" outlineLevel="1">
      <c r="A102" s="157" t="s">
        <v>45</v>
      </c>
      <c r="B102" s="158" t="s">
        <v>334</v>
      </c>
      <c r="C102" s="159" t="s">
        <v>320</v>
      </c>
      <c r="D102" s="160" t="s">
        <v>335</v>
      </c>
      <c r="E102" s="161" t="s">
        <v>40</v>
      </c>
      <c r="F102" s="162" t="s">
        <v>21</v>
      </c>
      <c r="G102" s="163" t="s">
        <v>322</v>
      </c>
      <c r="H102" s="164" t="s">
        <v>336</v>
      </c>
      <c r="I102" s="97" t="b">
        <v>1</v>
      </c>
      <c r="J102" s="98" t="s">
        <v>10</v>
      </c>
      <c r="K102" s="99">
        <f t="shared" si="67"/>
        <v>1</v>
      </c>
      <c r="L102" s="100">
        <f t="shared" si="68"/>
        <v>17000000</v>
      </c>
      <c r="M102" s="100">
        <f t="shared" si="69"/>
        <v>0</v>
      </c>
      <c r="N102" s="100">
        <f t="shared" si="70"/>
        <v>3000</v>
      </c>
      <c r="O102" s="100" t="str">
        <f t="shared" si="71"/>
        <v>-</v>
      </c>
      <c r="P102" s="100">
        <f t="shared" si="72"/>
        <v>5666.666667</v>
      </c>
      <c r="Q102" s="100">
        <f t="shared" si="73"/>
        <v>17000000</v>
      </c>
      <c r="R102" s="165" t="s">
        <v>1561</v>
      </c>
      <c r="S102" s="169"/>
      <c r="T102" s="167" t="s">
        <v>45</v>
      </c>
      <c r="U102" s="170"/>
      <c r="V102" s="170"/>
      <c r="W102" s="798"/>
      <c r="X102" s="798"/>
      <c r="Y102" s="799" t="s">
        <v>1017</v>
      </c>
      <c r="Z102" s="742">
        <f>7500000/0.9</f>
        <v>8333333.333</v>
      </c>
      <c r="AA102" s="743">
        <v>1.0</v>
      </c>
      <c r="AB102" s="744"/>
      <c r="AC102" s="744"/>
      <c r="AD102" s="744"/>
      <c r="AE102" s="745"/>
      <c r="AF102" s="746"/>
      <c r="AG102" s="744"/>
      <c r="AH102" s="744">
        <v>3000.0</v>
      </c>
      <c r="AI102" s="744"/>
      <c r="AJ102" s="747">
        <f t="shared" si="78"/>
        <v>0</v>
      </c>
      <c r="AK102" s="747">
        <f t="shared" si="74"/>
        <v>8333333.333</v>
      </c>
      <c r="AL102" s="747">
        <f t="shared" si="75"/>
        <v>8666666.667</v>
      </c>
      <c r="AM102" s="748">
        <f t="shared" si="76"/>
        <v>0.5098039216</v>
      </c>
      <c r="AN102" s="9"/>
      <c r="AO102" s="9"/>
      <c r="AP102" s="9"/>
      <c r="AQ102" s="9"/>
    </row>
    <row r="103" ht="151.5" customHeight="1" outlineLevel="1">
      <c r="A103" s="157" t="s">
        <v>45</v>
      </c>
      <c r="B103" s="171" t="s">
        <v>338</v>
      </c>
      <c r="C103" s="159" t="s">
        <v>38</v>
      </c>
      <c r="D103" s="160" t="s">
        <v>339</v>
      </c>
      <c r="E103" s="161" t="s">
        <v>118</v>
      </c>
      <c r="F103" s="162" t="s">
        <v>21</v>
      </c>
      <c r="G103" s="163" t="s">
        <v>105</v>
      </c>
      <c r="H103" s="164" t="s">
        <v>340</v>
      </c>
      <c r="I103" s="97" t="b">
        <v>1</v>
      </c>
      <c r="J103" s="98" t="s">
        <v>7</v>
      </c>
      <c r="K103" s="99">
        <f t="shared" si="67"/>
        <v>1</v>
      </c>
      <c r="L103" s="100">
        <f t="shared" si="68"/>
        <v>25000000</v>
      </c>
      <c r="M103" s="100">
        <f t="shared" si="69"/>
        <v>80000</v>
      </c>
      <c r="N103" s="100">
        <f t="shared" si="70"/>
        <v>2000</v>
      </c>
      <c r="O103" s="100">
        <f t="shared" si="71"/>
        <v>312.5</v>
      </c>
      <c r="P103" s="100">
        <f t="shared" si="72"/>
        <v>12500</v>
      </c>
      <c r="Q103" s="100">
        <f t="shared" si="73"/>
        <v>25000000</v>
      </c>
      <c r="R103" s="165" t="s">
        <v>1562</v>
      </c>
      <c r="S103" s="169"/>
      <c r="T103" s="167" t="s">
        <v>45</v>
      </c>
      <c r="U103" s="170"/>
      <c r="V103" s="170"/>
      <c r="W103" s="798"/>
      <c r="X103" s="798"/>
      <c r="Y103" s="799" t="s">
        <v>1017</v>
      </c>
      <c r="Z103" s="742">
        <f>15000000/0.9</f>
        <v>16666666.67</v>
      </c>
      <c r="AA103" s="743">
        <v>0.5</v>
      </c>
      <c r="AB103" s="744">
        <v>80000.0</v>
      </c>
      <c r="AC103" s="744"/>
      <c r="AD103" s="744">
        <v>1000.0</v>
      </c>
      <c r="AE103" s="745">
        <v>1000.0</v>
      </c>
      <c r="AF103" s="746"/>
      <c r="AG103" s="744"/>
      <c r="AH103" s="744"/>
      <c r="AI103" s="744"/>
      <c r="AJ103" s="747">
        <f t="shared" si="78"/>
        <v>50000</v>
      </c>
      <c r="AK103" s="747">
        <f t="shared" si="74"/>
        <v>16716666.67</v>
      </c>
      <c r="AL103" s="747">
        <f t="shared" si="75"/>
        <v>8283333.333</v>
      </c>
      <c r="AM103" s="748">
        <f t="shared" si="76"/>
        <v>0.3313333333</v>
      </c>
      <c r="AN103" s="9"/>
      <c r="AO103" s="9"/>
      <c r="AP103" s="9"/>
      <c r="AQ103" s="9"/>
    </row>
    <row r="104" ht="151.5" customHeight="1" outlineLevel="1">
      <c r="A104" s="157" t="s">
        <v>45</v>
      </c>
      <c r="B104" s="158" t="s">
        <v>342</v>
      </c>
      <c r="C104" s="159" t="s">
        <v>38</v>
      </c>
      <c r="D104" s="160" t="s">
        <v>343</v>
      </c>
      <c r="E104" s="161" t="s">
        <v>40</v>
      </c>
      <c r="F104" s="162" t="s">
        <v>21</v>
      </c>
      <c r="G104" s="163" t="s">
        <v>50</v>
      </c>
      <c r="H104" s="164" t="s">
        <v>340</v>
      </c>
      <c r="I104" s="97" t="b">
        <v>1</v>
      </c>
      <c r="J104" s="98" t="s">
        <v>7</v>
      </c>
      <c r="K104" s="99">
        <f t="shared" si="67"/>
        <v>1</v>
      </c>
      <c r="L104" s="100">
        <f t="shared" si="68"/>
        <v>15000000</v>
      </c>
      <c r="M104" s="100">
        <f t="shared" si="69"/>
        <v>30000</v>
      </c>
      <c r="N104" s="100">
        <f t="shared" si="70"/>
        <v>1500</v>
      </c>
      <c r="O104" s="100">
        <f t="shared" si="71"/>
        <v>500</v>
      </c>
      <c r="P104" s="100">
        <f t="shared" si="72"/>
        <v>10000</v>
      </c>
      <c r="Q104" s="100">
        <f t="shared" si="73"/>
        <v>15000000</v>
      </c>
      <c r="R104" s="165" t="s">
        <v>1563</v>
      </c>
      <c r="S104" s="169"/>
      <c r="T104" s="167" t="s">
        <v>45</v>
      </c>
      <c r="U104" s="170"/>
      <c r="V104" s="170"/>
      <c r="W104" s="798"/>
      <c r="X104" s="798"/>
      <c r="Y104" s="808" t="s">
        <v>1024</v>
      </c>
      <c r="Z104" s="742">
        <f>9000000/0.9</f>
        <v>10000000</v>
      </c>
      <c r="AA104" s="743">
        <v>0.5</v>
      </c>
      <c r="AB104" s="744">
        <v>10000.0</v>
      </c>
      <c r="AC104" s="744">
        <v>20000.0</v>
      </c>
      <c r="AD104" s="744">
        <v>500.0</v>
      </c>
      <c r="AE104" s="745">
        <v>1000.0</v>
      </c>
      <c r="AF104" s="746"/>
      <c r="AG104" s="744"/>
      <c r="AH104" s="744"/>
      <c r="AI104" s="801"/>
      <c r="AJ104" s="747">
        <f>(AI104*50+AE104*50+AG104*20+AC104*2)*K104</f>
        <v>90000</v>
      </c>
      <c r="AK104" s="747">
        <f t="shared" si="74"/>
        <v>10090000</v>
      </c>
      <c r="AL104" s="747">
        <f t="shared" si="75"/>
        <v>4910000</v>
      </c>
      <c r="AM104" s="748">
        <f t="shared" si="76"/>
        <v>0.3273333333</v>
      </c>
      <c r="AN104" s="9"/>
      <c r="AO104" s="9"/>
      <c r="AP104" s="9"/>
      <c r="AQ104" s="9"/>
    </row>
    <row r="105" ht="151.5" customHeight="1" outlineLevel="1">
      <c r="A105" s="157" t="s">
        <v>45</v>
      </c>
      <c r="B105" s="158" t="s">
        <v>345</v>
      </c>
      <c r="C105" s="159" t="s">
        <v>38</v>
      </c>
      <c r="D105" s="160" t="s">
        <v>346</v>
      </c>
      <c r="E105" s="161" t="s">
        <v>40</v>
      </c>
      <c r="F105" s="162" t="s">
        <v>21</v>
      </c>
      <c r="G105" s="163" t="s">
        <v>322</v>
      </c>
      <c r="H105" s="164" t="s">
        <v>340</v>
      </c>
      <c r="I105" s="97" t="b">
        <v>1</v>
      </c>
      <c r="J105" s="98" t="s">
        <v>7</v>
      </c>
      <c r="K105" s="99">
        <f t="shared" si="67"/>
        <v>1</v>
      </c>
      <c r="L105" s="100">
        <f t="shared" si="68"/>
        <v>18000000</v>
      </c>
      <c r="M105" s="100">
        <f t="shared" si="69"/>
        <v>80000</v>
      </c>
      <c r="N105" s="100">
        <f t="shared" si="70"/>
        <v>1500</v>
      </c>
      <c r="O105" s="100">
        <f t="shared" si="71"/>
        <v>225</v>
      </c>
      <c r="P105" s="100">
        <f t="shared" si="72"/>
        <v>12000</v>
      </c>
      <c r="Q105" s="100">
        <f t="shared" si="73"/>
        <v>18000000</v>
      </c>
      <c r="R105" s="165" t="s">
        <v>1564</v>
      </c>
      <c r="S105" s="169"/>
      <c r="T105" s="167" t="s">
        <v>45</v>
      </c>
      <c r="U105" s="170"/>
      <c r="V105" s="170"/>
      <c r="W105" s="798"/>
      <c r="X105" s="798"/>
      <c r="Y105" s="799" t="s">
        <v>1017</v>
      </c>
      <c r="Z105" s="742">
        <f>8000000/0.9</f>
        <v>8888888.889</v>
      </c>
      <c r="AA105" s="743">
        <v>1.0</v>
      </c>
      <c r="AB105" s="744">
        <v>30000.0</v>
      </c>
      <c r="AC105" s="744">
        <v>50000.0</v>
      </c>
      <c r="AD105" s="744">
        <v>500.0</v>
      </c>
      <c r="AE105" s="745">
        <v>1000.0</v>
      </c>
      <c r="AF105" s="746"/>
      <c r="AG105" s="744"/>
      <c r="AH105" s="744"/>
      <c r="AI105" s="744"/>
      <c r="AJ105" s="747">
        <f t="shared" ref="AJ105:AJ107" si="79">(AC105*2+AE105*50+AG105*10+AI105*50)*K105</f>
        <v>150000</v>
      </c>
      <c r="AK105" s="747">
        <f t="shared" si="74"/>
        <v>9038888.889</v>
      </c>
      <c r="AL105" s="747">
        <f t="shared" si="75"/>
        <v>8961111.111</v>
      </c>
      <c r="AM105" s="748">
        <f t="shared" si="76"/>
        <v>0.4978395062</v>
      </c>
      <c r="AN105" s="9"/>
      <c r="AO105" s="9"/>
      <c r="AP105" s="9"/>
      <c r="AQ105" s="9"/>
    </row>
    <row r="106" ht="151.5" customHeight="1" outlineLevel="1">
      <c r="A106" s="157" t="s">
        <v>45</v>
      </c>
      <c r="B106" s="158" t="s">
        <v>348</v>
      </c>
      <c r="C106" s="159" t="s">
        <v>38</v>
      </c>
      <c r="D106" s="160" t="s">
        <v>349</v>
      </c>
      <c r="E106" s="161" t="s">
        <v>40</v>
      </c>
      <c r="F106" s="162" t="s">
        <v>21</v>
      </c>
      <c r="G106" s="163" t="s">
        <v>50</v>
      </c>
      <c r="H106" s="164" t="s">
        <v>340</v>
      </c>
      <c r="I106" s="97" t="b">
        <v>1</v>
      </c>
      <c r="J106" s="98" t="s">
        <v>7</v>
      </c>
      <c r="K106" s="99">
        <f t="shared" si="67"/>
        <v>1</v>
      </c>
      <c r="L106" s="100">
        <f t="shared" si="68"/>
        <v>12000000</v>
      </c>
      <c r="M106" s="100">
        <f t="shared" si="69"/>
        <v>50000</v>
      </c>
      <c r="N106" s="100">
        <f t="shared" si="70"/>
        <v>1500</v>
      </c>
      <c r="O106" s="100">
        <f t="shared" si="71"/>
        <v>240</v>
      </c>
      <c r="P106" s="100">
        <f t="shared" si="72"/>
        <v>8000</v>
      </c>
      <c r="Q106" s="100">
        <f t="shared" si="73"/>
        <v>12000000</v>
      </c>
      <c r="R106" s="165" t="s">
        <v>1565</v>
      </c>
      <c r="S106" s="169"/>
      <c r="T106" s="167" t="s">
        <v>45</v>
      </c>
      <c r="U106" s="170"/>
      <c r="V106" s="170"/>
      <c r="W106" s="798"/>
      <c r="X106" s="798"/>
      <c r="Y106" s="808" t="s">
        <v>1024</v>
      </c>
      <c r="Z106" s="742">
        <f>5000000/0.9</f>
        <v>5555555.556</v>
      </c>
      <c r="AA106" s="743">
        <v>1.2</v>
      </c>
      <c r="AB106" s="744">
        <v>30000.0</v>
      </c>
      <c r="AC106" s="744">
        <v>20000.0</v>
      </c>
      <c r="AD106" s="744">
        <v>500.0</v>
      </c>
      <c r="AE106" s="745">
        <v>1000.0</v>
      </c>
      <c r="AF106" s="746"/>
      <c r="AG106" s="744"/>
      <c r="AH106" s="744"/>
      <c r="AI106" s="744"/>
      <c r="AJ106" s="747">
        <f t="shared" si="79"/>
        <v>90000</v>
      </c>
      <c r="AK106" s="747">
        <f t="shared" si="74"/>
        <v>5645555.556</v>
      </c>
      <c r="AL106" s="747">
        <f t="shared" si="75"/>
        <v>6354444.444</v>
      </c>
      <c r="AM106" s="748">
        <f t="shared" si="76"/>
        <v>0.529537037</v>
      </c>
      <c r="AN106" s="9"/>
      <c r="AO106" s="9"/>
      <c r="AP106" s="9"/>
      <c r="AQ106" s="9"/>
    </row>
    <row r="107" ht="151.5" customHeight="1" outlineLevel="1">
      <c r="A107" s="157" t="s">
        <v>45</v>
      </c>
      <c r="B107" s="158" t="s">
        <v>351</v>
      </c>
      <c r="C107" s="159" t="s">
        <v>38</v>
      </c>
      <c r="D107" s="160" t="s">
        <v>352</v>
      </c>
      <c r="E107" s="161" t="s">
        <v>40</v>
      </c>
      <c r="F107" s="162" t="s">
        <v>21</v>
      </c>
      <c r="G107" s="163" t="s">
        <v>105</v>
      </c>
      <c r="H107" s="164" t="s">
        <v>340</v>
      </c>
      <c r="I107" s="97" t="b">
        <v>1</v>
      </c>
      <c r="J107" s="98" t="s">
        <v>7</v>
      </c>
      <c r="K107" s="99">
        <f t="shared" si="67"/>
        <v>1</v>
      </c>
      <c r="L107" s="100">
        <f t="shared" si="68"/>
        <v>20000000</v>
      </c>
      <c r="M107" s="100">
        <f t="shared" si="69"/>
        <v>80000</v>
      </c>
      <c r="N107" s="100">
        <f t="shared" si="70"/>
        <v>2000</v>
      </c>
      <c r="O107" s="100">
        <f t="shared" si="71"/>
        <v>250</v>
      </c>
      <c r="P107" s="100">
        <f t="shared" si="72"/>
        <v>10000</v>
      </c>
      <c r="Q107" s="100">
        <f t="shared" si="73"/>
        <v>20000000</v>
      </c>
      <c r="R107" s="165" t="s">
        <v>1566</v>
      </c>
      <c r="S107" s="166"/>
      <c r="T107" s="167" t="s">
        <v>45</v>
      </c>
      <c r="U107" s="168"/>
      <c r="V107" s="168"/>
      <c r="W107" s="798"/>
      <c r="X107" s="798"/>
      <c r="Y107" s="799" t="s">
        <v>1017</v>
      </c>
      <c r="Z107" s="800">
        <f>12000000/0.9</f>
        <v>13333333.33</v>
      </c>
      <c r="AA107" s="743">
        <v>0.5</v>
      </c>
      <c r="AB107" s="744">
        <v>80000.0</v>
      </c>
      <c r="AC107" s="801"/>
      <c r="AD107" s="744">
        <v>1000.0</v>
      </c>
      <c r="AE107" s="745">
        <v>1000.0</v>
      </c>
      <c r="AF107" s="803"/>
      <c r="AG107" s="801"/>
      <c r="AH107" s="744"/>
      <c r="AI107" s="801"/>
      <c r="AJ107" s="804">
        <f t="shared" si="79"/>
        <v>50000</v>
      </c>
      <c r="AK107" s="804">
        <f t="shared" si="74"/>
        <v>13383333.33</v>
      </c>
      <c r="AL107" s="804">
        <f t="shared" si="75"/>
        <v>6616666.667</v>
      </c>
      <c r="AM107" s="805">
        <f t="shared" si="76"/>
        <v>0.3308333333</v>
      </c>
      <c r="AN107" s="9"/>
      <c r="AO107" s="9"/>
      <c r="AP107" s="9"/>
      <c r="AQ107" s="9"/>
    </row>
    <row r="108" ht="54.0" customHeight="1">
      <c r="A108" s="172" t="s">
        <v>354</v>
      </c>
      <c r="B108" s="173"/>
      <c r="C108" s="174"/>
      <c r="D108" s="175"/>
      <c r="E108" s="174"/>
      <c r="F108" s="174"/>
      <c r="G108" s="174"/>
      <c r="H108" s="174"/>
      <c r="I108" s="176"/>
      <c r="J108" s="177"/>
      <c r="K108" s="178"/>
      <c r="L108" s="177"/>
      <c r="M108" s="177"/>
      <c r="N108" s="179">
        <f>K109</f>
        <v>2000</v>
      </c>
      <c r="O108" s="177"/>
      <c r="P108" s="177"/>
      <c r="Q108" s="179">
        <f>Q109</f>
        <v>20000000</v>
      </c>
      <c r="R108" s="812"/>
      <c r="S108" s="181"/>
      <c r="T108" s="181"/>
      <c r="U108" s="181"/>
      <c r="V108" s="181"/>
      <c r="W108" s="813"/>
      <c r="X108" s="813"/>
      <c r="Y108" s="814"/>
      <c r="Z108" s="815"/>
      <c r="AA108" s="816"/>
      <c r="AB108" s="815"/>
      <c r="AC108" s="815"/>
      <c r="AD108" s="815"/>
      <c r="AE108" s="817"/>
      <c r="AF108" s="818"/>
      <c r="AG108" s="815"/>
      <c r="AH108" s="815"/>
      <c r="AI108" s="815"/>
      <c r="AJ108" s="815"/>
      <c r="AK108" s="815"/>
      <c r="AL108" s="815"/>
      <c r="AM108" s="819"/>
      <c r="AN108" s="9"/>
      <c r="AO108" s="9"/>
      <c r="AP108" s="9"/>
      <c r="AQ108" s="9"/>
    </row>
    <row r="109" ht="67.5" customHeight="1" outlineLevel="1">
      <c r="A109" s="182">
        <v>1.0</v>
      </c>
      <c r="B109" s="183" t="s">
        <v>355</v>
      </c>
      <c r="C109" s="184" t="s">
        <v>356</v>
      </c>
      <c r="D109" s="185"/>
      <c r="E109" s="185"/>
      <c r="F109" s="185"/>
      <c r="G109" s="185"/>
      <c r="H109" s="186"/>
      <c r="I109" s="187" t="b">
        <v>1</v>
      </c>
      <c r="J109" s="188" t="s">
        <v>11</v>
      </c>
      <c r="K109" s="189">
        <v>2000.0</v>
      </c>
      <c r="L109" s="189">
        <v>10000.0</v>
      </c>
      <c r="M109" s="190"/>
      <c r="N109" s="191">
        <f>L109</f>
        <v>10000</v>
      </c>
      <c r="O109" s="190"/>
      <c r="P109" s="190"/>
      <c r="Q109" s="192">
        <f>iferror(L109*K109,"-")</f>
        <v>20000000</v>
      </c>
      <c r="R109" s="1014"/>
      <c r="S109" s="181"/>
      <c r="T109" s="181"/>
      <c r="U109" s="181"/>
      <c r="V109" s="181"/>
      <c r="W109" s="826"/>
      <c r="X109" s="826"/>
      <c r="Y109" s="814"/>
      <c r="Z109" s="827">
        <f>6000/0.9</f>
        <v>6666.666667</v>
      </c>
      <c r="AA109" s="832"/>
      <c r="AB109" s="828"/>
      <c r="AC109" s="828"/>
      <c r="AD109" s="828"/>
      <c r="AE109" s="829"/>
      <c r="AF109" s="830"/>
      <c r="AG109" s="828"/>
      <c r="AH109" s="828"/>
      <c r="AI109" s="828"/>
      <c r="AJ109" s="804">
        <f>(AC109*2+AE109*50+AG109*10+AI109*50)*K109</f>
        <v>0</v>
      </c>
      <c r="AK109" s="804">
        <f>sum(Z109,AJ109)*K109</f>
        <v>13333333.33</v>
      </c>
      <c r="AL109" s="804">
        <f>iferror(Q109-AK109,"-")</f>
        <v>6666666.667</v>
      </c>
      <c r="AM109" s="805">
        <f>iferror(AL109/Q109,"-")</f>
        <v>0.3333333333</v>
      </c>
      <c r="AN109" s="9"/>
      <c r="AO109" s="9"/>
      <c r="AP109" s="9"/>
      <c r="AQ109" s="9"/>
    </row>
    <row r="110" ht="23.25" customHeight="1">
      <c r="A110" s="194"/>
      <c r="B110" s="195"/>
      <c r="C110" s="195"/>
      <c r="D110" s="195"/>
      <c r="E110" s="195"/>
      <c r="F110" s="196"/>
      <c r="G110" s="195"/>
      <c r="H110" s="195"/>
      <c r="I110" s="197" t="s">
        <v>357</v>
      </c>
      <c r="J110" s="195"/>
      <c r="K110" s="195"/>
      <c r="L110" s="195"/>
      <c r="M110" s="198">
        <f t="shared" ref="M110:N110" si="80">sum(M108,M96,M42,M20)</f>
        <v>1635000</v>
      </c>
      <c r="N110" s="198">
        <f t="shared" si="80"/>
        <v>91700</v>
      </c>
      <c r="O110" s="199"/>
      <c r="P110" s="199"/>
      <c r="Q110" s="198">
        <f>sum(Q108,Q96,Q42,Q20)</f>
        <v>601000000</v>
      </c>
      <c r="R110" s="200"/>
      <c r="S110" s="8"/>
      <c r="T110" s="8"/>
      <c r="U110" s="8"/>
      <c r="V110" s="8"/>
      <c r="W110" s="717"/>
      <c r="X110" s="717"/>
      <c r="Y110" s="580"/>
      <c r="Z110" s="839"/>
      <c r="AA110" s="839"/>
      <c r="AB110" s="839"/>
      <c r="AC110" s="839"/>
      <c r="AD110" s="839"/>
      <c r="AE110" s="839"/>
      <c r="AF110" s="839"/>
      <c r="AG110" s="839"/>
      <c r="AH110" s="839"/>
      <c r="AI110" s="839"/>
      <c r="AJ110" s="840">
        <f t="shared" ref="AJ110:AL110" si="81">sum(AJ20:AJ109)</f>
        <v>3885000</v>
      </c>
      <c r="AK110" s="840">
        <f t="shared" si="81"/>
        <v>322107222.2</v>
      </c>
      <c r="AL110" s="840">
        <f t="shared" si="81"/>
        <v>278892777.8</v>
      </c>
      <c r="AM110" s="841" t="str">
        <f>iferror(AL110/#REF!,"-")</f>
        <v>-</v>
      </c>
      <c r="AN110" s="9"/>
      <c r="AO110" s="9"/>
      <c r="AP110" s="9"/>
      <c r="AQ110" s="9"/>
    </row>
    <row r="111" ht="25.5" customHeight="1">
      <c r="A111" s="194"/>
      <c r="B111" s="195"/>
      <c r="C111" s="195"/>
      <c r="D111" s="195"/>
      <c r="E111" s="195"/>
      <c r="F111" s="196"/>
      <c r="G111" s="195"/>
      <c r="H111" s="195"/>
      <c r="I111" s="197" t="s">
        <v>358</v>
      </c>
      <c r="J111" s="195"/>
      <c r="K111" s="195"/>
      <c r="L111" s="195"/>
      <c r="M111" s="195"/>
      <c r="N111" s="195"/>
      <c r="O111" s="195"/>
      <c r="P111" s="201">
        <v>0.12</v>
      </c>
      <c r="Q111" s="198">
        <f>Q110*P111</f>
        <v>72120000</v>
      </c>
      <c r="R111" s="200"/>
      <c r="S111" s="8"/>
      <c r="T111" s="8"/>
      <c r="U111" s="8"/>
      <c r="V111" s="8"/>
      <c r="W111" s="8"/>
      <c r="X111" s="8"/>
      <c r="Y111" s="580"/>
      <c r="Z111" s="581"/>
      <c r="AA111" s="3"/>
      <c r="AB111" s="3"/>
      <c r="AC111" s="3"/>
      <c r="AD111" s="3"/>
      <c r="AE111" s="3"/>
      <c r="AF111" s="3"/>
      <c r="AG111" s="3"/>
      <c r="AH111" s="3"/>
      <c r="AI111" s="3"/>
      <c r="AJ111" s="844" t="s">
        <v>1032</v>
      </c>
      <c r="AK111" s="845"/>
      <c r="AL111" s="3"/>
      <c r="AM111" s="3"/>
      <c r="AN111" s="9"/>
      <c r="AO111" s="9"/>
      <c r="AP111" s="9"/>
      <c r="AQ111" s="9"/>
    </row>
    <row r="112" ht="25.5" customHeight="1">
      <c r="A112" s="202"/>
      <c r="B112" s="203"/>
      <c r="C112" s="203"/>
      <c r="D112" s="203"/>
      <c r="E112" s="203"/>
      <c r="F112" s="204"/>
      <c r="G112" s="203"/>
      <c r="H112" s="203"/>
      <c r="I112" s="205" t="s">
        <v>359</v>
      </c>
      <c r="J112" s="203"/>
      <c r="K112" s="203"/>
      <c r="L112" s="203"/>
      <c r="M112" s="203"/>
      <c r="N112" s="203"/>
      <c r="O112" s="203"/>
      <c r="P112" s="206"/>
      <c r="Q112" s="207">
        <f>SUM(Q110:Q111)</f>
        <v>673120000</v>
      </c>
      <c r="R112" s="208"/>
      <c r="S112" s="8"/>
      <c r="T112" s="8"/>
      <c r="U112" s="8"/>
      <c r="V112" s="8"/>
      <c r="W112" s="8"/>
      <c r="X112" s="8"/>
      <c r="Y112" s="580"/>
      <c r="Z112" s="581"/>
      <c r="AA112" s="3"/>
      <c r="AB112" s="3"/>
      <c r="AC112" s="3"/>
      <c r="AD112" s="3"/>
      <c r="AE112" s="3"/>
      <c r="AF112" s="3"/>
      <c r="AG112" s="3"/>
      <c r="AH112" s="3"/>
      <c r="AI112" s="3"/>
      <c r="AJ112" s="852" t="s">
        <v>1033</v>
      </c>
      <c r="AK112" s="853">
        <f>(30*600000)/0.9</f>
        <v>20000000</v>
      </c>
      <c r="AL112" s="854" t="s">
        <v>1034</v>
      </c>
      <c r="AM112" s="3"/>
      <c r="AN112" s="9"/>
      <c r="AO112" s="9"/>
      <c r="AP112" s="9"/>
      <c r="AQ112" s="9"/>
    </row>
    <row r="113" ht="25.5" customHeight="1">
      <c r="A113" s="209"/>
      <c r="B113" s="210"/>
      <c r="C113" s="210"/>
      <c r="D113" s="210"/>
      <c r="E113" s="210"/>
      <c r="F113" s="211"/>
      <c r="G113" s="210"/>
      <c r="H113" s="210"/>
      <c r="I113" s="212" t="s">
        <v>360</v>
      </c>
      <c r="J113" s="210"/>
      <c r="K113" s="210"/>
      <c r="L113" s="210"/>
      <c r="M113" s="210"/>
      <c r="N113" s="210"/>
      <c r="O113" s="210"/>
      <c r="P113" s="213"/>
      <c r="Q113" s="214">
        <f>Q112*1.08</f>
        <v>726969600</v>
      </c>
      <c r="R113" s="215"/>
      <c r="S113" s="8"/>
      <c r="T113" s="8"/>
      <c r="U113" s="8"/>
      <c r="V113" s="8"/>
      <c r="W113" s="8"/>
      <c r="X113" s="8"/>
      <c r="Y113" s="580"/>
      <c r="Z113" s="581"/>
      <c r="AA113" s="3"/>
      <c r="AB113" s="3"/>
      <c r="AC113" s="3"/>
      <c r="AD113" s="3"/>
      <c r="AE113" s="3"/>
      <c r="AF113" s="3"/>
      <c r="AG113" s="3"/>
      <c r="AH113" s="3"/>
      <c r="AI113" s="3"/>
      <c r="AJ113" s="860" t="s">
        <v>5</v>
      </c>
      <c r="AK113" s="861">
        <f>sum(AK110,AK112)</f>
        <v>342107222.2</v>
      </c>
      <c r="AL113" s="854"/>
      <c r="AM113" s="851"/>
      <c r="AN113" s="9"/>
      <c r="AO113" s="9"/>
      <c r="AP113" s="9"/>
      <c r="AQ113" s="9"/>
    </row>
    <row r="114" ht="25.5" customHeight="1">
      <c r="S114" s="8"/>
      <c r="T114" s="8"/>
      <c r="U114" s="8"/>
      <c r="V114" s="8"/>
      <c r="W114" s="8"/>
      <c r="X114" s="8"/>
      <c r="Y114" s="580"/>
      <c r="Z114" s="581"/>
      <c r="AA114" s="3"/>
      <c r="AB114" s="3"/>
      <c r="AC114" s="3"/>
      <c r="AD114" s="3"/>
      <c r="AE114" s="3"/>
      <c r="AF114" s="3"/>
      <c r="AG114" s="3"/>
      <c r="AH114" s="3"/>
      <c r="AI114" s="3"/>
      <c r="AJ114" s="852" t="s">
        <v>1035</v>
      </c>
      <c r="AK114" s="861">
        <f>Q110-AK113</f>
        <v>258892777.8</v>
      </c>
      <c r="AL114" s="3"/>
      <c r="AM114" s="3"/>
      <c r="AN114" s="9"/>
      <c r="AO114" s="9"/>
      <c r="AP114" s="9"/>
      <c r="AQ114" s="9"/>
    </row>
    <row r="115" ht="25.5" customHeight="1">
      <c r="A115" s="217"/>
      <c r="B115" s="218"/>
      <c r="C115" s="218"/>
      <c r="D115" s="219"/>
      <c r="E115" s="218"/>
      <c r="F115" s="220"/>
      <c r="G115" s="218"/>
      <c r="H115" s="218"/>
      <c r="I115" s="218"/>
      <c r="J115" s="221"/>
      <c r="K115" s="222"/>
      <c r="L115" s="221"/>
      <c r="M115" s="221"/>
      <c r="N115" s="221"/>
      <c r="O115" s="221"/>
      <c r="P115" s="221"/>
      <c r="Q115" s="221"/>
      <c r="R115" s="223"/>
      <c r="S115" s="8"/>
      <c r="T115" s="8"/>
      <c r="U115" s="8"/>
      <c r="V115" s="8"/>
      <c r="W115" s="8"/>
      <c r="X115" s="8"/>
      <c r="Y115" s="580"/>
      <c r="Z115" s="865"/>
      <c r="AA115" s="3"/>
      <c r="AB115" s="3"/>
      <c r="AC115" s="3"/>
      <c r="AD115" s="3"/>
      <c r="AE115" s="3"/>
      <c r="AF115" s="3"/>
      <c r="AG115" s="3"/>
      <c r="AH115" s="3"/>
      <c r="AI115" s="3"/>
      <c r="AJ115" s="866" t="s">
        <v>1036</v>
      </c>
      <c r="AK115" s="867">
        <f>iferror(AK114/Q110,"-")</f>
        <v>0.4307700129</v>
      </c>
      <c r="AL115" s="3"/>
      <c r="AM115" s="3"/>
      <c r="AN115" s="9"/>
      <c r="AO115" s="9"/>
      <c r="AP115" s="9"/>
      <c r="AQ115" s="9"/>
    </row>
    <row r="116" ht="29.25" customHeight="1">
      <c r="A116" s="33"/>
      <c r="B116" s="2"/>
      <c r="C116" s="2"/>
      <c r="D116" s="2"/>
      <c r="E116" s="2"/>
      <c r="F116" s="4"/>
      <c r="G116" s="2"/>
      <c r="H116" s="2"/>
      <c r="I116" s="2"/>
      <c r="J116" s="2"/>
      <c r="K116" s="5"/>
      <c r="L116" s="2"/>
      <c r="M116" s="2"/>
      <c r="N116" s="2"/>
      <c r="O116" s="2"/>
      <c r="P116" s="2"/>
      <c r="Q116" s="2"/>
      <c r="R116" s="7"/>
      <c r="S116" s="224"/>
      <c r="T116" s="224"/>
      <c r="U116" s="224"/>
      <c r="V116" s="224"/>
      <c r="W116" s="224"/>
      <c r="X116" s="224"/>
      <c r="Y116" s="868"/>
      <c r="Z116" s="865"/>
      <c r="AA116" s="2"/>
      <c r="AB116" s="2"/>
      <c r="AC116" s="2"/>
      <c r="AD116" s="2"/>
      <c r="AE116" s="2"/>
      <c r="AF116" s="2"/>
      <c r="AG116" s="2"/>
      <c r="AH116" s="2"/>
      <c r="AI116" s="2"/>
      <c r="AL116" s="2"/>
      <c r="AM116" s="2"/>
      <c r="AN116" s="9"/>
      <c r="AO116" s="9"/>
      <c r="AP116" s="9"/>
      <c r="AQ116" s="9"/>
    </row>
    <row r="117">
      <c r="A117" s="33"/>
      <c r="B117" s="2"/>
      <c r="C117" s="2"/>
      <c r="D117" s="2"/>
      <c r="E117" s="2"/>
      <c r="F117" s="4"/>
      <c r="G117" s="2"/>
      <c r="H117" s="2"/>
      <c r="I117" s="2"/>
      <c r="J117" s="2"/>
      <c r="K117" s="5"/>
      <c r="L117" s="2"/>
      <c r="M117" s="2"/>
      <c r="N117" s="2"/>
      <c r="O117" s="2"/>
      <c r="P117" s="2"/>
      <c r="Q117" s="2"/>
      <c r="R117" s="7"/>
      <c r="S117" s="224"/>
      <c r="T117" s="224"/>
      <c r="U117" s="224"/>
      <c r="V117" s="224"/>
      <c r="W117" s="224"/>
      <c r="X117" s="224"/>
      <c r="Y117" s="868"/>
      <c r="Z117" s="865"/>
      <c r="AA117" s="2"/>
      <c r="AB117" s="2"/>
      <c r="AC117" s="2"/>
      <c r="AD117" s="2"/>
      <c r="AE117" s="2"/>
      <c r="AF117" s="2"/>
      <c r="AG117" s="2"/>
      <c r="AH117" s="2"/>
      <c r="AI117" s="2"/>
      <c r="AJ117" s="2"/>
      <c r="AK117" s="2">
        <f>20000/40</f>
        <v>500</v>
      </c>
      <c r="AL117" s="2"/>
      <c r="AM117" s="2"/>
      <c r="AN117" s="9"/>
      <c r="AO117" s="9"/>
      <c r="AP117" s="9"/>
      <c r="AQ117" s="9"/>
    </row>
    <row r="118">
      <c r="A118" s="33"/>
      <c r="B118" s="2"/>
      <c r="C118" s="225"/>
      <c r="D118" s="2"/>
      <c r="E118" s="2"/>
      <c r="F118" s="4"/>
      <c r="G118" s="2"/>
      <c r="H118" s="2"/>
      <c r="I118" s="2"/>
      <c r="J118" s="2"/>
      <c r="K118" s="5"/>
      <c r="L118" s="2"/>
      <c r="M118" s="2"/>
      <c r="N118" s="2"/>
      <c r="O118" s="2"/>
      <c r="P118" s="2"/>
      <c r="Q118" s="2"/>
      <c r="R118" s="7"/>
      <c r="S118" s="224"/>
      <c r="T118" s="224"/>
      <c r="U118" s="224"/>
      <c r="V118" s="224"/>
      <c r="W118" s="224"/>
      <c r="X118" s="224"/>
      <c r="Y118" s="868"/>
      <c r="Z118" s="865"/>
      <c r="AA118" s="2"/>
      <c r="AB118" s="2"/>
      <c r="AC118" s="2"/>
      <c r="AD118" s="2"/>
      <c r="AE118" s="2"/>
      <c r="AF118" s="2"/>
      <c r="AG118" s="2"/>
      <c r="AH118" s="2"/>
      <c r="AI118" s="2"/>
      <c r="AJ118" s="2"/>
      <c r="AK118" s="2"/>
      <c r="AL118" s="2"/>
      <c r="AM118" s="2"/>
      <c r="AN118" s="9"/>
      <c r="AO118" s="9"/>
      <c r="AP118" s="9"/>
      <c r="AQ118" s="9"/>
    </row>
    <row r="119">
      <c r="A119" s="33"/>
      <c r="B119" s="2"/>
      <c r="C119" s="2"/>
      <c r="D119" s="2"/>
      <c r="E119" s="2"/>
      <c r="F119" s="4"/>
      <c r="G119" s="2"/>
      <c r="H119" s="2"/>
      <c r="I119" s="2"/>
      <c r="J119" s="2"/>
      <c r="K119" s="5"/>
      <c r="L119" s="2"/>
      <c r="M119" s="2"/>
      <c r="N119" s="2"/>
      <c r="O119" s="2"/>
      <c r="P119" s="2"/>
      <c r="Q119" s="2"/>
      <c r="R119" s="7"/>
      <c r="S119" s="224"/>
      <c r="T119" s="224"/>
      <c r="U119" s="224"/>
      <c r="V119" s="224"/>
      <c r="W119" s="224"/>
      <c r="X119" s="224"/>
      <c r="Y119" s="868"/>
      <c r="Z119" s="865"/>
      <c r="AA119" s="2"/>
      <c r="AB119" s="2"/>
      <c r="AC119" s="2"/>
      <c r="AD119" s="2"/>
      <c r="AE119" s="2"/>
      <c r="AF119" s="2"/>
      <c r="AG119" s="2"/>
      <c r="AH119" s="2"/>
      <c r="AI119" s="2"/>
      <c r="AJ119" s="2"/>
      <c r="AK119" s="2"/>
      <c r="AL119" s="2"/>
      <c r="AM119" s="2"/>
      <c r="AN119" s="9"/>
      <c r="AO119" s="9"/>
      <c r="AP119" s="9"/>
      <c r="AQ119" s="9"/>
    </row>
    <row r="120">
      <c r="A120" s="33"/>
      <c r="B120" s="2"/>
      <c r="C120" s="2"/>
      <c r="D120" s="2"/>
      <c r="E120" s="2"/>
      <c r="F120" s="4"/>
      <c r="G120" s="2"/>
      <c r="H120" s="2"/>
      <c r="I120" s="2"/>
      <c r="J120" s="2"/>
      <c r="K120" s="5"/>
      <c r="L120" s="2"/>
      <c r="M120" s="2"/>
      <c r="N120" s="2"/>
      <c r="O120" s="2"/>
      <c r="P120" s="2"/>
      <c r="Q120" s="2"/>
      <c r="R120" s="7"/>
      <c r="S120" s="224"/>
      <c r="T120" s="224"/>
      <c r="U120" s="224"/>
      <c r="V120" s="224"/>
      <c r="W120" s="224"/>
      <c r="X120" s="224"/>
      <c r="Y120" s="868"/>
      <c r="Z120" s="865"/>
      <c r="AA120" s="2"/>
      <c r="AB120" s="2"/>
      <c r="AC120" s="2"/>
      <c r="AD120" s="2"/>
      <c r="AE120" s="2"/>
      <c r="AF120" s="2"/>
      <c r="AG120" s="2"/>
      <c r="AH120" s="2"/>
      <c r="AI120" s="2"/>
      <c r="AJ120" s="2"/>
      <c r="AK120" s="2"/>
      <c r="AL120" s="2"/>
      <c r="AM120" s="2"/>
      <c r="AN120" s="9"/>
      <c r="AO120" s="9"/>
      <c r="AP120" s="9"/>
      <c r="AQ120" s="9"/>
    </row>
    <row r="121">
      <c r="A121" s="33"/>
      <c r="B121" s="2"/>
      <c r="C121" s="2"/>
      <c r="D121" s="2"/>
      <c r="E121" s="2"/>
      <c r="F121" s="4"/>
      <c r="G121" s="2"/>
      <c r="H121" s="2"/>
      <c r="I121" s="2"/>
      <c r="J121" s="2"/>
      <c r="K121" s="5"/>
      <c r="L121" s="2"/>
      <c r="M121" s="2"/>
      <c r="N121" s="2"/>
      <c r="O121" s="2"/>
      <c r="P121" s="2"/>
      <c r="Q121" s="2"/>
      <c r="R121" s="7"/>
      <c r="S121" s="224"/>
      <c r="T121" s="224"/>
      <c r="U121" s="224"/>
      <c r="V121" s="224"/>
      <c r="W121" s="224"/>
      <c r="X121" s="224"/>
      <c r="Y121" s="868"/>
      <c r="Z121" s="865"/>
      <c r="AA121" s="2"/>
      <c r="AB121" s="2"/>
      <c r="AC121" s="2"/>
      <c r="AD121" s="2"/>
      <c r="AE121" s="2"/>
      <c r="AF121" s="2"/>
      <c r="AG121" s="2"/>
      <c r="AH121" s="2"/>
      <c r="AI121" s="2"/>
      <c r="AJ121" s="2"/>
      <c r="AK121" s="2"/>
      <c r="AL121" s="2"/>
      <c r="AM121" s="2"/>
      <c r="AN121" s="9"/>
      <c r="AO121" s="9"/>
      <c r="AP121" s="9"/>
      <c r="AQ121" s="9"/>
    </row>
    <row r="122">
      <c r="A122" s="33"/>
      <c r="B122" s="2"/>
      <c r="C122" s="2"/>
      <c r="D122" s="2"/>
      <c r="E122" s="2"/>
      <c r="F122" s="4"/>
      <c r="G122" s="2"/>
      <c r="H122" s="2"/>
      <c r="I122" s="2"/>
      <c r="J122" s="2"/>
      <c r="K122" s="5"/>
      <c r="L122" s="2"/>
      <c r="M122" s="2"/>
      <c r="N122" s="2"/>
      <c r="O122" s="2"/>
      <c r="P122" s="2"/>
      <c r="Q122" s="2"/>
      <c r="R122" s="7"/>
      <c r="S122" s="224"/>
      <c r="T122" s="224"/>
      <c r="U122" s="224"/>
      <c r="V122" s="224"/>
      <c r="W122" s="224"/>
      <c r="X122" s="224"/>
      <c r="Y122" s="868"/>
      <c r="Z122" s="865"/>
      <c r="AA122" s="2"/>
      <c r="AB122" s="2"/>
      <c r="AC122" s="2"/>
      <c r="AD122" s="2"/>
      <c r="AE122" s="2"/>
      <c r="AF122" s="2"/>
      <c r="AG122" s="2"/>
      <c r="AH122" s="2"/>
      <c r="AI122" s="2"/>
      <c r="AJ122" s="2"/>
      <c r="AK122" s="2"/>
      <c r="AL122" s="2"/>
      <c r="AM122" s="2"/>
      <c r="AN122" s="9"/>
      <c r="AO122" s="9"/>
      <c r="AP122" s="9"/>
      <c r="AQ122" s="9"/>
    </row>
    <row r="123">
      <c r="A123" s="33"/>
      <c r="B123" s="2"/>
      <c r="C123" s="2"/>
      <c r="D123" s="2"/>
      <c r="E123" s="2"/>
      <c r="F123" s="4"/>
      <c r="G123" s="2"/>
      <c r="H123" s="2"/>
      <c r="I123" s="2"/>
      <c r="J123" s="2"/>
      <c r="K123" s="5"/>
      <c r="L123" s="2"/>
      <c r="M123" s="2"/>
      <c r="N123" s="2"/>
      <c r="O123" s="2"/>
      <c r="P123" s="2"/>
      <c r="Q123" s="2"/>
      <c r="R123" s="7"/>
      <c r="S123" s="224"/>
      <c r="T123" s="224"/>
      <c r="U123" s="224"/>
      <c r="V123" s="224"/>
      <c r="W123" s="224"/>
      <c r="X123" s="224"/>
      <c r="Y123" s="868"/>
      <c r="Z123" s="865"/>
      <c r="AA123" s="2"/>
      <c r="AB123" s="2"/>
      <c r="AC123" s="2"/>
      <c r="AD123" s="2"/>
      <c r="AE123" s="2"/>
      <c r="AF123" s="2"/>
      <c r="AG123" s="2"/>
      <c r="AH123" s="2"/>
      <c r="AI123" s="2"/>
      <c r="AJ123" s="2"/>
      <c r="AK123" s="2"/>
      <c r="AL123" s="2"/>
      <c r="AM123" s="2"/>
      <c r="AN123" s="9"/>
      <c r="AO123" s="9"/>
      <c r="AP123" s="9"/>
      <c r="AQ123" s="9"/>
    </row>
    <row r="124">
      <c r="A124" s="33"/>
      <c r="B124" s="2"/>
      <c r="C124" s="2"/>
      <c r="D124" s="2"/>
      <c r="E124" s="2"/>
      <c r="F124" s="4"/>
      <c r="G124" s="2"/>
      <c r="H124" s="2"/>
      <c r="I124" s="2"/>
      <c r="J124" s="2"/>
      <c r="K124" s="5"/>
      <c r="L124" s="2"/>
      <c r="M124" s="2"/>
      <c r="N124" s="2"/>
      <c r="O124" s="2"/>
      <c r="P124" s="2"/>
      <c r="Q124" s="2"/>
      <c r="R124" s="7"/>
      <c r="S124" s="224"/>
      <c r="T124" s="224"/>
      <c r="U124" s="224"/>
      <c r="V124" s="224"/>
      <c r="W124" s="224"/>
      <c r="X124" s="224"/>
      <c r="Y124" s="868"/>
      <c r="Z124" s="865"/>
      <c r="AA124" s="2"/>
      <c r="AB124" s="2"/>
      <c r="AC124" s="2"/>
      <c r="AD124" s="2"/>
      <c r="AE124" s="2"/>
      <c r="AF124" s="2"/>
      <c r="AG124" s="2"/>
      <c r="AH124" s="2"/>
      <c r="AI124" s="2"/>
      <c r="AJ124" s="2"/>
      <c r="AK124" s="2"/>
      <c r="AL124" s="2"/>
      <c r="AM124" s="2"/>
      <c r="AN124" s="9"/>
      <c r="AO124" s="9"/>
      <c r="AP124" s="9"/>
      <c r="AQ124" s="9"/>
    </row>
    <row r="125">
      <c r="A125" s="33"/>
      <c r="B125" s="2"/>
      <c r="C125" s="2"/>
      <c r="D125" s="2"/>
      <c r="E125" s="2"/>
      <c r="F125" s="4"/>
      <c r="G125" s="2"/>
      <c r="H125" s="2"/>
      <c r="I125" s="2"/>
      <c r="J125" s="2"/>
      <c r="K125" s="5"/>
      <c r="L125" s="2"/>
      <c r="M125" s="2"/>
      <c r="N125" s="2"/>
      <c r="O125" s="2"/>
      <c r="P125" s="2"/>
      <c r="Q125" s="2"/>
      <c r="R125" s="7"/>
      <c r="S125" s="224"/>
      <c r="T125" s="224"/>
      <c r="U125" s="224"/>
      <c r="V125" s="224"/>
      <c r="W125" s="224"/>
      <c r="X125" s="224"/>
      <c r="Y125" s="868"/>
      <c r="Z125" s="865"/>
      <c r="AA125" s="2"/>
      <c r="AB125" s="2"/>
      <c r="AC125" s="2"/>
      <c r="AD125" s="2"/>
      <c r="AE125" s="2"/>
      <c r="AF125" s="2"/>
      <c r="AG125" s="2"/>
      <c r="AH125" s="2"/>
      <c r="AI125" s="2"/>
      <c r="AJ125" s="2"/>
      <c r="AK125" s="2"/>
      <c r="AL125" s="2"/>
      <c r="AM125" s="2"/>
      <c r="AN125" s="9"/>
      <c r="AO125" s="9"/>
      <c r="AP125" s="9"/>
      <c r="AQ125" s="9"/>
    </row>
    <row r="126">
      <c r="A126" s="33"/>
      <c r="B126" s="2"/>
      <c r="C126" s="2"/>
      <c r="D126" s="2"/>
      <c r="E126" s="2"/>
      <c r="F126" s="4"/>
      <c r="G126" s="2"/>
      <c r="H126" s="2"/>
      <c r="I126" s="2"/>
      <c r="J126" s="2"/>
      <c r="K126" s="5"/>
      <c r="L126" s="2"/>
      <c r="M126" s="2"/>
      <c r="N126" s="2"/>
      <c r="O126" s="2"/>
      <c r="P126" s="2"/>
      <c r="Q126" s="2"/>
      <c r="R126" s="7"/>
      <c r="S126" s="224"/>
      <c r="T126" s="224"/>
      <c r="U126" s="224"/>
      <c r="V126" s="224"/>
      <c r="W126" s="224"/>
      <c r="X126" s="224"/>
      <c r="Y126" s="868"/>
      <c r="Z126" s="865"/>
      <c r="AA126" s="2"/>
      <c r="AB126" s="2"/>
      <c r="AC126" s="2"/>
      <c r="AD126" s="2"/>
      <c r="AE126" s="2"/>
      <c r="AF126" s="2"/>
      <c r="AG126" s="2"/>
      <c r="AH126" s="2"/>
      <c r="AI126" s="2"/>
      <c r="AJ126" s="2"/>
      <c r="AK126" s="2"/>
      <c r="AL126" s="2"/>
      <c r="AM126" s="2"/>
      <c r="AN126" s="9"/>
      <c r="AO126" s="9"/>
      <c r="AP126" s="9"/>
      <c r="AQ126" s="9"/>
    </row>
    <row r="127">
      <c r="A127" s="33"/>
      <c r="B127" s="2"/>
      <c r="C127" s="2"/>
      <c r="D127" s="2"/>
      <c r="E127" s="2"/>
      <c r="F127" s="4"/>
      <c r="G127" s="2"/>
      <c r="H127" s="2"/>
      <c r="I127" s="2"/>
      <c r="J127" s="2"/>
      <c r="K127" s="5"/>
      <c r="L127" s="2"/>
      <c r="M127" s="2"/>
      <c r="N127" s="2"/>
      <c r="O127" s="2"/>
      <c r="P127" s="2"/>
      <c r="Q127" s="2"/>
      <c r="R127" s="7"/>
      <c r="S127" s="224"/>
      <c r="T127" s="224"/>
      <c r="U127" s="224"/>
      <c r="V127" s="224"/>
      <c r="W127" s="224"/>
      <c r="X127" s="224"/>
      <c r="Y127" s="868"/>
      <c r="Z127" s="865"/>
      <c r="AA127" s="2"/>
      <c r="AB127" s="2"/>
      <c r="AC127" s="2"/>
      <c r="AD127" s="2"/>
      <c r="AE127" s="2"/>
      <c r="AF127" s="2"/>
      <c r="AG127" s="2"/>
      <c r="AH127" s="2"/>
      <c r="AI127" s="2"/>
      <c r="AJ127" s="2"/>
      <c r="AK127" s="2"/>
      <c r="AL127" s="2"/>
      <c r="AM127" s="2"/>
      <c r="AN127" s="9"/>
      <c r="AO127" s="9"/>
      <c r="AP127" s="9"/>
      <c r="AQ127" s="9"/>
    </row>
    <row r="128">
      <c r="A128" s="33"/>
      <c r="B128" s="2"/>
      <c r="C128" s="2"/>
      <c r="D128" s="2"/>
      <c r="E128" s="2"/>
      <c r="F128" s="4"/>
      <c r="G128" s="2"/>
      <c r="H128" s="2"/>
      <c r="I128" s="2"/>
      <c r="J128" s="2"/>
      <c r="K128" s="5"/>
      <c r="L128" s="2"/>
      <c r="M128" s="2"/>
      <c r="N128" s="2"/>
      <c r="O128" s="2"/>
      <c r="P128" s="2"/>
      <c r="Q128" s="2"/>
      <c r="R128" s="7"/>
      <c r="S128" s="224"/>
      <c r="T128" s="224"/>
      <c r="U128" s="224"/>
      <c r="V128" s="224"/>
      <c r="W128" s="224"/>
      <c r="X128" s="224"/>
      <c r="Y128" s="868"/>
      <c r="Z128" s="865"/>
      <c r="AA128" s="2"/>
      <c r="AB128" s="2"/>
      <c r="AC128" s="2"/>
      <c r="AD128" s="2"/>
      <c r="AE128" s="2"/>
      <c r="AF128" s="2"/>
      <c r="AG128" s="2"/>
      <c r="AH128" s="2"/>
      <c r="AI128" s="2"/>
      <c r="AJ128" s="2"/>
      <c r="AK128" s="2"/>
      <c r="AL128" s="2"/>
      <c r="AM128" s="2"/>
      <c r="AN128" s="9"/>
      <c r="AO128" s="9"/>
      <c r="AP128" s="9"/>
      <c r="AQ128" s="9"/>
    </row>
    <row r="129">
      <c r="A129" s="33"/>
      <c r="B129" s="2"/>
      <c r="C129" s="2"/>
      <c r="D129" s="2"/>
      <c r="E129" s="2"/>
      <c r="F129" s="4"/>
      <c r="G129" s="2"/>
      <c r="H129" s="2"/>
      <c r="I129" s="2"/>
      <c r="J129" s="2"/>
      <c r="K129" s="5"/>
      <c r="L129" s="2"/>
      <c r="M129" s="2"/>
      <c r="N129" s="2"/>
      <c r="O129" s="2"/>
      <c r="P129" s="2"/>
      <c r="Q129" s="2"/>
      <c r="R129" s="7"/>
      <c r="S129" s="224"/>
      <c r="T129" s="224"/>
      <c r="U129" s="224"/>
      <c r="V129" s="224"/>
      <c r="W129" s="224"/>
      <c r="X129" s="224"/>
      <c r="Y129" s="868"/>
      <c r="Z129" s="865"/>
      <c r="AA129" s="2"/>
      <c r="AB129" s="2"/>
      <c r="AC129" s="2"/>
      <c r="AD129" s="2"/>
      <c r="AE129" s="2"/>
      <c r="AF129" s="2"/>
      <c r="AG129" s="2"/>
      <c r="AH129" s="2"/>
      <c r="AI129" s="2"/>
      <c r="AJ129" s="2"/>
      <c r="AK129" s="2"/>
      <c r="AL129" s="2"/>
      <c r="AM129" s="2"/>
      <c r="AN129" s="9"/>
      <c r="AO129" s="9"/>
      <c r="AP129" s="9"/>
      <c r="AQ129" s="9"/>
    </row>
    <row r="130">
      <c r="A130" s="33"/>
      <c r="B130" s="2"/>
      <c r="C130" s="2"/>
      <c r="D130" s="2"/>
      <c r="E130" s="2"/>
      <c r="F130" s="4"/>
      <c r="G130" s="2"/>
      <c r="H130" s="2"/>
      <c r="I130" s="2"/>
      <c r="J130" s="2"/>
      <c r="K130" s="5"/>
      <c r="L130" s="2"/>
      <c r="M130" s="2"/>
      <c r="N130" s="2"/>
      <c r="O130" s="2"/>
      <c r="P130" s="2"/>
      <c r="Q130" s="2"/>
      <c r="R130" s="7"/>
      <c r="S130" s="224"/>
      <c r="T130" s="224"/>
      <c r="U130" s="224"/>
      <c r="V130" s="224"/>
      <c r="W130" s="224"/>
      <c r="X130" s="224"/>
      <c r="Y130" s="868"/>
      <c r="Z130" s="865"/>
      <c r="AA130" s="2"/>
      <c r="AB130" s="2"/>
      <c r="AC130" s="2"/>
      <c r="AD130" s="2"/>
      <c r="AE130" s="2"/>
      <c r="AF130" s="2"/>
      <c r="AG130" s="2"/>
      <c r="AH130" s="2"/>
      <c r="AI130" s="2"/>
      <c r="AJ130" s="2"/>
      <c r="AK130" s="2"/>
      <c r="AL130" s="2"/>
      <c r="AM130" s="2"/>
      <c r="AN130" s="9"/>
      <c r="AO130" s="9"/>
      <c r="AP130" s="9"/>
      <c r="AQ130" s="9"/>
    </row>
    <row r="131">
      <c r="A131" s="33"/>
      <c r="B131" s="2"/>
      <c r="C131" s="2"/>
      <c r="D131" s="2"/>
      <c r="E131" s="2"/>
      <c r="F131" s="4"/>
      <c r="G131" s="2"/>
      <c r="H131" s="2"/>
      <c r="I131" s="2"/>
      <c r="J131" s="2"/>
      <c r="K131" s="5"/>
      <c r="L131" s="2"/>
      <c r="M131" s="2"/>
      <c r="N131" s="2"/>
      <c r="O131" s="2"/>
      <c r="P131" s="2"/>
      <c r="Q131" s="2"/>
      <c r="R131" s="7"/>
      <c r="S131" s="224"/>
      <c r="T131" s="224"/>
      <c r="U131" s="224"/>
      <c r="V131" s="224"/>
      <c r="W131" s="224"/>
      <c r="X131" s="224"/>
      <c r="Y131" s="868"/>
      <c r="Z131" s="865"/>
      <c r="AA131" s="2"/>
      <c r="AB131" s="2"/>
      <c r="AC131" s="2"/>
      <c r="AD131" s="2"/>
      <c r="AE131" s="2"/>
      <c r="AF131" s="2"/>
      <c r="AG131" s="2"/>
      <c r="AH131" s="2"/>
      <c r="AI131" s="2"/>
      <c r="AJ131" s="2"/>
      <c r="AK131" s="2"/>
      <c r="AL131" s="2"/>
      <c r="AM131" s="2"/>
      <c r="AN131" s="9"/>
      <c r="AO131" s="9"/>
      <c r="AP131" s="9"/>
      <c r="AQ131" s="9"/>
    </row>
    <row r="132">
      <c r="A132" s="33"/>
      <c r="B132" s="2"/>
      <c r="C132" s="2"/>
      <c r="D132" s="2"/>
      <c r="E132" s="2"/>
      <c r="F132" s="4"/>
      <c r="G132" s="2"/>
      <c r="H132" s="2"/>
      <c r="I132" s="2"/>
      <c r="J132" s="2"/>
      <c r="K132" s="5"/>
      <c r="L132" s="2"/>
      <c r="M132" s="2"/>
      <c r="N132" s="2"/>
      <c r="O132" s="2"/>
      <c r="P132" s="2"/>
      <c r="Q132" s="2"/>
      <c r="R132" s="7"/>
      <c r="S132" s="224"/>
      <c r="T132" s="224"/>
      <c r="U132" s="224"/>
      <c r="V132" s="224"/>
      <c r="W132" s="224"/>
      <c r="X132" s="224"/>
      <c r="Y132" s="868"/>
      <c r="Z132" s="865"/>
      <c r="AA132" s="2"/>
      <c r="AB132" s="2"/>
      <c r="AC132" s="2"/>
      <c r="AD132" s="2"/>
      <c r="AE132" s="2"/>
      <c r="AF132" s="2"/>
      <c r="AG132" s="2"/>
      <c r="AH132" s="2"/>
      <c r="AI132" s="2"/>
      <c r="AJ132" s="2"/>
      <c r="AK132" s="2"/>
      <c r="AL132" s="2"/>
      <c r="AM132" s="2"/>
      <c r="AN132" s="9"/>
      <c r="AO132" s="9"/>
      <c r="AP132" s="9"/>
      <c r="AQ132" s="9"/>
    </row>
    <row r="133">
      <c r="A133" s="33"/>
      <c r="B133" s="2"/>
      <c r="C133" s="2"/>
      <c r="D133" s="2"/>
      <c r="E133" s="2"/>
      <c r="F133" s="4"/>
      <c r="G133" s="2"/>
      <c r="H133" s="2"/>
      <c r="I133" s="2"/>
      <c r="J133" s="2"/>
      <c r="K133" s="5"/>
      <c r="L133" s="2"/>
      <c r="M133" s="2"/>
      <c r="N133" s="2"/>
      <c r="O133" s="2"/>
      <c r="P133" s="2"/>
      <c r="Q133" s="2"/>
      <c r="R133" s="7"/>
      <c r="S133" s="224"/>
      <c r="T133" s="224"/>
      <c r="U133" s="224"/>
      <c r="V133" s="224"/>
      <c r="W133" s="224"/>
      <c r="X133" s="224"/>
      <c r="Y133" s="868"/>
      <c r="Z133" s="865"/>
      <c r="AA133" s="2"/>
      <c r="AB133" s="2"/>
      <c r="AC133" s="2"/>
      <c r="AD133" s="2"/>
      <c r="AE133" s="2"/>
      <c r="AF133" s="2"/>
      <c r="AG133" s="2"/>
      <c r="AH133" s="2"/>
      <c r="AI133" s="2"/>
      <c r="AJ133" s="2"/>
      <c r="AK133" s="2"/>
      <c r="AL133" s="2"/>
      <c r="AM133" s="2"/>
      <c r="AN133" s="9"/>
      <c r="AO133" s="9"/>
      <c r="AP133" s="9"/>
      <c r="AQ133" s="9"/>
    </row>
    <row r="134">
      <c r="A134" s="33"/>
      <c r="B134" s="2"/>
      <c r="C134" s="2"/>
      <c r="D134" s="2"/>
      <c r="E134" s="2"/>
      <c r="F134" s="4"/>
      <c r="G134" s="2"/>
      <c r="H134" s="2"/>
      <c r="I134" s="2"/>
      <c r="J134" s="2"/>
      <c r="K134" s="5"/>
      <c r="L134" s="2"/>
      <c r="M134" s="2"/>
      <c r="N134" s="2"/>
      <c r="O134" s="2"/>
      <c r="P134" s="2"/>
      <c r="Q134" s="2"/>
      <c r="R134" s="7"/>
      <c r="S134" s="224"/>
      <c r="T134" s="224"/>
      <c r="U134" s="224"/>
      <c r="V134" s="224"/>
      <c r="W134" s="224"/>
      <c r="X134" s="224"/>
      <c r="Y134" s="868"/>
      <c r="Z134" s="865"/>
      <c r="AA134" s="2"/>
      <c r="AB134" s="2"/>
      <c r="AC134" s="2"/>
      <c r="AD134" s="2"/>
      <c r="AE134" s="2"/>
      <c r="AF134" s="2"/>
      <c r="AG134" s="2"/>
      <c r="AH134" s="2"/>
      <c r="AI134" s="2"/>
      <c r="AJ134" s="2"/>
      <c r="AK134" s="2"/>
      <c r="AL134" s="2"/>
      <c r="AM134" s="2"/>
      <c r="AN134" s="9"/>
      <c r="AO134" s="9"/>
      <c r="AP134" s="9"/>
      <c r="AQ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224"/>
      <c r="X135" s="224"/>
      <c r="Y135" s="868"/>
      <c r="Z135" s="865"/>
      <c r="AA135" s="2"/>
      <c r="AB135" s="2"/>
      <c r="AC135" s="2"/>
      <c r="AD135" s="2"/>
      <c r="AE135" s="2"/>
      <c r="AF135" s="2"/>
      <c r="AG135" s="2"/>
      <c r="AH135" s="2"/>
      <c r="AI135" s="2"/>
      <c r="AJ135" s="2"/>
      <c r="AK135" s="2"/>
      <c r="AL135" s="2"/>
      <c r="AM135" s="2"/>
      <c r="AN135" s="9"/>
      <c r="AO135" s="9"/>
      <c r="AP135" s="9"/>
      <c r="AQ135" s="9"/>
    </row>
    <row r="136">
      <c r="A136" s="33"/>
      <c r="B136" s="2"/>
      <c r="C136" s="2"/>
      <c r="D136" s="2"/>
      <c r="E136" s="2"/>
      <c r="F136" s="4"/>
      <c r="G136" s="2"/>
      <c r="H136" s="2"/>
      <c r="I136" s="2"/>
      <c r="J136" s="2"/>
      <c r="K136" s="5"/>
      <c r="L136" s="2"/>
      <c r="M136" s="2"/>
      <c r="N136" s="2"/>
      <c r="O136" s="2"/>
      <c r="P136" s="2"/>
      <c r="Q136" s="2"/>
      <c r="R136" s="7"/>
      <c r="S136" s="224"/>
      <c r="T136" s="224"/>
      <c r="U136" s="224"/>
      <c r="V136" s="224"/>
      <c r="W136" s="224"/>
      <c r="X136" s="224"/>
      <c r="Y136" s="868"/>
      <c r="Z136" s="865"/>
      <c r="AA136" s="2"/>
      <c r="AB136" s="2"/>
      <c r="AC136" s="2"/>
      <c r="AD136" s="2"/>
      <c r="AE136" s="2"/>
      <c r="AF136" s="2"/>
      <c r="AG136" s="2"/>
      <c r="AH136" s="2"/>
      <c r="AI136" s="2"/>
      <c r="AJ136" s="2"/>
      <c r="AK136" s="2"/>
      <c r="AL136" s="2"/>
      <c r="AM136" s="2"/>
      <c r="AN136" s="9"/>
      <c r="AO136" s="9"/>
      <c r="AP136" s="9"/>
      <c r="AQ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224"/>
      <c r="X137" s="224"/>
      <c r="Y137" s="868"/>
      <c r="Z137" s="865"/>
      <c r="AA137" s="2"/>
      <c r="AB137" s="2"/>
      <c r="AC137" s="2"/>
      <c r="AD137" s="2"/>
      <c r="AE137" s="2"/>
      <c r="AF137" s="2"/>
      <c r="AG137" s="2"/>
      <c r="AH137" s="2"/>
      <c r="AI137" s="2"/>
      <c r="AJ137" s="2"/>
      <c r="AK137" s="2"/>
      <c r="AL137" s="2"/>
      <c r="AM137" s="2"/>
      <c r="AN137" s="9"/>
      <c r="AO137" s="9"/>
      <c r="AP137" s="9"/>
      <c r="AQ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224"/>
      <c r="X138" s="224"/>
      <c r="Y138" s="868"/>
      <c r="Z138" s="865"/>
      <c r="AA138" s="2"/>
      <c r="AB138" s="2"/>
      <c r="AC138" s="2"/>
      <c r="AD138" s="2"/>
      <c r="AE138" s="2"/>
      <c r="AF138" s="2"/>
      <c r="AG138" s="2"/>
      <c r="AH138" s="2"/>
      <c r="AI138" s="2"/>
      <c r="AJ138" s="2"/>
      <c r="AK138" s="2"/>
      <c r="AL138" s="2"/>
      <c r="AM138" s="2"/>
      <c r="AN138" s="9"/>
      <c r="AO138" s="9"/>
      <c r="AP138" s="9"/>
      <c r="AQ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224"/>
      <c r="X139" s="224"/>
      <c r="Y139" s="868"/>
      <c r="Z139" s="865"/>
      <c r="AA139" s="2"/>
      <c r="AB139" s="2"/>
      <c r="AC139" s="2"/>
      <c r="AD139" s="2"/>
      <c r="AE139" s="2"/>
      <c r="AF139" s="2"/>
      <c r="AG139" s="2"/>
      <c r="AH139" s="2"/>
      <c r="AI139" s="2"/>
      <c r="AJ139" s="2"/>
      <c r="AK139" s="2"/>
      <c r="AL139" s="2"/>
      <c r="AM139" s="2"/>
      <c r="AN139" s="9"/>
      <c r="AO139" s="9"/>
      <c r="AP139" s="9"/>
      <c r="AQ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224"/>
      <c r="X140" s="224"/>
      <c r="Y140" s="868"/>
      <c r="Z140" s="865"/>
      <c r="AA140" s="2"/>
      <c r="AB140" s="2"/>
      <c r="AC140" s="2"/>
      <c r="AD140" s="2"/>
      <c r="AE140" s="2"/>
      <c r="AF140" s="2"/>
      <c r="AG140" s="2"/>
      <c r="AH140" s="2"/>
      <c r="AI140" s="2"/>
      <c r="AJ140" s="2"/>
      <c r="AK140" s="2"/>
      <c r="AL140" s="2"/>
      <c r="AM140" s="2"/>
      <c r="AN140" s="9"/>
      <c r="AO140" s="9"/>
      <c r="AP140" s="9"/>
      <c r="AQ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224"/>
      <c r="X141" s="224"/>
      <c r="Y141" s="868"/>
      <c r="Z141" s="865"/>
      <c r="AA141" s="2"/>
      <c r="AB141" s="2"/>
      <c r="AC141" s="2"/>
      <c r="AD141" s="2"/>
      <c r="AE141" s="2"/>
      <c r="AF141" s="2"/>
      <c r="AG141" s="2"/>
      <c r="AH141" s="2"/>
      <c r="AI141" s="2"/>
      <c r="AJ141" s="2"/>
      <c r="AK141" s="2"/>
      <c r="AL141" s="2"/>
      <c r="AM141" s="2"/>
      <c r="AN141" s="9"/>
      <c r="AO141" s="9"/>
      <c r="AP141" s="9"/>
      <c r="AQ141" s="9"/>
    </row>
    <row r="142">
      <c r="A142" s="33"/>
      <c r="B142" s="2"/>
      <c r="C142" s="2"/>
      <c r="D142" s="2"/>
      <c r="E142" s="2"/>
      <c r="F142" s="4"/>
      <c r="G142" s="2"/>
      <c r="H142" s="2"/>
      <c r="I142" s="2"/>
      <c r="J142" s="2"/>
      <c r="K142" s="5"/>
      <c r="L142" s="2"/>
      <c r="M142" s="2"/>
      <c r="N142" s="2"/>
      <c r="O142" s="2"/>
      <c r="P142" s="2"/>
      <c r="Q142" s="2"/>
      <c r="R142" s="7"/>
      <c r="S142" s="224"/>
      <c r="T142" s="224"/>
      <c r="U142" s="224"/>
      <c r="V142" s="224"/>
      <c r="W142" s="224"/>
      <c r="X142" s="224"/>
      <c r="Y142" s="868"/>
      <c r="Z142" s="865"/>
      <c r="AA142" s="2"/>
      <c r="AB142" s="2"/>
      <c r="AC142" s="2"/>
      <c r="AD142" s="2"/>
      <c r="AE142" s="2"/>
      <c r="AF142" s="2"/>
      <c r="AG142" s="2"/>
      <c r="AH142" s="2"/>
      <c r="AI142" s="2"/>
      <c r="AJ142" s="2"/>
      <c r="AK142" s="2"/>
      <c r="AL142" s="2"/>
      <c r="AM142" s="2"/>
      <c r="AN142" s="9"/>
      <c r="AO142" s="9"/>
      <c r="AP142" s="9"/>
      <c r="AQ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224"/>
      <c r="X143" s="224"/>
      <c r="Y143" s="868"/>
      <c r="Z143" s="865"/>
      <c r="AA143" s="2"/>
      <c r="AB143" s="2"/>
      <c r="AC143" s="2"/>
      <c r="AD143" s="2"/>
      <c r="AE143" s="2"/>
      <c r="AF143" s="2"/>
      <c r="AG143" s="2"/>
      <c r="AH143" s="2"/>
      <c r="AI143" s="2"/>
      <c r="AJ143" s="2"/>
      <c r="AK143" s="2"/>
      <c r="AL143" s="2"/>
      <c r="AM143" s="2"/>
      <c r="AN143" s="9"/>
      <c r="AO143" s="9"/>
      <c r="AP143" s="9"/>
      <c r="AQ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224"/>
      <c r="X144" s="224"/>
      <c r="Y144" s="868"/>
      <c r="Z144" s="865"/>
      <c r="AA144" s="2"/>
      <c r="AB144" s="2"/>
      <c r="AC144" s="2"/>
      <c r="AD144" s="2"/>
      <c r="AE144" s="2"/>
      <c r="AF144" s="2"/>
      <c r="AG144" s="2"/>
      <c r="AH144" s="2"/>
      <c r="AI144" s="2"/>
      <c r="AJ144" s="2"/>
      <c r="AK144" s="2"/>
      <c r="AL144" s="2"/>
      <c r="AM144" s="2"/>
      <c r="AN144" s="9"/>
      <c r="AO144" s="9"/>
      <c r="AP144" s="9"/>
      <c r="AQ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224"/>
      <c r="X145" s="224"/>
      <c r="Y145" s="868"/>
      <c r="Z145" s="865"/>
      <c r="AA145" s="2"/>
      <c r="AB145" s="2"/>
      <c r="AC145" s="2"/>
      <c r="AD145" s="2"/>
      <c r="AE145" s="2"/>
      <c r="AF145" s="2"/>
      <c r="AG145" s="2"/>
      <c r="AH145" s="2"/>
      <c r="AI145" s="2"/>
      <c r="AJ145" s="2"/>
      <c r="AK145" s="2"/>
      <c r="AL145" s="2"/>
      <c r="AM145" s="2"/>
      <c r="AN145" s="9"/>
      <c r="AO145" s="9"/>
      <c r="AP145" s="9"/>
      <c r="AQ145" s="9"/>
    </row>
    <row r="146">
      <c r="A146" s="33"/>
      <c r="B146" s="2"/>
      <c r="C146" s="2"/>
      <c r="D146" s="2"/>
      <c r="E146" s="2"/>
      <c r="F146" s="4"/>
      <c r="G146" s="2"/>
      <c r="H146" s="2"/>
      <c r="I146" s="2"/>
      <c r="J146" s="2"/>
      <c r="K146" s="5"/>
      <c r="L146" s="2"/>
      <c r="M146" s="2"/>
      <c r="N146" s="2"/>
      <c r="O146" s="2"/>
      <c r="P146" s="2"/>
      <c r="Q146" s="2"/>
      <c r="R146" s="7"/>
      <c r="S146" s="226"/>
      <c r="T146" s="226"/>
      <c r="U146" s="226"/>
      <c r="V146" s="226"/>
      <c r="W146" s="224"/>
      <c r="X146" s="224"/>
      <c r="Y146" s="868"/>
      <c r="Z146" s="865"/>
      <c r="AA146" s="2"/>
      <c r="AB146" s="2"/>
      <c r="AC146" s="2"/>
      <c r="AD146" s="2"/>
      <c r="AE146" s="2"/>
      <c r="AF146" s="2"/>
      <c r="AG146" s="2"/>
      <c r="AH146" s="2"/>
      <c r="AI146" s="2"/>
      <c r="AJ146" s="2"/>
      <c r="AK146" s="2"/>
      <c r="AL146" s="2"/>
      <c r="AM146" s="2"/>
      <c r="AN146" s="9"/>
      <c r="AO146" s="9"/>
      <c r="AP146" s="9"/>
      <c r="AQ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224"/>
      <c r="X147" s="224"/>
      <c r="Y147" s="868"/>
      <c r="Z147" s="865"/>
      <c r="AA147" s="2"/>
      <c r="AB147" s="2"/>
      <c r="AC147" s="2"/>
      <c r="AD147" s="2"/>
      <c r="AE147" s="2"/>
      <c r="AF147" s="2"/>
      <c r="AG147" s="2"/>
      <c r="AH147" s="2"/>
      <c r="AI147" s="2"/>
      <c r="AJ147" s="2"/>
      <c r="AK147" s="2"/>
      <c r="AL147" s="2"/>
      <c r="AM147" s="2"/>
      <c r="AN147" s="9"/>
      <c r="AO147" s="9"/>
      <c r="AP147" s="9"/>
      <c r="AQ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224"/>
      <c r="X148" s="224"/>
      <c r="Y148" s="868"/>
      <c r="Z148" s="865"/>
      <c r="AA148" s="2"/>
      <c r="AB148" s="2"/>
      <c r="AC148" s="2"/>
      <c r="AD148" s="2"/>
      <c r="AE148" s="2"/>
      <c r="AF148" s="2"/>
      <c r="AG148" s="2"/>
      <c r="AH148" s="2"/>
      <c r="AI148" s="2"/>
      <c r="AJ148" s="2"/>
      <c r="AK148" s="2"/>
      <c r="AL148" s="2"/>
      <c r="AM148" s="2"/>
      <c r="AN148" s="9"/>
      <c r="AO148" s="9"/>
      <c r="AP148" s="9"/>
      <c r="AQ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224"/>
      <c r="X149" s="224"/>
      <c r="Y149" s="868"/>
      <c r="Z149" s="865"/>
      <c r="AA149" s="2"/>
      <c r="AB149" s="2"/>
      <c r="AC149" s="2"/>
      <c r="AD149" s="2"/>
      <c r="AE149" s="2"/>
      <c r="AF149" s="2"/>
      <c r="AG149" s="2"/>
      <c r="AH149" s="2"/>
      <c r="AI149" s="2"/>
      <c r="AJ149" s="2"/>
      <c r="AK149" s="2"/>
      <c r="AL149" s="2"/>
      <c r="AM149" s="2"/>
      <c r="AN149" s="9"/>
      <c r="AO149" s="9"/>
      <c r="AP149" s="9"/>
      <c r="AQ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224"/>
      <c r="X150" s="224"/>
      <c r="Y150" s="868"/>
      <c r="Z150" s="865"/>
      <c r="AA150" s="2"/>
      <c r="AB150" s="2"/>
      <c r="AC150" s="2"/>
      <c r="AD150" s="2"/>
      <c r="AE150" s="2"/>
      <c r="AF150" s="2"/>
      <c r="AG150" s="2"/>
      <c r="AH150" s="2"/>
      <c r="AI150" s="2"/>
      <c r="AJ150" s="2"/>
      <c r="AK150" s="2"/>
      <c r="AL150" s="2"/>
      <c r="AM150" s="2"/>
      <c r="AN150" s="9"/>
      <c r="AO150" s="9"/>
      <c r="AP150" s="9"/>
      <c r="AQ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224"/>
      <c r="X151" s="224"/>
      <c r="Y151" s="868"/>
      <c r="Z151" s="865"/>
      <c r="AA151" s="2"/>
      <c r="AB151" s="2"/>
      <c r="AC151" s="2"/>
      <c r="AD151" s="2"/>
      <c r="AE151" s="2"/>
      <c r="AF151" s="2"/>
      <c r="AG151" s="2"/>
      <c r="AH151" s="2"/>
      <c r="AI151" s="2"/>
      <c r="AJ151" s="2"/>
      <c r="AK151" s="2"/>
      <c r="AL151" s="2"/>
      <c r="AM151" s="2"/>
      <c r="AN151" s="9"/>
      <c r="AO151" s="9"/>
      <c r="AP151" s="9"/>
      <c r="AQ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224"/>
      <c r="X152" s="224"/>
      <c r="Y152" s="868"/>
      <c r="Z152" s="865"/>
      <c r="AA152" s="2"/>
      <c r="AB152" s="2"/>
      <c r="AC152" s="2"/>
      <c r="AD152" s="2"/>
      <c r="AE152" s="2"/>
      <c r="AF152" s="2"/>
      <c r="AG152" s="2"/>
      <c r="AH152" s="2"/>
      <c r="AI152" s="2"/>
      <c r="AJ152" s="2"/>
      <c r="AK152" s="2"/>
      <c r="AL152" s="2"/>
      <c r="AM152" s="2"/>
      <c r="AN152" s="9"/>
      <c r="AO152" s="9"/>
      <c r="AP152" s="9"/>
      <c r="AQ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224"/>
      <c r="X153" s="224"/>
      <c r="Y153" s="868"/>
      <c r="Z153" s="865"/>
      <c r="AA153" s="2"/>
      <c r="AB153" s="2"/>
      <c r="AC153" s="2"/>
      <c r="AD153" s="2"/>
      <c r="AE153" s="2"/>
      <c r="AF153" s="2"/>
      <c r="AG153" s="2"/>
      <c r="AH153" s="2"/>
      <c r="AI153" s="2"/>
      <c r="AJ153" s="2"/>
      <c r="AK153" s="2"/>
      <c r="AL153" s="2"/>
      <c r="AM153" s="2"/>
      <c r="AN153" s="9"/>
      <c r="AO153" s="9"/>
      <c r="AP153" s="9"/>
      <c r="AQ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224"/>
      <c r="X154" s="224"/>
      <c r="Y154" s="868"/>
      <c r="Z154" s="865"/>
      <c r="AA154" s="2"/>
      <c r="AB154" s="2"/>
      <c r="AC154" s="2"/>
      <c r="AD154" s="2"/>
      <c r="AE154" s="2"/>
      <c r="AF154" s="2"/>
      <c r="AG154" s="2"/>
      <c r="AH154" s="2"/>
      <c r="AI154" s="2"/>
      <c r="AJ154" s="2"/>
      <c r="AK154" s="2"/>
      <c r="AL154" s="2"/>
      <c r="AM154" s="2"/>
      <c r="AN154" s="9"/>
      <c r="AO154" s="9"/>
      <c r="AP154" s="9"/>
      <c r="AQ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224"/>
      <c r="X155" s="224"/>
      <c r="Y155" s="868"/>
      <c r="Z155" s="865"/>
      <c r="AA155" s="2"/>
      <c r="AB155" s="2"/>
      <c r="AC155" s="2"/>
      <c r="AD155" s="2"/>
      <c r="AE155" s="2"/>
      <c r="AF155" s="2"/>
      <c r="AG155" s="2"/>
      <c r="AH155" s="2"/>
      <c r="AI155" s="2"/>
      <c r="AJ155" s="2"/>
      <c r="AK155" s="2"/>
      <c r="AL155" s="2"/>
      <c r="AM155" s="2"/>
      <c r="AN155" s="9"/>
      <c r="AO155" s="9"/>
      <c r="AP155" s="9"/>
      <c r="AQ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224"/>
      <c r="X156" s="224"/>
      <c r="Y156" s="868"/>
      <c r="Z156" s="865"/>
      <c r="AA156" s="2"/>
      <c r="AB156" s="2"/>
      <c r="AC156" s="2"/>
      <c r="AD156" s="2"/>
      <c r="AE156" s="2"/>
      <c r="AF156" s="2"/>
      <c r="AG156" s="2"/>
      <c r="AH156" s="2"/>
      <c r="AI156" s="2"/>
      <c r="AJ156" s="2"/>
      <c r="AK156" s="2"/>
      <c r="AL156" s="2"/>
      <c r="AM156" s="2"/>
      <c r="AN156" s="9"/>
      <c r="AO156" s="9"/>
      <c r="AP156" s="9"/>
      <c r="AQ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224"/>
      <c r="X157" s="224"/>
      <c r="Y157" s="868"/>
      <c r="Z157" s="865"/>
      <c r="AA157" s="2"/>
      <c r="AB157" s="2"/>
      <c r="AC157" s="2"/>
      <c r="AD157" s="2"/>
      <c r="AE157" s="2"/>
      <c r="AF157" s="2"/>
      <c r="AG157" s="2"/>
      <c r="AH157" s="2"/>
      <c r="AI157" s="2"/>
      <c r="AJ157" s="2"/>
      <c r="AK157" s="2"/>
      <c r="AL157" s="2"/>
      <c r="AM157" s="2"/>
      <c r="AN157" s="9"/>
      <c r="AO157" s="9"/>
      <c r="AP157" s="9"/>
      <c r="AQ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224"/>
      <c r="X158" s="224"/>
      <c r="Y158" s="868"/>
      <c r="Z158" s="865"/>
      <c r="AA158" s="2"/>
      <c r="AB158" s="2"/>
      <c r="AC158" s="2"/>
      <c r="AD158" s="2"/>
      <c r="AE158" s="2"/>
      <c r="AF158" s="2"/>
      <c r="AG158" s="2"/>
      <c r="AH158" s="2"/>
      <c r="AI158" s="2"/>
      <c r="AJ158" s="2"/>
      <c r="AK158" s="2"/>
      <c r="AL158" s="2"/>
      <c r="AM158" s="2"/>
      <c r="AN158" s="9"/>
      <c r="AO158" s="9"/>
      <c r="AP158" s="9"/>
      <c r="AQ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224"/>
      <c r="X159" s="224"/>
      <c r="Y159" s="868"/>
      <c r="Z159" s="865"/>
      <c r="AA159" s="2"/>
      <c r="AB159" s="2"/>
      <c r="AC159" s="2"/>
      <c r="AD159" s="2"/>
      <c r="AE159" s="2"/>
      <c r="AF159" s="2"/>
      <c r="AG159" s="2"/>
      <c r="AH159" s="2"/>
      <c r="AI159" s="2"/>
      <c r="AJ159" s="2"/>
      <c r="AK159" s="2"/>
      <c r="AL159" s="2"/>
      <c r="AM159" s="2"/>
      <c r="AN159" s="9"/>
      <c r="AO159" s="9"/>
      <c r="AP159" s="9"/>
      <c r="AQ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224"/>
      <c r="X160" s="224"/>
      <c r="Y160" s="868"/>
      <c r="Z160" s="865"/>
      <c r="AA160" s="2"/>
      <c r="AB160" s="2"/>
      <c r="AC160" s="2"/>
      <c r="AD160" s="2"/>
      <c r="AE160" s="2"/>
      <c r="AF160" s="2"/>
      <c r="AG160" s="2"/>
      <c r="AH160" s="2"/>
      <c r="AI160" s="2"/>
      <c r="AJ160" s="2"/>
      <c r="AK160" s="2"/>
      <c r="AL160" s="2"/>
      <c r="AM160" s="2"/>
      <c r="AN160" s="9"/>
      <c r="AO160" s="9"/>
      <c r="AP160" s="9"/>
      <c r="AQ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224"/>
      <c r="X161" s="224"/>
      <c r="Y161" s="868"/>
      <c r="Z161" s="865"/>
      <c r="AA161" s="2"/>
      <c r="AB161" s="2"/>
      <c r="AC161" s="2"/>
      <c r="AD161" s="2"/>
      <c r="AE161" s="2"/>
      <c r="AF161" s="2"/>
      <c r="AG161" s="2"/>
      <c r="AH161" s="2"/>
      <c r="AI161" s="2"/>
      <c r="AJ161" s="2"/>
      <c r="AK161" s="2"/>
      <c r="AL161" s="2"/>
      <c r="AM161" s="2"/>
      <c r="AN161" s="9"/>
      <c r="AO161" s="9"/>
      <c r="AP161" s="9"/>
      <c r="AQ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224"/>
      <c r="X162" s="224"/>
      <c r="Y162" s="868"/>
      <c r="Z162" s="865"/>
      <c r="AA162" s="2"/>
      <c r="AB162" s="2"/>
      <c r="AC162" s="2"/>
      <c r="AD162" s="2"/>
      <c r="AE162" s="2"/>
      <c r="AF162" s="2"/>
      <c r="AG162" s="2"/>
      <c r="AH162" s="2"/>
      <c r="AI162" s="2"/>
      <c r="AJ162" s="2"/>
      <c r="AK162" s="2"/>
      <c r="AL162" s="2"/>
      <c r="AM162" s="2"/>
      <c r="AN162" s="9"/>
      <c r="AO162" s="9"/>
      <c r="AP162" s="9"/>
      <c r="AQ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224"/>
      <c r="X163" s="224"/>
      <c r="Y163" s="868"/>
      <c r="Z163" s="865"/>
      <c r="AA163" s="2"/>
      <c r="AB163" s="2"/>
      <c r="AC163" s="2"/>
      <c r="AD163" s="2"/>
      <c r="AE163" s="2"/>
      <c r="AF163" s="2"/>
      <c r="AG163" s="2"/>
      <c r="AH163" s="2"/>
      <c r="AI163" s="2"/>
      <c r="AJ163" s="2"/>
      <c r="AK163" s="2"/>
      <c r="AL163" s="2"/>
      <c r="AM163" s="2"/>
      <c r="AN163" s="9"/>
      <c r="AO163" s="9"/>
      <c r="AP163" s="9"/>
      <c r="AQ163" s="9"/>
    </row>
    <row r="164">
      <c r="A164" s="33"/>
      <c r="B164" s="2"/>
      <c r="C164" s="2"/>
      <c r="D164" s="2"/>
      <c r="E164" s="2"/>
      <c r="F164" s="4"/>
      <c r="G164" s="2"/>
      <c r="H164" s="2"/>
      <c r="I164" s="2"/>
      <c r="J164" s="2"/>
      <c r="K164" s="5"/>
      <c r="L164" s="2"/>
      <c r="M164" s="2"/>
      <c r="N164" s="2"/>
      <c r="O164" s="2"/>
      <c r="P164" s="2"/>
      <c r="Q164" s="2"/>
      <c r="R164" s="7"/>
      <c r="S164" s="224"/>
      <c r="T164" s="224"/>
      <c r="U164" s="224"/>
      <c r="V164" s="224"/>
      <c r="W164" s="224"/>
      <c r="X164" s="224"/>
      <c r="Y164" s="868"/>
      <c r="Z164" s="865"/>
      <c r="AA164" s="2"/>
      <c r="AB164" s="2"/>
      <c r="AC164" s="2"/>
      <c r="AD164" s="2"/>
      <c r="AE164" s="2"/>
      <c r="AF164" s="2"/>
      <c r="AG164" s="2"/>
      <c r="AH164" s="2"/>
      <c r="AI164" s="2"/>
      <c r="AJ164" s="2"/>
      <c r="AK164" s="2"/>
      <c r="AL164" s="2"/>
      <c r="AM164" s="2"/>
      <c r="AN164" s="9"/>
      <c r="AO164" s="9"/>
      <c r="AP164" s="9"/>
      <c r="AQ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224"/>
      <c r="X165" s="224"/>
      <c r="Y165" s="868"/>
      <c r="Z165" s="865"/>
      <c r="AA165" s="2"/>
      <c r="AB165" s="2"/>
      <c r="AC165" s="2"/>
      <c r="AD165" s="2"/>
      <c r="AE165" s="2"/>
      <c r="AF165" s="2"/>
      <c r="AG165" s="2"/>
      <c r="AH165" s="2"/>
      <c r="AI165" s="2"/>
      <c r="AJ165" s="2"/>
      <c r="AK165" s="2"/>
      <c r="AL165" s="2"/>
      <c r="AM165" s="2"/>
      <c r="AN165" s="9"/>
      <c r="AO165" s="9"/>
      <c r="AP165" s="9"/>
      <c r="AQ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224"/>
      <c r="X166" s="224"/>
      <c r="Y166" s="868"/>
      <c r="Z166" s="865"/>
      <c r="AA166" s="2"/>
      <c r="AB166" s="2"/>
      <c r="AC166" s="2"/>
      <c r="AD166" s="2"/>
      <c r="AE166" s="2"/>
      <c r="AF166" s="2"/>
      <c r="AG166" s="2"/>
      <c r="AH166" s="2"/>
      <c r="AI166" s="2"/>
      <c r="AJ166" s="2"/>
      <c r="AK166" s="2"/>
      <c r="AL166" s="2"/>
      <c r="AM166" s="2"/>
      <c r="AN166" s="9"/>
      <c r="AO166" s="9"/>
      <c r="AP166" s="9"/>
      <c r="AQ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224"/>
      <c r="X167" s="224"/>
      <c r="Y167" s="868"/>
      <c r="Z167" s="865"/>
      <c r="AA167" s="2"/>
      <c r="AB167" s="2"/>
      <c r="AC167" s="2"/>
      <c r="AD167" s="2"/>
      <c r="AE167" s="2"/>
      <c r="AF167" s="2"/>
      <c r="AG167" s="2"/>
      <c r="AH167" s="2"/>
      <c r="AI167" s="2"/>
      <c r="AJ167" s="2"/>
      <c r="AK167" s="2"/>
      <c r="AL167" s="2"/>
      <c r="AM167" s="2"/>
      <c r="AN167" s="9"/>
      <c r="AO167" s="9"/>
      <c r="AP167" s="9"/>
      <c r="AQ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224"/>
      <c r="X168" s="224"/>
      <c r="Y168" s="868"/>
      <c r="Z168" s="865"/>
      <c r="AA168" s="2"/>
      <c r="AB168" s="2"/>
      <c r="AC168" s="2"/>
      <c r="AD168" s="2"/>
      <c r="AE168" s="2"/>
      <c r="AF168" s="2"/>
      <c r="AG168" s="2"/>
      <c r="AH168" s="2"/>
      <c r="AI168" s="2"/>
      <c r="AJ168" s="2"/>
      <c r="AK168" s="2"/>
      <c r="AL168" s="2"/>
      <c r="AM168" s="2"/>
      <c r="AN168" s="9"/>
      <c r="AO168" s="9"/>
      <c r="AP168" s="9"/>
      <c r="AQ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224"/>
      <c r="X169" s="224"/>
      <c r="Y169" s="868"/>
      <c r="Z169" s="865"/>
      <c r="AA169" s="2"/>
      <c r="AB169" s="2"/>
      <c r="AC169" s="2"/>
      <c r="AD169" s="2"/>
      <c r="AE169" s="2"/>
      <c r="AF169" s="2"/>
      <c r="AG169" s="2"/>
      <c r="AH169" s="2"/>
      <c r="AI169" s="2"/>
      <c r="AJ169" s="2"/>
      <c r="AK169" s="2"/>
      <c r="AL169" s="2"/>
      <c r="AM169" s="2"/>
      <c r="AN169" s="9"/>
      <c r="AO169" s="9"/>
      <c r="AP169" s="9"/>
      <c r="AQ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224"/>
      <c r="X170" s="224"/>
      <c r="Y170" s="868"/>
      <c r="Z170" s="865"/>
      <c r="AA170" s="2"/>
      <c r="AB170" s="2"/>
      <c r="AC170" s="2"/>
      <c r="AD170" s="2"/>
      <c r="AE170" s="2"/>
      <c r="AF170" s="2"/>
      <c r="AG170" s="2"/>
      <c r="AH170" s="2"/>
      <c r="AI170" s="2"/>
      <c r="AJ170" s="2"/>
      <c r="AK170" s="2"/>
      <c r="AL170" s="2"/>
      <c r="AM170" s="2"/>
      <c r="AN170" s="9"/>
      <c r="AO170" s="9"/>
      <c r="AP170" s="9"/>
      <c r="AQ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224"/>
      <c r="X171" s="224"/>
      <c r="Y171" s="868"/>
      <c r="Z171" s="865"/>
      <c r="AA171" s="2"/>
      <c r="AB171" s="2"/>
      <c r="AC171" s="2"/>
      <c r="AD171" s="2"/>
      <c r="AE171" s="2"/>
      <c r="AF171" s="2"/>
      <c r="AG171" s="2"/>
      <c r="AH171" s="2"/>
      <c r="AI171" s="2"/>
      <c r="AJ171" s="2"/>
      <c r="AK171" s="2"/>
      <c r="AL171" s="2"/>
      <c r="AM171" s="2"/>
      <c r="AN171" s="9"/>
      <c r="AO171" s="9"/>
      <c r="AP171" s="9"/>
      <c r="AQ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224"/>
      <c r="X172" s="224"/>
      <c r="Y172" s="868"/>
      <c r="Z172" s="865"/>
      <c r="AA172" s="2"/>
      <c r="AB172" s="2"/>
      <c r="AC172" s="2"/>
      <c r="AD172" s="2"/>
      <c r="AE172" s="2"/>
      <c r="AF172" s="2"/>
      <c r="AG172" s="2"/>
      <c r="AH172" s="2"/>
      <c r="AI172" s="2"/>
      <c r="AJ172" s="2"/>
      <c r="AK172" s="2"/>
      <c r="AL172" s="2"/>
      <c r="AM172" s="2"/>
      <c r="AN172" s="9"/>
      <c r="AO172" s="9"/>
      <c r="AP172" s="9"/>
      <c r="AQ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224"/>
      <c r="X173" s="224"/>
      <c r="Y173" s="868"/>
      <c r="Z173" s="865"/>
      <c r="AA173" s="2"/>
      <c r="AB173" s="2"/>
      <c r="AC173" s="2"/>
      <c r="AD173" s="2"/>
      <c r="AE173" s="2"/>
      <c r="AF173" s="2"/>
      <c r="AG173" s="2"/>
      <c r="AH173" s="2"/>
      <c r="AI173" s="2"/>
      <c r="AJ173" s="2"/>
      <c r="AK173" s="2"/>
      <c r="AL173" s="2"/>
      <c r="AM173" s="2"/>
      <c r="AN173" s="9"/>
      <c r="AO173" s="9"/>
      <c r="AP173" s="9"/>
      <c r="AQ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224"/>
      <c r="X174" s="224"/>
      <c r="Y174" s="868"/>
      <c r="Z174" s="865"/>
      <c r="AA174" s="2"/>
      <c r="AB174" s="2"/>
      <c r="AC174" s="2"/>
      <c r="AD174" s="2"/>
      <c r="AE174" s="2"/>
      <c r="AF174" s="2"/>
      <c r="AG174" s="2"/>
      <c r="AH174" s="2"/>
      <c r="AI174" s="2"/>
      <c r="AJ174" s="2"/>
      <c r="AK174" s="2"/>
      <c r="AL174" s="2"/>
      <c r="AM174" s="2"/>
      <c r="AN174" s="9"/>
      <c r="AO174" s="9"/>
      <c r="AP174" s="9"/>
      <c r="AQ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224"/>
      <c r="X175" s="224"/>
      <c r="Y175" s="868"/>
      <c r="Z175" s="865"/>
      <c r="AA175" s="2"/>
      <c r="AB175" s="2"/>
      <c r="AC175" s="2"/>
      <c r="AD175" s="2"/>
      <c r="AE175" s="2"/>
      <c r="AF175" s="2"/>
      <c r="AG175" s="2"/>
      <c r="AH175" s="2"/>
      <c r="AI175" s="2"/>
      <c r="AJ175" s="2"/>
      <c r="AK175" s="2"/>
      <c r="AL175" s="2"/>
      <c r="AM175" s="2"/>
      <c r="AN175" s="9"/>
      <c r="AO175" s="9"/>
      <c r="AP175" s="9"/>
      <c r="AQ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224"/>
      <c r="X176" s="224"/>
      <c r="Y176" s="868"/>
      <c r="Z176" s="865"/>
      <c r="AA176" s="2"/>
      <c r="AB176" s="2"/>
      <c r="AC176" s="2"/>
      <c r="AD176" s="2"/>
      <c r="AE176" s="2"/>
      <c r="AF176" s="2"/>
      <c r="AG176" s="2"/>
      <c r="AH176" s="2"/>
      <c r="AI176" s="2"/>
      <c r="AJ176" s="2"/>
      <c r="AK176" s="2"/>
      <c r="AL176" s="2"/>
      <c r="AM176" s="2"/>
      <c r="AN176" s="9"/>
      <c r="AO176" s="9"/>
      <c r="AP176" s="9"/>
      <c r="AQ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224"/>
      <c r="X177" s="224"/>
      <c r="Y177" s="868"/>
      <c r="Z177" s="865"/>
      <c r="AA177" s="2"/>
      <c r="AB177" s="2"/>
      <c r="AC177" s="2"/>
      <c r="AD177" s="2"/>
      <c r="AE177" s="2"/>
      <c r="AF177" s="2"/>
      <c r="AG177" s="2"/>
      <c r="AH177" s="2"/>
      <c r="AI177" s="2"/>
      <c r="AJ177" s="2"/>
      <c r="AK177" s="2"/>
      <c r="AL177" s="2"/>
      <c r="AM177" s="2"/>
      <c r="AN177" s="9"/>
      <c r="AO177" s="9"/>
      <c r="AP177" s="9"/>
      <c r="AQ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224"/>
      <c r="X178" s="224"/>
      <c r="Y178" s="868"/>
      <c r="Z178" s="865"/>
      <c r="AA178" s="2"/>
      <c r="AB178" s="2"/>
      <c r="AC178" s="2"/>
      <c r="AD178" s="2"/>
      <c r="AE178" s="2"/>
      <c r="AF178" s="2"/>
      <c r="AG178" s="2"/>
      <c r="AH178" s="2"/>
      <c r="AI178" s="2"/>
      <c r="AJ178" s="2"/>
      <c r="AK178" s="2"/>
      <c r="AL178" s="2"/>
      <c r="AM178" s="2"/>
      <c r="AN178" s="9"/>
      <c r="AO178" s="9"/>
      <c r="AP178" s="9"/>
      <c r="AQ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224"/>
      <c r="X179" s="224"/>
      <c r="Y179" s="868"/>
      <c r="Z179" s="865"/>
      <c r="AA179" s="2"/>
      <c r="AB179" s="2"/>
      <c r="AC179" s="2"/>
      <c r="AD179" s="2"/>
      <c r="AE179" s="2"/>
      <c r="AF179" s="2"/>
      <c r="AG179" s="2"/>
      <c r="AH179" s="2"/>
      <c r="AI179" s="2"/>
      <c r="AJ179" s="2"/>
      <c r="AK179" s="2"/>
      <c r="AL179" s="2"/>
      <c r="AM179" s="2"/>
      <c r="AN179" s="9"/>
      <c r="AO179" s="9"/>
      <c r="AP179" s="9"/>
      <c r="AQ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224"/>
      <c r="X180" s="224"/>
      <c r="Y180" s="868"/>
      <c r="Z180" s="865"/>
      <c r="AA180" s="2"/>
      <c r="AB180" s="2"/>
      <c r="AC180" s="2"/>
      <c r="AD180" s="2"/>
      <c r="AE180" s="2"/>
      <c r="AF180" s="2"/>
      <c r="AG180" s="2"/>
      <c r="AH180" s="2"/>
      <c r="AI180" s="2"/>
      <c r="AJ180" s="2"/>
      <c r="AK180" s="2"/>
      <c r="AL180" s="2"/>
      <c r="AM180" s="2"/>
      <c r="AN180" s="9"/>
      <c r="AO180" s="9"/>
      <c r="AP180" s="9"/>
      <c r="AQ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224"/>
      <c r="X181" s="224"/>
      <c r="Y181" s="868"/>
      <c r="Z181" s="865"/>
      <c r="AA181" s="2"/>
      <c r="AB181" s="2"/>
      <c r="AC181" s="2"/>
      <c r="AD181" s="2"/>
      <c r="AE181" s="2"/>
      <c r="AF181" s="2"/>
      <c r="AG181" s="2"/>
      <c r="AH181" s="2"/>
      <c r="AI181" s="2"/>
      <c r="AJ181" s="2"/>
      <c r="AK181" s="2"/>
      <c r="AL181" s="2"/>
      <c r="AM181" s="2"/>
      <c r="AN181" s="9"/>
      <c r="AO181" s="9"/>
      <c r="AP181" s="9"/>
      <c r="AQ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224"/>
      <c r="X182" s="224"/>
      <c r="Y182" s="868"/>
      <c r="Z182" s="865"/>
      <c r="AA182" s="2"/>
      <c r="AB182" s="2"/>
      <c r="AC182" s="2"/>
      <c r="AD182" s="2"/>
      <c r="AE182" s="2"/>
      <c r="AF182" s="2"/>
      <c r="AG182" s="2"/>
      <c r="AH182" s="2"/>
      <c r="AI182" s="2"/>
      <c r="AJ182" s="2"/>
      <c r="AK182" s="2"/>
      <c r="AL182" s="2"/>
      <c r="AM182" s="2"/>
      <c r="AN182" s="9"/>
      <c r="AO182" s="9"/>
      <c r="AP182" s="9"/>
      <c r="AQ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224"/>
      <c r="X183" s="224"/>
      <c r="Y183" s="868"/>
      <c r="Z183" s="865"/>
      <c r="AA183" s="2"/>
      <c r="AB183" s="2"/>
      <c r="AC183" s="2"/>
      <c r="AD183" s="2"/>
      <c r="AE183" s="2"/>
      <c r="AF183" s="2"/>
      <c r="AG183" s="2"/>
      <c r="AH183" s="2"/>
      <c r="AI183" s="2"/>
      <c r="AJ183" s="2"/>
      <c r="AK183" s="2"/>
      <c r="AL183" s="2"/>
      <c r="AM183" s="2"/>
      <c r="AN183" s="9"/>
      <c r="AO183" s="9"/>
      <c r="AP183" s="9"/>
      <c r="AQ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224"/>
      <c r="X184" s="224"/>
      <c r="Y184" s="868"/>
      <c r="Z184" s="865"/>
      <c r="AA184" s="2"/>
      <c r="AB184" s="2"/>
      <c r="AC184" s="2"/>
      <c r="AD184" s="2"/>
      <c r="AE184" s="2"/>
      <c r="AF184" s="2"/>
      <c r="AG184" s="2"/>
      <c r="AH184" s="2"/>
      <c r="AI184" s="2"/>
      <c r="AJ184" s="2"/>
      <c r="AK184" s="2"/>
      <c r="AL184" s="2"/>
      <c r="AM184" s="2"/>
      <c r="AN184" s="9"/>
      <c r="AO184" s="9"/>
      <c r="AP184" s="9"/>
      <c r="AQ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224"/>
      <c r="X185" s="224"/>
      <c r="Y185" s="868"/>
      <c r="Z185" s="865"/>
      <c r="AA185" s="2"/>
      <c r="AB185" s="2"/>
      <c r="AC185" s="2"/>
      <c r="AD185" s="2"/>
      <c r="AE185" s="2"/>
      <c r="AF185" s="2"/>
      <c r="AG185" s="2"/>
      <c r="AH185" s="2"/>
      <c r="AI185" s="2"/>
      <c r="AJ185" s="2"/>
      <c r="AK185" s="2"/>
      <c r="AL185" s="2"/>
      <c r="AM185" s="2"/>
      <c r="AN185" s="9"/>
      <c r="AO185" s="9"/>
      <c r="AP185" s="9"/>
      <c r="AQ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224"/>
      <c r="X186" s="224"/>
      <c r="Y186" s="868"/>
      <c r="Z186" s="865"/>
      <c r="AA186" s="2"/>
      <c r="AB186" s="2"/>
      <c r="AC186" s="2"/>
      <c r="AD186" s="2"/>
      <c r="AE186" s="2"/>
      <c r="AF186" s="2"/>
      <c r="AG186" s="2"/>
      <c r="AH186" s="2"/>
      <c r="AI186" s="2"/>
      <c r="AJ186" s="2"/>
      <c r="AK186" s="2"/>
      <c r="AL186" s="2"/>
      <c r="AM186" s="2"/>
      <c r="AN186" s="9"/>
      <c r="AO186" s="9"/>
      <c r="AP186" s="9"/>
      <c r="AQ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224"/>
      <c r="X187" s="224"/>
      <c r="Y187" s="868"/>
      <c r="Z187" s="865"/>
      <c r="AA187" s="2"/>
      <c r="AB187" s="2"/>
      <c r="AC187" s="2"/>
      <c r="AD187" s="2"/>
      <c r="AE187" s="2"/>
      <c r="AF187" s="2"/>
      <c r="AG187" s="2"/>
      <c r="AH187" s="2"/>
      <c r="AI187" s="2"/>
      <c r="AJ187" s="2"/>
      <c r="AK187" s="2"/>
      <c r="AL187" s="2"/>
      <c r="AM187" s="2"/>
      <c r="AN187" s="9"/>
      <c r="AO187" s="9"/>
      <c r="AP187" s="9"/>
      <c r="AQ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224"/>
      <c r="X188" s="224"/>
      <c r="Y188" s="868"/>
      <c r="Z188" s="865"/>
      <c r="AA188" s="2"/>
      <c r="AB188" s="2"/>
      <c r="AC188" s="2"/>
      <c r="AD188" s="2"/>
      <c r="AE188" s="2"/>
      <c r="AF188" s="2"/>
      <c r="AG188" s="2"/>
      <c r="AH188" s="2"/>
      <c r="AI188" s="2"/>
      <c r="AJ188" s="2"/>
      <c r="AK188" s="2"/>
      <c r="AL188" s="2"/>
      <c r="AM188" s="2"/>
      <c r="AN188" s="9"/>
      <c r="AO188" s="9"/>
      <c r="AP188" s="9"/>
      <c r="AQ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224"/>
      <c r="X189" s="224"/>
      <c r="Y189" s="868"/>
      <c r="Z189" s="865"/>
      <c r="AA189" s="2"/>
      <c r="AB189" s="2"/>
      <c r="AC189" s="2"/>
      <c r="AD189" s="2"/>
      <c r="AE189" s="2"/>
      <c r="AF189" s="2"/>
      <c r="AG189" s="2"/>
      <c r="AH189" s="2"/>
      <c r="AI189" s="2"/>
      <c r="AJ189" s="2"/>
      <c r="AK189" s="2"/>
      <c r="AL189" s="2"/>
      <c r="AM189" s="2"/>
      <c r="AN189" s="9"/>
      <c r="AO189" s="9"/>
      <c r="AP189" s="9"/>
      <c r="AQ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224"/>
      <c r="X190" s="224"/>
      <c r="Y190" s="868"/>
      <c r="Z190" s="865"/>
      <c r="AA190" s="2"/>
      <c r="AB190" s="2"/>
      <c r="AC190" s="2"/>
      <c r="AD190" s="2"/>
      <c r="AE190" s="2"/>
      <c r="AF190" s="2"/>
      <c r="AG190" s="2"/>
      <c r="AH190" s="2"/>
      <c r="AI190" s="2"/>
      <c r="AJ190" s="2"/>
      <c r="AK190" s="2"/>
      <c r="AL190" s="2"/>
      <c r="AM190" s="2"/>
      <c r="AN190" s="9"/>
      <c r="AO190" s="9"/>
      <c r="AP190" s="9"/>
      <c r="AQ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224"/>
      <c r="X191" s="224"/>
      <c r="Y191" s="868"/>
      <c r="Z191" s="865"/>
      <c r="AA191" s="2"/>
      <c r="AB191" s="2"/>
      <c r="AC191" s="2"/>
      <c r="AD191" s="2"/>
      <c r="AE191" s="2"/>
      <c r="AF191" s="2"/>
      <c r="AG191" s="2"/>
      <c r="AH191" s="2"/>
      <c r="AI191" s="2"/>
      <c r="AJ191" s="2"/>
      <c r="AK191" s="2"/>
      <c r="AL191" s="2"/>
      <c r="AM191" s="2"/>
      <c r="AN191" s="9"/>
      <c r="AO191" s="9"/>
      <c r="AP191" s="9"/>
      <c r="AQ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224"/>
      <c r="X192" s="224"/>
      <c r="Y192" s="868"/>
      <c r="Z192" s="865"/>
      <c r="AA192" s="2"/>
      <c r="AB192" s="2"/>
      <c r="AC192" s="2"/>
      <c r="AD192" s="2"/>
      <c r="AE192" s="2"/>
      <c r="AF192" s="2"/>
      <c r="AG192" s="2"/>
      <c r="AH192" s="2"/>
      <c r="AI192" s="2"/>
      <c r="AJ192" s="2"/>
      <c r="AK192" s="2"/>
      <c r="AL192" s="2"/>
      <c r="AM192" s="2"/>
      <c r="AN192" s="9"/>
      <c r="AO192" s="9"/>
      <c r="AP192" s="9"/>
      <c r="AQ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224"/>
      <c r="X193" s="224"/>
      <c r="Y193" s="868"/>
      <c r="Z193" s="865"/>
      <c r="AA193" s="2"/>
      <c r="AB193" s="2"/>
      <c r="AC193" s="2"/>
      <c r="AD193" s="2"/>
      <c r="AE193" s="2"/>
      <c r="AF193" s="2"/>
      <c r="AG193" s="2"/>
      <c r="AH193" s="2"/>
      <c r="AI193" s="2"/>
      <c r="AJ193" s="2"/>
      <c r="AK193" s="2"/>
      <c r="AL193" s="2"/>
      <c r="AM193" s="2"/>
      <c r="AN193" s="9"/>
      <c r="AO193" s="9"/>
      <c r="AP193" s="9"/>
      <c r="AQ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224"/>
      <c r="X194" s="224"/>
      <c r="Y194" s="868"/>
      <c r="Z194" s="865"/>
      <c r="AA194" s="2"/>
      <c r="AB194" s="2"/>
      <c r="AC194" s="2"/>
      <c r="AD194" s="2"/>
      <c r="AE194" s="2"/>
      <c r="AF194" s="2"/>
      <c r="AG194" s="2"/>
      <c r="AH194" s="2"/>
      <c r="AI194" s="2"/>
      <c r="AJ194" s="2"/>
      <c r="AK194" s="2"/>
      <c r="AL194" s="2"/>
      <c r="AM194" s="2"/>
      <c r="AN194" s="9"/>
      <c r="AO194" s="9"/>
      <c r="AP194" s="9"/>
      <c r="AQ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224"/>
      <c r="X195" s="224"/>
      <c r="Y195" s="868"/>
      <c r="Z195" s="865"/>
      <c r="AA195" s="2"/>
      <c r="AB195" s="2"/>
      <c r="AC195" s="2"/>
      <c r="AD195" s="2"/>
      <c r="AE195" s="2"/>
      <c r="AF195" s="2"/>
      <c r="AG195" s="2"/>
      <c r="AH195" s="2"/>
      <c r="AI195" s="2"/>
      <c r="AJ195" s="2"/>
      <c r="AK195" s="2"/>
      <c r="AL195" s="2"/>
      <c r="AM195" s="2"/>
      <c r="AN195" s="9"/>
      <c r="AO195" s="9"/>
      <c r="AP195" s="9"/>
      <c r="AQ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224"/>
      <c r="X196" s="224"/>
      <c r="Y196" s="868"/>
      <c r="Z196" s="865"/>
      <c r="AA196" s="2"/>
      <c r="AB196" s="2"/>
      <c r="AC196" s="2"/>
      <c r="AD196" s="2"/>
      <c r="AE196" s="2"/>
      <c r="AF196" s="2"/>
      <c r="AG196" s="2"/>
      <c r="AH196" s="2"/>
      <c r="AI196" s="2"/>
      <c r="AJ196" s="2"/>
      <c r="AK196" s="2"/>
      <c r="AL196" s="2"/>
      <c r="AM196" s="2"/>
      <c r="AN196" s="9"/>
      <c r="AO196" s="9"/>
      <c r="AP196" s="9"/>
      <c r="AQ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224"/>
      <c r="X197" s="224"/>
      <c r="Y197" s="868"/>
      <c r="Z197" s="865"/>
      <c r="AA197" s="2"/>
      <c r="AB197" s="2"/>
      <c r="AC197" s="2"/>
      <c r="AD197" s="2"/>
      <c r="AE197" s="2"/>
      <c r="AF197" s="2"/>
      <c r="AG197" s="2"/>
      <c r="AH197" s="2"/>
      <c r="AI197" s="2"/>
      <c r="AJ197" s="2"/>
      <c r="AK197" s="2"/>
      <c r="AL197" s="2"/>
      <c r="AM197" s="2"/>
      <c r="AN197" s="9"/>
      <c r="AO197" s="9"/>
      <c r="AP197" s="9"/>
      <c r="AQ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224"/>
      <c r="X198" s="224"/>
      <c r="Y198" s="868"/>
      <c r="Z198" s="865"/>
      <c r="AA198" s="2"/>
      <c r="AB198" s="2"/>
      <c r="AC198" s="2"/>
      <c r="AD198" s="2"/>
      <c r="AE198" s="2"/>
      <c r="AF198" s="2"/>
      <c r="AG198" s="2"/>
      <c r="AH198" s="2"/>
      <c r="AI198" s="2"/>
      <c r="AJ198" s="2"/>
      <c r="AK198" s="2"/>
      <c r="AL198" s="2"/>
      <c r="AM198" s="2"/>
      <c r="AN198" s="9"/>
      <c r="AO198" s="9"/>
      <c r="AP198" s="9"/>
      <c r="AQ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224"/>
      <c r="X199" s="224"/>
      <c r="Y199" s="868"/>
      <c r="Z199" s="865"/>
      <c r="AA199" s="2"/>
      <c r="AB199" s="2"/>
      <c r="AC199" s="2"/>
      <c r="AD199" s="2"/>
      <c r="AE199" s="2"/>
      <c r="AF199" s="2"/>
      <c r="AG199" s="2"/>
      <c r="AH199" s="2"/>
      <c r="AI199" s="2"/>
      <c r="AJ199" s="2"/>
      <c r="AK199" s="2"/>
      <c r="AL199" s="2"/>
      <c r="AM199" s="2"/>
      <c r="AN199" s="9"/>
      <c r="AO199" s="9"/>
      <c r="AP199" s="9"/>
      <c r="AQ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224"/>
      <c r="X200" s="224"/>
      <c r="Y200" s="868"/>
      <c r="Z200" s="865"/>
      <c r="AA200" s="2"/>
      <c r="AB200" s="2"/>
      <c r="AC200" s="2"/>
      <c r="AD200" s="2"/>
      <c r="AE200" s="2"/>
      <c r="AF200" s="2"/>
      <c r="AG200" s="2"/>
      <c r="AH200" s="2"/>
      <c r="AI200" s="2"/>
      <c r="AJ200" s="2"/>
      <c r="AK200" s="2"/>
      <c r="AL200" s="2"/>
      <c r="AM200" s="2"/>
      <c r="AN200" s="9"/>
      <c r="AO200" s="9"/>
      <c r="AP200" s="9"/>
      <c r="AQ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224"/>
      <c r="X201" s="224"/>
      <c r="Y201" s="868"/>
      <c r="Z201" s="865"/>
      <c r="AA201" s="2"/>
      <c r="AB201" s="2"/>
      <c r="AC201" s="2"/>
      <c r="AD201" s="2"/>
      <c r="AE201" s="2"/>
      <c r="AF201" s="2"/>
      <c r="AG201" s="2"/>
      <c r="AH201" s="2"/>
      <c r="AI201" s="2"/>
      <c r="AJ201" s="2"/>
      <c r="AK201" s="2"/>
      <c r="AL201" s="2"/>
      <c r="AM201" s="2"/>
      <c r="AN201" s="9"/>
      <c r="AO201" s="9"/>
      <c r="AP201" s="9"/>
      <c r="AQ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224"/>
      <c r="X202" s="224"/>
      <c r="Y202" s="868"/>
      <c r="Z202" s="865"/>
      <c r="AA202" s="2"/>
      <c r="AB202" s="2"/>
      <c r="AC202" s="2"/>
      <c r="AD202" s="2"/>
      <c r="AE202" s="2"/>
      <c r="AF202" s="2"/>
      <c r="AG202" s="2"/>
      <c r="AH202" s="2"/>
      <c r="AI202" s="2"/>
      <c r="AJ202" s="2"/>
      <c r="AK202" s="2"/>
      <c r="AL202" s="2"/>
      <c r="AM202" s="2"/>
      <c r="AN202" s="9"/>
      <c r="AO202" s="9"/>
      <c r="AP202" s="9"/>
      <c r="AQ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224"/>
      <c r="X203" s="224"/>
      <c r="Y203" s="868"/>
      <c r="Z203" s="865"/>
      <c r="AA203" s="2"/>
      <c r="AB203" s="2"/>
      <c r="AC203" s="2"/>
      <c r="AD203" s="2"/>
      <c r="AE203" s="2"/>
      <c r="AF203" s="2"/>
      <c r="AG203" s="2"/>
      <c r="AH203" s="2"/>
      <c r="AI203" s="2"/>
      <c r="AJ203" s="2"/>
      <c r="AK203" s="2"/>
      <c r="AL203" s="2"/>
      <c r="AM203" s="2"/>
      <c r="AN203" s="9"/>
      <c r="AO203" s="9"/>
      <c r="AP203" s="9"/>
      <c r="AQ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224"/>
      <c r="X204" s="224"/>
      <c r="Y204" s="868"/>
      <c r="Z204" s="865"/>
      <c r="AA204" s="2"/>
      <c r="AB204" s="2"/>
      <c r="AC204" s="2"/>
      <c r="AD204" s="2"/>
      <c r="AE204" s="2"/>
      <c r="AF204" s="2"/>
      <c r="AG204" s="2"/>
      <c r="AH204" s="2"/>
      <c r="AI204" s="2"/>
      <c r="AJ204" s="2"/>
      <c r="AK204" s="2"/>
      <c r="AL204" s="2"/>
      <c r="AM204" s="2"/>
      <c r="AN204" s="9"/>
      <c r="AO204" s="9"/>
      <c r="AP204" s="9"/>
      <c r="AQ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224"/>
      <c r="X205" s="224"/>
      <c r="Y205" s="868"/>
      <c r="Z205" s="865"/>
      <c r="AA205" s="2"/>
      <c r="AB205" s="2"/>
      <c r="AC205" s="2"/>
      <c r="AD205" s="2"/>
      <c r="AE205" s="2"/>
      <c r="AF205" s="2"/>
      <c r="AG205" s="2"/>
      <c r="AH205" s="2"/>
      <c r="AI205" s="2"/>
      <c r="AJ205" s="2"/>
      <c r="AK205" s="2"/>
      <c r="AL205" s="2"/>
      <c r="AM205" s="2"/>
      <c r="AN205" s="9"/>
      <c r="AO205" s="9"/>
      <c r="AP205" s="9"/>
      <c r="AQ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224"/>
      <c r="X206" s="224"/>
      <c r="Y206" s="868"/>
      <c r="Z206" s="865"/>
      <c r="AA206" s="2"/>
      <c r="AB206" s="2"/>
      <c r="AC206" s="2"/>
      <c r="AD206" s="2"/>
      <c r="AE206" s="2"/>
      <c r="AF206" s="2"/>
      <c r="AG206" s="2"/>
      <c r="AH206" s="2"/>
      <c r="AI206" s="2"/>
      <c r="AJ206" s="2"/>
      <c r="AK206" s="2"/>
      <c r="AL206" s="2"/>
      <c r="AM206" s="2"/>
      <c r="AN206" s="9"/>
      <c r="AO206" s="9"/>
      <c r="AP206" s="9"/>
      <c r="AQ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224"/>
      <c r="X207" s="224"/>
      <c r="Y207" s="868"/>
      <c r="Z207" s="865"/>
      <c r="AA207" s="2"/>
      <c r="AB207" s="2"/>
      <c r="AC207" s="2"/>
      <c r="AD207" s="2"/>
      <c r="AE207" s="2"/>
      <c r="AF207" s="2"/>
      <c r="AG207" s="2"/>
      <c r="AH207" s="2"/>
      <c r="AI207" s="2"/>
      <c r="AJ207" s="2"/>
      <c r="AK207" s="2"/>
      <c r="AL207" s="2"/>
      <c r="AM207" s="2"/>
      <c r="AN207" s="9"/>
      <c r="AO207" s="9"/>
      <c r="AP207" s="9"/>
      <c r="AQ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224"/>
      <c r="X208" s="224"/>
      <c r="Y208" s="868"/>
      <c r="Z208" s="865"/>
      <c r="AA208" s="2"/>
      <c r="AB208" s="2"/>
      <c r="AC208" s="2"/>
      <c r="AD208" s="2"/>
      <c r="AE208" s="2"/>
      <c r="AF208" s="2"/>
      <c r="AG208" s="2"/>
      <c r="AH208" s="2"/>
      <c r="AI208" s="2"/>
      <c r="AJ208" s="2"/>
      <c r="AK208" s="2"/>
      <c r="AL208" s="2"/>
      <c r="AM208" s="2"/>
      <c r="AN208" s="9"/>
      <c r="AO208" s="9"/>
      <c r="AP208" s="9"/>
      <c r="AQ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224"/>
      <c r="X209" s="224"/>
      <c r="Y209" s="868"/>
      <c r="Z209" s="865"/>
      <c r="AA209" s="2"/>
      <c r="AB209" s="2"/>
      <c r="AC209" s="2"/>
      <c r="AD209" s="2"/>
      <c r="AE209" s="2"/>
      <c r="AF209" s="2"/>
      <c r="AG209" s="2"/>
      <c r="AH209" s="2"/>
      <c r="AI209" s="2"/>
      <c r="AJ209" s="2"/>
      <c r="AK209" s="2"/>
      <c r="AL209" s="2"/>
      <c r="AM209" s="2"/>
      <c r="AN209" s="9"/>
      <c r="AO209" s="9"/>
      <c r="AP209" s="9"/>
      <c r="AQ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224"/>
      <c r="X210" s="224"/>
      <c r="Y210" s="868"/>
      <c r="Z210" s="865"/>
      <c r="AA210" s="2"/>
      <c r="AB210" s="2"/>
      <c r="AC210" s="2"/>
      <c r="AD210" s="2"/>
      <c r="AE210" s="2"/>
      <c r="AF210" s="2"/>
      <c r="AG210" s="2"/>
      <c r="AH210" s="2"/>
      <c r="AI210" s="2"/>
      <c r="AJ210" s="2"/>
      <c r="AK210" s="2"/>
      <c r="AL210" s="2"/>
      <c r="AM210" s="2"/>
      <c r="AN210" s="9"/>
      <c r="AO210" s="9"/>
      <c r="AP210" s="9"/>
      <c r="AQ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224"/>
      <c r="X211" s="224"/>
      <c r="Y211" s="868"/>
      <c r="Z211" s="865"/>
      <c r="AA211" s="2"/>
      <c r="AB211" s="2"/>
      <c r="AC211" s="2"/>
      <c r="AD211" s="2"/>
      <c r="AE211" s="2"/>
      <c r="AF211" s="2"/>
      <c r="AG211" s="2"/>
      <c r="AH211" s="2"/>
      <c r="AI211" s="2"/>
      <c r="AJ211" s="2"/>
      <c r="AK211" s="2"/>
      <c r="AL211" s="2"/>
      <c r="AM211" s="2"/>
      <c r="AN211" s="9"/>
      <c r="AO211" s="9"/>
      <c r="AP211" s="9"/>
      <c r="AQ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224"/>
      <c r="X212" s="224"/>
      <c r="Y212" s="868"/>
      <c r="Z212" s="865"/>
      <c r="AA212" s="2"/>
      <c r="AB212" s="2"/>
      <c r="AC212" s="2"/>
      <c r="AD212" s="2"/>
      <c r="AE212" s="2"/>
      <c r="AF212" s="2"/>
      <c r="AG212" s="2"/>
      <c r="AH212" s="2"/>
      <c r="AI212" s="2"/>
      <c r="AJ212" s="2"/>
      <c r="AK212" s="2"/>
      <c r="AL212" s="2"/>
      <c r="AM212" s="2"/>
      <c r="AN212" s="9"/>
      <c r="AO212" s="9"/>
      <c r="AP212" s="9"/>
      <c r="AQ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224"/>
      <c r="X213" s="224"/>
      <c r="Y213" s="868"/>
      <c r="Z213" s="865"/>
      <c r="AA213" s="2"/>
      <c r="AB213" s="2"/>
      <c r="AC213" s="2"/>
      <c r="AD213" s="2"/>
      <c r="AE213" s="2"/>
      <c r="AF213" s="2"/>
      <c r="AG213" s="2"/>
      <c r="AH213" s="2"/>
      <c r="AI213" s="2"/>
      <c r="AJ213" s="2"/>
      <c r="AK213" s="2"/>
      <c r="AL213" s="2"/>
      <c r="AM213" s="2"/>
      <c r="AN213" s="9"/>
      <c r="AO213" s="9"/>
      <c r="AP213" s="9"/>
      <c r="AQ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224"/>
      <c r="X214" s="224"/>
      <c r="Y214" s="868"/>
      <c r="Z214" s="865"/>
      <c r="AA214" s="2"/>
      <c r="AB214" s="2"/>
      <c r="AC214" s="2"/>
      <c r="AD214" s="2"/>
      <c r="AE214" s="2"/>
      <c r="AF214" s="2"/>
      <c r="AG214" s="2"/>
      <c r="AH214" s="2"/>
      <c r="AI214" s="2"/>
      <c r="AJ214" s="2"/>
      <c r="AK214" s="2"/>
      <c r="AL214" s="2"/>
      <c r="AM214" s="2"/>
      <c r="AN214" s="9"/>
      <c r="AO214" s="9"/>
      <c r="AP214" s="9"/>
      <c r="AQ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224"/>
      <c r="X215" s="224"/>
      <c r="Y215" s="868"/>
      <c r="Z215" s="865"/>
      <c r="AA215" s="2"/>
      <c r="AB215" s="2"/>
      <c r="AC215" s="2"/>
      <c r="AD215" s="2"/>
      <c r="AE215" s="2"/>
      <c r="AF215" s="2"/>
      <c r="AG215" s="2"/>
      <c r="AH215" s="2"/>
      <c r="AI215" s="2"/>
      <c r="AJ215" s="2"/>
      <c r="AK215" s="2"/>
      <c r="AL215" s="2"/>
      <c r="AM215" s="2"/>
      <c r="AN215" s="9"/>
      <c r="AO215" s="9"/>
      <c r="AP215" s="9"/>
      <c r="AQ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224"/>
      <c r="X216" s="224"/>
      <c r="Y216" s="868"/>
      <c r="Z216" s="865"/>
      <c r="AA216" s="2"/>
      <c r="AB216" s="2"/>
      <c r="AC216" s="2"/>
      <c r="AD216" s="2"/>
      <c r="AE216" s="2"/>
      <c r="AF216" s="2"/>
      <c r="AG216" s="2"/>
      <c r="AH216" s="2"/>
      <c r="AI216" s="2"/>
      <c r="AJ216" s="2"/>
      <c r="AK216" s="2"/>
      <c r="AL216" s="2"/>
      <c r="AM216" s="2"/>
      <c r="AN216" s="9"/>
      <c r="AO216" s="9"/>
      <c r="AP216" s="9"/>
      <c r="AQ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224"/>
      <c r="X217" s="224"/>
      <c r="Y217" s="868"/>
      <c r="Z217" s="865"/>
      <c r="AA217" s="2"/>
      <c r="AB217" s="2"/>
      <c r="AC217" s="2"/>
      <c r="AD217" s="2"/>
      <c r="AE217" s="2"/>
      <c r="AF217" s="2"/>
      <c r="AG217" s="2"/>
      <c r="AH217" s="2"/>
      <c r="AI217" s="2"/>
      <c r="AJ217" s="2"/>
      <c r="AK217" s="2"/>
      <c r="AL217" s="2"/>
      <c r="AM217" s="2"/>
      <c r="AN217" s="9"/>
      <c r="AO217" s="9"/>
      <c r="AP217" s="9"/>
      <c r="AQ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224"/>
      <c r="X218" s="224"/>
      <c r="Y218" s="868"/>
      <c r="Z218" s="865"/>
      <c r="AA218" s="2"/>
      <c r="AB218" s="2"/>
      <c r="AC218" s="2"/>
      <c r="AD218" s="2"/>
      <c r="AE218" s="2"/>
      <c r="AF218" s="2"/>
      <c r="AG218" s="2"/>
      <c r="AH218" s="2"/>
      <c r="AI218" s="2"/>
      <c r="AJ218" s="2"/>
      <c r="AK218" s="2"/>
      <c r="AL218" s="2"/>
      <c r="AM218" s="2"/>
      <c r="AN218" s="9"/>
      <c r="AO218" s="9"/>
      <c r="AP218" s="9"/>
      <c r="AQ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224"/>
      <c r="X219" s="224"/>
      <c r="Y219" s="868"/>
      <c r="Z219" s="865"/>
      <c r="AA219" s="2"/>
      <c r="AB219" s="2"/>
      <c r="AC219" s="2"/>
      <c r="AD219" s="2"/>
      <c r="AE219" s="2"/>
      <c r="AF219" s="2"/>
      <c r="AG219" s="2"/>
      <c r="AH219" s="2"/>
      <c r="AI219" s="2"/>
      <c r="AJ219" s="2"/>
      <c r="AK219" s="2"/>
      <c r="AL219" s="2"/>
      <c r="AM219" s="2"/>
      <c r="AN219" s="9"/>
      <c r="AO219" s="9"/>
      <c r="AP219" s="9"/>
      <c r="AQ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224"/>
      <c r="X220" s="224"/>
      <c r="Y220" s="868"/>
      <c r="Z220" s="865"/>
      <c r="AA220" s="2"/>
      <c r="AB220" s="2"/>
      <c r="AC220" s="2"/>
      <c r="AD220" s="2"/>
      <c r="AE220" s="2"/>
      <c r="AF220" s="2"/>
      <c r="AG220" s="2"/>
      <c r="AH220" s="2"/>
      <c r="AI220" s="2"/>
      <c r="AJ220" s="2"/>
      <c r="AK220" s="2"/>
      <c r="AL220" s="2"/>
      <c r="AM220" s="2"/>
      <c r="AN220" s="9"/>
      <c r="AO220" s="9"/>
      <c r="AP220" s="9"/>
      <c r="AQ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224"/>
      <c r="X221" s="224"/>
      <c r="Y221" s="868"/>
      <c r="Z221" s="865"/>
      <c r="AA221" s="2"/>
      <c r="AB221" s="2"/>
      <c r="AC221" s="2"/>
      <c r="AD221" s="2"/>
      <c r="AE221" s="2"/>
      <c r="AF221" s="2"/>
      <c r="AG221" s="2"/>
      <c r="AH221" s="2"/>
      <c r="AI221" s="2"/>
      <c r="AJ221" s="2"/>
      <c r="AK221" s="2"/>
      <c r="AL221" s="2"/>
      <c r="AM221" s="2"/>
      <c r="AN221" s="9"/>
      <c r="AO221" s="9"/>
      <c r="AP221" s="9"/>
      <c r="AQ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224"/>
      <c r="X222" s="224"/>
      <c r="Y222" s="868"/>
      <c r="Z222" s="865"/>
      <c r="AA222" s="2"/>
      <c r="AB222" s="2"/>
      <c r="AC222" s="2"/>
      <c r="AD222" s="2"/>
      <c r="AE222" s="2"/>
      <c r="AF222" s="2"/>
      <c r="AG222" s="2"/>
      <c r="AH222" s="2"/>
      <c r="AI222" s="2"/>
      <c r="AJ222" s="2"/>
      <c r="AK222" s="2"/>
      <c r="AL222" s="2"/>
      <c r="AM222" s="2"/>
      <c r="AN222" s="9"/>
      <c r="AO222" s="9"/>
      <c r="AP222" s="9"/>
      <c r="AQ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224"/>
      <c r="X223" s="224"/>
      <c r="Y223" s="868"/>
      <c r="Z223" s="865"/>
      <c r="AA223" s="2"/>
      <c r="AB223" s="2"/>
      <c r="AC223" s="2"/>
      <c r="AD223" s="2"/>
      <c r="AE223" s="2"/>
      <c r="AF223" s="2"/>
      <c r="AG223" s="2"/>
      <c r="AH223" s="2"/>
      <c r="AI223" s="2"/>
      <c r="AJ223" s="2"/>
      <c r="AK223" s="2"/>
      <c r="AL223" s="2"/>
      <c r="AM223" s="2"/>
      <c r="AN223" s="9"/>
      <c r="AO223" s="9"/>
      <c r="AP223" s="9"/>
      <c r="AQ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224"/>
      <c r="X224" s="224"/>
      <c r="Y224" s="868"/>
      <c r="Z224" s="865"/>
      <c r="AA224" s="2"/>
      <c r="AB224" s="2"/>
      <c r="AC224" s="2"/>
      <c r="AD224" s="2"/>
      <c r="AE224" s="2"/>
      <c r="AF224" s="2"/>
      <c r="AG224" s="2"/>
      <c r="AH224" s="2"/>
      <c r="AI224" s="2"/>
      <c r="AJ224" s="2"/>
      <c r="AK224" s="2"/>
      <c r="AL224" s="2"/>
      <c r="AM224" s="2"/>
      <c r="AN224" s="9"/>
      <c r="AO224" s="9"/>
      <c r="AP224" s="9"/>
      <c r="AQ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224"/>
      <c r="X225" s="224"/>
      <c r="Y225" s="868"/>
      <c r="Z225" s="865"/>
      <c r="AA225" s="2"/>
      <c r="AB225" s="2"/>
      <c r="AC225" s="2"/>
      <c r="AD225" s="2"/>
      <c r="AE225" s="2"/>
      <c r="AF225" s="2"/>
      <c r="AG225" s="2"/>
      <c r="AH225" s="2"/>
      <c r="AI225" s="2"/>
      <c r="AJ225" s="2"/>
      <c r="AK225" s="2"/>
      <c r="AL225" s="2"/>
      <c r="AM225" s="2"/>
      <c r="AN225" s="9"/>
      <c r="AO225" s="9"/>
      <c r="AP225" s="9"/>
      <c r="AQ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224"/>
      <c r="X226" s="224"/>
      <c r="Y226" s="868"/>
      <c r="Z226" s="865"/>
      <c r="AA226" s="2"/>
      <c r="AB226" s="2"/>
      <c r="AC226" s="2"/>
      <c r="AD226" s="2"/>
      <c r="AE226" s="2"/>
      <c r="AF226" s="2"/>
      <c r="AG226" s="2"/>
      <c r="AH226" s="2"/>
      <c r="AI226" s="2"/>
      <c r="AJ226" s="2"/>
      <c r="AK226" s="2"/>
      <c r="AL226" s="2"/>
      <c r="AM226" s="2"/>
      <c r="AN226" s="9"/>
      <c r="AO226" s="9"/>
      <c r="AP226" s="9"/>
      <c r="AQ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224"/>
      <c r="X227" s="224"/>
      <c r="Y227" s="868"/>
      <c r="Z227" s="865"/>
      <c r="AA227" s="2"/>
      <c r="AB227" s="2"/>
      <c r="AC227" s="2"/>
      <c r="AD227" s="2"/>
      <c r="AE227" s="2"/>
      <c r="AF227" s="2"/>
      <c r="AG227" s="2"/>
      <c r="AH227" s="2"/>
      <c r="AI227" s="2"/>
      <c r="AJ227" s="2"/>
      <c r="AK227" s="2"/>
      <c r="AL227" s="2"/>
      <c r="AM227" s="2"/>
      <c r="AN227" s="9"/>
      <c r="AO227" s="9"/>
      <c r="AP227" s="9"/>
      <c r="AQ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224"/>
      <c r="X228" s="224"/>
      <c r="Y228" s="868"/>
      <c r="Z228" s="865"/>
      <c r="AA228" s="2"/>
      <c r="AB228" s="2"/>
      <c r="AC228" s="2"/>
      <c r="AD228" s="2"/>
      <c r="AE228" s="2"/>
      <c r="AF228" s="2"/>
      <c r="AG228" s="2"/>
      <c r="AH228" s="2"/>
      <c r="AI228" s="2"/>
      <c r="AJ228" s="2"/>
      <c r="AK228" s="2"/>
      <c r="AL228" s="2"/>
      <c r="AM228" s="2"/>
      <c r="AN228" s="9"/>
      <c r="AO228" s="9"/>
      <c r="AP228" s="9"/>
      <c r="AQ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224"/>
      <c r="X229" s="224"/>
      <c r="Y229" s="868"/>
      <c r="Z229" s="865"/>
      <c r="AA229" s="2"/>
      <c r="AB229" s="2"/>
      <c r="AC229" s="2"/>
      <c r="AD229" s="2"/>
      <c r="AE229" s="2"/>
      <c r="AF229" s="2"/>
      <c r="AG229" s="2"/>
      <c r="AH229" s="2"/>
      <c r="AI229" s="2"/>
      <c r="AJ229" s="2"/>
      <c r="AK229" s="2"/>
      <c r="AL229" s="2"/>
      <c r="AM229" s="2"/>
      <c r="AN229" s="9"/>
      <c r="AO229" s="9"/>
      <c r="AP229" s="9"/>
      <c r="AQ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224"/>
      <c r="X230" s="224"/>
      <c r="Y230" s="868"/>
      <c r="Z230" s="865"/>
      <c r="AA230" s="2"/>
      <c r="AB230" s="2"/>
      <c r="AC230" s="2"/>
      <c r="AD230" s="2"/>
      <c r="AE230" s="2"/>
      <c r="AF230" s="2"/>
      <c r="AG230" s="2"/>
      <c r="AH230" s="2"/>
      <c r="AI230" s="2"/>
      <c r="AJ230" s="2"/>
      <c r="AK230" s="2"/>
      <c r="AL230" s="2"/>
      <c r="AM230" s="2"/>
      <c r="AN230" s="9"/>
      <c r="AO230" s="9"/>
      <c r="AP230" s="9"/>
      <c r="AQ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224"/>
      <c r="X231" s="224"/>
      <c r="Y231" s="868"/>
      <c r="Z231" s="865"/>
      <c r="AA231" s="2"/>
      <c r="AB231" s="2"/>
      <c r="AC231" s="2"/>
      <c r="AD231" s="2"/>
      <c r="AE231" s="2"/>
      <c r="AF231" s="2"/>
      <c r="AG231" s="2"/>
      <c r="AH231" s="2"/>
      <c r="AI231" s="2"/>
      <c r="AJ231" s="2"/>
      <c r="AK231" s="2"/>
      <c r="AL231" s="2"/>
      <c r="AM231" s="2"/>
      <c r="AN231" s="9"/>
      <c r="AO231" s="9"/>
      <c r="AP231" s="9"/>
      <c r="AQ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224"/>
      <c r="X232" s="224"/>
      <c r="Y232" s="868"/>
      <c r="Z232" s="865"/>
      <c r="AA232" s="2"/>
      <c r="AB232" s="2"/>
      <c r="AC232" s="2"/>
      <c r="AD232" s="2"/>
      <c r="AE232" s="2"/>
      <c r="AF232" s="2"/>
      <c r="AG232" s="2"/>
      <c r="AH232" s="2"/>
      <c r="AI232" s="2"/>
      <c r="AJ232" s="2"/>
      <c r="AK232" s="2"/>
      <c r="AL232" s="2"/>
      <c r="AM232" s="2"/>
      <c r="AN232" s="9"/>
      <c r="AO232" s="9"/>
      <c r="AP232" s="9"/>
      <c r="AQ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224"/>
      <c r="X233" s="224"/>
      <c r="Y233" s="868"/>
      <c r="Z233" s="865"/>
      <c r="AA233" s="2"/>
      <c r="AB233" s="2"/>
      <c r="AC233" s="2"/>
      <c r="AD233" s="2"/>
      <c r="AE233" s="2"/>
      <c r="AF233" s="2"/>
      <c r="AG233" s="2"/>
      <c r="AH233" s="2"/>
      <c r="AI233" s="2"/>
      <c r="AJ233" s="2"/>
      <c r="AK233" s="2"/>
      <c r="AL233" s="2"/>
      <c r="AM233" s="2"/>
      <c r="AN233" s="9"/>
      <c r="AO233" s="9"/>
      <c r="AP233" s="9"/>
      <c r="AQ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224"/>
      <c r="X234" s="224"/>
      <c r="Y234" s="868"/>
      <c r="Z234" s="865"/>
      <c r="AA234" s="2"/>
      <c r="AB234" s="2"/>
      <c r="AC234" s="2"/>
      <c r="AD234" s="2"/>
      <c r="AE234" s="2"/>
      <c r="AF234" s="2"/>
      <c r="AG234" s="2"/>
      <c r="AH234" s="2"/>
      <c r="AI234" s="2"/>
      <c r="AJ234" s="2"/>
      <c r="AK234" s="2"/>
      <c r="AL234" s="2"/>
      <c r="AM234" s="2"/>
      <c r="AN234" s="9"/>
      <c r="AO234" s="9"/>
      <c r="AP234" s="9"/>
      <c r="AQ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224"/>
      <c r="X235" s="224"/>
      <c r="Y235" s="868"/>
      <c r="Z235" s="865"/>
      <c r="AA235" s="2"/>
      <c r="AB235" s="2"/>
      <c r="AC235" s="2"/>
      <c r="AD235" s="2"/>
      <c r="AE235" s="2"/>
      <c r="AF235" s="2"/>
      <c r="AG235" s="2"/>
      <c r="AH235" s="2"/>
      <c r="AI235" s="2"/>
      <c r="AJ235" s="2"/>
      <c r="AK235" s="2"/>
      <c r="AL235" s="2"/>
      <c r="AM235" s="2"/>
      <c r="AN235" s="9"/>
      <c r="AO235" s="9"/>
      <c r="AP235" s="9"/>
      <c r="AQ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224"/>
      <c r="X236" s="224"/>
      <c r="Y236" s="868"/>
      <c r="Z236" s="865"/>
      <c r="AA236" s="2"/>
      <c r="AB236" s="2"/>
      <c r="AC236" s="2"/>
      <c r="AD236" s="2"/>
      <c r="AE236" s="2"/>
      <c r="AF236" s="2"/>
      <c r="AG236" s="2"/>
      <c r="AH236" s="2"/>
      <c r="AI236" s="2"/>
      <c r="AJ236" s="2"/>
      <c r="AK236" s="2"/>
      <c r="AL236" s="2"/>
      <c r="AM236" s="2"/>
      <c r="AN236" s="9"/>
      <c r="AO236" s="9"/>
      <c r="AP236" s="9"/>
      <c r="AQ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224"/>
      <c r="X237" s="224"/>
      <c r="Y237" s="868"/>
      <c r="Z237" s="865"/>
      <c r="AA237" s="2"/>
      <c r="AB237" s="2"/>
      <c r="AC237" s="2"/>
      <c r="AD237" s="2"/>
      <c r="AE237" s="2"/>
      <c r="AF237" s="2"/>
      <c r="AG237" s="2"/>
      <c r="AH237" s="2"/>
      <c r="AI237" s="2"/>
      <c r="AJ237" s="2"/>
      <c r="AK237" s="2"/>
      <c r="AL237" s="2"/>
      <c r="AM237" s="2"/>
      <c r="AN237" s="9"/>
      <c r="AO237" s="9"/>
      <c r="AP237" s="9"/>
      <c r="AQ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224"/>
      <c r="X238" s="224"/>
      <c r="Y238" s="868"/>
      <c r="Z238" s="865"/>
      <c r="AA238" s="2"/>
      <c r="AB238" s="2"/>
      <c r="AC238" s="2"/>
      <c r="AD238" s="2"/>
      <c r="AE238" s="2"/>
      <c r="AF238" s="2"/>
      <c r="AG238" s="2"/>
      <c r="AH238" s="2"/>
      <c r="AI238" s="2"/>
      <c r="AJ238" s="2"/>
      <c r="AK238" s="2"/>
      <c r="AL238" s="2"/>
      <c r="AM238" s="2"/>
      <c r="AN238" s="9"/>
      <c r="AO238" s="9"/>
      <c r="AP238" s="9"/>
      <c r="AQ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224"/>
      <c r="X239" s="224"/>
      <c r="Y239" s="868"/>
      <c r="Z239" s="865"/>
      <c r="AA239" s="2"/>
      <c r="AB239" s="2"/>
      <c r="AC239" s="2"/>
      <c r="AD239" s="2"/>
      <c r="AE239" s="2"/>
      <c r="AF239" s="2"/>
      <c r="AG239" s="2"/>
      <c r="AH239" s="2"/>
      <c r="AI239" s="2"/>
      <c r="AJ239" s="2"/>
      <c r="AK239" s="2"/>
      <c r="AL239" s="2"/>
      <c r="AM239" s="2"/>
      <c r="AN239" s="9"/>
      <c r="AO239" s="9"/>
      <c r="AP239" s="9"/>
      <c r="AQ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224"/>
      <c r="X240" s="224"/>
      <c r="Y240" s="868"/>
      <c r="Z240" s="865"/>
      <c r="AA240" s="2"/>
      <c r="AB240" s="2"/>
      <c r="AC240" s="2"/>
      <c r="AD240" s="2"/>
      <c r="AE240" s="2"/>
      <c r="AF240" s="2"/>
      <c r="AG240" s="2"/>
      <c r="AH240" s="2"/>
      <c r="AI240" s="2"/>
      <c r="AJ240" s="2"/>
      <c r="AK240" s="2"/>
      <c r="AL240" s="2"/>
      <c r="AM240" s="2"/>
      <c r="AN240" s="9"/>
      <c r="AO240" s="9"/>
      <c r="AP240" s="9"/>
      <c r="AQ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224"/>
      <c r="X241" s="224"/>
      <c r="Y241" s="868"/>
      <c r="Z241" s="865"/>
      <c r="AA241" s="2"/>
      <c r="AB241" s="2"/>
      <c r="AC241" s="2"/>
      <c r="AD241" s="2"/>
      <c r="AE241" s="2"/>
      <c r="AF241" s="2"/>
      <c r="AG241" s="2"/>
      <c r="AH241" s="2"/>
      <c r="AI241" s="2"/>
      <c r="AJ241" s="2"/>
      <c r="AK241" s="2"/>
      <c r="AL241" s="2"/>
      <c r="AM241" s="2"/>
      <c r="AN241" s="9"/>
      <c r="AO241" s="9"/>
      <c r="AP241" s="9"/>
      <c r="AQ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224"/>
      <c r="X242" s="224"/>
      <c r="Y242" s="868"/>
      <c r="Z242" s="865"/>
      <c r="AA242" s="2"/>
      <c r="AB242" s="2"/>
      <c r="AC242" s="2"/>
      <c r="AD242" s="2"/>
      <c r="AE242" s="2"/>
      <c r="AF242" s="2"/>
      <c r="AG242" s="2"/>
      <c r="AH242" s="2"/>
      <c r="AI242" s="2"/>
      <c r="AJ242" s="2"/>
      <c r="AK242" s="2"/>
      <c r="AL242" s="2"/>
      <c r="AM242" s="2"/>
      <c r="AN242" s="9"/>
      <c r="AO242" s="9"/>
      <c r="AP242" s="9"/>
      <c r="AQ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224"/>
      <c r="X243" s="224"/>
      <c r="Y243" s="868"/>
      <c r="Z243" s="865"/>
      <c r="AA243" s="2"/>
      <c r="AB243" s="2"/>
      <c r="AC243" s="2"/>
      <c r="AD243" s="2"/>
      <c r="AE243" s="2"/>
      <c r="AF243" s="2"/>
      <c r="AG243" s="2"/>
      <c r="AH243" s="2"/>
      <c r="AI243" s="2"/>
      <c r="AJ243" s="2"/>
      <c r="AK243" s="2"/>
      <c r="AL243" s="2"/>
      <c r="AM243" s="2"/>
      <c r="AN243" s="9"/>
      <c r="AO243" s="9"/>
      <c r="AP243" s="9"/>
      <c r="AQ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224"/>
      <c r="X244" s="224"/>
      <c r="Y244" s="868"/>
      <c r="Z244" s="865"/>
      <c r="AA244" s="2"/>
      <c r="AB244" s="2"/>
      <c r="AC244" s="2"/>
      <c r="AD244" s="2"/>
      <c r="AE244" s="2"/>
      <c r="AF244" s="2"/>
      <c r="AG244" s="2"/>
      <c r="AH244" s="2"/>
      <c r="AI244" s="2"/>
      <c r="AJ244" s="2"/>
      <c r="AK244" s="2"/>
      <c r="AL244" s="2"/>
      <c r="AM244" s="2"/>
      <c r="AN244" s="9"/>
      <c r="AO244" s="9"/>
      <c r="AP244" s="9"/>
      <c r="AQ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224"/>
      <c r="X245" s="224"/>
      <c r="Y245" s="868"/>
      <c r="Z245" s="865"/>
      <c r="AA245" s="2"/>
      <c r="AB245" s="2"/>
      <c r="AC245" s="2"/>
      <c r="AD245" s="2"/>
      <c r="AE245" s="2"/>
      <c r="AF245" s="2"/>
      <c r="AG245" s="2"/>
      <c r="AH245" s="2"/>
      <c r="AI245" s="2"/>
      <c r="AJ245" s="2"/>
      <c r="AK245" s="2"/>
      <c r="AL245" s="2"/>
      <c r="AM245" s="2"/>
      <c r="AN245" s="9"/>
      <c r="AO245" s="9"/>
      <c r="AP245" s="9"/>
      <c r="AQ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224"/>
      <c r="X246" s="224"/>
      <c r="Y246" s="868"/>
      <c r="Z246" s="865"/>
      <c r="AA246" s="2"/>
      <c r="AB246" s="2"/>
      <c r="AC246" s="2"/>
      <c r="AD246" s="2"/>
      <c r="AE246" s="2"/>
      <c r="AF246" s="2"/>
      <c r="AG246" s="2"/>
      <c r="AH246" s="2"/>
      <c r="AI246" s="2"/>
      <c r="AJ246" s="2"/>
      <c r="AK246" s="2"/>
      <c r="AL246" s="2"/>
      <c r="AM246" s="2"/>
      <c r="AN246" s="9"/>
      <c r="AO246" s="9"/>
      <c r="AP246" s="9"/>
      <c r="AQ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224"/>
      <c r="X247" s="224"/>
      <c r="Y247" s="868"/>
      <c r="Z247" s="865"/>
      <c r="AA247" s="2"/>
      <c r="AB247" s="2"/>
      <c r="AC247" s="2"/>
      <c r="AD247" s="2"/>
      <c r="AE247" s="2"/>
      <c r="AF247" s="2"/>
      <c r="AG247" s="2"/>
      <c r="AH247" s="2"/>
      <c r="AI247" s="2"/>
      <c r="AJ247" s="2"/>
      <c r="AK247" s="2"/>
      <c r="AL247" s="2"/>
      <c r="AM247" s="2"/>
      <c r="AN247" s="9"/>
      <c r="AO247" s="9"/>
      <c r="AP247" s="9"/>
      <c r="AQ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224"/>
      <c r="X248" s="224"/>
      <c r="Y248" s="868"/>
      <c r="Z248" s="865"/>
      <c r="AA248" s="2"/>
      <c r="AB248" s="2"/>
      <c r="AC248" s="2"/>
      <c r="AD248" s="2"/>
      <c r="AE248" s="2"/>
      <c r="AF248" s="2"/>
      <c r="AG248" s="2"/>
      <c r="AH248" s="2"/>
      <c r="AI248" s="2"/>
      <c r="AJ248" s="2"/>
      <c r="AK248" s="2"/>
      <c r="AL248" s="2"/>
      <c r="AM248" s="2"/>
      <c r="AN248" s="9"/>
      <c r="AO248" s="9"/>
      <c r="AP248" s="9"/>
      <c r="AQ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224"/>
      <c r="X249" s="224"/>
      <c r="Y249" s="868"/>
      <c r="Z249" s="865"/>
      <c r="AA249" s="2"/>
      <c r="AB249" s="2"/>
      <c r="AC249" s="2"/>
      <c r="AD249" s="2"/>
      <c r="AE249" s="2"/>
      <c r="AF249" s="2"/>
      <c r="AG249" s="2"/>
      <c r="AH249" s="2"/>
      <c r="AI249" s="2"/>
      <c r="AJ249" s="2"/>
      <c r="AK249" s="2"/>
      <c r="AL249" s="2"/>
      <c r="AM249" s="2"/>
      <c r="AN249" s="9"/>
      <c r="AO249" s="9"/>
      <c r="AP249" s="9"/>
      <c r="AQ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224"/>
      <c r="X250" s="224"/>
      <c r="Y250" s="868"/>
      <c r="Z250" s="865"/>
      <c r="AA250" s="2"/>
      <c r="AB250" s="2"/>
      <c r="AC250" s="2"/>
      <c r="AD250" s="2"/>
      <c r="AE250" s="2"/>
      <c r="AF250" s="2"/>
      <c r="AG250" s="2"/>
      <c r="AH250" s="2"/>
      <c r="AI250" s="2"/>
      <c r="AJ250" s="2"/>
      <c r="AK250" s="2"/>
      <c r="AL250" s="2"/>
      <c r="AM250" s="2"/>
      <c r="AN250" s="9"/>
      <c r="AO250" s="9"/>
      <c r="AP250" s="9"/>
      <c r="AQ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224"/>
      <c r="X251" s="224"/>
      <c r="Y251" s="868"/>
      <c r="Z251" s="865"/>
      <c r="AA251" s="2"/>
      <c r="AB251" s="2"/>
      <c r="AC251" s="2"/>
      <c r="AD251" s="2"/>
      <c r="AE251" s="2"/>
      <c r="AF251" s="2"/>
      <c r="AG251" s="2"/>
      <c r="AH251" s="2"/>
      <c r="AI251" s="2"/>
      <c r="AJ251" s="2"/>
      <c r="AK251" s="2"/>
      <c r="AL251" s="2"/>
      <c r="AM251" s="2"/>
      <c r="AN251" s="9"/>
      <c r="AO251" s="9"/>
      <c r="AP251" s="9"/>
      <c r="AQ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224"/>
      <c r="X252" s="224"/>
      <c r="Y252" s="868"/>
      <c r="Z252" s="865"/>
      <c r="AA252" s="2"/>
      <c r="AB252" s="2"/>
      <c r="AC252" s="2"/>
      <c r="AD252" s="2"/>
      <c r="AE252" s="2"/>
      <c r="AF252" s="2"/>
      <c r="AG252" s="2"/>
      <c r="AH252" s="2"/>
      <c r="AI252" s="2"/>
      <c r="AJ252" s="2"/>
      <c r="AK252" s="2"/>
      <c r="AL252" s="2"/>
      <c r="AM252" s="2"/>
      <c r="AN252" s="9"/>
      <c r="AO252" s="9"/>
      <c r="AP252" s="9"/>
      <c r="AQ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224"/>
      <c r="X253" s="224"/>
      <c r="Y253" s="868"/>
      <c r="Z253" s="865"/>
      <c r="AA253" s="2"/>
      <c r="AB253" s="2"/>
      <c r="AC253" s="2"/>
      <c r="AD253" s="2"/>
      <c r="AE253" s="2"/>
      <c r="AF253" s="2"/>
      <c r="AG253" s="2"/>
      <c r="AH253" s="2"/>
      <c r="AI253" s="2"/>
      <c r="AJ253" s="2"/>
      <c r="AK253" s="2"/>
      <c r="AL253" s="2"/>
      <c r="AM253" s="2"/>
      <c r="AN253" s="9"/>
      <c r="AO253" s="9"/>
      <c r="AP253" s="9"/>
      <c r="AQ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224"/>
      <c r="X254" s="224"/>
      <c r="Y254" s="868"/>
      <c r="Z254" s="865"/>
      <c r="AA254" s="2"/>
      <c r="AB254" s="2"/>
      <c r="AC254" s="2"/>
      <c r="AD254" s="2"/>
      <c r="AE254" s="2"/>
      <c r="AF254" s="2"/>
      <c r="AG254" s="2"/>
      <c r="AH254" s="2"/>
      <c r="AI254" s="2"/>
      <c r="AJ254" s="2"/>
      <c r="AK254" s="2"/>
      <c r="AL254" s="2"/>
      <c r="AM254" s="2"/>
      <c r="AN254" s="9"/>
      <c r="AO254" s="9"/>
      <c r="AP254" s="9"/>
      <c r="AQ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224"/>
      <c r="X255" s="224"/>
      <c r="Y255" s="868"/>
      <c r="Z255" s="865"/>
      <c r="AA255" s="2"/>
      <c r="AB255" s="2"/>
      <c r="AC255" s="2"/>
      <c r="AD255" s="2"/>
      <c r="AE255" s="2"/>
      <c r="AF255" s="2"/>
      <c r="AG255" s="2"/>
      <c r="AH255" s="2"/>
      <c r="AI255" s="2"/>
      <c r="AJ255" s="2"/>
      <c r="AK255" s="2"/>
      <c r="AL255" s="2"/>
      <c r="AM255" s="2"/>
      <c r="AN255" s="9"/>
      <c r="AO255" s="9"/>
      <c r="AP255" s="9"/>
      <c r="AQ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224"/>
      <c r="X256" s="224"/>
      <c r="Y256" s="868"/>
      <c r="Z256" s="865"/>
      <c r="AA256" s="2"/>
      <c r="AB256" s="2"/>
      <c r="AC256" s="2"/>
      <c r="AD256" s="2"/>
      <c r="AE256" s="2"/>
      <c r="AF256" s="2"/>
      <c r="AG256" s="2"/>
      <c r="AH256" s="2"/>
      <c r="AI256" s="2"/>
      <c r="AJ256" s="2"/>
      <c r="AK256" s="2"/>
      <c r="AL256" s="2"/>
      <c r="AM256" s="2"/>
      <c r="AN256" s="9"/>
      <c r="AO256" s="9"/>
      <c r="AP256" s="9"/>
      <c r="AQ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224"/>
      <c r="X257" s="224"/>
      <c r="Y257" s="868"/>
      <c r="Z257" s="865"/>
      <c r="AA257" s="2"/>
      <c r="AB257" s="2"/>
      <c r="AC257" s="2"/>
      <c r="AD257" s="2"/>
      <c r="AE257" s="2"/>
      <c r="AF257" s="2"/>
      <c r="AG257" s="2"/>
      <c r="AH257" s="2"/>
      <c r="AI257" s="2"/>
      <c r="AJ257" s="2"/>
      <c r="AK257" s="2"/>
      <c r="AL257" s="2"/>
      <c r="AM257" s="2"/>
      <c r="AN257" s="9"/>
      <c r="AO257" s="9"/>
      <c r="AP257" s="9"/>
      <c r="AQ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224"/>
      <c r="X258" s="224"/>
      <c r="Y258" s="868"/>
      <c r="Z258" s="865"/>
      <c r="AA258" s="2"/>
      <c r="AB258" s="2"/>
      <c r="AC258" s="2"/>
      <c r="AD258" s="2"/>
      <c r="AE258" s="2"/>
      <c r="AF258" s="2"/>
      <c r="AG258" s="2"/>
      <c r="AH258" s="2"/>
      <c r="AI258" s="2"/>
      <c r="AJ258" s="2"/>
      <c r="AK258" s="2"/>
      <c r="AL258" s="2"/>
      <c r="AM258" s="2"/>
      <c r="AN258" s="9"/>
      <c r="AO258" s="9"/>
      <c r="AP258" s="9"/>
      <c r="AQ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224"/>
      <c r="X259" s="224"/>
      <c r="Y259" s="868"/>
      <c r="Z259" s="865"/>
      <c r="AA259" s="2"/>
      <c r="AB259" s="2"/>
      <c r="AC259" s="2"/>
      <c r="AD259" s="2"/>
      <c r="AE259" s="2"/>
      <c r="AF259" s="2"/>
      <c r="AG259" s="2"/>
      <c r="AH259" s="2"/>
      <c r="AI259" s="2"/>
      <c r="AJ259" s="2"/>
      <c r="AK259" s="2"/>
      <c r="AL259" s="2"/>
      <c r="AM259" s="2"/>
      <c r="AN259" s="9"/>
      <c r="AO259" s="9"/>
      <c r="AP259" s="9"/>
      <c r="AQ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224"/>
      <c r="X260" s="224"/>
      <c r="Y260" s="868"/>
      <c r="Z260" s="865"/>
      <c r="AA260" s="2"/>
      <c r="AB260" s="2"/>
      <c r="AC260" s="2"/>
      <c r="AD260" s="2"/>
      <c r="AE260" s="2"/>
      <c r="AF260" s="2"/>
      <c r="AG260" s="2"/>
      <c r="AH260" s="2"/>
      <c r="AI260" s="2"/>
      <c r="AJ260" s="2"/>
      <c r="AK260" s="2"/>
      <c r="AL260" s="2"/>
      <c r="AM260" s="2"/>
      <c r="AN260" s="9"/>
      <c r="AO260" s="9"/>
      <c r="AP260" s="9"/>
      <c r="AQ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224"/>
      <c r="X261" s="224"/>
      <c r="Y261" s="868"/>
      <c r="Z261" s="865"/>
      <c r="AA261" s="2"/>
      <c r="AB261" s="2"/>
      <c r="AC261" s="2"/>
      <c r="AD261" s="2"/>
      <c r="AE261" s="2"/>
      <c r="AF261" s="2"/>
      <c r="AG261" s="2"/>
      <c r="AH261" s="2"/>
      <c r="AI261" s="2"/>
      <c r="AJ261" s="2"/>
      <c r="AK261" s="2"/>
      <c r="AL261" s="2"/>
      <c r="AM261" s="2"/>
      <c r="AN261" s="9"/>
      <c r="AO261" s="9"/>
      <c r="AP261" s="9"/>
      <c r="AQ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224"/>
      <c r="X262" s="224"/>
      <c r="Y262" s="868"/>
      <c r="Z262" s="865"/>
      <c r="AA262" s="2"/>
      <c r="AB262" s="2"/>
      <c r="AC262" s="2"/>
      <c r="AD262" s="2"/>
      <c r="AE262" s="2"/>
      <c r="AF262" s="2"/>
      <c r="AG262" s="2"/>
      <c r="AH262" s="2"/>
      <c r="AI262" s="2"/>
      <c r="AJ262" s="2"/>
      <c r="AK262" s="2"/>
      <c r="AL262" s="2"/>
      <c r="AM262" s="2"/>
      <c r="AN262" s="9"/>
      <c r="AO262" s="9"/>
      <c r="AP262" s="9"/>
      <c r="AQ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224"/>
      <c r="X263" s="224"/>
      <c r="Y263" s="868"/>
      <c r="Z263" s="865"/>
      <c r="AA263" s="2"/>
      <c r="AB263" s="2"/>
      <c r="AC263" s="2"/>
      <c r="AD263" s="2"/>
      <c r="AE263" s="2"/>
      <c r="AF263" s="2"/>
      <c r="AG263" s="2"/>
      <c r="AH263" s="2"/>
      <c r="AI263" s="2"/>
      <c r="AJ263" s="2"/>
      <c r="AK263" s="2"/>
      <c r="AL263" s="2"/>
      <c r="AM263" s="2"/>
      <c r="AN263" s="9"/>
      <c r="AO263" s="9"/>
      <c r="AP263" s="9"/>
      <c r="AQ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224"/>
      <c r="X264" s="224"/>
      <c r="Y264" s="868"/>
      <c r="Z264" s="865"/>
      <c r="AA264" s="2"/>
      <c r="AB264" s="2"/>
      <c r="AC264" s="2"/>
      <c r="AD264" s="2"/>
      <c r="AE264" s="2"/>
      <c r="AF264" s="2"/>
      <c r="AG264" s="2"/>
      <c r="AH264" s="2"/>
      <c r="AI264" s="2"/>
      <c r="AJ264" s="2"/>
      <c r="AK264" s="2"/>
      <c r="AL264" s="2"/>
      <c r="AM264" s="2"/>
      <c r="AN264" s="9"/>
      <c r="AO264" s="9"/>
      <c r="AP264" s="9"/>
      <c r="AQ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224"/>
      <c r="X265" s="224"/>
      <c r="Y265" s="868"/>
      <c r="Z265" s="865"/>
      <c r="AA265" s="2"/>
      <c r="AB265" s="2"/>
      <c r="AC265" s="2"/>
      <c r="AD265" s="2"/>
      <c r="AE265" s="2"/>
      <c r="AF265" s="2"/>
      <c r="AG265" s="2"/>
      <c r="AH265" s="2"/>
      <c r="AI265" s="2"/>
      <c r="AJ265" s="2"/>
      <c r="AK265" s="2"/>
      <c r="AL265" s="2"/>
      <c r="AM265" s="2"/>
      <c r="AN265" s="9"/>
      <c r="AO265" s="9"/>
      <c r="AP265" s="9"/>
      <c r="AQ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224"/>
      <c r="X266" s="224"/>
      <c r="Y266" s="868"/>
      <c r="Z266" s="865"/>
      <c r="AA266" s="2"/>
      <c r="AB266" s="2"/>
      <c r="AC266" s="2"/>
      <c r="AD266" s="2"/>
      <c r="AE266" s="2"/>
      <c r="AF266" s="2"/>
      <c r="AG266" s="2"/>
      <c r="AH266" s="2"/>
      <c r="AI266" s="2"/>
      <c r="AJ266" s="2"/>
      <c r="AK266" s="2"/>
      <c r="AL266" s="2"/>
      <c r="AM266" s="2"/>
      <c r="AN266" s="9"/>
      <c r="AO266" s="9"/>
      <c r="AP266" s="9"/>
      <c r="AQ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224"/>
      <c r="X267" s="224"/>
      <c r="Y267" s="868"/>
      <c r="Z267" s="865"/>
      <c r="AA267" s="2"/>
      <c r="AB267" s="2"/>
      <c r="AC267" s="2"/>
      <c r="AD267" s="2"/>
      <c r="AE267" s="2"/>
      <c r="AF267" s="2"/>
      <c r="AG267" s="2"/>
      <c r="AH267" s="2"/>
      <c r="AI267" s="2"/>
      <c r="AJ267" s="2"/>
      <c r="AK267" s="2"/>
      <c r="AL267" s="2"/>
      <c r="AM267" s="2"/>
      <c r="AN267" s="9"/>
      <c r="AO267" s="9"/>
      <c r="AP267" s="9"/>
      <c r="AQ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224"/>
      <c r="X268" s="224"/>
      <c r="Y268" s="868"/>
      <c r="Z268" s="865"/>
      <c r="AA268" s="2"/>
      <c r="AB268" s="2"/>
      <c r="AC268" s="2"/>
      <c r="AD268" s="2"/>
      <c r="AE268" s="2"/>
      <c r="AF268" s="2"/>
      <c r="AG268" s="2"/>
      <c r="AH268" s="2"/>
      <c r="AI268" s="2"/>
      <c r="AJ268" s="2"/>
      <c r="AK268" s="2"/>
      <c r="AL268" s="2"/>
      <c r="AM268" s="2"/>
      <c r="AN268" s="9"/>
      <c r="AO268" s="9"/>
      <c r="AP268" s="9"/>
      <c r="AQ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224"/>
      <c r="X269" s="224"/>
      <c r="Y269" s="868"/>
      <c r="Z269" s="865"/>
      <c r="AA269" s="2"/>
      <c r="AB269" s="2"/>
      <c r="AC269" s="2"/>
      <c r="AD269" s="2"/>
      <c r="AE269" s="2"/>
      <c r="AF269" s="2"/>
      <c r="AG269" s="2"/>
      <c r="AH269" s="2"/>
      <c r="AI269" s="2"/>
      <c r="AJ269" s="2"/>
      <c r="AK269" s="2"/>
      <c r="AL269" s="2"/>
      <c r="AM269" s="2"/>
      <c r="AN269" s="9"/>
      <c r="AO269" s="9"/>
      <c r="AP269" s="9"/>
      <c r="AQ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224"/>
      <c r="X270" s="224"/>
      <c r="Y270" s="868"/>
      <c r="Z270" s="865"/>
      <c r="AA270" s="2"/>
      <c r="AB270" s="2"/>
      <c r="AC270" s="2"/>
      <c r="AD270" s="2"/>
      <c r="AE270" s="2"/>
      <c r="AF270" s="2"/>
      <c r="AG270" s="2"/>
      <c r="AH270" s="2"/>
      <c r="AI270" s="2"/>
      <c r="AJ270" s="2"/>
      <c r="AK270" s="2"/>
      <c r="AL270" s="2"/>
      <c r="AM270" s="2"/>
      <c r="AN270" s="9"/>
      <c r="AO270" s="9"/>
      <c r="AP270" s="9"/>
      <c r="AQ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224"/>
      <c r="X271" s="224"/>
      <c r="Y271" s="868"/>
      <c r="Z271" s="865"/>
      <c r="AA271" s="2"/>
      <c r="AB271" s="2"/>
      <c r="AC271" s="2"/>
      <c r="AD271" s="2"/>
      <c r="AE271" s="2"/>
      <c r="AF271" s="2"/>
      <c r="AG271" s="2"/>
      <c r="AH271" s="2"/>
      <c r="AI271" s="2"/>
      <c r="AJ271" s="2"/>
      <c r="AK271" s="2"/>
      <c r="AL271" s="2"/>
      <c r="AM271" s="2"/>
      <c r="AN271" s="9"/>
      <c r="AO271" s="9"/>
      <c r="AP271" s="9"/>
      <c r="AQ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224"/>
      <c r="X272" s="224"/>
      <c r="Y272" s="868"/>
      <c r="Z272" s="865"/>
      <c r="AA272" s="2"/>
      <c r="AB272" s="2"/>
      <c r="AC272" s="2"/>
      <c r="AD272" s="2"/>
      <c r="AE272" s="2"/>
      <c r="AF272" s="2"/>
      <c r="AG272" s="2"/>
      <c r="AH272" s="2"/>
      <c r="AI272" s="2"/>
      <c r="AJ272" s="2"/>
      <c r="AK272" s="2"/>
      <c r="AL272" s="2"/>
      <c r="AM272" s="2"/>
      <c r="AN272" s="9"/>
      <c r="AO272" s="9"/>
      <c r="AP272" s="9"/>
      <c r="AQ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224"/>
      <c r="X273" s="224"/>
      <c r="Y273" s="868"/>
      <c r="Z273" s="865"/>
      <c r="AA273" s="2"/>
      <c r="AB273" s="2"/>
      <c r="AC273" s="2"/>
      <c r="AD273" s="2"/>
      <c r="AE273" s="2"/>
      <c r="AF273" s="2"/>
      <c r="AG273" s="2"/>
      <c r="AH273" s="2"/>
      <c r="AI273" s="2"/>
      <c r="AJ273" s="2"/>
      <c r="AK273" s="2"/>
      <c r="AL273" s="2"/>
      <c r="AM273" s="2"/>
      <c r="AN273" s="9"/>
      <c r="AO273" s="9"/>
      <c r="AP273" s="9"/>
      <c r="AQ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224"/>
      <c r="X274" s="224"/>
      <c r="Y274" s="868"/>
      <c r="Z274" s="865"/>
      <c r="AA274" s="2"/>
      <c r="AB274" s="2"/>
      <c r="AC274" s="2"/>
      <c r="AD274" s="2"/>
      <c r="AE274" s="2"/>
      <c r="AF274" s="2"/>
      <c r="AG274" s="2"/>
      <c r="AH274" s="2"/>
      <c r="AI274" s="2"/>
      <c r="AJ274" s="2"/>
      <c r="AK274" s="2"/>
      <c r="AL274" s="2"/>
      <c r="AM274" s="2"/>
      <c r="AN274" s="9"/>
      <c r="AO274" s="9"/>
      <c r="AP274" s="9"/>
      <c r="AQ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224"/>
      <c r="X275" s="224"/>
      <c r="Y275" s="868"/>
      <c r="Z275" s="865"/>
      <c r="AA275" s="2"/>
      <c r="AB275" s="2"/>
      <c r="AC275" s="2"/>
      <c r="AD275" s="2"/>
      <c r="AE275" s="2"/>
      <c r="AF275" s="2"/>
      <c r="AG275" s="2"/>
      <c r="AH275" s="2"/>
      <c r="AI275" s="2"/>
      <c r="AJ275" s="2"/>
      <c r="AK275" s="2"/>
      <c r="AL275" s="2"/>
      <c r="AM275" s="2"/>
      <c r="AN275" s="9"/>
      <c r="AO275" s="9"/>
      <c r="AP275" s="9"/>
      <c r="AQ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224"/>
      <c r="X276" s="224"/>
      <c r="Y276" s="868"/>
      <c r="Z276" s="865"/>
      <c r="AA276" s="2"/>
      <c r="AB276" s="2"/>
      <c r="AC276" s="2"/>
      <c r="AD276" s="2"/>
      <c r="AE276" s="2"/>
      <c r="AF276" s="2"/>
      <c r="AG276" s="2"/>
      <c r="AH276" s="2"/>
      <c r="AI276" s="2"/>
      <c r="AJ276" s="2"/>
      <c r="AK276" s="2"/>
      <c r="AL276" s="2"/>
      <c r="AM276" s="2"/>
      <c r="AN276" s="9"/>
      <c r="AO276" s="9"/>
      <c r="AP276" s="9"/>
      <c r="AQ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224"/>
      <c r="X277" s="224"/>
      <c r="Y277" s="868"/>
      <c r="Z277" s="865"/>
      <c r="AA277" s="2"/>
      <c r="AB277" s="2"/>
      <c r="AC277" s="2"/>
      <c r="AD277" s="2"/>
      <c r="AE277" s="2"/>
      <c r="AF277" s="2"/>
      <c r="AG277" s="2"/>
      <c r="AH277" s="2"/>
      <c r="AI277" s="2"/>
      <c r="AJ277" s="2"/>
      <c r="AK277" s="2"/>
      <c r="AL277" s="2"/>
      <c r="AM277" s="2"/>
      <c r="AN277" s="9"/>
      <c r="AO277" s="9"/>
      <c r="AP277" s="9"/>
      <c r="AQ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224"/>
      <c r="X278" s="224"/>
      <c r="Y278" s="868"/>
      <c r="Z278" s="865"/>
      <c r="AA278" s="2"/>
      <c r="AB278" s="2"/>
      <c r="AC278" s="2"/>
      <c r="AD278" s="2"/>
      <c r="AE278" s="2"/>
      <c r="AF278" s="2"/>
      <c r="AG278" s="2"/>
      <c r="AH278" s="2"/>
      <c r="AI278" s="2"/>
      <c r="AJ278" s="2"/>
      <c r="AK278" s="2"/>
      <c r="AL278" s="2"/>
      <c r="AM278" s="2"/>
      <c r="AN278" s="9"/>
      <c r="AO278" s="9"/>
      <c r="AP278" s="9"/>
      <c r="AQ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224"/>
      <c r="X279" s="224"/>
      <c r="Y279" s="868"/>
      <c r="Z279" s="865"/>
      <c r="AA279" s="2"/>
      <c r="AB279" s="2"/>
      <c r="AC279" s="2"/>
      <c r="AD279" s="2"/>
      <c r="AE279" s="2"/>
      <c r="AF279" s="2"/>
      <c r="AG279" s="2"/>
      <c r="AH279" s="2"/>
      <c r="AI279" s="2"/>
      <c r="AJ279" s="2"/>
      <c r="AK279" s="2"/>
      <c r="AL279" s="2"/>
      <c r="AM279" s="2"/>
      <c r="AN279" s="9"/>
      <c r="AO279" s="9"/>
      <c r="AP279" s="9"/>
      <c r="AQ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224"/>
      <c r="X280" s="224"/>
      <c r="Y280" s="868"/>
      <c r="Z280" s="865"/>
      <c r="AA280" s="2"/>
      <c r="AB280" s="2"/>
      <c r="AC280" s="2"/>
      <c r="AD280" s="2"/>
      <c r="AE280" s="2"/>
      <c r="AF280" s="2"/>
      <c r="AG280" s="2"/>
      <c r="AH280" s="2"/>
      <c r="AI280" s="2"/>
      <c r="AJ280" s="2"/>
      <c r="AK280" s="2"/>
      <c r="AL280" s="2"/>
      <c r="AM280" s="2"/>
      <c r="AN280" s="9"/>
      <c r="AO280" s="9"/>
      <c r="AP280" s="9"/>
      <c r="AQ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224"/>
      <c r="X281" s="224"/>
      <c r="Y281" s="868"/>
      <c r="Z281" s="865"/>
      <c r="AA281" s="2"/>
      <c r="AB281" s="2"/>
      <c r="AC281" s="2"/>
      <c r="AD281" s="2"/>
      <c r="AE281" s="2"/>
      <c r="AF281" s="2"/>
      <c r="AG281" s="2"/>
      <c r="AH281" s="2"/>
      <c r="AI281" s="2"/>
      <c r="AJ281" s="2"/>
      <c r="AK281" s="2"/>
      <c r="AL281" s="2"/>
      <c r="AM281" s="2"/>
      <c r="AN281" s="9"/>
      <c r="AO281" s="9"/>
      <c r="AP281" s="9"/>
      <c r="AQ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224"/>
      <c r="X282" s="224"/>
      <c r="Y282" s="868"/>
      <c r="Z282" s="865"/>
      <c r="AA282" s="2"/>
      <c r="AB282" s="2"/>
      <c r="AC282" s="2"/>
      <c r="AD282" s="2"/>
      <c r="AE282" s="2"/>
      <c r="AF282" s="2"/>
      <c r="AG282" s="2"/>
      <c r="AH282" s="2"/>
      <c r="AI282" s="2"/>
      <c r="AJ282" s="2"/>
      <c r="AK282" s="2"/>
      <c r="AL282" s="2"/>
      <c r="AM282" s="2"/>
      <c r="AN282" s="9"/>
      <c r="AO282" s="9"/>
      <c r="AP282" s="9"/>
      <c r="AQ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224"/>
      <c r="X283" s="224"/>
      <c r="Y283" s="868"/>
      <c r="Z283" s="865"/>
      <c r="AA283" s="2"/>
      <c r="AB283" s="2"/>
      <c r="AC283" s="2"/>
      <c r="AD283" s="2"/>
      <c r="AE283" s="2"/>
      <c r="AF283" s="2"/>
      <c r="AG283" s="2"/>
      <c r="AH283" s="2"/>
      <c r="AI283" s="2"/>
      <c r="AJ283" s="2"/>
      <c r="AK283" s="2"/>
      <c r="AL283" s="2"/>
      <c r="AM283" s="2"/>
      <c r="AN283" s="9"/>
      <c r="AO283" s="9"/>
      <c r="AP283" s="9"/>
      <c r="AQ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224"/>
      <c r="X284" s="224"/>
      <c r="Y284" s="868"/>
      <c r="Z284" s="865"/>
      <c r="AA284" s="2"/>
      <c r="AB284" s="2"/>
      <c r="AC284" s="2"/>
      <c r="AD284" s="2"/>
      <c r="AE284" s="2"/>
      <c r="AF284" s="2"/>
      <c r="AG284" s="2"/>
      <c r="AH284" s="2"/>
      <c r="AI284" s="2"/>
      <c r="AJ284" s="2"/>
      <c r="AK284" s="2"/>
      <c r="AL284" s="2"/>
      <c r="AM284" s="2"/>
      <c r="AN284" s="9"/>
      <c r="AO284" s="9"/>
      <c r="AP284" s="9"/>
      <c r="AQ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224"/>
      <c r="X285" s="224"/>
      <c r="Y285" s="868"/>
      <c r="Z285" s="865"/>
      <c r="AA285" s="2"/>
      <c r="AB285" s="2"/>
      <c r="AC285" s="2"/>
      <c r="AD285" s="2"/>
      <c r="AE285" s="2"/>
      <c r="AF285" s="2"/>
      <c r="AG285" s="2"/>
      <c r="AH285" s="2"/>
      <c r="AI285" s="2"/>
      <c r="AJ285" s="2"/>
      <c r="AK285" s="2"/>
      <c r="AL285" s="2"/>
      <c r="AM285" s="2"/>
      <c r="AN285" s="9"/>
      <c r="AO285" s="9"/>
      <c r="AP285" s="9"/>
      <c r="AQ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224"/>
      <c r="X286" s="224"/>
      <c r="Y286" s="868"/>
      <c r="Z286" s="865"/>
      <c r="AA286" s="2"/>
      <c r="AB286" s="2"/>
      <c r="AC286" s="2"/>
      <c r="AD286" s="2"/>
      <c r="AE286" s="2"/>
      <c r="AF286" s="2"/>
      <c r="AG286" s="2"/>
      <c r="AH286" s="2"/>
      <c r="AI286" s="2"/>
      <c r="AJ286" s="2"/>
      <c r="AK286" s="2"/>
      <c r="AL286" s="2"/>
      <c r="AM286" s="2"/>
      <c r="AN286" s="9"/>
      <c r="AO286" s="9"/>
      <c r="AP286" s="9"/>
      <c r="AQ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224"/>
      <c r="X287" s="224"/>
      <c r="Y287" s="868"/>
      <c r="Z287" s="865"/>
      <c r="AA287" s="2"/>
      <c r="AB287" s="2"/>
      <c r="AC287" s="2"/>
      <c r="AD287" s="2"/>
      <c r="AE287" s="2"/>
      <c r="AF287" s="2"/>
      <c r="AG287" s="2"/>
      <c r="AH287" s="2"/>
      <c r="AI287" s="2"/>
      <c r="AJ287" s="2"/>
      <c r="AK287" s="2"/>
      <c r="AL287" s="2"/>
      <c r="AM287" s="2"/>
      <c r="AN287" s="9"/>
      <c r="AO287" s="9"/>
      <c r="AP287" s="9"/>
      <c r="AQ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224"/>
      <c r="X288" s="224"/>
      <c r="Y288" s="868"/>
      <c r="Z288" s="865"/>
      <c r="AA288" s="2"/>
      <c r="AB288" s="2"/>
      <c r="AC288" s="2"/>
      <c r="AD288" s="2"/>
      <c r="AE288" s="2"/>
      <c r="AF288" s="2"/>
      <c r="AG288" s="2"/>
      <c r="AH288" s="2"/>
      <c r="AI288" s="2"/>
      <c r="AJ288" s="2"/>
      <c r="AK288" s="2"/>
      <c r="AL288" s="2"/>
      <c r="AM288" s="2"/>
      <c r="AN288" s="9"/>
      <c r="AO288" s="9"/>
      <c r="AP288" s="9"/>
      <c r="AQ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224"/>
      <c r="X289" s="224"/>
      <c r="Y289" s="868"/>
      <c r="Z289" s="865"/>
      <c r="AA289" s="2"/>
      <c r="AB289" s="2"/>
      <c r="AC289" s="2"/>
      <c r="AD289" s="2"/>
      <c r="AE289" s="2"/>
      <c r="AF289" s="2"/>
      <c r="AG289" s="2"/>
      <c r="AH289" s="2"/>
      <c r="AI289" s="2"/>
      <c r="AJ289" s="2"/>
      <c r="AK289" s="2"/>
      <c r="AL289" s="2"/>
      <c r="AM289" s="2"/>
      <c r="AN289" s="9"/>
      <c r="AO289" s="9"/>
      <c r="AP289" s="9"/>
      <c r="AQ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224"/>
      <c r="X290" s="224"/>
      <c r="Y290" s="868"/>
      <c r="Z290" s="865"/>
      <c r="AA290" s="2"/>
      <c r="AB290" s="2"/>
      <c r="AC290" s="2"/>
      <c r="AD290" s="2"/>
      <c r="AE290" s="2"/>
      <c r="AF290" s="2"/>
      <c r="AG290" s="2"/>
      <c r="AH290" s="2"/>
      <c r="AI290" s="2"/>
      <c r="AJ290" s="2"/>
      <c r="AK290" s="2"/>
      <c r="AL290" s="2"/>
      <c r="AM290" s="2"/>
      <c r="AN290" s="9"/>
      <c r="AO290" s="9"/>
      <c r="AP290" s="9"/>
      <c r="AQ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224"/>
      <c r="X291" s="224"/>
      <c r="Y291" s="868"/>
      <c r="Z291" s="865"/>
      <c r="AA291" s="2"/>
      <c r="AB291" s="2"/>
      <c r="AC291" s="2"/>
      <c r="AD291" s="2"/>
      <c r="AE291" s="2"/>
      <c r="AF291" s="2"/>
      <c r="AG291" s="2"/>
      <c r="AH291" s="2"/>
      <c r="AI291" s="2"/>
      <c r="AJ291" s="2"/>
      <c r="AK291" s="2"/>
      <c r="AL291" s="2"/>
      <c r="AM291" s="2"/>
      <c r="AN291" s="9"/>
      <c r="AO291" s="9"/>
      <c r="AP291" s="9"/>
      <c r="AQ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224"/>
      <c r="X292" s="224"/>
      <c r="Y292" s="868"/>
      <c r="Z292" s="865"/>
      <c r="AA292" s="2"/>
      <c r="AB292" s="2"/>
      <c r="AC292" s="2"/>
      <c r="AD292" s="2"/>
      <c r="AE292" s="2"/>
      <c r="AF292" s="2"/>
      <c r="AG292" s="2"/>
      <c r="AH292" s="2"/>
      <c r="AI292" s="2"/>
      <c r="AJ292" s="2"/>
      <c r="AK292" s="2"/>
      <c r="AL292" s="2"/>
      <c r="AM292" s="2"/>
      <c r="AN292" s="9"/>
      <c r="AO292" s="9"/>
      <c r="AP292" s="9"/>
      <c r="AQ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224"/>
      <c r="X293" s="224"/>
      <c r="Y293" s="868"/>
      <c r="Z293" s="865"/>
      <c r="AA293" s="2"/>
      <c r="AB293" s="2"/>
      <c r="AC293" s="2"/>
      <c r="AD293" s="2"/>
      <c r="AE293" s="2"/>
      <c r="AF293" s="2"/>
      <c r="AG293" s="2"/>
      <c r="AH293" s="2"/>
      <c r="AI293" s="2"/>
      <c r="AJ293" s="2"/>
      <c r="AK293" s="2"/>
      <c r="AL293" s="2"/>
      <c r="AM293" s="2"/>
      <c r="AN293" s="9"/>
      <c r="AO293" s="9"/>
      <c r="AP293" s="9"/>
      <c r="AQ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224"/>
      <c r="X294" s="224"/>
      <c r="Y294" s="868"/>
      <c r="Z294" s="865"/>
      <c r="AA294" s="2"/>
      <c r="AB294" s="2"/>
      <c r="AC294" s="2"/>
      <c r="AD294" s="2"/>
      <c r="AE294" s="2"/>
      <c r="AF294" s="2"/>
      <c r="AG294" s="2"/>
      <c r="AH294" s="2"/>
      <c r="AI294" s="2"/>
      <c r="AJ294" s="2"/>
      <c r="AK294" s="2"/>
      <c r="AL294" s="2"/>
      <c r="AM294" s="2"/>
      <c r="AN294" s="9"/>
      <c r="AO294" s="9"/>
      <c r="AP294" s="9"/>
      <c r="AQ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224"/>
      <c r="X295" s="224"/>
      <c r="Y295" s="868"/>
      <c r="Z295" s="865"/>
      <c r="AA295" s="2"/>
      <c r="AB295" s="2"/>
      <c r="AC295" s="2"/>
      <c r="AD295" s="2"/>
      <c r="AE295" s="2"/>
      <c r="AF295" s="2"/>
      <c r="AG295" s="2"/>
      <c r="AH295" s="2"/>
      <c r="AI295" s="2"/>
      <c r="AJ295" s="2"/>
      <c r="AK295" s="2"/>
      <c r="AL295" s="2"/>
      <c r="AM295" s="2"/>
      <c r="AN295" s="9"/>
      <c r="AO295" s="9"/>
      <c r="AP295" s="9"/>
      <c r="AQ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224"/>
      <c r="X296" s="224"/>
      <c r="Y296" s="868"/>
      <c r="Z296" s="865"/>
      <c r="AA296" s="2"/>
      <c r="AB296" s="2"/>
      <c r="AC296" s="2"/>
      <c r="AD296" s="2"/>
      <c r="AE296" s="2"/>
      <c r="AF296" s="2"/>
      <c r="AG296" s="2"/>
      <c r="AH296" s="2"/>
      <c r="AI296" s="2"/>
      <c r="AJ296" s="2"/>
      <c r="AK296" s="2"/>
      <c r="AL296" s="2"/>
      <c r="AM296" s="2"/>
      <c r="AN296" s="9"/>
      <c r="AO296" s="9"/>
      <c r="AP296" s="9"/>
      <c r="AQ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224"/>
      <c r="X297" s="224"/>
      <c r="Y297" s="868"/>
      <c r="Z297" s="865"/>
      <c r="AA297" s="2"/>
      <c r="AB297" s="2"/>
      <c r="AC297" s="2"/>
      <c r="AD297" s="2"/>
      <c r="AE297" s="2"/>
      <c r="AF297" s="2"/>
      <c r="AG297" s="2"/>
      <c r="AH297" s="2"/>
      <c r="AI297" s="2"/>
      <c r="AJ297" s="2"/>
      <c r="AK297" s="2"/>
      <c r="AL297" s="2"/>
      <c r="AM297" s="2"/>
      <c r="AN297" s="9"/>
      <c r="AO297" s="9"/>
      <c r="AP297" s="9"/>
      <c r="AQ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224"/>
      <c r="X298" s="224"/>
      <c r="Y298" s="868"/>
      <c r="Z298" s="865"/>
      <c r="AA298" s="2"/>
      <c r="AB298" s="2"/>
      <c r="AC298" s="2"/>
      <c r="AD298" s="2"/>
      <c r="AE298" s="2"/>
      <c r="AF298" s="2"/>
      <c r="AG298" s="2"/>
      <c r="AH298" s="2"/>
      <c r="AI298" s="2"/>
      <c r="AJ298" s="2"/>
      <c r="AK298" s="2"/>
      <c r="AL298" s="2"/>
      <c r="AM298" s="2"/>
      <c r="AN298" s="9"/>
      <c r="AO298" s="9"/>
      <c r="AP298" s="9"/>
      <c r="AQ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224"/>
      <c r="X299" s="224"/>
      <c r="Y299" s="868"/>
      <c r="Z299" s="865"/>
      <c r="AA299" s="2"/>
      <c r="AB299" s="2"/>
      <c r="AC299" s="2"/>
      <c r="AD299" s="2"/>
      <c r="AE299" s="2"/>
      <c r="AF299" s="2"/>
      <c r="AG299" s="2"/>
      <c r="AH299" s="2"/>
      <c r="AI299" s="2"/>
      <c r="AJ299" s="2"/>
      <c r="AK299" s="2"/>
      <c r="AL299" s="2"/>
      <c r="AM299" s="2"/>
      <c r="AN299" s="9"/>
      <c r="AO299" s="9"/>
      <c r="AP299" s="9"/>
      <c r="AQ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224"/>
      <c r="X300" s="224"/>
      <c r="Y300" s="868"/>
      <c r="Z300" s="865"/>
      <c r="AA300" s="2"/>
      <c r="AB300" s="2"/>
      <c r="AC300" s="2"/>
      <c r="AD300" s="2"/>
      <c r="AE300" s="2"/>
      <c r="AF300" s="2"/>
      <c r="AG300" s="2"/>
      <c r="AH300" s="2"/>
      <c r="AI300" s="2"/>
      <c r="AJ300" s="2"/>
      <c r="AK300" s="2"/>
      <c r="AL300" s="2"/>
      <c r="AM300" s="2"/>
      <c r="AN300" s="9"/>
      <c r="AO300" s="9"/>
      <c r="AP300" s="9"/>
      <c r="AQ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224"/>
      <c r="X301" s="224"/>
      <c r="Y301" s="868"/>
      <c r="Z301" s="865"/>
      <c r="AA301" s="2"/>
      <c r="AB301" s="2"/>
      <c r="AC301" s="2"/>
      <c r="AD301" s="2"/>
      <c r="AE301" s="2"/>
      <c r="AF301" s="2"/>
      <c r="AG301" s="2"/>
      <c r="AH301" s="2"/>
      <c r="AI301" s="2"/>
      <c r="AJ301" s="2"/>
      <c r="AK301" s="2"/>
      <c r="AL301" s="2"/>
      <c r="AM301" s="2"/>
      <c r="AN301" s="9"/>
      <c r="AO301" s="9"/>
      <c r="AP301" s="9"/>
      <c r="AQ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224"/>
      <c r="X302" s="224"/>
      <c r="Y302" s="868"/>
      <c r="Z302" s="865"/>
      <c r="AA302" s="2"/>
      <c r="AB302" s="2"/>
      <c r="AC302" s="2"/>
      <c r="AD302" s="2"/>
      <c r="AE302" s="2"/>
      <c r="AF302" s="2"/>
      <c r="AG302" s="2"/>
      <c r="AH302" s="2"/>
      <c r="AI302" s="2"/>
      <c r="AJ302" s="2"/>
      <c r="AK302" s="2"/>
      <c r="AL302" s="2"/>
      <c r="AM302" s="2"/>
      <c r="AN302" s="9"/>
      <c r="AO302" s="9"/>
      <c r="AP302" s="9"/>
      <c r="AQ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224"/>
      <c r="X303" s="224"/>
      <c r="Y303" s="868"/>
      <c r="Z303" s="865"/>
      <c r="AA303" s="2"/>
      <c r="AB303" s="2"/>
      <c r="AC303" s="2"/>
      <c r="AD303" s="2"/>
      <c r="AE303" s="2"/>
      <c r="AF303" s="2"/>
      <c r="AG303" s="2"/>
      <c r="AH303" s="2"/>
      <c r="AI303" s="2"/>
      <c r="AJ303" s="2"/>
      <c r="AK303" s="2"/>
      <c r="AL303" s="2"/>
      <c r="AM303" s="2"/>
      <c r="AN303" s="9"/>
      <c r="AO303" s="9"/>
      <c r="AP303" s="9"/>
      <c r="AQ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224"/>
      <c r="X304" s="224"/>
      <c r="Y304" s="868"/>
      <c r="Z304" s="865"/>
      <c r="AA304" s="2"/>
      <c r="AB304" s="2"/>
      <c r="AC304" s="2"/>
      <c r="AD304" s="2"/>
      <c r="AE304" s="2"/>
      <c r="AF304" s="2"/>
      <c r="AG304" s="2"/>
      <c r="AH304" s="2"/>
      <c r="AI304" s="2"/>
      <c r="AJ304" s="2"/>
      <c r="AK304" s="2"/>
      <c r="AL304" s="2"/>
      <c r="AM304" s="2"/>
      <c r="AN304" s="9"/>
      <c r="AO304" s="9"/>
      <c r="AP304" s="9"/>
      <c r="AQ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224"/>
      <c r="X305" s="224"/>
      <c r="Y305" s="868"/>
      <c r="Z305" s="865"/>
      <c r="AA305" s="2"/>
      <c r="AB305" s="2"/>
      <c r="AC305" s="2"/>
      <c r="AD305" s="2"/>
      <c r="AE305" s="2"/>
      <c r="AF305" s="2"/>
      <c r="AG305" s="2"/>
      <c r="AH305" s="2"/>
      <c r="AI305" s="2"/>
      <c r="AJ305" s="2"/>
      <c r="AK305" s="2"/>
      <c r="AL305" s="2"/>
      <c r="AM305" s="2"/>
      <c r="AN305" s="9"/>
      <c r="AO305" s="9"/>
      <c r="AP305" s="9"/>
      <c r="AQ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224"/>
      <c r="X306" s="224"/>
      <c r="Y306" s="868"/>
      <c r="Z306" s="865"/>
      <c r="AA306" s="2"/>
      <c r="AB306" s="2"/>
      <c r="AC306" s="2"/>
      <c r="AD306" s="2"/>
      <c r="AE306" s="2"/>
      <c r="AF306" s="2"/>
      <c r="AG306" s="2"/>
      <c r="AH306" s="2"/>
      <c r="AI306" s="2"/>
      <c r="AJ306" s="2"/>
      <c r="AK306" s="2"/>
      <c r="AL306" s="2"/>
      <c r="AM306" s="2"/>
      <c r="AN306" s="9"/>
      <c r="AO306" s="9"/>
      <c r="AP306" s="9"/>
      <c r="AQ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224"/>
      <c r="X307" s="224"/>
      <c r="Y307" s="868"/>
      <c r="Z307" s="865"/>
      <c r="AA307" s="2"/>
      <c r="AB307" s="2"/>
      <c r="AC307" s="2"/>
      <c r="AD307" s="2"/>
      <c r="AE307" s="2"/>
      <c r="AF307" s="2"/>
      <c r="AG307" s="2"/>
      <c r="AH307" s="2"/>
      <c r="AI307" s="2"/>
      <c r="AJ307" s="2"/>
      <c r="AK307" s="2"/>
      <c r="AL307" s="2"/>
      <c r="AM307" s="2"/>
      <c r="AN307" s="9"/>
      <c r="AO307" s="9"/>
      <c r="AP307" s="9"/>
      <c r="AQ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224"/>
      <c r="X308" s="224"/>
      <c r="Y308" s="868"/>
      <c r="Z308" s="865"/>
      <c r="AA308" s="2"/>
      <c r="AB308" s="2"/>
      <c r="AC308" s="2"/>
      <c r="AD308" s="2"/>
      <c r="AE308" s="2"/>
      <c r="AF308" s="2"/>
      <c r="AG308" s="2"/>
      <c r="AH308" s="2"/>
      <c r="AI308" s="2"/>
      <c r="AJ308" s="2"/>
      <c r="AK308" s="2"/>
      <c r="AL308" s="2"/>
      <c r="AM308" s="2"/>
      <c r="AN308" s="9"/>
      <c r="AO308" s="9"/>
      <c r="AP308" s="9"/>
      <c r="AQ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224"/>
      <c r="X309" s="224"/>
      <c r="Y309" s="868"/>
      <c r="Z309" s="865"/>
      <c r="AA309" s="2"/>
      <c r="AB309" s="2"/>
      <c r="AC309" s="2"/>
      <c r="AD309" s="2"/>
      <c r="AE309" s="2"/>
      <c r="AF309" s="2"/>
      <c r="AG309" s="2"/>
      <c r="AH309" s="2"/>
      <c r="AI309" s="2"/>
      <c r="AJ309" s="2"/>
      <c r="AK309" s="2"/>
      <c r="AL309" s="2"/>
      <c r="AM309" s="2"/>
      <c r="AN309" s="9"/>
      <c r="AO309" s="9"/>
      <c r="AP309" s="9"/>
      <c r="AQ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224"/>
      <c r="X310" s="224"/>
      <c r="Y310" s="868"/>
      <c r="Z310" s="865"/>
      <c r="AA310" s="2"/>
      <c r="AB310" s="2"/>
      <c r="AC310" s="2"/>
      <c r="AD310" s="2"/>
      <c r="AE310" s="2"/>
      <c r="AF310" s="2"/>
      <c r="AG310" s="2"/>
      <c r="AH310" s="2"/>
      <c r="AI310" s="2"/>
      <c r="AJ310" s="2"/>
      <c r="AK310" s="2"/>
      <c r="AL310" s="2"/>
      <c r="AM310" s="2"/>
      <c r="AN310" s="9"/>
      <c r="AO310" s="9"/>
      <c r="AP310" s="9"/>
      <c r="AQ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224"/>
      <c r="X311" s="224"/>
      <c r="Y311" s="868"/>
      <c r="Z311" s="865"/>
      <c r="AA311" s="2"/>
      <c r="AB311" s="2"/>
      <c r="AC311" s="2"/>
      <c r="AD311" s="2"/>
      <c r="AE311" s="2"/>
      <c r="AF311" s="2"/>
      <c r="AG311" s="2"/>
      <c r="AH311" s="2"/>
      <c r="AI311" s="2"/>
      <c r="AJ311" s="2"/>
      <c r="AK311" s="2"/>
      <c r="AL311" s="2"/>
      <c r="AM311" s="2"/>
      <c r="AN311" s="9"/>
      <c r="AO311" s="9"/>
      <c r="AP311" s="9"/>
      <c r="AQ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224"/>
      <c r="X312" s="224"/>
      <c r="Y312" s="868"/>
      <c r="Z312" s="865"/>
      <c r="AA312" s="2"/>
      <c r="AB312" s="2"/>
      <c r="AC312" s="2"/>
      <c r="AD312" s="2"/>
      <c r="AE312" s="2"/>
      <c r="AF312" s="2"/>
      <c r="AG312" s="2"/>
      <c r="AH312" s="2"/>
      <c r="AI312" s="2"/>
      <c r="AJ312" s="2"/>
      <c r="AK312" s="2"/>
      <c r="AL312" s="2"/>
      <c r="AM312" s="2"/>
      <c r="AN312" s="9"/>
      <c r="AO312" s="9"/>
      <c r="AP312" s="9"/>
      <c r="AQ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224"/>
      <c r="X313" s="224"/>
      <c r="Y313" s="868"/>
      <c r="Z313" s="865"/>
      <c r="AA313" s="2"/>
      <c r="AB313" s="2"/>
      <c r="AC313" s="2"/>
      <c r="AD313" s="2"/>
      <c r="AE313" s="2"/>
      <c r="AF313" s="2"/>
      <c r="AG313" s="2"/>
      <c r="AH313" s="2"/>
      <c r="AI313" s="2"/>
      <c r="AJ313" s="2"/>
      <c r="AK313" s="2"/>
      <c r="AL313" s="2"/>
      <c r="AM313" s="2"/>
      <c r="AN313" s="9"/>
      <c r="AO313" s="9"/>
      <c r="AP313" s="9"/>
      <c r="AQ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224"/>
      <c r="X314" s="224"/>
      <c r="Y314" s="868"/>
      <c r="Z314" s="865"/>
      <c r="AA314" s="2"/>
      <c r="AB314" s="2"/>
      <c r="AC314" s="2"/>
      <c r="AD314" s="2"/>
      <c r="AE314" s="2"/>
      <c r="AF314" s="2"/>
      <c r="AG314" s="2"/>
      <c r="AH314" s="2"/>
      <c r="AI314" s="2"/>
      <c r="AJ314" s="2"/>
      <c r="AK314" s="2"/>
      <c r="AL314" s="2"/>
      <c r="AM314" s="2"/>
      <c r="AN314" s="9"/>
      <c r="AO314" s="9"/>
      <c r="AP314" s="9"/>
      <c r="AQ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224"/>
      <c r="X315" s="224"/>
      <c r="Y315" s="868"/>
      <c r="Z315" s="865"/>
      <c r="AA315" s="2"/>
      <c r="AB315" s="2"/>
      <c r="AC315" s="2"/>
      <c r="AD315" s="2"/>
      <c r="AE315" s="2"/>
      <c r="AF315" s="2"/>
      <c r="AG315" s="2"/>
      <c r="AH315" s="2"/>
      <c r="AI315" s="2"/>
      <c r="AJ315" s="2"/>
      <c r="AK315" s="2"/>
      <c r="AL315" s="2"/>
      <c r="AM315" s="2"/>
      <c r="AN315" s="9"/>
      <c r="AO315" s="9"/>
      <c r="AP315" s="9"/>
      <c r="AQ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224"/>
      <c r="X316" s="224"/>
      <c r="Y316" s="868"/>
      <c r="Z316" s="865"/>
      <c r="AA316" s="2"/>
      <c r="AB316" s="2"/>
      <c r="AC316" s="2"/>
      <c r="AD316" s="2"/>
      <c r="AE316" s="2"/>
      <c r="AF316" s="2"/>
      <c r="AG316" s="2"/>
      <c r="AH316" s="2"/>
      <c r="AI316" s="2"/>
      <c r="AJ316" s="2"/>
      <c r="AK316" s="2"/>
      <c r="AL316" s="2"/>
      <c r="AM316" s="2"/>
      <c r="AN316" s="9"/>
      <c r="AO316" s="9"/>
      <c r="AP316" s="9"/>
      <c r="AQ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224"/>
      <c r="X317" s="224"/>
      <c r="Y317" s="868"/>
      <c r="Z317" s="865"/>
      <c r="AA317" s="2"/>
      <c r="AB317" s="2"/>
      <c r="AC317" s="2"/>
      <c r="AD317" s="2"/>
      <c r="AE317" s="2"/>
      <c r="AF317" s="2"/>
      <c r="AG317" s="2"/>
      <c r="AH317" s="2"/>
      <c r="AI317" s="2"/>
      <c r="AJ317" s="2"/>
      <c r="AK317" s="2"/>
      <c r="AL317" s="2"/>
      <c r="AM317" s="2"/>
      <c r="AN317" s="9"/>
      <c r="AO317" s="9"/>
      <c r="AP317" s="9"/>
      <c r="AQ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224"/>
      <c r="X318" s="224"/>
      <c r="Y318" s="868"/>
      <c r="Z318" s="865"/>
      <c r="AA318" s="2"/>
      <c r="AB318" s="2"/>
      <c r="AC318" s="2"/>
      <c r="AD318" s="2"/>
      <c r="AE318" s="2"/>
      <c r="AF318" s="2"/>
      <c r="AG318" s="2"/>
      <c r="AH318" s="2"/>
      <c r="AI318" s="2"/>
      <c r="AJ318" s="2"/>
      <c r="AK318" s="2"/>
      <c r="AL318" s="2"/>
      <c r="AM318" s="2"/>
      <c r="AN318" s="9"/>
      <c r="AO318" s="9"/>
      <c r="AP318" s="9"/>
      <c r="AQ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224"/>
      <c r="X319" s="224"/>
      <c r="Y319" s="868"/>
      <c r="Z319" s="865"/>
      <c r="AA319" s="2"/>
      <c r="AB319" s="2"/>
      <c r="AC319" s="2"/>
      <c r="AD319" s="2"/>
      <c r="AE319" s="2"/>
      <c r="AF319" s="2"/>
      <c r="AG319" s="2"/>
      <c r="AH319" s="2"/>
      <c r="AI319" s="2"/>
      <c r="AJ319" s="2"/>
      <c r="AK319" s="2"/>
      <c r="AL319" s="2"/>
      <c r="AM319" s="2"/>
      <c r="AN319" s="9"/>
      <c r="AO319" s="9"/>
      <c r="AP319" s="9"/>
      <c r="AQ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224"/>
      <c r="X320" s="224"/>
      <c r="Y320" s="868"/>
      <c r="Z320" s="865"/>
      <c r="AA320" s="2"/>
      <c r="AB320" s="2"/>
      <c r="AC320" s="2"/>
      <c r="AD320" s="2"/>
      <c r="AE320" s="2"/>
      <c r="AF320" s="2"/>
      <c r="AG320" s="2"/>
      <c r="AH320" s="2"/>
      <c r="AI320" s="2"/>
      <c r="AJ320" s="2"/>
      <c r="AK320" s="2"/>
      <c r="AL320" s="2"/>
      <c r="AM320" s="2"/>
      <c r="AN320" s="9"/>
      <c r="AO320" s="9"/>
      <c r="AP320" s="9"/>
      <c r="AQ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224"/>
      <c r="X321" s="224"/>
      <c r="Y321" s="868"/>
      <c r="Z321" s="865"/>
      <c r="AA321" s="2"/>
      <c r="AB321" s="2"/>
      <c r="AC321" s="2"/>
      <c r="AD321" s="2"/>
      <c r="AE321" s="2"/>
      <c r="AF321" s="2"/>
      <c r="AG321" s="2"/>
      <c r="AH321" s="2"/>
      <c r="AI321" s="2"/>
      <c r="AJ321" s="2"/>
      <c r="AK321" s="2"/>
      <c r="AL321" s="2"/>
      <c r="AM321" s="2"/>
      <c r="AN321" s="9"/>
      <c r="AO321" s="9"/>
      <c r="AP321" s="9"/>
      <c r="AQ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224"/>
      <c r="X322" s="224"/>
      <c r="Y322" s="868"/>
      <c r="Z322" s="865"/>
      <c r="AA322" s="2"/>
      <c r="AB322" s="2"/>
      <c r="AC322" s="2"/>
      <c r="AD322" s="2"/>
      <c r="AE322" s="2"/>
      <c r="AF322" s="2"/>
      <c r="AG322" s="2"/>
      <c r="AH322" s="2"/>
      <c r="AI322" s="2"/>
      <c r="AJ322" s="2"/>
      <c r="AK322" s="2"/>
      <c r="AL322" s="2"/>
      <c r="AM322" s="2"/>
      <c r="AN322" s="9"/>
      <c r="AO322" s="9"/>
      <c r="AP322" s="9"/>
      <c r="AQ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224"/>
      <c r="X323" s="224"/>
      <c r="Y323" s="868"/>
      <c r="Z323" s="865"/>
      <c r="AA323" s="2"/>
      <c r="AB323" s="2"/>
      <c r="AC323" s="2"/>
      <c r="AD323" s="2"/>
      <c r="AE323" s="2"/>
      <c r="AF323" s="2"/>
      <c r="AG323" s="2"/>
      <c r="AH323" s="2"/>
      <c r="AI323" s="2"/>
      <c r="AJ323" s="2"/>
      <c r="AK323" s="2"/>
      <c r="AL323" s="2"/>
      <c r="AM323" s="2"/>
      <c r="AN323" s="9"/>
      <c r="AO323" s="9"/>
      <c r="AP323" s="9"/>
      <c r="AQ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224"/>
      <c r="X324" s="224"/>
      <c r="Y324" s="868"/>
      <c r="Z324" s="865"/>
      <c r="AA324" s="2"/>
      <c r="AB324" s="2"/>
      <c r="AC324" s="2"/>
      <c r="AD324" s="2"/>
      <c r="AE324" s="2"/>
      <c r="AF324" s="2"/>
      <c r="AG324" s="2"/>
      <c r="AH324" s="2"/>
      <c r="AI324" s="2"/>
      <c r="AJ324" s="2"/>
      <c r="AK324" s="2"/>
      <c r="AL324" s="2"/>
      <c r="AM324" s="2"/>
      <c r="AN324" s="9"/>
      <c r="AO324" s="9"/>
      <c r="AP324" s="9"/>
      <c r="AQ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224"/>
      <c r="X325" s="224"/>
      <c r="Y325" s="868"/>
      <c r="Z325" s="865"/>
      <c r="AA325" s="2"/>
      <c r="AB325" s="2"/>
      <c r="AC325" s="2"/>
      <c r="AD325" s="2"/>
      <c r="AE325" s="2"/>
      <c r="AF325" s="2"/>
      <c r="AG325" s="2"/>
      <c r="AH325" s="2"/>
      <c r="AI325" s="2"/>
      <c r="AJ325" s="2"/>
      <c r="AK325" s="2"/>
      <c r="AL325" s="2"/>
      <c r="AM325" s="2"/>
      <c r="AN325" s="9"/>
      <c r="AO325" s="9"/>
      <c r="AP325" s="9"/>
      <c r="AQ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224"/>
      <c r="X326" s="224"/>
      <c r="Y326" s="868"/>
      <c r="Z326" s="865"/>
      <c r="AA326" s="2"/>
      <c r="AB326" s="2"/>
      <c r="AC326" s="2"/>
      <c r="AD326" s="2"/>
      <c r="AE326" s="2"/>
      <c r="AF326" s="2"/>
      <c r="AG326" s="2"/>
      <c r="AH326" s="2"/>
      <c r="AI326" s="2"/>
      <c r="AJ326" s="2"/>
      <c r="AK326" s="2"/>
      <c r="AL326" s="2"/>
      <c r="AM326" s="2"/>
      <c r="AN326" s="9"/>
      <c r="AO326" s="9"/>
      <c r="AP326" s="9"/>
      <c r="AQ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224"/>
      <c r="X327" s="224"/>
      <c r="Y327" s="868"/>
      <c r="Z327" s="865"/>
      <c r="AA327" s="2"/>
      <c r="AB327" s="2"/>
      <c r="AC327" s="2"/>
      <c r="AD327" s="2"/>
      <c r="AE327" s="2"/>
      <c r="AF327" s="2"/>
      <c r="AG327" s="2"/>
      <c r="AH327" s="2"/>
      <c r="AI327" s="2"/>
      <c r="AJ327" s="2"/>
      <c r="AK327" s="2"/>
      <c r="AL327" s="2"/>
      <c r="AM327" s="2"/>
      <c r="AN327" s="9"/>
      <c r="AO327" s="9"/>
      <c r="AP327" s="9"/>
      <c r="AQ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224"/>
      <c r="X328" s="224"/>
      <c r="Y328" s="868"/>
      <c r="Z328" s="865"/>
      <c r="AA328" s="2"/>
      <c r="AB328" s="2"/>
      <c r="AC328" s="2"/>
      <c r="AD328" s="2"/>
      <c r="AE328" s="2"/>
      <c r="AF328" s="2"/>
      <c r="AG328" s="2"/>
      <c r="AH328" s="2"/>
      <c r="AI328" s="2"/>
      <c r="AJ328" s="2"/>
      <c r="AK328" s="2"/>
      <c r="AL328" s="2"/>
      <c r="AM328" s="2"/>
      <c r="AN328" s="9"/>
      <c r="AO328" s="9"/>
      <c r="AP328" s="9"/>
      <c r="AQ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224"/>
      <c r="X329" s="224"/>
      <c r="Y329" s="868"/>
      <c r="Z329" s="865"/>
      <c r="AA329" s="2"/>
      <c r="AB329" s="2"/>
      <c r="AC329" s="2"/>
      <c r="AD329" s="2"/>
      <c r="AE329" s="2"/>
      <c r="AF329" s="2"/>
      <c r="AG329" s="2"/>
      <c r="AH329" s="2"/>
      <c r="AI329" s="2"/>
      <c r="AJ329" s="2"/>
      <c r="AK329" s="2"/>
      <c r="AL329" s="2"/>
      <c r="AM329" s="2"/>
      <c r="AN329" s="9"/>
      <c r="AO329" s="9"/>
      <c r="AP329" s="9"/>
      <c r="AQ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224"/>
      <c r="X330" s="224"/>
      <c r="Y330" s="868"/>
      <c r="Z330" s="865"/>
      <c r="AA330" s="2"/>
      <c r="AB330" s="2"/>
      <c r="AC330" s="2"/>
      <c r="AD330" s="2"/>
      <c r="AE330" s="2"/>
      <c r="AF330" s="2"/>
      <c r="AG330" s="2"/>
      <c r="AH330" s="2"/>
      <c r="AI330" s="2"/>
      <c r="AJ330" s="2"/>
      <c r="AK330" s="2"/>
      <c r="AL330" s="2"/>
      <c r="AM330" s="2"/>
      <c r="AN330" s="9"/>
      <c r="AO330" s="9"/>
      <c r="AP330" s="9"/>
      <c r="AQ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224"/>
      <c r="X331" s="224"/>
      <c r="Y331" s="868"/>
      <c r="Z331" s="865"/>
      <c r="AA331" s="2"/>
      <c r="AB331" s="2"/>
      <c r="AC331" s="2"/>
      <c r="AD331" s="2"/>
      <c r="AE331" s="2"/>
      <c r="AF331" s="2"/>
      <c r="AG331" s="2"/>
      <c r="AH331" s="2"/>
      <c r="AI331" s="2"/>
      <c r="AJ331" s="2"/>
      <c r="AK331" s="2"/>
      <c r="AL331" s="2"/>
      <c r="AM331" s="2"/>
      <c r="AN331" s="9"/>
      <c r="AO331" s="9"/>
      <c r="AP331" s="9"/>
      <c r="AQ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224"/>
      <c r="X332" s="224"/>
      <c r="Y332" s="868"/>
      <c r="Z332" s="865"/>
      <c r="AA332" s="2"/>
      <c r="AB332" s="2"/>
      <c r="AC332" s="2"/>
      <c r="AD332" s="2"/>
      <c r="AE332" s="2"/>
      <c r="AF332" s="2"/>
      <c r="AG332" s="2"/>
      <c r="AH332" s="2"/>
      <c r="AI332" s="2"/>
      <c r="AJ332" s="2"/>
      <c r="AK332" s="2"/>
      <c r="AL332" s="2"/>
      <c r="AM332" s="2"/>
      <c r="AN332" s="9"/>
      <c r="AO332" s="9"/>
      <c r="AP332" s="9"/>
      <c r="AQ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224"/>
      <c r="X333" s="224"/>
      <c r="Y333" s="868"/>
      <c r="Z333" s="865"/>
      <c r="AA333" s="2"/>
      <c r="AB333" s="2"/>
      <c r="AC333" s="2"/>
      <c r="AD333" s="2"/>
      <c r="AE333" s="2"/>
      <c r="AF333" s="2"/>
      <c r="AG333" s="2"/>
      <c r="AH333" s="2"/>
      <c r="AI333" s="2"/>
      <c r="AJ333" s="2"/>
      <c r="AK333" s="2"/>
      <c r="AL333" s="2"/>
      <c r="AM333" s="2"/>
      <c r="AN333" s="9"/>
      <c r="AO333" s="9"/>
      <c r="AP333" s="9"/>
      <c r="AQ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224"/>
      <c r="X334" s="224"/>
      <c r="Y334" s="868"/>
      <c r="Z334" s="865"/>
      <c r="AA334" s="2"/>
      <c r="AB334" s="2"/>
      <c r="AC334" s="2"/>
      <c r="AD334" s="2"/>
      <c r="AE334" s="2"/>
      <c r="AF334" s="2"/>
      <c r="AG334" s="2"/>
      <c r="AH334" s="2"/>
      <c r="AI334" s="2"/>
      <c r="AJ334" s="2"/>
      <c r="AK334" s="2"/>
      <c r="AL334" s="2"/>
      <c r="AM334" s="2"/>
      <c r="AN334" s="9"/>
      <c r="AO334" s="9"/>
      <c r="AP334" s="9"/>
      <c r="AQ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224"/>
      <c r="X335" s="224"/>
      <c r="Y335" s="868"/>
      <c r="Z335" s="865"/>
      <c r="AA335" s="2"/>
      <c r="AB335" s="2"/>
      <c r="AC335" s="2"/>
      <c r="AD335" s="2"/>
      <c r="AE335" s="2"/>
      <c r="AF335" s="2"/>
      <c r="AG335" s="2"/>
      <c r="AH335" s="2"/>
      <c r="AI335" s="2"/>
      <c r="AJ335" s="2"/>
      <c r="AK335" s="2"/>
      <c r="AL335" s="2"/>
      <c r="AM335" s="2"/>
      <c r="AN335" s="9"/>
      <c r="AO335" s="9"/>
      <c r="AP335" s="9"/>
      <c r="AQ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224"/>
      <c r="X336" s="224"/>
      <c r="Y336" s="868"/>
      <c r="Z336" s="865"/>
      <c r="AA336" s="2"/>
      <c r="AB336" s="2"/>
      <c r="AC336" s="2"/>
      <c r="AD336" s="2"/>
      <c r="AE336" s="2"/>
      <c r="AF336" s="2"/>
      <c r="AG336" s="2"/>
      <c r="AH336" s="2"/>
      <c r="AI336" s="2"/>
      <c r="AJ336" s="2"/>
      <c r="AK336" s="2"/>
      <c r="AL336" s="2"/>
      <c r="AM336" s="2"/>
      <c r="AN336" s="9"/>
      <c r="AO336" s="9"/>
      <c r="AP336" s="9"/>
      <c r="AQ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224"/>
      <c r="X337" s="224"/>
      <c r="Y337" s="868"/>
      <c r="Z337" s="865"/>
      <c r="AA337" s="2"/>
      <c r="AB337" s="2"/>
      <c r="AC337" s="2"/>
      <c r="AD337" s="2"/>
      <c r="AE337" s="2"/>
      <c r="AF337" s="2"/>
      <c r="AG337" s="2"/>
      <c r="AH337" s="2"/>
      <c r="AI337" s="2"/>
      <c r="AJ337" s="2"/>
      <c r="AK337" s="2"/>
      <c r="AL337" s="2"/>
      <c r="AM337" s="2"/>
      <c r="AN337" s="9"/>
      <c r="AO337" s="9"/>
      <c r="AP337" s="9"/>
      <c r="AQ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224"/>
      <c r="X338" s="224"/>
      <c r="Y338" s="868"/>
      <c r="Z338" s="865"/>
      <c r="AA338" s="2"/>
      <c r="AB338" s="2"/>
      <c r="AC338" s="2"/>
      <c r="AD338" s="2"/>
      <c r="AE338" s="2"/>
      <c r="AF338" s="2"/>
      <c r="AG338" s="2"/>
      <c r="AH338" s="2"/>
      <c r="AI338" s="2"/>
      <c r="AJ338" s="2"/>
      <c r="AK338" s="2"/>
      <c r="AL338" s="2"/>
      <c r="AM338" s="2"/>
      <c r="AN338" s="9"/>
      <c r="AO338" s="9"/>
      <c r="AP338" s="9"/>
      <c r="AQ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224"/>
      <c r="X339" s="224"/>
      <c r="Y339" s="868"/>
      <c r="Z339" s="865"/>
      <c r="AA339" s="2"/>
      <c r="AB339" s="2"/>
      <c r="AC339" s="2"/>
      <c r="AD339" s="2"/>
      <c r="AE339" s="2"/>
      <c r="AF339" s="2"/>
      <c r="AG339" s="2"/>
      <c r="AH339" s="2"/>
      <c r="AI339" s="2"/>
      <c r="AJ339" s="2"/>
      <c r="AK339" s="2"/>
      <c r="AL339" s="2"/>
      <c r="AM339" s="2"/>
      <c r="AN339" s="9"/>
      <c r="AO339" s="9"/>
      <c r="AP339" s="9"/>
      <c r="AQ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224"/>
      <c r="X340" s="224"/>
      <c r="Y340" s="868"/>
      <c r="Z340" s="865"/>
      <c r="AA340" s="2"/>
      <c r="AB340" s="2"/>
      <c r="AC340" s="2"/>
      <c r="AD340" s="2"/>
      <c r="AE340" s="2"/>
      <c r="AF340" s="2"/>
      <c r="AG340" s="2"/>
      <c r="AH340" s="2"/>
      <c r="AI340" s="2"/>
      <c r="AJ340" s="2"/>
      <c r="AK340" s="2"/>
      <c r="AL340" s="2"/>
      <c r="AM340" s="2"/>
      <c r="AN340" s="9"/>
      <c r="AO340" s="9"/>
      <c r="AP340" s="9"/>
      <c r="AQ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224"/>
      <c r="X341" s="224"/>
      <c r="Y341" s="868"/>
      <c r="Z341" s="865"/>
      <c r="AA341" s="2"/>
      <c r="AB341" s="2"/>
      <c r="AC341" s="2"/>
      <c r="AD341" s="2"/>
      <c r="AE341" s="2"/>
      <c r="AF341" s="2"/>
      <c r="AG341" s="2"/>
      <c r="AH341" s="2"/>
      <c r="AI341" s="2"/>
      <c r="AJ341" s="2"/>
      <c r="AK341" s="2"/>
      <c r="AL341" s="2"/>
      <c r="AM341" s="2"/>
      <c r="AN341" s="9"/>
      <c r="AO341" s="9"/>
      <c r="AP341" s="9"/>
      <c r="AQ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224"/>
      <c r="X342" s="224"/>
      <c r="Y342" s="868"/>
      <c r="Z342" s="865"/>
      <c r="AA342" s="2"/>
      <c r="AB342" s="2"/>
      <c r="AC342" s="2"/>
      <c r="AD342" s="2"/>
      <c r="AE342" s="2"/>
      <c r="AF342" s="2"/>
      <c r="AG342" s="2"/>
      <c r="AH342" s="2"/>
      <c r="AI342" s="2"/>
      <c r="AJ342" s="2"/>
      <c r="AK342" s="2"/>
      <c r="AL342" s="2"/>
      <c r="AM342" s="2"/>
      <c r="AN342" s="9"/>
      <c r="AO342" s="9"/>
      <c r="AP342" s="9"/>
      <c r="AQ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224"/>
      <c r="X343" s="224"/>
      <c r="Y343" s="868"/>
      <c r="Z343" s="865"/>
      <c r="AA343" s="2"/>
      <c r="AB343" s="2"/>
      <c r="AC343" s="2"/>
      <c r="AD343" s="2"/>
      <c r="AE343" s="2"/>
      <c r="AF343" s="2"/>
      <c r="AG343" s="2"/>
      <c r="AH343" s="2"/>
      <c r="AI343" s="2"/>
      <c r="AJ343" s="2"/>
      <c r="AK343" s="2"/>
      <c r="AL343" s="2"/>
      <c r="AM343" s="2"/>
      <c r="AN343" s="9"/>
      <c r="AO343" s="9"/>
      <c r="AP343" s="9"/>
      <c r="AQ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224"/>
      <c r="X344" s="224"/>
      <c r="Y344" s="868"/>
      <c r="Z344" s="865"/>
      <c r="AA344" s="2"/>
      <c r="AB344" s="2"/>
      <c r="AC344" s="2"/>
      <c r="AD344" s="2"/>
      <c r="AE344" s="2"/>
      <c r="AF344" s="2"/>
      <c r="AG344" s="2"/>
      <c r="AH344" s="2"/>
      <c r="AI344" s="2"/>
      <c r="AJ344" s="2"/>
      <c r="AK344" s="2"/>
      <c r="AL344" s="2"/>
      <c r="AM344" s="2"/>
      <c r="AN344" s="9"/>
      <c r="AO344" s="9"/>
      <c r="AP344" s="9"/>
      <c r="AQ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224"/>
      <c r="X345" s="224"/>
      <c r="Y345" s="868"/>
      <c r="Z345" s="865"/>
      <c r="AA345" s="2"/>
      <c r="AB345" s="2"/>
      <c r="AC345" s="2"/>
      <c r="AD345" s="2"/>
      <c r="AE345" s="2"/>
      <c r="AF345" s="2"/>
      <c r="AG345" s="2"/>
      <c r="AH345" s="2"/>
      <c r="AI345" s="2"/>
      <c r="AJ345" s="2"/>
      <c r="AK345" s="2"/>
      <c r="AL345" s="2"/>
      <c r="AM345" s="2"/>
      <c r="AN345" s="9"/>
      <c r="AO345" s="9"/>
      <c r="AP345" s="9"/>
      <c r="AQ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224"/>
      <c r="X346" s="224"/>
      <c r="Y346" s="868"/>
      <c r="Z346" s="865"/>
      <c r="AA346" s="2"/>
      <c r="AB346" s="2"/>
      <c r="AC346" s="2"/>
      <c r="AD346" s="2"/>
      <c r="AE346" s="2"/>
      <c r="AF346" s="2"/>
      <c r="AG346" s="2"/>
      <c r="AH346" s="2"/>
      <c r="AI346" s="2"/>
      <c r="AJ346" s="2"/>
      <c r="AK346" s="2"/>
      <c r="AL346" s="2"/>
      <c r="AM346" s="2"/>
      <c r="AN346" s="9"/>
      <c r="AO346" s="9"/>
      <c r="AP346" s="9"/>
      <c r="AQ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224"/>
      <c r="X347" s="224"/>
      <c r="Y347" s="868"/>
      <c r="Z347" s="865"/>
      <c r="AA347" s="2"/>
      <c r="AB347" s="2"/>
      <c r="AC347" s="2"/>
      <c r="AD347" s="2"/>
      <c r="AE347" s="2"/>
      <c r="AF347" s="2"/>
      <c r="AG347" s="2"/>
      <c r="AH347" s="2"/>
      <c r="AI347" s="2"/>
      <c r="AJ347" s="2"/>
      <c r="AK347" s="2"/>
      <c r="AL347" s="2"/>
      <c r="AM347" s="2"/>
      <c r="AN347" s="9"/>
      <c r="AO347" s="9"/>
      <c r="AP347" s="9"/>
      <c r="AQ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224"/>
      <c r="X348" s="224"/>
      <c r="Y348" s="868"/>
      <c r="Z348" s="865"/>
      <c r="AA348" s="2"/>
      <c r="AB348" s="2"/>
      <c r="AC348" s="2"/>
      <c r="AD348" s="2"/>
      <c r="AE348" s="2"/>
      <c r="AF348" s="2"/>
      <c r="AG348" s="2"/>
      <c r="AH348" s="2"/>
      <c r="AI348" s="2"/>
      <c r="AJ348" s="2"/>
      <c r="AK348" s="2"/>
      <c r="AL348" s="2"/>
      <c r="AM348" s="2"/>
      <c r="AN348" s="9"/>
      <c r="AO348" s="9"/>
      <c r="AP348" s="9"/>
      <c r="AQ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224"/>
      <c r="X349" s="224"/>
      <c r="Y349" s="868"/>
      <c r="Z349" s="865"/>
      <c r="AA349" s="2"/>
      <c r="AB349" s="2"/>
      <c r="AC349" s="2"/>
      <c r="AD349" s="2"/>
      <c r="AE349" s="2"/>
      <c r="AF349" s="2"/>
      <c r="AG349" s="2"/>
      <c r="AH349" s="2"/>
      <c r="AI349" s="2"/>
      <c r="AJ349" s="2"/>
      <c r="AK349" s="2"/>
      <c r="AL349" s="2"/>
      <c r="AM349" s="2"/>
      <c r="AN349" s="9"/>
      <c r="AO349" s="9"/>
      <c r="AP349" s="9"/>
      <c r="AQ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224"/>
      <c r="X350" s="224"/>
      <c r="Y350" s="868"/>
      <c r="Z350" s="865"/>
      <c r="AA350" s="2"/>
      <c r="AB350" s="2"/>
      <c r="AC350" s="2"/>
      <c r="AD350" s="2"/>
      <c r="AE350" s="2"/>
      <c r="AF350" s="2"/>
      <c r="AG350" s="2"/>
      <c r="AH350" s="2"/>
      <c r="AI350" s="2"/>
      <c r="AJ350" s="2"/>
      <c r="AK350" s="2"/>
      <c r="AL350" s="2"/>
      <c r="AM350" s="2"/>
      <c r="AN350" s="9"/>
      <c r="AO350" s="9"/>
      <c r="AP350" s="9"/>
      <c r="AQ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224"/>
      <c r="X351" s="224"/>
      <c r="Y351" s="868"/>
      <c r="Z351" s="865"/>
      <c r="AA351" s="2"/>
      <c r="AB351" s="2"/>
      <c r="AC351" s="2"/>
      <c r="AD351" s="2"/>
      <c r="AE351" s="2"/>
      <c r="AF351" s="2"/>
      <c r="AG351" s="2"/>
      <c r="AH351" s="2"/>
      <c r="AI351" s="2"/>
      <c r="AJ351" s="2"/>
      <c r="AK351" s="2"/>
      <c r="AL351" s="2"/>
      <c r="AM351" s="2"/>
      <c r="AN351" s="9"/>
      <c r="AO351" s="9"/>
      <c r="AP351" s="9"/>
      <c r="AQ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224"/>
      <c r="X352" s="224"/>
      <c r="Y352" s="868"/>
      <c r="Z352" s="865"/>
      <c r="AA352" s="2"/>
      <c r="AB352" s="2"/>
      <c r="AC352" s="2"/>
      <c r="AD352" s="2"/>
      <c r="AE352" s="2"/>
      <c r="AF352" s="2"/>
      <c r="AG352" s="2"/>
      <c r="AH352" s="2"/>
      <c r="AI352" s="2"/>
      <c r="AJ352" s="2"/>
      <c r="AK352" s="2"/>
      <c r="AL352" s="2"/>
      <c r="AM352" s="2"/>
      <c r="AN352" s="9"/>
      <c r="AO352" s="9"/>
      <c r="AP352" s="9"/>
      <c r="AQ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224"/>
      <c r="X353" s="224"/>
      <c r="Y353" s="868"/>
      <c r="Z353" s="865"/>
      <c r="AA353" s="2"/>
      <c r="AB353" s="2"/>
      <c r="AC353" s="2"/>
      <c r="AD353" s="2"/>
      <c r="AE353" s="2"/>
      <c r="AF353" s="2"/>
      <c r="AG353" s="2"/>
      <c r="AH353" s="2"/>
      <c r="AI353" s="2"/>
      <c r="AJ353" s="2"/>
      <c r="AK353" s="2"/>
      <c r="AL353" s="2"/>
      <c r="AM353" s="2"/>
      <c r="AN353" s="9"/>
      <c r="AO353" s="9"/>
      <c r="AP353" s="9"/>
      <c r="AQ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224"/>
      <c r="X354" s="224"/>
      <c r="Y354" s="868"/>
      <c r="Z354" s="865"/>
      <c r="AA354" s="2"/>
      <c r="AB354" s="2"/>
      <c r="AC354" s="2"/>
      <c r="AD354" s="2"/>
      <c r="AE354" s="2"/>
      <c r="AF354" s="2"/>
      <c r="AG354" s="2"/>
      <c r="AH354" s="2"/>
      <c r="AI354" s="2"/>
      <c r="AJ354" s="2"/>
      <c r="AK354" s="2"/>
      <c r="AL354" s="2"/>
      <c r="AM354" s="2"/>
      <c r="AN354" s="9"/>
      <c r="AO354" s="9"/>
      <c r="AP354" s="9"/>
      <c r="AQ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224"/>
      <c r="X355" s="224"/>
      <c r="Y355" s="868"/>
      <c r="Z355" s="865"/>
      <c r="AA355" s="2"/>
      <c r="AB355" s="2"/>
      <c r="AC355" s="2"/>
      <c r="AD355" s="2"/>
      <c r="AE355" s="2"/>
      <c r="AF355" s="2"/>
      <c r="AG355" s="2"/>
      <c r="AH355" s="2"/>
      <c r="AI355" s="2"/>
      <c r="AJ355" s="2"/>
      <c r="AK355" s="2"/>
      <c r="AL355" s="2"/>
      <c r="AM355" s="2"/>
      <c r="AN355" s="9"/>
      <c r="AO355" s="9"/>
      <c r="AP355" s="9"/>
      <c r="AQ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224"/>
      <c r="X356" s="224"/>
      <c r="Y356" s="868"/>
      <c r="Z356" s="865"/>
      <c r="AA356" s="2"/>
      <c r="AB356" s="2"/>
      <c r="AC356" s="2"/>
      <c r="AD356" s="2"/>
      <c r="AE356" s="2"/>
      <c r="AF356" s="2"/>
      <c r="AG356" s="2"/>
      <c r="AH356" s="2"/>
      <c r="AI356" s="2"/>
      <c r="AJ356" s="2"/>
      <c r="AK356" s="2"/>
      <c r="AL356" s="2"/>
      <c r="AM356" s="2"/>
      <c r="AN356" s="9"/>
      <c r="AO356" s="9"/>
      <c r="AP356" s="9"/>
      <c r="AQ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224"/>
      <c r="X357" s="224"/>
      <c r="Y357" s="868"/>
      <c r="Z357" s="865"/>
      <c r="AA357" s="2"/>
      <c r="AB357" s="2"/>
      <c r="AC357" s="2"/>
      <c r="AD357" s="2"/>
      <c r="AE357" s="2"/>
      <c r="AF357" s="2"/>
      <c r="AG357" s="2"/>
      <c r="AH357" s="2"/>
      <c r="AI357" s="2"/>
      <c r="AJ357" s="2"/>
      <c r="AK357" s="2"/>
      <c r="AL357" s="2"/>
      <c r="AM357" s="2"/>
      <c r="AN357" s="9"/>
      <c r="AO357" s="9"/>
      <c r="AP357" s="9"/>
      <c r="AQ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224"/>
      <c r="X358" s="224"/>
      <c r="Y358" s="868"/>
      <c r="Z358" s="865"/>
      <c r="AA358" s="2"/>
      <c r="AB358" s="2"/>
      <c r="AC358" s="2"/>
      <c r="AD358" s="2"/>
      <c r="AE358" s="2"/>
      <c r="AF358" s="2"/>
      <c r="AG358" s="2"/>
      <c r="AH358" s="2"/>
      <c r="AI358" s="2"/>
      <c r="AJ358" s="2"/>
      <c r="AK358" s="2"/>
      <c r="AL358" s="2"/>
      <c r="AM358" s="2"/>
      <c r="AN358" s="9"/>
      <c r="AO358" s="9"/>
      <c r="AP358" s="9"/>
      <c r="AQ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224"/>
      <c r="X359" s="224"/>
      <c r="Y359" s="868"/>
      <c r="Z359" s="865"/>
      <c r="AA359" s="2"/>
      <c r="AB359" s="2"/>
      <c r="AC359" s="2"/>
      <c r="AD359" s="2"/>
      <c r="AE359" s="2"/>
      <c r="AF359" s="2"/>
      <c r="AG359" s="2"/>
      <c r="AH359" s="2"/>
      <c r="AI359" s="2"/>
      <c r="AJ359" s="2"/>
      <c r="AK359" s="2"/>
      <c r="AL359" s="2"/>
      <c r="AM359" s="2"/>
      <c r="AN359" s="9"/>
      <c r="AO359" s="9"/>
      <c r="AP359" s="9"/>
      <c r="AQ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224"/>
      <c r="X360" s="224"/>
      <c r="Y360" s="868"/>
      <c r="Z360" s="865"/>
      <c r="AA360" s="2"/>
      <c r="AB360" s="2"/>
      <c r="AC360" s="2"/>
      <c r="AD360" s="2"/>
      <c r="AE360" s="2"/>
      <c r="AF360" s="2"/>
      <c r="AG360" s="2"/>
      <c r="AH360" s="2"/>
      <c r="AI360" s="2"/>
      <c r="AJ360" s="2"/>
      <c r="AK360" s="2"/>
      <c r="AL360" s="2"/>
      <c r="AM360" s="2"/>
      <c r="AN360" s="9"/>
      <c r="AO360" s="9"/>
      <c r="AP360" s="9"/>
      <c r="AQ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224"/>
      <c r="X361" s="224"/>
      <c r="Y361" s="868"/>
      <c r="Z361" s="865"/>
      <c r="AA361" s="2"/>
      <c r="AB361" s="2"/>
      <c r="AC361" s="2"/>
      <c r="AD361" s="2"/>
      <c r="AE361" s="2"/>
      <c r="AF361" s="2"/>
      <c r="AG361" s="2"/>
      <c r="AH361" s="2"/>
      <c r="AI361" s="2"/>
      <c r="AJ361" s="2"/>
      <c r="AK361" s="2"/>
      <c r="AL361" s="2"/>
      <c r="AM361" s="2"/>
      <c r="AN361" s="9"/>
      <c r="AO361" s="9"/>
      <c r="AP361" s="9"/>
      <c r="AQ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224"/>
      <c r="X362" s="224"/>
      <c r="Y362" s="868"/>
      <c r="Z362" s="865"/>
      <c r="AA362" s="2"/>
      <c r="AB362" s="2"/>
      <c r="AC362" s="2"/>
      <c r="AD362" s="2"/>
      <c r="AE362" s="2"/>
      <c r="AF362" s="2"/>
      <c r="AG362" s="2"/>
      <c r="AH362" s="2"/>
      <c r="AI362" s="2"/>
      <c r="AJ362" s="2"/>
      <c r="AK362" s="2"/>
      <c r="AL362" s="2"/>
      <c r="AM362" s="2"/>
      <c r="AN362" s="9"/>
      <c r="AO362" s="9"/>
      <c r="AP362" s="9"/>
      <c r="AQ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224"/>
      <c r="X363" s="224"/>
      <c r="Y363" s="868"/>
      <c r="Z363" s="865"/>
      <c r="AA363" s="2"/>
      <c r="AB363" s="2"/>
      <c r="AC363" s="2"/>
      <c r="AD363" s="2"/>
      <c r="AE363" s="2"/>
      <c r="AF363" s="2"/>
      <c r="AG363" s="2"/>
      <c r="AH363" s="2"/>
      <c r="AI363" s="2"/>
      <c r="AJ363" s="2"/>
      <c r="AK363" s="2"/>
      <c r="AL363" s="2"/>
      <c r="AM363" s="2"/>
      <c r="AN363" s="9"/>
      <c r="AO363" s="9"/>
      <c r="AP363" s="9"/>
      <c r="AQ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224"/>
      <c r="X364" s="224"/>
      <c r="Y364" s="868"/>
      <c r="Z364" s="865"/>
      <c r="AA364" s="2"/>
      <c r="AB364" s="2"/>
      <c r="AC364" s="2"/>
      <c r="AD364" s="2"/>
      <c r="AE364" s="2"/>
      <c r="AF364" s="2"/>
      <c r="AG364" s="2"/>
      <c r="AH364" s="2"/>
      <c r="AI364" s="2"/>
      <c r="AJ364" s="2"/>
      <c r="AK364" s="2"/>
      <c r="AL364" s="2"/>
      <c r="AM364" s="2"/>
      <c r="AN364" s="9"/>
      <c r="AO364" s="9"/>
      <c r="AP364" s="9"/>
      <c r="AQ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224"/>
      <c r="X365" s="224"/>
      <c r="Y365" s="868"/>
      <c r="Z365" s="865"/>
      <c r="AA365" s="2"/>
      <c r="AB365" s="2"/>
      <c r="AC365" s="2"/>
      <c r="AD365" s="2"/>
      <c r="AE365" s="2"/>
      <c r="AF365" s="2"/>
      <c r="AG365" s="2"/>
      <c r="AH365" s="2"/>
      <c r="AI365" s="2"/>
      <c r="AJ365" s="2"/>
      <c r="AK365" s="2"/>
      <c r="AL365" s="2"/>
      <c r="AM365" s="2"/>
      <c r="AN365" s="9"/>
      <c r="AO365" s="9"/>
      <c r="AP365" s="9"/>
      <c r="AQ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224"/>
      <c r="X366" s="224"/>
      <c r="Y366" s="868"/>
      <c r="Z366" s="865"/>
      <c r="AA366" s="2"/>
      <c r="AB366" s="2"/>
      <c r="AC366" s="2"/>
      <c r="AD366" s="2"/>
      <c r="AE366" s="2"/>
      <c r="AF366" s="2"/>
      <c r="AG366" s="2"/>
      <c r="AH366" s="2"/>
      <c r="AI366" s="2"/>
      <c r="AJ366" s="2"/>
      <c r="AK366" s="2"/>
      <c r="AL366" s="2"/>
      <c r="AM366" s="2"/>
      <c r="AN366" s="9"/>
      <c r="AO366" s="9"/>
      <c r="AP366" s="9"/>
      <c r="AQ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224"/>
      <c r="X367" s="224"/>
      <c r="Y367" s="868"/>
      <c r="Z367" s="865"/>
      <c r="AA367" s="2"/>
      <c r="AB367" s="2"/>
      <c r="AC367" s="2"/>
      <c r="AD367" s="2"/>
      <c r="AE367" s="2"/>
      <c r="AF367" s="2"/>
      <c r="AG367" s="2"/>
      <c r="AH367" s="2"/>
      <c r="AI367" s="2"/>
      <c r="AJ367" s="2"/>
      <c r="AK367" s="2"/>
      <c r="AL367" s="2"/>
      <c r="AM367" s="2"/>
      <c r="AN367" s="9"/>
      <c r="AO367" s="9"/>
      <c r="AP367" s="9"/>
      <c r="AQ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224"/>
      <c r="X368" s="224"/>
      <c r="Y368" s="868"/>
      <c r="Z368" s="865"/>
      <c r="AA368" s="2"/>
      <c r="AB368" s="2"/>
      <c r="AC368" s="2"/>
      <c r="AD368" s="2"/>
      <c r="AE368" s="2"/>
      <c r="AF368" s="2"/>
      <c r="AG368" s="2"/>
      <c r="AH368" s="2"/>
      <c r="AI368" s="2"/>
      <c r="AJ368" s="2"/>
      <c r="AK368" s="2"/>
      <c r="AL368" s="2"/>
      <c r="AM368" s="2"/>
      <c r="AN368" s="9"/>
      <c r="AO368" s="9"/>
      <c r="AP368" s="9"/>
      <c r="AQ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224"/>
      <c r="X369" s="224"/>
      <c r="Y369" s="868"/>
      <c r="Z369" s="865"/>
      <c r="AA369" s="2"/>
      <c r="AB369" s="2"/>
      <c r="AC369" s="2"/>
      <c r="AD369" s="2"/>
      <c r="AE369" s="2"/>
      <c r="AF369" s="2"/>
      <c r="AG369" s="2"/>
      <c r="AH369" s="2"/>
      <c r="AI369" s="2"/>
      <c r="AJ369" s="2"/>
      <c r="AK369" s="2"/>
      <c r="AL369" s="2"/>
      <c r="AM369" s="2"/>
      <c r="AN369" s="9"/>
      <c r="AO369" s="9"/>
      <c r="AP369" s="9"/>
      <c r="AQ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224"/>
      <c r="X370" s="224"/>
      <c r="Y370" s="868"/>
      <c r="Z370" s="865"/>
      <c r="AA370" s="2"/>
      <c r="AB370" s="2"/>
      <c r="AC370" s="2"/>
      <c r="AD370" s="2"/>
      <c r="AE370" s="2"/>
      <c r="AF370" s="2"/>
      <c r="AG370" s="2"/>
      <c r="AH370" s="2"/>
      <c r="AI370" s="2"/>
      <c r="AJ370" s="2"/>
      <c r="AK370" s="2"/>
      <c r="AL370" s="2"/>
      <c r="AM370" s="2"/>
      <c r="AN370" s="9"/>
      <c r="AO370" s="9"/>
      <c r="AP370" s="9"/>
      <c r="AQ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224"/>
      <c r="X371" s="224"/>
      <c r="Y371" s="868"/>
      <c r="Z371" s="865"/>
      <c r="AA371" s="2"/>
      <c r="AB371" s="2"/>
      <c r="AC371" s="2"/>
      <c r="AD371" s="2"/>
      <c r="AE371" s="2"/>
      <c r="AF371" s="2"/>
      <c r="AG371" s="2"/>
      <c r="AH371" s="2"/>
      <c r="AI371" s="2"/>
      <c r="AJ371" s="2"/>
      <c r="AK371" s="2"/>
      <c r="AL371" s="2"/>
      <c r="AM371" s="2"/>
      <c r="AN371" s="9"/>
      <c r="AO371" s="9"/>
      <c r="AP371" s="9"/>
      <c r="AQ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224"/>
      <c r="X372" s="224"/>
      <c r="Y372" s="868"/>
      <c r="Z372" s="865"/>
      <c r="AA372" s="2"/>
      <c r="AB372" s="2"/>
      <c r="AC372" s="2"/>
      <c r="AD372" s="2"/>
      <c r="AE372" s="2"/>
      <c r="AF372" s="2"/>
      <c r="AG372" s="2"/>
      <c r="AH372" s="2"/>
      <c r="AI372" s="2"/>
      <c r="AJ372" s="2"/>
      <c r="AK372" s="2"/>
      <c r="AL372" s="2"/>
      <c r="AM372" s="2"/>
      <c r="AN372" s="9"/>
      <c r="AO372" s="9"/>
      <c r="AP372" s="9"/>
      <c r="AQ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224"/>
      <c r="X373" s="224"/>
      <c r="Y373" s="868"/>
      <c r="Z373" s="865"/>
      <c r="AA373" s="2"/>
      <c r="AB373" s="2"/>
      <c r="AC373" s="2"/>
      <c r="AD373" s="2"/>
      <c r="AE373" s="2"/>
      <c r="AF373" s="2"/>
      <c r="AG373" s="2"/>
      <c r="AH373" s="2"/>
      <c r="AI373" s="2"/>
      <c r="AJ373" s="2"/>
      <c r="AK373" s="2"/>
      <c r="AL373" s="2"/>
      <c r="AM373" s="2"/>
      <c r="AN373" s="9"/>
      <c r="AO373" s="9"/>
      <c r="AP373" s="9"/>
      <c r="AQ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224"/>
      <c r="X374" s="224"/>
      <c r="Y374" s="868"/>
      <c r="Z374" s="865"/>
      <c r="AA374" s="2"/>
      <c r="AB374" s="2"/>
      <c r="AC374" s="2"/>
      <c r="AD374" s="2"/>
      <c r="AE374" s="2"/>
      <c r="AF374" s="2"/>
      <c r="AG374" s="2"/>
      <c r="AH374" s="2"/>
      <c r="AI374" s="2"/>
      <c r="AJ374" s="2"/>
      <c r="AK374" s="2"/>
      <c r="AL374" s="2"/>
      <c r="AM374" s="2"/>
      <c r="AN374" s="9"/>
      <c r="AO374" s="9"/>
      <c r="AP374" s="9"/>
      <c r="AQ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224"/>
      <c r="X375" s="224"/>
      <c r="Y375" s="868"/>
      <c r="Z375" s="865"/>
      <c r="AA375" s="2"/>
      <c r="AB375" s="2"/>
      <c r="AC375" s="2"/>
      <c r="AD375" s="2"/>
      <c r="AE375" s="2"/>
      <c r="AF375" s="2"/>
      <c r="AG375" s="2"/>
      <c r="AH375" s="2"/>
      <c r="AI375" s="2"/>
      <c r="AJ375" s="2"/>
      <c r="AK375" s="2"/>
      <c r="AL375" s="2"/>
      <c r="AM375" s="2"/>
      <c r="AN375" s="9"/>
      <c r="AO375" s="9"/>
      <c r="AP375" s="9"/>
      <c r="AQ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224"/>
      <c r="X376" s="224"/>
      <c r="Y376" s="868"/>
      <c r="Z376" s="865"/>
      <c r="AA376" s="2"/>
      <c r="AB376" s="2"/>
      <c r="AC376" s="2"/>
      <c r="AD376" s="2"/>
      <c r="AE376" s="2"/>
      <c r="AF376" s="2"/>
      <c r="AG376" s="2"/>
      <c r="AH376" s="2"/>
      <c r="AI376" s="2"/>
      <c r="AJ376" s="2"/>
      <c r="AK376" s="2"/>
      <c r="AL376" s="2"/>
      <c r="AM376" s="2"/>
      <c r="AN376" s="9"/>
      <c r="AO376" s="9"/>
      <c r="AP376" s="9"/>
      <c r="AQ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224"/>
      <c r="X377" s="224"/>
      <c r="Y377" s="868"/>
      <c r="Z377" s="865"/>
      <c r="AA377" s="2"/>
      <c r="AB377" s="2"/>
      <c r="AC377" s="2"/>
      <c r="AD377" s="2"/>
      <c r="AE377" s="2"/>
      <c r="AF377" s="2"/>
      <c r="AG377" s="2"/>
      <c r="AH377" s="2"/>
      <c r="AI377" s="2"/>
      <c r="AJ377" s="2"/>
      <c r="AK377" s="2"/>
      <c r="AL377" s="2"/>
      <c r="AM377" s="2"/>
      <c r="AN377" s="9"/>
      <c r="AO377" s="9"/>
      <c r="AP377" s="9"/>
      <c r="AQ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224"/>
      <c r="X378" s="224"/>
      <c r="Y378" s="868"/>
      <c r="Z378" s="865"/>
      <c r="AA378" s="2"/>
      <c r="AB378" s="2"/>
      <c r="AC378" s="2"/>
      <c r="AD378" s="2"/>
      <c r="AE378" s="2"/>
      <c r="AF378" s="2"/>
      <c r="AG378" s="2"/>
      <c r="AH378" s="2"/>
      <c r="AI378" s="2"/>
      <c r="AJ378" s="2"/>
      <c r="AK378" s="2"/>
      <c r="AL378" s="2"/>
      <c r="AM378" s="2"/>
      <c r="AN378" s="9"/>
      <c r="AO378" s="9"/>
      <c r="AP378" s="9"/>
      <c r="AQ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224"/>
      <c r="X379" s="224"/>
      <c r="Y379" s="868"/>
      <c r="Z379" s="865"/>
      <c r="AA379" s="2"/>
      <c r="AB379" s="2"/>
      <c r="AC379" s="2"/>
      <c r="AD379" s="2"/>
      <c r="AE379" s="2"/>
      <c r="AF379" s="2"/>
      <c r="AG379" s="2"/>
      <c r="AH379" s="2"/>
      <c r="AI379" s="2"/>
      <c r="AJ379" s="2"/>
      <c r="AK379" s="2"/>
      <c r="AL379" s="2"/>
      <c r="AM379" s="2"/>
      <c r="AN379" s="9"/>
      <c r="AO379" s="9"/>
      <c r="AP379" s="9"/>
      <c r="AQ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224"/>
      <c r="X380" s="224"/>
      <c r="Y380" s="868"/>
      <c r="Z380" s="865"/>
      <c r="AA380" s="2"/>
      <c r="AB380" s="2"/>
      <c r="AC380" s="2"/>
      <c r="AD380" s="2"/>
      <c r="AE380" s="2"/>
      <c r="AF380" s="2"/>
      <c r="AG380" s="2"/>
      <c r="AH380" s="2"/>
      <c r="AI380" s="2"/>
      <c r="AJ380" s="2"/>
      <c r="AK380" s="2"/>
      <c r="AL380" s="2"/>
      <c r="AM380" s="2"/>
      <c r="AN380" s="9"/>
      <c r="AO380" s="9"/>
      <c r="AP380" s="9"/>
      <c r="AQ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224"/>
      <c r="X381" s="224"/>
      <c r="Y381" s="868"/>
      <c r="Z381" s="865"/>
      <c r="AA381" s="2"/>
      <c r="AB381" s="2"/>
      <c r="AC381" s="2"/>
      <c r="AD381" s="2"/>
      <c r="AE381" s="2"/>
      <c r="AF381" s="2"/>
      <c r="AG381" s="2"/>
      <c r="AH381" s="2"/>
      <c r="AI381" s="2"/>
      <c r="AJ381" s="2"/>
      <c r="AK381" s="2"/>
      <c r="AL381" s="2"/>
      <c r="AM381" s="2"/>
      <c r="AN381" s="9"/>
      <c r="AO381" s="9"/>
      <c r="AP381" s="9"/>
      <c r="AQ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224"/>
      <c r="X382" s="224"/>
      <c r="Y382" s="868"/>
      <c r="Z382" s="865"/>
      <c r="AA382" s="2"/>
      <c r="AB382" s="2"/>
      <c r="AC382" s="2"/>
      <c r="AD382" s="2"/>
      <c r="AE382" s="2"/>
      <c r="AF382" s="2"/>
      <c r="AG382" s="2"/>
      <c r="AH382" s="2"/>
      <c r="AI382" s="2"/>
      <c r="AJ382" s="2"/>
      <c r="AK382" s="2"/>
      <c r="AL382" s="2"/>
      <c r="AM382" s="2"/>
      <c r="AN382" s="9"/>
      <c r="AO382" s="9"/>
      <c r="AP382" s="9"/>
      <c r="AQ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224"/>
      <c r="X383" s="224"/>
      <c r="Y383" s="868"/>
      <c r="Z383" s="865"/>
      <c r="AA383" s="2"/>
      <c r="AB383" s="2"/>
      <c r="AC383" s="2"/>
      <c r="AD383" s="2"/>
      <c r="AE383" s="2"/>
      <c r="AF383" s="2"/>
      <c r="AG383" s="2"/>
      <c r="AH383" s="2"/>
      <c r="AI383" s="2"/>
      <c r="AJ383" s="2"/>
      <c r="AK383" s="2"/>
      <c r="AL383" s="2"/>
      <c r="AM383" s="2"/>
      <c r="AN383" s="9"/>
      <c r="AO383" s="9"/>
      <c r="AP383" s="9"/>
      <c r="AQ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224"/>
      <c r="X384" s="224"/>
      <c r="Y384" s="868"/>
      <c r="Z384" s="865"/>
      <c r="AA384" s="2"/>
      <c r="AB384" s="2"/>
      <c r="AC384" s="2"/>
      <c r="AD384" s="2"/>
      <c r="AE384" s="2"/>
      <c r="AF384" s="2"/>
      <c r="AG384" s="2"/>
      <c r="AH384" s="2"/>
      <c r="AI384" s="2"/>
      <c r="AJ384" s="2"/>
      <c r="AK384" s="2"/>
      <c r="AL384" s="2"/>
      <c r="AM384" s="2"/>
      <c r="AN384" s="9"/>
      <c r="AO384" s="9"/>
      <c r="AP384" s="9"/>
      <c r="AQ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224"/>
      <c r="X385" s="224"/>
      <c r="Y385" s="868"/>
      <c r="Z385" s="865"/>
      <c r="AA385" s="2"/>
      <c r="AB385" s="2"/>
      <c r="AC385" s="2"/>
      <c r="AD385" s="2"/>
      <c r="AE385" s="2"/>
      <c r="AF385" s="2"/>
      <c r="AG385" s="2"/>
      <c r="AH385" s="2"/>
      <c r="AI385" s="2"/>
      <c r="AJ385" s="2"/>
      <c r="AK385" s="2"/>
      <c r="AL385" s="2"/>
      <c r="AM385" s="2"/>
      <c r="AN385" s="9"/>
      <c r="AO385" s="9"/>
      <c r="AP385" s="9"/>
      <c r="AQ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224"/>
      <c r="X386" s="224"/>
      <c r="Y386" s="868"/>
      <c r="Z386" s="865"/>
      <c r="AA386" s="2"/>
      <c r="AB386" s="2"/>
      <c r="AC386" s="2"/>
      <c r="AD386" s="2"/>
      <c r="AE386" s="2"/>
      <c r="AF386" s="2"/>
      <c r="AG386" s="2"/>
      <c r="AH386" s="2"/>
      <c r="AI386" s="2"/>
      <c r="AJ386" s="2"/>
      <c r="AK386" s="2"/>
      <c r="AL386" s="2"/>
      <c r="AM386" s="2"/>
      <c r="AN386" s="9"/>
      <c r="AO386" s="9"/>
      <c r="AP386" s="9"/>
      <c r="AQ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224"/>
      <c r="X387" s="224"/>
      <c r="Y387" s="868"/>
      <c r="Z387" s="865"/>
      <c r="AA387" s="2"/>
      <c r="AB387" s="2"/>
      <c r="AC387" s="2"/>
      <c r="AD387" s="2"/>
      <c r="AE387" s="2"/>
      <c r="AF387" s="2"/>
      <c r="AG387" s="2"/>
      <c r="AH387" s="2"/>
      <c r="AI387" s="2"/>
      <c r="AJ387" s="2"/>
      <c r="AK387" s="2"/>
      <c r="AL387" s="2"/>
      <c r="AM387" s="2"/>
      <c r="AN387" s="9"/>
      <c r="AO387" s="9"/>
      <c r="AP387" s="9"/>
      <c r="AQ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224"/>
      <c r="X388" s="224"/>
      <c r="Y388" s="868"/>
      <c r="Z388" s="865"/>
      <c r="AA388" s="2"/>
      <c r="AB388" s="2"/>
      <c r="AC388" s="2"/>
      <c r="AD388" s="2"/>
      <c r="AE388" s="2"/>
      <c r="AF388" s="2"/>
      <c r="AG388" s="2"/>
      <c r="AH388" s="2"/>
      <c r="AI388" s="2"/>
      <c r="AJ388" s="2"/>
      <c r="AK388" s="2"/>
      <c r="AL388" s="2"/>
      <c r="AM388" s="2"/>
      <c r="AN388" s="9"/>
      <c r="AO388" s="9"/>
      <c r="AP388" s="9"/>
      <c r="AQ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224"/>
      <c r="X389" s="224"/>
      <c r="Y389" s="868"/>
      <c r="Z389" s="865"/>
      <c r="AA389" s="2"/>
      <c r="AB389" s="2"/>
      <c r="AC389" s="2"/>
      <c r="AD389" s="2"/>
      <c r="AE389" s="2"/>
      <c r="AF389" s="2"/>
      <c r="AG389" s="2"/>
      <c r="AH389" s="2"/>
      <c r="AI389" s="2"/>
      <c r="AJ389" s="2"/>
      <c r="AK389" s="2"/>
      <c r="AL389" s="2"/>
      <c r="AM389" s="2"/>
      <c r="AN389" s="9"/>
      <c r="AO389" s="9"/>
      <c r="AP389" s="9"/>
      <c r="AQ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224"/>
      <c r="X390" s="224"/>
      <c r="Y390" s="868"/>
      <c r="Z390" s="865"/>
      <c r="AA390" s="2"/>
      <c r="AB390" s="2"/>
      <c r="AC390" s="2"/>
      <c r="AD390" s="2"/>
      <c r="AE390" s="2"/>
      <c r="AF390" s="2"/>
      <c r="AG390" s="2"/>
      <c r="AH390" s="2"/>
      <c r="AI390" s="2"/>
      <c r="AJ390" s="2"/>
      <c r="AK390" s="2"/>
      <c r="AL390" s="2"/>
      <c r="AM390" s="2"/>
      <c r="AN390" s="9"/>
      <c r="AO390" s="9"/>
      <c r="AP390" s="9"/>
      <c r="AQ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224"/>
      <c r="X391" s="224"/>
      <c r="Y391" s="868"/>
      <c r="Z391" s="865"/>
      <c r="AA391" s="2"/>
      <c r="AB391" s="2"/>
      <c r="AC391" s="2"/>
      <c r="AD391" s="2"/>
      <c r="AE391" s="2"/>
      <c r="AF391" s="2"/>
      <c r="AG391" s="2"/>
      <c r="AH391" s="2"/>
      <c r="AI391" s="2"/>
      <c r="AJ391" s="2"/>
      <c r="AK391" s="2"/>
      <c r="AL391" s="2"/>
      <c r="AM391" s="2"/>
      <c r="AN391" s="9"/>
      <c r="AO391" s="9"/>
      <c r="AP391" s="9"/>
      <c r="AQ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224"/>
      <c r="X392" s="224"/>
      <c r="Y392" s="868"/>
      <c r="Z392" s="865"/>
      <c r="AA392" s="2"/>
      <c r="AB392" s="2"/>
      <c r="AC392" s="2"/>
      <c r="AD392" s="2"/>
      <c r="AE392" s="2"/>
      <c r="AF392" s="2"/>
      <c r="AG392" s="2"/>
      <c r="AH392" s="2"/>
      <c r="AI392" s="2"/>
      <c r="AJ392" s="2"/>
      <c r="AK392" s="2"/>
      <c r="AL392" s="2"/>
      <c r="AM392" s="2"/>
      <c r="AN392" s="9"/>
      <c r="AO392" s="9"/>
      <c r="AP392" s="9"/>
      <c r="AQ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224"/>
      <c r="X393" s="224"/>
      <c r="Y393" s="868"/>
      <c r="Z393" s="865"/>
      <c r="AA393" s="2"/>
      <c r="AB393" s="2"/>
      <c r="AC393" s="2"/>
      <c r="AD393" s="2"/>
      <c r="AE393" s="2"/>
      <c r="AF393" s="2"/>
      <c r="AG393" s="2"/>
      <c r="AH393" s="2"/>
      <c r="AI393" s="2"/>
      <c r="AJ393" s="2"/>
      <c r="AK393" s="2"/>
      <c r="AL393" s="2"/>
      <c r="AM393" s="2"/>
      <c r="AN393" s="9"/>
      <c r="AO393" s="9"/>
      <c r="AP393" s="9"/>
      <c r="AQ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224"/>
      <c r="X394" s="224"/>
      <c r="Y394" s="868"/>
      <c r="Z394" s="865"/>
      <c r="AA394" s="2"/>
      <c r="AB394" s="2"/>
      <c r="AC394" s="2"/>
      <c r="AD394" s="2"/>
      <c r="AE394" s="2"/>
      <c r="AF394" s="2"/>
      <c r="AG394" s="2"/>
      <c r="AH394" s="2"/>
      <c r="AI394" s="2"/>
      <c r="AJ394" s="2"/>
      <c r="AK394" s="2"/>
      <c r="AL394" s="2"/>
      <c r="AM394" s="2"/>
      <c r="AN394" s="9"/>
      <c r="AO394" s="9"/>
      <c r="AP394" s="9"/>
      <c r="AQ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224"/>
      <c r="X395" s="224"/>
      <c r="Y395" s="868"/>
      <c r="Z395" s="865"/>
      <c r="AA395" s="2"/>
      <c r="AB395" s="2"/>
      <c r="AC395" s="2"/>
      <c r="AD395" s="2"/>
      <c r="AE395" s="2"/>
      <c r="AF395" s="2"/>
      <c r="AG395" s="2"/>
      <c r="AH395" s="2"/>
      <c r="AI395" s="2"/>
      <c r="AJ395" s="2"/>
      <c r="AK395" s="2"/>
      <c r="AL395" s="2"/>
      <c r="AM395" s="2"/>
      <c r="AN395" s="9"/>
      <c r="AO395" s="9"/>
      <c r="AP395" s="9"/>
      <c r="AQ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224"/>
      <c r="X396" s="224"/>
      <c r="Y396" s="868"/>
      <c r="Z396" s="865"/>
      <c r="AA396" s="2"/>
      <c r="AB396" s="2"/>
      <c r="AC396" s="2"/>
      <c r="AD396" s="2"/>
      <c r="AE396" s="2"/>
      <c r="AF396" s="2"/>
      <c r="AG396" s="2"/>
      <c r="AH396" s="2"/>
      <c r="AI396" s="2"/>
      <c r="AJ396" s="2"/>
      <c r="AK396" s="2"/>
      <c r="AL396" s="2"/>
      <c r="AM396" s="2"/>
      <c r="AN396" s="9"/>
      <c r="AO396" s="9"/>
      <c r="AP396" s="9"/>
      <c r="AQ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224"/>
      <c r="X397" s="224"/>
      <c r="Y397" s="868"/>
      <c r="Z397" s="865"/>
      <c r="AA397" s="2"/>
      <c r="AB397" s="2"/>
      <c r="AC397" s="2"/>
      <c r="AD397" s="2"/>
      <c r="AE397" s="2"/>
      <c r="AF397" s="2"/>
      <c r="AG397" s="2"/>
      <c r="AH397" s="2"/>
      <c r="AI397" s="2"/>
      <c r="AJ397" s="2"/>
      <c r="AK397" s="2"/>
      <c r="AL397" s="2"/>
      <c r="AM397" s="2"/>
      <c r="AN397" s="9"/>
      <c r="AO397" s="9"/>
      <c r="AP397" s="9"/>
      <c r="AQ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224"/>
      <c r="X398" s="224"/>
      <c r="Y398" s="868"/>
      <c r="Z398" s="865"/>
      <c r="AA398" s="2"/>
      <c r="AB398" s="2"/>
      <c r="AC398" s="2"/>
      <c r="AD398" s="2"/>
      <c r="AE398" s="2"/>
      <c r="AF398" s="2"/>
      <c r="AG398" s="2"/>
      <c r="AH398" s="2"/>
      <c r="AI398" s="2"/>
      <c r="AJ398" s="2"/>
      <c r="AK398" s="2"/>
      <c r="AL398" s="2"/>
      <c r="AM398" s="2"/>
      <c r="AN398" s="9"/>
      <c r="AO398" s="9"/>
      <c r="AP398" s="9"/>
      <c r="AQ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224"/>
      <c r="X399" s="224"/>
      <c r="Y399" s="868"/>
      <c r="Z399" s="865"/>
      <c r="AA399" s="2"/>
      <c r="AB399" s="2"/>
      <c r="AC399" s="2"/>
      <c r="AD399" s="2"/>
      <c r="AE399" s="2"/>
      <c r="AF399" s="2"/>
      <c r="AG399" s="2"/>
      <c r="AH399" s="2"/>
      <c r="AI399" s="2"/>
      <c r="AJ399" s="2"/>
      <c r="AK399" s="2"/>
      <c r="AL399" s="2"/>
      <c r="AM399" s="2"/>
      <c r="AN399" s="9"/>
      <c r="AO399" s="9"/>
      <c r="AP399" s="9"/>
      <c r="AQ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224"/>
      <c r="X400" s="224"/>
      <c r="Y400" s="868"/>
      <c r="Z400" s="865"/>
      <c r="AA400" s="2"/>
      <c r="AB400" s="2"/>
      <c r="AC400" s="2"/>
      <c r="AD400" s="2"/>
      <c r="AE400" s="2"/>
      <c r="AF400" s="2"/>
      <c r="AG400" s="2"/>
      <c r="AH400" s="2"/>
      <c r="AI400" s="2"/>
      <c r="AJ400" s="2"/>
      <c r="AK400" s="2"/>
      <c r="AL400" s="2"/>
      <c r="AM400" s="2"/>
      <c r="AN400" s="9"/>
      <c r="AO400" s="9"/>
      <c r="AP400" s="9"/>
      <c r="AQ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224"/>
      <c r="X401" s="224"/>
      <c r="Y401" s="868"/>
      <c r="Z401" s="865"/>
      <c r="AA401" s="2"/>
      <c r="AB401" s="2"/>
      <c r="AC401" s="2"/>
      <c r="AD401" s="2"/>
      <c r="AE401" s="2"/>
      <c r="AF401" s="2"/>
      <c r="AG401" s="2"/>
      <c r="AH401" s="2"/>
      <c r="AI401" s="2"/>
      <c r="AJ401" s="2"/>
      <c r="AK401" s="2"/>
      <c r="AL401" s="2"/>
      <c r="AM401" s="2"/>
      <c r="AN401" s="9"/>
      <c r="AO401" s="9"/>
      <c r="AP401" s="9"/>
      <c r="AQ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224"/>
      <c r="X402" s="224"/>
      <c r="Y402" s="868"/>
      <c r="Z402" s="865"/>
      <c r="AA402" s="2"/>
      <c r="AB402" s="2"/>
      <c r="AC402" s="2"/>
      <c r="AD402" s="2"/>
      <c r="AE402" s="2"/>
      <c r="AF402" s="2"/>
      <c r="AG402" s="2"/>
      <c r="AH402" s="2"/>
      <c r="AI402" s="2"/>
      <c r="AJ402" s="2"/>
      <c r="AK402" s="2"/>
      <c r="AL402" s="2"/>
      <c r="AM402" s="2"/>
      <c r="AN402" s="9"/>
      <c r="AO402" s="9"/>
      <c r="AP402" s="9"/>
      <c r="AQ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224"/>
      <c r="X403" s="224"/>
      <c r="Y403" s="868"/>
      <c r="Z403" s="865"/>
      <c r="AA403" s="2"/>
      <c r="AB403" s="2"/>
      <c r="AC403" s="2"/>
      <c r="AD403" s="2"/>
      <c r="AE403" s="2"/>
      <c r="AF403" s="2"/>
      <c r="AG403" s="2"/>
      <c r="AH403" s="2"/>
      <c r="AI403" s="2"/>
      <c r="AJ403" s="2"/>
      <c r="AK403" s="2"/>
      <c r="AL403" s="2"/>
      <c r="AM403" s="2"/>
      <c r="AN403" s="9"/>
      <c r="AO403" s="9"/>
      <c r="AP403" s="9"/>
      <c r="AQ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224"/>
      <c r="X404" s="224"/>
      <c r="Y404" s="868"/>
      <c r="Z404" s="865"/>
      <c r="AA404" s="2"/>
      <c r="AB404" s="2"/>
      <c r="AC404" s="2"/>
      <c r="AD404" s="2"/>
      <c r="AE404" s="2"/>
      <c r="AF404" s="2"/>
      <c r="AG404" s="2"/>
      <c r="AH404" s="2"/>
      <c r="AI404" s="2"/>
      <c r="AJ404" s="2"/>
      <c r="AK404" s="2"/>
      <c r="AL404" s="2"/>
      <c r="AM404" s="2"/>
      <c r="AN404" s="9"/>
      <c r="AO404" s="9"/>
      <c r="AP404" s="9"/>
      <c r="AQ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224"/>
      <c r="X405" s="224"/>
      <c r="Y405" s="868"/>
      <c r="Z405" s="865"/>
      <c r="AA405" s="2"/>
      <c r="AB405" s="2"/>
      <c r="AC405" s="2"/>
      <c r="AD405" s="2"/>
      <c r="AE405" s="2"/>
      <c r="AF405" s="2"/>
      <c r="AG405" s="2"/>
      <c r="AH405" s="2"/>
      <c r="AI405" s="2"/>
      <c r="AJ405" s="2"/>
      <c r="AK405" s="2"/>
      <c r="AL405" s="2"/>
      <c r="AM405" s="2"/>
      <c r="AN405" s="9"/>
      <c r="AO405" s="9"/>
      <c r="AP405" s="9"/>
      <c r="AQ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224"/>
      <c r="X406" s="224"/>
      <c r="Y406" s="868"/>
      <c r="Z406" s="865"/>
      <c r="AA406" s="2"/>
      <c r="AB406" s="2"/>
      <c r="AC406" s="2"/>
      <c r="AD406" s="2"/>
      <c r="AE406" s="2"/>
      <c r="AF406" s="2"/>
      <c r="AG406" s="2"/>
      <c r="AH406" s="2"/>
      <c r="AI406" s="2"/>
      <c r="AJ406" s="2"/>
      <c r="AK406" s="2"/>
      <c r="AL406" s="2"/>
      <c r="AM406" s="2"/>
      <c r="AN406" s="9"/>
      <c r="AO406" s="9"/>
      <c r="AP406" s="9"/>
      <c r="AQ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224"/>
      <c r="X407" s="224"/>
      <c r="Y407" s="868"/>
      <c r="Z407" s="865"/>
      <c r="AA407" s="2"/>
      <c r="AB407" s="2"/>
      <c r="AC407" s="2"/>
      <c r="AD407" s="2"/>
      <c r="AE407" s="2"/>
      <c r="AF407" s="2"/>
      <c r="AG407" s="2"/>
      <c r="AH407" s="2"/>
      <c r="AI407" s="2"/>
      <c r="AJ407" s="2"/>
      <c r="AK407" s="2"/>
      <c r="AL407" s="2"/>
      <c r="AM407" s="2"/>
      <c r="AN407" s="9"/>
      <c r="AO407" s="9"/>
      <c r="AP407" s="9"/>
      <c r="AQ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224"/>
      <c r="X408" s="224"/>
      <c r="Y408" s="868"/>
      <c r="Z408" s="865"/>
      <c r="AA408" s="2"/>
      <c r="AB408" s="2"/>
      <c r="AC408" s="2"/>
      <c r="AD408" s="2"/>
      <c r="AE408" s="2"/>
      <c r="AF408" s="2"/>
      <c r="AG408" s="2"/>
      <c r="AH408" s="2"/>
      <c r="AI408" s="2"/>
      <c r="AJ408" s="2"/>
      <c r="AK408" s="2"/>
      <c r="AL408" s="2"/>
      <c r="AM408" s="2"/>
      <c r="AN408" s="9"/>
      <c r="AO408" s="9"/>
      <c r="AP408" s="9"/>
      <c r="AQ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224"/>
      <c r="X409" s="224"/>
      <c r="Y409" s="868"/>
      <c r="Z409" s="865"/>
      <c r="AA409" s="2"/>
      <c r="AB409" s="2"/>
      <c r="AC409" s="2"/>
      <c r="AD409" s="2"/>
      <c r="AE409" s="2"/>
      <c r="AF409" s="2"/>
      <c r="AG409" s="2"/>
      <c r="AH409" s="2"/>
      <c r="AI409" s="2"/>
      <c r="AJ409" s="2"/>
      <c r="AK409" s="2"/>
      <c r="AL409" s="2"/>
      <c r="AM409" s="2"/>
      <c r="AN409" s="9"/>
      <c r="AO409" s="9"/>
      <c r="AP409" s="9"/>
      <c r="AQ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224"/>
      <c r="X410" s="224"/>
      <c r="Y410" s="868"/>
      <c r="Z410" s="865"/>
      <c r="AA410" s="2"/>
      <c r="AB410" s="2"/>
      <c r="AC410" s="2"/>
      <c r="AD410" s="2"/>
      <c r="AE410" s="2"/>
      <c r="AF410" s="2"/>
      <c r="AG410" s="2"/>
      <c r="AH410" s="2"/>
      <c r="AI410" s="2"/>
      <c r="AJ410" s="2"/>
      <c r="AK410" s="2"/>
      <c r="AL410" s="2"/>
      <c r="AM410" s="2"/>
      <c r="AN410" s="9"/>
      <c r="AO410" s="9"/>
      <c r="AP410" s="9"/>
      <c r="AQ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224"/>
      <c r="X411" s="224"/>
      <c r="Y411" s="868"/>
      <c r="Z411" s="865"/>
      <c r="AA411" s="2"/>
      <c r="AB411" s="2"/>
      <c r="AC411" s="2"/>
      <c r="AD411" s="2"/>
      <c r="AE411" s="2"/>
      <c r="AF411" s="2"/>
      <c r="AG411" s="2"/>
      <c r="AH411" s="2"/>
      <c r="AI411" s="2"/>
      <c r="AJ411" s="2"/>
      <c r="AK411" s="2"/>
      <c r="AL411" s="2"/>
      <c r="AM411" s="2"/>
      <c r="AN411" s="9"/>
      <c r="AO411" s="9"/>
      <c r="AP411" s="9"/>
      <c r="AQ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224"/>
      <c r="X412" s="224"/>
      <c r="Y412" s="868"/>
      <c r="Z412" s="865"/>
      <c r="AA412" s="2"/>
      <c r="AB412" s="2"/>
      <c r="AC412" s="2"/>
      <c r="AD412" s="2"/>
      <c r="AE412" s="2"/>
      <c r="AF412" s="2"/>
      <c r="AG412" s="2"/>
      <c r="AH412" s="2"/>
      <c r="AI412" s="2"/>
      <c r="AJ412" s="2"/>
      <c r="AK412" s="2"/>
      <c r="AL412" s="2"/>
      <c r="AM412" s="2"/>
      <c r="AN412" s="9"/>
      <c r="AO412" s="9"/>
      <c r="AP412" s="9"/>
      <c r="AQ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224"/>
      <c r="X413" s="224"/>
      <c r="Y413" s="868"/>
      <c r="Z413" s="865"/>
      <c r="AA413" s="2"/>
      <c r="AB413" s="2"/>
      <c r="AC413" s="2"/>
      <c r="AD413" s="2"/>
      <c r="AE413" s="2"/>
      <c r="AF413" s="2"/>
      <c r="AG413" s="2"/>
      <c r="AH413" s="2"/>
      <c r="AI413" s="2"/>
      <c r="AJ413" s="2"/>
      <c r="AK413" s="2"/>
      <c r="AL413" s="2"/>
      <c r="AM413" s="2"/>
      <c r="AN413" s="9"/>
      <c r="AO413" s="9"/>
      <c r="AP413" s="9"/>
      <c r="AQ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224"/>
      <c r="X414" s="224"/>
      <c r="Y414" s="868"/>
      <c r="Z414" s="865"/>
      <c r="AA414" s="2"/>
      <c r="AB414" s="2"/>
      <c r="AC414" s="2"/>
      <c r="AD414" s="2"/>
      <c r="AE414" s="2"/>
      <c r="AF414" s="2"/>
      <c r="AG414" s="2"/>
      <c r="AH414" s="2"/>
      <c r="AI414" s="2"/>
      <c r="AJ414" s="2"/>
      <c r="AK414" s="2"/>
      <c r="AL414" s="2"/>
      <c r="AM414" s="2"/>
      <c r="AN414" s="9"/>
      <c r="AO414" s="9"/>
      <c r="AP414" s="9"/>
      <c r="AQ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224"/>
      <c r="X415" s="224"/>
      <c r="Y415" s="868"/>
      <c r="Z415" s="865"/>
      <c r="AA415" s="2"/>
      <c r="AB415" s="2"/>
      <c r="AC415" s="2"/>
      <c r="AD415" s="2"/>
      <c r="AE415" s="2"/>
      <c r="AF415" s="2"/>
      <c r="AG415" s="2"/>
      <c r="AH415" s="2"/>
      <c r="AI415" s="2"/>
      <c r="AJ415" s="2"/>
      <c r="AK415" s="2"/>
      <c r="AL415" s="2"/>
      <c r="AM415" s="2"/>
      <c r="AN415" s="9"/>
      <c r="AO415" s="9"/>
      <c r="AP415" s="9"/>
      <c r="AQ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224"/>
      <c r="X416" s="224"/>
      <c r="Y416" s="868"/>
      <c r="Z416" s="865"/>
      <c r="AA416" s="2"/>
      <c r="AB416" s="2"/>
      <c r="AC416" s="2"/>
      <c r="AD416" s="2"/>
      <c r="AE416" s="2"/>
      <c r="AF416" s="2"/>
      <c r="AG416" s="2"/>
      <c r="AH416" s="2"/>
      <c r="AI416" s="2"/>
      <c r="AJ416" s="2"/>
      <c r="AK416" s="2"/>
      <c r="AL416" s="2"/>
      <c r="AM416" s="2"/>
      <c r="AN416" s="9"/>
      <c r="AO416" s="9"/>
      <c r="AP416" s="9"/>
      <c r="AQ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224"/>
      <c r="X417" s="224"/>
      <c r="Y417" s="868"/>
      <c r="Z417" s="865"/>
      <c r="AA417" s="2"/>
      <c r="AB417" s="2"/>
      <c r="AC417" s="2"/>
      <c r="AD417" s="2"/>
      <c r="AE417" s="2"/>
      <c r="AF417" s="2"/>
      <c r="AG417" s="2"/>
      <c r="AH417" s="2"/>
      <c r="AI417" s="2"/>
      <c r="AJ417" s="2"/>
      <c r="AK417" s="2"/>
      <c r="AL417" s="2"/>
      <c r="AM417" s="2"/>
      <c r="AN417" s="9"/>
      <c r="AO417" s="9"/>
      <c r="AP417" s="9"/>
      <c r="AQ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224"/>
      <c r="X418" s="224"/>
      <c r="Y418" s="868"/>
      <c r="Z418" s="865"/>
      <c r="AA418" s="2"/>
      <c r="AB418" s="2"/>
      <c r="AC418" s="2"/>
      <c r="AD418" s="2"/>
      <c r="AE418" s="2"/>
      <c r="AF418" s="2"/>
      <c r="AG418" s="2"/>
      <c r="AH418" s="2"/>
      <c r="AI418" s="2"/>
      <c r="AJ418" s="2"/>
      <c r="AK418" s="2"/>
      <c r="AL418" s="2"/>
      <c r="AM418" s="2"/>
      <c r="AN418" s="9"/>
      <c r="AO418" s="9"/>
      <c r="AP418" s="9"/>
      <c r="AQ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224"/>
      <c r="X419" s="224"/>
      <c r="Y419" s="868"/>
      <c r="Z419" s="865"/>
      <c r="AA419" s="2"/>
      <c r="AB419" s="2"/>
      <c r="AC419" s="2"/>
      <c r="AD419" s="2"/>
      <c r="AE419" s="2"/>
      <c r="AF419" s="2"/>
      <c r="AG419" s="2"/>
      <c r="AH419" s="2"/>
      <c r="AI419" s="2"/>
      <c r="AJ419" s="2"/>
      <c r="AK419" s="2"/>
      <c r="AL419" s="2"/>
      <c r="AM419" s="2"/>
      <c r="AN419" s="9"/>
      <c r="AO419" s="9"/>
      <c r="AP419" s="9"/>
      <c r="AQ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224"/>
      <c r="X420" s="224"/>
      <c r="Y420" s="868"/>
      <c r="Z420" s="865"/>
      <c r="AA420" s="2"/>
      <c r="AB420" s="2"/>
      <c r="AC420" s="2"/>
      <c r="AD420" s="2"/>
      <c r="AE420" s="2"/>
      <c r="AF420" s="2"/>
      <c r="AG420" s="2"/>
      <c r="AH420" s="2"/>
      <c r="AI420" s="2"/>
      <c r="AJ420" s="2"/>
      <c r="AK420" s="2"/>
      <c r="AL420" s="2"/>
      <c r="AM420" s="2"/>
      <c r="AN420" s="9"/>
      <c r="AO420" s="9"/>
      <c r="AP420" s="9"/>
      <c r="AQ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224"/>
      <c r="X421" s="224"/>
      <c r="Y421" s="868"/>
      <c r="Z421" s="865"/>
      <c r="AA421" s="2"/>
      <c r="AB421" s="2"/>
      <c r="AC421" s="2"/>
      <c r="AD421" s="2"/>
      <c r="AE421" s="2"/>
      <c r="AF421" s="2"/>
      <c r="AG421" s="2"/>
      <c r="AH421" s="2"/>
      <c r="AI421" s="2"/>
      <c r="AJ421" s="2"/>
      <c r="AK421" s="2"/>
      <c r="AL421" s="2"/>
      <c r="AM421" s="2"/>
      <c r="AN421" s="9"/>
      <c r="AO421" s="9"/>
      <c r="AP421" s="9"/>
      <c r="AQ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224"/>
      <c r="X422" s="224"/>
      <c r="Y422" s="868"/>
      <c r="Z422" s="865"/>
      <c r="AA422" s="2"/>
      <c r="AB422" s="2"/>
      <c r="AC422" s="2"/>
      <c r="AD422" s="2"/>
      <c r="AE422" s="2"/>
      <c r="AF422" s="2"/>
      <c r="AG422" s="2"/>
      <c r="AH422" s="2"/>
      <c r="AI422" s="2"/>
      <c r="AJ422" s="2"/>
      <c r="AK422" s="2"/>
      <c r="AL422" s="2"/>
      <c r="AM422" s="2"/>
      <c r="AN422" s="9"/>
      <c r="AO422" s="9"/>
      <c r="AP422" s="9"/>
      <c r="AQ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224"/>
      <c r="X423" s="224"/>
      <c r="Y423" s="868"/>
      <c r="Z423" s="865"/>
      <c r="AA423" s="2"/>
      <c r="AB423" s="2"/>
      <c r="AC423" s="2"/>
      <c r="AD423" s="2"/>
      <c r="AE423" s="2"/>
      <c r="AF423" s="2"/>
      <c r="AG423" s="2"/>
      <c r="AH423" s="2"/>
      <c r="AI423" s="2"/>
      <c r="AJ423" s="2"/>
      <c r="AK423" s="2"/>
      <c r="AL423" s="2"/>
      <c r="AM423" s="2"/>
      <c r="AN423" s="9"/>
      <c r="AO423" s="9"/>
      <c r="AP423" s="9"/>
      <c r="AQ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224"/>
      <c r="X424" s="224"/>
      <c r="Y424" s="868"/>
      <c r="Z424" s="865"/>
      <c r="AA424" s="2"/>
      <c r="AB424" s="2"/>
      <c r="AC424" s="2"/>
      <c r="AD424" s="2"/>
      <c r="AE424" s="2"/>
      <c r="AF424" s="2"/>
      <c r="AG424" s="2"/>
      <c r="AH424" s="2"/>
      <c r="AI424" s="2"/>
      <c r="AJ424" s="2"/>
      <c r="AK424" s="2"/>
      <c r="AL424" s="2"/>
      <c r="AM424" s="2"/>
      <c r="AN424" s="9"/>
      <c r="AO424" s="9"/>
      <c r="AP424" s="9"/>
      <c r="AQ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224"/>
      <c r="X425" s="224"/>
      <c r="Y425" s="868"/>
      <c r="Z425" s="865"/>
      <c r="AA425" s="2"/>
      <c r="AB425" s="2"/>
      <c r="AC425" s="2"/>
      <c r="AD425" s="2"/>
      <c r="AE425" s="2"/>
      <c r="AF425" s="2"/>
      <c r="AG425" s="2"/>
      <c r="AH425" s="2"/>
      <c r="AI425" s="2"/>
      <c r="AJ425" s="2"/>
      <c r="AK425" s="2"/>
      <c r="AL425" s="2"/>
      <c r="AM425" s="2"/>
      <c r="AN425" s="9"/>
      <c r="AO425" s="9"/>
      <c r="AP425" s="9"/>
      <c r="AQ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224"/>
      <c r="X426" s="224"/>
      <c r="Y426" s="868"/>
      <c r="Z426" s="865"/>
      <c r="AA426" s="2"/>
      <c r="AB426" s="2"/>
      <c r="AC426" s="2"/>
      <c r="AD426" s="2"/>
      <c r="AE426" s="2"/>
      <c r="AF426" s="2"/>
      <c r="AG426" s="2"/>
      <c r="AH426" s="2"/>
      <c r="AI426" s="2"/>
      <c r="AJ426" s="2"/>
      <c r="AK426" s="2"/>
      <c r="AL426" s="2"/>
      <c r="AM426" s="2"/>
      <c r="AN426" s="9"/>
      <c r="AO426" s="9"/>
      <c r="AP426" s="9"/>
      <c r="AQ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224"/>
      <c r="X427" s="224"/>
      <c r="Y427" s="868"/>
      <c r="Z427" s="865"/>
      <c r="AA427" s="2"/>
      <c r="AB427" s="2"/>
      <c r="AC427" s="2"/>
      <c r="AD427" s="2"/>
      <c r="AE427" s="2"/>
      <c r="AF427" s="2"/>
      <c r="AG427" s="2"/>
      <c r="AH427" s="2"/>
      <c r="AI427" s="2"/>
      <c r="AJ427" s="2"/>
      <c r="AK427" s="2"/>
      <c r="AL427" s="2"/>
      <c r="AM427" s="2"/>
      <c r="AN427" s="9"/>
      <c r="AO427" s="9"/>
      <c r="AP427" s="9"/>
      <c r="AQ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224"/>
      <c r="X428" s="224"/>
      <c r="Y428" s="868"/>
      <c r="Z428" s="865"/>
      <c r="AA428" s="2"/>
      <c r="AB428" s="2"/>
      <c r="AC428" s="2"/>
      <c r="AD428" s="2"/>
      <c r="AE428" s="2"/>
      <c r="AF428" s="2"/>
      <c r="AG428" s="2"/>
      <c r="AH428" s="2"/>
      <c r="AI428" s="2"/>
      <c r="AJ428" s="2"/>
      <c r="AK428" s="2"/>
      <c r="AL428" s="2"/>
      <c r="AM428" s="2"/>
      <c r="AN428" s="9"/>
      <c r="AO428" s="9"/>
      <c r="AP428" s="9"/>
      <c r="AQ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224"/>
      <c r="X429" s="224"/>
      <c r="Y429" s="868"/>
      <c r="Z429" s="865"/>
      <c r="AA429" s="2"/>
      <c r="AB429" s="2"/>
      <c r="AC429" s="2"/>
      <c r="AD429" s="2"/>
      <c r="AE429" s="2"/>
      <c r="AF429" s="2"/>
      <c r="AG429" s="2"/>
      <c r="AH429" s="2"/>
      <c r="AI429" s="2"/>
      <c r="AJ429" s="2"/>
      <c r="AK429" s="2"/>
      <c r="AL429" s="2"/>
      <c r="AM429" s="2"/>
      <c r="AN429" s="9"/>
      <c r="AO429" s="9"/>
      <c r="AP429" s="9"/>
      <c r="AQ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224"/>
      <c r="X430" s="224"/>
      <c r="Y430" s="868"/>
      <c r="Z430" s="865"/>
      <c r="AA430" s="2"/>
      <c r="AB430" s="2"/>
      <c r="AC430" s="2"/>
      <c r="AD430" s="2"/>
      <c r="AE430" s="2"/>
      <c r="AF430" s="2"/>
      <c r="AG430" s="2"/>
      <c r="AH430" s="2"/>
      <c r="AI430" s="2"/>
      <c r="AJ430" s="2"/>
      <c r="AK430" s="2"/>
      <c r="AL430" s="2"/>
      <c r="AM430" s="2"/>
      <c r="AN430" s="9"/>
      <c r="AO430" s="9"/>
      <c r="AP430" s="9"/>
      <c r="AQ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224"/>
      <c r="X431" s="224"/>
      <c r="Y431" s="868"/>
      <c r="Z431" s="865"/>
      <c r="AA431" s="2"/>
      <c r="AB431" s="2"/>
      <c r="AC431" s="2"/>
      <c r="AD431" s="2"/>
      <c r="AE431" s="2"/>
      <c r="AF431" s="2"/>
      <c r="AG431" s="2"/>
      <c r="AH431" s="2"/>
      <c r="AI431" s="2"/>
      <c r="AJ431" s="2"/>
      <c r="AK431" s="2"/>
      <c r="AL431" s="2"/>
      <c r="AM431" s="2"/>
      <c r="AN431" s="9"/>
      <c r="AO431" s="9"/>
      <c r="AP431" s="9"/>
      <c r="AQ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224"/>
      <c r="X432" s="224"/>
      <c r="Y432" s="868"/>
      <c r="Z432" s="865"/>
      <c r="AA432" s="2"/>
      <c r="AB432" s="2"/>
      <c r="AC432" s="2"/>
      <c r="AD432" s="2"/>
      <c r="AE432" s="2"/>
      <c r="AF432" s="2"/>
      <c r="AG432" s="2"/>
      <c r="AH432" s="2"/>
      <c r="AI432" s="2"/>
      <c r="AJ432" s="2"/>
      <c r="AK432" s="2"/>
      <c r="AL432" s="2"/>
      <c r="AM432" s="2"/>
      <c r="AN432" s="9"/>
      <c r="AO432" s="9"/>
      <c r="AP432" s="9"/>
      <c r="AQ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224"/>
      <c r="X433" s="224"/>
      <c r="Y433" s="868"/>
      <c r="Z433" s="865"/>
      <c r="AA433" s="2"/>
      <c r="AB433" s="2"/>
      <c r="AC433" s="2"/>
      <c r="AD433" s="2"/>
      <c r="AE433" s="2"/>
      <c r="AF433" s="2"/>
      <c r="AG433" s="2"/>
      <c r="AH433" s="2"/>
      <c r="AI433" s="2"/>
      <c r="AJ433" s="2"/>
      <c r="AK433" s="2"/>
      <c r="AL433" s="2"/>
      <c r="AM433" s="2"/>
      <c r="AN433" s="9"/>
      <c r="AO433" s="9"/>
      <c r="AP433" s="9"/>
      <c r="AQ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224"/>
      <c r="X434" s="224"/>
      <c r="Y434" s="868"/>
      <c r="Z434" s="865"/>
      <c r="AA434" s="2"/>
      <c r="AB434" s="2"/>
      <c r="AC434" s="2"/>
      <c r="AD434" s="2"/>
      <c r="AE434" s="2"/>
      <c r="AF434" s="2"/>
      <c r="AG434" s="2"/>
      <c r="AH434" s="2"/>
      <c r="AI434" s="2"/>
      <c r="AJ434" s="2"/>
      <c r="AK434" s="2"/>
      <c r="AL434" s="2"/>
      <c r="AM434" s="2"/>
      <c r="AN434" s="9"/>
      <c r="AO434" s="9"/>
      <c r="AP434" s="9"/>
      <c r="AQ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224"/>
      <c r="X435" s="224"/>
      <c r="Y435" s="868"/>
      <c r="Z435" s="865"/>
      <c r="AA435" s="2"/>
      <c r="AB435" s="2"/>
      <c r="AC435" s="2"/>
      <c r="AD435" s="2"/>
      <c r="AE435" s="2"/>
      <c r="AF435" s="2"/>
      <c r="AG435" s="2"/>
      <c r="AH435" s="2"/>
      <c r="AI435" s="2"/>
      <c r="AJ435" s="2"/>
      <c r="AK435" s="2"/>
      <c r="AL435" s="2"/>
      <c r="AM435" s="2"/>
      <c r="AN435" s="9"/>
      <c r="AO435" s="9"/>
      <c r="AP435" s="9"/>
      <c r="AQ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224"/>
      <c r="X436" s="224"/>
      <c r="Y436" s="868"/>
      <c r="Z436" s="865"/>
      <c r="AA436" s="2"/>
      <c r="AB436" s="2"/>
      <c r="AC436" s="2"/>
      <c r="AD436" s="2"/>
      <c r="AE436" s="2"/>
      <c r="AF436" s="2"/>
      <c r="AG436" s="2"/>
      <c r="AH436" s="2"/>
      <c r="AI436" s="2"/>
      <c r="AJ436" s="2"/>
      <c r="AK436" s="2"/>
      <c r="AL436" s="2"/>
      <c r="AM436" s="2"/>
      <c r="AN436" s="9"/>
      <c r="AO436" s="9"/>
      <c r="AP436" s="9"/>
      <c r="AQ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224"/>
      <c r="X437" s="224"/>
      <c r="Y437" s="868"/>
      <c r="Z437" s="865"/>
      <c r="AA437" s="2"/>
      <c r="AB437" s="2"/>
      <c r="AC437" s="2"/>
      <c r="AD437" s="2"/>
      <c r="AE437" s="2"/>
      <c r="AF437" s="2"/>
      <c r="AG437" s="2"/>
      <c r="AH437" s="2"/>
      <c r="AI437" s="2"/>
      <c r="AJ437" s="2"/>
      <c r="AK437" s="2"/>
      <c r="AL437" s="2"/>
      <c r="AM437" s="2"/>
      <c r="AN437" s="9"/>
      <c r="AO437" s="9"/>
      <c r="AP437" s="9"/>
      <c r="AQ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224"/>
      <c r="X438" s="224"/>
      <c r="Y438" s="868"/>
      <c r="Z438" s="865"/>
      <c r="AA438" s="2"/>
      <c r="AB438" s="2"/>
      <c r="AC438" s="2"/>
      <c r="AD438" s="2"/>
      <c r="AE438" s="2"/>
      <c r="AF438" s="2"/>
      <c r="AG438" s="2"/>
      <c r="AH438" s="2"/>
      <c r="AI438" s="2"/>
      <c r="AJ438" s="2"/>
      <c r="AK438" s="2"/>
      <c r="AL438" s="2"/>
      <c r="AM438" s="2"/>
      <c r="AN438" s="9"/>
      <c r="AO438" s="9"/>
      <c r="AP438" s="9"/>
      <c r="AQ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224"/>
      <c r="X439" s="224"/>
      <c r="Y439" s="868"/>
      <c r="Z439" s="865"/>
      <c r="AA439" s="2"/>
      <c r="AB439" s="2"/>
      <c r="AC439" s="2"/>
      <c r="AD439" s="2"/>
      <c r="AE439" s="2"/>
      <c r="AF439" s="2"/>
      <c r="AG439" s="2"/>
      <c r="AH439" s="2"/>
      <c r="AI439" s="2"/>
      <c r="AJ439" s="2"/>
      <c r="AK439" s="2"/>
      <c r="AL439" s="2"/>
      <c r="AM439" s="2"/>
      <c r="AN439" s="9"/>
      <c r="AO439" s="9"/>
      <c r="AP439" s="9"/>
      <c r="AQ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224"/>
      <c r="X440" s="224"/>
      <c r="Y440" s="868"/>
      <c r="Z440" s="865"/>
      <c r="AA440" s="2"/>
      <c r="AB440" s="2"/>
      <c r="AC440" s="2"/>
      <c r="AD440" s="2"/>
      <c r="AE440" s="2"/>
      <c r="AF440" s="2"/>
      <c r="AG440" s="2"/>
      <c r="AH440" s="2"/>
      <c r="AI440" s="2"/>
      <c r="AJ440" s="2"/>
      <c r="AK440" s="2"/>
      <c r="AL440" s="2"/>
      <c r="AM440" s="2"/>
      <c r="AN440" s="9"/>
      <c r="AO440" s="9"/>
      <c r="AP440" s="9"/>
      <c r="AQ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224"/>
      <c r="X441" s="224"/>
      <c r="Y441" s="868"/>
      <c r="Z441" s="865"/>
      <c r="AA441" s="2"/>
      <c r="AB441" s="2"/>
      <c r="AC441" s="2"/>
      <c r="AD441" s="2"/>
      <c r="AE441" s="2"/>
      <c r="AF441" s="2"/>
      <c r="AG441" s="2"/>
      <c r="AH441" s="2"/>
      <c r="AI441" s="2"/>
      <c r="AJ441" s="2"/>
      <c r="AK441" s="2"/>
      <c r="AL441" s="2"/>
      <c r="AM441" s="2"/>
      <c r="AN441" s="9"/>
      <c r="AO441" s="9"/>
      <c r="AP441" s="9"/>
      <c r="AQ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224"/>
      <c r="X442" s="224"/>
      <c r="Y442" s="868"/>
      <c r="Z442" s="865"/>
      <c r="AA442" s="2"/>
      <c r="AB442" s="2"/>
      <c r="AC442" s="2"/>
      <c r="AD442" s="2"/>
      <c r="AE442" s="2"/>
      <c r="AF442" s="2"/>
      <c r="AG442" s="2"/>
      <c r="AH442" s="2"/>
      <c r="AI442" s="2"/>
      <c r="AJ442" s="2"/>
      <c r="AK442" s="2"/>
      <c r="AL442" s="2"/>
      <c r="AM442" s="2"/>
      <c r="AN442" s="9"/>
      <c r="AO442" s="9"/>
      <c r="AP442" s="9"/>
      <c r="AQ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224"/>
      <c r="X443" s="224"/>
      <c r="Y443" s="868"/>
      <c r="Z443" s="865"/>
      <c r="AA443" s="2"/>
      <c r="AB443" s="2"/>
      <c r="AC443" s="2"/>
      <c r="AD443" s="2"/>
      <c r="AE443" s="2"/>
      <c r="AF443" s="2"/>
      <c r="AG443" s="2"/>
      <c r="AH443" s="2"/>
      <c r="AI443" s="2"/>
      <c r="AJ443" s="2"/>
      <c r="AK443" s="2"/>
      <c r="AL443" s="2"/>
      <c r="AM443" s="2"/>
      <c r="AN443" s="9"/>
      <c r="AO443" s="9"/>
      <c r="AP443" s="9"/>
      <c r="AQ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224"/>
      <c r="X444" s="224"/>
      <c r="Y444" s="868"/>
      <c r="Z444" s="865"/>
      <c r="AA444" s="2"/>
      <c r="AB444" s="2"/>
      <c r="AC444" s="2"/>
      <c r="AD444" s="2"/>
      <c r="AE444" s="2"/>
      <c r="AF444" s="2"/>
      <c r="AG444" s="2"/>
      <c r="AH444" s="2"/>
      <c r="AI444" s="2"/>
      <c r="AJ444" s="2"/>
      <c r="AK444" s="2"/>
      <c r="AL444" s="2"/>
      <c r="AM444" s="2"/>
      <c r="AN444" s="9"/>
      <c r="AO444" s="9"/>
      <c r="AP444" s="9"/>
      <c r="AQ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224"/>
      <c r="X445" s="224"/>
      <c r="Y445" s="868"/>
      <c r="Z445" s="865"/>
      <c r="AA445" s="2"/>
      <c r="AB445" s="2"/>
      <c r="AC445" s="2"/>
      <c r="AD445" s="2"/>
      <c r="AE445" s="2"/>
      <c r="AF445" s="2"/>
      <c r="AG445" s="2"/>
      <c r="AH445" s="2"/>
      <c r="AI445" s="2"/>
      <c r="AJ445" s="2"/>
      <c r="AK445" s="2"/>
      <c r="AL445" s="2"/>
      <c r="AM445" s="2"/>
      <c r="AN445" s="9"/>
      <c r="AO445" s="9"/>
      <c r="AP445" s="9"/>
      <c r="AQ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224"/>
      <c r="X446" s="224"/>
      <c r="Y446" s="868"/>
      <c r="Z446" s="865"/>
      <c r="AA446" s="2"/>
      <c r="AB446" s="2"/>
      <c r="AC446" s="2"/>
      <c r="AD446" s="2"/>
      <c r="AE446" s="2"/>
      <c r="AF446" s="2"/>
      <c r="AG446" s="2"/>
      <c r="AH446" s="2"/>
      <c r="AI446" s="2"/>
      <c r="AJ446" s="2"/>
      <c r="AK446" s="2"/>
      <c r="AL446" s="2"/>
      <c r="AM446" s="2"/>
      <c r="AN446" s="9"/>
      <c r="AO446" s="9"/>
      <c r="AP446" s="9"/>
      <c r="AQ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224"/>
      <c r="X447" s="224"/>
      <c r="Y447" s="868"/>
      <c r="Z447" s="865"/>
      <c r="AA447" s="2"/>
      <c r="AB447" s="2"/>
      <c r="AC447" s="2"/>
      <c r="AD447" s="2"/>
      <c r="AE447" s="2"/>
      <c r="AF447" s="2"/>
      <c r="AG447" s="2"/>
      <c r="AH447" s="2"/>
      <c r="AI447" s="2"/>
      <c r="AJ447" s="2"/>
      <c r="AK447" s="2"/>
      <c r="AL447" s="2"/>
      <c r="AM447" s="2"/>
      <c r="AN447" s="9"/>
      <c r="AO447" s="9"/>
      <c r="AP447" s="9"/>
      <c r="AQ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224"/>
      <c r="X448" s="224"/>
      <c r="Y448" s="868"/>
      <c r="Z448" s="865"/>
      <c r="AA448" s="2"/>
      <c r="AB448" s="2"/>
      <c r="AC448" s="2"/>
      <c r="AD448" s="2"/>
      <c r="AE448" s="2"/>
      <c r="AF448" s="2"/>
      <c r="AG448" s="2"/>
      <c r="AH448" s="2"/>
      <c r="AI448" s="2"/>
      <c r="AJ448" s="2"/>
      <c r="AK448" s="2"/>
      <c r="AL448" s="2"/>
      <c r="AM448" s="2"/>
      <c r="AN448" s="9"/>
      <c r="AO448" s="9"/>
      <c r="AP448" s="9"/>
      <c r="AQ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224"/>
      <c r="X449" s="224"/>
      <c r="Y449" s="868"/>
      <c r="Z449" s="865"/>
      <c r="AA449" s="2"/>
      <c r="AB449" s="2"/>
      <c r="AC449" s="2"/>
      <c r="AD449" s="2"/>
      <c r="AE449" s="2"/>
      <c r="AF449" s="2"/>
      <c r="AG449" s="2"/>
      <c r="AH449" s="2"/>
      <c r="AI449" s="2"/>
      <c r="AJ449" s="2"/>
      <c r="AK449" s="2"/>
      <c r="AL449" s="2"/>
      <c r="AM449" s="2"/>
      <c r="AN449" s="9"/>
      <c r="AO449" s="9"/>
      <c r="AP449" s="9"/>
      <c r="AQ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224"/>
      <c r="X450" s="224"/>
      <c r="Y450" s="868"/>
      <c r="Z450" s="865"/>
      <c r="AA450" s="2"/>
      <c r="AB450" s="2"/>
      <c r="AC450" s="2"/>
      <c r="AD450" s="2"/>
      <c r="AE450" s="2"/>
      <c r="AF450" s="2"/>
      <c r="AG450" s="2"/>
      <c r="AH450" s="2"/>
      <c r="AI450" s="2"/>
      <c r="AJ450" s="2"/>
      <c r="AK450" s="2"/>
      <c r="AL450" s="2"/>
      <c r="AM450" s="2"/>
      <c r="AN450" s="9"/>
      <c r="AO450" s="9"/>
      <c r="AP450" s="9"/>
      <c r="AQ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224"/>
      <c r="X451" s="224"/>
      <c r="Y451" s="868"/>
      <c r="Z451" s="865"/>
      <c r="AA451" s="2"/>
      <c r="AB451" s="2"/>
      <c r="AC451" s="2"/>
      <c r="AD451" s="2"/>
      <c r="AE451" s="2"/>
      <c r="AF451" s="2"/>
      <c r="AG451" s="2"/>
      <c r="AH451" s="2"/>
      <c r="AI451" s="2"/>
      <c r="AJ451" s="2"/>
      <c r="AK451" s="2"/>
      <c r="AL451" s="2"/>
      <c r="AM451" s="2"/>
      <c r="AN451" s="9"/>
      <c r="AO451" s="9"/>
      <c r="AP451" s="9"/>
      <c r="AQ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224"/>
      <c r="X452" s="224"/>
      <c r="Y452" s="868"/>
      <c r="Z452" s="865"/>
      <c r="AA452" s="2"/>
      <c r="AB452" s="2"/>
      <c r="AC452" s="2"/>
      <c r="AD452" s="2"/>
      <c r="AE452" s="2"/>
      <c r="AF452" s="2"/>
      <c r="AG452" s="2"/>
      <c r="AH452" s="2"/>
      <c r="AI452" s="2"/>
      <c r="AJ452" s="2"/>
      <c r="AK452" s="2"/>
      <c r="AL452" s="2"/>
      <c r="AM452" s="2"/>
      <c r="AN452" s="9"/>
      <c r="AO452" s="9"/>
      <c r="AP452" s="9"/>
      <c r="AQ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224"/>
      <c r="X453" s="224"/>
      <c r="Y453" s="868"/>
      <c r="Z453" s="865"/>
      <c r="AA453" s="2"/>
      <c r="AB453" s="2"/>
      <c r="AC453" s="2"/>
      <c r="AD453" s="2"/>
      <c r="AE453" s="2"/>
      <c r="AF453" s="2"/>
      <c r="AG453" s="2"/>
      <c r="AH453" s="2"/>
      <c r="AI453" s="2"/>
      <c r="AJ453" s="2"/>
      <c r="AK453" s="2"/>
      <c r="AL453" s="2"/>
      <c r="AM453" s="2"/>
      <c r="AN453" s="9"/>
      <c r="AO453" s="9"/>
      <c r="AP453" s="9"/>
      <c r="AQ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224"/>
      <c r="X454" s="224"/>
      <c r="Y454" s="868"/>
      <c r="Z454" s="865"/>
      <c r="AA454" s="2"/>
      <c r="AB454" s="2"/>
      <c r="AC454" s="2"/>
      <c r="AD454" s="2"/>
      <c r="AE454" s="2"/>
      <c r="AF454" s="2"/>
      <c r="AG454" s="2"/>
      <c r="AH454" s="2"/>
      <c r="AI454" s="2"/>
      <c r="AJ454" s="2"/>
      <c r="AK454" s="2"/>
      <c r="AL454" s="2"/>
      <c r="AM454" s="2"/>
      <c r="AN454" s="9"/>
      <c r="AO454" s="9"/>
      <c r="AP454" s="9"/>
      <c r="AQ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224"/>
      <c r="X455" s="224"/>
      <c r="Y455" s="868"/>
      <c r="Z455" s="865"/>
      <c r="AA455" s="2"/>
      <c r="AB455" s="2"/>
      <c r="AC455" s="2"/>
      <c r="AD455" s="2"/>
      <c r="AE455" s="2"/>
      <c r="AF455" s="2"/>
      <c r="AG455" s="2"/>
      <c r="AH455" s="2"/>
      <c r="AI455" s="2"/>
      <c r="AJ455" s="2"/>
      <c r="AK455" s="2"/>
      <c r="AL455" s="2"/>
      <c r="AM455" s="2"/>
      <c r="AN455" s="9"/>
      <c r="AO455" s="9"/>
      <c r="AP455" s="9"/>
      <c r="AQ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224"/>
      <c r="X456" s="224"/>
      <c r="Y456" s="868"/>
      <c r="Z456" s="865"/>
      <c r="AA456" s="2"/>
      <c r="AB456" s="2"/>
      <c r="AC456" s="2"/>
      <c r="AD456" s="2"/>
      <c r="AE456" s="2"/>
      <c r="AF456" s="2"/>
      <c r="AG456" s="2"/>
      <c r="AH456" s="2"/>
      <c r="AI456" s="2"/>
      <c r="AJ456" s="2"/>
      <c r="AK456" s="2"/>
      <c r="AL456" s="2"/>
      <c r="AM456" s="2"/>
      <c r="AN456" s="9"/>
      <c r="AO456" s="9"/>
      <c r="AP456" s="9"/>
      <c r="AQ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224"/>
      <c r="X457" s="224"/>
      <c r="Y457" s="868"/>
      <c r="Z457" s="865"/>
      <c r="AA457" s="2"/>
      <c r="AB457" s="2"/>
      <c r="AC457" s="2"/>
      <c r="AD457" s="2"/>
      <c r="AE457" s="2"/>
      <c r="AF457" s="2"/>
      <c r="AG457" s="2"/>
      <c r="AH457" s="2"/>
      <c r="AI457" s="2"/>
      <c r="AJ457" s="2"/>
      <c r="AK457" s="2"/>
      <c r="AL457" s="2"/>
      <c r="AM457" s="2"/>
      <c r="AN457" s="9"/>
      <c r="AO457" s="9"/>
      <c r="AP457" s="9"/>
      <c r="AQ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224"/>
      <c r="X458" s="224"/>
      <c r="Y458" s="868"/>
      <c r="Z458" s="865"/>
      <c r="AA458" s="2"/>
      <c r="AB458" s="2"/>
      <c r="AC458" s="2"/>
      <c r="AD458" s="2"/>
      <c r="AE458" s="2"/>
      <c r="AF458" s="2"/>
      <c r="AG458" s="2"/>
      <c r="AH458" s="2"/>
      <c r="AI458" s="2"/>
      <c r="AJ458" s="2"/>
      <c r="AK458" s="2"/>
      <c r="AL458" s="2"/>
      <c r="AM458" s="2"/>
      <c r="AN458" s="9"/>
      <c r="AO458" s="9"/>
      <c r="AP458" s="9"/>
      <c r="AQ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224"/>
      <c r="X459" s="224"/>
      <c r="Y459" s="868"/>
      <c r="Z459" s="865"/>
      <c r="AA459" s="2"/>
      <c r="AB459" s="2"/>
      <c r="AC459" s="2"/>
      <c r="AD459" s="2"/>
      <c r="AE459" s="2"/>
      <c r="AF459" s="2"/>
      <c r="AG459" s="2"/>
      <c r="AH459" s="2"/>
      <c r="AI459" s="2"/>
      <c r="AJ459" s="2"/>
      <c r="AK459" s="2"/>
      <c r="AL459" s="2"/>
      <c r="AM459" s="2"/>
      <c r="AN459" s="9"/>
      <c r="AO459" s="9"/>
      <c r="AP459" s="9"/>
      <c r="AQ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224"/>
      <c r="X460" s="224"/>
      <c r="Y460" s="868"/>
      <c r="Z460" s="865"/>
      <c r="AA460" s="2"/>
      <c r="AB460" s="2"/>
      <c r="AC460" s="2"/>
      <c r="AD460" s="2"/>
      <c r="AE460" s="2"/>
      <c r="AF460" s="2"/>
      <c r="AG460" s="2"/>
      <c r="AH460" s="2"/>
      <c r="AI460" s="2"/>
      <c r="AJ460" s="2"/>
      <c r="AK460" s="2"/>
      <c r="AL460" s="2"/>
      <c r="AM460" s="2"/>
      <c r="AN460" s="9"/>
      <c r="AO460" s="9"/>
      <c r="AP460" s="9"/>
      <c r="AQ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224"/>
      <c r="X461" s="224"/>
      <c r="Y461" s="868"/>
      <c r="Z461" s="865"/>
      <c r="AA461" s="2"/>
      <c r="AB461" s="2"/>
      <c r="AC461" s="2"/>
      <c r="AD461" s="2"/>
      <c r="AE461" s="2"/>
      <c r="AF461" s="2"/>
      <c r="AG461" s="2"/>
      <c r="AH461" s="2"/>
      <c r="AI461" s="2"/>
      <c r="AJ461" s="2"/>
      <c r="AK461" s="2"/>
      <c r="AL461" s="2"/>
      <c r="AM461" s="2"/>
      <c r="AN461" s="9"/>
      <c r="AO461" s="9"/>
      <c r="AP461" s="9"/>
      <c r="AQ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224"/>
      <c r="X462" s="224"/>
      <c r="Y462" s="868"/>
      <c r="Z462" s="865"/>
      <c r="AA462" s="2"/>
      <c r="AB462" s="2"/>
      <c r="AC462" s="2"/>
      <c r="AD462" s="2"/>
      <c r="AE462" s="2"/>
      <c r="AF462" s="2"/>
      <c r="AG462" s="2"/>
      <c r="AH462" s="2"/>
      <c r="AI462" s="2"/>
      <c r="AJ462" s="2"/>
      <c r="AK462" s="2"/>
      <c r="AL462" s="2"/>
      <c r="AM462" s="2"/>
      <c r="AN462" s="9"/>
      <c r="AO462" s="9"/>
      <c r="AP462" s="9"/>
      <c r="AQ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224"/>
      <c r="X463" s="224"/>
      <c r="Y463" s="868"/>
      <c r="Z463" s="865"/>
      <c r="AA463" s="2"/>
      <c r="AB463" s="2"/>
      <c r="AC463" s="2"/>
      <c r="AD463" s="2"/>
      <c r="AE463" s="2"/>
      <c r="AF463" s="2"/>
      <c r="AG463" s="2"/>
      <c r="AH463" s="2"/>
      <c r="AI463" s="2"/>
      <c r="AJ463" s="2"/>
      <c r="AK463" s="2"/>
      <c r="AL463" s="2"/>
      <c r="AM463" s="2"/>
      <c r="AN463" s="9"/>
      <c r="AO463" s="9"/>
      <c r="AP463" s="9"/>
      <c r="AQ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224"/>
      <c r="X464" s="224"/>
      <c r="Y464" s="868"/>
      <c r="Z464" s="865"/>
      <c r="AA464" s="2"/>
      <c r="AB464" s="2"/>
      <c r="AC464" s="2"/>
      <c r="AD464" s="2"/>
      <c r="AE464" s="2"/>
      <c r="AF464" s="2"/>
      <c r="AG464" s="2"/>
      <c r="AH464" s="2"/>
      <c r="AI464" s="2"/>
      <c r="AJ464" s="2"/>
      <c r="AK464" s="2"/>
      <c r="AL464" s="2"/>
      <c r="AM464" s="2"/>
      <c r="AN464" s="9"/>
      <c r="AO464" s="9"/>
      <c r="AP464" s="9"/>
      <c r="AQ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224"/>
      <c r="X465" s="224"/>
      <c r="Y465" s="868"/>
      <c r="Z465" s="865"/>
      <c r="AA465" s="2"/>
      <c r="AB465" s="2"/>
      <c r="AC465" s="2"/>
      <c r="AD465" s="2"/>
      <c r="AE465" s="2"/>
      <c r="AF465" s="2"/>
      <c r="AG465" s="2"/>
      <c r="AH465" s="2"/>
      <c r="AI465" s="2"/>
      <c r="AJ465" s="2"/>
      <c r="AK465" s="2"/>
      <c r="AL465" s="2"/>
      <c r="AM465" s="2"/>
      <c r="AN465" s="9"/>
      <c r="AO465" s="9"/>
      <c r="AP465" s="9"/>
      <c r="AQ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224"/>
      <c r="X466" s="224"/>
      <c r="Y466" s="868"/>
      <c r="Z466" s="865"/>
      <c r="AA466" s="2"/>
      <c r="AB466" s="2"/>
      <c r="AC466" s="2"/>
      <c r="AD466" s="2"/>
      <c r="AE466" s="2"/>
      <c r="AF466" s="2"/>
      <c r="AG466" s="2"/>
      <c r="AH466" s="2"/>
      <c r="AI466" s="2"/>
      <c r="AJ466" s="2"/>
      <c r="AK466" s="2"/>
      <c r="AL466" s="2"/>
      <c r="AM466" s="2"/>
      <c r="AN466" s="9"/>
      <c r="AO466" s="9"/>
      <c r="AP466" s="9"/>
      <c r="AQ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224"/>
      <c r="X467" s="224"/>
      <c r="Y467" s="868"/>
      <c r="Z467" s="865"/>
      <c r="AA467" s="2"/>
      <c r="AB467" s="2"/>
      <c r="AC467" s="2"/>
      <c r="AD467" s="2"/>
      <c r="AE467" s="2"/>
      <c r="AF467" s="2"/>
      <c r="AG467" s="2"/>
      <c r="AH467" s="2"/>
      <c r="AI467" s="2"/>
      <c r="AJ467" s="2"/>
      <c r="AK467" s="2"/>
      <c r="AL467" s="2"/>
      <c r="AM467" s="2"/>
      <c r="AN467" s="9"/>
      <c r="AO467" s="9"/>
      <c r="AP467" s="9"/>
      <c r="AQ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224"/>
      <c r="X468" s="224"/>
      <c r="Y468" s="868"/>
      <c r="Z468" s="865"/>
      <c r="AA468" s="2"/>
      <c r="AB468" s="2"/>
      <c r="AC468" s="2"/>
      <c r="AD468" s="2"/>
      <c r="AE468" s="2"/>
      <c r="AF468" s="2"/>
      <c r="AG468" s="2"/>
      <c r="AH468" s="2"/>
      <c r="AI468" s="2"/>
      <c r="AJ468" s="2"/>
      <c r="AK468" s="2"/>
      <c r="AL468" s="2"/>
      <c r="AM468" s="2"/>
      <c r="AN468" s="9"/>
      <c r="AO468" s="9"/>
      <c r="AP468" s="9"/>
      <c r="AQ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224"/>
      <c r="X469" s="224"/>
      <c r="Y469" s="868"/>
      <c r="Z469" s="865"/>
      <c r="AA469" s="2"/>
      <c r="AB469" s="2"/>
      <c r="AC469" s="2"/>
      <c r="AD469" s="2"/>
      <c r="AE469" s="2"/>
      <c r="AF469" s="2"/>
      <c r="AG469" s="2"/>
      <c r="AH469" s="2"/>
      <c r="AI469" s="2"/>
      <c r="AJ469" s="2"/>
      <c r="AK469" s="2"/>
      <c r="AL469" s="2"/>
      <c r="AM469" s="2"/>
      <c r="AN469" s="9"/>
      <c r="AO469" s="9"/>
      <c r="AP469" s="9"/>
      <c r="AQ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224"/>
      <c r="X470" s="224"/>
      <c r="Y470" s="868"/>
      <c r="Z470" s="865"/>
      <c r="AA470" s="2"/>
      <c r="AB470" s="2"/>
      <c r="AC470" s="2"/>
      <c r="AD470" s="2"/>
      <c r="AE470" s="2"/>
      <c r="AF470" s="2"/>
      <c r="AG470" s="2"/>
      <c r="AH470" s="2"/>
      <c r="AI470" s="2"/>
      <c r="AJ470" s="2"/>
      <c r="AK470" s="2"/>
      <c r="AL470" s="2"/>
      <c r="AM470" s="2"/>
      <c r="AN470" s="9"/>
      <c r="AO470" s="9"/>
      <c r="AP470" s="9"/>
      <c r="AQ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224"/>
      <c r="X471" s="224"/>
      <c r="Y471" s="868"/>
      <c r="Z471" s="865"/>
      <c r="AA471" s="2"/>
      <c r="AB471" s="2"/>
      <c r="AC471" s="2"/>
      <c r="AD471" s="2"/>
      <c r="AE471" s="2"/>
      <c r="AF471" s="2"/>
      <c r="AG471" s="2"/>
      <c r="AH471" s="2"/>
      <c r="AI471" s="2"/>
      <c r="AJ471" s="2"/>
      <c r="AK471" s="2"/>
      <c r="AL471" s="2"/>
      <c r="AM471" s="2"/>
      <c r="AN471" s="9"/>
      <c r="AO471" s="9"/>
      <c r="AP471" s="9"/>
      <c r="AQ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224"/>
      <c r="X472" s="224"/>
      <c r="Y472" s="868"/>
      <c r="Z472" s="865"/>
      <c r="AA472" s="2"/>
      <c r="AB472" s="2"/>
      <c r="AC472" s="2"/>
      <c r="AD472" s="2"/>
      <c r="AE472" s="2"/>
      <c r="AF472" s="2"/>
      <c r="AG472" s="2"/>
      <c r="AH472" s="2"/>
      <c r="AI472" s="2"/>
      <c r="AJ472" s="2"/>
      <c r="AK472" s="2"/>
      <c r="AL472" s="2"/>
      <c r="AM472" s="2"/>
      <c r="AN472" s="9"/>
      <c r="AO472" s="9"/>
      <c r="AP472" s="9"/>
      <c r="AQ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224"/>
      <c r="X473" s="224"/>
      <c r="Y473" s="868"/>
      <c r="Z473" s="865"/>
      <c r="AA473" s="2"/>
      <c r="AB473" s="2"/>
      <c r="AC473" s="2"/>
      <c r="AD473" s="2"/>
      <c r="AE473" s="2"/>
      <c r="AF473" s="2"/>
      <c r="AG473" s="2"/>
      <c r="AH473" s="2"/>
      <c r="AI473" s="2"/>
      <c r="AJ473" s="2"/>
      <c r="AK473" s="2"/>
      <c r="AL473" s="2"/>
      <c r="AM473" s="2"/>
      <c r="AN473" s="9"/>
      <c r="AO473" s="9"/>
      <c r="AP473" s="9"/>
      <c r="AQ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224"/>
      <c r="X474" s="224"/>
      <c r="Y474" s="868"/>
      <c r="Z474" s="865"/>
      <c r="AA474" s="2"/>
      <c r="AB474" s="2"/>
      <c r="AC474" s="2"/>
      <c r="AD474" s="2"/>
      <c r="AE474" s="2"/>
      <c r="AF474" s="2"/>
      <c r="AG474" s="2"/>
      <c r="AH474" s="2"/>
      <c r="AI474" s="2"/>
      <c r="AJ474" s="2"/>
      <c r="AK474" s="2"/>
      <c r="AL474" s="2"/>
      <c r="AM474" s="2"/>
      <c r="AN474" s="9"/>
      <c r="AO474" s="9"/>
      <c r="AP474" s="9"/>
      <c r="AQ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224"/>
      <c r="X475" s="224"/>
      <c r="Y475" s="868"/>
      <c r="Z475" s="865"/>
      <c r="AA475" s="2"/>
      <c r="AB475" s="2"/>
      <c r="AC475" s="2"/>
      <c r="AD475" s="2"/>
      <c r="AE475" s="2"/>
      <c r="AF475" s="2"/>
      <c r="AG475" s="2"/>
      <c r="AH475" s="2"/>
      <c r="AI475" s="2"/>
      <c r="AJ475" s="2"/>
      <c r="AK475" s="2"/>
      <c r="AL475" s="2"/>
      <c r="AM475" s="2"/>
      <c r="AN475" s="9"/>
      <c r="AO475" s="9"/>
      <c r="AP475" s="9"/>
      <c r="AQ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224"/>
      <c r="X476" s="224"/>
      <c r="Y476" s="868"/>
      <c r="Z476" s="865"/>
      <c r="AA476" s="2"/>
      <c r="AB476" s="2"/>
      <c r="AC476" s="2"/>
      <c r="AD476" s="2"/>
      <c r="AE476" s="2"/>
      <c r="AF476" s="2"/>
      <c r="AG476" s="2"/>
      <c r="AH476" s="2"/>
      <c r="AI476" s="2"/>
      <c r="AJ476" s="2"/>
      <c r="AK476" s="2"/>
      <c r="AL476" s="2"/>
      <c r="AM476" s="2"/>
      <c r="AN476" s="9"/>
      <c r="AO476" s="9"/>
      <c r="AP476" s="9"/>
      <c r="AQ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224"/>
      <c r="X477" s="224"/>
      <c r="Y477" s="868"/>
      <c r="Z477" s="865"/>
      <c r="AA477" s="2"/>
      <c r="AB477" s="2"/>
      <c r="AC477" s="2"/>
      <c r="AD477" s="2"/>
      <c r="AE477" s="2"/>
      <c r="AF477" s="2"/>
      <c r="AG477" s="2"/>
      <c r="AH477" s="2"/>
      <c r="AI477" s="2"/>
      <c r="AJ477" s="2"/>
      <c r="AK477" s="2"/>
      <c r="AL477" s="2"/>
      <c r="AM477" s="2"/>
      <c r="AN477" s="9"/>
      <c r="AO477" s="9"/>
      <c r="AP477" s="9"/>
      <c r="AQ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224"/>
      <c r="X478" s="224"/>
      <c r="Y478" s="868"/>
      <c r="Z478" s="865"/>
      <c r="AA478" s="2"/>
      <c r="AB478" s="2"/>
      <c r="AC478" s="2"/>
      <c r="AD478" s="2"/>
      <c r="AE478" s="2"/>
      <c r="AF478" s="2"/>
      <c r="AG478" s="2"/>
      <c r="AH478" s="2"/>
      <c r="AI478" s="2"/>
      <c r="AJ478" s="2"/>
      <c r="AK478" s="2"/>
      <c r="AL478" s="2"/>
      <c r="AM478" s="2"/>
      <c r="AN478" s="9"/>
      <c r="AO478" s="9"/>
      <c r="AP478" s="9"/>
      <c r="AQ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224"/>
      <c r="X479" s="224"/>
      <c r="Y479" s="868"/>
      <c r="Z479" s="865"/>
      <c r="AA479" s="2"/>
      <c r="AB479" s="2"/>
      <c r="AC479" s="2"/>
      <c r="AD479" s="2"/>
      <c r="AE479" s="2"/>
      <c r="AF479" s="2"/>
      <c r="AG479" s="2"/>
      <c r="AH479" s="2"/>
      <c r="AI479" s="2"/>
      <c r="AJ479" s="2"/>
      <c r="AK479" s="2"/>
      <c r="AL479" s="2"/>
      <c r="AM479" s="2"/>
      <c r="AN479" s="9"/>
      <c r="AO479" s="9"/>
      <c r="AP479" s="9"/>
      <c r="AQ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224"/>
      <c r="X480" s="224"/>
      <c r="Y480" s="868"/>
      <c r="Z480" s="865"/>
      <c r="AA480" s="2"/>
      <c r="AB480" s="2"/>
      <c r="AC480" s="2"/>
      <c r="AD480" s="2"/>
      <c r="AE480" s="2"/>
      <c r="AF480" s="2"/>
      <c r="AG480" s="2"/>
      <c r="AH480" s="2"/>
      <c r="AI480" s="2"/>
      <c r="AJ480" s="2"/>
      <c r="AK480" s="2"/>
      <c r="AL480" s="2"/>
      <c r="AM480" s="2"/>
      <c r="AN480" s="9"/>
      <c r="AO480" s="9"/>
      <c r="AP480" s="9"/>
      <c r="AQ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224"/>
      <c r="X481" s="224"/>
      <c r="Y481" s="868"/>
      <c r="Z481" s="865"/>
      <c r="AA481" s="2"/>
      <c r="AB481" s="2"/>
      <c r="AC481" s="2"/>
      <c r="AD481" s="2"/>
      <c r="AE481" s="2"/>
      <c r="AF481" s="2"/>
      <c r="AG481" s="2"/>
      <c r="AH481" s="2"/>
      <c r="AI481" s="2"/>
      <c r="AJ481" s="2"/>
      <c r="AK481" s="2"/>
      <c r="AL481" s="2"/>
      <c r="AM481" s="2"/>
      <c r="AN481" s="9"/>
      <c r="AO481" s="9"/>
      <c r="AP481" s="9"/>
      <c r="AQ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224"/>
      <c r="X482" s="224"/>
      <c r="Y482" s="868"/>
      <c r="Z482" s="865"/>
      <c r="AA482" s="2"/>
      <c r="AB482" s="2"/>
      <c r="AC482" s="2"/>
      <c r="AD482" s="2"/>
      <c r="AE482" s="2"/>
      <c r="AF482" s="2"/>
      <c r="AG482" s="2"/>
      <c r="AH482" s="2"/>
      <c r="AI482" s="2"/>
      <c r="AJ482" s="2"/>
      <c r="AK482" s="2"/>
      <c r="AL482" s="2"/>
      <c r="AM482" s="2"/>
      <c r="AN482" s="9"/>
      <c r="AO482" s="9"/>
      <c r="AP482" s="9"/>
      <c r="AQ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224"/>
      <c r="X483" s="224"/>
      <c r="Y483" s="868"/>
      <c r="Z483" s="865"/>
      <c r="AA483" s="2"/>
      <c r="AB483" s="2"/>
      <c r="AC483" s="2"/>
      <c r="AD483" s="2"/>
      <c r="AE483" s="2"/>
      <c r="AF483" s="2"/>
      <c r="AG483" s="2"/>
      <c r="AH483" s="2"/>
      <c r="AI483" s="2"/>
      <c r="AJ483" s="2"/>
      <c r="AK483" s="2"/>
      <c r="AL483" s="2"/>
      <c r="AM483" s="2"/>
      <c r="AN483" s="9"/>
      <c r="AO483" s="9"/>
      <c r="AP483" s="9"/>
      <c r="AQ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224"/>
      <c r="X484" s="224"/>
      <c r="Y484" s="868"/>
      <c r="Z484" s="865"/>
      <c r="AA484" s="2"/>
      <c r="AB484" s="2"/>
      <c r="AC484" s="2"/>
      <c r="AD484" s="2"/>
      <c r="AE484" s="2"/>
      <c r="AF484" s="2"/>
      <c r="AG484" s="2"/>
      <c r="AH484" s="2"/>
      <c r="AI484" s="2"/>
      <c r="AJ484" s="2"/>
      <c r="AK484" s="2"/>
      <c r="AL484" s="2"/>
      <c r="AM484" s="2"/>
      <c r="AN484" s="9"/>
      <c r="AO484" s="9"/>
      <c r="AP484" s="9"/>
      <c r="AQ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224"/>
      <c r="X485" s="224"/>
      <c r="Y485" s="868"/>
      <c r="Z485" s="865"/>
      <c r="AA485" s="2"/>
      <c r="AB485" s="2"/>
      <c r="AC485" s="2"/>
      <c r="AD485" s="2"/>
      <c r="AE485" s="2"/>
      <c r="AF485" s="2"/>
      <c r="AG485" s="2"/>
      <c r="AH485" s="2"/>
      <c r="AI485" s="2"/>
      <c r="AJ485" s="2"/>
      <c r="AK485" s="2"/>
      <c r="AL485" s="2"/>
      <c r="AM485" s="2"/>
      <c r="AN485" s="9"/>
      <c r="AO485" s="9"/>
      <c r="AP485" s="9"/>
      <c r="AQ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224"/>
      <c r="X486" s="224"/>
      <c r="Y486" s="868"/>
      <c r="Z486" s="865"/>
      <c r="AA486" s="2"/>
      <c r="AB486" s="2"/>
      <c r="AC486" s="2"/>
      <c r="AD486" s="2"/>
      <c r="AE486" s="2"/>
      <c r="AF486" s="2"/>
      <c r="AG486" s="2"/>
      <c r="AH486" s="2"/>
      <c r="AI486" s="2"/>
      <c r="AJ486" s="2"/>
      <c r="AK486" s="2"/>
      <c r="AL486" s="2"/>
      <c r="AM486" s="2"/>
      <c r="AN486" s="9"/>
      <c r="AO486" s="9"/>
      <c r="AP486" s="9"/>
      <c r="AQ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224"/>
      <c r="X487" s="224"/>
      <c r="Y487" s="868"/>
      <c r="Z487" s="865"/>
      <c r="AA487" s="2"/>
      <c r="AB487" s="2"/>
      <c r="AC487" s="2"/>
      <c r="AD487" s="2"/>
      <c r="AE487" s="2"/>
      <c r="AF487" s="2"/>
      <c r="AG487" s="2"/>
      <c r="AH487" s="2"/>
      <c r="AI487" s="2"/>
      <c r="AJ487" s="2"/>
      <c r="AK487" s="2"/>
      <c r="AL487" s="2"/>
      <c r="AM487" s="2"/>
      <c r="AN487" s="9"/>
      <c r="AO487" s="9"/>
      <c r="AP487" s="9"/>
      <c r="AQ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224"/>
      <c r="X488" s="224"/>
      <c r="Y488" s="868"/>
      <c r="Z488" s="865"/>
      <c r="AA488" s="2"/>
      <c r="AB488" s="2"/>
      <c r="AC488" s="2"/>
      <c r="AD488" s="2"/>
      <c r="AE488" s="2"/>
      <c r="AF488" s="2"/>
      <c r="AG488" s="2"/>
      <c r="AH488" s="2"/>
      <c r="AI488" s="2"/>
      <c r="AJ488" s="2"/>
      <c r="AK488" s="2"/>
      <c r="AL488" s="2"/>
      <c r="AM488" s="2"/>
      <c r="AN488" s="9"/>
      <c r="AO488" s="9"/>
      <c r="AP488" s="9"/>
      <c r="AQ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224"/>
      <c r="X489" s="224"/>
      <c r="Y489" s="868"/>
      <c r="Z489" s="865"/>
      <c r="AA489" s="2"/>
      <c r="AB489" s="2"/>
      <c r="AC489" s="2"/>
      <c r="AD489" s="2"/>
      <c r="AE489" s="2"/>
      <c r="AF489" s="2"/>
      <c r="AG489" s="2"/>
      <c r="AH489" s="2"/>
      <c r="AI489" s="2"/>
      <c r="AJ489" s="2"/>
      <c r="AK489" s="2"/>
      <c r="AL489" s="2"/>
      <c r="AM489" s="2"/>
      <c r="AN489" s="9"/>
      <c r="AO489" s="9"/>
      <c r="AP489" s="9"/>
      <c r="AQ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224"/>
      <c r="X490" s="224"/>
      <c r="Y490" s="868"/>
      <c r="Z490" s="865"/>
      <c r="AA490" s="2"/>
      <c r="AB490" s="2"/>
      <c r="AC490" s="2"/>
      <c r="AD490" s="2"/>
      <c r="AE490" s="2"/>
      <c r="AF490" s="2"/>
      <c r="AG490" s="2"/>
      <c r="AH490" s="2"/>
      <c r="AI490" s="2"/>
      <c r="AJ490" s="2"/>
      <c r="AK490" s="2"/>
      <c r="AL490" s="2"/>
      <c r="AM490" s="2"/>
      <c r="AN490" s="9"/>
      <c r="AO490" s="9"/>
      <c r="AP490" s="9"/>
      <c r="AQ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224"/>
      <c r="X491" s="224"/>
      <c r="Y491" s="868"/>
      <c r="Z491" s="865"/>
      <c r="AA491" s="2"/>
      <c r="AB491" s="2"/>
      <c r="AC491" s="2"/>
      <c r="AD491" s="2"/>
      <c r="AE491" s="2"/>
      <c r="AF491" s="2"/>
      <c r="AG491" s="2"/>
      <c r="AH491" s="2"/>
      <c r="AI491" s="2"/>
      <c r="AJ491" s="2"/>
      <c r="AK491" s="2"/>
      <c r="AL491" s="2"/>
      <c r="AM491" s="2"/>
      <c r="AN491" s="9"/>
      <c r="AO491" s="9"/>
      <c r="AP491" s="9"/>
      <c r="AQ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224"/>
      <c r="X492" s="224"/>
      <c r="Y492" s="868"/>
      <c r="Z492" s="865"/>
      <c r="AA492" s="2"/>
      <c r="AB492" s="2"/>
      <c r="AC492" s="2"/>
      <c r="AD492" s="2"/>
      <c r="AE492" s="2"/>
      <c r="AF492" s="2"/>
      <c r="AG492" s="2"/>
      <c r="AH492" s="2"/>
      <c r="AI492" s="2"/>
      <c r="AJ492" s="2"/>
      <c r="AK492" s="2"/>
      <c r="AL492" s="2"/>
      <c r="AM492" s="2"/>
      <c r="AN492" s="9"/>
      <c r="AO492" s="9"/>
      <c r="AP492" s="9"/>
      <c r="AQ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224"/>
      <c r="X493" s="224"/>
      <c r="Y493" s="868"/>
      <c r="Z493" s="865"/>
      <c r="AA493" s="2"/>
      <c r="AB493" s="2"/>
      <c r="AC493" s="2"/>
      <c r="AD493" s="2"/>
      <c r="AE493" s="2"/>
      <c r="AF493" s="2"/>
      <c r="AG493" s="2"/>
      <c r="AH493" s="2"/>
      <c r="AI493" s="2"/>
      <c r="AJ493" s="2"/>
      <c r="AK493" s="2"/>
      <c r="AL493" s="2"/>
      <c r="AM493" s="2"/>
      <c r="AN493" s="9"/>
      <c r="AO493" s="9"/>
      <c r="AP493" s="9"/>
      <c r="AQ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224"/>
      <c r="X494" s="224"/>
      <c r="Y494" s="868"/>
      <c r="Z494" s="865"/>
      <c r="AA494" s="2"/>
      <c r="AB494" s="2"/>
      <c r="AC494" s="2"/>
      <c r="AD494" s="2"/>
      <c r="AE494" s="2"/>
      <c r="AF494" s="2"/>
      <c r="AG494" s="2"/>
      <c r="AH494" s="2"/>
      <c r="AI494" s="2"/>
      <c r="AJ494" s="2"/>
      <c r="AK494" s="2"/>
      <c r="AL494" s="2"/>
      <c r="AM494" s="2"/>
      <c r="AN494" s="9"/>
      <c r="AO494" s="9"/>
      <c r="AP494" s="9"/>
      <c r="AQ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224"/>
      <c r="X495" s="224"/>
      <c r="Y495" s="868"/>
      <c r="Z495" s="865"/>
      <c r="AA495" s="2"/>
      <c r="AB495" s="2"/>
      <c r="AC495" s="2"/>
      <c r="AD495" s="2"/>
      <c r="AE495" s="2"/>
      <c r="AF495" s="2"/>
      <c r="AG495" s="2"/>
      <c r="AH495" s="2"/>
      <c r="AI495" s="2"/>
      <c r="AJ495" s="2"/>
      <c r="AK495" s="2"/>
      <c r="AL495" s="2"/>
      <c r="AM495" s="2"/>
      <c r="AN495" s="9"/>
      <c r="AO495" s="9"/>
      <c r="AP495" s="9"/>
      <c r="AQ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224"/>
      <c r="X496" s="224"/>
      <c r="Y496" s="868"/>
      <c r="Z496" s="865"/>
      <c r="AA496" s="2"/>
      <c r="AB496" s="2"/>
      <c r="AC496" s="2"/>
      <c r="AD496" s="2"/>
      <c r="AE496" s="2"/>
      <c r="AF496" s="2"/>
      <c r="AG496" s="2"/>
      <c r="AH496" s="2"/>
      <c r="AI496" s="2"/>
      <c r="AJ496" s="2"/>
      <c r="AK496" s="2"/>
      <c r="AL496" s="2"/>
      <c r="AM496" s="2"/>
      <c r="AN496" s="9"/>
      <c r="AO496" s="9"/>
      <c r="AP496" s="9"/>
      <c r="AQ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224"/>
      <c r="X497" s="224"/>
      <c r="Y497" s="868"/>
      <c r="Z497" s="865"/>
      <c r="AA497" s="2"/>
      <c r="AB497" s="2"/>
      <c r="AC497" s="2"/>
      <c r="AD497" s="2"/>
      <c r="AE497" s="2"/>
      <c r="AF497" s="2"/>
      <c r="AG497" s="2"/>
      <c r="AH497" s="2"/>
      <c r="AI497" s="2"/>
      <c r="AJ497" s="2"/>
      <c r="AK497" s="2"/>
      <c r="AL497" s="2"/>
      <c r="AM497" s="2"/>
      <c r="AN497" s="9"/>
      <c r="AO497" s="9"/>
      <c r="AP497" s="9"/>
      <c r="AQ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224"/>
      <c r="X498" s="224"/>
      <c r="Y498" s="868"/>
      <c r="Z498" s="865"/>
      <c r="AA498" s="2"/>
      <c r="AB498" s="2"/>
      <c r="AC498" s="2"/>
      <c r="AD498" s="2"/>
      <c r="AE498" s="2"/>
      <c r="AF498" s="2"/>
      <c r="AG498" s="2"/>
      <c r="AH498" s="2"/>
      <c r="AI498" s="2"/>
      <c r="AJ498" s="2"/>
      <c r="AK498" s="2"/>
      <c r="AL498" s="2"/>
      <c r="AM498" s="2"/>
      <c r="AN498" s="9"/>
      <c r="AO498" s="9"/>
      <c r="AP498" s="9"/>
      <c r="AQ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224"/>
      <c r="X499" s="224"/>
      <c r="Y499" s="868"/>
      <c r="Z499" s="865"/>
      <c r="AA499" s="2"/>
      <c r="AB499" s="2"/>
      <c r="AC499" s="2"/>
      <c r="AD499" s="2"/>
      <c r="AE499" s="2"/>
      <c r="AF499" s="2"/>
      <c r="AG499" s="2"/>
      <c r="AH499" s="2"/>
      <c r="AI499" s="2"/>
      <c r="AJ499" s="2"/>
      <c r="AK499" s="2"/>
      <c r="AL499" s="2"/>
      <c r="AM499" s="2"/>
      <c r="AN499" s="9"/>
      <c r="AO499" s="9"/>
      <c r="AP499" s="9"/>
      <c r="AQ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224"/>
      <c r="X500" s="224"/>
      <c r="Y500" s="868"/>
      <c r="Z500" s="865"/>
      <c r="AA500" s="2"/>
      <c r="AB500" s="2"/>
      <c r="AC500" s="2"/>
      <c r="AD500" s="2"/>
      <c r="AE500" s="2"/>
      <c r="AF500" s="2"/>
      <c r="AG500" s="2"/>
      <c r="AH500" s="2"/>
      <c r="AI500" s="2"/>
      <c r="AJ500" s="2"/>
      <c r="AK500" s="2"/>
      <c r="AL500" s="2"/>
      <c r="AM500" s="2"/>
      <c r="AN500" s="9"/>
      <c r="AO500" s="9"/>
      <c r="AP500" s="9"/>
      <c r="AQ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224"/>
      <c r="X501" s="224"/>
      <c r="Y501" s="868"/>
      <c r="Z501" s="865"/>
      <c r="AA501" s="2"/>
      <c r="AB501" s="2"/>
      <c r="AC501" s="2"/>
      <c r="AD501" s="2"/>
      <c r="AE501" s="2"/>
      <c r="AF501" s="2"/>
      <c r="AG501" s="2"/>
      <c r="AH501" s="2"/>
      <c r="AI501" s="2"/>
      <c r="AJ501" s="2"/>
      <c r="AK501" s="2"/>
      <c r="AL501" s="2"/>
      <c r="AM501" s="2"/>
      <c r="AN501" s="9"/>
      <c r="AO501" s="9"/>
      <c r="AP501" s="9"/>
      <c r="AQ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224"/>
      <c r="X502" s="224"/>
      <c r="Y502" s="868"/>
      <c r="Z502" s="865"/>
      <c r="AA502" s="2"/>
      <c r="AB502" s="2"/>
      <c r="AC502" s="2"/>
      <c r="AD502" s="2"/>
      <c r="AE502" s="2"/>
      <c r="AF502" s="2"/>
      <c r="AG502" s="2"/>
      <c r="AH502" s="2"/>
      <c r="AI502" s="2"/>
      <c r="AJ502" s="2"/>
      <c r="AK502" s="2"/>
      <c r="AL502" s="2"/>
      <c r="AM502" s="2"/>
      <c r="AN502" s="9"/>
      <c r="AO502" s="9"/>
      <c r="AP502" s="9"/>
      <c r="AQ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224"/>
      <c r="X503" s="224"/>
      <c r="Y503" s="868"/>
      <c r="Z503" s="865"/>
      <c r="AA503" s="2"/>
      <c r="AB503" s="2"/>
      <c r="AC503" s="2"/>
      <c r="AD503" s="2"/>
      <c r="AE503" s="2"/>
      <c r="AF503" s="2"/>
      <c r="AG503" s="2"/>
      <c r="AH503" s="2"/>
      <c r="AI503" s="2"/>
      <c r="AJ503" s="2"/>
      <c r="AK503" s="2"/>
      <c r="AL503" s="2"/>
      <c r="AM503" s="2"/>
      <c r="AN503" s="9"/>
      <c r="AO503" s="9"/>
      <c r="AP503" s="9"/>
      <c r="AQ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224"/>
      <c r="X504" s="224"/>
      <c r="Y504" s="868"/>
      <c r="Z504" s="865"/>
      <c r="AA504" s="2"/>
      <c r="AB504" s="2"/>
      <c r="AC504" s="2"/>
      <c r="AD504" s="2"/>
      <c r="AE504" s="2"/>
      <c r="AF504" s="2"/>
      <c r="AG504" s="2"/>
      <c r="AH504" s="2"/>
      <c r="AI504" s="2"/>
      <c r="AJ504" s="2"/>
      <c r="AK504" s="2"/>
      <c r="AL504" s="2"/>
      <c r="AM504" s="2"/>
      <c r="AN504" s="9"/>
      <c r="AO504" s="9"/>
      <c r="AP504" s="9"/>
      <c r="AQ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224"/>
      <c r="X505" s="224"/>
      <c r="Y505" s="868"/>
      <c r="Z505" s="865"/>
      <c r="AA505" s="2"/>
      <c r="AB505" s="2"/>
      <c r="AC505" s="2"/>
      <c r="AD505" s="2"/>
      <c r="AE505" s="2"/>
      <c r="AF505" s="2"/>
      <c r="AG505" s="2"/>
      <c r="AH505" s="2"/>
      <c r="AI505" s="2"/>
      <c r="AJ505" s="2"/>
      <c r="AK505" s="2"/>
      <c r="AL505" s="2"/>
      <c r="AM505" s="2"/>
      <c r="AN505" s="9"/>
      <c r="AO505" s="9"/>
      <c r="AP505" s="9"/>
      <c r="AQ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224"/>
      <c r="X506" s="224"/>
      <c r="Y506" s="868"/>
      <c r="Z506" s="865"/>
      <c r="AA506" s="2"/>
      <c r="AB506" s="2"/>
      <c r="AC506" s="2"/>
      <c r="AD506" s="2"/>
      <c r="AE506" s="2"/>
      <c r="AF506" s="2"/>
      <c r="AG506" s="2"/>
      <c r="AH506" s="2"/>
      <c r="AI506" s="2"/>
      <c r="AJ506" s="2"/>
      <c r="AK506" s="2"/>
      <c r="AL506" s="2"/>
      <c r="AM506" s="2"/>
      <c r="AN506" s="9"/>
      <c r="AO506" s="9"/>
      <c r="AP506" s="9"/>
      <c r="AQ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224"/>
      <c r="X507" s="224"/>
      <c r="Y507" s="868"/>
      <c r="Z507" s="865"/>
      <c r="AA507" s="2"/>
      <c r="AB507" s="2"/>
      <c r="AC507" s="2"/>
      <c r="AD507" s="2"/>
      <c r="AE507" s="2"/>
      <c r="AF507" s="2"/>
      <c r="AG507" s="2"/>
      <c r="AH507" s="2"/>
      <c r="AI507" s="2"/>
      <c r="AJ507" s="2"/>
      <c r="AK507" s="2"/>
      <c r="AL507" s="2"/>
      <c r="AM507" s="2"/>
      <c r="AN507" s="9"/>
      <c r="AO507" s="9"/>
      <c r="AP507" s="9"/>
      <c r="AQ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224"/>
      <c r="X508" s="224"/>
      <c r="Y508" s="868"/>
      <c r="Z508" s="865"/>
      <c r="AA508" s="2"/>
      <c r="AB508" s="2"/>
      <c r="AC508" s="2"/>
      <c r="AD508" s="2"/>
      <c r="AE508" s="2"/>
      <c r="AF508" s="2"/>
      <c r="AG508" s="2"/>
      <c r="AH508" s="2"/>
      <c r="AI508" s="2"/>
      <c r="AJ508" s="2"/>
      <c r="AK508" s="2"/>
      <c r="AL508" s="2"/>
      <c r="AM508" s="2"/>
      <c r="AN508" s="9"/>
      <c r="AO508" s="9"/>
      <c r="AP508" s="9"/>
      <c r="AQ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224"/>
      <c r="X509" s="224"/>
      <c r="Y509" s="868"/>
      <c r="Z509" s="865"/>
      <c r="AA509" s="2"/>
      <c r="AB509" s="2"/>
      <c r="AC509" s="2"/>
      <c r="AD509" s="2"/>
      <c r="AE509" s="2"/>
      <c r="AF509" s="2"/>
      <c r="AG509" s="2"/>
      <c r="AH509" s="2"/>
      <c r="AI509" s="2"/>
      <c r="AJ509" s="2"/>
      <c r="AK509" s="2"/>
      <c r="AL509" s="2"/>
      <c r="AM509" s="2"/>
      <c r="AN509" s="9"/>
      <c r="AO509" s="9"/>
      <c r="AP509" s="9"/>
      <c r="AQ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224"/>
      <c r="X510" s="224"/>
      <c r="Y510" s="868"/>
      <c r="Z510" s="865"/>
      <c r="AA510" s="2"/>
      <c r="AB510" s="2"/>
      <c r="AC510" s="2"/>
      <c r="AD510" s="2"/>
      <c r="AE510" s="2"/>
      <c r="AF510" s="2"/>
      <c r="AG510" s="2"/>
      <c r="AH510" s="2"/>
      <c r="AI510" s="2"/>
      <c r="AJ510" s="2"/>
      <c r="AK510" s="2"/>
      <c r="AL510" s="2"/>
      <c r="AM510" s="2"/>
      <c r="AN510" s="9"/>
      <c r="AO510" s="9"/>
      <c r="AP510" s="9"/>
      <c r="AQ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224"/>
      <c r="X511" s="224"/>
      <c r="Y511" s="868"/>
      <c r="Z511" s="865"/>
      <c r="AA511" s="2"/>
      <c r="AB511" s="2"/>
      <c r="AC511" s="2"/>
      <c r="AD511" s="2"/>
      <c r="AE511" s="2"/>
      <c r="AF511" s="2"/>
      <c r="AG511" s="2"/>
      <c r="AH511" s="2"/>
      <c r="AI511" s="2"/>
      <c r="AJ511" s="2"/>
      <c r="AK511" s="2"/>
      <c r="AL511" s="2"/>
      <c r="AM511" s="2"/>
      <c r="AN511" s="9"/>
      <c r="AO511" s="9"/>
      <c r="AP511" s="9"/>
      <c r="AQ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224"/>
      <c r="X512" s="224"/>
      <c r="Y512" s="868"/>
      <c r="Z512" s="865"/>
      <c r="AA512" s="2"/>
      <c r="AB512" s="2"/>
      <c r="AC512" s="2"/>
      <c r="AD512" s="2"/>
      <c r="AE512" s="2"/>
      <c r="AF512" s="2"/>
      <c r="AG512" s="2"/>
      <c r="AH512" s="2"/>
      <c r="AI512" s="2"/>
      <c r="AJ512" s="2"/>
      <c r="AK512" s="2"/>
      <c r="AL512" s="2"/>
      <c r="AM512" s="2"/>
      <c r="AN512" s="9"/>
      <c r="AO512" s="9"/>
      <c r="AP512" s="9"/>
      <c r="AQ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224"/>
      <c r="X513" s="224"/>
      <c r="Y513" s="868"/>
      <c r="Z513" s="865"/>
      <c r="AA513" s="2"/>
      <c r="AB513" s="2"/>
      <c r="AC513" s="2"/>
      <c r="AD513" s="2"/>
      <c r="AE513" s="2"/>
      <c r="AF513" s="2"/>
      <c r="AG513" s="2"/>
      <c r="AH513" s="2"/>
      <c r="AI513" s="2"/>
      <c r="AJ513" s="2"/>
      <c r="AK513" s="2"/>
      <c r="AL513" s="2"/>
      <c r="AM513" s="2"/>
      <c r="AN513" s="9"/>
      <c r="AO513" s="9"/>
      <c r="AP513" s="9"/>
      <c r="AQ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224"/>
      <c r="X514" s="224"/>
      <c r="Y514" s="868"/>
      <c r="Z514" s="865"/>
      <c r="AA514" s="2"/>
      <c r="AB514" s="2"/>
      <c r="AC514" s="2"/>
      <c r="AD514" s="2"/>
      <c r="AE514" s="2"/>
      <c r="AF514" s="2"/>
      <c r="AG514" s="2"/>
      <c r="AH514" s="2"/>
      <c r="AI514" s="2"/>
      <c r="AJ514" s="2"/>
      <c r="AK514" s="2"/>
      <c r="AL514" s="2"/>
      <c r="AM514" s="2"/>
      <c r="AN514" s="9"/>
      <c r="AO514" s="9"/>
      <c r="AP514" s="9"/>
      <c r="AQ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224"/>
      <c r="X515" s="224"/>
      <c r="Y515" s="868"/>
      <c r="Z515" s="865"/>
      <c r="AA515" s="2"/>
      <c r="AB515" s="2"/>
      <c r="AC515" s="2"/>
      <c r="AD515" s="2"/>
      <c r="AE515" s="2"/>
      <c r="AF515" s="2"/>
      <c r="AG515" s="2"/>
      <c r="AH515" s="2"/>
      <c r="AI515" s="2"/>
      <c r="AJ515" s="2"/>
      <c r="AK515" s="2"/>
      <c r="AL515" s="2"/>
      <c r="AM515" s="2"/>
      <c r="AN515" s="9"/>
      <c r="AO515" s="9"/>
      <c r="AP515" s="9"/>
      <c r="AQ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224"/>
      <c r="X516" s="224"/>
      <c r="Y516" s="868"/>
      <c r="Z516" s="865"/>
      <c r="AA516" s="2"/>
      <c r="AB516" s="2"/>
      <c r="AC516" s="2"/>
      <c r="AD516" s="2"/>
      <c r="AE516" s="2"/>
      <c r="AF516" s="2"/>
      <c r="AG516" s="2"/>
      <c r="AH516" s="2"/>
      <c r="AI516" s="2"/>
      <c r="AJ516" s="2"/>
      <c r="AK516" s="2"/>
      <c r="AL516" s="2"/>
      <c r="AM516" s="2"/>
      <c r="AN516" s="9"/>
      <c r="AO516" s="9"/>
      <c r="AP516" s="9"/>
      <c r="AQ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224"/>
      <c r="X517" s="224"/>
      <c r="Y517" s="868"/>
      <c r="Z517" s="865"/>
      <c r="AA517" s="2"/>
      <c r="AB517" s="2"/>
      <c r="AC517" s="2"/>
      <c r="AD517" s="2"/>
      <c r="AE517" s="2"/>
      <c r="AF517" s="2"/>
      <c r="AG517" s="2"/>
      <c r="AH517" s="2"/>
      <c r="AI517" s="2"/>
      <c r="AJ517" s="2"/>
      <c r="AK517" s="2"/>
      <c r="AL517" s="2"/>
      <c r="AM517" s="2"/>
      <c r="AN517" s="9"/>
      <c r="AO517" s="9"/>
      <c r="AP517" s="9"/>
      <c r="AQ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224"/>
      <c r="X518" s="224"/>
      <c r="Y518" s="868"/>
      <c r="Z518" s="865"/>
      <c r="AA518" s="2"/>
      <c r="AB518" s="2"/>
      <c r="AC518" s="2"/>
      <c r="AD518" s="2"/>
      <c r="AE518" s="2"/>
      <c r="AF518" s="2"/>
      <c r="AG518" s="2"/>
      <c r="AH518" s="2"/>
      <c r="AI518" s="2"/>
      <c r="AJ518" s="2"/>
      <c r="AK518" s="2"/>
      <c r="AL518" s="2"/>
      <c r="AM518" s="2"/>
      <c r="AN518" s="9"/>
      <c r="AO518" s="9"/>
      <c r="AP518" s="9"/>
      <c r="AQ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224"/>
      <c r="X519" s="224"/>
      <c r="Y519" s="868"/>
      <c r="Z519" s="865"/>
      <c r="AA519" s="2"/>
      <c r="AB519" s="2"/>
      <c r="AC519" s="2"/>
      <c r="AD519" s="2"/>
      <c r="AE519" s="2"/>
      <c r="AF519" s="2"/>
      <c r="AG519" s="2"/>
      <c r="AH519" s="2"/>
      <c r="AI519" s="2"/>
      <c r="AJ519" s="2"/>
      <c r="AK519" s="2"/>
      <c r="AL519" s="2"/>
      <c r="AM519" s="2"/>
      <c r="AN519" s="9"/>
      <c r="AO519" s="9"/>
      <c r="AP519" s="9"/>
      <c r="AQ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224"/>
      <c r="X520" s="224"/>
      <c r="Y520" s="868"/>
      <c r="Z520" s="865"/>
      <c r="AA520" s="2"/>
      <c r="AB520" s="2"/>
      <c r="AC520" s="2"/>
      <c r="AD520" s="2"/>
      <c r="AE520" s="2"/>
      <c r="AF520" s="2"/>
      <c r="AG520" s="2"/>
      <c r="AH520" s="2"/>
      <c r="AI520" s="2"/>
      <c r="AJ520" s="2"/>
      <c r="AK520" s="2"/>
      <c r="AL520" s="2"/>
      <c r="AM520" s="2"/>
      <c r="AN520" s="9"/>
      <c r="AO520" s="9"/>
      <c r="AP520" s="9"/>
      <c r="AQ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224"/>
      <c r="X521" s="224"/>
      <c r="Y521" s="868"/>
      <c r="Z521" s="865"/>
      <c r="AA521" s="2"/>
      <c r="AB521" s="2"/>
      <c r="AC521" s="2"/>
      <c r="AD521" s="2"/>
      <c r="AE521" s="2"/>
      <c r="AF521" s="2"/>
      <c r="AG521" s="2"/>
      <c r="AH521" s="2"/>
      <c r="AI521" s="2"/>
      <c r="AJ521" s="2"/>
      <c r="AK521" s="2"/>
      <c r="AL521" s="2"/>
      <c r="AM521" s="2"/>
      <c r="AN521" s="9"/>
      <c r="AO521" s="9"/>
      <c r="AP521" s="9"/>
      <c r="AQ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224"/>
      <c r="X522" s="224"/>
      <c r="Y522" s="868"/>
      <c r="Z522" s="865"/>
      <c r="AA522" s="2"/>
      <c r="AB522" s="2"/>
      <c r="AC522" s="2"/>
      <c r="AD522" s="2"/>
      <c r="AE522" s="2"/>
      <c r="AF522" s="2"/>
      <c r="AG522" s="2"/>
      <c r="AH522" s="2"/>
      <c r="AI522" s="2"/>
      <c r="AJ522" s="2"/>
      <c r="AK522" s="2"/>
      <c r="AL522" s="2"/>
      <c r="AM522" s="2"/>
      <c r="AN522" s="9"/>
      <c r="AO522" s="9"/>
      <c r="AP522" s="9"/>
      <c r="AQ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224"/>
      <c r="X523" s="224"/>
      <c r="Y523" s="868"/>
      <c r="Z523" s="865"/>
      <c r="AA523" s="2"/>
      <c r="AB523" s="2"/>
      <c r="AC523" s="2"/>
      <c r="AD523" s="2"/>
      <c r="AE523" s="2"/>
      <c r="AF523" s="2"/>
      <c r="AG523" s="2"/>
      <c r="AH523" s="2"/>
      <c r="AI523" s="2"/>
      <c r="AJ523" s="2"/>
      <c r="AK523" s="2"/>
      <c r="AL523" s="2"/>
      <c r="AM523" s="2"/>
      <c r="AN523" s="9"/>
      <c r="AO523" s="9"/>
      <c r="AP523" s="9"/>
      <c r="AQ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224"/>
      <c r="X524" s="224"/>
      <c r="Y524" s="868"/>
      <c r="Z524" s="865"/>
      <c r="AA524" s="2"/>
      <c r="AB524" s="2"/>
      <c r="AC524" s="2"/>
      <c r="AD524" s="2"/>
      <c r="AE524" s="2"/>
      <c r="AF524" s="2"/>
      <c r="AG524" s="2"/>
      <c r="AH524" s="2"/>
      <c r="AI524" s="2"/>
      <c r="AJ524" s="2"/>
      <c r="AK524" s="2"/>
      <c r="AL524" s="2"/>
      <c r="AM524" s="2"/>
      <c r="AN524" s="9"/>
      <c r="AO524" s="9"/>
      <c r="AP524" s="9"/>
      <c r="AQ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224"/>
      <c r="X525" s="224"/>
      <c r="Y525" s="868"/>
      <c r="Z525" s="865"/>
      <c r="AA525" s="2"/>
      <c r="AB525" s="2"/>
      <c r="AC525" s="2"/>
      <c r="AD525" s="2"/>
      <c r="AE525" s="2"/>
      <c r="AF525" s="2"/>
      <c r="AG525" s="2"/>
      <c r="AH525" s="2"/>
      <c r="AI525" s="2"/>
      <c r="AJ525" s="2"/>
      <c r="AK525" s="2"/>
      <c r="AL525" s="2"/>
      <c r="AM525" s="2"/>
      <c r="AN525" s="9"/>
      <c r="AO525" s="9"/>
      <c r="AP525" s="9"/>
      <c r="AQ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224"/>
      <c r="X526" s="224"/>
      <c r="Y526" s="868"/>
      <c r="Z526" s="865"/>
      <c r="AA526" s="2"/>
      <c r="AB526" s="2"/>
      <c r="AC526" s="2"/>
      <c r="AD526" s="2"/>
      <c r="AE526" s="2"/>
      <c r="AF526" s="2"/>
      <c r="AG526" s="2"/>
      <c r="AH526" s="2"/>
      <c r="AI526" s="2"/>
      <c r="AJ526" s="2"/>
      <c r="AK526" s="2"/>
      <c r="AL526" s="2"/>
      <c r="AM526" s="2"/>
      <c r="AN526" s="9"/>
      <c r="AO526" s="9"/>
      <c r="AP526" s="9"/>
      <c r="AQ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224"/>
      <c r="X527" s="224"/>
      <c r="Y527" s="868"/>
      <c r="Z527" s="865"/>
      <c r="AA527" s="2"/>
      <c r="AB527" s="2"/>
      <c r="AC527" s="2"/>
      <c r="AD527" s="2"/>
      <c r="AE527" s="2"/>
      <c r="AF527" s="2"/>
      <c r="AG527" s="2"/>
      <c r="AH527" s="2"/>
      <c r="AI527" s="2"/>
      <c r="AJ527" s="2"/>
      <c r="AK527" s="2"/>
      <c r="AL527" s="2"/>
      <c r="AM527" s="2"/>
      <c r="AN527" s="9"/>
      <c r="AO527" s="9"/>
      <c r="AP527" s="9"/>
      <c r="AQ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224"/>
      <c r="X528" s="224"/>
      <c r="Y528" s="868"/>
      <c r="Z528" s="865"/>
      <c r="AA528" s="2"/>
      <c r="AB528" s="2"/>
      <c r="AC528" s="2"/>
      <c r="AD528" s="2"/>
      <c r="AE528" s="2"/>
      <c r="AF528" s="2"/>
      <c r="AG528" s="2"/>
      <c r="AH528" s="2"/>
      <c r="AI528" s="2"/>
      <c r="AJ528" s="2"/>
      <c r="AK528" s="2"/>
      <c r="AL528" s="2"/>
      <c r="AM528" s="2"/>
      <c r="AN528" s="9"/>
      <c r="AO528" s="9"/>
      <c r="AP528" s="9"/>
      <c r="AQ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224"/>
      <c r="X529" s="224"/>
      <c r="Y529" s="868"/>
      <c r="Z529" s="865"/>
      <c r="AA529" s="2"/>
      <c r="AB529" s="2"/>
      <c r="AC529" s="2"/>
      <c r="AD529" s="2"/>
      <c r="AE529" s="2"/>
      <c r="AF529" s="2"/>
      <c r="AG529" s="2"/>
      <c r="AH529" s="2"/>
      <c r="AI529" s="2"/>
      <c r="AJ529" s="2"/>
      <c r="AK529" s="2"/>
      <c r="AL529" s="2"/>
      <c r="AM529" s="2"/>
      <c r="AN529" s="9"/>
      <c r="AO529" s="9"/>
      <c r="AP529" s="9"/>
      <c r="AQ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224"/>
      <c r="X530" s="224"/>
      <c r="Y530" s="868"/>
      <c r="Z530" s="865"/>
      <c r="AA530" s="2"/>
      <c r="AB530" s="2"/>
      <c r="AC530" s="2"/>
      <c r="AD530" s="2"/>
      <c r="AE530" s="2"/>
      <c r="AF530" s="2"/>
      <c r="AG530" s="2"/>
      <c r="AH530" s="2"/>
      <c r="AI530" s="2"/>
      <c r="AJ530" s="2"/>
      <c r="AK530" s="2"/>
      <c r="AL530" s="2"/>
      <c r="AM530" s="2"/>
      <c r="AN530" s="9"/>
      <c r="AO530" s="9"/>
      <c r="AP530" s="9"/>
      <c r="AQ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224"/>
      <c r="X531" s="224"/>
      <c r="Y531" s="868"/>
      <c r="Z531" s="865"/>
      <c r="AA531" s="2"/>
      <c r="AB531" s="2"/>
      <c r="AC531" s="2"/>
      <c r="AD531" s="2"/>
      <c r="AE531" s="2"/>
      <c r="AF531" s="2"/>
      <c r="AG531" s="2"/>
      <c r="AH531" s="2"/>
      <c r="AI531" s="2"/>
      <c r="AJ531" s="2"/>
      <c r="AK531" s="2"/>
      <c r="AL531" s="2"/>
      <c r="AM531" s="2"/>
      <c r="AN531" s="9"/>
      <c r="AO531" s="9"/>
      <c r="AP531" s="9"/>
      <c r="AQ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224"/>
      <c r="X532" s="224"/>
      <c r="Y532" s="868"/>
      <c r="Z532" s="865"/>
      <c r="AA532" s="2"/>
      <c r="AB532" s="2"/>
      <c r="AC532" s="2"/>
      <c r="AD532" s="2"/>
      <c r="AE532" s="2"/>
      <c r="AF532" s="2"/>
      <c r="AG532" s="2"/>
      <c r="AH532" s="2"/>
      <c r="AI532" s="2"/>
      <c r="AJ532" s="2"/>
      <c r="AK532" s="2"/>
      <c r="AL532" s="2"/>
      <c r="AM532" s="2"/>
      <c r="AN532" s="9"/>
      <c r="AO532" s="9"/>
      <c r="AP532" s="9"/>
      <c r="AQ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224"/>
      <c r="X533" s="224"/>
      <c r="Y533" s="868"/>
      <c r="Z533" s="865"/>
      <c r="AA533" s="2"/>
      <c r="AB533" s="2"/>
      <c r="AC533" s="2"/>
      <c r="AD533" s="2"/>
      <c r="AE533" s="2"/>
      <c r="AF533" s="2"/>
      <c r="AG533" s="2"/>
      <c r="AH533" s="2"/>
      <c r="AI533" s="2"/>
      <c r="AJ533" s="2"/>
      <c r="AK533" s="2"/>
      <c r="AL533" s="2"/>
      <c r="AM533" s="2"/>
      <c r="AN533" s="9"/>
      <c r="AO533" s="9"/>
      <c r="AP533" s="9"/>
      <c r="AQ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224"/>
      <c r="X534" s="224"/>
      <c r="Y534" s="868"/>
      <c r="Z534" s="865"/>
      <c r="AA534" s="2"/>
      <c r="AB534" s="2"/>
      <c r="AC534" s="2"/>
      <c r="AD534" s="2"/>
      <c r="AE534" s="2"/>
      <c r="AF534" s="2"/>
      <c r="AG534" s="2"/>
      <c r="AH534" s="2"/>
      <c r="AI534" s="2"/>
      <c r="AJ534" s="2"/>
      <c r="AK534" s="2"/>
      <c r="AL534" s="2"/>
      <c r="AM534" s="2"/>
      <c r="AN534" s="9"/>
      <c r="AO534" s="9"/>
      <c r="AP534" s="9"/>
      <c r="AQ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224"/>
      <c r="X535" s="224"/>
      <c r="Y535" s="868"/>
      <c r="Z535" s="865"/>
      <c r="AA535" s="2"/>
      <c r="AB535" s="2"/>
      <c r="AC535" s="2"/>
      <c r="AD535" s="2"/>
      <c r="AE535" s="2"/>
      <c r="AF535" s="2"/>
      <c r="AG535" s="2"/>
      <c r="AH535" s="2"/>
      <c r="AI535" s="2"/>
      <c r="AJ535" s="2"/>
      <c r="AK535" s="2"/>
      <c r="AL535" s="2"/>
      <c r="AM535" s="2"/>
      <c r="AN535" s="9"/>
      <c r="AO535" s="9"/>
      <c r="AP535" s="9"/>
      <c r="AQ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224"/>
      <c r="X536" s="224"/>
      <c r="Y536" s="868"/>
      <c r="Z536" s="865"/>
      <c r="AA536" s="2"/>
      <c r="AB536" s="2"/>
      <c r="AC536" s="2"/>
      <c r="AD536" s="2"/>
      <c r="AE536" s="2"/>
      <c r="AF536" s="2"/>
      <c r="AG536" s="2"/>
      <c r="AH536" s="2"/>
      <c r="AI536" s="2"/>
      <c r="AJ536" s="2"/>
      <c r="AK536" s="2"/>
      <c r="AL536" s="2"/>
      <c r="AM536" s="2"/>
      <c r="AN536" s="9"/>
      <c r="AO536" s="9"/>
      <c r="AP536" s="9"/>
      <c r="AQ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224"/>
      <c r="X537" s="224"/>
      <c r="Y537" s="868"/>
      <c r="Z537" s="865"/>
      <c r="AA537" s="2"/>
      <c r="AB537" s="2"/>
      <c r="AC537" s="2"/>
      <c r="AD537" s="2"/>
      <c r="AE537" s="2"/>
      <c r="AF537" s="2"/>
      <c r="AG537" s="2"/>
      <c r="AH537" s="2"/>
      <c r="AI537" s="2"/>
      <c r="AJ537" s="2"/>
      <c r="AK537" s="2"/>
      <c r="AL537" s="2"/>
      <c r="AM537" s="2"/>
      <c r="AN537" s="9"/>
      <c r="AO537" s="9"/>
      <c r="AP537" s="9"/>
      <c r="AQ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224"/>
      <c r="X538" s="224"/>
      <c r="Y538" s="868"/>
      <c r="Z538" s="865"/>
      <c r="AA538" s="2"/>
      <c r="AB538" s="2"/>
      <c r="AC538" s="2"/>
      <c r="AD538" s="2"/>
      <c r="AE538" s="2"/>
      <c r="AF538" s="2"/>
      <c r="AG538" s="2"/>
      <c r="AH538" s="2"/>
      <c r="AI538" s="2"/>
      <c r="AJ538" s="2"/>
      <c r="AK538" s="2"/>
      <c r="AL538" s="2"/>
      <c r="AM538" s="2"/>
      <c r="AN538" s="9"/>
      <c r="AO538" s="9"/>
      <c r="AP538" s="9"/>
      <c r="AQ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224"/>
      <c r="X539" s="224"/>
      <c r="Y539" s="868"/>
      <c r="Z539" s="865"/>
      <c r="AA539" s="2"/>
      <c r="AB539" s="2"/>
      <c r="AC539" s="2"/>
      <c r="AD539" s="2"/>
      <c r="AE539" s="2"/>
      <c r="AF539" s="2"/>
      <c r="AG539" s="2"/>
      <c r="AH539" s="2"/>
      <c r="AI539" s="2"/>
      <c r="AJ539" s="2"/>
      <c r="AK539" s="2"/>
      <c r="AL539" s="2"/>
      <c r="AM539" s="2"/>
      <c r="AN539" s="9"/>
      <c r="AO539" s="9"/>
      <c r="AP539" s="9"/>
      <c r="AQ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224"/>
      <c r="X540" s="224"/>
      <c r="Y540" s="868"/>
      <c r="Z540" s="865"/>
      <c r="AA540" s="2"/>
      <c r="AB540" s="2"/>
      <c r="AC540" s="2"/>
      <c r="AD540" s="2"/>
      <c r="AE540" s="2"/>
      <c r="AF540" s="2"/>
      <c r="AG540" s="2"/>
      <c r="AH540" s="2"/>
      <c r="AI540" s="2"/>
      <c r="AJ540" s="2"/>
      <c r="AK540" s="2"/>
      <c r="AL540" s="2"/>
      <c r="AM540" s="2"/>
      <c r="AN540" s="9"/>
      <c r="AO540" s="9"/>
      <c r="AP540" s="9"/>
      <c r="AQ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224"/>
      <c r="X541" s="224"/>
      <c r="Y541" s="868"/>
      <c r="Z541" s="865"/>
      <c r="AA541" s="2"/>
      <c r="AB541" s="2"/>
      <c r="AC541" s="2"/>
      <c r="AD541" s="2"/>
      <c r="AE541" s="2"/>
      <c r="AF541" s="2"/>
      <c r="AG541" s="2"/>
      <c r="AH541" s="2"/>
      <c r="AI541" s="2"/>
      <c r="AJ541" s="2"/>
      <c r="AK541" s="2"/>
      <c r="AL541" s="2"/>
      <c r="AM541" s="2"/>
      <c r="AN541" s="9"/>
      <c r="AO541" s="9"/>
      <c r="AP541" s="9"/>
      <c r="AQ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224"/>
      <c r="X542" s="224"/>
      <c r="Y542" s="868"/>
      <c r="Z542" s="865"/>
      <c r="AA542" s="2"/>
      <c r="AB542" s="2"/>
      <c r="AC542" s="2"/>
      <c r="AD542" s="2"/>
      <c r="AE542" s="2"/>
      <c r="AF542" s="2"/>
      <c r="AG542" s="2"/>
      <c r="AH542" s="2"/>
      <c r="AI542" s="2"/>
      <c r="AJ542" s="2"/>
      <c r="AK542" s="2"/>
      <c r="AL542" s="2"/>
      <c r="AM542" s="2"/>
      <c r="AN542" s="9"/>
      <c r="AO542" s="9"/>
      <c r="AP542" s="9"/>
      <c r="AQ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224"/>
      <c r="X543" s="224"/>
      <c r="Y543" s="868"/>
      <c r="Z543" s="865"/>
      <c r="AA543" s="2"/>
      <c r="AB543" s="2"/>
      <c r="AC543" s="2"/>
      <c r="AD543" s="2"/>
      <c r="AE543" s="2"/>
      <c r="AF543" s="2"/>
      <c r="AG543" s="2"/>
      <c r="AH543" s="2"/>
      <c r="AI543" s="2"/>
      <c r="AJ543" s="2"/>
      <c r="AK543" s="2"/>
      <c r="AL543" s="2"/>
      <c r="AM543" s="2"/>
      <c r="AN543" s="9"/>
      <c r="AO543" s="9"/>
      <c r="AP543" s="9"/>
      <c r="AQ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224"/>
      <c r="X544" s="224"/>
      <c r="Y544" s="868"/>
      <c r="Z544" s="865"/>
      <c r="AA544" s="2"/>
      <c r="AB544" s="2"/>
      <c r="AC544" s="2"/>
      <c r="AD544" s="2"/>
      <c r="AE544" s="2"/>
      <c r="AF544" s="2"/>
      <c r="AG544" s="2"/>
      <c r="AH544" s="2"/>
      <c r="AI544" s="2"/>
      <c r="AJ544" s="2"/>
      <c r="AK544" s="2"/>
      <c r="AL544" s="2"/>
      <c r="AM544" s="2"/>
      <c r="AN544" s="9"/>
      <c r="AO544" s="9"/>
      <c r="AP544" s="9"/>
      <c r="AQ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224"/>
      <c r="X545" s="224"/>
      <c r="Y545" s="868"/>
      <c r="Z545" s="865"/>
      <c r="AA545" s="2"/>
      <c r="AB545" s="2"/>
      <c r="AC545" s="2"/>
      <c r="AD545" s="2"/>
      <c r="AE545" s="2"/>
      <c r="AF545" s="2"/>
      <c r="AG545" s="2"/>
      <c r="AH545" s="2"/>
      <c r="AI545" s="2"/>
      <c r="AJ545" s="2"/>
      <c r="AK545" s="2"/>
      <c r="AL545" s="2"/>
      <c r="AM545" s="2"/>
      <c r="AN545" s="9"/>
      <c r="AO545" s="9"/>
      <c r="AP545" s="9"/>
      <c r="AQ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224"/>
      <c r="X546" s="224"/>
      <c r="Y546" s="868"/>
      <c r="Z546" s="865"/>
      <c r="AA546" s="2"/>
      <c r="AB546" s="2"/>
      <c r="AC546" s="2"/>
      <c r="AD546" s="2"/>
      <c r="AE546" s="2"/>
      <c r="AF546" s="2"/>
      <c r="AG546" s="2"/>
      <c r="AH546" s="2"/>
      <c r="AI546" s="2"/>
      <c r="AJ546" s="2"/>
      <c r="AK546" s="2"/>
      <c r="AL546" s="2"/>
      <c r="AM546" s="2"/>
      <c r="AN546" s="9"/>
      <c r="AO546" s="9"/>
      <c r="AP546" s="9"/>
      <c r="AQ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224"/>
      <c r="X547" s="224"/>
      <c r="Y547" s="868"/>
      <c r="Z547" s="865"/>
      <c r="AA547" s="2"/>
      <c r="AB547" s="2"/>
      <c r="AC547" s="2"/>
      <c r="AD547" s="2"/>
      <c r="AE547" s="2"/>
      <c r="AF547" s="2"/>
      <c r="AG547" s="2"/>
      <c r="AH547" s="2"/>
      <c r="AI547" s="2"/>
      <c r="AJ547" s="2"/>
      <c r="AK547" s="2"/>
      <c r="AL547" s="2"/>
      <c r="AM547" s="2"/>
      <c r="AN547" s="9"/>
      <c r="AO547" s="9"/>
      <c r="AP547" s="9"/>
      <c r="AQ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224"/>
      <c r="X548" s="224"/>
      <c r="Y548" s="868"/>
      <c r="Z548" s="865"/>
      <c r="AA548" s="2"/>
      <c r="AB548" s="2"/>
      <c r="AC548" s="2"/>
      <c r="AD548" s="2"/>
      <c r="AE548" s="2"/>
      <c r="AF548" s="2"/>
      <c r="AG548" s="2"/>
      <c r="AH548" s="2"/>
      <c r="AI548" s="2"/>
      <c r="AJ548" s="2"/>
      <c r="AK548" s="2"/>
      <c r="AL548" s="2"/>
      <c r="AM548" s="2"/>
      <c r="AN548" s="9"/>
      <c r="AO548" s="9"/>
      <c r="AP548" s="9"/>
      <c r="AQ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224"/>
      <c r="X549" s="224"/>
      <c r="Y549" s="868"/>
      <c r="Z549" s="865"/>
      <c r="AA549" s="2"/>
      <c r="AB549" s="2"/>
      <c r="AC549" s="2"/>
      <c r="AD549" s="2"/>
      <c r="AE549" s="2"/>
      <c r="AF549" s="2"/>
      <c r="AG549" s="2"/>
      <c r="AH549" s="2"/>
      <c r="AI549" s="2"/>
      <c r="AJ549" s="2"/>
      <c r="AK549" s="2"/>
      <c r="AL549" s="2"/>
      <c r="AM549" s="2"/>
      <c r="AN549" s="9"/>
      <c r="AO549" s="9"/>
      <c r="AP549" s="9"/>
      <c r="AQ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224"/>
      <c r="X550" s="224"/>
      <c r="Y550" s="868"/>
      <c r="Z550" s="865"/>
      <c r="AA550" s="2"/>
      <c r="AB550" s="2"/>
      <c r="AC550" s="2"/>
      <c r="AD550" s="2"/>
      <c r="AE550" s="2"/>
      <c r="AF550" s="2"/>
      <c r="AG550" s="2"/>
      <c r="AH550" s="2"/>
      <c r="AI550" s="2"/>
      <c r="AJ550" s="2"/>
      <c r="AK550" s="2"/>
      <c r="AL550" s="2"/>
      <c r="AM550" s="2"/>
      <c r="AN550" s="9"/>
      <c r="AO550" s="9"/>
      <c r="AP550" s="9"/>
      <c r="AQ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224"/>
      <c r="X551" s="224"/>
      <c r="Y551" s="868"/>
      <c r="Z551" s="865"/>
      <c r="AA551" s="2"/>
      <c r="AB551" s="2"/>
      <c r="AC551" s="2"/>
      <c r="AD551" s="2"/>
      <c r="AE551" s="2"/>
      <c r="AF551" s="2"/>
      <c r="AG551" s="2"/>
      <c r="AH551" s="2"/>
      <c r="AI551" s="2"/>
      <c r="AJ551" s="2"/>
      <c r="AK551" s="2"/>
      <c r="AL551" s="2"/>
      <c r="AM551" s="2"/>
      <c r="AN551" s="9"/>
      <c r="AO551" s="9"/>
      <c r="AP551" s="9"/>
      <c r="AQ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224"/>
      <c r="X552" s="224"/>
      <c r="Y552" s="868"/>
      <c r="Z552" s="865"/>
      <c r="AA552" s="2"/>
      <c r="AB552" s="2"/>
      <c r="AC552" s="2"/>
      <c r="AD552" s="2"/>
      <c r="AE552" s="2"/>
      <c r="AF552" s="2"/>
      <c r="AG552" s="2"/>
      <c r="AH552" s="2"/>
      <c r="AI552" s="2"/>
      <c r="AJ552" s="2"/>
      <c r="AK552" s="2"/>
      <c r="AL552" s="2"/>
      <c r="AM552" s="2"/>
      <c r="AN552" s="9"/>
      <c r="AO552" s="9"/>
      <c r="AP552" s="9"/>
      <c r="AQ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224"/>
      <c r="X553" s="224"/>
      <c r="Y553" s="868"/>
      <c r="Z553" s="865"/>
      <c r="AA553" s="2"/>
      <c r="AB553" s="2"/>
      <c r="AC553" s="2"/>
      <c r="AD553" s="2"/>
      <c r="AE553" s="2"/>
      <c r="AF553" s="2"/>
      <c r="AG553" s="2"/>
      <c r="AH553" s="2"/>
      <c r="AI553" s="2"/>
      <c r="AJ553" s="2"/>
      <c r="AK553" s="2"/>
      <c r="AL553" s="2"/>
      <c r="AM553" s="2"/>
      <c r="AN553" s="9"/>
      <c r="AO553" s="9"/>
      <c r="AP553" s="9"/>
      <c r="AQ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224"/>
      <c r="X554" s="224"/>
      <c r="Y554" s="868"/>
      <c r="Z554" s="865"/>
      <c r="AA554" s="2"/>
      <c r="AB554" s="2"/>
      <c r="AC554" s="2"/>
      <c r="AD554" s="2"/>
      <c r="AE554" s="2"/>
      <c r="AF554" s="2"/>
      <c r="AG554" s="2"/>
      <c r="AH554" s="2"/>
      <c r="AI554" s="2"/>
      <c r="AJ554" s="2"/>
      <c r="AK554" s="2"/>
      <c r="AL554" s="2"/>
      <c r="AM554" s="2"/>
      <c r="AN554" s="9"/>
      <c r="AO554" s="9"/>
      <c r="AP554" s="9"/>
      <c r="AQ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224"/>
      <c r="X555" s="224"/>
      <c r="Y555" s="868"/>
      <c r="Z555" s="865"/>
      <c r="AA555" s="2"/>
      <c r="AB555" s="2"/>
      <c r="AC555" s="2"/>
      <c r="AD555" s="2"/>
      <c r="AE555" s="2"/>
      <c r="AF555" s="2"/>
      <c r="AG555" s="2"/>
      <c r="AH555" s="2"/>
      <c r="AI555" s="2"/>
      <c r="AJ555" s="2"/>
      <c r="AK555" s="2"/>
      <c r="AL555" s="2"/>
      <c r="AM555" s="2"/>
      <c r="AN555" s="9"/>
      <c r="AO555" s="9"/>
      <c r="AP555" s="9"/>
      <c r="AQ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224"/>
      <c r="X556" s="224"/>
      <c r="Y556" s="868"/>
      <c r="Z556" s="865"/>
      <c r="AA556" s="2"/>
      <c r="AB556" s="2"/>
      <c r="AC556" s="2"/>
      <c r="AD556" s="2"/>
      <c r="AE556" s="2"/>
      <c r="AF556" s="2"/>
      <c r="AG556" s="2"/>
      <c r="AH556" s="2"/>
      <c r="AI556" s="2"/>
      <c r="AJ556" s="2"/>
      <c r="AK556" s="2"/>
      <c r="AL556" s="2"/>
      <c r="AM556" s="2"/>
      <c r="AN556" s="9"/>
      <c r="AO556" s="9"/>
      <c r="AP556" s="9"/>
      <c r="AQ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224"/>
      <c r="X557" s="224"/>
      <c r="Y557" s="868"/>
      <c r="Z557" s="865"/>
      <c r="AA557" s="2"/>
      <c r="AB557" s="2"/>
      <c r="AC557" s="2"/>
      <c r="AD557" s="2"/>
      <c r="AE557" s="2"/>
      <c r="AF557" s="2"/>
      <c r="AG557" s="2"/>
      <c r="AH557" s="2"/>
      <c r="AI557" s="2"/>
      <c r="AJ557" s="2"/>
      <c r="AK557" s="2"/>
      <c r="AL557" s="2"/>
      <c r="AM557" s="2"/>
      <c r="AN557" s="9"/>
      <c r="AO557" s="9"/>
      <c r="AP557" s="9"/>
      <c r="AQ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224"/>
      <c r="X558" s="224"/>
      <c r="Y558" s="868"/>
      <c r="Z558" s="865"/>
      <c r="AA558" s="2"/>
      <c r="AB558" s="2"/>
      <c r="AC558" s="2"/>
      <c r="AD558" s="2"/>
      <c r="AE558" s="2"/>
      <c r="AF558" s="2"/>
      <c r="AG558" s="2"/>
      <c r="AH558" s="2"/>
      <c r="AI558" s="2"/>
      <c r="AJ558" s="2"/>
      <c r="AK558" s="2"/>
      <c r="AL558" s="2"/>
      <c r="AM558" s="2"/>
      <c r="AN558" s="9"/>
      <c r="AO558" s="9"/>
      <c r="AP558" s="9"/>
      <c r="AQ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224"/>
      <c r="X559" s="224"/>
      <c r="Y559" s="868"/>
      <c r="Z559" s="865"/>
      <c r="AA559" s="2"/>
      <c r="AB559" s="2"/>
      <c r="AC559" s="2"/>
      <c r="AD559" s="2"/>
      <c r="AE559" s="2"/>
      <c r="AF559" s="2"/>
      <c r="AG559" s="2"/>
      <c r="AH559" s="2"/>
      <c r="AI559" s="2"/>
      <c r="AJ559" s="2"/>
      <c r="AK559" s="2"/>
      <c r="AL559" s="2"/>
      <c r="AM559" s="2"/>
      <c r="AN559" s="9"/>
      <c r="AO559" s="9"/>
      <c r="AP559" s="9"/>
      <c r="AQ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224"/>
      <c r="X560" s="224"/>
      <c r="Y560" s="868"/>
      <c r="Z560" s="865"/>
      <c r="AA560" s="2"/>
      <c r="AB560" s="2"/>
      <c r="AC560" s="2"/>
      <c r="AD560" s="2"/>
      <c r="AE560" s="2"/>
      <c r="AF560" s="2"/>
      <c r="AG560" s="2"/>
      <c r="AH560" s="2"/>
      <c r="AI560" s="2"/>
      <c r="AJ560" s="2"/>
      <c r="AK560" s="2"/>
      <c r="AL560" s="2"/>
      <c r="AM560" s="2"/>
      <c r="AN560" s="9"/>
      <c r="AO560" s="9"/>
      <c r="AP560" s="9"/>
      <c r="AQ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224"/>
      <c r="X561" s="224"/>
      <c r="Y561" s="868"/>
      <c r="Z561" s="865"/>
      <c r="AA561" s="2"/>
      <c r="AB561" s="2"/>
      <c r="AC561" s="2"/>
      <c r="AD561" s="2"/>
      <c r="AE561" s="2"/>
      <c r="AF561" s="2"/>
      <c r="AG561" s="2"/>
      <c r="AH561" s="2"/>
      <c r="AI561" s="2"/>
      <c r="AJ561" s="2"/>
      <c r="AK561" s="2"/>
      <c r="AL561" s="2"/>
      <c r="AM561" s="2"/>
      <c r="AN561" s="9"/>
      <c r="AO561" s="9"/>
      <c r="AP561" s="9"/>
      <c r="AQ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224"/>
      <c r="X562" s="224"/>
      <c r="Y562" s="868"/>
      <c r="Z562" s="865"/>
      <c r="AA562" s="2"/>
      <c r="AB562" s="2"/>
      <c r="AC562" s="2"/>
      <c r="AD562" s="2"/>
      <c r="AE562" s="2"/>
      <c r="AF562" s="2"/>
      <c r="AG562" s="2"/>
      <c r="AH562" s="2"/>
      <c r="AI562" s="2"/>
      <c r="AJ562" s="2"/>
      <c r="AK562" s="2"/>
      <c r="AL562" s="2"/>
      <c r="AM562" s="2"/>
      <c r="AN562" s="9"/>
      <c r="AO562" s="9"/>
      <c r="AP562" s="9"/>
      <c r="AQ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224"/>
      <c r="X563" s="224"/>
      <c r="Y563" s="868"/>
      <c r="Z563" s="865"/>
      <c r="AA563" s="2"/>
      <c r="AB563" s="2"/>
      <c r="AC563" s="2"/>
      <c r="AD563" s="2"/>
      <c r="AE563" s="2"/>
      <c r="AF563" s="2"/>
      <c r="AG563" s="2"/>
      <c r="AH563" s="2"/>
      <c r="AI563" s="2"/>
      <c r="AJ563" s="2"/>
      <c r="AK563" s="2"/>
      <c r="AL563" s="2"/>
      <c r="AM563" s="2"/>
      <c r="AN563" s="9"/>
      <c r="AO563" s="9"/>
      <c r="AP563" s="9"/>
      <c r="AQ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224"/>
      <c r="X564" s="224"/>
      <c r="Y564" s="868"/>
      <c r="Z564" s="865"/>
      <c r="AA564" s="2"/>
      <c r="AB564" s="2"/>
      <c r="AC564" s="2"/>
      <c r="AD564" s="2"/>
      <c r="AE564" s="2"/>
      <c r="AF564" s="2"/>
      <c r="AG564" s="2"/>
      <c r="AH564" s="2"/>
      <c r="AI564" s="2"/>
      <c r="AJ564" s="2"/>
      <c r="AK564" s="2"/>
      <c r="AL564" s="2"/>
      <c r="AM564" s="2"/>
      <c r="AN564" s="9"/>
      <c r="AO564" s="9"/>
      <c r="AP564" s="9"/>
      <c r="AQ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224"/>
      <c r="X565" s="224"/>
      <c r="Y565" s="868"/>
      <c r="Z565" s="865"/>
      <c r="AA565" s="2"/>
      <c r="AB565" s="2"/>
      <c r="AC565" s="2"/>
      <c r="AD565" s="2"/>
      <c r="AE565" s="2"/>
      <c r="AF565" s="2"/>
      <c r="AG565" s="2"/>
      <c r="AH565" s="2"/>
      <c r="AI565" s="2"/>
      <c r="AJ565" s="2"/>
      <c r="AK565" s="2"/>
      <c r="AL565" s="2"/>
      <c r="AM565" s="2"/>
      <c r="AN565" s="9"/>
      <c r="AO565" s="9"/>
      <c r="AP565" s="9"/>
      <c r="AQ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224"/>
      <c r="X566" s="224"/>
      <c r="Y566" s="868"/>
      <c r="Z566" s="865"/>
      <c r="AA566" s="2"/>
      <c r="AB566" s="2"/>
      <c r="AC566" s="2"/>
      <c r="AD566" s="2"/>
      <c r="AE566" s="2"/>
      <c r="AF566" s="2"/>
      <c r="AG566" s="2"/>
      <c r="AH566" s="2"/>
      <c r="AI566" s="2"/>
      <c r="AJ566" s="2"/>
      <c r="AK566" s="2"/>
      <c r="AL566" s="2"/>
      <c r="AM566" s="2"/>
      <c r="AN566" s="9"/>
      <c r="AO566" s="9"/>
      <c r="AP566" s="9"/>
      <c r="AQ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224"/>
      <c r="X567" s="224"/>
      <c r="Y567" s="868"/>
      <c r="Z567" s="865"/>
      <c r="AA567" s="2"/>
      <c r="AB567" s="2"/>
      <c r="AC567" s="2"/>
      <c r="AD567" s="2"/>
      <c r="AE567" s="2"/>
      <c r="AF567" s="2"/>
      <c r="AG567" s="2"/>
      <c r="AH567" s="2"/>
      <c r="AI567" s="2"/>
      <c r="AJ567" s="2"/>
      <c r="AK567" s="2"/>
      <c r="AL567" s="2"/>
      <c r="AM567" s="2"/>
      <c r="AN567" s="9"/>
      <c r="AO567" s="9"/>
      <c r="AP567" s="9"/>
      <c r="AQ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224"/>
      <c r="X568" s="224"/>
      <c r="Y568" s="868"/>
      <c r="Z568" s="865"/>
      <c r="AA568" s="2"/>
      <c r="AB568" s="2"/>
      <c r="AC568" s="2"/>
      <c r="AD568" s="2"/>
      <c r="AE568" s="2"/>
      <c r="AF568" s="2"/>
      <c r="AG568" s="2"/>
      <c r="AH568" s="2"/>
      <c r="AI568" s="2"/>
      <c r="AJ568" s="2"/>
      <c r="AK568" s="2"/>
      <c r="AL568" s="2"/>
      <c r="AM568" s="2"/>
      <c r="AN568" s="9"/>
      <c r="AO568" s="9"/>
      <c r="AP568" s="9"/>
      <c r="AQ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224"/>
      <c r="X569" s="224"/>
      <c r="Y569" s="868"/>
      <c r="Z569" s="865"/>
      <c r="AA569" s="2"/>
      <c r="AB569" s="2"/>
      <c r="AC569" s="2"/>
      <c r="AD569" s="2"/>
      <c r="AE569" s="2"/>
      <c r="AF569" s="2"/>
      <c r="AG569" s="2"/>
      <c r="AH569" s="2"/>
      <c r="AI569" s="2"/>
      <c r="AJ569" s="2"/>
      <c r="AK569" s="2"/>
      <c r="AL569" s="2"/>
      <c r="AM569" s="2"/>
      <c r="AN569" s="9"/>
      <c r="AO569" s="9"/>
      <c r="AP569" s="9"/>
      <c r="AQ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224"/>
      <c r="X570" s="224"/>
      <c r="Y570" s="868"/>
      <c r="Z570" s="865"/>
      <c r="AA570" s="2"/>
      <c r="AB570" s="2"/>
      <c r="AC570" s="2"/>
      <c r="AD570" s="2"/>
      <c r="AE570" s="2"/>
      <c r="AF570" s="2"/>
      <c r="AG570" s="2"/>
      <c r="AH570" s="2"/>
      <c r="AI570" s="2"/>
      <c r="AJ570" s="2"/>
      <c r="AK570" s="2"/>
      <c r="AL570" s="2"/>
      <c r="AM570" s="2"/>
      <c r="AN570" s="9"/>
      <c r="AO570" s="9"/>
      <c r="AP570" s="9"/>
      <c r="AQ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224"/>
      <c r="X571" s="224"/>
      <c r="Y571" s="868"/>
      <c r="Z571" s="865"/>
      <c r="AA571" s="2"/>
      <c r="AB571" s="2"/>
      <c r="AC571" s="2"/>
      <c r="AD571" s="2"/>
      <c r="AE571" s="2"/>
      <c r="AF571" s="2"/>
      <c r="AG571" s="2"/>
      <c r="AH571" s="2"/>
      <c r="AI571" s="2"/>
      <c r="AJ571" s="2"/>
      <c r="AK571" s="2"/>
      <c r="AL571" s="2"/>
      <c r="AM571" s="2"/>
      <c r="AN571" s="9"/>
      <c r="AO571" s="9"/>
      <c r="AP571" s="9"/>
      <c r="AQ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224"/>
      <c r="X572" s="224"/>
      <c r="Y572" s="868"/>
      <c r="Z572" s="865"/>
      <c r="AA572" s="2"/>
      <c r="AB572" s="2"/>
      <c r="AC572" s="2"/>
      <c r="AD572" s="2"/>
      <c r="AE572" s="2"/>
      <c r="AF572" s="2"/>
      <c r="AG572" s="2"/>
      <c r="AH572" s="2"/>
      <c r="AI572" s="2"/>
      <c r="AJ572" s="2"/>
      <c r="AK572" s="2"/>
      <c r="AL572" s="2"/>
      <c r="AM572" s="2"/>
      <c r="AN572" s="9"/>
      <c r="AO572" s="9"/>
      <c r="AP572" s="9"/>
      <c r="AQ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224"/>
      <c r="X573" s="224"/>
      <c r="Y573" s="868"/>
      <c r="Z573" s="865"/>
      <c r="AA573" s="2"/>
      <c r="AB573" s="2"/>
      <c r="AC573" s="2"/>
      <c r="AD573" s="2"/>
      <c r="AE573" s="2"/>
      <c r="AF573" s="2"/>
      <c r="AG573" s="2"/>
      <c r="AH573" s="2"/>
      <c r="AI573" s="2"/>
      <c r="AJ573" s="2"/>
      <c r="AK573" s="2"/>
      <c r="AL573" s="2"/>
      <c r="AM573" s="2"/>
      <c r="AN573" s="9"/>
      <c r="AO573" s="9"/>
      <c r="AP573" s="9"/>
      <c r="AQ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224"/>
      <c r="X574" s="224"/>
      <c r="Y574" s="868"/>
      <c r="Z574" s="865"/>
      <c r="AA574" s="2"/>
      <c r="AB574" s="2"/>
      <c r="AC574" s="2"/>
      <c r="AD574" s="2"/>
      <c r="AE574" s="2"/>
      <c r="AF574" s="2"/>
      <c r="AG574" s="2"/>
      <c r="AH574" s="2"/>
      <c r="AI574" s="2"/>
      <c r="AJ574" s="2"/>
      <c r="AK574" s="2"/>
      <c r="AL574" s="2"/>
      <c r="AM574" s="2"/>
      <c r="AN574" s="9"/>
      <c r="AO574" s="9"/>
      <c r="AP574" s="9"/>
      <c r="AQ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224"/>
      <c r="X575" s="224"/>
      <c r="Y575" s="868"/>
      <c r="Z575" s="865"/>
      <c r="AA575" s="2"/>
      <c r="AB575" s="2"/>
      <c r="AC575" s="2"/>
      <c r="AD575" s="2"/>
      <c r="AE575" s="2"/>
      <c r="AF575" s="2"/>
      <c r="AG575" s="2"/>
      <c r="AH575" s="2"/>
      <c r="AI575" s="2"/>
      <c r="AJ575" s="2"/>
      <c r="AK575" s="2"/>
      <c r="AL575" s="2"/>
      <c r="AM575" s="2"/>
      <c r="AN575" s="9"/>
      <c r="AO575" s="9"/>
      <c r="AP575" s="9"/>
      <c r="AQ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224"/>
      <c r="X576" s="224"/>
      <c r="Y576" s="868"/>
      <c r="Z576" s="865"/>
      <c r="AA576" s="2"/>
      <c r="AB576" s="2"/>
      <c r="AC576" s="2"/>
      <c r="AD576" s="2"/>
      <c r="AE576" s="2"/>
      <c r="AF576" s="2"/>
      <c r="AG576" s="2"/>
      <c r="AH576" s="2"/>
      <c r="AI576" s="2"/>
      <c r="AJ576" s="2"/>
      <c r="AK576" s="2"/>
      <c r="AL576" s="2"/>
      <c r="AM576" s="2"/>
      <c r="AN576" s="9"/>
      <c r="AO576" s="9"/>
      <c r="AP576" s="9"/>
      <c r="AQ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224"/>
      <c r="X577" s="224"/>
      <c r="Y577" s="868"/>
      <c r="Z577" s="865"/>
      <c r="AA577" s="2"/>
      <c r="AB577" s="2"/>
      <c r="AC577" s="2"/>
      <c r="AD577" s="2"/>
      <c r="AE577" s="2"/>
      <c r="AF577" s="2"/>
      <c r="AG577" s="2"/>
      <c r="AH577" s="2"/>
      <c r="AI577" s="2"/>
      <c r="AJ577" s="2"/>
      <c r="AK577" s="2"/>
      <c r="AL577" s="2"/>
      <c r="AM577" s="2"/>
      <c r="AN577" s="9"/>
      <c r="AO577" s="9"/>
      <c r="AP577" s="9"/>
      <c r="AQ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224"/>
      <c r="X578" s="224"/>
      <c r="Y578" s="868"/>
      <c r="Z578" s="865"/>
      <c r="AA578" s="2"/>
      <c r="AB578" s="2"/>
      <c r="AC578" s="2"/>
      <c r="AD578" s="2"/>
      <c r="AE578" s="2"/>
      <c r="AF578" s="2"/>
      <c r="AG578" s="2"/>
      <c r="AH578" s="2"/>
      <c r="AI578" s="2"/>
      <c r="AJ578" s="2"/>
      <c r="AK578" s="2"/>
      <c r="AL578" s="2"/>
      <c r="AM578" s="2"/>
      <c r="AN578" s="9"/>
      <c r="AO578" s="9"/>
      <c r="AP578" s="9"/>
      <c r="AQ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224"/>
      <c r="X579" s="224"/>
      <c r="Y579" s="868"/>
      <c r="Z579" s="865"/>
      <c r="AA579" s="2"/>
      <c r="AB579" s="2"/>
      <c r="AC579" s="2"/>
      <c r="AD579" s="2"/>
      <c r="AE579" s="2"/>
      <c r="AF579" s="2"/>
      <c r="AG579" s="2"/>
      <c r="AH579" s="2"/>
      <c r="AI579" s="2"/>
      <c r="AJ579" s="2"/>
      <c r="AK579" s="2"/>
      <c r="AL579" s="2"/>
      <c r="AM579" s="2"/>
      <c r="AN579" s="9"/>
      <c r="AO579" s="9"/>
      <c r="AP579" s="9"/>
      <c r="AQ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224"/>
      <c r="X580" s="224"/>
      <c r="Y580" s="868"/>
      <c r="Z580" s="865"/>
      <c r="AA580" s="2"/>
      <c r="AB580" s="2"/>
      <c r="AC580" s="2"/>
      <c r="AD580" s="2"/>
      <c r="AE580" s="2"/>
      <c r="AF580" s="2"/>
      <c r="AG580" s="2"/>
      <c r="AH580" s="2"/>
      <c r="AI580" s="2"/>
      <c r="AJ580" s="2"/>
      <c r="AK580" s="2"/>
      <c r="AL580" s="2"/>
      <c r="AM580" s="2"/>
      <c r="AN580" s="9"/>
      <c r="AO580" s="9"/>
      <c r="AP580" s="9"/>
      <c r="AQ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224"/>
      <c r="X581" s="224"/>
      <c r="Y581" s="868"/>
      <c r="Z581" s="865"/>
      <c r="AA581" s="2"/>
      <c r="AB581" s="2"/>
      <c r="AC581" s="2"/>
      <c r="AD581" s="2"/>
      <c r="AE581" s="2"/>
      <c r="AF581" s="2"/>
      <c r="AG581" s="2"/>
      <c r="AH581" s="2"/>
      <c r="AI581" s="2"/>
      <c r="AJ581" s="2"/>
      <c r="AK581" s="2"/>
      <c r="AL581" s="2"/>
      <c r="AM581" s="2"/>
      <c r="AN581" s="9"/>
      <c r="AO581" s="9"/>
      <c r="AP581" s="9"/>
      <c r="AQ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224"/>
      <c r="X582" s="224"/>
      <c r="Y582" s="868"/>
      <c r="Z582" s="865"/>
      <c r="AA582" s="2"/>
      <c r="AB582" s="2"/>
      <c r="AC582" s="2"/>
      <c r="AD582" s="2"/>
      <c r="AE582" s="2"/>
      <c r="AF582" s="2"/>
      <c r="AG582" s="2"/>
      <c r="AH582" s="2"/>
      <c r="AI582" s="2"/>
      <c r="AJ582" s="2"/>
      <c r="AK582" s="2"/>
      <c r="AL582" s="2"/>
      <c r="AM582" s="2"/>
      <c r="AN582" s="9"/>
      <c r="AO582" s="9"/>
      <c r="AP582" s="9"/>
      <c r="AQ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224"/>
      <c r="X583" s="224"/>
      <c r="Y583" s="868"/>
      <c r="Z583" s="865"/>
      <c r="AA583" s="2"/>
      <c r="AB583" s="2"/>
      <c r="AC583" s="2"/>
      <c r="AD583" s="2"/>
      <c r="AE583" s="2"/>
      <c r="AF583" s="2"/>
      <c r="AG583" s="2"/>
      <c r="AH583" s="2"/>
      <c r="AI583" s="2"/>
      <c r="AJ583" s="2"/>
      <c r="AK583" s="2"/>
      <c r="AL583" s="2"/>
      <c r="AM583" s="2"/>
      <c r="AN583" s="9"/>
      <c r="AO583" s="9"/>
      <c r="AP583" s="9"/>
      <c r="AQ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224"/>
      <c r="X584" s="224"/>
      <c r="Y584" s="868"/>
      <c r="Z584" s="865"/>
      <c r="AA584" s="2"/>
      <c r="AB584" s="2"/>
      <c r="AC584" s="2"/>
      <c r="AD584" s="2"/>
      <c r="AE584" s="2"/>
      <c r="AF584" s="2"/>
      <c r="AG584" s="2"/>
      <c r="AH584" s="2"/>
      <c r="AI584" s="2"/>
      <c r="AJ584" s="2"/>
      <c r="AK584" s="2"/>
      <c r="AL584" s="2"/>
      <c r="AM584" s="2"/>
      <c r="AN584" s="9"/>
      <c r="AO584" s="9"/>
      <c r="AP584" s="9"/>
      <c r="AQ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224"/>
      <c r="X585" s="224"/>
      <c r="Y585" s="868"/>
      <c r="Z585" s="865"/>
      <c r="AA585" s="2"/>
      <c r="AB585" s="2"/>
      <c r="AC585" s="2"/>
      <c r="AD585" s="2"/>
      <c r="AE585" s="2"/>
      <c r="AF585" s="2"/>
      <c r="AG585" s="2"/>
      <c r="AH585" s="2"/>
      <c r="AI585" s="2"/>
      <c r="AJ585" s="2"/>
      <c r="AK585" s="2"/>
      <c r="AL585" s="2"/>
      <c r="AM585" s="2"/>
      <c r="AN585" s="9"/>
      <c r="AO585" s="9"/>
      <c r="AP585" s="9"/>
      <c r="AQ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224"/>
      <c r="X586" s="224"/>
      <c r="Y586" s="868"/>
      <c r="Z586" s="865"/>
      <c r="AA586" s="2"/>
      <c r="AB586" s="2"/>
      <c r="AC586" s="2"/>
      <c r="AD586" s="2"/>
      <c r="AE586" s="2"/>
      <c r="AF586" s="2"/>
      <c r="AG586" s="2"/>
      <c r="AH586" s="2"/>
      <c r="AI586" s="2"/>
      <c r="AJ586" s="2"/>
      <c r="AK586" s="2"/>
      <c r="AL586" s="2"/>
      <c r="AM586" s="2"/>
      <c r="AN586" s="9"/>
      <c r="AO586" s="9"/>
      <c r="AP586" s="9"/>
      <c r="AQ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224"/>
      <c r="X587" s="224"/>
      <c r="Y587" s="868"/>
      <c r="Z587" s="865"/>
      <c r="AA587" s="2"/>
      <c r="AB587" s="2"/>
      <c r="AC587" s="2"/>
      <c r="AD587" s="2"/>
      <c r="AE587" s="2"/>
      <c r="AF587" s="2"/>
      <c r="AG587" s="2"/>
      <c r="AH587" s="2"/>
      <c r="AI587" s="2"/>
      <c r="AJ587" s="2"/>
      <c r="AK587" s="2"/>
      <c r="AL587" s="2"/>
      <c r="AM587" s="2"/>
      <c r="AN587" s="9"/>
      <c r="AO587" s="9"/>
      <c r="AP587" s="9"/>
      <c r="AQ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224"/>
      <c r="X588" s="224"/>
      <c r="Y588" s="868"/>
      <c r="Z588" s="865"/>
      <c r="AA588" s="2"/>
      <c r="AB588" s="2"/>
      <c r="AC588" s="2"/>
      <c r="AD588" s="2"/>
      <c r="AE588" s="2"/>
      <c r="AF588" s="2"/>
      <c r="AG588" s="2"/>
      <c r="AH588" s="2"/>
      <c r="AI588" s="2"/>
      <c r="AJ588" s="2"/>
      <c r="AK588" s="2"/>
      <c r="AL588" s="2"/>
      <c r="AM588" s="2"/>
      <c r="AN588" s="9"/>
      <c r="AO588" s="9"/>
      <c r="AP588" s="9"/>
      <c r="AQ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224"/>
      <c r="X589" s="224"/>
      <c r="Y589" s="868"/>
      <c r="Z589" s="865"/>
      <c r="AA589" s="2"/>
      <c r="AB589" s="2"/>
      <c r="AC589" s="2"/>
      <c r="AD589" s="2"/>
      <c r="AE589" s="2"/>
      <c r="AF589" s="2"/>
      <c r="AG589" s="2"/>
      <c r="AH589" s="2"/>
      <c r="AI589" s="2"/>
      <c r="AJ589" s="2"/>
      <c r="AK589" s="2"/>
      <c r="AL589" s="2"/>
      <c r="AM589" s="2"/>
      <c r="AN589" s="9"/>
      <c r="AO589" s="9"/>
      <c r="AP589" s="9"/>
      <c r="AQ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224"/>
      <c r="X590" s="224"/>
      <c r="Y590" s="868"/>
      <c r="Z590" s="865"/>
      <c r="AA590" s="2"/>
      <c r="AB590" s="2"/>
      <c r="AC590" s="2"/>
      <c r="AD590" s="2"/>
      <c r="AE590" s="2"/>
      <c r="AF590" s="2"/>
      <c r="AG590" s="2"/>
      <c r="AH590" s="2"/>
      <c r="AI590" s="2"/>
      <c r="AJ590" s="2"/>
      <c r="AK590" s="2"/>
      <c r="AL590" s="2"/>
      <c r="AM590" s="2"/>
      <c r="AN590" s="9"/>
      <c r="AO590" s="9"/>
      <c r="AP590" s="9"/>
      <c r="AQ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224"/>
      <c r="X591" s="224"/>
      <c r="Y591" s="868"/>
      <c r="Z591" s="865"/>
      <c r="AA591" s="2"/>
      <c r="AB591" s="2"/>
      <c r="AC591" s="2"/>
      <c r="AD591" s="2"/>
      <c r="AE591" s="2"/>
      <c r="AF591" s="2"/>
      <c r="AG591" s="2"/>
      <c r="AH591" s="2"/>
      <c r="AI591" s="2"/>
      <c r="AJ591" s="2"/>
      <c r="AK591" s="2"/>
      <c r="AL591" s="2"/>
      <c r="AM591" s="2"/>
      <c r="AN591" s="9"/>
      <c r="AO591" s="9"/>
      <c r="AP591" s="9"/>
      <c r="AQ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224"/>
      <c r="X592" s="224"/>
      <c r="Y592" s="868"/>
      <c r="Z592" s="865"/>
      <c r="AA592" s="2"/>
      <c r="AB592" s="2"/>
      <c r="AC592" s="2"/>
      <c r="AD592" s="2"/>
      <c r="AE592" s="2"/>
      <c r="AF592" s="2"/>
      <c r="AG592" s="2"/>
      <c r="AH592" s="2"/>
      <c r="AI592" s="2"/>
      <c r="AJ592" s="2"/>
      <c r="AK592" s="2"/>
      <c r="AL592" s="2"/>
      <c r="AM592" s="2"/>
      <c r="AN592" s="9"/>
      <c r="AO592" s="9"/>
      <c r="AP592" s="9"/>
      <c r="AQ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224"/>
      <c r="X593" s="224"/>
      <c r="Y593" s="868"/>
      <c r="Z593" s="865"/>
      <c r="AA593" s="2"/>
      <c r="AB593" s="2"/>
      <c r="AC593" s="2"/>
      <c r="AD593" s="2"/>
      <c r="AE593" s="2"/>
      <c r="AF593" s="2"/>
      <c r="AG593" s="2"/>
      <c r="AH593" s="2"/>
      <c r="AI593" s="2"/>
      <c r="AJ593" s="2"/>
      <c r="AK593" s="2"/>
      <c r="AL593" s="2"/>
      <c r="AM593" s="2"/>
      <c r="AN593" s="9"/>
      <c r="AO593" s="9"/>
      <c r="AP593" s="9"/>
      <c r="AQ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224"/>
      <c r="X594" s="224"/>
      <c r="Y594" s="868"/>
      <c r="Z594" s="865"/>
      <c r="AA594" s="2"/>
      <c r="AB594" s="2"/>
      <c r="AC594" s="2"/>
      <c r="AD594" s="2"/>
      <c r="AE594" s="2"/>
      <c r="AF594" s="2"/>
      <c r="AG594" s="2"/>
      <c r="AH594" s="2"/>
      <c r="AI594" s="2"/>
      <c r="AJ594" s="2"/>
      <c r="AK594" s="2"/>
      <c r="AL594" s="2"/>
      <c r="AM594" s="2"/>
      <c r="AN594" s="9"/>
      <c r="AO594" s="9"/>
      <c r="AP594" s="9"/>
      <c r="AQ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224"/>
      <c r="X595" s="224"/>
      <c r="Y595" s="868"/>
      <c r="Z595" s="865"/>
      <c r="AA595" s="2"/>
      <c r="AB595" s="2"/>
      <c r="AC595" s="2"/>
      <c r="AD595" s="2"/>
      <c r="AE595" s="2"/>
      <c r="AF595" s="2"/>
      <c r="AG595" s="2"/>
      <c r="AH595" s="2"/>
      <c r="AI595" s="2"/>
      <c r="AJ595" s="2"/>
      <c r="AK595" s="2"/>
      <c r="AL595" s="2"/>
      <c r="AM595" s="2"/>
      <c r="AN595" s="9"/>
      <c r="AO595" s="9"/>
      <c r="AP595" s="9"/>
      <c r="AQ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224"/>
      <c r="X596" s="224"/>
      <c r="Y596" s="868"/>
      <c r="Z596" s="865"/>
      <c r="AA596" s="2"/>
      <c r="AB596" s="2"/>
      <c r="AC596" s="2"/>
      <c r="AD596" s="2"/>
      <c r="AE596" s="2"/>
      <c r="AF596" s="2"/>
      <c r="AG596" s="2"/>
      <c r="AH596" s="2"/>
      <c r="AI596" s="2"/>
      <c r="AJ596" s="2"/>
      <c r="AK596" s="2"/>
      <c r="AL596" s="2"/>
      <c r="AM596" s="2"/>
      <c r="AN596" s="9"/>
      <c r="AO596" s="9"/>
      <c r="AP596" s="9"/>
      <c r="AQ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224"/>
      <c r="X597" s="224"/>
      <c r="Y597" s="868"/>
      <c r="Z597" s="865"/>
      <c r="AA597" s="2"/>
      <c r="AB597" s="2"/>
      <c r="AC597" s="2"/>
      <c r="AD597" s="2"/>
      <c r="AE597" s="2"/>
      <c r="AF597" s="2"/>
      <c r="AG597" s="2"/>
      <c r="AH597" s="2"/>
      <c r="AI597" s="2"/>
      <c r="AJ597" s="2"/>
      <c r="AK597" s="2"/>
      <c r="AL597" s="2"/>
      <c r="AM597" s="2"/>
      <c r="AN597" s="9"/>
      <c r="AO597" s="9"/>
      <c r="AP597" s="9"/>
      <c r="AQ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224"/>
      <c r="X598" s="224"/>
      <c r="Y598" s="868"/>
      <c r="Z598" s="865"/>
      <c r="AA598" s="2"/>
      <c r="AB598" s="2"/>
      <c r="AC598" s="2"/>
      <c r="AD598" s="2"/>
      <c r="AE598" s="2"/>
      <c r="AF598" s="2"/>
      <c r="AG598" s="2"/>
      <c r="AH598" s="2"/>
      <c r="AI598" s="2"/>
      <c r="AJ598" s="2"/>
      <c r="AK598" s="2"/>
      <c r="AL598" s="2"/>
      <c r="AM598" s="2"/>
      <c r="AN598" s="9"/>
      <c r="AO598" s="9"/>
      <c r="AP598" s="9"/>
      <c r="AQ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224"/>
      <c r="X599" s="224"/>
      <c r="Y599" s="868"/>
      <c r="Z599" s="865"/>
      <c r="AA599" s="2"/>
      <c r="AB599" s="2"/>
      <c r="AC599" s="2"/>
      <c r="AD599" s="2"/>
      <c r="AE599" s="2"/>
      <c r="AF599" s="2"/>
      <c r="AG599" s="2"/>
      <c r="AH599" s="2"/>
      <c r="AI599" s="2"/>
      <c r="AJ599" s="2"/>
      <c r="AK599" s="2"/>
      <c r="AL599" s="2"/>
      <c r="AM599" s="2"/>
      <c r="AN599" s="9"/>
      <c r="AO599" s="9"/>
      <c r="AP599" s="9"/>
      <c r="AQ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224"/>
      <c r="X600" s="224"/>
      <c r="Y600" s="868"/>
      <c r="Z600" s="865"/>
      <c r="AA600" s="2"/>
      <c r="AB600" s="2"/>
      <c r="AC600" s="2"/>
      <c r="AD600" s="2"/>
      <c r="AE600" s="2"/>
      <c r="AF600" s="2"/>
      <c r="AG600" s="2"/>
      <c r="AH600" s="2"/>
      <c r="AI600" s="2"/>
      <c r="AJ600" s="2"/>
      <c r="AK600" s="2"/>
      <c r="AL600" s="2"/>
      <c r="AM600" s="2"/>
      <c r="AN600" s="9"/>
      <c r="AO600" s="9"/>
      <c r="AP600" s="9"/>
      <c r="AQ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224"/>
      <c r="X601" s="224"/>
      <c r="Y601" s="868"/>
      <c r="Z601" s="865"/>
      <c r="AA601" s="2"/>
      <c r="AB601" s="2"/>
      <c r="AC601" s="2"/>
      <c r="AD601" s="2"/>
      <c r="AE601" s="2"/>
      <c r="AF601" s="2"/>
      <c r="AG601" s="2"/>
      <c r="AH601" s="2"/>
      <c r="AI601" s="2"/>
      <c r="AJ601" s="2"/>
      <c r="AK601" s="2"/>
      <c r="AL601" s="2"/>
      <c r="AM601" s="2"/>
      <c r="AN601" s="9"/>
      <c r="AO601" s="9"/>
      <c r="AP601" s="9"/>
      <c r="AQ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224"/>
      <c r="X602" s="224"/>
      <c r="Y602" s="868"/>
      <c r="Z602" s="865"/>
      <c r="AA602" s="2"/>
      <c r="AB602" s="2"/>
      <c r="AC602" s="2"/>
      <c r="AD602" s="2"/>
      <c r="AE602" s="2"/>
      <c r="AF602" s="2"/>
      <c r="AG602" s="2"/>
      <c r="AH602" s="2"/>
      <c r="AI602" s="2"/>
      <c r="AJ602" s="2"/>
      <c r="AK602" s="2"/>
      <c r="AL602" s="2"/>
      <c r="AM602" s="2"/>
      <c r="AN602" s="9"/>
      <c r="AO602" s="9"/>
      <c r="AP602" s="9"/>
      <c r="AQ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224"/>
      <c r="X603" s="224"/>
      <c r="Y603" s="868"/>
      <c r="Z603" s="865"/>
      <c r="AA603" s="2"/>
      <c r="AB603" s="2"/>
      <c r="AC603" s="2"/>
      <c r="AD603" s="2"/>
      <c r="AE603" s="2"/>
      <c r="AF603" s="2"/>
      <c r="AG603" s="2"/>
      <c r="AH603" s="2"/>
      <c r="AI603" s="2"/>
      <c r="AJ603" s="2"/>
      <c r="AK603" s="2"/>
      <c r="AL603" s="2"/>
      <c r="AM603" s="2"/>
      <c r="AN603" s="9"/>
      <c r="AO603" s="9"/>
      <c r="AP603" s="9"/>
      <c r="AQ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224"/>
      <c r="X604" s="224"/>
      <c r="Y604" s="868"/>
      <c r="Z604" s="865"/>
      <c r="AA604" s="2"/>
      <c r="AB604" s="2"/>
      <c r="AC604" s="2"/>
      <c r="AD604" s="2"/>
      <c r="AE604" s="2"/>
      <c r="AF604" s="2"/>
      <c r="AG604" s="2"/>
      <c r="AH604" s="2"/>
      <c r="AI604" s="2"/>
      <c r="AJ604" s="2"/>
      <c r="AK604" s="2"/>
      <c r="AL604" s="2"/>
      <c r="AM604" s="2"/>
      <c r="AN604" s="9"/>
      <c r="AO604" s="9"/>
      <c r="AP604" s="9"/>
      <c r="AQ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224"/>
      <c r="X605" s="224"/>
      <c r="Y605" s="868"/>
      <c r="Z605" s="865"/>
      <c r="AA605" s="2"/>
      <c r="AB605" s="2"/>
      <c r="AC605" s="2"/>
      <c r="AD605" s="2"/>
      <c r="AE605" s="2"/>
      <c r="AF605" s="2"/>
      <c r="AG605" s="2"/>
      <c r="AH605" s="2"/>
      <c r="AI605" s="2"/>
      <c r="AJ605" s="2"/>
      <c r="AK605" s="2"/>
      <c r="AL605" s="2"/>
      <c r="AM605" s="2"/>
      <c r="AN605" s="9"/>
      <c r="AO605" s="9"/>
      <c r="AP605" s="9"/>
      <c r="AQ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224"/>
      <c r="X606" s="224"/>
      <c r="Y606" s="868"/>
      <c r="Z606" s="865"/>
      <c r="AA606" s="2"/>
      <c r="AB606" s="2"/>
      <c r="AC606" s="2"/>
      <c r="AD606" s="2"/>
      <c r="AE606" s="2"/>
      <c r="AF606" s="2"/>
      <c r="AG606" s="2"/>
      <c r="AH606" s="2"/>
      <c r="AI606" s="2"/>
      <c r="AJ606" s="2"/>
      <c r="AK606" s="2"/>
      <c r="AL606" s="2"/>
      <c r="AM606" s="2"/>
      <c r="AN606" s="9"/>
      <c r="AO606" s="9"/>
      <c r="AP606" s="9"/>
      <c r="AQ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224"/>
      <c r="X607" s="224"/>
      <c r="Y607" s="868"/>
      <c r="Z607" s="865"/>
      <c r="AA607" s="2"/>
      <c r="AB607" s="2"/>
      <c r="AC607" s="2"/>
      <c r="AD607" s="2"/>
      <c r="AE607" s="2"/>
      <c r="AF607" s="2"/>
      <c r="AG607" s="2"/>
      <c r="AH607" s="2"/>
      <c r="AI607" s="2"/>
      <c r="AJ607" s="2"/>
      <c r="AK607" s="2"/>
      <c r="AL607" s="2"/>
      <c r="AM607" s="2"/>
      <c r="AN607" s="9"/>
      <c r="AO607" s="9"/>
      <c r="AP607" s="9"/>
      <c r="AQ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224"/>
      <c r="X608" s="224"/>
      <c r="Y608" s="868"/>
      <c r="Z608" s="865"/>
      <c r="AA608" s="2"/>
      <c r="AB608" s="2"/>
      <c r="AC608" s="2"/>
      <c r="AD608" s="2"/>
      <c r="AE608" s="2"/>
      <c r="AF608" s="2"/>
      <c r="AG608" s="2"/>
      <c r="AH608" s="2"/>
      <c r="AI608" s="2"/>
      <c r="AJ608" s="2"/>
      <c r="AK608" s="2"/>
      <c r="AL608" s="2"/>
      <c r="AM608" s="2"/>
      <c r="AN608" s="9"/>
      <c r="AO608" s="9"/>
      <c r="AP608" s="9"/>
      <c r="AQ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224"/>
      <c r="X609" s="224"/>
      <c r="Y609" s="868"/>
      <c r="Z609" s="865"/>
      <c r="AA609" s="2"/>
      <c r="AB609" s="2"/>
      <c r="AC609" s="2"/>
      <c r="AD609" s="2"/>
      <c r="AE609" s="2"/>
      <c r="AF609" s="2"/>
      <c r="AG609" s="2"/>
      <c r="AH609" s="2"/>
      <c r="AI609" s="2"/>
      <c r="AJ609" s="2"/>
      <c r="AK609" s="2"/>
      <c r="AL609" s="2"/>
      <c r="AM609" s="2"/>
      <c r="AN609" s="9"/>
      <c r="AO609" s="9"/>
      <c r="AP609" s="9"/>
      <c r="AQ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224"/>
      <c r="X610" s="224"/>
      <c r="Y610" s="868"/>
      <c r="Z610" s="865"/>
      <c r="AA610" s="2"/>
      <c r="AB610" s="2"/>
      <c r="AC610" s="2"/>
      <c r="AD610" s="2"/>
      <c r="AE610" s="2"/>
      <c r="AF610" s="2"/>
      <c r="AG610" s="2"/>
      <c r="AH610" s="2"/>
      <c r="AI610" s="2"/>
      <c r="AJ610" s="2"/>
      <c r="AK610" s="2"/>
      <c r="AL610" s="2"/>
      <c r="AM610" s="2"/>
      <c r="AN610" s="9"/>
      <c r="AO610" s="9"/>
      <c r="AP610" s="9"/>
      <c r="AQ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224"/>
      <c r="X611" s="224"/>
      <c r="Y611" s="868"/>
      <c r="Z611" s="865"/>
      <c r="AA611" s="2"/>
      <c r="AB611" s="2"/>
      <c r="AC611" s="2"/>
      <c r="AD611" s="2"/>
      <c r="AE611" s="2"/>
      <c r="AF611" s="2"/>
      <c r="AG611" s="2"/>
      <c r="AH611" s="2"/>
      <c r="AI611" s="2"/>
      <c r="AJ611" s="2"/>
      <c r="AK611" s="2"/>
      <c r="AL611" s="2"/>
      <c r="AM611" s="2"/>
      <c r="AN611" s="9"/>
      <c r="AO611" s="9"/>
      <c r="AP611" s="9"/>
      <c r="AQ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224"/>
      <c r="X612" s="224"/>
      <c r="Y612" s="868"/>
      <c r="Z612" s="865"/>
      <c r="AA612" s="2"/>
      <c r="AB612" s="2"/>
      <c r="AC612" s="2"/>
      <c r="AD612" s="2"/>
      <c r="AE612" s="2"/>
      <c r="AF612" s="2"/>
      <c r="AG612" s="2"/>
      <c r="AH612" s="2"/>
      <c r="AI612" s="2"/>
      <c r="AJ612" s="2"/>
      <c r="AK612" s="2"/>
      <c r="AL612" s="2"/>
      <c r="AM612" s="2"/>
      <c r="AN612" s="9"/>
      <c r="AO612" s="9"/>
      <c r="AP612" s="9"/>
      <c r="AQ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224"/>
      <c r="X613" s="224"/>
      <c r="Y613" s="868"/>
      <c r="Z613" s="865"/>
      <c r="AA613" s="2"/>
      <c r="AB613" s="2"/>
      <c r="AC613" s="2"/>
      <c r="AD613" s="2"/>
      <c r="AE613" s="2"/>
      <c r="AF613" s="2"/>
      <c r="AG613" s="2"/>
      <c r="AH613" s="2"/>
      <c r="AI613" s="2"/>
      <c r="AJ613" s="2"/>
      <c r="AK613" s="2"/>
      <c r="AL613" s="2"/>
      <c r="AM613" s="2"/>
      <c r="AN613" s="9"/>
      <c r="AO613" s="9"/>
      <c r="AP613" s="9"/>
      <c r="AQ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224"/>
      <c r="X614" s="224"/>
      <c r="Y614" s="868"/>
      <c r="Z614" s="865"/>
      <c r="AA614" s="2"/>
      <c r="AB614" s="2"/>
      <c r="AC614" s="2"/>
      <c r="AD614" s="2"/>
      <c r="AE614" s="2"/>
      <c r="AF614" s="2"/>
      <c r="AG614" s="2"/>
      <c r="AH614" s="2"/>
      <c r="AI614" s="2"/>
      <c r="AJ614" s="2"/>
      <c r="AK614" s="2"/>
      <c r="AL614" s="2"/>
      <c r="AM614" s="2"/>
      <c r="AN614" s="9"/>
      <c r="AO614" s="9"/>
      <c r="AP614" s="9"/>
      <c r="AQ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224"/>
      <c r="X615" s="224"/>
      <c r="Y615" s="868"/>
      <c r="Z615" s="865"/>
      <c r="AA615" s="2"/>
      <c r="AB615" s="2"/>
      <c r="AC615" s="2"/>
      <c r="AD615" s="2"/>
      <c r="AE615" s="2"/>
      <c r="AF615" s="2"/>
      <c r="AG615" s="2"/>
      <c r="AH615" s="2"/>
      <c r="AI615" s="2"/>
      <c r="AJ615" s="2"/>
      <c r="AK615" s="2"/>
      <c r="AL615" s="2"/>
      <c r="AM615" s="2"/>
      <c r="AN615" s="9"/>
      <c r="AO615" s="9"/>
      <c r="AP615" s="9"/>
      <c r="AQ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224"/>
      <c r="X616" s="224"/>
      <c r="Y616" s="868"/>
      <c r="Z616" s="865"/>
      <c r="AA616" s="2"/>
      <c r="AB616" s="2"/>
      <c r="AC616" s="2"/>
      <c r="AD616" s="2"/>
      <c r="AE616" s="2"/>
      <c r="AF616" s="2"/>
      <c r="AG616" s="2"/>
      <c r="AH616" s="2"/>
      <c r="AI616" s="2"/>
      <c r="AJ616" s="2"/>
      <c r="AK616" s="2"/>
      <c r="AL616" s="2"/>
      <c r="AM616" s="2"/>
      <c r="AN616" s="9"/>
      <c r="AO616" s="9"/>
      <c r="AP616" s="9"/>
      <c r="AQ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224"/>
      <c r="X617" s="224"/>
      <c r="Y617" s="868"/>
      <c r="Z617" s="865"/>
      <c r="AA617" s="2"/>
      <c r="AB617" s="2"/>
      <c r="AC617" s="2"/>
      <c r="AD617" s="2"/>
      <c r="AE617" s="2"/>
      <c r="AF617" s="2"/>
      <c r="AG617" s="2"/>
      <c r="AH617" s="2"/>
      <c r="AI617" s="2"/>
      <c r="AJ617" s="2"/>
      <c r="AK617" s="2"/>
      <c r="AL617" s="2"/>
      <c r="AM617" s="2"/>
      <c r="AN617" s="9"/>
      <c r="AO617" s="9"/>
      <c r="AP617" s="9"/>
      <c r="AQ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224"/>
      <c r="X618" s="224"/>
      <c r="Y618" s="868"/>
      <c r="Z618" s="865"/>
      <c r="AA618" s="2"/>
      <c r="AB618" s="2"/>
      <c r="AC618" s="2"/>
      <c r="AD618" s="2"/>
      <c r="AE618" s="2"/>
      <c r="AF618" s="2"/>
      <c r="AG618" s="2"/>
      <c r="AH618" s="2"/>
      <c r="AI618" s="2"/>
      <c r="AJ618" s="2"/>
      <c r="AK618" s="2"/>
      <c r="AL618" s="2"/>
      <c r="AM618" s="2"/>
      <c r="AN618" s="9"/>
      <c r="AO618" s="9"/>
      <c r="AP618" s="9"/>
      <c r="AQ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224"/>
      <c r="X619" s="224"/>
      <c r="Y619" s="868"/>
      <c r="Z619" s="865"/>
      <c r="AA619" s="2"/>
      <c r="AB619" s="2"/>
      <c r="AC619" s="2"/>
      <c r="AD619" s="2"/>
      <c r="AE619" s="2"/>
      <c r="AF619" s="2"/>
      <c r="AG619" s="2"/>
      <c r="AH619" s="2"/>
      <c r="AI619" s="2"/>
      <c r="AJ619" s="2"/>
      <c r="AK619" s="2"/>
      <c r="AL619" s="2"/>
      <c r="AM619" s="2"/>
      <c r="AN619" s="9"/>
      <c r="AO619" s="9"/>
      <c r="AP619" s="9"/>
      <c r="AQ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224"/>
      <c r="X620" s="224"/>
      <c r="Y620" s="868"/>
      <c r="Z620" s="865"/>
      <c r="AA620" s="2"/>
      <c r="AB620" s="2"/>
      <c r="AC620" s="2"/>
      <c r="AD620" s="2"/>
      <c r="AE620" s="2"/>
      <c r="AF620" s="2"/>
      <c r="AG620" s="2"/>
      <c r="AH620" s="2"/>
      <c r="AI620" s="2"/>
      <c r="AJ620" s="2"/>
      <c r="AK620" s="2"/>
      <c r="AL620" s="2"/>
      <c r="AM620" s="2"/>
      <c r="AN620" s="9"/>
      <c r="AO620" s="9"/>
      <c r="AP620" s="9"/>
      <c r="AQ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224"/>
      <c r="X621" s="224"/>
      <c r="Y621" s="868"/>
      <c r="Z621" s="865"/>
      <c r="AA621" s="2"/>
      <c r="AB621" s="2"/>
      <c r="AC621" s="2"/>
      <c r="AD621" s="2"/>
      <c r="AE621" s="2"/>
      <c r="AF621" s="2"/>
      <c r="AG621" s="2"/>
      <c r="AH621" s="2"/>
      <c r="AI621" s="2"/>
      <c r="AJ621" s="2"/>
      <c r="AK621" s="2"/>
      <c r="AL621" s="2"/>
      <c r="AM621" s="2"/>
      <c r="AN621" s="9"/>
      <c r="AO621" s="9"/>
      <c r="AP621" s="9"/>
      <c r="AQ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224"/>
      <c r="X622" s="224"/>
      <c r="Y622" s="868"/>
      <c r="Z622" s="865"/>
      <c r="AA622" s="2"/>
      <c r="AB622" s="2"/>
      <c r="AC622" s="2"/>
      <c r="AD622" s="2"/>
      <c r="AE622" s="2"/>
      <c r="AF622" s="2"/>
      <c r="AG622" s="2"/>
      <c r="AH622" s="2"/>
      <c r="AI622" s="2"/>
      <c r="AJ622" s="2"/>
      <c r="AK622" s="2"/>
      <c r="AL622" s="2"/>
      <c r="AM622" s="2"/>
      <c r="AN622" s="9"/>
      <c r="AO622" s="9"/>
      <c r="AP622" s="9"/>
      <c r="AQ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224"/>
      <c r="X623" s="224"/>
      <c r="Y623" s="868"/>
      <c r="Z623" s="865"/>
      <c r="AA623" s="2"/>
      <c r="AB623" s="2"/>
      <c r="AC623" s="2"/>
      <c r="AD623" s="2"/>
      <c r="AE623" s="2"/>
      <c r="AF623" s="2"/>
      <c r="AG623" s="2"/>
      <c r="AH623" s="2"/>
      <c r="AI623" s="2"/>
      <c r="AJ623" s="2"/>
      <c r="AK623" s="2"/>
      <c r="AL623" s="2"/>
      <c r="AM623" s="2"/>
      <c r="AN623" s="9"/>
      <c r="AO623" s="9"/>
      <c r="AP623" s="9"/>
      <c r="AQ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224"/>
      <c r="X624" s="224"/>
      <c r="Y624" s="868"/>
      <c r="Z624" s="865"/>
      <c r="AA624" s="2"/>
      <c r="AB624" s="2"/>
      <c r="AC624" s="2"/>
      <c r="AD624" s="2"/>
      <c r="AE624" s="2"/>
      <c r="AF624" s="2"/>
      <c r="AG624" s="2"/>
      <c r="AH624" s="2"/>
      <c r="AI624" s="2"/>
      <c r="AJ624" s="2"/>
      <c r="AK624" s="2"/>
      <c r="AL624" s="2"/>
      <c r="AM624" s="2"/>
      <c r="AN624" s="9"/>
      <c r="AO624" s="9"/>
      <c r="AP624" s="9"/>
      <c r="AQ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224"/>
      <c r="X625" s="224"/>
      <c r="Y625" s="868"/>
      <c r="Z625" s="865"/>
      <c r="AA625" s="2"/>
      <c r="AB625" s="2"/>
      <c r="AC625" s="2"/>
      <c r="AD625" s="2"/>
      <c r="AE625" s="2"/>
      <c r="AF625" s="2"/>
      <c r="AG625" s="2"/>
      <c r="AH625" s="2"/>
      <c r="AI625" s="2"/>
      <c r="AJ625" s="2"/>
      <c r="AK625" s="2"/>
      <c r="AL625" s="2"/>
      <c r="AM625" s="2"/>
      <c r="AN625" s="9"/>
      <c r="AO625" s="9"/>
      <c r="AP625" s="9"/>
      <c r="AQ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224"/>
      <c r="X626" s="224"/>
      <c r="Y626" s="868"/>
      <c r="Z626" s="865"/>
      <c r="AA626" s="2"/>
      <c r="AB626" s="2"/>
      <c r="AC626" s="2"/>
      <c r="AD626" s="2"/>
      <c r="AE626" s="2"/>
      <c r="AF626" s="2"/>
      <c r="AG626" s="2"/>
      <c r="AH626" s="2"/>
      <c r="AI626" s="2"/>
      <c r="AJ626" s="2"/>
      <c r="AK626" s="2"/>
      <c r="AL626" s="2"/>
      <c r="AM626" s="2"/>
      <c r="AN626" s="9"/>
      <c r="AO626" s="9"/>
      <c r="AP626" s="9"/>
      <c r="AQ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224"/>
      <c r="X627" s="224"/>
      <c r="Y627" s="868"/>
      <c r="Z627" s="865"/>
      <c r="AA627" s="2"/>
      <c r="AB627" s="2"/>
      <c r="AC627" s="2"/>
      <c r="AD627" s="2"/>
      <c r="AE627" s="2"/>
      <c r="AF627" s="2"/>
      <c r="AG627" s="2"/>
      <c r="AH627" s="2"/>
      <c r="AI627" s="2"/>
      <c r="AJ627" s="2"/>
      <c r="AK627" s="2"/>
      <c r="AL627" s="2"/>
      <c r="AM627" s="2"/>
      <c r="AN627" s="9"/>
      <c r="AO627" s="9"/>
      <c r="AP627" s="9"/>
      <c r="AQ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224"/>
      <c r="X628" s="224"/>
      <c r="Y628" s="868"/>
      <c r="Z628" s="865"/>
      <c r="AA628" s="2"/>
      <c r="AB628" s="2"/>
      <c r="AC628" s="2"/>
      <c r="AD628" s="2"/>
      <c r="AE628" s="2"/>
      <c r="AF628" s="2"/>
      <c r="AG628" s="2"/>
      <c r="AH628" s="2"/>
      <c r="AI628" s="2"/>
      <c r="AJ628" s="2"/>
      <c r="AK628" s="2"/>
      <c r="AL628" s="2"/>
      <c r="AM628" s="2"/>
      <c r="AN628" s="9"/>
      <c r="AO628" s="9"/>
      <c r="AP628" s="9"/>
      <c r="AQ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224"/>
      <c r="X629" s="224"/>
      <c r="Y629" s="868"/>
      <c r="Z629" s="865"/>
      <c r="AA629" s="2"/>
      <c r="AB629" s="2"/>
      <c r="AC629" s="2"/>
      <c r="AD629" s="2"/>
      <c r="AE629" s="2"/>
      <c r="AF629" s="2"/>
      <c r="AG629" s="2"/>
      <c r="AH629" s="2"/>
      <c r="AI629" s="2"/>
      <c r="AJ629" s="2"/>
      <c r="AK629" s="2"/>
      <c r="AL629" s="2"/>
      <c r="AM629" s="2"/>
      <c r="AN629" s="9"/>
      <c r="AO629" s="9"/>
      <c r="AP629" s="9"/>
      <c r="AQ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224"/>
      <c r="X630" s="224"/>
      <c r="Y630" s="868"/>
      <c r="Z630" s="865"/>
      <c r="AA630" s="2"/>
      <c r="AB630" s="2"/>
      <c r="AC630" s="2"/>
      <c r="AD630" s="2"/>
      <c r="AE630" s="2"/>
      <c r="AF630" s="2"/>
      <c r="AG630" s="2"/>
      <c r="AH630" s="2"/>
      <c r="AI630" s="2"/>
      <c r="AJ630" s="2"/>
      <c r="AK630" s="2"/>
      <c r="AL630" s="2"/>
      <c r="AM630" s="2"/>
      <c r="AN630" s="9"/>
      <c r="AO630" s="9"/>
      <c r="AP630" s="9"/>
      <c r="AQ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224"/>
      <c r="X631" s="224"/>
      <c r="Y631" s="868"/>
      <c r="Z631" s="865"/>
      <c r="AA631" s="2"/>
      <c r="AB631" s="2"/>
      <c r="AC631" s="2"/>
      <c r="AD631" s="2"/>
      <c r="AE631" s="2"/>
      <c r="AF631" s="2"/>
      <c r="AG631" s="2"/>
      <c r="AH631" s="2"/>
      <c r="AI631" s="2"/>
      <c r="AJ631" s="2"/>
      <c r="AK631" s="2"/>
      <c r="AL631" s="2"/>
      <c r="AM631" s="2"/>
      <c r="AN631" s="9"/>
      <c r="AO631" s="9"/>
      <c r="AP631" s="9"/>
      <c r="AQ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224"/>
      <c r="X632" s="224"/>
      <c r="Y632" s="868"/>
      <c r="Z632" s="865"/>
      <c r="AA632" s="2"/>
      <c r="AB632" s="2"/>
      <c r="AC632" s="2"/>
      <c r="AD632" s="2"/>
      <c r="AE632" s="2"/>
      <c r="AF632" s="2"/>
      <c r="AG632" s="2"/>
      <c r="AH632" s="2"/>
      <c r="AI632" s="2"/>
      <c r="AJ632" s="2"/>
      <c r="AK632" s="2"/>
      <c r="AL632" s="2"/>
      <c r="AM632" s="2"/>
      <c r="AN632" s="9"/>
      <c r="AO632" s="9"/>
      <c r="AP632" s="9"/>
      <c r="AQ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224"/>
      <c r="X633" s="224"/>
      <c r="Y633" s="868"/>
      <c r="Z633" s="865"/>
      <c r="AA633" s="2"/>
      <c r="AB633" s="2"/>
      <c r="AC633" s="2"/>
      <c r="AD633" s="2"/>
      <c r="AE633" s="2"/>
      <c r="AF633" s="2"/>
      <c r="AG633" s="2"/>
      <c r="AH633" s="2"/>
      <c r="AI633" s="2"/>
      <c r="AJ633" s="2"/>
      <c r="AK633" s="2"/>
      <c r="AL633" s="2"/>
      <c r="AM633" s="2"/>
      <c r="AN633" s="9"/>
      <c r="AO633" s="9"/>
      <c r="AP633" s="9"/>
      <c r="AQ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224"/>
      <c r="X634" s="224"/>
      <c r="Y634" s="868"/>
      <c r="Z634" s="865"/>
      <c r="AA634" s="2"/>
      <c r="AB634" s="2"/>
      <c r="AC634" s="2"/>
      <c r="AD634" s="2"/>
      <c r="AE634" s="2"/>
      <c r="AF634" s="2"/>
      <c r="AG634" s="2"/>
      <c r="AH634" s="2"/>
      <c r="AI634" s="2"/>
      <c r="AJ634" s="2"/>
      <c r="AK634" s="2"/>
      <c r="AL634" s="2"/>
      <c r="AM634" s="2"/>
      <c r="AN634" s="9"/>
      <c r="AO634" s="9"/>
      <c r="AP634" s="9"/>
      <c r="AQ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224"/>
      <c r="X635" s="224"/>
      <c r="Y635" s="868"/>
      <c r="Z635" s="865"/>
      <c r="AA635" s="2"/>
      <c r="AB635" s="2"/>
      <c r="AC635" s="2"/>
      <c r="AD635" s="2"/>
      <c r="AE635" s="2"/>
      <c r="AF635" s="2"/>
      <c r="AG635" s="2"/>
      <c r="AH635" s="2"/>
      <c r="AI635" s="2"/>
      <c r="AJ635" s="2"/>
      <c r="AK635" s="2"/>
      <c r="AL635" s="2"/>
      <c r="AM635" s="2"/>
      <c r="AN635" s="9"/>
      <c r="AO635" s="9"/>
      <c r="AP635" s="9"/>
      <c r="AQ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224"/>
      <c r="X636" s="224"/>
      <c r="Y636" s="868"/>
      <c r="Z636" s="865"/>
      <c r="AA636" s="2"/>
      <c r="AB636" s="2"/>
      <c r="AC636" s="2"/>
      <c r="AD636" s="2"/>
      <c r="AE636" s="2"/>
      <c r="AF636" s="2"/>
      <c r="AG636" s="2"/>
      <c r="AH636" s="2"/>
      <c r="AI636" s="2"/>
      <c r="AJ636" s="2"/>
      <c r="AK636" s="2"/>
      <c r="AL636" s="2"/>
      <c r="AM636" s="2"/>
      <c r="AN636" s="9"/>
      <c r="AO636" s="9"/>
      <c r="AP636" s="9"/>
      <c r="AQ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224"/>
      <c r="X637" s="224"/>
      <c r="Y637" s="868"/>
      <c r="Z637" s="865"/>
      <c r="AA637" s="2"/>
      <c r="AB637" s="2"/>
      <c r="AC637" s="2"/>
      <c r="AD637" s="2"/>
      <c r="AE637" s="2"/>
      <c r="AF637" s="2"/>
      <c r="AG637" s="2"/>
      <c r="AH637" s="2"/>
      <c r="AI637" s="2"/>
      <c r="AJ637" s="2"/>
      <c r="AK637" s="2"/>
      <c r="AL637" s="2"/>
      <c r="AM637" s="2"/>
      <c r="AN637" s="9"/>
      <c r="AO637" s="9"/>
      <c r="AP637" s="9"/>
      <c r="AQ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224"/>
      <c r="X638" s="224"/>
      <c r="Y638" s="868"/>
      <c r="Z638" s="865"/>
      <c r="AA638" s="2"/>
      <c r="AB638" s="2"/>
      <c r="AC638" s="2"/>
      <c r="AD638" s="2"/>
      <c r="AE638" s="2"/>
      <c r="AF638" s="2"/>
      <c r="AG638" s="2"/>
      <c r="AH638" s="2"/>
      <c r="AI638" s="2"/>
      <c r="AJ638" s="2"/>
      <c r="AK638" s="2"/>
      <c r="AL638" s="2"/>
      <c r="AM638" s="2"/>
      <c r="AN638" s="9"/>
      <c r="AO638" s="9"/>
      <c r="AP638" s="9"/>
      <c r="AQ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224"/>
      <c r="X639" s="224"/>
      <c r="Y639" s="868"/>
      <c r="Z639" s="865"/>
      <c r="AA639" s="2"/>
      <c r="AB639" s="2"/>
      <c r="AC639" s="2"/>
      <c r="AD639" s="2"/>
      <c r="AE639" s="2"/>
      <c r="AF639" s="2"/>
      <c r="AG639" s="2"/>
      <c r="AH639" s="2"/>
      <c r="AI639" s="2"/>
      <c r="AJ639" s="2"/>
      <c r="AK639" s="2"/>
      <c r="AL639" s="2"/>
      <c r="AM639" s="2"/>
      <c r="AN639" s="9"/>
      <c r="AO639" s="9"/>
      <c r="AP639" s="9"/>
      <c r="AQ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224"/>
      <c r="X640" s="224"/>
      <c r="Y640" s="868"/>
      <c r="Z640" s="865"/>
      <c r="AA640" s="2"/>
      <c r="AB640" s="2"/>
      <c r="AC640" s="2"/>
      <c r="AD640" s="2"/>
      <c r="AE640" s="2"/>
      <c r="AF640" s="2"/>
      <c r="AG640" s="2"/>
      <c r="AH640" s="2"/>
      <c r="AI640" s="2"/>
      <c r="AJ640" s="2"/>
      <c r="AK640" s="2"/>
      <c r="AL640" s="2"/>
      <c r="AM640" s="2"/>
      <c r="AN640" s="9"/>
      <c r="AO640" s="9"/>
      <c r="AP640" s="9"/>
      <c r="AQ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224"/>
      <c r="X641" s="224"/>
      <c r="Y641" s="868"/>
      <c r="Z641" s="865"/>
      <c r="AA641" s="2"/>
      <c r="AB641" s="2"/>
      <c r="AC641" s="2"/>
      <c r="AD641" s="2"/>
      <c r="AE641" s="2"/>
      <c r="AF641" s="2"/>
      <c r="AG641" s="2"/>
      <c r="AH641" s="2"/>
      <c r="AI641" s="2"/>
      <c r="AJ641" s="2"/>
      <c r="AK641" s="2"/>
      <c r="AL641" s="2"/>
      <c r="AM641" s="2"/>
      <c r="AN641" s="9"/>
      <c r="AO641" s="9"/>
      <c r="AP641" s="9"/>
      <c r="AQ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224"/>
      <c r="X642" s="224"/>
      <c r="Y642" s="868"/>
      <c r="Z642" s="865"/>
      <c r="AA642" s="2"/>
      <c r="AB642" s="2"/>
      <c r="AC642" s="2"/>
      <c r="AD642" s="2"/>
      <c r="AE642" s="2"/>
      <c r="AF642" s="2"/>
      <c r="AG642" s="2"/>
      <c r="AH642" s="2"/>
      <c r="AI642" s="2"/>
      <c r="AJ642" s="2"/>
      <c r="AK642" s="2"/>
      <c r="AL642" s="2"/>
      <c r="AM642" s="2"/>
      <c r="AN642" s="9"/>
      <c r="AO642" s="9"/>
      <c r="AP642" s="9"/>
      <c r="AQ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224"/>
      <c r="X643" s="224"/>
      <c r="Y643" s="868"/>
      <c r="Z643" s="865"/>
      <c r="AA643" s="2"/>
      <c r="AB643" s="2"/>
      <c r="AC643" s="2"/>
      <c r="AD643" s="2"/>
      <c r="AE643" s="2"/>
      <c r="AF643" s="2"/>
      <c r="AG643" s="2"/>
      <c r="AH643" s="2"/>
      <c r="AI643" s="2"/>
      <c r="AJ643" s="2"/>
      <c r="AK643" s="2"/>
      <c r="AL643" s="2"/>
      <c r="AM643" s="2"/>
      <c r="AN643" s="9"/>
      <c r="AO643" s="9"/>
      <c r="AP643" s="9"/>
      <c r="AQ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224"/>
      <c r="X644" s="224"/>
      <c r="Y644" s="868"/>
      <c r="Z644" s="865"/>
      <c r="AA644" s="2"/>
      <c r="AB644" s="2"/>
      <c r="AC644" s="2"/>
      <c r="AD644" s="2"/>
      <c r="AE644" s="2"/>
      <c r="AF644" s="2"/>
      <c r="AG644" s="2"/>
      <c r="AH644" s="2"/>
      <c r="AI644" s="2"/>
      <c r="AJ644" s="2"/>
      <c r="AK644" s="2"/>
      <c r="AL644" s="2"/>
      <c r="AM644" s="2"/>
      <c r="AN644" s="9"/>
      <c r="AO644" s="9"/>
      <c r="AP644" s="9"/>
      <c r="AQ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224"/>
      <c r="X645" s="224"/>
      <c r="Y645" s="868"/>
      <c r="Z645" s="865"/>
      <c r="AA645" s="2"/>
      <c r="AB645" s="2"/>
      <c r="AC645" s="2"/>
      <c r="AD645" s="2"/>
      <c r="AE645" s="2"/>
      <c r="AF645" s="2"/>
      <c r="AG645" s="2"/>
      <c r="AH645" s="2"/>
      <c r="AI645" s="2"/>
      <c r="AJ645" s="2"/>
      <c r="AK645" s="2"/>
      <c r="AL645" s="2"/>
      <c r="AM645" s="2"/>
      <c r="AN645" s="9"/>
      <c r="AO645" s="9"/>
      <c r="AP645" s="9"/>
      <c r="AQ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224"/>
      <c r="X646" s="224"/>
      <c r="Y646" s="868"/>
      <c r="Z646" s="865"/>
      <c r="AA646" s="2"/>
      <c r="AB646" s="2"/>
      <c r="AC646" s="2"/>
      <c r="AD646" s="2"/>
      <c r="AE646" s="2"/>
      <c r="AF646" s="2"/>
      <c r="AG646" s="2"/>
      <c r="AH646" s="2"/>
      <c r="AI646" s="2"/>
      <c r="AJ646" s="2"/>
      <c r="AK646" s="2"/>
      <c r="AL646" s="2"/>
      <c r="AM646" s="2"/>
      <c r="AN646" s="9"/>
      <c r="AO646" s="9"/>
      <c r="AP646" s="9"/>
      <c r="AQ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224"/>
      <c r="X647" s="224"/>
      <c r="Y647" s="868"/>
      <c r="Z647" s="865"/>
      <c r="AA647" s="2"/>
      <c r="AB647" s="2"/>
      <c r="AC647" s="2"/>
      <c r="AD647" s="2"/>
      <c r="AE647" s="2"/>
      <c r="AF647" s="2"/>
      <c r="AG647" s="2"/>
      <c r="AH647" s="2"/>
      <c r="AI647" s="2"/>
      <c r="AJ647" s="2"/>
      <c r="AK647" s="2"/>
      <c r="AL647" s="2"/>
      <c r="AM647" s="2"/>
      <c r="AN647" s="9"/>
      <c r="AO647" s="9"/>
      <c r="AP647" s="9"/>
      <c r="AQ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224"/>
      <c r="X648" s="224"/>
      <c r="Y648" s="868"/>
      <c r="Z648" s="865"/>
      <c r="AA648" s="2"/>
      <c r="AB648" s="2"/>
      <c r="AC648" s="2"/>
      <c r="AD648" s="2"/>
      <c r="AE648" s="2"/>
      <c r="AF648" s="2"/>
      <c r="AG648" s="2"/>
      <c r="AH648" s="2"/>
      <c r="AI648" s="2"/>
      <c r="AJ648" s="2"/>
      <c r="AK648" s="2"/>
      <c r="AL648" s="2"/>
      <c r="AM648" s="2"/>
      <c r="AN648" s="9"/>
      <c r="AO648" s="9"/>
      <c r="AP648" s="9"/>
      <c r="AQ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224"/>
      <c r="X649" s="224"/>
      <c r="Y649" s="868"/>
      <c r="Z649" s="865"/>
      <c r="AA649" s="2"/>
      <c r="AB649" s="2"/>
      <c r="AC649" s="2"/>
      <c r="AD649" s="2"/>
      <c r="AE649" s="2"/>
      <c r="AF649" s="2"/>
      <c r="AG649" s="2"/>
      <c r="AH649" s="2"/>
      <c r="AI649" s="2"/>
      <c r="AJ649" s="2"/>
      <c r="AK649" s="2"/>
      <c r="AL649" s="2"/>
      <c r="AM649" s="2"/>
      <c r="AN649" s="9"/>
      <c r="AO649" s="9"/>
      <c r="AP649" s="9"/>
      <c r="AQ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224"/>
      <c r="X650" s="224"/>
      <c r="Y650" s="868"/>
      <c r="Z650" s="865"/>
      <c r="AA650" s="2"/>
      <c r="AB650" s="2"/>
      <c r="AC650" s="2"/>
      <c r="AD650" s="2"/>
      <c r="AE650" s="2"/>
      <c r="AF650" s="2"/>
      <c r="AG650" s="2"/>
      <c r="AH650" s="2"/>
      <c r="AI650" s="2"/>
      <c r="AJ650" s="2"/>
      <c r="AK650" s="2"/>
      <c r="AL650" s="2"/>
      <c r="AM650" s="2"/>
      <c r="AN650" s="9"/>
      <c r="AO650" s="9"/>
      <c r="AP650" s="9"/>
      <c r="AQ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224"/>
      <c r="X651" s="224"/>
      <c r="Y651" s="868"/>
      <c r="Z651" s="865"/>
      <c r="AA651" s="2"/>
      <c r="AB651" s="2"/>
      <c r="AC651" s="2"/>
      <c r="AD651" s="2"/>
      <c r="AE651" s="2"/>
      <c r="AF651" s="2"/>
      <c r="AG651" s="2"/>
      <c r="AH651" s="2"/>
      <c r="AI651" s="2"/>
      <c r="AJ651" s="2"/>
      <c r="AK651" s="2"/>
      <c r="AL651" s="2"/>
      <c r="AM651" s="2"/>
      <c r="AN651" s="9"/>
      <c r="AO651" s="9"/>
      <c r="AP651" s="9"/>
      <c r="AQ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224"/>
      <c r="X652" s="224"/>
      <c r="Y652" s="868"/>
      <c r="Z652" s="865"/>
      <c r="AA652" s="2"/>
      <c r="AB652" s="2"/>
      <c r="AC652" s="2"/>
      <c r="AD652" s="2"/>
      <c r="AE652" s="2"/>
      <c r="AF652" s="2"/>
      <c r="AG652" s="2"/>
      <c r="AH652" s="2"/>
      <c r="AI652" s="2"/>
      <c r="AJ652" s="2"/>
      <c r="AK652" s="2"/>
      <c r="AL652" s="2"/>
      <c r="AM652" s="2"/>
      <c r="AN652" s="9"/>
      <c r="AO652" s="9"/>
      <c r="AP652" s="9"/>
      <c r="AQ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224"/>
      <c r="X653" s="224"/>
      <c r="Y653" s="868"/>
      <c r="Z653" s="865"/>
      <c r="AA653" s="2"/>
      <c r="AB653" s="2"/>
      <c r="AC653" s="2"/>
      <c r="AD653" s="2"/>
      <c r="AE653" s="2"/>
      <c r="AF653" s="2"/>
      <c r="AG653" s="2"/>
      <c r="AH653" s="2"/>
      <c r="AI653" s="2"/>
      <c r="AJ653" s="2"/>
      <c r="AK653" s="2"/>
      <c r="AL653" s="2"/>
      <c r="AM653" s="2"/>
      <c r="AN653" s="9"/>
      <c r="AO653" s="9"/>
      <c r="AP653" s="9"/>
      <c r="AQ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224"/>
      <c r="X654" s="224"/>
      <c r="Y654" s="868"/>
      <c r="Z654" s="865"/>
      <c r="AA654" s="2"/>
      <c r="AB654" s="2"/>
      <c r="AC654" s="2"/>
      <c r="AD654" s="2"/>
      <c r="AE654" s="2"/>
      <c r="AF654" s="2"/>
      <c r="AG654" s="2"/>
      <c r="AH654" s="2"/>
      <c r="AI654" s="2"/>
      <c r="AJ654" s="2"/>
      <c r="AK654" s="2"/>
      <c r="AL654" s="2"/>
      <c r="AM654" s="2"/>
      <c r="AN654" s="9"/>
      <c r="AO654" s="9"/>
      <c r="AP654" s="9"/>
      <c r="AQ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224"/>
      <c r="X655" s="224"/>
      <c r="Y655" s="868"/>
      <c r="Z655" s="865"/>
      <c r="AA655" s="2"/>
      <c r="AB655" s="2"/>
      <c r="AC655" s="2"/>
      <c r="AD655" s="2"/>
      <c r="AE655" s="2"/>
      <c r="AF655" s="2"/>
      <c r="AG655" s="2"/>
      <c r="AH655" s="2"/>
      <c r="AI655" s="2"/>
      <c r="AJ655" s="2"/>
      <c r="AK655" s="2"/>
      <c r="AL655" s="2"/>
      <c r="AM655" s="2"/>
      <c r="AN655" s="9"/>
      <c r="AO655" s="9"/>
      <c r="AP655" s="9"/>
      <c r="AQ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224"/>
      <c r="X656" s="224"/>
      <c r="Y656" s="868"/>
      <c r="Z656" s="865"/>
      <c r="AA656" s="2"/>
      <c r="AB656" s="2"/>
      <c r="AC656" s="2"/>
      <c r="AD656" s="2"/>
      <c r="AE656" s="2"/>
      <c r="AF656" s="2"/>
      <c r="AG656" s="2"/>
      <c r="AH656" s="2"/>
      <c r="AI656" s="2"/>
      <c r="AJ656" s="2"/>
      <c r="AK656" s="2"/>
      <c r="AL656" s="2"/>
      <c r="AM656" s="2"/>
      <c r="AN656" s="9"/>
      <c r="AO656" s="9"/>
      <c r="AP656" s="9"/>
      <c r="AQ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224"/>
      <c r="X657" s="224"/>
      <c r="Y657" s="868"/>
      <c r="Z657" s="865"/>
      <c r="AA657" s="2"/>
      <c r="AB657" s="2"/>
      <c r="AC657" s="2"/>
      <c r="AD657" s="2"/>
      <c r="AE657" s="2"/>
      <c r="AF657" s="2"/>
      <c r="AG657" s="2"/>
      <c r="AH657" s="2"/>
      <c r="AI657" s="2"/>
      <c r="AJ657" s="2"/>
      <c r="AK657" s="2"/>
      <c r="AL657" s="2"/>
      <c r="AM657" s="2"/>
      <c r="AN657" s="9"/>
      <c r="AO657" s="9"/>
      <c r="AP657" s="9"/>
      <c r="AQ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224"/>
      <c r="X658" s="224"/>
      <c r="Y658" s="868"/>
      <c r="Z658" s="865"/>
      <c r="AA658" s="2"/>
      <c r="AB658" s="2"/>
      <c r="AC658" s="2"/>
      <c r="AD658" s="2"/>
      <c r="AE658" s="2"/>
      <c r="AF658" s="2"/>
      <c r="AG658" s="2"/>
      <c r="AH658" s="2"/>
      <c r="AI658" s="2"/>
      <c r="AJ658" s="2"/>
      <c r="AK658" s="2"/>
      <c r="AL658" s="2"/>
      <c r="AM658" s="2"/>
      <c r="AN658" s="9"/>
      <c r="AO658" s="9"/>
      <c r="AP658" s="9"/>
      <c r="AQ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224"/>
      <c r="X659" s="224"/>
      <c r="Y659" s="868"/>
      <c r="Z659" s="865"/>
      <c r="AA659" s="2"/>
      <c r="AB659" s="2"/>
      <c r="AC659" s="2"/>
      <c r="AD659" s="2"/>
      <c r="AE659" s="2"/>
      <c r="AF659" s="2"/>
      <c r="AG659" s="2"/>
      <c r="AH659" s="2"/>
      <c r="AI659" s="2"/>
      <c r="AJ659" s="2"/>
      <c r="AK659" s="2"/>
      <c r="AL659" s="2"/>
      <c r="AM659" s="2"/>
      <c r="AN659" s="9"/>
      <c r="AO659" s="9"/>
      <c r="AP659" s="9"/>
      <c r="AQ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224"/>
      <c r="X660" s="224"/>
      <c r="Y660" s="868"/>
      <c r="Z660" s="865"/>
      <c r="AA660" s="2"/>
      <c r="AB660" s="2"/>
      <c r="AC660" s="2"/>
      <c r="AD660" s="2"/>
      <c r="AE660" s="2"/>
      <c r="AF660" s="2"/>
      <c r="AG660" s="2"/>
      <c r="AH660" s="2"/>
      <c r="AI660" s="2"/>
      <c r="AJ660" s="2"/>
      <c r="AK660" s="2"/>
      <c r="AL660" s="2"/>
      <c r="AM660" s="2"/>
      <c r="AN660" s="9"/>
      <c r="AO660" s="9"/>
      <c r="AP660" s="9"/>
      <c r="AQ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224"/>
      <c r="X661" s="224"/>
      <c r="Y661" s="868"/>
      <c r="Z661" s="865"/>
      <c r="AA661" s="2"/>
      <c r="AB661" s="2"/>
      <c r="AC661" s="2"/>
      <c r="AD661" s="2"/>
      <c r="AE661" s="2"/>
      <c r="AF661" s="2"/>
      <c r="AG661" s="2"/>
      <c r="AH661" s="2"/>
      <c r="AI661" s="2"/>
      <c r="AJ661" s="2"/>
      <c r="AK661" s="2"/>
      <c r="AL661" s="2"/>
      <c r="AM661" s="2"/>
      <c r="AN661" s="9"/>
      <c r="AO661" s="9"/>
      <c r="AP661" s="9"/>
      <c r="AQ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224"/>
      <c r="X662" s="224"/>
      <c r="Y662" s="868"/>
      <c r="Z662" s="865"/>
      <c r="AA662" s="2"/>
      <c r="AB662" s="2"/>
      <c r="AC662" s="2"/>
      <c r="AD662" s="2"/>
      <c r="AE662" s="2"/>
      <c r="AF662" s="2"/>
      <c r="AG662" s="2"/>
      <c r="AH662" s="2"/>
      <c r="AI662" s="2"/>
      <c r="AJ662" s="2"/>
      <c r="AK662" s="2"/>
      <c r="AL662" s="2"/>
      <c r="AM662" s="2"/>
      <c r="AN662" s="9"/>
      <c r="AO662" s="9"/>
      <c r="AP662" s="9"/>
      <c r="AQ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224"/>
      <c r="X663" s="224"/>
      <c r="Y663" s="868"/>
      <c r="Z663" s="865"/>
      <c r="AA663" s="2"/>
      <c r="AB663" s="2"/>
      <c r="AC663" s="2"/>
      <c r="AD663" s="2"/>
      <c r="AE663" s="2"/>
      <c r="AF663" s="2"/>
      <c r="AG663" s="2"/>
      <c r="AH663" s="2"/>
      <c r="AI663" s="2"/>
      <c r="AJ663" s="2"/>
      <c r="AK663" s="2"/>
      <c r="AL663" s="2"/>
      <c r="AM663" s="2"/>
      <c r="AN663" s="9"/>
      <c r="AO663" s="9"/>
      <c r="AP663" s="9"/>
      <c r="AQ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224"/>
      <c r="X664" s="224"/>
      <c r="Y664" s="868"/>
      <c r="Z664" s="865"/>
      <c r="AA664" s="2"/>
      <c r="AB664" s="2"/>
      <c r="AC664" s="2"/>
      <c r="AD664" s="2"/>
      <c r="AE664" s="2"/>
      <c r="AF664" s="2"/>
      <c r="AG664" s="2"/>
      <c r="AH664" s="2"/>
      <c r="AI664" s="2"/>
      <c r="AJ664" s="2"/>
      <c r="AK664" s="2"/>
      <c r="AL664" s="2"/>
      <c r="AM664" s="2"/>
      <c r="AN664" s="9"/>
      <c r="AO664" s="9"/>
      <c r="AP664" s="9"/>
      <c r="AQ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224"/>
      <c r="X665" s="224"/>
      <c r="Y665" s="868"/>
      <c r="Z665" s="865"/>
      <c r="AA665" s="2"/>
      <c r="AB665" s="2"/>
      <c r="AC665" s="2"/>
      <c r="AD665" s="2"/>
      <c r="AE665" s="2"/>
      <c r="AF665" s="2"/>
      <c r="AG665" s="2"/>
      <c r="AH665" s="2"/>
      <c r="AI665" s="2"/>
      <c r="AJ665" s="2"/>
      <c r="AK665" s="2"/>
      <c r="AL665" s="2"/>
      <c r="AM665" s="2"/>
      <c r="AN665" s="9"/>
      <c r="AO665" s="9"/>
      <c r="AP665" s="9"/>
      <c r="AQ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224"/>
      <c r="X666" s="224"/>
      <c r="Y666" s="868"/>
      <c r="Z666" s="865"/>
      <c r="AA666" s="2"/>
      <c r="AB666" s="2"/>
      <c r="AC666" s="2"/>
      <c r="AD666" s="2"/>
      <c r="AE666" s="2"/>
      <c r="AF666" s="2"/>
      <c r="AG666" s="2"/>
      <c r="AH666" s="2"/>
      <c r="AI666" s="2"/>
      <c r="AJ666" s="2"/>
      <c r="AK666" s="2"/>
      <c r="AL666" s="2"/>
      <c r="AM666" s="2"/>
      <c r="AN666" s="9"/>
      <c r="AO666" s="9"/>
      <c r="AP666" s="9"/>
      <c r="AQ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224"/>
      <c r="X667" s="224"/>
      <c r="Y667" s="868"/>
      <c r="Z667" s="865"/>
      <c r="AA667" s="2"/>
      <c r="AB667" s="2"/>
      <c r="AC667" s="2"/>
      <c r="AD667" s="2"/>
      <c r="AE667" s="2"/>
      <c r="AF667" s="2"/>
      <c r="AG667" s="2"/>
      <c r="AH667" s="2"/>
      <c r="AI667" s="2"/>
      <c r="AJ667" s="2"/>
      <c r="AK667" s="2"/>
      <c r="AL667" s="2"/>
      <c r="AM667" s="2"/>
      <c r="AN667" s="9"/>
      <c r="AO667" s="9"/>
      <c r="AP667" s="9"/>
      <c r="AQ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224"/>
      <c r="X668" s="224"/>
      <c r="Y668" s="868"/>
      <c r="Z668" s="865"/>
      <c r="AA668" s="2"/>
      <c r="AB668" s="2"/>
      <c r="AC668" s="2"/>
      <c r="AD668" s="2"/>
      <c r="AE668" s="2"/>
      <c r="AF668" s="2"/>
      <c r="AG668" s="2"/>
      <c r="AH668" s="2"/>
      <c r="AI668" s="2"/>
      <c r="AJ668" s="2"/>
      <c r="AK668" s="2"/>
      <c r="AL668" s="2"/>
      <c r="AM668" s="2"/>
      <c r="AN668" s="9"/>
      <c r="AO668" s="9"/>
      <c r="AP668" s="9"/>
      <c r="AQ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224"/>
      <c r="X669" s="224"/>
      <c r="Y669" s="868"/>
      <c r="Z669" s="865"/>
      <c r="AA669" s="2"/>
      <c r="AB669" s="2"/>
      <c r="AC669" s="2"/>
      <c r="AD669" s="2"/>
      <c r="AE669" s="2"/>
      <c r="AF669" s="2"/>
      <c r="AG669" s="2"/>
      <c r="AH669" s="2"/>
      <c r="AI669" s="2"/>
      <c r="AJ669" s="2"/>
      <c r="AK669" s="2"/>
      <c r="AL669" s="2"/>
      <c r="AM669" s="2"/>
      <c r="AN669" s="9"/>
      <c r="AO669" s="9"/>
      <c r="AP669" s="9"/>
      <c r="AQ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224"/>
      <c r="X670" s="224"/>
      <c r="Y670" s="868"/>
      <c r="Z670" s="865"/>
      <c r="AA670" s="2"/>
      <c r="AB670" s="2"/>
      <c r="AC670" s="2"/>
      <c r="AD670" s="2"/>
      <c r="AE670" s="2"/>
      <c r="AF670" s="2"/>
      <c r="AG670" s="2"/>
      <c r="AH670" s="2"/>
      <c r="AI670" s="2"/>
      <c r="AJ670" s="2"/>
      <c r="AK670" s="2"/>
      <c r="AL670" s="2"/>
      <c r="AM670" s="2"/>
      <c r="AN670" s="9"/>
      <c r="AO670" s="9"/>
      <c r="AP670" s="9"/>
      <c r="AQ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224"/>
      <c r="X671" s="224"/>
      <c r="Y671" s="868"/>
      <c r="Z671" s="865"/>
      <c r="AA671" s="2"/>
      <c r="AB671" s="2"/>
      <c r="AC671" s="2"/>
      <c r="AD671" s="2"/>
      <c r="AE671" s="2"/>
      <c r="AF671" s="2"/>
      <c r="AG671" s="2"/>
      <c r="AH671" s="2"/>
      <c r="AI671" s="2"/>
      <c r="AJ671" s="2"/>
      <c r="AK671" s="2"/>
      <c r="AL671" s="2"/>
      <c r="AM671" s="2"/>
      <c r="AN671" s="9"/>
      <c r="AO671" s="9"/>
      <c r="AP671" s="9"/>
      <c r="AQ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224"/>
      <c r="X672" s="224"/>
      <c r="Y672" s="868"/>
      <c r="Z672" s="865"/>
      <c r="AA672" s="2"/>
      <c r="AB672" s="2"/>
      <c r="AC672" s="2"/>
      <c r="AD672" s="2"/>
      <c r="AE672" s="2"/>
      <c r="AF672" s="2"/>
      <c r="AG672" s="2"/>
      <c r="AH672" s="2"/>
      <c r="AI672" s="2"/>
      <c r="AJ672" s="2"/>
      <c r="AK672" s="2"/>
      <c r="AL672" s="2"/>
      <c r="AM672" s="2"/>
      <c r="AN672" s="9"/>
      <c r="AO672" s="9"/>
      <c r="AP672" s="9"/>
      <c r="AQ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224"/>
      <c r="X673" s="224"/>
      <c r="Y673" s="868"/>
      <c r="Z673" s="865"/>
      <c r="AA673" s="2"/>
      <c r="AB673" s="2"/>
      <c r="AC673" s="2"/>
      <c r="AD673" s="2"/>
      <c r="AE673" s="2"/>
      <c r="AF673" s="2"/>
      <c r="AG673" s="2"/>
      <c r="AH673" s="2"/>
      <c r="AI673" s="2"/>
      <c r="AJ673" s="2"/>
      <c r="AK673" s="2"/>
      <c r="AL673" s="2"/>
      <c r="AM673" s="2"/>
      <c r="AN673" s="9"/>
      <c r="AO673" s="9"/>
      <c r="AP673" s="9"/>
      <c r="AQ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224"/>
      <c r="X674" s="224"/>
      <c r="Y674" s="868"/>
      <c r="Z674" s="865"/>
      <c r="AA674" s="2"/>
      <c r="AB674" s="2"/>
      <c r="AC674" s="2"/>
      <c r="AD674" s="2"/>
      <c r="AE674" s="2"/>
      <c r="AF674" s="2"/>
      <c r="AG674" s="2"/>
      <c r="AH674" s="2"/>
      <c r="AI674" s="2"/>
      <c r="AJ674" s="2"/>
      <c r="AK674" s="2"/>
      <c r="AL674" s="2"/>
      <c r="AM674" s="2"/>
      <c r="AN674" s="9"/>
      <c r="AO674" s="9"/>
      <c r="AP674" s="9"/>
      <c r="AQ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224"/>
      <c r="X675" s="224"/>
      <c r="Y675" s="868"/>
      <c r="Z675" s="865"/>
      <c r="AA675" s="2"/>
      <c r="AB675" s="2"/>
      <c r="AC675" s="2"/>
      <c r="AD675" s="2"/>
      <c r="AE675" s="2"/>
      <c r="AF675" s="2"/>
      <c r="AG675" s="2"/>
      <c r="AH675" s="2"/>
      <c r="AI675" s="2"/>
      <c r="AJ675" s="2"/>
      <c r="AK675" s="2"/>
      <c r="AL675" s="2"/>
      <c r="AM675" s="2"/>
      <c r="AN675" s="9"/>
      <c r="AO675" s="9"/>
      <c r="AP675" s="9"/>
      <c r="AQ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224"/>
      <c r="X676" s="224"/>
      <c r="Y676" s="868"/>
      <c r="Z676" s="865"/>
      <c r="AA676" s="2"/>
      <c r="AB676" s="2"/>
      <c r="AC676" s="2"/>
      <c r="AD676" s="2"/>
      <c r="AE676" s="2"/>
      <c r="AF676" s="2"/>
      <c r="AG676" s="2"/>
      <c r="AH676" s="2"/>
      <c r="AI676" s="2"/>
      <c r="AJ676" s="2"/>
      <c r="AK676" s="2"/>
      <c r="AL676" s="2"/>
      <c r="AM676" s="2"/>
      <c r="AN676" s="9"/>
      <c r="AO676" s="9"/>
      <c r="AP676" s="9"/>
      <c r="AQ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224"/>
      <c r="X677" s="224"/>
      <c r="Y677" s="868"/>
      <c r="Z677" s="865"/>
      <c r="AA677" s="2"/>
      <c r="AB677" s="2"/>
      <c r="AC677" s="2"/>
      <c r="AD677" s="2"/>
      <c r="AE677" s="2"/>
      <c r="AF677" s="2"/>
      <c r="AG677" s="2"/>
      <c r="AH677" s="2"/>
      <c r="AI677" s="2"/>
      <c r="AJ677" s="2"/>
      <c r="AK677" s="2"/>
      <c r="AL677" s="2"/>
      <c r="AM677" s="2"/>
      <c r="AN677" s="9"/>
      <c r="AO677" s="9"/>
      <c r="AP677" s="9"/>
      <c r="AQ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224"/>
      <c r="X678" s="224"/>
      <c r="Y678" s="868"/>
      <c r="Z678" s="865"/>
      <c r="AA678" s="2"/>
      <c r="AB678" s="2"/>
      <c r="AC678" s="2"/>
      <c r="AD678" s="2"/>
      <c r="AE678" s="2"/>
      <c r="AF678" s="2"/>
      <c r="AG678" s="2"/>
      <c r="AH678" s="2"/>
      <c r="AI678" s="2"/>
      <c r="AJ678" s="2"/>
      <c r="AK678" s="2"/>
      <c r="AL678" s="2"/>
      <c r="AM678" s="2"/>
      <c r="AN678" s="9"/>
      <c r="AO678" s="9"/>
      <c r="AP678" s="9"/>
      <c r="AQ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224"/>
      <c r="X679" s="224"/>
      <c r="Y679" s="868"/>
      <c r="Z679" s="865"/>
      <c r="AA679" s="2"/>
      <c r="AB679" s="2"/>
      <c r="AC679" s="2"/>
      <c r="AD679" s="2"/>
      <c r="AE679" s="2"/>
      <c r="AF679" s="2"/>
      <c r="AG679" s="2"/>
      <c r="AH679" s="2"/>
      <c r="AI679" s="2"/>
      <c r="AJ679" s="2"/>
      <c r="AK679" s="2"/>
      <c r="AL679" s="2"/>
      <c r="AM679" s="2"/>
      <c r="AN679" s="9"/>
      <c r="AO679" s="9"/>
      <c r="AP679" s="9"/>
      <c r="AQ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224"/>
      <c r="X680" s="224"/>
      <c r="Y680" s="868"/>
      <c r="Z680" s="865"/>
      <c r="AA680" s="2"/>
      <c r="AB680" s="2"/>
      <c r="AC680" s="2"/>
      <c r="AD680" s="2"/>
      <c r="AE680" s="2"/>
      <c r="AF680" s="2"/>
      <c r="AG680" s="2"/>
      <c r="AH680" s="2"/>
      <c r="AI680" s="2"/>
      <c r="AJ680" s="2"/>
      <c r="AK680" s="2"/>
      <c r="AL680" s="2"/>
      <c r="AM680" s="2"/>
      <c r="AN680" s="9"/>
      <c r="AO680" s="9"/>
      <c r="AP680" s="9"/>
      <c r="AQ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224"/>
      <c r="X681" s="224"/>
      <c r="Y681" s="868"/>
      <c r="Z681" s="865"/>
      <c r="AA681" s="2"/>
      <c r="AB681" s="2"/>
      <c r="AC681" s="2"/>
      <c r="AD681" s="2"/>
      <c r="AE681" s="2"/>
      <c r="AF681" s="2"/>
      <c r="AG681" s="2"/>
      <c r="AH681" s="2"/>
      <c r="AI681" s="2"/>
      <c r="AJ681" s="2"/>
      <c r="AK681" s="2"/>
      <c r="AL681" s="2"/>
      <c r="AM681" s="2"/>
      <c r="AN681" s="9"/>
      <c r="AO681" s="9"/>
      <c r="AP681" s="9"/>
      <c r="AQ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224"/>
      <c r="X682" s="224"/>
      <c r="Y682" s="868"/>
      <c r="Z682" s="865"/>
      <c r="AA682" s="2"/>
      <c r="AB682" s="2"/>
      <c r="AC682" s="2"/>
      <c r="AD682" s="2"/>
      <c r="AE682" s="2"/>
      <c r="AF682" s="2"/>
      <c r="AG682" s="2"/>
      <c r="AH682" s="2"/>
      <c r="AI682" s="2"/>
      <c r="AJ682" s="2"/>
      <c r="AK682" s="2"/>
      <c r="AL682" s="2"/>
      <c r="AM682" s="2"/>
      <c r="AN682" s="9"/>
      <c r="AO682" s="9"/>
      <c r="AP682" s="9"/>
      <c r="AQ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224"/>
      <c r="X683" s="224"/>
      <c r="Y683" s="868"/>
      <c r="Z683" s="865"/>
      <c r="AA683" s="2"/>
      <c r="AB683" s="2"/>
      <c r="AC683" s="2"/>
      <c r="AD683" s="2"/>
      <c r="AE683" s="2"/>
      <c r="AF683" s="2"/>
      <c r="AG683" s="2"/>
      <c r="AH683" s="2"/>
      <c r="AI683" s="2"/>
      <c r="AJ683" s="2"/>
      <c r="AK683" s="2"/>
      <c r="AL683" s="2"/>
      <c r="AM683" s="2"/>
      <c r="AN683" s="9"/>
      <c r="AO683" s="9"/>
      <c r="AP683" s="9"/>
      <c r="AQ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224"/>
      <c r="X684" s="224"/>
      <c r="Y684" s="868"/>
      <c r="Z684" s="865"/>
      <c r="AA684" s="2"/>
      <c r="AB684" s="2"/>
      <c r="AC684" s="2"/>
      <c r="AD684" s="2"/>
      <c r="AE684" s="2"/>
      <c r="AF684" s="2"/>
      <c r="AG684" s="2"/>
      <c r="AH684" s="2"/>
      <c r="AI684" s="2"/>
      <c r="AJ684" s="2"/>
      <c r="AK684" s="2"/>
      <c r="AL684" s="2"/>
      <c r="AM684" s="2"/>
      <c r="AN684" s="9"/>
      <c r="AO684" s="9"/>
      <c r="AP684" s="9"/>
      <c r="AQ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224"/>
      <c r="X685" s="224"/>
      <c r="Y685" s="868"/>
      <c r="Z685" s="865"/>
      <c r="AA685" s="2"/>
      <c r="AB685" s="2"/>
      <c r="AC685" s="2"/>
      <c r="AD685" s="2"/>
      <c r="AE685" s="2"/>
      <c r="AF685" s="2"/>
      <c r="AG685" s="2"/>
      <c r="AH685" s="2"/>
      <c r="AI685" s="2"/>
      <c r="AJ685" s="2"/>
      <c r="AK685" s="2"/>
      <c r="AL685" s="2"/>
      <c r="AM685" s="2"/>
      <c r="AN685" s="9"/>
      <c r="AO685" s="9"/>
      <c r="AP685" s="9"/>
      <c r="AQ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224"/>
      <c r="X686" s="224"/>
      <c r="Y686" s="868"/>
      <c r="Z686" s="865"/>
      <c r="AA686" s="2"/>
      <c r="AB686" s="2"/>
      <c r="AC686" s="2"/>
      <c r="AD686" s="2"/>
      <c r="AE686" s="2"/>
      <c r="AF686" s="2"/>
      <c r="AG686" s="2"/>
      <c r="AH686" s="2"/>
      <c r="AI686" s="2"/>
      <c r="AJ686" s="2"/>
      <c r="AK686" s="2"/>
      <c r="AL686" s="2"/>
      <c r="AM686" s="2"/>
      <c r="AN686" s="9"/>
      <c r="AO686" s="9"/>
      <c r="AP686" s="9"/>
      <c r="AQ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224"/>
      <c r="X687" s="224"/>
      <c r="Y687" s="868"/>
      <c r="Z687" s="865"/>
      <c r="AA687" s="2"/>
      <c r="AB687" s="2"/>
      <c r="AC687" s="2"/>
      <c r="AD687" s="2"/>
      <c r="AE687" s="2"/>
      <c r="AF687" s="2"/>
      <c r="AG687" s="2"/>
      <c r="AH687" s="2"/>
      <c r="AI687" s="2"/>
      <c r="AJ687" s="2"/>
      <c r="AK687" s="2"/>
      <c r="AL687" s="2"/>
      <c r="AM687" s="2"/>
      <c r="AN687" s="9"/>
      <c r="AO687" s="9"/>
      <c r="AP687" s="9"/>
      <c r="AQ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224"/>
      <c r="X688" s="224"/>
      <c r="Y688" s="868"/>
      <c r="Z688" s="865"/>
      <c r="AA688" s="2"/>
      <c r="AB688" s="2"/>
      <c r="AC688" s="2"/>
      <c r="AD688" s="2"/>
      <c r="AE688" s="2"/>
      <c r="AF688" s="2"/>
      <c r="AG688" s="2"/>
      <c r="AH688" s="2"/>
      <c r="AI688" s="2"/>
      <c r="AJ688" s="2"/>
      <c r="AK688" s="2"/>
      <c r="AL688" s="2"/>
      <c r="AM688" s="2"/>
      <c r="AN688" s="9"/>
      <c r="AO688" s="9"/>
      <c r="AP688" s="9"/>
      <c r="AQ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224"/>
      <c r="X689" s="224"/>
      <c r="Y689" s="868"/>
      <c r="Z689" s="865"/>
      <c r="AA689" s="2"/>
      <c r="AB689" s="2"/>
      <c r="AC689" s="2"/>
      <c r="AD689" s="2"/>
      <c r="AE689" s="2"/>
      <c r="AF689" s="2"/>
      <c r="AG689" s="2"/>
      <c r="AH689" s="2"/>
      <c r="AI689" s="2"/>
      <c r="AJ689" s="2"/>
      <c r="AK689" s="2"/>
      <c r="AL689" s="2"/>
      <c r="AM689" s="2"/>
      <c r="AN689" s="9"/>
      <c r="AO689" s="9"/>
      <c r="AP689" s="9"/>
      <c r="AQ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224"/>
      <c r="X690" s="224"/>
      <c r="Y690" s="868"/>
      <c r="Z690" s="865"/>
      <c r="AA690" s="2"/>
      <c r="AB690" s="2"/>
      <c r="AC690" s="2"/>
      <c r="AD690" s="2"/>
      <c r="AE690" s="2"/>
      <c r="AF690" s="2"/>
      <c r="AG690" s="2"/>
      <c r="AH690" s="2"/>
      <c r="AI690" s="2"/>
      <c r="AJ690" s="2"/>
      <c r="AK690" s="2"/>
      <c r="AL690" s="2"/>
      <c r="AM690" s="2"/>
      <c r="AN690" s="9"/>
      <c r="AO690" s="9"/>
      <c r="AP690" s="9"/>
      <c r="AQ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224"/>
      <c r="X691" s="224"/>
      <c r="Y691" s="868"/>
      <c r="Z691" s="865"/>
      <c r="AA691" s="2"/>
      <c r="AB691" s="2"/>
      <c r="AC691" s="2"/>
      <c r="AD691" s="2"/>
      <c r="AE691" s="2"/>
      <c r="AF691" s="2"/>
      <c r="AG691" s="2"/>
      <c r="AH691" s="2"/>
      <c r="AI691" s="2"/>
      <c r="AJ691" s="2"/>
      <c r="AK691" s="2"/>
      <c r="AL691" s="2"/>
      <c r="AM691" s="2"/>
      <c r="AN691" s="9"/>
      <c r="AO691" s="9"/>
      <c r="AP691" s="9"/>
      <c r="AQ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224"/>
      <c r="X692" s="224"/>
      <c r="Y692" s="868"/>
      <c r="Z692" s="865"/>
      <c r="AA692" s="2"/>
      <c r="AB692" s="2"/>
      <c r="AC692" s="2"/>
      <c r="AD692" s="2"/>
      <c r="AE692" s="2"/>
      <c r="AF692" s="2"/>
      <c r="AG692" s="2"/>
      <c r="AH692" s="2"/>
      <c r="AI692" s="2"/>
      <c r="AJ692" s="2"/>
      <c r="AK692" s="2"/>
      <c r="AL692" s="2"/>
      <c r="AM692" s="2"/>
      <c r="AN692" s="9"/>
      <c r="AO692" s="9"/>
      <c r="AP692" s="9"/>
      <c r="AQ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224"/>
      <c r="X693" s="224"/>
      <c r="Y693" s="868"/>
      <c r="Z693" s="865"/>
      <c r="AA693" s="2"/>
      <c r="AB693" s="2"/>
      <c r="AC693" s="2"/>
      <c r="AD693" s="2"/>
      <c r="AE693" s="2"/>
      <c r="AF693" s="2"/>
      <c r="AG693" s="2"/>
      <c r="AH693" s="2"/>
      <c r="AI693" s="2"/>
      <c r="AJ693" s="2"/>
      <c r="AK693" s="2"/>
      <c r="AL693" s="2"/>
      <c r="AM693" s="2"/>
      <c r="AN693" s="9"/>
      <c r="AO693" s="9"/>
      <c r="AP693" s="9"/>
      <c r="AQ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224"/>
      <c r="X694" s="224"/>
      <c r="Y694" s="868"/>
      <c r="Z694" s="865"/>
      <c r="AA694" s="2"/>
      <c r="AB694" s="2"/>
      <c r="AC694" s="2"/>
      <c r="AD694" s="2"/>
      <c r="AE694" s="2"/>
      <c r="AF694" s="2"/>
      <c r="AG694" s="2"/>
      <c r="AH694" s="2"/>
      <c r="AI694" s="2"/>
      <c r="AJ694" s="2"/>
      <c r="AK694" s="2"/>
      <c r="AL694" s="2"/>
      <c r="AM694" s="2"/>
      <c r="AN694" s="9"/>
      <c r="AO694" s="9"/>
      <c r="AP694" s="9"/>
      <c r="AQ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224"/>
      <c r="X695" s="224"/>
      <c r="Y695" s="868"/>
      <c r="Z695" s="865"/>
      <c r="AA695" s="2"/>
      <c r="AB695" s="2"/>
      <c r="AC695" s="2"/>
      <c r="AD695" s="2"/>
      <c r="AE695" s="2"/>
      <c r="AF695" s="2"/>
      <c r="AG695" s="2"/>
      <c r="AH695" s="2"/>
      <c r="AI695" s="2"/>
      <c r="AJ695" s="2"/>
      <c r="AK695" s="2"/>
      <c r="AL695" s="2"/>
      <c r="AM695" s="2"/>
      <c r="AN695" s="9"/>
      <c r="AO695" s="9"/>
      <c r="AP695" s="9"/>
      <c r="AQ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224"/>
      <c r="X696" s="224"/>
      <c r="Y696" s="868"/>
      <c r="Z696" s="865"/>
      <c r="AA696" s="2"/>
      <c r="AB696" s="2"/>
      <c r="AC696" s="2"/>
      <c r="AD696" s="2"/>
      <c r="AE696" s="2"/>
      <c r="AF696" s="2"/>
      <c r="AG696" s="2"/>
      <c r="AH696" s="2"/>
      <c r="AI696" s="2"/>
      <c r="AJ696" s="2"/>
      <c r="AK696" s="2"/>
      <c r="AL696" s="2"/>
      <c r="AM696" s="2"/>
      <c r="AN696" s="9"/>
      <c r="AO696" s="9"/>
      <c r="AP696" s="9"/>
      <c r="AQ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224"/>
      <c r="X697" s="224"/>
      <c r="Y697" s="868"/>
      <c r="Z697" s="865"/>
      <c r="AA697" s="2"/>
      <c r="AB697" s="2"/>
      <c r="AC697" s="2"/>
      <c r="AD697" s="2"/>
      <c r="AE697" s="2"/>
      <c r="AF697" s="2"/>
      <c r="AG697" s="2"/>
      <c r="AH697" s="2"/>
      <c r="AI697" s="2"/>
      <c r="AJ697" s="2"/>
      <c r="AK697" s="2"/>
      <c r="AL697" s="2"/>
      <c r="AM697" s="2"/>
      <c r="AN697" s="9"/>
      <c r="AO697" s="9"/>
      <c r="AP697" s="9"/>
      <c r="AQ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224"/>
      <c r="X698" s="224"/>
      <c r="Y698" s="868"/>
      <c r="Z698" s="865"/>
      <c r="AA698" s="2"/>
      <c r="AB698" s="2"/>
      <c r="AC698" s="2"/>
      <c r="AD698" s="2"/>
      <c r="AE698" s="2"/>
      <c r="AF698" s="2"/>
      <c r="AG698" s="2"/>
      <c r="AH698" s="2"/>
      <c r="AI698" s="2"/>
      <c r="AJ698" s="2"/>
      <c r="AK698" s="2"/>
      <c r="AL698" s="2"/>
      <c r="AM698" s="2"/>
      <c r="AN698" s="9"/>
      <c r="AO698" s="9"/>
      <c r="AP698" s="9"/>
      <c r="AQ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224"/>
      <c r="X699" s="224"/>
      <c r="Y699" s="868"/>
      <c r="Z699" s="865"/>
      <c r="AA699" s="2"/>
      <c r="AB699" s="2"/>
      <c r="AC699" s="2"/>
      <c r="AD699" s="2"/>
      <c r="AE699" s="2"/>
      <c r="AF699" s="2"/>
      <c r="AG699" s="2"/>
      <c r="AH699" s="2"/>
      <c r="AI699" s="2"/>
      <c r="AJ699" s="2"/>
      <c r="AK699" s="2"/>
      <c r="AL699" s="2"/>
      <c r="AM699" s="2"/>
      <c r="AN699" s="9"/>
      <c r="AO699" s="9"/>
      <c r="AP699" s="9"/>
      <c r="AQ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224"/>
      <c r="X700" s="224"/>
      <c r="Y700" s="868"/>
      <c r="Z700" s="865"/>
      <c r="AA700" s="2"/>
      <c r="AB700" s="2"/>
      <c r="AC700" s="2"/>
      <c r="AD700" s="2"/>
      <c r="AE700" s="2"/>
      <c r="AF700" s="2"/>
      <c r="AG700" s="2"/>
      <c r="AH700" s="2"/>
      <c r="AI700" s="2"/>
      <c r="AJ700" s="2"/>
      <c r="AK700" s="2"/>
      <c r="AL700" s="2"/>
      <c r="AM700" s="2"/>
      <c r="AN700" s="9"/>
      <c r="AO700" s="9"/>
      <c r="AP700" s="9"/>
      <c r="AQ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224"/>
      <c r="X701" s="224"/>
      <c r="Y701" s="868"/>
      <c r="Z701" s="865"/>
      <c r="AA701" s="2"/>
      <c r="AB701" s="2"/>
      <c r="AC701" s="2"/>
      <c r="AD701" s="2"/>
      <c r="AE701" s="2"/>
      <c r="AF701" s="2"/>
      <c r="AG701" s="2"/>
      <c r="AH701" s="2"/>
      <c r="AI701" s="2"/>
      <c r="AJ701" s="2"/>
      <c r="AK701" s="2"/>
      <c r="AL701" s="2"/>
      <c r="AM701" s="2"/>
      <c r="AN701" s="9"/>
      <c r="AO701" s="9"/>
      <c r="AP701" s="9"/>
      <c r="AQ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224"/>
      <c r="X702" s="224"/>
      <c r="Y702" s="868"/>
      <c r="Z702" s="865"/>
      <c r="AA702" s="2"/>
      <c r="AB702" s="2"/>
      <c r="AC702" s="2"/>
      <c r="AD702" s="2"/>
      <c r="AE702" s="2"/>
      <c r="AF702" s="2"/>
      <c r="AG702" s="2"/>
      <c r="AH702" s="2"/>
      <c r="AI702" s="2"/>
      <c r="AJ702" s="2"/>
      <c r="AK702" s="2"/>
      <c r="AL702" s="2"/>
      <c r="AM702" s="2"/>
      <c r="AN702" s="9"/>
      <c r="AO702" s="9"/>
      <c r="AP702" s="9"/>
      <c r="AQ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224"/>
      <c r="X703" s="224"/>
      <c r="Y703" s="868"/>
      <c r="Z703" s="865"/>
      <c r="AA703" s="2"/>
      <c r="AB703" s="2"/>
      <c r="AC703" s="2"/>
      <c r="AD703" s="2"/>
      <c r="AE703" s="2"/>
      <c r="AF703" s="2"/>
      <c r="AG703" s="2"/>
      <c r="AH703" s="2"/>
      <c r="AI703" s="2"/>
      <c r="AJ703" s="2"/>
      <c r="AK703" s="2"/>
      <c r="AL703" s="2"/>
      <c r="AM703" s="2"/>
      <c r="AN703" s="9"/>
      <c r="AO703" s="9"/>
      <c r="AP703" s="9"/>
      <c r="AQ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224"/>
      <c r="X704" s="224"/>
      <c r="Y704" s="868"/>
      <c r="Z704" s="865"/>
      <c r="AA704" s="2"/>
      <c r="AB704" s="2"/>
      <c r="AC704" s="2"/>
      <c r="AD704" s="2"/>
      <c r="AE704" s="2"/>
      <c r="AF704" s="2"/>
      <c r="AG704" s="2"/>
      <c r="AH704" s="2"/>
      <c r="AI704" s="2"/>
      <c r="AJ704" s="2"/>
      <c r="AK704" s="2"/>
      <c r="AL704" s="2"/>
      <c r="AM704" s="2"/>
      <c r="AN704" s="9"/>
      <c r="AO704" s="9"/>
      <c r="AP704" s="9"/>
      <c r="AQ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224"/>
      <c r="X705" s="224"/>
      <c r="Y705" s="868"/>
      <c r="Z705" s="865"/>
      <c r="AA705" s="2"/>
      <c r="AB705" s="2"/>
      <c r="AC705" s="2"/>
      <c r="AD705" s="2"/>
      <c r="AE705" s="2"/>
      <c r="AF705" s="2"/>
      <c r="AG705" s="2"/>
      <c r="AH705" s="2"/>
      <c r="AI705" s="2"/>
      <c r="AJ705" s="2"/>
      <c r="AK705" s="2"/>
      <c r="AL705" s="2"/>
      <c r="AM705" s="2"/>
      <c r="AN705" s="9"/>
      <c r="AO705" s="9"/>
      <c r="AP705" s="9"/>
      <c r="AQ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224"/>
      <c r="X706" s="224"/>
      <c r="Y706" s="868"/>
      <c r="Z706" s="865"/>
      <c r="AA706" s="2"/>
      <c r="AB706" s="2"/>
      <c r="AC706" s="2"/>
      <c r="AD706" s="2"/>
      <c r="AE706" s="2"/>
      <c r="AF706" s="2"/>
      <c r="AG706" s="2"/>
      <c r="AH706" s="2"/>
      <c r="AI706" s="2"/>
      <c r="AJ706" s="2"/>
      <c r="AK706" s="2"/>
      <c r="AL706" s="2"/>
      <c r="AM706" s="2"/>
      <c r="AN706" s="9"/>
      <c r="AO706" s="9"/>
      <c r="AP706" s="9"/>
      <c r="AQ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224"/>
      <c r="X707" s="224"/>
      <c r="Y707" s="868"/>
      <c r="Z707" s="865"/>
      <c r="AA707" s="2"/>
      <c r="AB707" s="2"/>
      <c r="AC707" s="2"/>
      <c r="AD707" s="2"/>
      <c r="AE707" s="2"/>
      <c r="AF707" s="2"/>
      <c r="AG707" s="2"/>
      <c r="AH707" s="2"/>
      <c r="AI707" s="2"/>
      <c r="AJ707" s="2"/>
      <c r="AK707" s="2"/>
      <c r="AL707" s="2"/>
      <c r="AM707" s="2"/>
      <c r="AN707" s="9"/>
      <c r="AO707" s="9"/>
      <c r="AP707" s="9"/>
      <c r="AQ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224"/>
      <c r="X708" s="224"/>
      <c r="Y708" s="868"/>
      <c r="Z708" s="865"/>
      <c r="AA708" s="2"/>
      <c r="AB708" s="2"/>
      <c r="AC708" s="2"/>
      <c r="AD708" s="2"/>
      <c r="AE708" s="2"/>
      <c r="AF708" s="2"/>
      <c r="AG708" s="2"/>
      <c r="AH708" s="2"/>
      <c r="AI708" s="2"/>
      <c r="AJ708" s="2"/>
      <c r="AK708" s="2"/>
      <c r="AL708" s="2"/>
      <c r="AM708" s="2"/>
      <c r="AN708" s="9"/>
      <c r="AO708" s="9"/>
      <c r="AP708" s="9"/>
      <c r="AQ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224"/>
      <c r="X709" s="224"/>
      <c r="Y709" s="868"/>
      <c r="Z709" s="865"/>
      <c r="AA709" s="2"/>
      <c r="AB709" s="2"/>
      <c r="AC709" s="2"/>
      <c r="AD709" s="2"/>
      <c r="AE709" s="2"/>
      <c r="AF709" s="2"/>
      <c r="AG709" s="2"/>
      <c r="AH709" s="2"/>
      <c r="AI709" s="2"/>
      <c r="AJ709" s="2"/>
      <c r="AK709" s="2"/>
      <c r="AL709" s="2"/>
      <c r="AM709" s="2"/>
      <c r="AN709" s="9"/>
      <c r="AO709" s="9"/>
      <c r="AP709" s="9"/>
      <c r="AQ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224"/>
      <c r="X710" s="224"/>
      <c r="Y710" s="868"/>
      <c r="Z710" s="865"/>
      <c r="AA710" s="2"/>
      <c r="AB710" s="2"/>
      <c r="AC710" s="2"/>
      <c r="AD710" s="2"/>
      <c r="AE710" s="2"/>
      <c r="AF710" s="2"/>
      <c r="AG710" s="2"/>
      <c r="AH710" s="2"/>
      <c r="AI710" s="2"/>
      <c r="AJ710" s="2"/>
      <c r="AK710" s="2"/>
      <c r="AL710" s="2"/>
      <c r="AM710" s="2"/>
      <c r="AN710" s="9"/>
      <c r="AO710" s="9"/>
      <c r="AP710" s="9"/>
      <c r="AQ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224"/>
      <c r="X711" s="224"/>
      <c r="Y711" s="868"/>
      <c r="Z711" s="865"/>
      <c r="AA711" s="2"/>
      <c r="AB711" s="2"/>
      <c r="AC711" s="2"/>
      <c r="AD711" s="2"/>
      <c r="AE711" s="2"/>
      <c r="AF711" s="2"/>
      <c r="AG711" s="2"/>
      <c r="AH711" s="2"/>
      <c r="AI711" s="2"/>
      <c r="AJ711" s="2"/>
      <c r="AK711" s="2"/>
      <c r="AL711" s="2"/>
      <c r="AM711" s="2"/>
      <c r="AN711" s="9"/>
      <c r="AO711" s="9"/>
      <c r="AP711" s="9"/>
      <c r="AQ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224"/>
      <c r="X712" s="224"/>
      <c r="Y712" s="868"/>
      <c r="Z712" s="865"/>
      <c r="AA712" s="2"/>
      <c r="AB712" s="2"/>
      <c r="AC712" s="2"/>
      <c r="AD712" s="2"/>
      <c r="AE712" s="2"/>
      <c r="AF712" s="2"/>
      <c r="AG712" s="2"/>
      <c r="AH712" s="2"/>
      <c r="AI712" s="2"/>
      <c r="AJ712" s="2"/>
      <c r="AK712" s="2"/>
      <c r="AL712" s="2"/>
      <c r="AM712" s="2"/>
      <c r="AN712" s="9"/>
      <c r="AO712" s="9"/>
      <c r="AP712" s="9"/>
      <c r="AQ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224"/>
      <c r="X713" s="224"/>
      <c r="Y713" s="868"/>
      <c r="Z713" s="865"/>
      <c r="AA713" s="2"/>
      <c r="AB713" s="2"/>
      <c r="AC713" s="2"/>
      <c r="AD713" s="2"/>
      <c r="AE713" s="2"/>
      <c r="AF713" s="2"/>
      <c r="AG713" s="2"/>
      <c r="AH713" s="2"/>
      <c r="AI713" s="2"/>
      <c r="AJ713" s="2"/>
      <c r="AK713" s="2"/>
      <c r="AL713" s="2"/>
      <c r="AM713" s="2"/>
      <c r="AN713" s="9"/>
      <c r="AO713" s="9"/>
      <c r="AP713" s="9"/>
      <c r="AQ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224"/>
      <c r="X714" s="224"/>
      <c r="Y714" s="868"/>
      <c r="Z714" s="865"/>
      <c r="AA714" s="2"/>
      <c r="AB714" s="2"/>
      <c r="AC714" s="2"/>
      <c r="AD714" s="2"/>
      <c r="AE714" s="2"/>
      <c r="AF714" s="2"/>
      <c r="AG714" s="2"/>
      <c r="AH714" s="2"/>
      <c r="AI714" s="2"/>
      <c r="AJ714" s="2"/>
      <c r="AK714" s="2"/>
      <c r="AL714" s="2"/>
      <c r="AM714" s="2"/>
      <c r="AN714" s="9"/>
      <c r="AO714" s="9"/>
      <c r="AP714" s="9"/>
      <c r="AQ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224"/>
      <c r="X715" s="224"/>
      <c r="Y715" s="868"/>
      <c r="Z715" s="865"/>
      <c r="AA715" s="2"/>
      <c r="AB715" s="2"/>
      <c r="AC715" s="2"/>
      <c r="AD715" s="2"/>
      <c r="AE715" s="2"/>
      <c r="AF715" s="2"/>
      <c r="AG715" s="2"/>
      <c r="AH715" s="2"/>
      <c r="AI715" s="2"/>
      <c r="AJ715" s="2"/>
      <c r="AK715" s="2"/>
      <c r="AL715" s="2"/>
      <c r="AM715" s="2"/>
      <c r="AN715" s="9"/>
      <c r="AO715" s="9"/>
      <c r="AP715" s="9"/>
      <c r="AQ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224"/>
      <c r="X716" s="224"/>
      <c r="Y716" s="868"/>
      <c r="Z716" s="865"/>
      <c r="AA716" s="2"/>
      <c r="AB716" s="2"/>
      <c r="AC716" s="2"/>
      <c r="AD716" s="2"/>
      <c r="AE716" s="2"/>
      <c r="AF716" s="2"/>
      <c r="AG716" s="2"/>
      <c r="AH716" s="2"/>
      <c r="AI716" s="2"/>
      <c r="AJ716" s="2"/>
      <c r="AK716" s="2"/>
      <c r="AL716" s="2"/>
      <c r="AM716" s="2"/>
      <c r="AN716" s="9"/>
      <c r="AO716" s="9"/>
      <c r="AP716" s="9"/>
      <c r="AQ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224"/>
      <c r="X717" s="224"/>
      <c r="Y717" s="868"/>
      <c r="Z717" s="865"/>
      <c r="AA717" s="2"/>
      <c r="AB717" s="2"/>
      <c r="AC717" s="2"/>
      <c r="AD717" s="2"/>
      <c r="AE717" s="2"/>
      <c r="AF717" s="2"/>
      <c r="AG717" s="2"/>
      <c r="AH717" s="2"/>
      <c r="AI717" s="2"/>
      <c r="AJ717" s="2"/>
      <c r="AK717" s="2"/>
      <c r="AL717" s="2"/>
      <c r="AM717" s="2"/>
      <c r="AN717" s="9"/>
      <c r="AO717" s="9"/>
      <c r="AP717" s="9"/>
      <c r="AQ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224"/>
      <c r="X718" s="224"/>
      <c r="Y718" s="868"/>
      <c r="Z718" s="865"/>
      <c r="AA718" s="2"/>
      <c r="AB718" s="2"/>
      <c r="AC718" s="2"/>
      <c r="AD718" s="2"/>
      <c r="AE718" s="2"/>
      <c r="AF718" s="2"/>
      <c r="AG718" s="2"/>
      <c r="AH718" s="2"/>
      <c r="AI718" s="2"/>
      <c r="AJ718" s="2"/>
      <c r="AK718" s="2"/>
      <c r="AL718" s="2"/>
      <c r="AM718" s="2"/>
      <c r="AN718" s="9"/>
      <c r="AO718" s="9"/>
      <c r="AP718" s="9"/>
      <c r="AQ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224"/>
      <c r="X719" s="224"/>
      <c r="Y719" s="868"/>
      <c r="Z719" s="865"/>
      <c r="AA719" s="2"/>
      <c r="AB719" s="2"/>
      <c r="AC719" s="2"/>
      <c r="AD719" s="2"/>
      <c r="AE719" s="2"/>
      <c r="AF719" s="2"/>
      <c r="AG719" s="2"/>
      <c r="AH719" s="2"/>
      <c r="AI719" s="2"/>
      <c r="AJ719" s="2"/>
      <c r="AK719" s="2"/>
      <c r="AL719" s="2"/>
      <c r="AM719" s="2"/>
      <c r="AN719" s="9"/>
      <c r="AO719" s="9"/>
      <c r="AP719" s="9"/>
      <c r="AQ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224"/>
      <c r="X720" s="224"/>
      <c r="Y720" s="868"/>
      <c r="Z720" s="865"/>
      <c r="AA720" s="2"/>
      <c r="AB720" s="2"/>
      <c r="AC720" s="2"/>
      <c r="AD720" s="2"/>
      <c r="AE720" s="2"/>
      <c r="AF720" s="2"/>
      <c r="AG720" s="2"/>
      <c r="AH720" s="2"/>
      <c r="AI720" s="2"/>
      <c r="AJ720" s="2"/>
      <c r="AK720" s="2"/>
      <c r="AL720" s="2"/>
      <c r="AM720" s="2"/>
      <c r="AN720" s="9"/>
      <c r="AO720" s="9"/>
      <c r="AP720" s="9"/>
      <c r="AQ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224"/>
      <c r="X721" s="224"/>
      <c r="Y721" s="868"/>
      <c r="Z721" s="865"/>
      <c r="AA721" s="2"/>
      <c r="AB721" s="2"/>
      <c r="AC721" s="2"/>
      <c r="AD721" s="2"/>
      <c r="AE721" s="2"/>
      <c r="AF721" s="2"/>
      <c r="AG721" s="2"/>
      <c r="AH721" s="2"/>
      <c r="AI721" s="2"/>
      <c r="AJ721" s="2"/>
      <c r="AK721" s="2"/>
      <c r="AL721" s="2"/>
      <c r="AM721" s="2"/>
      <c r="AN721" s="9"/>
      <c r="AO721" s="9"/>
      <c r="AP721" s="9"/>
      <c r="AQ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224"/>
      <c r="X722" s="224"/>
      <c r="Y722" s="868"/>
      <c r="Z722" s="865"/>
      <c r="AA722" s="2"/>
      <c r="AB722" s="2"/>
      <c r="AC722" s="2"/>
      <c r="AD722" s="2"/>
      <c r="AE722" s="2"/>
      <c r="AF722" s="2"/>
      <c r="AG722" s="2"/>
      <c r="AH722" s="2"/>
      <c r="AI722" s="2"/>
      <c r="AJ722" s="2"/>
      <c r="AK722" s="2"/>
      <c r="AL722" s="2"/>
      <c r="AM722" s="2"/>
      <c r="AN722" s="9"/>
      <c r="AO722" s="9"/>
      <c r="AP722" s="9"/>
      <c r="AQ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224"/>
      <c r="X723" s="224"/>
      <c r="Y723" s="868"/>
      <c r="Z723" s="865"/>
      <c r="AA723" s="2"/>
      <c r="AB723" s="2"/>
      <c r="AC723" s="2"/>
      <c r="AD723" s="2"/>
      <c r="AE723" s="2"/>
      <c r="AF723" s="2"/>
      <c r="AG723" s="2"/>
      <c r="AH723" s="2"/>
      <c r="AI723" s="2"/>
      <c r="AJ723" s="2"/>
      <c r="AK723" s="2"/>
      <c r="AL723" s="2"/>
      <c r="AM723" s="2"/>
      <c r="AN723" s="9"/>
      <c r="AO723" s="9"/>
      <c r="AP723" s="9"/>
      <c r="AQ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224"/>
      <c r="X724" s="224"/>
      <c r="Y724" s="868"/>
      <c r="Z724" s="865"/>
      <c r="AA724" s="2"/>
      <c r="AB724" s="2"/>
      <c r="AC724" s="2"/>
      <c r="AD724" s="2"/>
      <c r="AE724" s="2"/>
      <c r="AF724" s="2"/>
      <c r="AG724" s="2"/>
      <c r="AH724" s="2"/>
      <c r="AI724" s="2"/>
      <c r="AJ724" s="2"/>
      <c r="AK724" s="2"/>
      <c r="AL724" s="2"/>
      <c r="AM724" s="2"/>
      <c r="AN724" s="9"/>
      <c r="AO724" s="9"/>
      <c r="AP724" s="9"/>
      <c r="AQ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224"/>
      <c r="X725" s="224"/>
      <c r="Y725" s="868"/>
      <c r="Z725" s="865"/>
      <c r="AA725" s="2"/>
      <c r="AB725" s="2"/>
      <c r="AC725" s="2"/>
      <c r="AD725" s="2"/>
      <c r="AE725" s="2"/>
      <c r="AF725" s="2"/>
      <c r="AG725" s="2"/>
      <c r="AH725" s="2"/>
      <c r="AI725" s="2"/>
      <c r="AJ725" s="2"/>
      <c r="AK725" s="2"/>
      <c r="AL725" s="2"/>
      <c r="AM725" s="2"/>
      <c r="AN725" s="9"/>
      <c r="AO725" s="9"/>
      <c r="AP725" s="9"/>
      <c r="AQ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224"/>
      <c r="X726" s="224"/>
      <c r="Y726" s="868"/>
      <c r="Z726" s="865"/>
      <c r="AA726" s="2"/>
      <c r="AB726" s="2"/>
      <c r="AC726" s="2"/>
      <c r="AD726" s="2"/>
      <c r="AE726" s="2"/>
      <c r="AF726" s="2"/>
      <c r="AG726" s="2"/>
      <c r="AH726" s="2"/>
      <c r="AI726" s="2"/>
      <c r="AJ726" s="2"/>
      <c r="AK726" s="2"/>
      <c r="AL726" s="2"/>
      <c r="AM726" s="2"/>
      <c r="AN726" s="9"/>
      <c r="AO726" s="9"/>
      <c r="AP726" s="9"/>
      <c r="AQ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224"/>
      <c r="X727" s="224"/>
      <c r="Y727" s="868"/>
      <c r="Z727" s="865"/>
      <c r="AA727" s="2"/>
      <c r="AB727" s="2"/>
      <c r="AC727" s="2"/>
      <c r="AD727" s="2"/>
      <c r="AE727" s="2"/>
      <c r="AF727" s="2"/>
      <c r="AG727" s="2"/>
      <c r="AH727" s="2"/>
      <c r="AI727" s="2"/>
      <c r="AJ727" s="2"/>
      <c r="AK727" s="2"/>
      <c r="AL727" s="2"/>
      <c r="AM727" s="2"/>
      <c r="AN727" s="9"/>
      <c r="AO727" s="9"/>
      <c r="AP727" s="9"/>
      <c r="AQ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224"/>
      <c r="X728" s="224"/>
      <c r="Y728" s="868"/>
      <c r="Z728" s="865"/>
      <c r="AA728" s="2"/>
      <c r="AB728" s="2"/>
      <c r="AC728" s="2"/>
      <c r="AD728" s="2"/>
      <c r="AE728" s="2"/>
      <c r="AF728" s="2"/>
      <c r="AG728" s="2"/>
      <c r="AH728" s="2"/>
      <c r="AI728" s="2"/>
      <c r="AJ728" s="2"/>
      <c r="AK728" s="2"/>
      <c r="AL728" s="2"/>
      <c r="AM728" s="2"/>
      <c r="AN728" s="9"/>
      <c r="AO728" s="9"/>
      <c r="AP728" s="9"/>
      <c r="AQ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224"/>
      <c r="X729" s="224"/>
      <c r="Y729" s="868"/>
      <c r="Z729" s="865"/>
      <c r="AA729" s="2"/>
      <c r="AB729" s="2"/>
      <c r="AC729" s="2"/>
      <c r="AD729" s="2"/>
      <c r="AE729" s="2"/>
      <c r="AF729" s="2"/>
      <c r="AG729" s="2"/>
      <c r="AH729" s="2"/>
      <c r="AI729" s="2"/>
      <c r="AJ729" s="2"/>
      <c r="AK729" s="2"/>
      <c r="AL729" s="2"/>
      <c r="AM729" s="2"/>
      <c r="AN729" s="9"/>
      <c r="AO729" s="9"/>
      <c r="AP729" s="9"/>
      <c r="AQ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224"/>
      <c r="X730" s="224"/>
      <c r="Y730" s="868"/>
      <c r="Z730" s="865"/>
      <c r="AA730" s="2"/>
      <c r="AB730" s="2"/>
      <c r="AC730" s="2"/>
      <c r="AD730" s="2"/>
      <c r="AE730" s="2"/>
      <c r="AF730" s="2"/>
      <c r="AG730" s="2"/>
      <c r="AH730" s="2"/>
      <c r="AI730" s="2"/>
      <c r="AJ730" s="2"/>
      <c r="AK730" s="2"/>
      <c r="AL730" s="2"/>
      <c r="AM730" s="2"/>
      <c r="AN730" s="9"/>
      <c r="AO730" s="9"/>
      <c r="AP730" s="9"/>
      <c r="AQ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224"/>
      <c r="X731" s="224"/>
      <c r="Y731" s="868"/>
      <c r="Z731" s="865"/>
      <c r="AA731" s="2"/>
      <c r="AB731" s="2"/>
      <c r="AC731" s="2"/>
      <c r="AD731" s="2"/>
      <c r="AE731" s="2"/>
      <c r="AF731" s="2"/>
      <c r="AG731" s="2"/>
      <c r="AH731" s="2"/>
      <c r="AI731" s="2"/>
      <c r="AJ731" s="2"/>
      <c r="AK731" s="2"/>
      <c r="AL731" s="2"/>
      <c r="AM731" s="2"/>
      <c r="AN731" s="9"/>
      <c r="AO731" s="9"/>
      <c r="AP731" s="9"/>
      <c r="AQ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224"/>
      <c r="X732" s="224"/>
      <c r="Y732" s="868"/>
      <c r="Z732" s="865"/>
      <c r="AA732" s="2"/>
      <c r="AB732" s="2"/>
      <c r="AC732" s="2"/>
      <c r="AD732" s="2"/>
      <c r="AE732" s="2"/>
      <c r="AF732" s="2"/>
      <c r="AG732" s="2"/>
      <c r="AH732" s="2"/>
      <c r="AI732" s="2"/>
      <c r="AJ732" s="2"/>
      <c r="AK732" s="2"/>
      <c r="AL732" s="2"/>
      <c r="AM732" s="2"/>
      <c r="AN732" s="9"/>
      <c r="AO732" s="9"/>
      <c r="AP732" s="9"/>
      <c r="AQ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224"/>
      <c r="X733" s="224"/>
      <c r="Y733" s="868"/>
      <c r="Z733" s="865"/>
      <c r="AA733" s="2"/>
      <c r="AB733" s="2"/>
      <c r="AC733" s="2"/>
      <c r="AD733" s="2"/>
      <c r="AE733" s="2"/>
      <c r="AF733" s="2"/>
      <c r="AG733" s="2"/>
      <c r="AH733" s="2"/>
      <c r="AI733" s="2"/>
      <c r="AJ733" s="2"/>
      <c r="AK733" s="2"/>
      <c r="AL733" s="2"/>
      <c r="AM733" s="2"/>
      <c r="AN733" s="9"/>
      <c r="AO733" s="9"/>
      <c r="AP733" s="9"/>
      <c r="AQ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224"/>
      <c r="X734" s="224"/>
      <c r="Y734" s="868"/>
      <c r="Z734" s="865"/>
      <c r="AA734" s="2"/>
      <c r="AB734" s="2"/>
      <c r="AC734" s="2"/>
      <c r="AD734" s="2"/>
      <c r="AE734" s="2"/>
      <c r="AF734" s="2"/>
      <c r="AG734" s="2"/>
      <c r="AH734" s="2"/>
      <c r="AI734" s="2"/>
      <c r="AJ734" s="2"/>
      <c r="AK734" s="2"/>
      <c r="AL734" s="2"/>
      <c r="AM734" s="2"/>
      <c r="AN734" s="9"/>
      <c r="AO734" s="9"/>
      <c r="AP734" s="9"/>
      <c r="AQ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224"/>
      <c r="X735" s="224"/>
      <c r="Y735" s="868"/>
      <c r="Z735" s="865"/>
      <c r="AA735" s="2"/>
      <c r="AB735" s="2"/>
      <c r="AC735" s="2"/>
      <c r="AD735" s="2"/>
      <c r="AE735" s="2"/>
      <c r="AF735" s="2"/>
      <c r="AG735" s="2"/>
      <c r="AH735" s="2"/>
      <c r="AI735" s="2"/>
      <c r="AJ735" s="2"/>
      <c r="AK735" s="2"/>
      <c r="AL735" s="2"/>
      <c r="AM735" s="2"/>
      <c r="AN735" s="9"/>
      <c r="AO735" s="9"/>
      <c r="AP735" s="9"/>
      <c r="AQ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224"/>
      <c r="X736" s="224"/>
      <c r="Y736" s="868"/>
      <c r="Z736" s="865"/>
      <c r="AA736" s="2"/>
      <c r="AB736" s="2"/>
      <c r="AC736" s="2"/>
      <c r="AD736" s="2"/>
      <c r="AE736" s="2"/>
      <c r="AF736" s="2"/>
      <c r="AG736" s="2"/>
      <c r="AH736" s="2"/>
      <c r="AI736" s="2"/>
      <c r="AJ736" s="2"/>
      <c r="AK736" s="2"/>
      <c r="AL736" s="2"/>
      <c r="AM736" s="2"/>
      <c r="AN736" s="9"/>
      <c r="AO736" s="9"/>
      <c r="AP736" s="9"/>
      <c r="AQ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224"/>
      <c r="X737" s="224"/>
      <c r="Y737" s="868"/>
      <c r="Z737" s="865"/>
      <c r="AA737" s="2"/>
      <c r="AB737" s="2"/>
      <c r="AC737" s="2"/>
      <c r="AD737" s="2"/>
      <c r="AE737" s="2"/>
      <c r="AF737" s="2"/>
      <c r="AG737" s="2"/>
      <c r="AH737" s="2"/>
      <c r="AI737" s="2"/>
      <c r="AJ737" s="2"/>
      <c r="AK737" s="2"/>
      <c r="AL737" s="2"/>
      <c r="AM737" s="2"/>
      <c r="AN737" s="9"/>
      <c r="AO737" s="9"/>
      <c r="AP737" s="9"/>
      <c r="AQ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224"/>
      <c r="X738" s="224"/>
      <c r="Y738" s="868"/>
      <c r="Z738" s="865"/>
      <c r="AA738" s="2"/>
      <c r="AB738" s="2"/>
      <c r="AC738" s="2"/>
      <c r="AD738" s="2"/>
      <c r="AE738" s="2"/>
      <c r="AF738" s="2"/>
      <c r="AG738" s="2"/>
      <c r="AH738" s="2"/>
      <c r="AI738" s="2"/>
      <c r="AJ738" s="2"/>
      <c r="AK738" s="2"/>
      <c r="AL738" s="2"/>
      <c r="AM738" s="2"/>
      <c r="AN738" s="9"/>
      <c r="AO738" s="9"/>
      <c r="AP738" s="9"/>
      <c r="AQ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224"/>
      <c r="X739" s="224"/>
      <c r="Y739" s="868"/>
      <c r="Z739" s="865"/>
      <c r="AA739" s="2"/>
      <c r="AB739" s="2"/>
      <c r="AC739" s="2"/>
      <c r="AD739" s="2"/>
      <c r="AE739" s="2"/>
      <c r="AF739" s="2"/>
      <c r="AG739" s="2"/>
      <c r="AH739" s="2"/>
      <c r="AI739" s="2"/>
      <c r="AJ739" s="2"/>
      <c r="AK739" s="2"/>
      <c r="AL739" s="2"/>
      <c r="AM739" s="2"/>
      <c r="AN739" s="9"/>
      <c r="AO739" s="9"/>
      <c r="AP739" s="9"/>
      <c r="AQ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224"/>
      <c r="X740" s="224"/>
      <c r="Y740" s="868"/>
      <c r="Z740" s="865"/>
      <c r="AA740" s="2"/>
      <c r="AB740" s="2"/>
      <c r="AC740" s="2"/>
      <c r="AD740" s="2"/>
      <c r="AE740" s="2"/>
      <c r="AF740" s="2"/>
      <c r="AG740" s="2"/>
      <c r="AH740" s="2"/>
      <c r="AI740" s="2"/>
      <c r="AJ740" s="2"/>
      <c r="AK740" s="2"/>
      <c r="AL740" s="2"/>
      <c r="AM740" s="2"/>
      <c r="AN740" s="9"/>
      <c r="AO740" s="9"/>
      <c r="AP740" s="9"/>
      <c r="AQ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224"/>
      <c r="X741" s="224"/>
      <c r="Y741" s="868"/>
      <c r="Z741" s="865"/>
      <c r="AA741" s="2"/>
      <c r="AB741" s="2"/>
      <c r="AC741" s="2"/>
      <c r="AD741" s="2"/>
      <c r="AE741" s="2"/>
      <c r="AF741" s="2"/>
      <c r="AG741" s="2"/>
      <c r="AH741" s="2"/>
      <c r="AI741" s="2"/>
      <c r="AJ741" s="2"/>
      <c r="AK741" s="2"/>
      <c r="AL741" s="2"/>
      <c r="AM741" s="2"/>
      <c r="AN741" s="9"/>
      <c r="AO741" s="9"/>
      <c r="AP741" s="9"/>
      <c r="AQ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224"/>
      <c r="X742" s="224"/>
      <c r="Y742" s="868"/>
      <c r="Z742" s="865"/>
      <c r="AA742" s="2"/>
      <c r="AB742" s="2"/>
      <c r="AC742" s="2"/>
      <c r="AD742" s="2"/>
      <c r="AE742" s="2"/>
      <c r="AF742" s="2"/>
      <c r="AG742" s="2"/>
      <c r="AH742" s="2"/>
      <c r="AI742" s="2"/>
      <c r="AJ742" s="2"/>
      <c r="AK742" s="2"/>
      <c r="AL742" s="2"/>
      <c r="AM742" s="2"/>
      <c r="AN742" s="9"/>
      <c r="AO742" s="9"/>
      <c r="AP742" s="9"/>
      <c r="AQ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224"/>
      <c r="X743" s="224"/>
      <c r="Y743" s="868"/>
      <c r="Z743" s="865"/>
      <c r="AA743" s="2"/>
      <c r="AB743" s="2"/>
      <c r="AC743" s="2"/>
      <c r="AD743" s="2"/>
      <c r="AE743" s="2"/>
      <c r="AF743" s="2"/>
      <c r="AG743" s="2"/>
      <c r="AH743" s="2"/>
      <c r="AI743" s="2"/>
      <c r="AJ743" s="2"/>
      <c r="AK743" s="2"/>
      <c r="AL743" s="2"/>
      <c r="AM743" s="2"/>
      <c r="AN743" s="9"/>
      <c r="AO743" s="9"/>
      <c r="AP743" s="9"/>
      <c r="AQ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224"/>
      <c r="X744" s="224"/>
      <c r="Y744" s="868"/>
      <c r="Z744" s="865"/>
      <c r="AA744" s="2"/>
      <c r="AB744" s="2"/>
      <c r="AC744" s="2"/>
      <c r="AD744" s="2"/>
      <c r="AE744" s="2"/>
      <c r="AF744" s="2"/>
      <c r="AG744" s="2"/>
      <c r="AH744" s="2"/>
      <c r="AI744" s="2"/>
      <c r="AJ744" s="2"/>
      <c r="AK744" s="2"/>
      <c r="AL744" s="2"/>
      <c r="AM744" s="2"/>
      <c r="AN744" s="9"/>
      <c r="AO744" s="9"/>
      <c r="AP744" s="9"/>
      <c r="AQ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224"/>
      <c r="X745" s="224"/>
      <c r="Y745" s="868"/>
      <c r="Z745" s="865"/>
      <c r="AA745" s="2"/>
      <c r="AB745" s="2"/>
      <c r="AC745" s="2"/>
      <c r="AD745" s="2"/>
      <c r="AE745" s="2"/>
      <c r="AF745" s="2"/>
      <c r="AG745" s="2"/>
      <c r="AH745" s="2"/>
      <c r="AI745" s="2"/>
      <c r="AJ745" s="2"/>
      <c r="AK745" s="2"/>
      <c r="AL745" s="2"/>
      <c r="AM745" s="2"/>
      <c r="AN745" s="9"/>
      <c r="AO745" s="9"/>
      <c r="AP745" s="9"/>
      <c r="AQ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224"/>
      <c r="X746" s="224"/>
      <c r="Y746" s="868"/>
      <c r="Z746" s="865"/>
      <c r="AA746" s="2"/>
      <c r="AB746" s="2"/>
      <c r="AC746" s="2"/>
      <c r="AD746" s="2"/>
      <c r="AE746" s="2"/>
      <c r="AF746" s="2"/>
      <c r="AG746" s="2"/>
      <c r="AH746" s="2"/>
      <c r="AI746" s="2"/>
      <c r="AJ746" s="2"/>
      <c r="AK746" s="2"/>
      <c r="AL746" s="2"/>
      <c r="AM746" s="2"/>
      <c r="AN746" s="9"/>
      <c r="AO746" s="9"/>
      <c r="AP746" s="9"/>
      <c r="AQ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224"/>
      <c r="X747" s="224"/>
      <c r="Y747" s="868"/>
      <c r="Z747" s="865"/>
      <c r="AA747" s="2"/>
      <c r="AB747" s="2"/>
      <c r="AC747" s="2"/>
      <c r="AD747" s="2"/>
      <c r="AE747" s="2"/>
      <c r="AF747" s="2"/>
      <c r="AG747" s="2"/>
      <c r="AH747" s="2"/>
      <c r="AI747" s="2"/>
      <c r="AJ747" s="2"/>
      <c r="AK747" s="2"/>
      <c r="AL747" s="2"/>
      <c r="AM747" s="2"/>
      <c r="AN747" s="9"/>
      <c r="AO747" s="9"/>
      <c r="AP747" s="9"/>
      <c r="AQ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224"/>
      <c r="X748" s="224"/>
      <c r="Y748" s="868"/>
      <c r="Z748" s="865"/>
      <c r="AA748" s="2"/>
      <c r="AB748" s="2"/>
      <c r="AC748" s="2"/>
      <c r="AD748" s="2"/>
      <c r="AE748" s="2"/>
      <c r="AF748" s="2"/>
      <c r="AG748" s="2"/>
      <c r="AH748" s="2"/>
      <c r="AI748" s="2"/>
      <c r="AJ748" s="2"/>
      <c r="AK748" s="2"/>
      <c r="AL748" s="2"/>
      <c r="AM748" s="2"/>
      <c r="AN748" s="9"/>
      <c r="AO748" s="9"/>
      <c r="AP748" s="9"/>
      <c r="AQ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224"/>
      <c r="X749" s="224"/>
      <c r="Y749" s="868"/>
      <c r="Z749" s="865"/>
      <c r="AA749" s="2"/>
      <c r="AB749" s="2"/>
      <c r="AC749" s="2"/>
      <c r="AD749" s="2"/>
      <c r="AE749" s="2"/>
      <c r="AF749" s="2"/>
      <c r="AG749" s="2"/>
      <c r="AH749" s="2"/>
      <c r="AI749" s="2"/>
      <c r="AJ749" s="2"/>
      <c r="AK749" s="2"/>
      <c r="AL749" s="2"/>
      <c r="AM749" s="2"/>
      <c r="AN749" s="9"/>
      <c r="AO749" s="9"/>
      <c r="AP749" s="9"/>
      <c r="AQ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224"/>
      <c r="X750" s="224"/>
      <c r="Y750" s="868"/>
      <c r="Z750" s="865"/>
      <c r="AA750" s="2"/>
      <c r="AB750" s="2"/>
      <c r="AC750" s="2"/>
      <c r="AD750" s="2"/>
      <c r="AE750" s="2"/>
      <c r="AF750" s="2"/>
      <c r="AG750" s="2"/>
      <c r="AH750" s="2"/>
      <c r="AI750" s="2"/>
      <c r="AJ750" s="2"/>
      <c r="AK750" s="2"/>
      <c r="AL750" s="2"/>
      <c r="AM750" s="2"/>
      <c r="AN750" s="9"/>
      <c r="AO750" s="9"/>
      <c r="AP750" s="9"/>
      <c r="AQ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224"/>
      <c r="X751" s="224"/>
      <c r="Y751" s="868"/>
      <c r="Z751" s="865"/>
      <c r="AA751" s="2"/>
      <c r="AB751" s="2"/>
      <c r="AC751" s="2"/>
      <c r="AD751" s="2"/>
      <c r="AE751" s="2"/>
      <c r="AF751" s="2"/>
      <c r="AG751" s="2"/>
      <c r="AH751" s="2"/>
      <c r="AI751" s="2"/>
      <c r="AJ751" s="2"/>
      <c r="AK751" s="2"/>
      <c r="AL751" s="2"/>
      <c r="AM751" s="2"/>
      <c r="AN751" s="9"/>
      <c r="AO751" s="9"/>
      <c r="AP751" s="9"/>
      <c r="AQ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224"/>
      <c r="X752" s="224"/>
      <c r="Y752" s="868"/>
      <c r="Z752" s="865"/>
      <c r="AA752" s="2"/>
      <c r="AB752" s="2"/>
      <c r="AC752" s="2"/>
      <c r="AD752" s="2"/>
      <c r="AE752" s="2"/>
      <c r="AF752" s="2"/>
      <c r="AG752" s="2"/>
      <c r="AH752" s="2"/>
      <c r="AI752" s="2"/>
      <c r="AJ752" s="2"/>
      <c r="AK752" s="2"/>
      <c r="AL752" s="2"/>
      <c r="AM752" s="2"/>
      <c r="AN752" s="9"/>
      <c r="AO752" s="9"/>
      <c r="AP752" s="9"/>
      <c r="AQ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224"/>
      <c r="X753" s="224"/>
      <c r="Y753" s="868"/>
      <c r="Z753" s="865"/>
      <c r="AA753" s="2"/>
      <c r="AB753" s="2"/>
      <c r="AC753" s="2"/>
      <c r="AD753" s="2"/>
      <c r="AE753" s="2"/>
      <c r="AF753" s="2"/>
      <c r="AG753" s="2"/>
      <c r="AH753" s="2"/>
      <c r="AI753" s="2"/>
      <c r="AJ753" s="2"/>
      <c r="AK753" s="2"/>
      <c r="AL753" s="2"/>
      <c r="AM753" s="2"/>
      <c r="AN753" s="9"/>
      <c r="AO753" s="9"/>
      <c r="AP753" s="9"/>
      <c r="AQ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224"/>
      <c r="X754" s="224"/>
      <c r="Y754" s="868"/>
      <c r="Z754" s="865"/>
      <c r="AA754" s="2"/>
      <c r="AB754" s="2"/>
      <c r="AC754" s="2"/>
      <c r="AD754" s="2"/>
      <c r="AE754" s="2"/>
      <c r="AF754" s="2"/>
      <c r="AG754" s="2"/>
      <c r="AH754" s="2"/>
      <c r="AI754" s="2"/>
      <c r="AJ754" s="2"/>
      <c r="AK754" s="2"/>
      <c r="AL754" s="2"/>
      <c r="AM754" s="2"/>
      <c r="AN754" s="9"/>
      <c r="AO754" s="9"/>
      <c r="AP754" s="9"/>
      <c r="AQ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224"/>
      <c r="X755" s="224"/>
      <c r="Y755" s="868"/>
      <c r="Z755" s="865"/>
      <c r="AA755" s="2"/>
      <c r="AB755" s="2"/>
      <c r="AC755" s="2"/>
      <c r="AD755" s="2"/>
      <c r="AE755" s="2"/>
      <c r="AF755" s="2"/>
      <c r="AG755" s="2"/>
      <c r="AH755" s="2"/>
      <c r="AI755" s="2"/>
      <c r="AJ755" s="2"/>
      <c r="AK755" s="2"/>
      <c r="AL755" s="2"/>
      <c r="AM755" s="2"/>
      <c r="AN755" s="9"/>
      <c r="AO755" s="9"/>
      <c r="AP755" s="9"/>
      <c r="AQ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224"/>
      <c r="X756" s="224"/>
      <c r="Y756" s="868"/>
      <c r="Z756" s="865"/>
      <c r="AA756" s="2"/>
      <c r="AB756" s="2"/>
      <c r="AC756" s="2"/>
      <c r="AD756" s="2"/>
      <c r="AE756" s="2"/>
      <c r="AF756" s="2"/>
      <c r="AG756" s="2"/>
      <c r="AH756" s="2"/>
      <c r="AI756" s="2"/>
      <c r="AJ756" s="2"/>
      <c r="AK756" s="2"/>
      <c r="AL756" s="2"/>
      <c r="AM756" s="2"/>
      <c r="AN756" s="9"/>
      <c r="AO756" s="9"/>
      <c r="AP756" s="9"/>
      <c r="AQ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224"/>
      <c r="X757" s="224"/>
      <c r="Y757" s="868"/>
      <c r="Z757" s="865"/>
      <c r="AA757" s="2"/>
      <c r="AB757" s="2"/>
      <c r="AC757" s="2"/>
      <c r="AD757" s="2"/>
      <c r="AE757" s="2"/>
      <c r="AF757" s="2"/>
      <c r="AG757" s="2"/>
      <c r="AH757" s="2"/>
      <c r="AI757" s="2"/>
      <c r="AJ757" s="2"/>
      <c r="AK757" s="2"/>
      <c r="AL757" s="2"/>
      <c r="AM757" s="2"/>
      <c r="AN757" s="9"/>
      <c r="AO757" s="9"/>
      <c r="AP757" s="9"/>
      <c r="AQ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224"/>
      <c r="X758" s="224"/>
      <c r="Y758" s="868"/>
      <c r="Z758" s="865"/>
      <c r="AA758" s="2"/>
      <c r="AB758" s="2"/>
      <c r="AC758" s="2"/>
      <c r="AD758" s="2"/>
      <c r="AE758" s="2"/>
      <c r="AF758" s="2"/>
      <c r="AG758" s="2"/>
      <c r="AH758" s="2"/>
      <c r="AI758" s="2"/>
      <c r="AJ758" s="2"/>
      <c r="AK758" s="2"/>
      <c r="AL758" s="2"/>
      <c r="AM758" s="2"/>
      <c r="AN758" s="9"/>
      <c r="AO758" s="9"/>
      <c r="AP758" s="9"/>
      <c r="AQ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224"/>
      <c r="X759" s="224"/>
      <c r="Y759" s="868"/>
      <c r="Z759" s="865"/>
      <c r="AA759" s="2"/>
      <c r="AB759" s="2"/>
      <c r="AC759" s="2"/>
      <c r="AD759" s="2"/>
      <c r="AE759" s="2"/>
      <c r="AF759" s="2"/>
      <c r="AG759" s="2"/>
      <c r="AH759" s="2"/>
      <c r="AI759" s="2"/>
      <c r="AJ759" s="2"/>
      <c r="AK759" s="2"/>
      <c r="AL759" s="2"/>
      <c r="AM759" s="2"/>
      <c r="AN759" s="9"/>
      <c r="AO759" s="9"/>
      <c r="AP759" s="9"/>
      <c r="AQ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224"/>
      <c r="X760" s="224"/>
      <c r="Y760" s="868"/>
      <c r="Z760" s="865"/>
      <c r="AA760" s="2"/>
      <c r="AB760" s="2"/>
      <c r="AC760" s="2"/>
      <c r="AD760" s="2"/>
      <c r="AE760" s="2"/>
      <c r="AF760" s="2"/>
      <c r="AG760" s="2"/>
      <c r="AH760" s="2"/>
      <c r="AI760" s="2"/>
      <c r="AJ760" s="2"/>
      <c r="AK760" s="2"/>
      <c r="AL760" s="2"/>
      <c r="AM760" s="2"/>
      <c r="AN760" s="9"/>
      <c r="AO760" s="9"/>
      <c r="AP760" s="9"/>
      <c r="AQ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224"/>
      <c r="X761" s="224"/>
      <c r="Y761" s="868"/>
      <c r="Z761" s="865"/>
      <c r="AA761" s="2"/>
      <c r="AB761" s="2"/>
      <c r="AC761" s="2"/>
      <c r="AD761" s="2"/>
      <c r="AE761" s="2"/>
      <c r="AF761" s="2"/>
      <c r="AG761" s="2"/>
      <c r="AH761" s="2"/>
      <c r="AI761" s="2"/>
      <c r="AJ761" s="2"/>
      <c r="AK761" s="2"/>
      <c r="AL761" s="2"/>
      <c r="AM761" s="2"/>
      <c r="AN761" s="9"/>
      <c r="AO761" s="9"/>
      <c r="AP761" s="9"/>
      <c r="AQ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224"/>
      <c r="X762" s="224"/>
      <c r="Y762" s="868"/>
      <c r="Z762" s="865"/>
      <c r="AA762" s="2"/>
      <c r="AB762" s="2"/>
      <c r="AC762" s="2"/>
      <c r="AD762" s="2"/>
      <c r="AE762" s="2"/>
      <c r="AF762" s="2"/>
      <c r="AG762" s="2"/>
      <c r="AH762" s="2"/>
      <c r="AI762" s="2"/>
      <c r="AJ762" s="2"/>
      <c r="AK762" s="2"/>
      <c r="AL762" s="2"/>
      <c r="AM762" s="2"/>
      <c r="AN762" s="9"/>
      <c r="AO762" s="9"/>
      <c r="AP762" s="9"/>
      <c r="AQ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224"/>
      <c r="X763" s="224"/>
      <c r="Y763" s="868"/>
      <c r="Z763" s="865"/>
      <c r="AA763" s="2"/>
      <c r="AB763" s="2"/>
      <c r="AC763" s="2"/>
      <c r="AD763" s="2"/>
      <c r="AE763" s="2"/>
      <c r="AF763" s="2"/>
      <c r="AG763" s="2"/>
      <c r="AH763" s="2"/>
      <c r="AI763" s="2"/>
      <c r="AJ763" s="2"/>
      <c r="AK763" s="2"/>
      <c r="AL763" s="2"/>
      <c r="AM763" s="2"/>
      <c r="AN763" s="9"/>
      <c r="AO763" s="9"/>
      <c r="AP763" s="9"/>
      <c r="AQ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224"/>
      <c r="X764" s="224"/>
      <c r="Y764" s="868"/>
      <c r="Z764" s="865"/>
      <c r="AA764" s="2"/>
      <c r="AB764" s="2"/>
      <c r="AC764" s="2"/>
      <c r="AD764" s="2"/>
      <c r="AE764" s="2"/>
      <c r="AF764" s="2"/>
      <c r="AG764" s="2"/>
      <c r="AH764" s="2"/>
      <c r="AI764" s="2"/>
      <c r="AJ764" s="2"/>
      <c r="AK764" s="2"/>
      <c r="AL764" s="2"/>
      <c r="AM764" s="2"/>
      <c r="AN764" s="9"/>
      <c r="AO764" s="9"/>
      <c r="AP764" s="9"/>
      <c r="AQ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224"/>
      <c r="X765" s="224"/>
      <c r="Y765" s="868"/>
      <c r="Z765" s="865"/>
      <c r="AA765" s="2"/>
      <c r="AB765" s="2"/>
      <c r="AC765" s="2"/>
      <c r="AD765" s="2"/>
      <c r="AE765" s="2"/>
      <c r="AF765" s="2"/>
      <c r="AG765" s="2"/>
      <c r="AH765" s="2"/>
      <c r="AI765" s="2"/>
      <c r="AJ765" s="2"/>
      <c r="AK765" s="2"/>
      <c r="AL765" s="2"/>
      <c r="AM765" s="2"/>
      <c r="AN765" s="9"/>
      <c r="AO765" s="9"/>
      <c r="AP765" s="9"/>
      <c r="AQ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224"/>
      <c r="X766" s="224"/>
      <c r="Y766" s="868"/>
      <c r="Z766" s="865"/>
      <c r="AA766" s="2"/>
      <c r="AB766" s="2"/>
      <c r="AC766" s="2"/>
      <c r="AD766" s="2"/>
      <c r="AE766" s="2"/>
      <c r="AF766" s="2"/>
      <c r="AG766" s="2"/>
      <c r="AH766" s="2"/>
      <c r="AI766" s="2"/>
      <c r="AJ766" s="2"/>
      <c r="AK766" s="2"/>
      <c r="AL766" s="2"/>
      <c r="AM766" s="2"/>
      <c r="AN766" s="9"/>
      <c r="AO766" s="9"/>
      <c r="AP766" s="9"/>
      <c r="AQ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224"/>
      <c r="X767" s="224"/>
      <c r="Y767" s="868"/>
      <c r="Z767" s="865"/>
      <c r="AA767" s="2"/>
      <c r="AB767" s="2"/>
      <c r="AC767" s="2"/>
      <c r="AD767" s="2"/>
      <c r="AE767" s="2"/>
      <c r="AF767" s="2"/>
      <c r="AG767" s="2"/>
      <c r="AH767" s="2"/>
      <c r="AI767" s="2"/>
      <c r="AJ767" s="2"/>
      <c r="AK767" s="2"/>
      <c r="AL767" s="2"/>
      <c r="AM767" s="2"/>
      <c r="AN767" s="9"/>
      <c r="AO767" s="9"/>
      <c r="AP767" s="9"/>
      <c r="AQ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224"/>
      <c r="X768" s="224"/>
      <c r="Y768" s="868"/>
      <c r="Z768" s="865"/>
      <c r="AA768" s="2"/>
      <c r="AB768" s="2"/>
      <c r="AC768" s="2"/>
      <c r="AD768" s="2"/>
      <c r="AE768" s="2"/>
      <c r="AF768" s="2"/>
      <c r="AG768" s="2"/>
      <c r="AH768" s="2"/>
      <c r="AI768" s="2"/>
      <c r="AJ768" s="2"/>
      <c r="AK768" s="2"/>
      <c r="AL768" s="2"/>
      <c r="AM768" s="2"/>
      <c r="AN768" s="9"/>
      <c r="AO768" s="9"/>
      <c r="AP768" s="9"/>
      <c r="AQ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224"/>
      <c r="X769" s="224"/>
      <c r="Y769" s="868"/>
      <c r="Z769" s="865"/>
      <c r="AA769" s="2"/>
      <c r="AB769" s="2"/>
      <c r="AC769" s="2"/>
      <c r="AD769" s="2"/>
      <c r="AE769" s="2"/>
      <c r="AF769" s="2"/>
      <c r="AG769" s="2"/>
      <c r="AH769" s="2"/>
      <c r="AI769" s="2"/>
      <c r="AJ769" s="2"/>
      <c r="AK769" s="2"/>
      <c r="AL769" s="2"/>
      <c r="AM769" s="2"/>
      <c r="AN769" s="9"/>
      <c r="AO769" s="9"/>
      <c r="AP769" s="9"/>
      <c r="AQ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224"/>
      <c r="X770" s="224"/>
      <c r="Y770" s="868"/>
      <c r="Z770" s="865"/>
      <c r="AA770" s="2"/>
      <c r="AB770" s="2"/>
      <c r="AC770" s="2"/>
      <c r="AD770" s="2"/>
      <c r="AE770" s="2"/>
      <c r="AF770" s="2"/>
      <c r="AG770" s="2"/>
      <c r="AH770" s="2"/>
      <c r="AI770" s="2"/>
      <c r="AJ770" s="2"/>
      <c r="AK770" s="2"/>
      <c r="AL770" s="2"/>
      <c r="AM770" s="2"/>
      <c r="AN770" s="9"/>
      <c r="AO770" s="9"/>
      <c r="AP770" s="9"/>
      <c r="AQ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224"/>
      <c r="X771" s="224"/>
      <c r="Y771" s="868"/>
      <c r="Z771" s="865"/>
      <c r="AA771" s="2"/>
      <c r="AB771" s="2"/>
      <c r="AC771" s="2"/>
      <c r="AD771" s="2"/>
      <c r="AE771" s="2"/>
      <c r="AF771" s="2"/>
      <c r="AG771" s="2"/>
      <c r="AH771" s="2"/>
      <c r="AI771" s="2"/>
      <c r="AJ771" s="2"/>
      <c r="AK771" s="2"/>
      <c r="AL771" s="2"/>
      <c r="AM771" s="2"/>
      <c r="AN771" s="9"/>
      <c r="AO771" s="9"/>
      <c r="AP771" s="9"/>
      <c r="AQ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224"/>
      <c r="X772" s="224"/>
      <c r="Y772" s="868"/>
      <c r="Z772" s="865"/>
      <c r="AA772" s="2"/>
      <c r="AB772" s="2"/>
      <c r="AC772" s="2"/>
      <c r="AD772" s="2"/>
      <c r="AE772" s="2"/>
      <c r="AF772" s="2"/>
      <c r="AG772" s="2"/>
      <c r="AH772" s="2"/>
      <c r="AI772" s="2"/>
      <c r="AJ772" s="2"/>
      <c r="AK772" s="2"/>
      <c r="AL772" s="2"/>
      <c r="AM772" s="2"/>
      <c r="AN772" s="9"/>
      <c r="AO772" s="9"/>
      <c r="AP772" s="9"/>
      <c r="AQ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224"/>
      <c r="X773" s="224"/>
      <c r="Y773" s="868"/>
      <c r="Z773" s="865"/>
      <c r="AA773" s="2"/>
      <c r="AB773" s="2"/>
      <c r="AC773" s="2"/>
      <c r="AD773" s="2"/>
      <c r="AE773" s="2"/>
      <c r="AF773" s="2"/>
      <c r="AG773" s="2"/>
      <c r="AH773" s="2"/>
      <c r="AI773" s="2"/>
      <c r="AJ773" s="2"/>
      <c r="AK773" s="2"/>
      <c r="AL773" s="2"/>
      <c r="AM773" s="2"/>
      <c r="AN773" s="9"/>
      <c r="AO773" s="9"/>
      <c r="AP773" s="9"/>
      <c r="AQ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224"/>
      <c r="X774" s="224"/>
      <c r="Y774" s="868"/>
      <c r="Z774" s="865"/>
      <c r="AA774" s="2"/>
      <c r="AB774" s="2"/>
      <c r="AC774" s="2"/>
      <c r="AD774" s="2"/>
      <c r="AE774" s="2"/>
      <c r="AF774" s="2"/>
      <c r="AG774" s="2"/>
      <c r="AH774" s="2"/>
      <c r="AI774" s="2"/>
      <c r="AJ774" s="2"/>
      <c r="AK774" s="2"/>
      <c r="AL774" s="2"/>
      <c r="AM774" s="2"/>
      <c r="AN774" s="9"/>
      <c r="AO774" s="9"/>
      <c r="AP774" s="9"/>
      <c r="AQ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224"/>
      <c r="X775" s="224"/>
      <c r="Y775" s="868"/>
      <c r="Z775" s="865"/>
      <c r="AA775" s="2"/>
      <c r="AB775" s="2"/>
      <c r="AC775" s="2"/>
      <c r="AD775" s="2"/>
      <c r="AE775" s="2"/>
      <c r="AF775" s="2"/>
      <c r="AG775" s="2"/>
      <c r="AH775" s="2"/>
      <c r="AI775" s="2"/>
      <c r="AJ775" s="2"/>
      <c r="AK775" s="2"/>
      <c r="AL775" s="2"/>
      <c r="AM775" s="2"/>
      <c r="AN775" s="9"/>
      <c r="AO775" s="9"/>
      <c r="AP775" s="9"/>
      <c r="AQ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224"/>
      <c r="X776" s="224"/>
      <c r="Y776" s="868"/>
      <c r="Z776" s="865"/>
      <c r="AA776" s="2"/>
      <c r="AB776" s="2"/>
      <c r="AC776" s="2"/>
      <c r="AD776" s="2"/>
      <c r="AE776" s="2"/>
      <c r="AF776" s="2"/>
      <c r="AG776" s="2"/>
      <c r="AH776" s="2"/>
      <c r="AI776" s="2"/>
      <c r="AJ776" s="2"/>
      <c r="AK776" s="2"/>
      <c r="AL776" s="2"/>
      <c r="AM776" s="2"/>
      <c r="AN776" s="9"/>
      <c r="AO776" s="9"/>
      <c r="AP776" s="9"/>
      <c r="AQ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224"/>
      <c r="X777" s="224"/>
      <c r="Y777" s="868"/>
      <c r="Z777" s="865"/>
      <c r="AA777" s="2"/>
      <c r="AB777" s="2"/>
      <c r="AC777" s="2"/>
      <c r="AD777" s="2"/>
      <c r="AE777" s="2"/>
      <c r="AF777" s="2"/>
      <c r="AG777" s="2"/>
      <c r="AH777" s="2"/>
      <c r="AI777" s="2"/>
      <c r="AJ777" s="2"/>
      <c r="AK777" s="2"/>
      <c r="AL777" s="2"/>
      <c r="AM777" s="2"/>
      <c r="AN777" s="9"/>
      <c r="AO777" s="9"/>
      <c r="AP777" s="9"/>
      <c r="AQ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224"/>
      <c r="X778" s="224"/>
      <c r="Y778" s="868"/>
      <c r="Z778" s="865"/>
      <c r="AA778" s="2"/>
      <c r="AB778" s="2"/>
      <c r="AC778" s="2"/>
      <c r="AD778" s="2"/>
      <c r="AE778" s="2"/>
      <c r="AF778" s="2"/>
      <c r="AG778" s="2"/>
      <c r="AH778" s="2"/>
      <c r="AI778" s="2"/>
      <c r="AJ778" s="2"/>
      <c r="AK778" s="2"/>
      <c r="AL778" s="2"/>
      <c r="AM778" s="2"/>
      <c r="AN778" s="9"/>
      <c r="AO778" s="9"/>
      <c r="AP778" s="9"/>
      <c r="AQ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224"/>
      <c r="X779" s="224"/>
      <c r="Y779" s="868"/>
      <c r="Z779" s="865"/>
      <c r="AA779" s="2"/>
      <c r="AB779" s="2"/>
      <c r="AC779" s="2"/>
      <c r="AD779" s="2"/>
      <c r="AE779" s="2"/>
      <c r="AF779" s="2"/>
      <c r="AG779" s="2"/>
      <c r="AH779" s="2"/>
      <c r="AI779" s="2"/>
      <c r="AJ779" s="2"/>
      <c r="AK779" s="2"/>
      <c r="AL779" s="2"/>
      <c r="AM779" s="2"/>
      <c r="AN779" s="9"/>
      <c r="AO779" s="9"/>
      <c r="AP779" s="9"/>
      <c r="AQ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224"/>
      <c r="X780" s="224"/>
      <c r="Y780" s="868"/>
      <c r="Z780" s="865"/>
      <c r="AA780" s="2"/>
      <c r="AB780" s="2"/>
      <c r="AC780" s="2"/>
      <c r="AD780" s="2"/>
      <c r="AE780" s="2"/>
      <c r="AF780" s="2"/>
      <c r="AG780" s="2"/>
      <c r="AH780" s="2"/>
      <c r="AI780" s="2"/>
      <c r="AJ780" s="2"/>
      <c r="AK780" s="2"/>
      <c r="AL780" s="2"/>
      <c r="AM780" s="2"/>
      <c r="AN780" s="9"/>
      <c r="AO780" s="9"/>
      <c r="AP780" s="9"/>
      <c r="AQ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224"/>
      <c r="X781" s="224"/>
      <c r="Y781" s="868"/>
      <c r="Z781" s="865"/>
      <c r="AA781" s="2"/>
      <c r="AB781" s="2"/>
      <c r="AC781" s="2"/>
      <c r="AD781" s="2"/>
      <c r="AE781" s="2"/>
      <c r="AF781" s="2"/>
      <c r="AG781" s="2"/>
      <c r="AH781" s="2"/>
      <c r="AI781" s="2"/>
      <c r="AJ781" s="2"/>
      <c r="AK781" s="2"/>
      <c r="AL781" s="2"/>
      <c r="AM781" s="2"/>
      <c r="AN781" s="9"/>
      <c r="AO781" s="9"/>
      <c r="AP781" s="9"/>
      <c r="AQ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224"/>
      <c r="X782" s="224"/>
      <c r="Y782" s="868"/>
      <c r="Z782" s="865"/>
      <c r="AA782" s="2"/>
      <c r="AB782" s="2"/>
      <c r="AC782" s="2"/>
      <c r="AD782" s="2"/>
      <c r="AE782" s="2"/>
      <c r="AF782" s="2"/>
      <c r="AG782" s="2"/>
      <c r="AH782" s="2"/>
      <c r="AI782" s="2"/>
      <c r="AJ782" s="2"/>
      <c r="AK782" s="2"/>
      <c r="AL782" s="2"/>
      <c r="AM782" s="2"/>
      <c r="AN782" s="9"/>
      <c r="AO782" s="9"/>
      <c r="AP782" s="9"/>
      <c r="AQ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224"/>
      <c r="X783" s="224"/>
      <c r="Y783" s="868"/>
      <c r="Z783" s="865"/>
      <c r="AA783" s="2"/>
      <c r="AB783" s="2"/>
      <c r="AC783" s="2"/>
      <c r="AD783" s="2"/>
      <c r="AE783" s="2"/>
      <c r="AF783" s="2"/>
      <c r="AG783" s="2"/>
      <c r="AH783" s="2"/>
      <c r="AI783" s="2"/>
      <c r="AJ783" s="2"/>
      <c r="AK783" s="2"/>
      <c r="AL783" s="2"/>
      <c r="AM783" s="2"/>
      <c r="AN783" s="9"/>
      <c r="AO783" s="9"/>
      <c r="AP783" s="9"/>
      <c r="AQ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224"/>
      <c r="X784" s="224"/>
      <c r="Y784" s="868"/>
      <c r="Z784" s="865"/>
      <c r="AA784" s="2"/>
      <c r="AB784" s="2"/>
      <c r="AC784" s="2"/>
      <c r="AD784" s="2"/>
      <c r="AE784" s="2"/>
      <c r="AF784" s="2"/>
      <c r="AG784" s="2"/>
      <c r="AH784" s="2"/>
      <c r="AI784" s="2"/>
      <c r="AJ784" s="2"/>
      <c r="AK784" s="2"/>
      <c r="AL784" s="2"/>
      <c r="AM784" s="2"/>
      <c r="AN784" s="9"/>
      <c r="AO784" s="9"/>
      <c r="AP784" s="9"/>
      <c r="AQ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224"/>
      <c r="X785" s="224"/>
      <c r="Y785" s="868"/>
      <c r="Z785" s="865"/>
      <c r="AA785" s="2"/>
      <c r="AB785" s="2"/>
      <c r="AC785" s="2"/>
      <c r="AD785" s="2"/>
      <c r="AE785" s="2"/>
      <c r="AF785" s="2"/>
      <c r="AG785" s="2"/>
      <c r="AH785" s="2"/>
      <c r="AI785" s="2"/>
      <c r="AJ785" s="2"/>
      <c r="AK785" s="2"/>
      <c r="AL785" s="2"/>
      <c r="AM785" s="2"/>
      <c r="AN785" s="9"/>
      <c r="AO785" s="9"/>
      <c r="AP785" s="9"/>
      <c r="AQ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224"/>
      <c r="X786" s="224"/>
      <c r="Y786" s="868"/>
      <c r="Z786" s="865"/>
      <c r="AA786" s="2"/>
      <c r="AB786" s="2"/>
      <c r="AC786" s="2"/>
      <c r="AD786" s="2"/>
      <c r="AE786" s="2"/>
      <c r="AF786" s="2"/>
      <c r="AG786" s="2"/>
      <c r="AH786" s="2"/>
      <c r="AI786" s="2"/>
      <c r="AJ786" s="2"/>
      <c r="AK786" s="2"/>
      <c r="AL786" s="2"/>
      <c r="AM786" s="2"/>
      <c r="AN786" s="9"/>
      <c r="AO786" s="9"/>
      <c r="AP786" s="9"/>
      <c r="AQ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224"/>
      <c r="X787" s="224"/>
      <c r="Y787" s="868"/>
      <c r="Z787" s="865"/>
      <c r="AA787" s="2"/>
      <c r="AB787" s="2"/>
      <c r="AC787" s="2"/>
      <c r="AD787" s="2"/>
      <c r="AE787" s="2"/>
      <c r="AF787" s="2"/>
      <c r="AG787" s="2"/>
      <c r="AH787" s="2"/>
      <c r="AI787" s="2"/>
      <c r="AJ787" s="2"/>
      <c r="AK787" s="2"/>
      <c r="AL787" s="2"/>
      <c r="AM787" s="2"/>
      <c r="AN787" s="9"/>
      <c r="AO787" s="9"/>
      <c r="AP787" s="9"/>
      <c r="AQ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224"/>
      <c r="X788" s="224"/>
      <c r="Y788" s="868"/>
      <c r="Z788" s="865"/>
      <c r="AA788" s="2"/>
      <c r="AB788" s="2"/>
      <c r="AC788" s="2"/>
      <c r="AD788" s="2"/>
      <c r="AE788" s="2"/>
      <c r="AF788" s="2"/>
      <c r="AG788" s="2"/>
      <c r="AH788" s="2"/>
      <c r="AI788" s="2"/>
      <c r="AJ788" s="2"/>
      <c r="AK788" s="2"/>
      <c r="AL788" s="2"/>
      <c r="AM788" s="2"/>
      <c r="AN788" s="9"/>
      <c r="AO788" s="9"/>
      <c r="AP788" s="9"/>
      <c r="AQ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224"/>
      <c r="X789" s="224"/>
      <c r="Y789" s="868"/>
      <c r="Z789" s="865"/>
      <c r="AA789" s="2"/>
      <c r="AB789" s="2"/>
      <c r="AC789" s="2"/>
      <c r="AD789" s="2"/>
      <c r="AE789" s="2"/>
      <c r="AF789" s="2"/>
      <c r="AG789" s="2"/>
      <c r="AH789" s="2"/>
      <c r="AI789" s="2"/>
      <c r="AJ789" s="2"/>
      <c r="AK789" s="2"/>
      <c r="AL789" s="2"/>
      <c r="AM789" s="2"/>
      <c r="AN789" s="9"/>
      <c r="AO789" s="9"/>
      <c r="AP789" s="9"/>
      <c r="AQ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224"/>
      <c r="X790" s="224"/>
      <c r="Y790" s="868"/>
      <c r="Z790" s="865"/>
      <c r="AA790" s="2"/>
      <c r="AB790" s="2"/>
      <c r="AC790" s="2"/>
      <c r="AD790" s="2"/>
      <c r="AE790" s="2"/>
      <c r="AF790" s="2"/>
      <c r="AG790" s="2"/>
      <c r="AH790" s="2"/>
      <c r="AI790" s="2"/>
      <c r="AJ790" s="2"/>
      <c r="AK790" s="2"/>
      <c r="AL790" s="2"/>
      <c r="AM790" s="2"/>
      <c r="AN790" s="9"/>
      <c r="AO790" s="9"/>
      <c r="AP790" s="9"/>
      <c r="AQ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224"/>
      <c r="X791" s="224"/>
      <c r="Y791" s="868"/>
      <c r="Z791" s="865"/>
      <c r="AA791" s="2"/>
      <c r="AB791" s="2"/>
      <c r="AC791" s="2"/>
      <c r="AD791" s="2"/>
      <c r="AE791" s="2"/>
      <c r="AF791" s="2"/>
      <c r="AG791" s="2"/>
      <c r="AH791" s="2"/>
      <c r="AI791" s="2"/>
      <c r="AJ791" s="2"/>
      <c r="AK791" s="2"/>
      <c r="AL791" s="2"/>
      <c r="AM791" s="2"/>
      <c r="AN791" s="9"/>
      <c r="AO791" s="9"/>
      <c r="AP791" s="9"/>
      <c r="AQ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224"/>
      <c r="X792" s="224"/>
      <c r="Y792" s="868"/>
      <c r="Z792" s="865"/>
      <c r="AA792" s="2"/>
      <c r="AB792" s="2"/>
      <c r="AC792" s="2"/>
      <c r="AD792" s="2"/>
      <c r="AE792" s="2"/>
      <c r="AF792" s="2"/>
      <c r="AG792" s="2"/>
      <c r="AH792" s="2"/>
      <c r="AI792" s="2"/>
      <c r="AJ792" s="2"/>
      <c r="AK792" s="2"/>
      <c r="AL792" s="2"/>
      <c r="AM792" s="2"/>
      <c r="AN792" s="9"/>
      <c r="AO792" s="9"/>
      <c r="AP792" s="9"/>
      <c r="AQ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224"/>
      <c r="X793" s="224"/>
      <c r="Y793" s="868"/>
      <c r="Z793" s="865"/>
      <c r="AA793" s="2"/>
      <c r="AB793" s="2"/>
      <c r="AC793" s="2"/>
      <c r="AD793" s="2"/>
      <c r="AE793" s="2"/>
      <c r="AF793" s="2"/>
      <c r="AG793" s="2"/>
      <c r="AH793" s="2"/>
      <c r="AI793" s="2"/>
      <c r="AJ793" s="2"/>
      <c r="AK793" s="2"/>
      <c r="AL793" s="2"/>
      <c r="AM793" s="2"/>
      <c r="AN793" s="9"/>
      <c r="AO793" s="9"/>
      <c r="AP793" s="9"/>
      <c r="AQ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224"/>
      <c r="X794" s="224"/>
      <c r="Y794" s="868"/>
      <c r="Z794" s="865"/>
      <c r="AA794" s="2"/>
      <c r="AB794" s="2"/>
      <c r="AC794" s="2"/>
      <c r="AD794" s="2"/>
      <c r="AE794" s="2"/>
      <c r="AF794" s="2"/>
      <c r="AG794" s="2"/>
      <c r="AH794" s="2"/>
      <c r="AI794" s="2"/>
      <c r="AJ794" s="2"/>
      <c r="AK794" s="2"/>
      <c r="AL794" s="2"/>
      <c r="AM794" s="2"/>
      <c r="AN794" s="9"/>
      <c r="AO794" s="9"/>
      <c r="AP794" s="9"/>
      <c r="AQ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224"/>
      <c r="X795" s="224"/>
      <c r="Y795" s="868"/>
      <c r="Z795" s="865"/>
      <c r="AA795" s="2"/>
      <c r="AB795" s="2"/>
      <c r="AC795" s="2"/>
      <c r="AD795" s="2"/>
      <c r="AE795" s="2"/>
      <c r="AF795" s="2"/>
      <c r="AG795" s="2"/>
      <c r="AH795" s="2"/>
      <c r="AI795" s="2"/>
      <c r="AJ795" s="2"/>
      <c r="AK795" s="2"/>
      <c r="AL795" s="2"/>
      <c r="AM795" s="2"/>
      <c r="AN795" s="9"/>
      <c r="AO795" s="9"/>
      <c r="AP795" s="9"/>
      <c r="AQ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224"/>
      <c r="X796" s="224"/>
      <c r="Y796" s="868"/>
      <c r="Z796" s="865"/>
      <c r="AA796" s="2"/>
      <c r="AB796" s="2"/>
      <c r="AC796" s="2"/>
      <c r="AD796" s="2"/>
      <c r="AE796" s="2"/>
      <c r="AF796" s="2"/>
      <c r="AG796" s="2"/>
      <c r="AH796" s="2"/>
      <c r="AI796" s="2"/>
      <c r="AJ796" s="2"/>
      <c r="AK796" s="2"/>
      <c r="AL796" s="2"/>
      <c r="AM796" s="2"/>
      <c r="AN796" s="9"/>
      <c r="AO796" s="9"/>
      <c r="AP796" s="9"/>
      <c r="AQ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224"/>
      <c r="X797" s="224"/>
      <c r="Y797" s="868"/>
      <c r="Z797" s="865"/>
      <c r="AA797" s="2"/>
      <c r="AB797" s="2"/>
      <c r="AC797" s="2"/>
      <c r="AD797" s="2"/>
      <c r="AE797" s="2"/>
      <c r="AF797" s="2"/>
      <c r="AG797" s="2"/>
      <c r="AH797" s="2"/>
      <c r="AI797" s="2"/>
      <c r="AJ797" s="2"/>
      <c r="AK797" s="2"/>
      <c r="AL797" s="2"/>
      <c r="AM797" s="2"/>
      <c r="AN797" s="9"/>
      <c r="AO797" s="9"/>
      <c r="AP797" s="9"/>
      <c r="AQ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224"/>
      <c r="X798" s="224"/>
      <c r="Y798" s="868"/>
      <c r="Z798" s="865"/>
      <c r="AA798" s="2"/>
      <c r="AB798" s="2"/>
      <c r="AC798" s="2"/>
      <c r="AD798" s="2"/>
      <c r="AE798" s="2"/>
      <c r="AF798" s="2"/>
      <c r="AG798" s="2"/>
      <c r="AH798" s="2"/>
      <c r="AI798" s="2"/>
      <c r="AJ798" s="2"/>
      <c r="AK798" s="2"/>
      <c r="AL798" s="2"/>
      <c r="AM798" s="2"/>
      <c r="AN798" s="9"/>
      <c r="AO798" s="9"/>
      <c r="AP798" s="9"/>
      <c r="AQ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224"/>
      <c r="X799" s="224"/>
      <c r="Y799" s="868"/>
      <c r="Z799" s="865"/>
      <c r="AA799" s="2"/>
      <c r="AB799" s="2"/>
      <c r="AC799" s="2"/>
      <c r="AD799" s="2"/>
      <c r="AE799" s="2"/>
      <c r="AF799" s="2"/>
      <c r="AG799" s="2"/>
      <c r="AH799" s="2"/>
      <c r="AI799" s="2"/>
      <c r="AJ799" s="2"/>
      <c r="AK799" s="2"/>
      <c r="AL799" s="2"/>
      <c r="AM799" s="2"/>
      <c r="AN799" s="9"/>
      <c r="AO799" s="9"/>
      <c r="AP799" s="9"/>
      <c r="AQ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224"/>
      <c r="X800" s="224"/>
      <c r="Y800" s="868"/>
      <c r="Z800" s="865"/>
      <c r="AA800" s="2"/>
      <c r="AB800" s="2"/>
      <c r="AC800" s="2"/>
      <c r="AD800" s="2"/>
      <c r="AE800" s="2"/>
      <c r="AF800" s="2"/>
      <c r="AG800" s="2"/>
      <c r="AH800" s="2"/>
      <c r="AI800" s="2"/>
      <c r="AJ800" s="2"/>
      <c r="AK800" s="2"/>
      <c r="AL800" s="2"/>
      <c r="AM800" s="2"/>
      <c r="AN800" s="9"/>
      <c r="AO800" s="9"/>
      <c r="AP800" s="9"/>
      <c r="AQ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224"/>
      <c r="X801" s="224"/>
      <c r="Y801" s="868"/>
      <c r="Z801" s="865"/>
      <c r="AA801" s="2"/>
      <c r="AB801" s="2"/>
      <c r="AC801" s="2"/>
      <c r="AD801" s="2"/>
      <c r="AE801" s="2"/>
      <c r="AF801" s="2"/>
      <c r="AG801" s="2"/>
      <c r="AH801" s="2"/>
      <c r="AI801" s="2"/>
      <c r="AJ801" s="2"/>
      <c r="AK801" s="2"/>
      <c r="AL801" s="2"/>
      <c r="AM801" s="2"/>
      <c r="AN801" s="9"/>
      <c r="AO801" s="9"/>
      <c r="AP801" s="9"/>
      <c r="AQ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224"/>
      <c r="X802" s="224"/>
      <c r="Y802" s="868"/>
      <c r="Z802" s="865"/>
      <c r="AA802" s="2"/>
      <c r="AB802" s="2"/>
      <c r="AC802" s="2"/>
      <c r="AD802" s="2"/>
      <c r="AE802" s="2"/>
      <c r="AF802" s="2"/>
      <c r="AG802" s="2"/>
      <c r="AH802" s="2"/>
      <c r="AI802" s="2"/>
      <c r="AJ802" s="2"/>
      <c r="AK802" s="2"/>
      <c r="AL802" s="2"/>
      <c r="AM802" s="2"/>
      <c r="AN802" s="9"/>
      <c r="AO802" s="9"/>
      <c r="AP802" s="9"/>
      <c r="AQ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224"/>
      <c r="X803" s="224"/>
      <c r="Y803" s="868"/>
      <c r="Z803" s="865"/>
      <c r="AA803" s="2"/>
      <c r="AB803" s="2"/>
      <c r="AC803" s="2"/>
      <c r="AD803" s="2"/>
      <c r="AE803" s="2"/>
      <c r="AF803" s="2"/>
      <c r="AG803" s="2"/>
      <c r="AH803" s="2"/>
      <c r="AI803" s="2"/>
      <c r="AJ803" s="2"/>
      <c r="AK803" s="2"/>
      <c r="AL803" s="2"/>
      <c r="AM803" s="2"/>
      <c r="AN803" s="9"/>
      <c r="AO803" s="9"/>
      <c r="AP803" s="9"/>
      <c r="AQ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224"/>
      <c r="X804" s="224"/>
      <c r="Y804" s="868"/>
      <c r="Z804" s="865"/>
      <c r="AA804" s="2"/>
      <c r="AB804" s="2"/>
      <c r="AC804" s="2"/>
      <c r="AD804" s="2"/>
      <c r="AE804" s="2"/>
      <c r="AF804" s="2"/>
      <c r="AG804" s="2"/>
      <c r="AH804" s="2"/>
      <c r="AI804" s="2"/>
      <c r="AJ804" s="2"/>
      <c r="AK804" s="2"/>
      <c r="AL804" s="2"/>
      <c r="AM804" s="2"/>
      <c r="AN804" s="9"/>
      <c r="AO804" s="9"/>
      <c r="AP804" s="9"/>
      <c r="AQ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224"/>
      <c r="X805" s="224"/>
      <c r="Y805" s="868"/>
      <c r="Z805" s="865"/>
      <c r="AA805" s="2"/>
      <c r="AB805" s="2"/>
      <c r="AC805" s="2"/>
      <c r="AD805" s="2"/>
      <c r="AE805" s="2"/>
      <c r="AF805" s="2"/>
      <c r="AG805" s="2"/>
      <c r="AH805" s="2"/>
      <c r="AI805" s="2"/>
      <c r="AJ805" s="2"/>
      <c r="AK805" s="2"/>
      <c r="AL805" s="2"/>
      <c r="AM805" s="2"/>
      <c r="AN805" s="9"/>
      <c r="AO805" s="9"/>
      <c r="AP805" s="9"/>
      <c r="AQ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224"/>
      <c r="X806" s="224"/>
      <c r="Y806" s="868"/>
      <c r="Z806" s="865"/>
      <c r="AA806" s="2"/>
      <c r="AB806" s="2"/>
      <c r="AC806" s="2"/>
      <c r="AD806" s="2"/>
      <c r="AE806" s="2"/>
      <c r="AF806" s="2"/>
      <c r="AG806" s="2"/>
      <c r="AH806" s="2"/>
      <c r="AI806" s="2"/>
      <c r="AJ806" s="2"/>
      <c r="AK806" s="2"/>
      <c r="AL806" s="2"/>
      <c r="AM806" s="2"/>
      <c r="AN806" s="9"/>
      <c r="AO806" s="9"/>
      <c r="AP806" s="9"/>
      <c r="AQ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224"/>
      <c r="X807" s="224"/>
      <c r="Y807" s="868"/>
      <c r="Z807" s="865"/>
      <c r="AA807" s="2"/>
      <c r="AB807" s="2"/>
      <c r="AC807" s="2"/>
      <c r="AD807" s="2"/>
      <c r="AE807" s="2"/>
      <c r="AF807" s="2"/>
      <c r="AG807" s="2"/>
      <c r="AH807" s="2"/>
      <c r="AI807" s="2"/>
      <c r="AJ807" s="2"/>
      <c r="AK807" s="2"/>
      <c r="AL807" s="2"/>
      <c r="AM807" s="2"/>
      <c r="AN807" s="9"/>
      <c r="AO807" s="9"/>
      <c r="AP807" s="9"/>
      <c r="AQ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224"/>
      <c r="X808" s="224"/>
      <c r="Y808" s="868"/>
      <c r="Z808" s="865"/>
      <c r="AA808" s="2"/>
      <c r="AB808" s="2"/>
      <c r="AC808" s="2"/>
      <c r="AD808" s="2"/>
      <c r="AE808" s="2"/>
      <c r="AF808" s="2"/>
      <c r="AG808" s="2"/>
      <c r="AH808" s="2"/>
      <c r="AI808" s="2"/>
      <c r="AJ808" s="2"/>
      <c r="AK808" s="2"/>
      <c r="AL808" s="2"/>
      <c r="AM808" s="2"/>
      <c r="AN808" s="9"/>
      <c r="AO808" s="9"/>
      <c r="AP808" s="9"/>
      <c r="AQ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224"/>
      <c r="X809" s="224"/>
      <c r="Y809" s="868"/>
      <c r="Z809" s="865"/>
      <c r="AA809" s="2"/>
      <c r="AB809" s="2"/>
      <c r="AC809" s="2"/>
      <c r="AD809" s="2"/>
      <c r="AE809" s="2"/>
      <c r="AF809" s="2"/>
      <c r="AG809" s="2"/>
      <c r="AH809" s="2"/>
      <c r="AI809" s="2"/>
      <c r="AJ809" s="2"/>
      <c r="AK809" s="2"/>
      <c r="AL809" s="2"/>
      <c r="AM809" s="2"/>
      <c r="AN809" s="9"/>
      <c r="AO809" s="9"/>
      <c r="AP809" s="9"/>
      <c r="AQ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224"/>
      <c r="X810" s="224"/>
      <c r="Y810" s="868"/>
      <c r="Z810" s="865"/>
      <c r="AA810" s="2"/>
      <c r="AB810" s="2"/>
      <c r="AC810" s="2"/>
      <c r="AD810" s="2"/>
      <c r="AE810" s="2"/>
      <c r="AF810" s="2"/>
      <c r="AG810" s="2"/>
      <c r="AH810" s="2"/>
      <c r="AI810" s="2"/>
      <c r="AJ810" s="2"/>
      <c r="AK810" s="2"/>
      <c r="AL810" s="2"/>
      <c r="AM810" s="2"/>
      <c r="AN810" s="9"/>
      <c r="AO810" s="9"/>
      <c r="AP810" s="9"/>
      <c r="AQ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224"/>
      <c r="X811" s="224"/>
      <c r="Y811" s="868"/>
      <c r="Z811" s="865"/>
      <c r="AA811" s="2"/>
      <c r="AB811" s="2"/>
      <c r="AC811" s="2"/>
      <c r="AD811" s="2"/>
      <c r="AE811" s="2"/>
      <c r="AF811" s="2"/>
      <c r="AG811" s="2"/>
      <c r="AH811" s="2"/>
      <c r="AI811" s="2"/>
      <c r="AJ811" s="2"/>
      <c r="AK811" s="2"/>
      <c r="AL811" s="2"/>
      <c r="AM811" s="2"/>
      <c r="AN811" s="9"/>
      <c r="AO811" s="9"/>
      <c r="AP811" s="9"/>
      <c r="AQ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224"/>
      <c r="X812" s="224"/>
      <c r="Y812" s="868"/>
      <c r="Z812" s="865"/>
      <c r="AA812" s="2"/>
      <c r="AB812" s="2"/>
      <c r="AC812" s="2"/>
      <c r="AD812" s="2"/>
      <c r="AE812" s="2"/>
      <c r="AF812" s="2"/>
      <c r="AG812" s="2"/>
      <c r="AH812" s="2"/>
      <c r="AI812" s="2"/>
      <c r="AJ812" s="2"/>
      <c r="AK812" s="2"/>
      <c r="AL812" s="2"/>
      <c r="AM812" s="2"/>
      <c r="AN812" s="9"/>
      <c r="AO812" s="9"/>
      <c r="AP812" s="9"/>
      <c r="AQ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224"/>
      <c r="X813" s="224"/>
      <c r="Y813" s="868"/>
      <c r="Z813" s="865"/>
      <c r="AA813" s="2"/>
      <c r="AB813" s="2"/>
      <c r="AC813" s="2"/>
      <c r="AD813" s="2"/>
      <c r="AE813" s="2"/>
      <c r="AF813" s="2"/>
      <c r="AG813" s="2"/>
      <c r="AH813" s="2"/>
      <c r="AI813" s="2"/>
      <c r="AJ813" s="2"/>
      <c r="AK813" s="2"/>
      <c r="AL813" s="2"/>
      <c r="AM813" s="2"/>
      <c r="AN813" s="9"/>
      <c r="AO813" s="9"/>
      <c r="AP813" s="9"/>
      <c r="AQ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224"/>
      <c r="X814" s="224"/>
      <c r="Y814" s="868"/>
      <c r="Z814" s="865"/>
      <c r="AA814" s="2"/>
      <c r="AB814" s="2"/>
      <c r="AC814" s="2"/>
      <c r="AD814" s="2"/>
      <c r="AE814" s="2"/>
      <c r="AF814" s="2"/>
      <c r="AG814" s="2"/>
      <c r="AH814" s="2"/>
      <c r="AI814" s="2"/>
      <c r="AJ814" s="2"/>
      <c r="AK814" s="2"/>
      <c r="AL814" s="2"/>
      <c r="AM814" s="2"/>
      <c r="AN814" s="9"/>
      <c r="AO814" s="9"/>
      <c r="AP814" s="9"/>
      <c r="AQ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224"/>
      <c r="X815" s="224"/>
      <c r="Y815" s="868"/>
      <c r="Z815" s="865"/>
      <c r="AA815" s="2"/>
      <c r="AB815" s="2"/>
      <c r="AC815" s="2"/>
      <c r="AD815" s="2"/>
      <c r="AE815" s="2"/>
      <c r="AF815" s="2"/>
      <c r="AG815" s="2"/>
      <c r="AH815" s="2"/>
      <c r="AI815" s="2"/>
      <c r="AJ815" s="2"/>
      <c r="AK815" s="2"/>
      <c r="AL815" s="2"/>
      <c r="AM815" s="2"/>
      <c r="AN815" s="9"/>
      <c r="AO815" s="9"/>
      <c r="AP815" s="9"/>
      <c r="AQ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224"/>
      <c r="X816" s="224"/>
      <c r="Y816" s="868"/>
      <c r="Z816" s="865"/>
      <c r="AA816" s="2"/>
      <c r="AB816" s="2"/>
      <c r="AC816" s="2"/>
      <c r="AD816" s="2"/>
      <c r="AE816" s="2"/>
      <c r="AF816" s="2"/>
      <c r="AG816" s="2"/>
      <c r="AH816" s="2"/>
      <c r="AI816" s="2"/>
      <c r="AJ816" s="2"/>
      <c r="AK816" s="2"/>
      <c r="AL816" s="2"/>
      <c r="AM816" s="2"/>
      <c r="AN816" s="9"/>
      <c r="AO816" s="9"/>
      <c r="AP816" s="9"/>
      <c r="AQ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224"/>
      <c r="X817" s="224"/>
      <c r="Y817" s="868"/>
      <c r="Z817" s="865"/>
      <c r="AA817" s="2"/>
      <c r="AB817" s="2"/>
      <c r="AC817" s="2"/>
      <c r="AD817" s="2"/>
      <c r="AE817" s="2"/>
      <c r="AF817" s="2"/>
      <c r="AG817" s="2"/>
      <c r="AH817" s="2"/>
      <c r="AI817" s="2"/>
      <c r="AJ817" s="2"/>
      <c r="AK817" s="2"/>
      <c r="AL817" s="2"/>
      <c r="AM817" s="2"/>
      <c r="AN817" s="9"/>
      <c r="AO817" s="9"/>
      <c r="AP817" s="9"/>
      <c r="AQ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224"/>
      <c r="X818" s="224"/>
      <c r="Y818" s="868"/>
      <c r="Z818" s="865"/>
      <c r="AA818" s="2"/>
      <c r="AB818" s="2"/>
      <c r="AC818" s="2"/>
      <c r="AD818" s="2"/>
      <c r="AE818" s="2"/>
      <c r="AF818" s="2"/>
      <c r="AG818" s="2"/>
      <c r="AH818" s="2"/>
      <c r="AI818" s="2"/>
      <c r="AJ818" s="2"/>
      <c r="AK818" s="2"/>
      <c r="AL818" s="2"/>
      <c r="AM818" s="2"/>
      <c r="AN818" s="9"/>
      <c r="AO818" s="9"/>
      <c r="AP818" s="9"/>
      <c r="AQ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224"/>
      <c r="X819" s="224"/>
      <c r="Y819" s="868"/>
      <c r="Z819" s="865"/>
      <c r="AA819" s="2"/>
      <c r="AB819" s="2"/>
      <c r="AC819" s="2"/>
      <c r="AD819" s="2"/>
      <c r="AE819" s="2"/>
      <c r="AF819" s="2"/>
      <c r="AG819" s="2"/>
      <c r="AH819" s="2"/>
      <c r="AI819" s="2"/>
      <c r="AJ819" s="2"/>
      <c r="AK819" s="2"/>
      <c r="AL819" s="2"/>
      <c r="AM819" s="2"/>
      <c r="AN819" s="9"/>
      <c r="AO819" s="9"/>
      <c r="AP819" s="9"/>
      <c r="AQ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224"/>
      <c r="X820" s="224"/>
      <c r="Y820" s="868"/>
      <c r="Z820" s="865"/>
      <c r="AA820" s="2"/>
      <c r="AB820" s="2"/>
      <c r="AC820" s="2"/>
      <c r="AD820" s="2"/>
      <c r="AE820" s="2"/>
      <c r="AF820" s="2"/>
      <c r="AG820" s="2"/>
      <c r="AH820" s="2"/>
      <c r="AI820" s="2"/>
      <c r="AJ820" s="2"/>
      <c r="AK820" s="2"/>
      <c r="AL820" s="2"/>
      <c r="AM820" s="2"/>
      <c r="AN820" s="9"/>
      <c r="AO820" s="9"/>
      <c r="AP820" s="9"/>
      <c r="AQ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224"/>
      <c r="X821" s="224"/>
      <c r="Y821" s="868"/>
      <c r="Z821" s="865"/>
      <c r="AA821" s="2"/>
      <c r="AB821" s="2"/>
      <c r="AC821" s="2"/>
      <c r="AD821" s="2"/>
      <c r="AE821" s="2"/>
      <c r="AF821" s="2"/>
      <c r="AG821" s="2"/>
      <c r="AH821" s="2"/>
      <c r="AI821" s="2"/>
      <c r="AJ821" s="2"/>
      <c r="AK821" s="2"/>
      <c r="AL821" s="2"/>
      <c r="AM821" s="2"/>
      <c r="AN821" s="9"/>
      <c r="AO821" s="9"/>
      <c r="AP821" s="9"/>
      <c r="AQ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224"/>
      <c r="X822" s="224"/>
      <c r="Y822" s="868"/>
      <c r="Z822" s="865"/>
      <c r="AA822" s="2"/>
      <c r="AB822" s="2"/>
      <c r="AC822" s="2"/>
      <c r="AD822" s="2"/>
      <c r="AE822" s="2"/>
      <c r="AF822" s="2"/>
      <c r="AG822" s="2"/>
      <c r="AH822" s="2"/>
      <c r="AI822" s="2"/>
      <c r="AJ822" s="2"/>
      <c r="AK822" s="2"/>
      <c r="AL822" s="2"/>
      <c r="AM822" s="2"/>
      <c r="AN822" s="9"/>
      <c r="AO822" s="9"/>
      <c r="AP822" s="9"/>
      <c r="AQ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224"/>
      <c r="X823" s="224"/>
      <c r="Y823" s="868"/>
      <c r="Z823" s="865"/>
      <c r="AA823" s="2"/>
      <c r="AB823" s="2"/>
      <c r="AC823" s="2"/>
      <c r="AD823" s="2"/>
      <c r="AE823" s="2"/>
      <c r="AF823" s="2"/>
      <c r="AG823" s="2"/>
      <c r="AH823" s="2"/>
      <c r="AI823" s="2"/>
      <c r="AJ823" s="2"/>
      <c r="AK823" s="2"/>
      <c r="AL823" s="2"/>
      <c r="AM823" s="2"/>
      <c r="AN823" s="9"/>
      <c r="AO823" s="9"/>
      <c r="AP823" s="9"/>
      <c r="AQ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224"/>
      <c r="X824" s="224"/>
      <c r="Y824" s="868"/>
      <c r="Z824" s="865"/>
      <c r="AA824" s="2"/>
      <c r="AB824" s="2"/>
      <c r="AC824" s="2"/>
      <c r="AD824" s="2"/>
      <c r="AE824" s="2"/>
      <c r="AF824" s="2"/>
      <c r="AG824" s="2"/>
      <c r="AH824" s="2"/>
      <c r="AI824" s="2"/>
      <c r="AJ824" s="2"/>
      <c r="AK824" s="2"/>
      <c r="AL824" s="2"/>
      <c r="AM824" s="2"/>
      <c r="AN824" s="9"/>
      <c r="AO824" s="9"/>
      <c r="AP824" s="9"/>
      <c r="AQ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224"/>
      <c r="X825" s="224"/>
      <c r="Y825" s="868"/>
      <c r="Z825" s="865"/>
      <c r="AA825" s="2"/>
      <c r="AB825" s="2"/>
      <c r="AC825" s="2"/>
      <c r="AD825" s="2"/>
      <c r="AE825" s="2"/>
      <c r="AF825" s="2"/>
      <c r="AG825" s="2"/>
      <c r="AH825" s="2"/>
      <c r="AI825" s="2"/>
      <c r="AJ825" s="2"/>
      <c r="AK825" s="2"/>
      <c r="AL825" s="2"/>
      <c r="AM825" s="2"/>
      <c r="AN825" s="9"/>
      <c r="AO825" s="9"/>
      <c r="AP825" s="9"/>
      <c r="AQ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224"/>
      <c r="X826" s="224"/>
      <c r="Y826" s="868"/>
      <c r="Z826" s="865"/>
      <c r="AA826" s="2"/>
      <c r="AB826" s="2"/>
      <c r="AC826" s="2"/>
      <c r="AD826" s="2"/>
      <c r="AE826" s="2"/>
      <c r="AF826" s="2"/>
      <c r="AG826" s="2"/>
      <c r="AH826" s="2"/>
      <c r="AI826" s="2"/>
      <c r="AJ826" s="2"/>
      <c r="AK826" s="2"/>
      <c r="AL826" s="2"/>
      <c r="AM826" s="2"/>
      <c r="AN826" s="9"/>
      <c r="AO826" s="9"/>
      <c r="AP826" s="9"/>
      <c r="AQ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224"/>
      <c r="X827" s="224"/>
      <c r="Y827" s="868"/>
      <c r="Z827" s="865"/>
      <c r="AA827" s="2"/>
      <c r="AB827" s="2"/>
      <c r="AC827" s="2"/>
      <c r="AD827" s="2"/>
      <c r="AE827" s="2"/>
      <c r="AF827" s="2"/>
      <c r="AG827" s="2"/>
      <c r="AH827" s="2"/>
      <c r="AI827" s="2"/>
      <c r="AJ827" s="2"/>
      <c r="AK827" s="2"/>
      <c r="AL827" s="2"/>
      <c r="AM827" s="2"/>
      <c r="AN827" s="9"/>
      <c r="AO827" s="9"/>
      <c r="AP827" s="9"/>
      <c r="AQ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224"/>
      <c r="X828" s="224"/>
      <c r="Y828" s="868"/>
      <c r="Z828" s="865"/>
      <c r="AA828" s="2"/>
      <c r="AB828" s="2"/>
      <c r="AC828" s="2"/>
      <c r="AD828" s="2"/>
      <c r="AE828" s="2"/>
      <c r="AF828" s="2"/>
      <c r="AG828" s="2"/>
      <c r="AH828" s="2"/>
      <c r="AI828" s="2"/>
      <c r="AJ828" s="2"/>
      <c r="AK828" s="2"/>
      <c r="AL828" s="2"/>
      <c r="AM828" s="2"/>
      <c r="AN828" s="9"/>
      <c r="AO828" s="9"/>
      <c r="AP828" s="9"/>
      <c r="AQ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224"/>
      <c r="X829" s="224"/>
      <c r="Y829" s="868"/>
      <c r="Z829" s="865"/>
      <c r="AA829" s="2"/>
      <c r="AB829" s="2"/>
      <c r="AC829" s="2"/>
      <c r="AD829" s="2"/>
      <c r="AE829" s="2"/>
      <c r="AF829" s="2"/>
      <c r="AG829" s="2"/>
      <c r="AH829" s="2"/>
      <c r="AI829" s="2"/>
      <c r="AJ829" s="2"/>
      <c r="AK829" s="2"/>
      <c r="AL829" s="2"/>
      <c r="AM829" s="2"/>
      <c r="AN829" s="9"/>
      <c r="AO829" s="9"/>
      <c r="AP829" s="9"/>
      <c r="AQ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224"/>
      <c r="X830" s="224"/>
      <c r="Y830" s="868"/>
      <c r="Z830" s="865"/>
      <c r="AA830" s="2"/>
      <c r="AB830" s="2"/>
      <c r="AC830" s="2"/>
      <c r="AD830" s="2"/>
      <c r="AE830" s="2"/>
      <c r="AF830" s="2"/>
      <c r="AG830" s="2"/>
      <c r="AH830" s="2"/>
      <c r="AI830" s="2"/>
      <c r="AJ830" s="2"/>
      <c r="AK830" s="2"/>
      <c r="AL830" s="2"/>
      <c r="AM830" s="2"/>
      <c r="AN830" s="9"/>
      <c r="AO830" s="9"/>
      <c r="AP830" s="9"/>
      <c r="AQ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224"/>
      <c r="X831" s="224"/>
      <c r="Y831" s="868"/>
      <c r="Z831" s="865"/>
      <c r="AA831" s="2"/>
      <c r="AB831" s="2"/>
      <c r="AC831" s="2"/>
      <c r="AD831" s="2"/>
      <c r="AE831" s="2"/>
      <c r="AF831" s="2"/>
      <c r="AG831" s="2"/>
      <c r="AH831" s="2"/>
      <c r="AI831" s="2"/>
      <c r="AJ831" s="2"/>
      <c r="AK831" s="2"/>
      <c r="AL831" s="2"/>
      <c r="AM831" s="2"/>
      <c r="AN831" s="9"/>
      <c r="AO831" s="9"/>
      <c r="AP831" s="9"/>
      <c r="AQ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224"/>
      <c r="X832" s="224"/>
      <c r="Y832" s="868"/>
      <c r="Z832" s="865"/>
      <c r="AA832" s="2"/>
      <c r="AB832" s="2"/>
      <c r="AC832" s="2"/>
      <c r="AD832" s="2"/>
      <c r="AE832" s="2"/>
      <c r="AF832" s="2"/>
      <c r="AG832" s="2"/>
      <c r="AH832" s="2"/>
      <c r="AI832" s="2"/>
      <c r="AJ832" s="2"/>
      <c r="AK832" s="2"/>
      <c r="AL832" s="2"/>
      <c r="AM832" s="2"/>
      <c r="AN832" s="9"/>
      <c r="AO832" s="9"/>
      <c r="AP832" s="9"/>
      <c r="AQ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224"/>
      <c r="X833" s="224"/>
      <c r="Y833" s="868"/>
      <c r="Z833" s="865"/>
      <c r="AA833" s="2"/>
      <c r="AB833" s="2"/>
      <c r="AC833" s="2"/>
      <c r="AD833" s="2"/>
      <c r="AE833" s="2"/>
      <c r="AF833" s="2"/>
      <c r="AG833" s="2"/>
      <c r="AH833" s="2"/>
      <c r="AI833" s="2"/>
      <c r="AJ833" s="2"/>
      <c r="AK833" s="2"/>
      <c r="AL833" s="2"/>
      <c r="AM833" s="2"/>
      <c r="AN833" s="9"/>
      <c r="AO833" s="9"/>
      <c r="AP833" s="9"/>
      <c r="AQ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224"/>
      <c r="X834" s="224"/>
      <c r="Y834" s="868"/>
      <c r="Z834" s="865"/>
      <c r="AA834" s="2"/>
      <c r="AB834" s="2"/>
      <c r="AC834" s="2"/>
      <c r="AD834" s="2"/>
      <c r="AE834" s="2"/>
      <c r="AF834" s="2"/>
      <c r="AG834" s="2"/>
      <c r="AH834" s="2"/>
      <c r="AI834" s="2"/>
      <c r="AJ834" s="2"/>
      <c r="AK834" s="2"/>
      <c r="AL834" s="2"/>
      <c r="AM834" s="2"/>
      <c r="AN834" s="9"/>
      <c r="AO834" s="9"/>
      <c r="AP834" s="9"/>
      <c r="AQ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224"/>
      <c r="X835" s="224"/>
      <c r="Y835" s="868"/>
      <c r="Z835" s="865"/>
      <c r="AA835" s="2"/>
      <c r="AB835" s="2"/>
      <c r="AC835" s="2"/>
      <c r="AD835" s="2"/>
      <c r="AE835" s="2"/>
      <c r="AF835" s="2"/>
      <c r="AG835" s="2"/>
      <c r="AH835" s="2"/>
      <c r="AI835" s="2"/>
      <c r="AJ835" s="2"/>
      <c r="AK835" s="2"/>
      <c r="AL835" s="2"/>
      <c r="AM835" s="2"/>
      <c r="AN835" s="9"/>
      <c r="AO835" s="9"/>
      <c r="AP835" s="9"/>
      <c r="AQ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224"/>
      <c r="X836" s="224"/>
      <c r="Y836" s="868"/>
      <c r="Z836" s="865"/>
      <c r="AA836" s="2"/>
      <c r="AB836" s="2"/>
      <c r="AC836" s="2"/>
      <c r="AD836" s="2"/>
      <c r="AE836" s="2"/>
      <c r="AF836" s="2"/>
      <c r="AG836" s="2"/>
      <c r="AH836" s="2"/>
      <c r="AI836" s="2"/>
      <c r="AJ836" s="2"/>
      <c r="AK836" s="2"/>
      <c r="AL836" s="2"/>
      <c r="AM836" s="2"/>
      <c r="AN836" s="9"/>
      <c r="AO836" s="9"/>
      <c r="AP836" s="9"/>
      <c r="AQ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224"/>
      <c r="X837" s="224"/>
      <c r="Y837" s="868"/>
      <c r="Z837" s="865"/>
      <c r="AA837" s="2"/>
      <c r="AB837" s="2"/>
      <c r="AC837" s="2"/>
      <c r="AD837" s="2"/>
      <c r="AE837" s="2"/>
      <c r="AF837" s="2"/>
      <c r="AG837" s="2"/>
      <c r="AH837" s="2"/>
      <c r="AI837" s="2"/>
      <c r="AJ837" s="2"/>
      <c r="AK837" s="2"/>
      <c r="AL837" s="2"/>
      <c r="AM837" s="2"/>
      <c r="AN837" s="9"/>
      <c r="AO837" s="9"/>
      <c r="AP837" s="9"/>
      <c r="AQ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224"/>
      <c r="X838" s="224"/>
      <c r="Y838" s="868"/>
      <c r="Z838" s="865"/>
      <c r="AA838" s="2"/>
      <c r="AB838" s="2"/>
      <c r="AC838" s="2"/>
      <c r="AD838" s="2"/>
      <c r="AE838" s="2"/>
      <c r="AF838" s="2"/>
      <c r="AG838" s="2"/>
      <c r="AH838" s="2"/>
      <c r="AI838" s="2"/>
      <c r="AJ838" s="2"/>
      <c r="AK838" s="2"/>
      <c r="AL838" s="2"/>
      <c r="AM838" s="2"/>
      <c r="AN838" s="9"/>
      <c r="AO838" s="9"/>
      <c r="AP838" s="9"/>
      <c r="AQ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224"/>
      <c r="X839" s="224"/>
      <c r="Y839" s="868"/>
      <c r="Z839" s="865"/>
      <c r="AA839" s="2"/>
      <c r="AB839" s="2"/>
      <c r="AC839" s="2"/>
      <c r="AD839" s="2"/>
      <c r="AE839" s="2"/>
      <c r="AF839" s="2"/>
      <c r="AG839" s="2"/>
      <c r="AH839" s="2"/>
      <c r="AI839" s="2"/>
      <c r="AJ839" s="2"/>
      <c r="AK839" s="2"/>
      <c r="AL839" s="2"/>
      <c r="AM839" s="2"/>
      <c r="AN839" s="9"/>
      <c r="AO839" s="9"/>
      <c r="AP839" s="9"/>
      <c r="AQ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224"/>
      <c r="X840" s="224"/>
      <c r="Y840" s="868"/>
      <c r="Z840" s="865"/>
      <c r="AA840" s="2"/>
      <c r="AB840" s="2"/>
      <c r="AC840" s="2"/>
      <c r="AD840" s="2"/>
      <c r="AE840" s="2"/>
      <c r="AF840" s="2"/>
      <c r="AG840" s="2"/>
      <c r="AH840" s="2"/>
      <c r="AI840" s="2"/>
      <c r="AJ840" s="2"/>
      <c r="AK840" s="2"/>
      <c r="AL840" s="2"/>
      <c r="AM840" s="2"/>
      <c r="AN840" s="9"/>
      <c r="AO840" s="9"/>
      <c r="AP840" s="9"/>
      <c r="AQ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224"/>
      <c r="X841" s="224"/>
      <c r="Y841" s="868"/>
      <c r="Z841" s="865"/>
      <c r="AA841" s="2"/>
      <c r="AB841" s="2"/>
      <c r="AC841" s="2"/>
      <c r="AD841" s="2"/>
      <c r="AE841" s="2"/>
      <c r="AF841" s="2"/>
      <c r="AG841" s="2"/>
      <c r="AH841" s="2"/>
      <c r="AI841" s="2"/>
      <c r="AJ841" s="2"/>
      <c r="AK841" s="2"/>
      <c r="AL841" s="2"/>
      <c r="AM841" s="2"/>
      <c r="AN841" s="9"/>
      <c r="AO841" s="9"/>
      <c r="AP841" s="9"/>
      <c r="AQ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224"/>
      <c r="X842" s="224"/>
      <c r="Y842" s="868"/>
      <c r="Z842" s="865"/>
      <c r="AA842" s="2"/>
      <c r="AB842" s="2"/>
      <c r="AC842" s="2"/>
      <c r="AD842" s="2"/>
      <c r="AE842" s="2"/>
      <c r="AF842" s="2"/>
      <c r="AG842" s="2"/>
      <c r="AH842" s="2"/>
      <c r="AI842" s="2"/>
      <c r="AJ842" s="2"/>
      <c r="AK842" s="2"/>
      <c r="AL842" s="2"/>
      <c r="AM842" s="2"/>
      <c r="AN842" s="9"/>
      <c r="AO842" s="9"/>
      <c r="AP842" s="9"/>
      <c r="AQ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224"/>
      <c r="X843" s="224"/>
      <c r="Y843" s="868"/>
      <c r="Z843" s="865"/>
      <c r="AA843" s="2"/>
      <c r="AB843" s="2"/>
      <c r="AC843" s="2"/>
      <c r="AD843" s="2"/>
      <c r="AE843" s="2"/>
      <c r="AF843" s="2"/>
      <c r="AG843" s="2"/>
      <c r="AH843" s="2"/>
      <c r="AI843" s="2"/>
      <c r="AJ843" s="2"/>
      <c r="AK843" s="2"/>
      <c r="AL843" s="2"/>
      <c r="AM843" s="2"/>
      <c r="AN843" s="9"/>
      <c r="AO843" s="9"/>
      <c r="AP843" s="9"/>
      <c r="AQ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224"/>
      <c r="X844" s="224"/>
      <c r="Y844" s="868"/>
      <c r="Z844" s="865"/>
      <c r="AA844" s="2"/>
      <c r="AB844" s="2"/>
      <c r="AC844" s="2"/>
      <c r="AD844" s="2"/>
      <c r="AE844" s="2"/>
      <c r="AF844" s="2"/>
      <c r="AG844" s="2"/>
      <c r="AH844" s="2"/>
      <c r="AI844" s="2"/>
      <c r="AJ844" s="2"/>
      <c r="AK844" s="2"/>
      <c r="AL844" s="2"/>
      <c r="AM844" s="2"/>
      <c r="AN844" s="9"/>
      <c r="AO844" s="9"/>
      <c r="AP844" s="9"/>
      <c r="AQ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224"/>
      <c r="X845" s="224"/>
      <c r="Y845" s="868"/>
      <c r="Z845" s="865"/>
      <c r="AA845" s="2"/>
      <c r="AB845" s="2"/>
      <c r="AC845" s="2"/>
      <c r="AD845" s="2"/>
      <c r="AE845" s="2"/>
      <c r="AF845" s="2"/>
      <c r="AG845" s="2"/>
      <c r="AH845" s="2"/>
      <c r="AI845" s="2"/>
      <c r="AJ845" s="2"/>
      <c r="AK845" s="2"/>
      <c r="AL845" s="2"/>
      <c r="AM845" s="2"/>
      <c r="AN845" s="9"/>
      <c r="AO845" s="9"/>
      <c r="AP845" s="9"/>
      <c r="AQ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224"/>
      <c r="X846" s="224"/>
      <c r="Y846" s="868"/>
      <c r="Z846" s="865"/>
      <c r="AA846" s="2"/>
      <c r="AB846" s="2"/>
      <c r="AC846" s="2"/>
      <c r="AD846" s="2"/>
      <c r="AE846" s="2"/>
      <c r="AF846" s="2"/>
      <c r="AG846" s="2"/>
      <c r="AH846" s="2"/>
      <c r="AI846" s="2"/>
      <c r="AJ846" s="2"/>
      <c r="AK846" s="2"/>
      <c r="AL846" s="2"/>
      <c r="AM846" s="2"/>
      <c r="AN846" s="9"/>
      <c r="AO846" s="9"/>
      <c r="AP846" s="9"/>
      <c r="AQ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224"/>
      <c r="X847" s="224"/>
      <c r="Y847" s="868"/>
      <c r="Z847" s="865"/>
      <c r="AA847" s="2"/>
      <c r="AB847" s="2"/>
      <c r="AC847" s="2"/>
      <c r="AD847" s="2"/>
      <c r="AE847" s="2"/>
      <c r="AF847" s="2"/>
      <c r="AG847" s="2"/>
      <c r="AH847" s="2"/>
      <c r="AI847" s="2"/>
      <c r="AJ847" s="2"/>
      <c r="AK847" s="2"/>
      <c r="AL847" s="2"/>
      <c r="AM847" s="2"/>
      <c r="AN847" s="9"/>
      <c r="AO847" s="9"/>
      <c r="AP847" s="9"/>
      <c r="AQ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224"/>
      <c r="X848" s="224"/>
      <c r="Y848" s="868"/>
      <c r="Z848" s="865"/>
      <c r="AA848" s="2"/>
      <c r="AB848" s="2"/>
      <c r="AC848" s="2"/>
      <c r="AD848" s="2"/>
      <c r="AE848" s="2"/>
      <c r="AF848" s="2"/>
      <c r="AG848" s="2"/>
      <c r="AH848" s="2"/>
      <c r="AI848" s="2"/>
      <c r="AJ848" s="2"/>
      <c r="AK848" s="2"/>
      <c r="AL848" s="2"/>
      <c r="AM848" s="2"/>
      <c r="AN848" s="9"/>
      <c r="AO848" s="9"/>
      <c r="AP848" s="9"/>
      <c r="AQ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224"/>
      <c r="X849" s="224"/>
      <c r="Y849" s="868"/>
      <c r="Z849" s="865"/>
      <c r="AA849" s="2"/>
      <c r="AB849" s="2"/>
      <c r="AC849" s="2"/>
      <c r="AD849" s="2"/>
      <c r="AE849" s="2"/>
      <c r="AF849" s="2"/>
      <c r="AG849" s="2"/>
      <c r="AH849" s="2"/>
      <c r="AI849" s="2"/>
      <c r="AJ849" s="2"/>
      <c r="AK849" s="2"/>
      <c r="AL849" s="2"/>
      <c r="AM849" s="2"/>
      <c r="AN849" s="9"/>
      <c r="AO849" s="9"/>
      <c r="AP849" s="9"/>
      <c r="AQ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224"/>
      <c r="X850" s="224"/>
      <c r="Y850" s="868"/>
      <c r="Z850" s="865"/>
      <c r="AA850" s="2"/>
      <c r="AB850" s="2"/>
      <c r="AC850" s="2"/>
      <c r="AD850" s="2"/>
      <c r="AE850" s="2"/>
      <c r="AF850" s="2"/>
      <c r="AG850" s="2"/>
      <c r="AH850" s="2"/>
      <c r="AI850" s="2"/>
      <c r="AJ850" s="2"/>
      <c r="AK850" s="2"/>
      <c r="AL850" s="2"/>
      <c r="AM850" s="2"/>
      <c r="AN850" s="9"/>
      <c r="AO850" s="9"/>
      <c r="AP850" s="9"/>
      <c r="AQ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224"/>
      <c r="X851" s="224"/>
      <c r="Y851" s="868"/>
      <c r="Z851" s="865"/>
      <c r="AA851" s="2"/>
      <c r="AB851" s="2"/>
      <c r="AC851" s="2"/>
      <c r="AD851" s="2"/>
      <c r="AE851" s="2"/>
      <c r="AF851" s="2"/>
      <c r="AG851" s="2"/>
      <c r="AH851" s="2"/>
      <c r="AI851" s="2"/>
      <c r="AJ851" s="2"/>
      <c r="AK851" s="2"/>
      <c r="AL851" s="2"/>
      <c r="AM851" s="2"/>
      <c r="AN851" s="9"/>
      <c r="AO851" s="9"/>
      <c r="AP851" s="9"/>
      <c r="AQ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224"/>
      <c r="X852" s="224"/>
      <c r="Y852" s="868"/>
      <c r="Z852" s="865"/>
      <c r="AA852" s="2"/>
      <c r="AB852" s="2"/>
      <c r="AC852" s="2"/>
      <c r="AD852" s="2"/>
      <c r="AE852" s="2"/>
      <c r="AF852" s="2"/>
      <c r="AG852" s="2"/>
      <c r="AH852" s="2"/>
      <c r="AI852" s="2"/>
      <c r="AJ852" s="2"/>
      <c r="AK852" s="2"/>
      <c r="AL852" s="2"/>
      <c r="AM852" s="2"/>
      <c r="AN852" s="9"/>
      <c r="AO852" s="9"/>
      <c r="AP852" s="9"/>
      <c r="AQ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224"/>
      <c r="X853" s="224"/>
      <c r="Y853" s="868"/>
      <c r="Z853" s="865"/>
      <c r="AA853" s="2"/>
      <c r="AB853" s="2"/>
      <c r="AC853" s="2"/>
      <c r="AD853" s="2"/>
      <c r="AE853" s="2"/>
      <c r="AF853" s="2"/>
      <c r="AG853" s="2"/>
      <c r="AH853" s="2"/>
      <c r="AI853" s="2"/>
      <c r="AJ853" s="2"/>
      <c r="AK853" s="2"/>
      <c r="AL853" s="2"/>
      <c r="AM853" s="2"/>
      <c r="AN853" s="9"/>
      <c r="AO853" s="9"/>
      <c r="AP853" s="9"/>
      <c r="AQ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224"/>
      <c r="X854" s="224"/>
      <c r="Y854" s="868"/>
      <c r="Z854" s="865"/>
      <c r="AA854" s="2"/>
      <c r="AB854" s="2"/>
      <c r="AC854" s="2"/>
      <c r="AD854" s="2"/>
      <c r="AE854" s="2"/>
      <c r="AF854" s="2"/>
      <c r="AG854" s="2"/>
      <c r="AH854" s="2"/>
      <c r="AI854" s="2"/>
      <c r="AJ854" s="2"/>
      <c r="AK854" s="2"/>
      <c r="AL854" s="2"/>
      <c r="AM854" s="2"/>
      <c r="AN854" s="9"/>
      <c r="AO854" s="9"/>
      <c r="AP854" s="9"/>
      <c r="AQ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224"/>
      <c r="X855" s="224"/>
      <c r="Y855" s="868"/>
      <c r="Z855" s="865"/>
      <c r="AA855" s="2"/>
      <c r="AB855" s="2"/>
      <c r="AC855" s="2"/>
      <c r="AD855" s="2"/>
      <c r="AE855" s="2"/>
      <c r="AF855" s="2"/>
      <c r="AG855" s="2"/>
      <c r="AH855" s="2"/>
      <c r="AI855" s="2"/>
      <c r="AJ855" s="2"/>
      <c r="AK855" s="2"/>
      <c r="AL855" s="2"/>
      <c r="AM855" s="2"/>
      <c r="AN855" s="9"/>
      <c r="AO855" s="9"/>
      <c r="AP855" s="9"/>
      <c r="AQ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224"/>
      <c r="X856" s="224"/>
      <c r="Y856" s="868"/>
      <c r="Z856" s="865"/>
      <c r="AA856" s="2"/>
      <c r="AB856" s="2"/>
      <c r="AC856" s="2"/>
      <c r="AD856" s="2"/>
      <c r="AE856" s="2"/>
      <c r="AF856" s="2"/>
      <c r="AG856" s="2"/>
      <c r="AH856" s="2"/>
      <c r="AI856" s="2"/>
      <c r="AJ856" s="2"/>
      <c r="AK856" s="2"/>
      <c r="AL856" s="2"/>
      <c r="AM856" s="2"/>
      <c r="AN856" s="9"/>
      <c r="AO856" s="9"/>
      <c r="AP856" s="9"/>
      <c r="AQ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224"/>
      <c r="X857" s="224"/>
      <c r="Y857" s="868"/>
      <c r="Z857" s="865"/>
      <c r="AA857" s="2"/>
      <c r="AB857" s="2"/>
      <c r="AC857" s="2"/>
      <c r="AD857" s="2"/>
      <c r="AE857" s="2"/>
      <c r="AF857" s="2"/>
      <c r="AG857" s="2"/>
      <c r="AH857" s="2"/>
      <c r="AI857" s="2"/>
      <c r="AJ857" s="2"/>
      <c r="AK857" s="2"/>
      <c r="AL857" s="2"/>
      <c r="AM857" s="2"/>
      <c r="AN857" s="9"/>
      <c r="AO857" s="9"/>
      <c r="AP857" s="9"/>
      <c r="AQ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224"/>
      <c r="X858" s="224"/>
      <c r="Y858" s="868"/>
      <c r="Z858" s="865"/>
      <c r="AA858" s="2"/>
      <c r="AB858" s="2"/>
      <c r="AC858" s="2"/>
      <c r="AD858" s="2"/>
      <c r="AE858" s="2"/>
      <c r="AF858" s="2"/>
      <c r="AG858" s="2"/>
      <c r="AH858" s="2"/>
      <c r="AI858" s="2"/>
      <c r="AJ858" s="2"/>
      <c r="AK858" s="2"/>
      <c r="AL858" s="2"/>
      <c r="AM858" s="2"/>
      <c r="AN858" s="9"/>
      <c r="AO858" s="9"/>
      <c r="AP858" s="9"/>
      <c r="AQ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224"/>
      <c r="X859" s="224"/>
      <c r="Y859" s="868"/>
      <c r="Z859" s="865"/>
      <c r="AA859" s="2"/>
      <c r="AB859" s="2"/>
      <c r="AC859" s="2"/>
      <c r="AD859" s="2"/>
      <c r="AE859" s="2"/>
      <c r="AF859" s="2"/>
      <c r="AG859" s="2"/>
      <c r="AH859" s="2"/>
      <c r="AI859" s="2"/>
      <c r="AJ859" s="2"/>
      <c r="AK859" s="2"/>
      <c r="AL859" s="2"/>
      <c r="AM859" s="2"/>
      <c r="AN859" s="9"/>
      <c r="AO859" s="9"/>
      <c r="AP859" s="9"/>
      <c r="AQ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224"/>
      <c r="X860" s="224"/>
      <c r="Y860" s="868"/>
      <c r="Z860" s="865"/>
      <c r="AA860" s="2"/>
      <c r="AB860" s="2"/>
      <c r="AC860" s="2"/>
      <c r="AD860" s="2"/>
      <c r="AE860" s="2"/>
      <c r="AF860" s="2"/>
      <c r="AG860" s="2"/>
      <c r="AH860" s="2"/>
      <c r="AI860" s="2"/>
      <c r="AJ860" s="2"/>
      <c r="AK860" s="2"/>
      <c r="AL860" s="2"/>
      <c r="AM860" s="2"/>
      <c r="AN860" s="9"/>
      <c r="AO860" s="9"/>
      <c r="AP860" s="9"/>
      <c r="AQ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224"/>
      <c r="X861" s="224"/>
      <c r="Y861" s="868"/>
      <c r="Z861" s="865"/>
      <c r="AA861" s="2"/>
      <c r="AB861" s="2"/>
      <c r="AC861" s="2"/>
      <c r="AD861" s="2"/>
      <c r="AE861" s="2"/>
      <c r="AF861" s="2"/>
      <c r="AG861" s="2"/>
      <c r="AH861" s="2"/>
      <c r="AI861" s="2"/>
      <c r="AJ861" s="2"/>
      <c r="AK861" s="2"/>
      <c r="AL861" s="2"/>
      <c r="AM861" s="2"/>
      <c r="AN861" s="9"/>
      <c r="AO861" s="9"/>
      <c r="AP861" s="9"/>
      <c r="AQ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224"/>
      <c r="X862" s="224"/>
      <c r="Y862" s="868"/>
      <c r="Z862" s="865"/>
      <c r="AA862" s="2"/>
      <c r="AB862" s="2"/>
      <c r="AC862" s="2"/>
      <c r="AD862" s="2"/>
      <c r="AE862" s="2"/>
      <c r="AF862" s="2"/>
      <c r="AG862" s="2"/>
      <c r="AH862" s="2"/>
      <c r="AI862" s="2"/>
      <c r="AJ862" s="2"/>
      <c r="AK862" s="2"/>
      <c r="AL862" s="2"/>
      <c r="AM862" s="2"/>
      <c r="AN862" s="9"/>
      <c r="AO862" s="9"/>
      <c r="AP862" s="9"/>
      <c r="AQ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224"/>
      <c r="X863" s="224"/>
      <c r="Y863" s="868"/>
      <c r="Z863" s="865"/>
      <c r="AA863" s="2"/>
      <c r="AB863" s="2"/>
      <c r="AC863" s="2"/>
      <c r="AD863" s="2"/>
      <c r="AE863" s="2"/>
      <c r="AF863" s="2"/>
      <c r="AG863" s="2"/>
      <c r="AH863" s="2"/>
      <c r="AI863" s="2"/>
      <c r="AJ863" s="2"/>
      <c r="AK863" s="2"/>
      <c r="AL863" s="2"/>
      <c r="AM863" s="2"/>
      <c r="AN863" s="9"/>
      <c r="AO863" s="9"/>
      <c r="AP863" s="9"/>
      <c r="AQ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224"/>
      <c r="X864" s="224"/>
      <c r="Y864" s="868"/>
      <c r="Z864" s="865"/>
      <c r="AA864" s="2"/>
      <c r="AB864" s="2"/>
      <c r="AC864" s="2"/>
      <c r="AD864" s="2"/>
      <c r="AE864" s="2"/>
      <c r="AF864" s="2"/>
      <c r="AG864" s="2"/>
      <c r="AH864" s="2"/>
      <c r="AI864" s="2"/>
      <c r="AJ864" s="2"/>
      <c r="AK864" s="2"/>
      <c r="AL864" s="2"/>
      <c r="AM864" s="2"/>
      <c r="AN864" s="9"/>
      <c r="AO864" s="9"/>
      <c r="AP864" s="9"/>
      <c r="AQ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224"/>
      <c r="X865" s="224"/>
      <c r="Y865" s="868"/>
      <c r="Z865" s="865"/>
      <c r="AA865" s="2"/>
      <c r="AB865" s="2"/>
      <c r="AC865" s="2"/>
      <c r="AD865" s="2"/>
      <c r="AE865" s="2"/>
      <c r="AF865" s="2"/>
      <c r="AG865" s="2"/>
      <c r="AH865" s="2"/>
      <c r="AI865" s="2"/>
      <c r="AJ865" s="2"/>
      <c r="AK865" s="2"/>
      <c r="AL865" s="2"/>
      <c r="AM865" s="2"/>
      <c r="AN865" s="9"/>
      <c r="AO865" s="9"/>
      <c r="AP865" s="9"/>
      <c r="AQ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224"/>
      <c r="X866" s="224"/>
      <c r="Y866" s="868"/>
      <c r="Z866" s="865"/>
      <c r="AA866" s="2"/>
      <c r="AB866" s="2"/>
      <c r="AC866" s="2"/>
      <c r="AD866" s="2"/>
      <c r="AE866" s="2"/>
      <c r="AF866" s="2"/>
      <c r="AG866" s="2"/>
      <c r="AH866" s="2"/>
      <c r="AI866" s="2"/>
      <c r="AJ866" s="2"/>
      <c r="AK866" s="2"/>
      <c r="AL866" s="2"/>
      <c r="AM866" s="2"/>
      <c r="AN866" s="9"/>
      <c r="AO866" s="9"/>
      <c r="AP866" s="9"/>
      <c r="AQ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224"/>
      <c r="X867" s="224"/>
      <c r="Y867" s="868"/>
      <c r="Z867" s="865"/>
      <c r="AA867" s="2"/>
      <c r="AB867" s="2"/>
      <c r="AC867" s="2"/>
      <c r="AD867" s="2"/>
      <c r="AE867" s="2"/>
      <c r="AF867" s="2"/>
      <c r="AG867" s="2"/>
      <c r="AH867" s="2"/>
      <c r="AI867" s="2"/>
      <c r="AJ867" s="2"/>
      <c r="AK867" s="2"/>
      <c r="AL867" s="2"/>
      <c r="AM867" s="2"/>
      <c r="AN867" s="9"/>
      <c r="AO867" s="9"/>
      <c r="AP867" s="9"/>
      <c r="AQ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224"/>
      <c r="X868" s="224"/>
      <c r="Y868" s="868"/>
      <c r="Z868" s="865"/>
      <c r="AA868" s="2"/>
      <c r="AB868" s="2"/>
      <c r="AC868" s="2"/>
      <c r="AD868" s="2"/>
      <c r="AE868" s="2"/>
      <c r="AF868" s="2"/>
      <c r="AG868" s="2"/>
      <c r="AH868" s="2"/>
      <c r="AI868" s="2"/>
      <c r="AJ868" s="2"/>
      <c r="AK868" s="2"/>
      <c r="AL868" s="2"/>
      <c r="AM868" s="2"/>
      <c r="AN868" s="9"/>
      <c r="AO868" s="9"/>
      <c r="AP868" s="9"/>
      <c r="AQ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224"/>
      <c r="X869" s="224"/>
      <c r="Y869" s="868"/>
      <c r="Z869" s="865"/>
      <c r="AA869" s="2"/>
      <c r="AB869" s="2"/>
      <c r="AC869" s="2"/>
      <c r="AD869" s="2"/>
      <c r="AE869" s="2"/>
      <c r="AF869" s="2"/>
      <c r="AG869" s="2"/>
      <c r="AH869" s="2"/>
      <c r="AI869" s="2"/>
      <c r="AJ869" s="2"/>
      <c r="AK869" s="2"/>
      <c r="AL869" s="2"/>
      <c r="AM869" s="2"/>
      <c r="AN869" s="9"/>
      <c r="AO869" s="9"/>
      <c r="AP869" s="9"/>
      <c r="AQ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224"/>
      <c r="X870" s="224"/>
      <c r="Y870" s="868"/>
      <c r="Z870" s="865"/>
      <c r="AA870" s="2"/>
      <c r="AB870" s="2"/>
      <c r="AC870" s="2"/>
      <c r="AD870" s="2"/>
      <c r="AE870" s="2"/>
      <c r="AF870" s="2"/>
      <c r="AG870" s="2"/>
      <c r="AH870" s="2"/>
      <c r="AI870" s="2"/>
      <c r="AJ870" s="2"/>
      <c r="AK870" s="2"/>
      <c r="AL870" s="2"/>
      <c r="AM870" s="2"/>
      <c r="AN870" s="9"/>
      <c r="AO870" s="9"/>
      <c r="AP870" s="9"/>
      <c r="AQ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224"/>
      <c r="X871" s="224"/>
      <c r="Y871" s="868"/>
      <c r="Z871" s="865"/>
      <c r="AA871" s="2"/>
      <c r="AB871" s="2"/>
      <c r="AC871" s="2"/>
      <c r="AD871" s="2"/>
      <c r="AE871" s="2"/>
      <c r="AF871" s="2"/>
      <c r="AG871" s="2"/>
      <c r="AH871" s="2"/>
      <c r="AI871" s="2"/>
      <c r="AJ871" s="2"/>
      <c r="AK871" s="2"/>
      <c r="AL871" s="2"/>
      <c r="AM871" s="2"/>
      <c r="AN871" s="9"/>
      <c r="AO871" s="9"/>
      <c r="AP871" s="9"/>
      <c r="AQ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224"/>
      <c r="X872" s="224"/>
      <c r="Y872" s="868"/>
      <c r="Z872" s="865"/>
      <c r="AA872" s="2"/>
      <c r="AB872" s="2"/>
      <c r="AC872" s="2"/>
      <c r="AD872" s="2"/>
      <c r="AE872" s="2"/>
      <c r="AF872" s="2"/>
      <c r="AG872" s="2"/>
      <c r="AH872" s="2"/>
      <c r="AI872" s="2"/>
      <c r="AJ872" s="2"/>
      <c r="AK872" s="2"/>
      <c r="AL872" s="2"/>
      <c r="AM872" s="2"/>
      <c r="AN872" s="9"/>
      <c r="AO872" s="9"/>
      <c r="AP872" s="9"/>
      <c r="AQ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224"/>
      <c r="X873" s="224"/>
      <c r="Y873" s="868"/>
      <c r="Z873" s="865"/>
      <c r="AA873" s="2"/>
      <c r="AB873" s="2"/>
      <c r="AC873" s="2"/>
      <c r="AD873" s="2"/>
      <c r="AE873" s="2"/>
      <c r="AF873" s="2"/>
      <c r="AG873" s="2"/>
      <c r="AH873" s="2"/>
      <c r="AI873" s="2"/>
      <c r="AJ873" s="2"/>
      <c r="AK873" s="2"/>
      <c r="AL873" s="2"/>
      <c r="AM873" s="2"/>
      <c r="AN873" s="9"/>
      <c r="AO873" s="9"/>
      <c r="AP873" s="9"/>
      <c r="AQ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224"/>
      <c r="X874" s="224"/>
      <c r="Y874" s="868"/>
      <c r="Z874" s="865"/>
      <c r="AA874" s="2"/>
      <c r="AB874" s="2"/>
      <c r="AC874" s="2"/>
      <c r="AD874" s="2"/>
      <c r="AE874" s="2"/>
      <c r="AF874" s="2"/>
      <c r="AG874" s="2"/>
      <c r="AH874" s="2"/>
      <c r="AI874" s="2"/>
      <c r="AJ874" s="2"/>
      <c r="AK874" s="2"/>
      <c r="AL874" s="2"/>
      <c r="AM874" s="2"/>
      <c r="AN874" s="9"/>
      <c r="AO874" s="9"/>
      <c r="AP874" s="9"/>
      <c r="AQ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224"/>
      <c r="X875" s="224"/>
      <c r="Y875" s="868"/>
      <c r="Z875" s="865"/>
      <c r="AA875" s="2"/>
      <c r="AB875" s="2"/>
      <c r="AC875" s="2"/>
      <c r="AD875" s="2"/>
      <c r="AE875" s="2"/>
      <c r="AF875" s="2"/>
      <c r="AG875" s="2"/>
      <c r="AH875" s="2"/>
      <c r="AI875" s="2"/>
      <c r="AJ875" s="2"/>
      <c r="AK875" s="2"/>
      <c r="AL875" s="2"/>
      <c r="AM875" s="2"/>
      <c r="AN875" s="9"/>
      <c r="AO875" s="9"/>
      <c r="AP875" s="9"/>
      <c r="AQ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224"/>
      <c r="X876" s="224"/>
      <c r="Y876" s="868"/>
      <c r="Z876" s="865"/>
      <c r="AA876" s="2"/>
      <c r="AB876" s="2"/>
      <c r="AC876" s="2"/>
      <c r="AD876" s="2"/>
      <c r="AE876" s="2"/>
      <c r="AF876" s="2"/>
      <c r="AG876" s="2"/>
      <c r="AH876" s="2"/>
      <c r="AI876" s="2"/>
      <c r="AJ876" s="2"/>
      <c r="AK876" s="2"/>
      <c r="AL876" s="2"/>
      <c r="AM876" s="2"/>
      <c r="AN876" s="9"/>
      <c r="AO876" s="9"/>
      <c r="AP876" s="9"/>
      <c r="AQ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224"/>
      <c r="X877" s="224"/>
      <c r="Y877" s="868"/>
      <c r="Z877" s="865"/>
      <c r="AA877" s="2"/>
      <c r="AB877" s="2"/>
      <c r="AC877" s="2"/>
      <c r="AD877" s="2"/>
      <c r="AE877" s="2"/>
      <c r="AF877" s="2"/>
      <c r="AG877" s="2"/>
      <c r="AH877" s="2"/>
      <c r="AI877" s="2"/>
      <c r="AJ877" s="2"/>
      <c r="AK877" s="2"/>
      <c r="AL877" s="2"/>
      <c r="AM877" s="2"/>
      <c r="AN877" s="9"/>
      <c r="AO877" s="9"/>
      <c r="AP877" s="9"/>
      <c r="AQ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224"/>
      <c r="X878" s="224"/>
      <c r="Y878" s="868"/>
      <c r="Z878" s="865"/>
      <c r="AA878" s="2"/>
      <c r="AB878" s="2"/>
      <c r="AC878" s="2"/>
      <c r="AD878" s="2"/>
      <c r="AE878" s="2"/>
      <c r="AF878" s="2"/>
      <c r="AG878" s="2"/>
      <c r="AH878" s="2"/>
      <c r="AI878" s="2"/>
      <c r="AJ878" s="2"/>
      <c r="AK878" s="2"/>
      <c r="AL878" s="2"/>
      <c r="AM878" s="2"/>
      <c r="AN878" s="9"/>
      <c r="AO878" s="9"/>
      <c r="AP878" s="9"/>
      <c r="AQ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224"/>
      <c r="X879" s="224"/>
      <c r="Y879" s="868"/>
      <c r="Z879" s="865"/>
      <c r="AA879" s="2"/>
      <c r="AB879" s="2"/>
      <c r="AC879" s="2"/>
      <c r="AD879" s="2"/>
      <c r="AE879" s="2"/>
      <c r="AF879" s="2"/>
      <c r="AG879" s="2"/>
      <c r="AH879" s="2"/>
      <c r="AI879" s="2"/>
      <c r="AJ879" s="2"/>
      <c r="AK879" s="2"/>
      <c r="AL879" s="2"/>
      <c r="AM879" s="2"/>
      <c r="AN879" s="9"/>
      <c r="AO879" s="9"/>
      <c r="AP879" s="9"/>
      <c r="AQ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224"/>
      <c r="X880" s="224"/>
      <c r="Y880" s="868"/>
      <c r="Z880" s="865"/>
      <c r="AA880" s="2"/>
      <c r="AB880" s="2"/>
      <c r="AC880" s="2"/>
      <c r="AD880" s="2"/>
      <c r="AE880" s="2"/>
      <c r="AF880" s="2"/>
      <c r="AG880" s="2"/>
      <c r="AH880" s="2"/>
      <c r="AI880" s="2"/>
      <c r="AJ880" s="2"/>
      <c r="AK880" s="2"/>
      <c r="AL880" s="2"/>
      <c r="AM880" s="2"/>
      <c r="AN880" s="9"/>
      <c r="AO880" s="9"/>
      <c r="AP880" s="9"/>
      <c r="AQ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224"/>
      <c r="X881" s="224"/>
      <c r="Y881" s="868"/>
      <c r="Z881" s="865"/>
      <c r="AA881" s="2"/>
      <c r="AB881" s="2"/>
      <c r="AC881" s="2"/>
      <c r="AD881" s="2"/>
      <c r="AE881" s="2"/>
      <c r="AF881" s="2"/>
      <c r="AG881" s="2"/>
      <c r="AH881" s="2"/>
      <c r="AI881" s="2"/>
      <c r="AJ881" s="2"/>
      <c r="AK881" s="2"/>
      <c r="AL881" s="2"/>
      <c r="AM881" s="2"/>
      <c r="AN881" s="9"/>
      <c r="AO881" s="9"/>
      <c r="AP881" s="9"/>
      <c r="AQ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224"/>
      <c r="X882" s="224"/>
      <c r="Y882" s="868"/>
      <c r="Z882" s="865"/>
      <c r="AA882" s="2"/>
      <c r="AB882" s="2"/>
      <c r="AC882" s="2"/>
      <c r="AD882" s="2"/>
      <c r="AE882" s="2"/>
      <c r="AF882" s="2"/>
      <c r="AG882" s="2"/>
      <c r="AH882" s="2"/>
      <c r="AI882" s="2"/>
      <c r="AJ882" s="2"/>
      <c r="AK882" s="2"/>
      <c r="AL882" s="2"/>
      <c r="AM882" s="2"/>
      <c r="AN882" s="9"/>
      <c r="AO882" s="9"/>
      <c r="AP882" s="9"/>
      <c r="AQ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224"/>
      <c r="X883" s="224"/>
      <c r="Y883" s="868"/>
      <c r="Z883" s="865"/>
      <c r="AA883" s="2"/>
      <c r="AB883" s="2"/>
      <c r="AC883" s="2"/>
      <c r="AD883" s="2"/>
      <c r="AE883" s="2"/>
      <c r="AF883" s="2"/>
      <c r="AG883" s="2"/>
      <c r="AH883" s="2"/>
      <c r="AI883" s="2"/>
      <c r="AJ883" s="2"/>
      <c r="AK883" s="2"/>
      <c r="AL883" s="2"/>
      <c r="AM883" s="2"/>
      <c r="AN883" s="9"/>
      <c r="AO883" s="9"/>
      <c r="AP883" s="9"/>
      <c r="AQ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224"/>
      <c r="X884" s="224"/>
      <c r="Y884" s="868"/>
      <c r="Z884" s="865"/>
      <c r="AA884" s="2"/>
      <c r="AB884" s="2"/>
      <c r="AC884" s="2"/>
      <c r="AD884" s="2"/>
      <c r="AE884" s="2"/>
      <c r="AF884" s="2"/>
      <c r="AG884" s="2"/>
      <c r="AH884" s="2"/>
      <c r="AI884" s="2"/>
      <c r="AJ884" s="2"/>
      <c r="AK884" s="2"/>
      <c r="AL884" s="2"/>
      <c r="AM884" s="2"/>
      <c r="AN884" s="9"/>
      <c r="AO884" s="9"/>
      <c r="AP884" s="9"/>
      <c r="AQ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224"/>
      <c r="X885" s="224"/>
      <c r="Y885" s="868"/>
      <c r="Z885" s="865"/>
      <c r="AA885" s="2"/>
      <c r="AB885" s="2"/>
      <c r="AC885" s="2"/>
      <c r="AD885" s="2"/>
      <c r="AE885" s="2"/>
      <c r="AF885" s="2"/>
      <c r="AG885" s="2"/>
      <c r="AH885" s="2"/>
      <c r="AI885" s="2"/>
      <c r="AJ885" s="2"/>
      <c r="AK885" s="2"/>
      <c r="AL885" s="2"/>
      <c r="AM885" s="2"/>
      <c r="AN885" s="9"/>
      <c r="AO885" s="9"/>
      <c r="AP885" s="9"/>
      <c r="AQ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224"/>
      <c r="X886" s="224"/>
      <c r="Y886" s="868"/>
      <c r="Z886" s="865"/>
      <c r="AA886" s="2"/>
      <c r="AB886" s="2"/>
      <c r="AC886" s="2"/>
      <c r="AD886" s="2"/>
      <c r="AE886" s="2"/>
      <c r="AF886" s="2"/>
      <c r="AG886" s="2"/>
      <c r="AH886" s="2"/>
      <c r="AI886" s="2"/>
      <c r="AJ886" s="2"/>
      <c r="AK886" s="2"/>
      <c r="AL886" s="2"/>
      <c r="AM886" s="2"/>
      <c r="AN886" s="9"/>
      <c r="AO886" s="9"/>
      <c r="AP886" s="9"/>
      <c r="AQ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224"/>
      <c r="X887" s="224"/>
      <c r="Y887" s="868"/>
      <c r="Z887" s="865"/>
      <c r="AA887" s="2"/>
      <c r="AB887" s="2"/>
      <c r="AC887" s="2"/>
      <c r="AD887" s="2"/>
      <c r="AE887" s="2"/>
      <c r="AF887" s="2"/>
      <c r="AG887" s="2"/>
      <c r="AH887" s="2"/>
      <c r="AI887" s="2"/>
      <c r="AJ887" s="2"/>
      <c r="AK887" s="2"/>
      <c r="AL887" s="2"/>
      <c r="AM887" s="2"/>
      <c r="AN887" s="9"/>
      <c r="AO887" s="9"/>
      <c r="AP887" s="9"/>
      <c r="AQ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224"/>
      <c r="X888" s="224"/>
      <c r="Y888" s="868"/>
      <c r="Z888" s="865"/>
      <c r="AA888" s="2"/>
      <c r="AB888" s="2"/>
      <c r="AC888" s="2"/>
      <c r="AD888" s="2"/>
      <c r="AE888" s="2"/>
      <c r="AF888" s="2"/>
      <c r="AG888" s="2"/>
      <c r="AH888" s="2"/>
      <c r="AI888" s="2"/>
      <c r="AJ888" s="2"/>
      <c r="AK888" s="2"/>
      <c r="AL888" s="2"/>
      <c r="AM888" s="2"/>
      <c r="AN888" s="9"/>
      <c r="AO888" s="9"/>
      <c r="AP888" s="9"/>
      <c r="AQ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224"/>
      <c r="X889" s="224"/>
      <c r="Y889" s="868"/>
      <c r="Z889" s="865"/>
      <c r="AA889" s="2"/>
      <c r="AB889" s="2"/>
      <c r="AC889" s="2"/>
      <c r="AD889" s="2"/>
      <c r="AE889" s="2"/>
      <c r="AF889" s="2"/>
      <c r="AG889" s="2"/>
      <c r="AH889" s="2"/>
      <c r="AI889" s="2"/>
      <c r="AJ889" s="2"/>
      <c r="AK889" s="2"/>
      <c r="AL889" s="2"/>
      <c r="AM889" s="2"/>
      <c r="AN889" s="9"/>
      <c r="AO889" s="9"/>
      <c r="AP889" s="9"/>
      <c r="AQ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224"/>
      <c r="X890" s="224"/>
      <c r="Y890" s="868"/>
      <c r="Z890" s="865"/>
      <c r="AA890" s="2"/>
      <c r="AB890" s="2"/>
      <c r="AC890" s="2"/>
      <c r="AD890" s="2"/>
      <c r="AE890" s="2"/>
      <c r="AF890" s="2"/>
      <c r="AG890" s="2"/>
      <c r="AH890" s="2"/>
      <c r="AI890" s="2"/>
      <c r="AJ890" s="2"/>
      <c r="AK890" s="2"/>
      <c r="AL890" s="2"/>
      <c r="AM890" s="2"/>
      <c r="AN890" s="9"/>
      <c r="AO890" s="9"/>
      <c r="AP890" s="9"/>
      <c r="AQ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224"/>
      <c r="X891" s="224"/>
      <c r="Y891" s="868"/>
      <c r="Z891" s="865"/>
      <c r="AA891" s="2"/>
      <c r="AB891" s="2"/>
      <c r="AC891" s="2"/>
      <c r="AD891" s="2"/>
      <c r="AE891" s="2"/>
      <c r="AF891" s="2"/>
      <c r="AG891" s="2"/>
      <c r="AH891" s="2"/>
      <c r="AI891" s="2"/>
      <c r="AJ891" s="2"/>
      <c r="AK891" s="2"/>
      <c r="AL891" s="2"/>
      <c r="AM891" s="2"/>
      <c r="AN891" s="9"/>
      <c r="AO891" s="9"/>
      <c r="AP891" s="9"/>
      <c r="AQ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224"/>
      <c r="X892" s="224"/>
      <c r="Y892" s="868"/>
      <c r="Z892" s="865"/>
      <c r="AA892" s="2"/>
      <c r="AB892" s="2"/>
      <c r="AC892" s="2"/>
      <c r="AD892" s="2"/>
      <c r="AE892" s="2"/>
      <c r="AF892" s="2"/>
      <c r="AG892" s="2"/>
      <c r="AH892" s="2"/>
      <c r="AI892" s="2"/>
      <c r="AJ892" s="2"/>
      <c r="AK892" s="2"/>
      <c r="AL892" s="2"/>
      <c r="AM892" s="2"/>
      <c r="AN892" s="9"/>
      <c r="AO892" s="9"/>
      <c r="AP892" s="9"/>
      <c r="AQ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224"/>
      <c r="X893" s="224"/>
      <c r="Y893" s="868"/>
      <c r="Z893" s="865"/>
      <c r="AA893" s="2"/>
      <c r="AB893" s="2"/>
      <c r="AC893" s="2"/>
      <c r="AD893" s="2"/>
      <c r="AE893" s="2"/>
      <c r="AF893" s="2"/>
      <c r="AG893" s="2"/>
      <c r="AH893" s="2"/>
      <c r="AI893" s="2"/>
      <c r="AJ893" s="2"/>
      <c r="AK893" s="2"/>
      <c r="AL893" s="2"/>
      <c r="AM893" s="2"/>
      <c r="AN893" s="9"/>
      <c r="AO893" s="9"/>
      <c r="AP893" s="9"/>
      <c r="AQ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224"/>
      <c r="X894" s="224"/>
      <c r="Y894" s="868"/>
      <c r="Z894" s="865"/>
      <c r="AA894" s="2"/>
      <c r="AB894" s="2"/>
      <c r="AC894" s="2"/>
      <c r="AD894" s="2"/>
      <c r="AE894" s="2"/>
      <c r="AF894" s="2"/>
      <c r="AG894" s="2"/>
      <c r="AH894" s="2"/>
      <c r="AI894" s="2"/>
      <c r="AJ894" s="2"/>
      <c r="AK894" s="2"/>
      <c r="AL894" s="2"/>
      <c r="AM894" s="2"/>
      <c r="AN894" s="9"/>
      <c r="AO894" s="9"/>
      <c r="AP894" s="9"/>
      <c r="AQ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224"/>
      <c r="X895" s="224"/>
      <c r="Y895" s="868"/>
      <c r="Z895" s="865"/>
      <c r="AA895" s="2"/>
      <c r="AB895" s="2"/>
      <c r="AC895" s="2"/>
      <c r="AD895" s="2"/>
      <c r="AE895" s="2"/>
      <c r="AF895" s="2"/>
      <c r="AG895" s="2"/>
      <c r="AH895" s="2"/>
      <c r="AI895" s="2"/>
      <c r="AJ895" s="2"/>
      <c r="AK895" s="2"/>
      <c r="AL895" s="2"/>
      <c r="AM895" s="2"/>
      <c r="AN895" s="9"/>
      <c r="AO895" s="9"/>
      <c r="AP895" s="9"/>
      <c r="AQ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224"/>
      <c r="X896" s="224"/>
      <c r="Y896" s="868"/>
      <c r="Z896" s="865"/>
      <c r="AA896" s="2"/>
      <c r="AB896" s="2"/>
      <c r="AC896" s="2"/>
      <c r="AD896" s="2"/>
      <c r="AE896" s="2"/>
      <c r="AF896" s="2"/>
      <c r="AG896" s="2"/>
      <c r="AH896" s="2"/>
      <c r="AI896" s="2"/>
      <c r="AJ896" s="2"/>
      <c r="AK896" s="2"/>
      <c r="AL896" s="2"/>
      <c r="AM896" s="2"/>
      <c r="AN896" s="9"/>
      <c r="AO896" s="9"/>
      <c r="AP896" s="9"/>
      <c r="AQ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224"/>
      <c r="X897" s="224"/>
      <c r="Y897" s="868"/>
      <c r="Z897" s="865"/>
      <c r="AA897" s="2"/>
      <c r="AB897" s="2"/>
      <c r="AC897" s="2"/>
      <c r="AD897" s="2"/>
      <c r="AE897" s="2"/>
      <c r="AF897" s="2"/>
      <c r="AG897" s="2"/>
      <c r="AH897" s="2"/>
      <c r="AI897" s="2"/>
      <c r="AJ897" s="2"/>
      <c r="AK897" s="2"/>
      <c r="AL897" s="2"/>
      <c r="AM897" s="2"/>
      <c r="AN897" s="9"/>
      <c r="AO897" s="9"/>
      <c r="AP897" s="9"/>
      <c r="AQ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224"/>
      <c r="X898" s="224"/>
      <c r="Y898" s="868"/>
      <c r="Z898" s="865"/>
      <c r="AA898" s="2"/>
      <c r="AB898" s="2"/>
      <c r="AC898" s="2"/>
      <c r="AD898" s="2"/>
      <c r="AE898" s="2"/>
      <c r="AF898" s="2"/>
      <c r="AG898" s="2"/>
      <c r="AH898" s="2"/>
      <c r="AI898" s="2"/>
      <c r="AJ898" s="2"/>
      <c r="AK898" s="2"/>
      <c r="AL898" s="2"/>
      <c r="AM898" s="2"/>
      <c r="AN898" s="9"/>
      <c r="AO898" s="9"/>
      <c r="AP898" s="9"/>
      <c r="AQ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224"/>
      <c r="X899" s="224"/>
      <c r="Y899" s="868"/>
      <c r="Z899" s="865"/>
      <c r="AA899" s="2"/>
      <c r="AB899" s="2"/>
      <c r="AC899" s="2"/>
      <c r="AD899" s="2"/>
      <c r="AE899" s="2"/>
      <c r="AF899" s="2"/>
      <c r="AG899" s="2"/>
      <c r="AH899" s="2"/>
      <c r="AI899" s="2"/>
      <c r="AJ899" s="2"/>
      <c r="AK899" s="2"/>
      <c r="AL899" s="2"/>
      <c r="AM899" s="2"/>
      <c r="AN899" s="9"/>
      <c r="AO899" s="9"/>
      <c r="AP899" s="9"/>
      <c r="AQ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224"/>
      <c r="X900" s="224"/>
      <c r="Y900" s="868"/>
      <c r="Z900" s="865"/>
      <c r="AA900" s="2"/>
      <c r="AB900" s="2"/>
      <c r="AC900" s="2"/>
      <c r="AD900" s="2"/>
      <c r="AE900" s="2"/>
      <c r="AF900" s="2"/>
      <c r="AG900" s="2"/>
      <c r="AH900" s="2"/>
      <c r="AI900" s="2"/>
      <c r="AJ900" s="2"/>
      <c r="AK900" s="2"/>
      <c r="AL900" s="2"/>
      <c r="AM900" s="2"/>
      <c r="AN900" s="9"/>
      <c r="AO900" s="9"/>
      <c r="AP900" s="9"/>
      <c r="AQ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224"/>
      <c r="X901" s="224"/>
      <c r="Y901" s="868"/>
      <c r="Z901" s="865"/>
      <c r="AA901" s="2"/>
      <c r="AB901" s="2"/>
      <c r="AC901" s="2"/>
      <c r="AD901" s="2"/>
      <c r="AE901" s="2"/>
      <c r="AF901" s="2"/>
      <c r="AG901" s="2"/>
      <c r="AH901" s="2"/>
      <c r="AI901" s="2"/>
      <c r="AJ901" s="2"/>
      <c r="AK901" s="2"/>
      <c r="AL901" s="2"/>
      <c r="AM901" s="2"/>
      <c r="AN901" s="9"/>
      <c r="AO901" s="9"/>
      <c r="AP901" s="9"/>
      <c r="AQ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224"/>
      <c r="X902" s="224"/>
      <c r="Y902" s="868"/>
      <c r="Z902" s="865"/>
      <c r="AA902" s="2"/>
      <c r="AB902" s="2"/>
      <c r="AC902" s="2"/>
      <c r="AD902" s="2"/>
      <c r="AE902" s="2"/>
      <c r="AF902" s="2"/>
      <c r="AG902" s="2"/>
      <c r="AH902" s="2"/>
      <c r="AI902" s="2"/>
      <c r="AJ902" s="2"/>
      <c r="AK902" s="2"/>
      <c r="AL902" s="2"/>
      <c r="AM902" s="2"/>
      <c r="AN902" s="9"/>
      <c r="AO902" s="9"/>
      <c r="AP902" s="9"/>
      <c r="AQ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224"/>
      <c r="X903" s="224"/>
      <c r="Y903" s="868"/>
      <c r="Z903" s="865"/>
      <c r="AA903" s="2"/>
      <c r="AB903" s="2"/>
      <c r="AC903" s="2"/>
      <c r="AD903" s="2"/>
      <c r="AE903" s="2"/>
      <c r="AF903" s="2"/>
      <c r="AG903" s="2"/>
      <c r="AH903" s="2"/>
      <c r="AI903" s="2"/>
      <c r="AJ903" s="2"/>
      <c r="AK903" s="2"/>
      <c r="AL903" s="2"/>
      <c r="AM903" s="2"/>
      <c r="AN903" s="9"/>
      <c r="AO903" s="9"/>
      <c r="AP903" s="9"/>
      <c r="AQ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224"/>
      <c r="X904" s="224"/>
      <c r="Y904" s="868"/>
      <c r="Z904" s="865"/>
      <c r="AA904" s="2"/>
      <c r="AB904" s="2"/>
      <c r="AC904" s="2"/>
      <c r="AD904" s="2"/>
      <c r="AE904" s="2"/>
      <c r="AF904" s="2"/>
      <c r="AG904" s="2"/>
      <c r="AH904" s="2"/>
      <c r="AI904" s="2"/>
      <c r="AJ904" s="2"/>
      <c r="AK904" s="2"/>
      <c r="AL904" s="2"/>
      <c r="AM904" s="2"/>
      <c r="AN904" s="9"/>
      <c r="AO904" s="9"/>
      <c r="AP904" s="9"/>
      <c r="AQ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224"/>
      <c r="X905" s="224"/>
      <c r="Y905" s="868"/>
      <c r="Z905" s="865"/>
      <c r="AA905" s="2"/>
      <c r="AB905" s="2"/>
      <c r="AC905" s="2"/>
      <c r="AD905" s="2"/>
      <c r="AE905" s="2"/>
      <c r="AF905" s="2"/>
      <c r="AG905" s="2"/>
      <c r="AH905" s="2"/>
      <c r="AI905" s="2"/>
      <c r="AJ905" s="2"/>
      <c r="AK905" s="2"/>
      <c r="AL905" s="2"/>
      <c r="AM905" s="2"/>
      <c r="AN905" s="9"/>
      <c r="AO905" s="9"/>
      <c r="AP905" s="9"/>
      <c r="AQ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224"/>
      <c r="X906" s="224"/>
      <c r="Y906" s="868"/>
      <c r="Z906" s="865"/>
      <c r="AA906" s="2"/>
      <c r="AB906" s="2"/>
      <c r="AC906" s="2"/>
      <c r="AD906" s="2"/>
      <c r="AE906" s="2"/>
      <c r="AF906" s="2"/>
      <c r="AG906" s="2"/>
      <c r="AH906" s="2"/>
      <c r="AI906" s="2"/>
      <c r="AJ906" s="2"/>
      <c r="AK906" s="2"/>
      <c r="AL906" s="2"/>
      <c r="AM906" s="2"/>
      <c r="AN906" s="9"/>
      <c r="AO906" s="9"/>
      <c r="AP906" s="9"/>
      <c r="AQ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224"/>
      <c r="X907" s="224"/>
      <c r="Y907" s="868"/>
      <c r="Z907" s="865"/>
      <c r="AA907" s="2"/>
      <c r="AB907" s="2"/>
      <c r="AC907" s="2"/>
      <c r="AD907" s="2"/>
      <c r="AE907" s="2"/>
      <c r="AF907" s="2"/>
      <c r="AG907" s="2"/>
      <c r="AH907" s="2"/>
      <c r="AI907" s="2"/>
      <c r="AJ907" s="2"/>
      <c r="AK907" s="2"/>
      <c r="AL907" s="2"/>
      <c r="AM907" s="2"/>
      <c r="AN907" s="9"/>
      <c r="AO907" s="9"/>
      <c r="AP907" s="9"/>
      <c r="AQ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224"/>
      <c r="X908" s="224"/>
      <c r="Y908" s="868"/>
      <c r="Z908" s="865"/>
      <c r="AA908" s="2"/>
      <c r="AB908" s="2"/>
      <c r="AC908" s="2"/>
      <c r="AD908" s="2"/>
      <c r="AE908" s="2"/>
      <c r="AF908" s="2"/>
      <c r="AG908" s="2"/>
      <c r="AH908" s="2"/>
      <c r="AI908" s="2"/>
      <c r="AJ908" s="2"/>
      <c r="AK908" s="2"/>
      <c r="AL908" s="2"/>
      <c r="AM908" s="2"/>
      <c r="AN908" s="9"/>
      <c r="AO908" s="9"/>
      <c r="AP908" s="9"/>
      <c r="AQ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224"/>
      <c r="X909" s="224"/>
      <c r="Y909" s="868"/>
      <c r="Z909" s="865"/>
      <c r="AA909" s="2"/>
      <c r="AB909" s="2"/>
      <c r="AC909" s="2"/>
      <c r="AD909" s="2"/>
      <c r="AE909" s="2"/>
      <c r="AF909" s="2"/>
      <c r="AG909" s="2"/>
      <c r="AH909" s="2"/>
      <c r="AI909" s="2"/>
      <c r="AJ909" s="2"/>
      <c r="AK909" s="2"/>
      <c r="AL909" s="2"/>
      <c r="AM909" s="2"/>
      <c r="AN909" s="9"/>
      <c r="AO909" s="9"/>
      <c r="AP909" s="9"/>
      <c r="AQ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224"/>
      <c r="X910" s="224"/>
      <c r="Y910" s="868"/>
      <c r="Z910" s="865"/>
      <c r="AA910" s="2"/>
      <c r="AB910" s="2"/>
      <c r="AC910" s="2"/>
      <c r="AD910" s="2"/>
      <c r="AE910" s="2"/>
      <c r="AF910" s="2"/>
      <c r="AG910" s="2"/>
      <c r="AH910" s="2"/>
      <c r="AI910" s="2"/>
      <c r="AJ910" s="2"/>
      <c r="AK910" s="2"/>
      <c r="AL910" s="2"/>
      <c r="AM910" s="2"/>
      <c r="AN910" s="9"/>
      <c r="AO910" s="9"/>
      <c r="AP910" s="9"/>
      <c r="AQ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224"/>
      <c r="X911" s="224"/>
      <c r="Y911" s="868"/>
      <c r="Z911" s="865"/>
      <c r="AA911" s="2"/>
      <c r="AB911" s="2"/>
      <c r="AC911" s="2"/>
      <c r="AD911" s="2"/>
      <c r="AE911" s="2"/>
      <c r="AF911" s="2"/>
      <c r="AG911" s="2"/>
      <c r="AH911" s="2"/>
      <c r="AI911" s="2"/>
      <c r="AJ911" s="2"/>
      <c r="AK911" s="2"/>
      <c r="AL911" s="2"/>
      <c r="AM911" s="2"/>
      <c r="AN911" s="9"/>
      <c r="AO911" s="9"/>
      <c r="AP911" s="9"/>
      <c r="AQ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224"/>
      <c r="X912" s="224"/>
      <c r="Y912" s="868"/>
      <c r="Z912" s="865"/>
      <c r="AA912" s="2"/>
      <c r="AB912" s="2"/>
      <c r="AC912" s="2"/>
      <c r="AD912" s="2"/>
      <c r="AE912" s="2"/>
      <c r="AF912" s="2"/>
      <c r="AG912" s="2"/>
      <c r="AH912" s="2"/>
      <c r="AI912" s="2"/>
      <c r="AJ912" s="2"/>
      <c r="AK912" s="2"/>
      <c r="AL912" s="2"/>
      <c r="AM912" s="2"/>
      <c r="AN912" s="9"/>
      <c r="AO912" s="9"/>
      <c r="AP912" s="9"/>
      <c r="AQ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224"/>
      <c r="X913" s="224"/>
      <c r="Y913" s="868"/>
      <c r="Z913" s="865"/>
      <c r="AA913" s="2"/>
      <c r="AB913" s="2"/>
      <c r="AC913" s="2"/>
      <c r="AD913" s="2"/>
      <c r="AE913" s="2"/>
      <c r="AF913" s="2"/>
      <c r="AG913" s="2"/>
      <c r="AH913" s="2"/>
      <c r="AI913" s="2"/>
      <c r="AJ913" s="2"/>
      <c r="AK913" s="2"/>
      <c r="AL913" s="2"/>
      <c r="AM913" s="2"/>
      <c r="AN913" s="9"/>
      <c r="AO913" s="9"/>
      <c r="AP913" s="9"/>
      <c r="AQ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224"/>
      <c r="X914" s="224"/>
      <c r="Y914" s="868"/>
      <c r="Z914" s="865"/>
      <c r="AA914" s="2"/>
      <c r="AB914" s="2"/>
      <c r="AC914" s="2"/>
      <c r="AD914" s="2"/>
      <c r="AE914" s="2"/>
      <c r="AF914" s="2"/>
      <c r="AG914" s="2"/>
      <c r="AH914" s="2"/>
      <c r="AI914" s="2"/>
      <c r="AJ914" s="2"/>
      <c r="AK914" s="2"/>
      <c r="AL914" s="2"/>
      <c r="AM914" s="2"/>
      <c r="AN914" s="9"/>
      <c r="AO914" s="9"/>
      <c r="AP914" s="9"/>
      <c r="AQ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224"/>
      <c r="X915" s="224"/>
      <c r="Y915" s="868"/>
      <c r="Z915" s="865"/>
      <c r="AA915" s="2"/>
      <c r="AB915" s="2"/>
      <c r="AC915" s="2"/>
      <c r="AD915" s="2"/>
      <c r="AE915" s="2"/>
      <c r="AF915" s="2"/>
      <c r="AG915" s="2"/>
      <c r="AH915" s="2"/>
      <c r="AI915" s="2"/>
      <c r="AJ915" s="2"/>
      <c r="AK915" s="2"/>
      <c r="AL915" s="2"/>
      <c r="AM915" s="2"/>
      <c r="AN915" s="9"/>
      <c r="AO915" s="9"/>
      <c r="AP915" s="9"/>
      <c r="AQ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224"/>
      <c r="X916" s="224"/>
      <c r="Y916" s="868"/>
      <c r="Z916" s="865"/>
      <c r="AA916" s="2"/>
      <c r="AB916" s="2"/>
      <c r="AC916" s="2"/>
      <c r="AD916" s="2"/>
      <c r="AE916" s="2"/>
      <c r="AF916" s="2"/>
      <c r="AG916" s="2"/>
      <c r="AH916" s="2"/>
      <c r="AI916" s="2"/>
      <c r="AJ916" s="2"/>
      <c r="AK916" s="2"/>
      <c r="AL916" s="2"/>
      <c r="AM916" s="2"/>
      <c r="AN916" s="9"/>
      <c r="AO916" s="9"/>
      <c r="AP916" s="9"/>
      <c r="AQ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224"/>
      <c r="X917" s="224"/>
      <c r="Y917" s="868"/>
      <c r="Z917" s="865"/>
      <c r="AA917" s="2"/>
      <c r="AB917" s="2"/>
      <c r="AC917" s="2"/>
      <c r="AD917" s="2"/>
      <c r="AE917" s="2"/>
      <c r="AF917" s="2"/>
      <c r="AG917" s="2"/>
      <c r="AH917" s="2"/>
      <c r="AI917" s="2"/>
      <c r="AJ917" s="2"/>
      <c r="AK917" s="2"/>
      <c r="AL917" s="2"/>
      <c r="AM917" s="2"/>
      <c r="AN917" s="9"/>
      <c r="AO917" s="9"/>
      <c r="AP917" s="9"/>
      <c r="AQ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224"/>
      <c r="X918" s="224"/>
      <c r="Y918" s="868"/>
      <c r="Z918" s="865"/>
      <c r="AA918" s="2"/>
      <c r="AB918" s="2"/>
      <c r="AC918" s="2"/>
      <c r="AD918" s="2"/>
      <c r="AE918" s="2"/>
      <c r="AF918" s="2"/>
      <c r="AG918" s="2"/>
      <c r="AH918" s="2"/>
      <c r="AI918" s="2"/>
      <c r="AJ918" s="2"/>
      <c r="AK918" s="2"/>
      <c r="AL918" s="2"/>
      <c r="AM918" s="2"/>
      <c r="AN918" s="9"/>
      <c r="AO918" s="9"/>
      <c r="AP918" s="9"/>
      <c r="AQ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224"/>
      <c r="X919" s="224"/>
      <c r="Y919" s="868"/>
      <c r="Z919" s="865"/>
      <c r="AA919" s="2"/>
      <c r="AB919" s="2"/>
      <c r="AC919" s="2"/>
      <c r="AD919" s="2"/>
      <c r="AE919" s="2"/>
      <c r="AF919" s="2"/>
      <c r="AG919" s="2"/>
      <c r="AH919" s="2"/>
      <c r="AI919" s="2"/>
      <c r="AJ919" s="2"/>
      <c r="AK919" s="2"/>
      <c r="AL919" s="2"/>
      <c r="AM919" s="2"/>
      <c r="AN919" s="9"/>
      <c r="AO919" s="9"/>
      <c r="AP919" s="9"/>
      <c r="AQ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224"/>
      <c r="X920" s="224"/>
      <c r="Y920" s="868"/>
      <c r="Z920" s="865"/>
      <c r="AA920" s="2"/>
      <c r="AB920" s="2"/>
      <c r="AC920" s="2"/>
      <c r="AD920" s="2"/>
      <c r="AE920" s="2"/>
      <c r="AF920" s="2"/>
      <c r="AG920" s="2"/>
      <c r="AH920" s="2"/>
      <c r="AI920" s="2"/>
      <c r="AJ920" s="2"/>
      <c r="AK920" s="2"/>
      <c r="AL920" s="2"/>
      <c r="AM920" s="2"/>
      <c r="AN920" s="9"/>
      <c r="AO920" s="9"/>
      <c r="AP920" s="9"/>
      <c r="AQ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224"/>
      <c r="X921" s="224"/>
      <c r="Y921" s="868"/>
      <c r="Z921" s="865"/>
      <c r="AA921" s="2"/>
      <c r="AB921" s="2"/>
      <c r="AC921" s="2"/>
      <c r="AD921" s="2"/>
      <c r="AE921" s="2"/>
      <c r="AF921" s="2"/>
      <c r="AG921" s="2"/>
      <c r="AH921" s="2"/>
      <c r="AI921" s="2"/>
      <c r="AJ921" s="2"/>
      <c r="AK921" s="2"/>
      <c r="AL921" s="2"/>
      <c r="AM921" s="2"/>
      <c r="AN921" s="9"/>
      <c r="AO921" s="9"/>
      <c r="AP921" s="9"/>
      <c r="AQ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224"/>
      <c r="X922" s="224"/>
      <c r="Y922" s="868"/>
      <c r="Z922" s="865"/>
      <c r="AA922" s="2"/>
      <c r="AB922" s="2"/>
      <c r="AC922" s="2"/>
      <c r="AD922" s="2"/>
      <c r="AE922" s="2"/>
      <c r="AF922" s="2"/>
      <c r="AG922" s="2"/>
      <c r="AH922" s="2"/>
      <c r="AI922" s="2"/>
      <c r="AJ922" s="2"/>
      <c r="AK922" s="2"/>
      <c r="AL922" s="2"/>
      <c r="AM922" s="2"/>
      <c r="AN922" s="9"/>
      <c r="AO922" s="9"/>
      <c r="AP922" s="9"/>
      <c r="AQ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224"/>
      <c r="X923" s="224"/>
      <c r="Y923" s="868"/>
      <c r="Z923" s="865"/>
      <c r="AA923" s="2"/>
      <c r="AB923" s="2"/>
      <c r="AC923" s="2"/>
      <c r="AD923" s="2"/>
      <c r="AE923" s="2"/>
      <c r="AF923" s="2"/>
      <c r="AG923" s="2"/>
      <c r="AH923" s="2"/>
      <c r="AI923" s="2"/>
      <c r="AJ923" s="2"/>
      <c r="AK923" s="2"/>
      <c r="AL923" s="2"/>
      <c r="AM923" s="2"/>
      <c r="AN923" s="9"/>
      <c r="AO923" s="9"/>
      <c r="AP923" s="9"/>
      <c r="AQ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224"/>
      <c r="X924" s="224"/>
      <c r="Y924" s="868"/>
      <c r="Z924" s="865"/>
      <c r="AA924" s="2"/>
      <c r="AB924" s="2"/>
      <c r="AC924" s="2"/>
      <c r="AD924" s="2"/>
      <c r="AE924" s="2"/>
      <c r="AF924" s="2"/>
      <c r="AG924" s="2"/>
      <c r="AH924" s="2"/>
      <c r="AI924" s="2"/>
      <c r="AJ924" s="2"/>
      <c r="AK924" s="2"/>
      <c r="AL924" s="2"/>
      <c r="AM924" s="2"/>
      <c r="AN924" s="9"/>
      <c r="AO924" s="9"/>
      <c r="AP924" s="9"/>
      <c r="AQ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224"/>
      <c r="X925" s="224"/>
      <c r="Y925" s="868"/>
      <c r="Z925" s="865"/>
      <c r="AA925" s="2"/>
      <c r="AB925" s="2"/>
      <c r="AC925" s="2"/>
      <c r="AD925" s="2"/>
      <c r="AE925" s="2"/>
      <c r="AF925" s="2"/>
      <c r="AG925" s="2"/>
      <c r="AH925" s="2"/>
      <c r="AI925" s="2"/>
      <c r="AJ925" s="2"/>
      <c r="AK925" s="2"/>
      <c r="AL925" s="2"/>
      <c r="AM925" s="2"/>
      <c r="AN925" s="9"/>
      <c r="AO925" s="9"/>
      <c r="AP925" s="9"/>
      <c r="AQ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224"/>
      <c r="X926" s="224"/>
      <c r="Y926" s="868"/>
      <c r="Z926" s="865"/>
      <c r="AA926" s="2"/>
      <c r="AB926" s="2"/>
      <c r="AC926" s="2"/>
      <c r="AD926" s="2"/>
      <c r="AE926" s="2"/>
      <c r="AF926" s="2"/>
      <c r="AG926" s="2"/>
      <c r="AH926" s="2"/>
      <c r="AI926" s="2"/>
      <c r="AJ926" s="2"/>
      <c r="AK926" s="2"/>
      <c r="AL926" s="2"/>
      <c r="AM926" s="2"/>
      <c r="AN926" s="9"/>
      <c r="AO926" s="9"/>
      <c r="AP926" s="9"/>
      <c r="AQ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224"/>
      <c r="X927" s="224"/>
      <c r="Y927" s="868"/>
      <c r="Z927" s="865"/>
      <c r="AA927" s="2"/>
      <c r="AB927" s="2"/>
      <c r="AC927" s="2"/>
      <c r="AD927" s="2"/>
      <c r="AE927" s="2"/>
      <c r="AF927" s="2"/>
      <c r="AG927" s="2"/>
      <c r="AH927" s="2"/>
      <c r="AI927" s="2"/>
      <c r="AJ927" s="2"/>
      <c r="AK927" s="2"/>
      <c r="AL927" s="2"/>
      <c r="AM927" s="2"/>
      <c r="AN927" s="9"/>
      <c r="AO927" s="9"/>
      <c r="AP927" s="9"/>
      <c r="AQ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224"/>
      <c r="X928" s="224"/>
      <c r="Y928" s="868"/>
      <c r="Z928" s="865"/>
      <c r="AA928" s="2"/>
      <c r="AB928" s="2"/>
      <c r="AC928" s="2"/>
      <c r="AD928" s="2"/>
      <c r="AE928" s="2"/>
      <c r="AF928" s="2"/>
      <c r="AG928" s="2"/>
      <c r="AH928" s="2"/>
      <c r="AI928" s="2"/>
      <c r="AJ928" s="2"/>
      <c r="AK928" s="2"/>
      <c r="AL928" s="2"/>
      <c r="AM928" s="2"/>
      <c r="AN928" s="9"/>
      <c r="AO928" s="9"/>
      <c r="AP928" s="9"/>
      <c r="AQ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224"/>
      <c r="X929" s="224"/>
      <c r="Y929" s="868"/>
      <c r="Z929" s="865"/>
      <c r="AA929" s="2"/>
      <c r="AB929" s="2"/>
      <c r="AC929" s="2"/>
      <c r="AD929" s="2"/>
      <c r="AE929" s="2"/>
      <c r="AF929" s="2"/>
      <c r="AG929" s="2"/>
      <c r="AH929" s="2"/>
      <c r="AI929" s="2"/>
      <c r="AJ929" s="2"/>
      <c r="AK929" s="2"/>
      <c r="AL929" s="2"/>
      <c r="AM929" s="2"/>
      <c r="AN929" s="9"/>
      <c r="AO929" s="9"/>
      <c r="AP929" s="9"/>
      <c r="AQ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224"/>
      <c r="X930" s="224"/>
      <c r="Y930" s="868"/>
      <c r="Z930" s="865"/>
      <c r="AA930" s="2"/>
      <c r="AB930" s="2"/>
      <c r="AC930" s="2"/>
      <c r="AD930" s="2"/>
      <c r="AE930" s="2"/>
      <c r="AF930" s="2"/>
      <c r="AG930" s="2"/>
      <c r="AH930" s="2"/>
      <c r="AI930" s="2"/>
      <c r="AJ930" s="2"/>
      <c r="AK930" s="2"/>
      <c r="AL930" s="2"/>
      <c r="AM930" s="2"/>
      <c r="AN930" s="9"/>
      <c r="AO930" s="9"/>
      <c r="AP930" s="9"/>
      <c r="AQ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224"/>
      <c r="X931" s="224"/>
      <c r="Y931" s="868"/>
      <c r="Z931" s="865"/>
      <c r="AA931" s="2"/>
      <c r="AB931" s="2"/>
      <c r="AC931" s="2"/>
      <c r="AD931" s="2"/>
      <c r="AE931" s="2"/>
      <c r="AF931" s="2"/>
      <c r="AG931" s="2"/>
      <c r="AH931" s="2"/>
      <c r="AI931" s="2"/>
      <c r="AJ931" s="2"/>
      <c r="AK931" s="2"/>
      <c r="AL931" s="2"/>
      <c r="AM931" s="2"/>
      <c r="AN931" s="9"/>
      <c r="AO931" s="9"/>
      <c r="AP931" s="9"/>
      <c r="AQ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224"/>
      <c r="X932" s="224"/>
      <c r="Y932" s="868"/>
      <c r="Z932" s="865"/>
      <c r="AA932" s="2"/>
      <c r="AB932" s="2"/>
      <c r="AC932" s="2"/>
      <c r="AD932" s="2"/>
      <c r="AE932" s="2"/>
      <c r="AF932" s="2"/>
      <c r="AG932" s="2"/>
      <c r="AH932" s="2"/>
      <c r="AI932" s="2"/>
      <c r="AJ932" s="2"/>
      <c r="AK932" s="2"/>
      <c r="AL932" s="2"/>
      <c r="AM932" s="2"/>
      <c r="AN932" s="9"/>
      <c r="AO932" s="9"/>
      <c r="AP932" s="9"/>
      <c r="AQ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224"/>
      <c r="X933" s="224"/>
      <c r="Y933" s="868"/>
      <c r="Z933" s="865"/>
      <c r="AA933" s="2"/>
      <c r="AB933" s="2"/>
      <c r="AC933" s="2"/>
      <c r="AD933" s="2"/>
      <c r="AE933" s="2"/>
      <c r="AF933" s="2"/>
      <c r="AG933" s="2"/>
      <c r="AH933" s="2"/>
      <c r="AI933" s="2"/>
      <c r="AJ933" s="2"/>
      <c r="AK933" s="2"/>
      <c r="AL933" s="2"/>
      <c r="AM933" s="2"/>
      <c r="AN933" s="9"/>
      <c r="AO933" s="9"/>
      <c r="AP933" s="9"/>
      <c r="AQ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224"/>
      <c r="X934" s="224"/>
      <c r="Y934" s="868"/>
      <c r="Z934" s="865"/>
      <c r="AA934" s="2"/>
      <c r="AB934" s="2"/>
      <c r="AC934" s="2"/>
      <c r="AD934" s="2"/>
      <c r="AE934" s="2"/>
      <c r="AF934" s="2"/>
      <c r="AG934" s="2"/>
      <c r="AH934" s="2"/>
      <c r="AI934" s="2"/>
      <c r="AJ934" s="2"/>
      <c r="AK934" s="2"/>
      <c r="AL934" s="2"/>
      <c r="AM934" s="2"/>
      <c r="AN934" s="9"/>
      <c r="AO934" s="9"/>
      <c r="AP934" s="9"/>
      <c r="AQ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224"/>
      <c r="X935" s="224"/>
      <c r="Y935" s="868"/>
      <c r="Z935" s="865"/>
      <c r="AA935" s="2"/>
      <c r="AB935" s="2"/>
      <c r="AC935" s="2"/>
      <c r="AD935" s="2"/>
      <c r="AE935" s="2"/>
      <c r="AF935" s="2"/>
      <c r="AG935" s="2"/>
      <c r="AH935" s="2"/>
      <c r="AI935" s="2"/>
      <c r="AJ935" s="2"/>
      <c r="AK935" s="2"/>
      <c r="AL935" s="2"/>
      <c r="AM935" s="2"/>
      <c r="AN935" s="9"/>
      <c r="AO935" s="9"/>
      <c r="AP935" s="9"/>
      <c r="AQ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224"/>
      <c r="X936" s="224"/>
      <c r="Y936" s="868"/>
      <c r="Z936" s="865"/>
      <c r="AA936" s="2"/>
      <c r="AB936" s="2"/>
      <c r="AC936" s="2"/>
      <c r="AD936" s="2"/>
      <c r="AE936" s="2"/>
      <c r="AF936" s="2"/>
      <c r="AG936" s="2"/>
      <c r="AH936" s="2"/>
      <c r="AI936" s="2"/>
      <c r="AJ936" s="2"/>
      <c r="AK936" s="2"/>
      <c r="AL936" s="2"/>
      <c r="AM936" s="2"/>
      <c r="AN936" s="9"/>
      <c r="AO936" s="9"/>
      <c r="AP936" s="9"/>
      <c r="AQ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224"/>
      <c r="X937" s="224"/>
      <c r="Y937" s="868"/>
      <c r="Z937" s="865"/>
      <c r="AA937" s="2"/>
      <c r="AB937" s="2"/>
      <c r="AC937" s="2"/>
      <c r="AD937" s="2"/>
      <c r="AE937" s="2"/>
      <c r="AF937" s="2"/>
      <c r="AG937" s="2"/>
      <c r="AH937" s="2"/>
      <c r="AI937" s="2"/>
      <c r="AJ937" s="2"/>
      <c r="AK937" s="2"/>
      <c r="AL937" s="2"/>
      <c r="AM937" s="2"/>
      <c r="AN937" s="9"/>
      <c r="AO937" s="9"/>
      <c r="AP937" s="9"/>
      <c r="AQ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224"/>
      <c r="X938" s="224"/>
      <c r="Y938" s="868"/>
      <c r="Z938" s="865"/>
      <c r="AA938" s="2"/>
      <c r="AB938" s="2"/>
      <c r="AC938" s="2"/>
      <c r="AD938" s="2"/>
      <c r="AE938" s="2"/>
      <c r="AF938" s="2"/>
      <c r="AG938" s="2"/>
      <c r="AH938" s="2"/>
      <c r="AI938" s="2"/>
      <c r="AJ938" s="2"/>
      <c r="AK938" s="2"/>
      <c r="AL938" s="2"/>
      <c r="AM938" s="2"/>
      <c r="AN938" s="9"/>
      <c r="AO938" s="9"/>
      <c r="AP938" s="9"/>
      <c r="AQ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224"/>
      <c r="X939" s="224"/>
      <c r="Y939" s="868"/>
      <c r="Z939" s="865"/>
      <c r="AA939" s="2"/>
      <c r="AB939" s="2"/>
      <c r="AC939" s="2"/>
      <c r="AD939" s="2"/>
      <c r="AE939" s="2"/>
      <c r="AF939" s="2"/>
      <c r="AG939" s="2"/>
      <c r="AH939" s="2"/>
      <c r="AI939" s="2"/>
      <c r="AJ939" s="2"/>
      <c r="AK939" s="2"/>
      <c r="AL939" s="2"/>
      <c r="AM939" s="2"/>
      <c r="AN939" s="9"/>
      <c r="AO939" s="9"/>
      <c r="AP939" s="9"/>
      <c r="AQ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224"/>
      <c r="X940" s="224"/>
      <c r="Y940" s="868"/>
      <c r="Z940" s="865"/>
      <c r="AA940" s="2"/>
      <c r="AB940" s="2"/>
      <c r="AC940" s="2"/>
      <c r="AD940" s="2"/>
      <c r="AE940" s="2"/>
      <c r="AF940" s="2"/>
      <c r="AG940" s="2"/>
      <c r="AH940" s="2"/>
      <c r="AI940" s="2"/>
      <c r="AJ940" s="2"/>
      <c r="AK940" s="2"/>
      <c r="AL940" s="2"/>
      <c r="AM940" s="2"/>
      <c r="AN940" s="9"/>
      <c r="AO940" s="9"/>
      <c r="AP940" s="9"/>
      <c r="AQ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224"/>
      <c r="X941" s="224"/>
      <c r="Y941" s="868"/>
      <c r="Z941" s="865"/>
      <c r="AA941" s="2"/>
      <c r="AB941" s="2"/>
      <c r="AC941" s="2"/>
      <c r="AD941" s="2"/>
      <c r="AE941" s="2"/>
      <c r="AF941" s="2"/>
      <c r="AG941" s="2"/>
      <c r="AH941" s="2"/>
      <c r="AI941" s="2"/>
      <c r="AJ941" s="2"/>
      <c r="AK941" s="2"/>
      <c r="AL941" s="2"/>
      <c r="AM941" s="2"/>
      <c r="AN941" s="9"/>
      <c r="AO941" s="9"/>
      <c r="AP941" s="9"/>
      <c r="AQ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224"/>
      <c r="X942" s="224"/>
      <c r="Y942" s="868"/>
      <c r="Z942" s="865"/>
      <c r="AA942" s="2"/>
      <c r="AB942" s="2"/>
      <c r="AC942" s="2"/>
      <c r="AD942" s="2"/>
      <c r="AE942" s="2"/>
      <c r="AF942" s="2"/>
      <c r="AG942" s="2"/>
      <c r="AH942" s="2"/>
      <c r="AI942" s="2"/>
      <c r="AJ942" s="2"/>
      <c r="AK942" s="2"/>
      <c r="AL942" s="2"/>
      <c r="AM942" s="2"/>
      <c r="AN942" s="9"/>
      <c r="AO942" s="9"/>
      <c r="AP942" s="9"/>
      <c r="AQ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224"/>
      <c r="X943" s="224"/>
      <c r="Y943" s="868"/>
      <c r="Z943" s="865"/>
      <c r="AA943" s="2"/>
      <c r="AB943" s="2"/>
      <c r="AC943" s="2"/>
      <c r="AD943" s="2"/>
      <c r="AE943" s="2"/>
      <c r="AF943" s="2"/>
      <c r="AG943" s="2"/>
      <c r="AH943" s="2"/>
      <c r="AI943" s="2"/>
      <c r="AJ943" s="2"/>
      <c r="AK943" s="2"/>
      <c r="AL943" s="2"/>
      <c r="AM943" s="2"/>
      <c r="AN943" s="9"/>
      <c r="AO943" s="9"/>
      <c r="AP943" s="9"/>
      <c r="AQ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224"/>
      <c r="X944" s="224"/>
      <c r="Y944" s="868"/>
      <c r="Z944" s="865"/>
      <c r="AA944" s="2"/>
      <c r="AB944" s="2"/>
      <c r="AC944" s="2"/>
      <c r="AD944" s="2"/>
      <c r="AE944" s="2"/>
      <c r="AF944" s="2"/>
      <c r="AG944" s="2"/>
      <c r="AH944" s="2"/>
      <c r="AI944" s="2"/>
      <c r="AJ944" s="2"/>
      <c r="AK944" s="2"/>
      <c r="AL944" s="2"/>
      <c r="AM944" s="2"/>
      <c r="AN944" s="9"/>
      <c r="AO944" s="9"/>
      <c r="AP944" s="9"/>
      <c r="AQ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224"/>
      <c r="X945" s="224"/>
      <c r="Y945" s="868"/>
      <c r="Z945" s="865"/>
      <c r="AA945" s="2"/>
      <c r="AB945" s="2"/>
      <c r="AC945" s="2"/>
      <c r="AD945" s="2"/>
      <c r="AE945" s="2"/>
      <c r="AF945" s="2"/>
      <c r="AG945" s="2"/>
      <c r="AH945" s="2"/>
      <c r="AI945" s="2"/>
      <c r="AJ945" s="2"/>
      <c r="AK945" s="2"/>
      <c r="AL945" s="2"/>
      <c r="AM945" s="2"/>
      <c r="AN945" s="9"/>
      <c r="AO945" s="9"/>
      <c r="AP945" s="9"/>
      <c r="AQ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224"/>
      <c r="X946" s="224"/>
      <c r="Y946" s="868"/>
      <c r="Z946" s="865"/>
      <c r="AA946" s="2"/>
      <c r="AB946" s="2"/>
      <c r="AC946" s="2"/>
      <c r="AD946" s="2"/>
      <c r="AE946" s="2"/>
      <c r="AF946" s="2"/>
      <c r="AG946" s="2"/>
      <c r="AH946" s="2"/>
      <c r="AI946" s="2"/>
      <c r="AJ946" s="2"/>
      <c r="AK946" s="2"/>
      <c r="AL946" s="2"/>
      <c r="AM946" s="2"/>
      <c r="AN946" s="9"/>
      <c r="AO946" s="9"/>
      <c r="AP946" s="9"/>
      <c r="AQ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224"/>
      <c r="X947" s="224"/>
      <c r="Y947" s="868"/>
      <c r="Z947" s="865"/>
      <c r="AA947" s="2"/>
      <c r="AB947" s="2"/>
      <c r="AC947" s="2"/>
      <c r="AD947" s="2"/>
      <c r="AE947" s="2"/>
      <c r="AF947" s="2"/>
      <c r="AG947" s="2"/>
      <c r="AH947" s="2"/>
      <c r="AI947" s="2"/>
      <c r="AJ947" s="2"/>
      <c r="AK947" s="2"/>
      <c r="AL947" s="2"/>
      <c r="AM947" s="2"/>
      <c r="AN947" s="9"/>
      <c r="AO947" s="9"/>
      <c r="AP947" s="9"/>
      <c r="AQ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224"/>
      <c r="X948" s="224"/>
      <c r="Y948" s="868"/>
      <c r="Z948" s="865"/>
      <c r="AA948" s="2"/>
      <c r="AB948" s="2"/>
      <c r="AC948" s="2"/>
      <c r="AD948" s="2"/>
      <c r="AE948" s="2"/>
      <c r="AF948" s="2"/>
      <c r="AG948" s="2"/>
      <c r="AH948" s="2"/>
      <c r="AI948" s="2"/>
      <c r="AJ948" s="2"/>
      <c r="AK948" s="2"/>
      <c r="AL948" s="2"/>
      <c r="AM948" s="2"/>
      <c r="AN948" s="9"/>
      <c r="AO948" s="9"/>
      <c r="AP948" s="9"/>
      <c r="AQ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224"/>
      <c r="X949" s="224"/>
      <c r="Y949" s="868"/>
      <c r="Z949" s="865"/>
      <c r="AA949" s="2"/>
      <c r="AB949" s="2"/>
      <c r="AC949" s="2"/>
      <c r="AD949" s="2"/>
      <c r="AE949" s="2"/>
      <c r="AF949" s="2"/>
      <c r="AG949" s="2"/>
      <c r="AH949" s="2"/>
      <c r="AI949" s="2"/>
      <c r="AJ949" s="2"/>
      <c r="AK949" s="2"/>
      <c r="AL949" s="2"/>
      <c r="AM949" s="2"/>
      <c r="AN949" s="9"/>
      <c r="AO949" s="9"/>
      <c r="AP949" s="9"/>
      <c r="AQ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224"/>
      <c r="X950" s="224"/>
      <c r="Y950" s="868"/>
      <c r="Z950" s="865"/>
      <c r="AA950" s="2"/>
      <c r="AB950" s="2"/>
      <c r="AC950" s="2"/>
      <c r="AD950" s="2"/>
      <c r="AE950" s="2"/>
      <c r="AF950" s="2"/>
      <c r="AG950" s="2"/>
      <c r="AH950" s="2"/>
      <c r="AI950" s="2"/>
      <c r="AJ950" s="2"/>
      <c r="AK950" s="2"/>
      <c r="AL950" s="2"/>
      <c r="AM950" s="2"/>
      <c r="AN950" s="9"/>
      <c r="AO950" s="9"/>
      <c r="AP950" s="9"/>
      <c r="AQ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224"/>
      <c r="X951" s="224"/>
      <c r="Y951" s="868"/>
      <c r="Z951" s="865"/>
      <c r="AA951" s="2"/>
      <c r="AB951" s="2"/>
      <c r="AC951" s="2"/>
      <c r="AD951" s="2"/>
      <c r="AE951" s="2"/>
      <c r="AF951" s="2"/>
      <c r="AG951" s="2"/>
      <c r="AH951" s="2"/>
      <c r="AI951" s="2"/>
      <c r="AJ951" s="2"/>
      <c r="AK951" s="2"/>
      <c r="AL951" s="2"/>
      <c r="AM951" s="2"/>
      <c r="AN951" s="9"/>
      <c r="AO951" s="9"/>
      <c r="AP951" s="9"/>
      <c r="AQ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224"/>
      <c r="X952" s="224"/>
      <c r="Y952" s="868"/>
      <c r="Z952" s="865"/>
      <c r="AA952" s="2"/>
      <c r="AB952" s="2"/>
      <c r="AC952" s="2"/>
      <c r="AD952" s="2"/>
      <c r="AE952" s="2"/>
      <c r="AF952" s="2"/>
      <c r="AG952" s="2"/>
      <c r="AH952" s="2"/>
      <c r="AI952" s="2"/>
      <c r="AJ952" s="2"/>
      <c r="AK952" s="2"/>
      <c r="AL952" s="2"/>
      <c r="AM952" s="2"/>
      <c r="AN952" s="9"/>
      <c r="AO952" s="9"/>
      <c r="AP952" s="9"/>
      <c r="AQ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224"/>
      <c r="X953" s="224"/>
      <c r="Y953" s="868"/>
      <c r="Z953" s="865"/>
      <c r="AA953" s="2"/>
      <c r="AB953" s="2"/>
      <c r="AC953" s="2"/>
      <c r="AD953" s="2"/>
      <c r="AE953" s="2"/>
      <c r="AF953" s="2"/>
      <c r="AG953" s="2"/>
      <c r="AH953" s="2"/>
      <c r="AI953" s="2"/>
      <c r="AJ953" s="2"/>
      <c r="AK953" s="2"/>
      <c r="AL953" s="2"/>
      <c r="AM953" s="2"/>
      <c r="AN953" s="9"/>
      <c r="AO953" s="9"/>
      <c r="AP953" s="9"/>
      <c r="AQ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224"/>
      <c r="X954" s="224"/>
      <c r="Y954" s="868"/>
      <c r="Z954" s="865"/>
      <c r="AA954" s="2"/>
      <c r="AB954" s="2"/>
      <c r="AC954" s="2"/>
      <c r="AD954" s="2"/>
      <c r="AE954" s="2"/>
      <c r="AF954" s="2"/>
      <c r="AG954" s="2"/>
      <c r="AH954" s="2"/>
      <c r="AI954" s="2"/>
      <c r="AJ954" s="2"/>
      <c r="AK954" s="2"/>
      <c r="AL954" s="2"/>
      <c r="AM954" s="2"/>
      <c r="AN954" s="9"/>
      <c r="AO954" s="9"/>
      <c r="AP954" s="9"/>
      <c r="AQ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224"/>
      <c r="X955" s="224"/>
      <c r="Y955" s="868"/>
      <c r="Z955" s="865"/>
      <c r="AA955" s="2"/>
      <c r="AB955" s="2"/>
      <c r="AC955" s="2"/>
      <c r="AD955" s="2"/>
      <c r="AE955" s="2"/>
      <c r="AF955" s="2"/>
      <c r="AG955" s="2"/>
      <c r="AH955" s="2"/>
      <c r="AI955" s="2"/>
      <c r="AJ955" s="2"/>
      <c r="AK955" s="2"/>
      <c r="AL955" s="2"/>
      <c r="AM955" s="2"/>
      <c r="AN955" s="9"/>
      <c r="AO955" s="9"/>
      <c r="AP955" s="9"/>
      <c r="AQ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224"/>
      <c r="X956" s="224"/>
      <c r="Y956" s="868"/>
      <c r="Z956" s="865"/>
      <c r="AA956" s="2"/>
      <c r="AB956" s="2"/>
      <c r="AC956" s="2"/>
      <c r="AD956" s="2"/>
      <c r="AE956" s="2"/>
      <c r="AF956" s="2"/>
      <c r="AG956" s="2"/>
      <c r="AH956" s="2"/>
      <c r="AI956" s="2"/>
      <c r="AJ956" s="2"/>
      <c r="AK956" s="2"/>
      <c r="AL956" s="2"/>
      <c r="AM956" s="2"/>
      <c r="AN956" s="9"/>
      <c r="AO956" s="9"/>
      <c r="AP956" s="9"/>
      <c r="AQ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224"/>
      <c r="X957" s="224"/>
      <c r="Y957" s="868"/>
      <c r="Z957" s="865"/>
      <c r="AA957" s="2"/>
      <c r="AB957" s="2"/>
      <c r="AC957" s="2"/>
      <c r="AD957" s="2"/>
      <c r="AE957" s="2"/>
      <c r="AF957" s="2"/>
      <c r="AG957" s="2"/>
      <c r="AH957" s="2"/>
      <c r="AI957" s="2"/>
      <c r="AJ957" s="2"/>
      <c r="AK957" s="2"/>
      <c r="AL957" s="2"/>
      <c r="AM957" s="2"/>
      <c r="AN957" s="9"/>
      <c r="AO957" s="9"/>
      <c r="AP957" s="9"/>
      <c r="AQ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224"/>
      <c r="X958" s="224"/>
      <c r="Y958" s="868"/>
      <c r="Z958" s="865"/>
      <c r="AA958" s="2"/>
      <c r="AB958" s="2"/>
      <c r="AC958" s="2"/>
      <c r="AD958" s="2"/>
      <c r="AE958" s="2"/>
      <c r="AF958" s="2"/>
      <c r="AG958" s="2"/>
      <c r="AH958" s="2"/>
      <c r="AI958" s="2"/>
      <c r="AJ958" s="2"/>
      <c r="AK958" s="2"/>
      <c r="AL958" s="2"/>
      <c r="AM958" s="2"/>
      <c r="AN958" s="9"/>
      <c r="AO958" s="9"/>
      <c r="AP958" s="9"/>
      <c r="AQ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224"/>
      <c r="X959" s="224"/>
      <c r="Y959" s="868"/>
      <c r="Z959" s="865"/>
      <c r="AA959" s="2"/>
      <c r="AB959" s="2"/>
      <c r="AC959" s="2"/>
      <c r="AD959" s="2"/>
      <c r="AE959" s="2"/>
      <c r="AF959" s="2"/>
      <c r="AG959" s="2"/>
      <c r="AH959" s="2"/>
      <c r="AI959" s="2"/>
      <c r="AJ959" s="2"/>
      <c r="AK959" s="2"/>
      <c r="AL959" s="2"/>
      <c r="AM959" s="2"/>
      <c r="AN959" s="9"/>
      <c r="AO959" s="9"/>
      <c r="AP959" s="9"/>
      <c r="AQ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224"/>
      <c r="X960" s="224"/>
      <c r="Y960" s="868"/>
      <c r="Z960" s="865"/>
      <c r="AA960" s="2"/>
      <c r="AB960" s="2"/>
      <c r="AC960" s="2"/>
      <c r="AD960" s="2"/>
      <c r="AE960" s="2"/>
      <c r="AF960" s="2"/>
      <c r="AG960" s="2"/>
      <c r="AH960" s="2"/>
      <c r="AI960" s="2"/>
      <c r="AJ960" s="2"/>
      <c r="AK960" s="2"/>
      <c r="AL960" s="2"/>
      <c r="AM960" s="2"/>
      <c r="AN960" s="9"/>
      <c r="AO960" s="9"/>
      <c r="AP960" s="9"/>
      <c r="AQ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224"/>
      <c r="X961" s="224"/>
      <c r="Y961" s="868"/>
      <c r="Z961" s="865"/>
      <c r="AA961" s="2"/>
      <c r="AB961" s="2"/>
      <c r="AC961" s="2"/>
      <c r="AD961" s="2"/>
      <c r="AE961" s="2"/>
      <c r="AF961" s="2"/>
      <c r="AG961" s="2"/>
      <c r="AH961" s="2"/>
      <c r="AI961" s="2"/>
      <c r="AJ961" s="2"/>
      <c r="AK961" s="2"/>
      <c r="AL961" s="2"/>
      <c r="AM961" s="2"/>
      <c r="AN961" s="9"/>
      <c r="AO961" s="9"/>
      <c r="AP961" s="9"/>
      <c r="AQ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224"/>
      <c r="X962" s="224"/>
      <c r="Y962" s="868"/>
      <c r="Z962" s="865"/>
      <c r="AA962" s="2"/>
      <c r="AB962" s="2"/>
      <c r="AC962" s="2"/>
      <c r="AD962" s="2"/>
      <c r="AE962" s="2"/>
      <c r="AF962" s="2"/>
      <c r="AG962" s="2"/>
      <c r="AH962" s="2"/>
      <c r="AI962" s="2"/>
      <c r="AJ962" s="2"/>
      <c r="AK962" s="2"/>
      <c r="AL962" s="2"/>
      <c r="AM962" s="2"/>
      <c r="AN962" s="9"/>
      <c r="AO962" s="9"/>
      <c r="AP962" s="9"/>
      <c r="AQ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224"/>
      <c r="X963" s="224"/>
      <c r="Y963" s="868"/>
      <c r="Z963" s="865"/>
      <c r="AA963" s="2"/>
      <c r="AB963" s="2"/>
      <c r="AC963" s="2"/>
      <c r="AD963" s="2"/>
      <c r="AE963" s="2"/>
      <c r="AF963" s="2"/>
      <c r="AG963" s="2"/>
      <c r="AH963" s="2"/>
      <c r="AI963" s="2"/>
      <c r="AJ963" s="2"/>
      <c r="AK963" s="2"/>
      <c r="AL963" s="2"/>
      <c r="AM963" s="2"/>
      <c r="AN963" s="9"/>
      <c r="AO963" s="9"/>
      <c r="AP963" s="9"/>
      <c r="AQ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224"/>
      <c r="X964" s="224"/>
      <c r="Y964" s="868"/>
      <c r="Z964" s="865"/>
      <c r="AA964" s="2"/>
      <c r="AB964" s="2"/>
      <c r="AC964" s="2"/>
      <c r="AD964" s="2"/>
      <c r="AE964" s="2"/>
      <c r="AF964" s="2"/>
      <c r="AG964" s="2"/>
      <c r="AH964" s="2"/>
      <c r="AI964" s="2"/>
      <c r="AJ964" s="2"/>
      <c r="AK964" s="2"/>
      <c r="AL964" s="2"/>
      <c r="AM964" s="2"/>
      <c r="AN964" s="9"/>
      <c r="AO964" s="9"/>
      <c r="AP964" s="9"/>
      <c r="AQ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224"/>
      <c r="X965" s="224"/>
      <c r="Y965" s="868"/>
      <c r="Z965" s="865"/>
      <c r="AA965" s="2"/>
      <c r="AB965" s="2"/>
      <c r="AC965" s="2"/>
      <c r="AD965" s="2"/>
      <c r="AE965" s="2"/>
      <c r="AF965" s="2"/>
      <c r="AG965" s="2"/>
      <c r="AH965" s="2"/>
      <c r="AI965" s="2"/>
      <c r="AJ965" s="2"/>
      <c r="AK965" s="2"/>
      <c r="AL965" s="2"/>
      <c r="AM965" s="2"/>
      <c r="AN965" s="9"/>
      <c r="AO965" s="9"/>
      <c r="AP965" s="9"/>
      <c r="AQ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224"/>
      <c r="X966" s="224"/>
      <c r="Y966" s="868"/>
      <c r="Z966" s="865"/>
      <c r="AA966" s="2"/>
      <c r="AB966" s="2"/>
      <c r="AC966" s="2"/>
      <c r="AD966" s="2"/>
      <c r="AE966" s="2"/>
      <c r="AF966" s="2"/>
      <c r="AG966" s="2"/>
      <c r="AH966" s="2"/>
      <c r="AI966" s="2"/>
      <c r="AJ966" s="2"/>
      <c r="AK966" s="2"/>
      <c r="AL966" s="2"/>
      <c r="AM966" s="2"/>
      <c r="AN966" s="9"/>
      <c r="AO966" s="9"/>
      <c r="AP966" s="9"/>
      <c r="AQ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224"/>
      <c r="X967" s="224"/>
      <c r="Y967" s="868"/>
      <c r="Z967" s="865"/>
      <c r="AA967" s="2"/>
      <c r="AB967" s="2"/>
      <c r="AC967" s="2"/>
      <c r="AD967" s="2"/>
      <c r="AE967" s="2"/>
      <c r="AF967" s="2"/>
      <c r="AG967" s="2"/>
      <c r="AH967" s="2"/>
      <c r="AI967" s="2"/>
      <c r="AJ967" s="2"/>
      <c r="AK967" s="2"/>
      <c r="AL967" s="2"/>
      <c r="AM967" s="2"/>
      <c r="AN967" s="9"/>
      <c r="AO967" s="9"/>
      <c r="AP967" s="9"/>
      <c r="AQ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224"/>
      <c r="X968" s="224"/>
      <c r="Y968" s="868"/>
      <c r="Z968" s="865"/>
      <c r="AA968" s="2"/>
      <c r="AB968" s="2"/>
      <c r="AC968" s="2"/>
      <c r="AD968" s="2"/>
      <c r="AE968" s="2"/>
      <c r="AF968" s="2"/>
      <c r="AG968" s="2"/>
      <c r="AH968" s="2"/>
      <c r="AI968" s="2"/>
      <c r="AJ968" s="2"/>
      <c r="AK968" s="2"/>
      <c r="AL968" s="2"/>
      <c r="AM968" s="2"/>
      <c r="AN968" s="9"/>
      <c r="AO968" s="9"/>
      <c r="AP968" s="9"/>
      <c r="AQ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224"/>
      <c r="X969" s="224"/>
      <c r="Y969" s="868"/>
      <c r="Z969" s="865"/>
      <c r="AA969" s="2"/>
      <c r="AB969" s="2"/>
      <c r="AC969" s="2"/>
      <c r="AD969" s="2"/>
      <c r="AE969" s="2"/>
      <c r="AF969" s="2"/>
      <c r="AG969" s="2"/>
      <c r="AH969" s="2"/>
      <c r="AI969" s="2"/>
      <c r="AJ969" s="2"/>
      <c r="AK969" s="2"/>
      <c r="AL969" s="2"/>
      <c r="AM969" s="2"/>
      <c r="AN969" s="9"/>
      <c r="AO969" s="9"/>
      <c r="AP969" s="9"/>
      <c r="AQ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224"/>
      <c r="X970" s="224"/>
      <c r="Y970" s="868"/>
      <c r="Z970" s="865"/>
      <c r="AA970" s="2"/>
      <c r="AB970" s="2"/>
      <c r="AC970" s="2"/>
      <c r="AD970" s="2"/>
      <c r="AE970" s="2"/>
      <c r="AF970" s="2"/>
      <c r="AG970" s="2"/>
      <c r="AH970" s="2"/>
      <c r="AI970" s="2"/>
      <c r="AJ970" s="2"/>
      <c r="AK970" s="2"/>
      <c r="AL970" s="2"/>
      <c r="AM970" s="2"/>
      <c r="AN970" s="9"/>
      <c r="AO970" s="9"/>
      <c r="AP970" s="9"/>
      <c r="AQ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224"/>
      <c r="X971" s="224"/>
      <c r="Y971" s="868"/>
      <c r="Z971" s="865"/>
      <c r="AA971" s="2"/>
      <c r="AB971" s="2"/>
      <c r="AC971" s="2"/>
      <c r="AD971" s="2"/>
      <c r="AE971" s="2"/>
      <c r="AF971" s="2"/>
      <c r="AG971" s="2"/>
      <c r="AH971" s="2"/>
      <c r="AI971" s="2"/>
      <c r="AJ971" s="2"/>
      <c r="AK971" s="2"/>
      <c r="AL971" s="2"/>
      <c r="AM971" s="2"/>
      <c r="AN971" s="9"/>
      <c r="AO971" s="9"/>
      <c r="AP971" s="9"/>
      <c r="AQ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224"/>
      <c r="X972" s="224"/>
      <c r="Y972" s="868"/>
      <c r="Z972" s="865"/>
      <c r="AA972" s="2"/>
      <c r="AB972" s="2"/>
      <c r="AC972" s="2"/>
      <c r="AD972" s="2"/>
      <c r="AE972" s="2"/>
      <c r="AF972" s="2"/>
      <c r="AG972" s="2"/>
      <c r="AH972" s="2"/>
      <c r="AI972" s="2"/>
      <c r="AJ972" s="2"/>
      <c r="AK972" s="2"/>
      <c r="AL972" s="2"/>
      <c r="AM972" s="2"/>
      <c r="AN972" s="9"/>
      <c r="AO972" s="9"/>
      <c r="AP972" s="9"/>
      <c r="AQ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224"/>
      <c r="X973" s="224"/>
      <c r="Y973" s="868"/>
      <c r="Z973" s="865"/>
      <c r="AA973" s="2"/>
      <c r="AB973" s="2"/>
      <c r="AC973" s="2"/>
      <c r="AD973" s="2"/>
      <c r="AE973" s="2"/>
      <c r="AF973" s="2"/>
      <c r="AG973" s="2"/>
      <c r="AH973" s="2"/>
      <c r="AI973" s="2"/>
      <c r="AJ973" s="2"/>
      <c r="AK973" s="2"/>
      <c r="AL973" s="2"/>
      <c r="AM973" s="2"/>
      <c r="AN973" s="9"/>
      <c r="AO973" s="9"/>
      <c r="AP973" s="9"/>
      <c r="AQ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224"/>
      <c r="X974" s="224"/>
      <c r="Y974" s="868"/>
      <c r="Z974" s="865"/>
      <c r="AA974" s="2"/>
      <c r="AB974" s="2"/>
      <c r="AC974" s="2"/>
      <c r="AD974" s="2"/>
      <c r="AE974" s="2"/>
      <c r="AF974" s="2"/>
      <c r="AG974" s="2"/>
      <c r="AH974" s="2"/>
      <c r="AI974" s="2"/>
      <c r="AJ974" s="2"/>
      <c r="AK974" s="2"/>
      <c r="AL974" s="2"/>
      <c r="AM974" s="2"/>
      <c r="AN974" s="9"/>
      <c r="AO974" s="9"/>
      <c r="AP974" s="9"/>
      <c r="AQ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224"/>
      <c r="X975" s="224"/>
      <c r="Y975" s="868"/>
      <c r="Z975" s="865"/>
      <c r="AA975" s="2"/>
      <c r="AB975" s="2"/>
      <c r="AC975" s="2"/>
      <c r="AD975" s="2"/>
      <c r="AE975" s="2"/>
      <c r="AF975" s="2"/>
      <c r="AG975" s="2"/>
      <c r="AH975" s="2"/>
      <c r="AI975" s="2"/>
      <c r="AJ975" s="2"/>
      <c r="AK975" s="2"/>
      <c r="AL975" s="2"/>
      <c r="AM975" s="2"/>
      <c r="AN975" s="9"/>
      <c r="AO975" s="9"/>
      <c r="AP975" s="9"/>
      <c r="AQ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224"/>
      <c r="X976" s="224"/>
      <c r="Y976" s="868"/>
      <c r="Z976" s="865"/>
      <c r="AA976" s="2"/>
      <c r="AB976" s="2"/>
      <c r="AC976" s="2"/>
      <c r="AD976" s="2"/>
      <c r="AE976" s="2"/>
      <c r="AF976" s="2"/>
      <c r="AG976" s="2"/>
      <c r="AH976" s="2"/>
      <c r="AI976" s="2"/>
      <c r="AJ976" s="2"/>
      <c r="AK976" s="2"/>
      <c r="AL976" s="2"/>
      <c r="AM976" s="2"/>
      <c r="AN976" s="9"/>
      <c r="AO976" s="9"/>
      <c r="AP976" s="9"/>
      <c r="AQ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224"/>
      <c r="X977" s="224"/>
      <c r="Y977" s="868"/>
      <c r="Z977" s="865"/>
      <c r="AA977" s="2"/>
      <c r="AB977" s="2"/>
      <c r="AC977" s="2"/>
      <c r="AD977" s="2"/>
      <c r="AE977" s="2"/>
      <c r="AF977" s="2"/>
      <c r="AG977" s="2"/>
      <c r="AH977" s="2"/>
      <c r="AI977" s="2"/>
      <c r="AJ977" s="2"/>
      <c r="AK977" s="2"/>
      <c r="AL977" s="2"/>
      <c r="AM977" s="2"/>
      <c r="AN977" s="9"/>
      <c r="AO977" s="9"/>
      <c r="AP977" s="9"/>
      <c r="AQ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224"/>
      <c r="X978" s="224"/>
      <c r="Y978" s="868"/>
      <c r="Z978" s="865"/>
      <c r="AA978" s="2"/>
      <c r="AB978" s="2"/>
      <c r="AC978" s="2"/>
      <c r="AD978" s="2"/>
      <c r="AE978" s="2"/>
      <c r="AF978" s="2"/>
      <c r="AG978" s="2"/>
      <c r="AH978" s="2"/>
      <c r="AI978" s="2"/>
      <c r="AJ978" s="2"/>
      <c r="AK978" s="2"/>
      <c r="AL978" s="2"/>
      <c r="AM978" s="2"/>
      <c r="AN978" s="9"/>
      <c r="AO978" s="9"/>
      <c r="AP978" s="9"/>
      <c r="AQ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224"/>
      <c r="X979" s="224"/>
      <c r="Y979" s="868"/>
      <c r="Z979" s="865"/>
      <c r="AA979" s="2"/>
      <c r="AB979" s="2"/>
      <c r="AC979" s="2"/>
      <c r="AD979" s="2"/>
      <c r="AE979" s="2"/>
      <c r="AF979" s="2"/>
      <c r="AG979" s="2"/>
      <c r="AH979" s="2"/>
      <c r="AI979" s="2"/>
      <c r="AJ979" s="2"/>
      <c r="AK979" s="2"/>
      <c r="AL979" s="2"/>
      <c r="AM979" s="2"/>
      <c r="AN979" s="9"/>
      <c r="AO979" s="9"/>
      <c r="AP979" s="9"/>
      <c r="AQ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224"/>
      <c r="X980" s="224"/>
      <c r="Y980" s="868"/>
      <c r="Z980" s="865"/>
      <c r="AA980" s="2"/>
      <c r="AB980" s="2"/>
      <c r="AC980" s="2"/>
      <c r="AD980" s="2"/>
      <c r="AE980" s="2"/>
      <c r="AF980" s="2"/>
      <c r="AG980" s="2"/>
      <c r="AH980" s="2"/>
      <c r="AI980" s="2"/>
      <c r="AJ980" s="2"/>
      <c r="AK980" s="2"/>
      <c r="AL980" s="2"/>
      <c r="AM980" s="2"/>
      <c r="AN980" s="9"/>
      <c r="AO980" s="9"/>
      <c r="AP980" s="9"/>
      <c r="AQ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224"/>
      <c r="X981" s="224"/>
      <c r="Y981" s="868"/>
      <c r="Z981" s="865"/>
      <c r="AA981" s="2"/>
      <c r="AB981" s="2"/>
      <c r="AC981" s="2"/>
      <c r="AD981" s="2"/>
      <c r="AE981" s="2"/>
      <c r="AF981" s="2"/>
      <c r="AG981" s="2"/>
      <c r="AH981" s="2"/>
      <c r="AI981" s="2"/>
      <c r="AJ981" s="2"/>
      <c r="AK981" s="2"/>
      <c r="AL981" s="2"/>
      <c r="AM981" s="2"/>
      <c r="AN981" s="9"/>
      <c r="AO981" s="9"/>
      <c r="AP981" s="9"/>
      <c r="AQ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224"/>
      <c r="X982" s="224"/>
      <c r="Y982" s="868"/>
      <c r="Z982" s="865"/>
      <c r="AA982" s="2"/>
      <c r="AB982" s="2"/>
      <c r="AC982" s="2"/>
      <c r="AD982" s="2"/>
      <c r="AE982" s="2"/>
      <c r="AF982" s="2"/>
      <c r="AG982" s="2"/>
      <c r="AH982" s="2"/>
      <c r="AI982" s="2"/>
      <c r="AJ982" s="2"/>
      <c r="AK982" s="2"/>
      <c r="AL982" s="2"/>
      <c r="AM982" s="2"/>
      <c r="AN982" s="9"/>
      <c r="AO982" s="9"/>
      <c r="AP982" s="9"/>
      <c r="AQ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224"/>
      <c r="X983" s="224"/>
      <c r="Y983" s="868"/>
      <c r="Z983" s="865"/>
      <c r="AA983" s="2"/>
      <c r="AB983" s="2"/>
      <c r="AC983" s="2"/>
      <c r="AD983" s="2"/>
      <c r="AE983" s="2"/>
      <c r="AF983" s="2"/>
      <c r="AG983" s="2"/>
      <c r="AH983" s="2"/>
      <c r="AI983" s="2"/>
      <c r="AJ983" s="2"/>
      <c r="AK983" s="2"/>
      <c r="AL983" s="2"/>
      <c r="AM983" s="2"/>
      <c r="AN983" s="9"/>
      <c r="AO983" s="9"/>
      <c r="AP983" s="9"/>
      <c r="AQ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224"/>
      <c r="X984" s="224"/>
      <c r="Y984" s="868"/>
      <c r="Z984" s="865"/>
      <c r="AA984" s="2"/>
      <c r="AB984" s="2"/>
      <c r="AC984" s="2"/>
      <c r="AD984" s="2"/>
      <c r="AE984" s="2"/>
      <c r="AF984" s="2"/>
      <c r="AG984" s="2"/>
      <c r="AH984" s="2"/>
      <c r="AI984" s="2"/>
      <c r="AJ984" s="2"/>
      <c r="AK984" s="2"/>
      <c r="AL984" s="2"/>
      <c r="AM984" s="2"/>
      <c r="AN984" s="9"/>
      <c r="AO984" s="9"/>
      <c r="AP984" s="9"/>
      <c r="AQ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224"/>
      <c r="X985" s="224"/>
      <c r="Y985" s="868"/>
      <c r="Z985" s="865"/>
      <c r="AA985" s="2"/>
      <c r="AB985" s="2"/>
      <c r="AC985" s="2"/>
      <c r="AD985" s="2"/>
      <c r="AE985" s="2"/>
      <c r="AF985" s="2"/>
      <c r="AG985" s="2"/>
      <c r="AH985" s="2"/>
      <c r="AI985" s="2"/>
      <c r="AJ985" s="2"/>
      <c r="AK985" s="2"/>
      <c r="AL985" s="2"/>
      <c r="AM985" s="2"/>
      <c r="AN985" s="9"/>
      <c r="AO985" s="9"/>
      <c r="AP985" s="9"/>
      <c r="AQ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224"/>
      <c r="X986" s="224"/>
      <c r="Y986" s="868"/>
      <c r="Z986" s="865"/>
      <c r="AA986" s="2"/>
      <c r="AB986" s="2"/>
      <c r="AC986" s="2"/>
      <c r="AD986" s="2"/>
      <c r="AE986" s="2"/>
      <c r="AF986" s="2"/>
      <c r="AG986" s="2"/>
      <c r="AH986" s="2"/>
      <c r="AI986" s="2"/>
      <c r="AJ986" s="2"/>
      <c r="AK986" s="2"/>
      <c r="AL986" s="2"/>
      <c r="AM986" s="2"/>
      <c r="AN986" s="9"/>
      <c r="AO986" s="9"/>
      <c r="AP986" s="9"/>
      <c r="AQ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224"/>
      <c r="X987" s="224"/>
      <c r="Y987" s="868"/>
      <c r="Z987" s="865"/>
      <c r="AA987" s="2"/>
      <c r="AB987" s="2"/>
      <c r="AC987" s="2"/>
      <c r="AD987" s="2"/>
      <c r="AE987" s="2"/>
      <c r="AF987" s="2"/>
      <c r="AG987" s="2"/>
      <c r="AH987" s="2"/>
      <c r="AI987" s="2"/>
      <c r="AJ987" s="2"/>
      <c r="AK987" s="2"/>
      <c r="AL987" s="2"/>
      <c r="AM987" s="2"/>
      <c r="AN987" s="9"/>
      <c r="AO987" s="9"/>
      <c r="AP987" s="9"/>
      <c r="AQ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224"/>
      <c r="X988" s="224"/>
      <c r="Y988" s="868"/>
      <c r="Z988" s="865"/>
      <c r="AA988" s="2"/>
      <c r="AB988" s="2"/>
      <c r="AC988" s="2"/>
      <c r="AD988" s="2"/>
      <c r="AE988" s="2"/>
      <c r="AF988" s="2"/>
      <c r="AG988" s="2"/>
      <c r="AH988" s="2"/>
      <c r="AI988" s="2"/>
      <c r="AJ988" s="2"/>
      <c r="AK988" s="2"/>
      <c r="AL988" s="2"/>
      <c r="AM988" s="2"/>
      <c r="AN988" s="9"/>
      <c r="AO988" s="9"/>
      <c r="AP988" s="9"/>
      <c r="AQ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224"/>
      <c r="X989" s="224"/>
      <c r="Y989" s="868"/>
      <c r="Z989" s="865"/>
      <c r="AA989" s="2"/>
      <c r="AB989" s="2"/>
      <c r="AC989" s="2"/>
      <c r="AD989" s="2"/>
      <c r="AE989" s="2"/>
      <c r="AF989" s="2"/>
      <c r="AG989" s="2"/>
      <c r="AH989" s="2"/>
      <c r="AI989" s="2"/>
      <c r="AJ989" s="2"/>
      <c r="AK989" s="2"/>
      <c r="AL989" s="2"/>
      <c r="AM989" s="2"/>
      <c r="AN989" s="9"/>
      <c r="AO989" s="9"/>
      <c r="AP989" s="9"/>
      <c r="AQ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224"/>
      <c r="X990" s="224"/>
      <c r="Y990" s="868"/>
      <c r="Z990" s="865"/>
      <c r="AA990" s="2"/>
      <c r="AB990" s="2"/>
      <c r="AC990" s="2"/>
      <c r="AD990" s="2"/>
      <c r="AE990" s="2"/>
      <c r="AF990" s="2"/>
      <c r="AG990" s="2"/>
      <c r="AH990" s="2"/>
      <c r="AI990" s="2"/>
      <c r="AJ990" s="2"/>
      <c r="AK990" s="2"/>
      <c r="AL990" s="2"/>
      <c r="AM990" s="2"/>
      <c r="AN990" s="9"/>
      <c r="AO990" s="9"/>
      <c r="AP990" s="9"/>
      <c r="AQ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224"/>
      <c r="X991" s="224"/>
      <c r="Y991" s="868"/>
      <c r="Z991" s="865"/>
      <c r="AA991" s="2"/>
      <c r="AB991" s="2"/>
      <c r="AC991" s="2"/>
      <c r="AD991" s="2"/>
      <c r="AE991" s="2"/>
      <c r="AF991" s="2"/>
      <c r="AG991" s="2"/>
      <c r="AH991" s="2"/>
      <c r="AI991" s="2"/>
      <c r="AJ991" s="2"/>
      <c r="AK991" s="2"/>
      <c r="AL991" s="2"/>
      <c r="AM991" s="2"/>
      <c r="AN991" s="9"/>
      <c r="AO991" s="9"/>
      <c r="AP991" s="9"/>
      <c r="AQ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224"/>
      <c r="X992" s="224"/>
      <c r="Y992" s="868"/>
      <c r="Z992" s="865"/>
      <c r="AA992" s="2"/>
      <c r="AB992" s="2"/>
      <c r="AC992" s="2"/>
      <c r="AD992" s="2"/>
      <c r="AE992" s="2"/>
      <c r="AF992" s="2"/>
      <c r="AG992" s="2"/>
      <c r="AH992" s="2"/>
      <c r="AI992" s="2"/>
      <c r="AJ992" s="2"/>
      <c r="AK992" s="2"/>
      <c r="AL992" s="2"/>
      <c r="AM992" s="2"/>
      <c r="AN992" s="9"/>
      <c r="AO992" s="9"/>
      <c r="AP992" s="9"/>
      <c r="AQ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224"/>
      <c r="X993" s="224"/>
      <c r="Y993" s="868"/>
      <c r="Z993" s="865"/>
      <c r="AA993" s="2"/>
      <c r="AB993" s="2"/>
      <c r="AC993" s="2"/>
      <c r="AD993" s="2"/>
      <c r="AE993" s="2"/>
      <c r="AF993" s="2"/>
      <c r="AG993" s="2"/>
      <c r="AH993" s="2"/>
      <c r="AI993" s="2"/>
      <c r="AJ993" s="2"/>
      <c r="AK993" s="2"/>
      <c r="AL993" s="2"/>
      <c r="AM993" s="2"/>
      <c r="AN993" s="9"/>
      <c r="AO993" s="9"/>
      <c r="AP993" s="9"/>
      <c r="AQ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224"/>
      <c r="X994" s="224"/>
      <c r="Y994" s="868"/>
      <c r="Z994" s="865"/>
      <c r="AA994" s="2"/>
      <c r="AB994" s="2"/>
      <c r="AC994" s="2"/>
      <c r="AD994" s="2"/>
      <c r="AE994" s="2"/>
      <c r="AF994" s="2"/>
      <c r="AG994" s="2"/>
      <c r="AH994" s="2"/>
      <c r="AI994" s="2"/>
      <c r="AJ994" s="2"/>
      <c r="AK994" s="2"/>
      <c r="AL994" s="2"/>
      <c r="AM994" s="2"/>
      <c r="AN994" s="9"/>
      <c r="AO994" s="9"/>
      <c r="AP994" s="9"/>
      <c r="AQ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224"/>
      <c r="X995" s="224"/>
      <c r="Y995" s="868"/>
      <c r="Z995" s="865"/>
      <c r="AA995" s="2"/>
      <c r="AB995" s="2"/>
      <c r="AC995" s="2"/>
      <c r="AD995" s="2"/>
      <c r="AE995" s="2"/>
      <c r="AF995" s="2"/>
      <c r="AG995" s="2"/>
      <c r="AH995" s="2"/>
      <c r="AI995" s="2"/>
      <c r="AJ995" s="2"/>
      <c r="AK995" s="2"/>
      <c r="AL995" s="2"/>
      <c r="AM995" s="2"/>
      <c r="AN995" s="9"/>
      <c r="AO995" s="9"/>
      <c r="AP995" s="9"/>
      <c r="AQ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224"/>
      <c r="X996" s="224"/>
      <c r="Y996" s="868"/>
      <c r="Z996" s="865"/>
      <c r="AA996" s="2"/>
      <c r="AB996" s="2"/>
      <c r="AC996" s="2"/>
      <c r="AD996" s="2"/>
      <c r="AE996" s="2"/>
      <c r="AF996" s="2"/>
      <c r="AG996" s="2"/>
      <c r="AH996" s="2"/>
      <c r="AI996" s="2"/>
      <c r="AJ996" s="2"/>
      <c r="AK996" s="2"/>
      <c r="AL996" s="2"/>
      <c r="AM996" s="2"/>
      <c r="AN996" s="9"/>
      <c r="AO996" s="9"/>
      <c r="AP996" s="9"/>
      <c r="AQ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224"/>
      <c r="X997" s="224"/>
      <c r="Y997" s="868"/>
      <c r="Z997" s="865"/>
      <c r="AA997" s="2"/>
      <c r="AB997" s="2"/>
      <c r="AC997" s="2"/>
      <c r="AD997" s="2"/>
      <c r="AE997" s="2"/>
      <c r="AF997" s="2"/>
      <c r="AG997" s="2"/>
      <c r="AH997" s="2"/>
      <c r="AI997" s="2"/>
      <c r="AJ997" s="2"/>
      <c r="AK997" s="2"/>
      <c r="AL997" s="2"/>
      <c r="AM997" s="2"/>
      <c r="AN997" s="9"/>
      <c r="AO997" s="9"/>
      <c r="AP997" s="9"/>
      <c r="AQ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224"/>
      <c r="X998" s="224"/>
      <c r="Y998" s="868"/>
      <c r="Z998" s="865"/>
      <c r="AA998" s="2"/>
      <c r="AB998" s="2"/>
      <c r="AC998" s="2"/>
      <c r="AD998" s="2"/>
      <c r="AE998" s="2"/>
      <c r="AF998" s="2"/>
      <c r="AG998" s="2"/>
      <c r="AH998" s="2"/>
      <c r="AI998" s="2"/>
      <c r="AJ998" s="2"/>
      <c r="AK998" s="2"/>
      <c r="AL998" s="2"/>
      <c r="AM998" s="2"/>
      <c r="AN998" s="9"/>
      <c r="AO998" s="9"/>
      <c r="AP998" s="9"/>
      <c r="AQ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224"/>
      <c r="X999" s="224"/>
      <c r="Y999" s="868"/>
      <c r="Z999" s="865"/>
      <c r="AA999" s="2"/>
      <c r="AB999" s="2"/>
      <c r="AC999" s="2"/>
      <c r="AD999" s="2"/>
      <c r="AE999" s="2"/>
      <c r="AF999" s="2"/>
      <c r="AG999" s="2"/>
      <c r="AH999" s="2"/>
      <c r="AI999" s="2"/>
      <c r="AJ999" s="2"/>
      <c r="AK999" s="2"/>
      <c r="AL999" s="2"/>
      <c r="AM999" s="2"/>
      <c r="AN999" s="9"/>
      <c r="AO999" s="9"/>
      <c r="AP999" s="9"/>
      <c r="AQ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224"/>
      <c r="X1000" s="224"/>
      <c r="Y1000" s="868"/>
      <c r="Z1000" s="865"/>
      <c r="AA1000" s="2"/>
      <c r="AB1000" s="2"/>
      <c r="AC1000" s="2"/>
      <c r="AD1000" s="2"/>
      <c r="AE1000" s="2"/>
      <c r="AF1000" s="2"/>
      <c r="AG1000" s="2"/>
      <c r="AH1000" s="2"/>
      <c r="AI1000" s="2"/>
      <c r="AJ1000" s="2"/>
      <c r="AK1000" s="2"/>
      <c r="AL1000" s="2"/>
      <c r="AM1000" s="2"/>
      <c r="AN1000" s="9"/>
      <c r="AO1000" s="9"/>
      <c r="AP1000" s="9"/>
      <c r="AQ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224"/>
      <c r="X1001" s="224"/>
      <c r="Y1001" s="868"/>
      <c r="Z1001" s="865"/>
      <c r="AA1001" s="2"/>
      <c r="AB1001" s="2"/>
      <c r="AC1001" s="2"/>
      <c r="AD1001" s="2"/>
      <c r="AE1001" s="2"/>
      <c r="AF1001" s="2"/>
      <c r="AG1001" s="2"/>
      <c r="AH1001" s="2"/>
      <c r="AI1001" s="2"/>
      <c r="AJ1001" s="2"/>
      <c r="AK1001" s="2"/>
      <c r="AL1001" s="2"/>
      <c r="AM1001" s="2"/>
      <c r="AN1001" s="9"/>
      <c r="AO1001" s="9"/>
      <c r="AP1001" s="9"/>
      <c r="AQ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224"/>
      <c r="X1002" s="224"/>
      <c r="Y1002" s="868"/>
      <c r="Z1002" s="865"/>
      <c r="AA1002" s="2"/>
      <c r="AB1002" s="2"/>
      <c r="AC1002" s="2"/>
      <c r="AD1002" s="2"/>
      <c r="AE1002" s="2"/>
      <c r="AF1002" s="2"/>
      <c r="AG1002" s="2"/>
      <c r="AH1002" s="2"/>
      <c r="AI1002" s="2"/>
      <c r="AJ1002" s="2"/>
      <c r="AK1002" s="2"/>
      <c r="AL1002" s="2"/>
      <c r="AM1002" s="2"/>
      <c r="AN1002" s="9"/>
      <c r="AO1002" s="9"/>
      <c r="AP1002" s="9"/>
      <c r="AQ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224"/>
      <c r="X1003" s="224"/>
      <c r="Y1003" s="868"/>
      <c r="Z1003" s="865"/>
      <c r="AA1003" s="2"/>
      <c r="AB1003" s="2"/>
      <c r="AC1003" s="2"/>
      <c r="AD1003" s="2"/>
      <c r="AE1003" s="2"/>
      <c r="AF1003" s="2"/>
      <c r="AG1003" s="2"/>
      <c r="AH1003" s="2"/>
      <c r="AI1003" s="2"/>
      <c r="AJ1003" s="2"/>
      <c r="AK1003" s="2"/>
      <c r="AL1003" s="2"/>
      <c r="AM1003" s="2"/>
      <c r="AN1003" s="9"/>
      <c r="AO1003" s="9"/>
      <c r="AP1003" s="9"/>
      <c r="AQ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224"/>
      <c r="X1004" s="224"/>
      <c r="Y1004" s="868"/>
      <c r="Z1004" s="865"/>
      <c r="AA1004" s="2"/>
      <c r="AB1004" s="2"/>
      <c r="AC1004" s="2"/>
      <c r="AD1004" s="2"/>
      <c r="AE1004" s="2"/>
      <c r="AF1004" s="2"/>
      <c r="AG1004" s="2"/>
      <c r="AH1004" s="2"/>
      <c r="AI1004" s="2"/>
      <c r="AJ1004" s="2"/>
      <c r="AK1004" s="2"/>
      <c r="AL1004" s="2"/>
      <c r="AM1004" s="2"/>
      <c r="AN1004" s="9"/>
      <c r="AO1004" s="9"/>
      <c r="AP1004" s="9"/>
      <c r="AQ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224"/>
      <c r="X1005" s="224"/>
      <c r="Y1005" s="868"/>
      <c r="Z1005" s="865"/>
      <c r="AA1005" s="2"/>
      <c r="AB1005" s="2"/>
      <c r="AC1005" s="2"/>
      <c r="AD1005" s="2"/>
      <c r="AE1005" s="2"/>
      <c r="AF1005" s="2"/>
      <c r="AG1005" s="2"/>
      <c r="AH1005" s="2"/>
      <c r="AI1005" s="2"/>
      <c r="AJ1005" s="2"/>
      <c r="AK1005" s="2"/>
      <c r="AL1005" s="2"/>
      <c r="AM1005" s="2"/>
      <c r="AN1005" s="9"/>
      <c r="AO1005" s="9"/>
      <c r="AP1005" s="9"/>
      <c r="AQ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224"/>
      <c r="X1006" s="224"/>
      <c r="Y1006" s="868"/>
      <c r="Z1006" s="865"/>
      <c r="AA1006" s="2"/>
      <c r="AB1006" s="2"/>
      <c r="AC1006" s="2"/>
      <c r="AD1006" s="2"/>
      <c r="AE1006" s="2"/>
      <c r="AF1006" s="2"/>
      <c r="AG1006" s="2"/>
      <c r="AH1006" s="2"/>
      <c r="AI1006" s="2"/>
      <c r="AJ1006" s="2"/>
      <c r="AK1006" s="2"/>
      <c r="AL1006" s="2"/>
      <c r="AM1006" s="2"/>
      <c r="AN1006" s="9"/>
      <c r="AO1006" s="9"/>
      <c r="AP1006" s="9"/>
      <c r="AQ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224"/>
      <c r="X1007" s="224"/>
      <c r="Y1007" s="868"/>
      <c r="Z1007" s="865"/>
      <c r="AA1007" s="2"/>
      <c r="AB1007" s="2"/>
      <c r="AC1007" s="2"/>
      <c r="AD1007" s="2"/>
      <c r="AE1007" s="2"/>
      <c r="AF1007" s="2"/>
      <c r="AG1007" s="2"/>
      <c r="AH1007" s="2"/>
      <c r="AI1007" s="2"/>
      <c r="AJ1007" s="2"/>
      <c r="AK1007" s="2"/>
      <c r="AL1007" s="2"/>
      <c r="AM1007" s="2"/>
      <c r="AN1007" s="9"/>
      <c r="AO1007" s="9"/>
      <c r="AP1007" s="9"/>
      <c r="AQ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224"/>
      <c r="X1008" s="224"/>
      <c r="Y1008" s="868"/>
      <c r="Z1008" s="865"/>
      <c r="AA1008" s="2"/>
      <c r="AB1008" s="2"/>
      <c r="AC1008" s="2"/>
      <c r="AD1008" s="2"/>
      <c r="AE1008" s="2"/>
      <c r="AF1008" s="2"/>
      <c r="AG1008" s="2"/>
      <c r="AH1008" s="2"/>
      <c r="AI1008" s="2"/>
      <c r="AJ1008" s="2"/>
      <c r="AK1008" s="2"/>
      <c r="AL1008" s="2"/>
      <c r="AM1008" s="2"/>
      <c r="AN1008" s="9"/>
      <c r="AO1008" s="9"/>
      <c r="AP1008" s="9"/>
      <c r="AQ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224"/>
      <c r="X1009" s="224"/>
      <c r="Y1009" s="868"/>
      <c r="Z1009" s="865"/>
      <c r="AA1009" s="2"/>
      <c r="AB1009" s="2"/>
      <c r="AC1009" s="2"/>
      <c r="AD1009" s="2"/>
      <c r="AE1009" s="2"/>
      <c r="AF1009" s="2"/>
      <c r="AG1009" s="2"/>
      <c r="AH1009" s="2"/>
      <c r="AI1009" s="2"/>
      <c r="AJ1009" s="2"/>
      <c r="AK1009" s="2"/>
      <c r="AL1009" s="2"/>
      <c r="AM1009" s="2"/>
      <c r="AN1009" s="9"/>
      <c r="AO1009" s="9"/>
      <c r="AP1009" s="9"/>
      <c r="AQ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224"/>
      <c r="X1010" s="224"/>
      <c r="Y1010" s="868"/>
      <c r="Z1010" s="865"/>
      <c r="AA1010" s="2"/>
      <c r="AB1010" s="2"/>
      <c r="AC1010" s="2"/>
      <c r="AD1010" s="2"/>
      <c r="AE1010" s="2"/>
      <c r="AF1010" s="2"/>
      <c r="AG1010" s="2"/>
      <c r="AH1010" s="2"/>
      <c r="AI1010" s="2"/>
      <c r="AJ1010" s="2"/>
      <c r="AK1010" s="2"/>
      <c r="AL1010" s="2"/>
      <c r="AM1010" s="2"/>
      <c r="AN1010" s="9"/>
      <c r="AO1010" s="9"/>
      <c r="AP1010" s="9"/>
      <c r="AQ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224"/>
      <c r="X1011" s="224"/>
      <c r="Y1011" s="868"/>
      <c r="Z1011" s="865"/>
      <c r="AA1011" s="2"/>
      <c r="AB1011" s="2"/>
      <c r="AC1011" s="2"/>
      <c r="AD1011" s="2"/>
      <c r="AE1011" s="2"/>
      <c r="AF1011" s="2"/>
      <c r="AG1011" s="2"/>
      <c r="AH1011" s="2"/>
      <c r="AI1011" s="2"/>
      <c r="AJ1011" s="2"/>
      <c r="AK1011" s="2"/>
      <c r="AL1011" s="2"/>
      <c r="AM1011" s="2"/>
      <c r="AN1011" s="9"/>
      <c r="AO1011" s="9"/>
      <c r="AP1011" s="9"/>
      <c r="AQ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224"/>
      <c r="X1012" s="224"/>
      <c r="Y1012" s="868"/>
      <c r="Z1012" s="865"/>
      <c r="AA1012" s="2"/>
      <c r="AB1012" s="2"/>
      <c r="AC1012" s="2"/>
      <c r="AD1012" s="2"/>
      <c r="AE1012" s="2"/>
      <c r="AF1012" s="2"/>
      <c r="AG1012" s="2"/>
      <c r="AH1012" s="2"/>
      <c r="AI1012" s="2"/>
      <c r="AJ1012" s="2"/>
      <c r="AK1012" s="2"/>
      <c r="AL1012" s="2"/>
      <c r="AM1012" s="2"/>
      <c r="AN1012" s="9"/>
      <c r="AO1012" s="9"/>
      <c r="AP1012" s="9"/>
      <c r="AQ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224"/>
      <c r="X1013" s="224"/>
      <c r="Y1013" s="868"/>
      <c r="Z1013" s="865"/>
      <c r="AA1013" s="2"/>
      <c r="AB1013" s="2"/>
      <c r="AC1013" s="2"/>
      <c r="AD1013" s="2"/>
      <c r="AE1013" s="2"/>
      <c r="AF1013" s="2"/>
      <c r="AG1013" s="2"/>
      <c r="AH1013" s="2"/>
      <c r="AI1013" s="2"/>
      <c r="AJ1013" s="2"/>
      <c r="AK1013" s="2"/>
      <c r="AL1013" s="2"/>
      <c r="AM1013" s="2"/>
      <c r="AN1013" s="9"/>
      <c r="AO1013" s="9"/>
      <c r="AP1013" s="9"/>
      <c r="AQ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224"/>
      <c r="X1014" s="224"/>
      <c r="Y1014" s="868"/>
      <c r="Z1014" s="865"/>
      <c r="AA1014" s="2"/>
      <c r="AB1014" s="2"/>
      <c r="AC1014" s="2"/>
      <c r="AD1014" s="2"/>
      <c r="AE1014" s="2"/>
      <c r="AF1014" s="2"/>
      <c r="AG1014" s="2"/>
      <c r="AH1014" s="2"/>
      <c r="AI1014" s="2"/>
      <c r="AJ1014" s="2"/>
      <c r="AK1014" s="2"/>
      <c r="AL1014" s="2"/>
      <c r="AM1014" s="2"/>
      <c r="AN1014" s="9"/>
      <c r="AO1014" s="9"/>
      <c r="AP1014" s="9"/>
      <c r="AQ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224"/>
      <c r="X1015" s="224"/>
      <c r="Y1015" s="868"/>
      <c r="Z1015" s="865"/>
      <c r="AA1015" s="2"/>
      <c r="AB1015" s="2"/>
      <c r="AC1015" s="2"/>
      <c r="AD1015" s="2"/>
      <c r="AE1015" s="2"/>
      <c r="AF1015" s="2"/>
      <c r="AG1015" s="2"/>
      <c r="AH1015" s="2"/>
      <c r="AI1015" s="2"/>
      <c r="AJ1015" s="2"/>
      <c r="AK1015" s="2"/>
      <c r="AL1015" s="2"/>
      <c r="AM1015" s="2"/>
      <c r="AN1015" s="9"/>
      <c r="AO1015" s="9"/>
      <c r="AP1015" s="9"/>
      <c r="AQ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224"/>
      <c r="X1016" s="224"/>
      <c r="Y1016" s="868"/>
      <c r="Z1016" s="865"/>
      <c r="AA1016" s="2"/>
      <c r="AB1016" s="2"/>
      <c r="AC1016" s="2"/>
      <c r="AD1016" s="2"/>
      <c r="AE1016" s="2"/>
      <c r="AF1016" s="2"/>
      <c r="AG1016" s="2"/>
      <c r="AH1016" s="2"/>
      <c r="AI1016" s="2"/>
      <c r="AJ1016" s="2"/>
      <c r="AK1016" s="2"/>
      <c r="AL1016" s="2"/>
      <c r="AM1016" s="2"/>
      <c r="AN1016" s="9"/>
      <c r="AO1016" s="9"/>
      <c r="AP1016" s="9"/>
      <c r="AQ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224"/>
      <c r="X1017" s="224"/>
      <c r="Y1017" s="868"/>
      <c r="Z1017" s="865"/>
      <c r="AA1017" s="2"/>
      <c r="AB1017" s="2"/>
      <c r="AC1017" s="2"/>
      <c r="AD1017" s="2"/>
      <c r="AE1017" s="2"/>
      <c r="AF1017" s="2"/>
      <c r="AG1017" s="2"/>
      <c r="AH1017" s="2"/>
      <c r="AI1017" s="2"/>
      <c r="AJ1017" s="2"/>
      <c r="AK1017" s="2"/>
      <c r="AL1017" s="2"/>
      <c r="AM1017" s="2"/>
      <c r="AN1017" s="9"/>
      <c r="AO1017" s="9"/>
      <c r="AP1017" s="9"/>
      <c r="AQ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224"/>
      <c r="X1018" s="224"/>
      <c r="Y1018" s="868"/>
      <c r="Z1018" s="865"/>
      <c r="AA1018" s="2"/>
      <c r="AB1018" s="2"/>
      <c r="AC1018" s="2"/>
      <c r="AD1018" s="2"/>
      <c r="AE1018" s="2"/>
      <c r="AF1018" s="2"/>
      <c r="AG1018" s="2"/>
      <c r="AH1018" s="2"/>
      <c r="AI1018" s="2"/>
      <c r="AJ1018" s="2"/>
      <c r="AK1018" s="2"/>
      <c r="AL1018" s="2"/>
      <c r="AM1018" s="2"/>
      <c r="AN1018" s="9"/>
      <c r="AO1018" s="9"/>
      <c r="AP1018" s="9"/>
      <c r="AQ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224"/>
      <c r="X1019" s="224"/>
      <c r="Y1019" s="868"/>
      <c r="Z1019" s="865"/>
      <c r="AA1019" s="2"/>
      <c r="AB1019" s="2"/>
      <c r="AC1019" s="2"/>
      <c r="AD1019" s="2"/>
      <c r="AE1019" s="2"/>
      <c r="AF1019" s="2"/>
      <c r="AG1019" s="2"/>
      <c r="AH1019" s="2"/>
      <c r="AI1019" s="2"/>
      <c r="AJ1019" s="2"/>
      <c r="AK1019" s="2"/>
      <c r="AL1019" s="2"/>
      <c r="AM1019" s="2"/>
      <c r="AN1019" s="9"/>
      <c r="AO1019" s="9"/>
      <c r="AP1019" s="9"/>
      <c r="AQ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224"/>
      <c r="X1020" s="224"/>
      <c r="Y1020" s="868"/>
      <c r="Z1020" s="865"/>
      <c r="AA1020" s="2"/>
      <c r="AB1020" s="2"/>
      <c r="AC1020" s="2"/>
      <c r="AD1020" s="2"/>
      <c r="AE1020" s="2"/>
      <c r="AF1020" s="2"/>
      <c r="AG1020" s="2"/>
      <c r="AH1020" s="2"/>
      <c r="AI1020" s="2"/>
      <c r="AJ1020" s="2"/>
      <c r="AK1020" s="2"/>
      <c r="AL1020" s="2"/>
      <c r="AM1020" s="2"/>
      <c r="AN1020" s="9"/>
      <c r="AO1020" s="9"/>
      <c r="AP1020" s="9"/>
      <c r="AQ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224"/>
      <c r="X1021" s="224"/>
      <c r="Y1021" s="868"/>
      <c r="Z1021" s="865"/>
      <c r="AA1021" s="2"/>
      <c r="AB1021" s="2"/>
      <c r="AC1021" s="2"/>
      <c r="AD1021" s="2"/>
      <c r="AE1021" s="2"/>
      <c r="AF1021" s="2"/>
      <c r="AG1021" s="2"/>
      <c r="AH1021" s="2"/>
      <c r="AI1021" s="2"/>
      <c r="AJ1021" s="2"/>
      <c r="AK1021" s="2"/>
      <c r="AL1021" s="2"/>
      <c r="AM1021" s="2"/>
      <c r="AN1021" s="9"/>
      <c r="AO1021" s="9"/>
      <c r="AP1021" s="9"/>
      <c r="AQ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224"/>
      <c r="X1022" s="224"/>
      <c r="Y1022" s="868"/>
      <c r="Z1022" s="865"/>
      <c r="AA1022" s="2"/>
      <c r="AB1022" s="2"/>
      <c r="AC1022" s="2"/>
      <c r="AD1022" s="2"/>
      <c r="AE1022" s="2"/>
      <c r="AF1022" s="2"/>
      <c r="AG1022" s="2"/>
      <c r="AH1022" s="2"/>
      <c r="AI1022" s="2"/>
      <c r="AJ1022" s="2"/>
      <c r="AK1022" s="2"/>
      <c r="AL1022" s="2"/>
      <c r="AM1022" s="2"/>
      <c r="AN1022" s="9"/>
      <c r="AO1022" s="9"/>
      <c r="AP1022" s="9"/>
      <c r="AQ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224"/>
      <c r="X1023" s="224"/>
      <c r="Y1023" s="868"/>
      <c r="Z1023" s="865"/>
      <c r="AA1023" s="2"/>
      <c r="AB1023" s="2"/>
      <c r="AC1023" s="2"/>
      <c r="AD1023" s="2"/>
      <c r="AE1023" s="2"/>
      <c r="AF1023" s="2"/>
      <c r="AG1023" s="2"/>
      <c r="AH1023" s="2"/>
      <c r="AI1023" s="2"/>
      <c r="AJ1023" s="2"/>
      <c r="AK1023" s="2"/>
      <c r="AL1023" s="2"/>
      <c r="AM1023" s="2"/>
      <c r="AN1023" s="9"/>
      <c r="AO1023" s="9"/>
      <c r="AP1023" s="9"/>
      <c r="AQ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224"/>
      <c r="X1024" s="224"/>
      <c r="Y1024" s="868"/>
      <c r="Z1024" s="865"/>
      <c r="AA1024" s="2"/>
      <c r="AB1024" s="2"/>
      <c r="AC1024" s="2"/>
      <c r="AD1024" s="2"/>
      <c r="AE1024" s="2"/>
      <c r="AF1024" s="2"/>
      <c r="AG1024" s="2"/>
      <c r="AH1024" s="2"/>
      <c r="AI1024" s="2"/>
      <c r="AJ1024" s="2"/>
      <c r="AK1024" s="2"/>
      <c r="AL1024" s="2"/>
      <c r="AM1024" s="2"/>
      <c r="AN1024" s="9"/>
      <c r="AO1024" s="9"/>
      <c r="AP1024" s="9"/>
      <c r="AQ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224"/>
      <c r="X1025" s="224"/>
      <c r="Y1025" s="868"/>
      <c r="Z1025" s="865"/>
      <c r="AA1025" s="2"/>
      <c r="AB1025" s="2"/>
      <c r="AC1025" s="2"/>
      <c r="AD1025" s="2"/>
      <c r="AE1025" s="2"/>
      <c r="AF1025" s="2"/>
      <c r="AG1025" s="2"/>
      <c r="AH1025" s="2"/>
      <c r="AI1025" s="2"/>
      <c r="AJ1025" s="2"/>
      <c r="AK1025" s="2"/>
      <c r="AL1025" s="2"/>
      <c r="AM1025" s="2"/>
      <c r="AN1025" s="9"/>
      <c r="AO1025" s="9"/>
      <c r="AP1025" s="9"/>
      <c r="AQ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224"/>
      <c r="X1026" s="224"/>
      <c r="Y1026" s="868"/>
      <c r="Z1026" s="865"/>
      <c r="AA1026" s="2"/>
      <c r="AB1026" s="2"/>
      <c r="AC1026" s="2"/>
      <c r="AD1026" s="2"/>
      <c r="AE1026" s="2"/>
      <c r="AF1026" s="2"/>
      <c r="AG1026" s="2"/>
      <c r="AH1026" s="2"/>
      <c r="AI1026" s="2"/>
      <c r="AJ1026" s="2"/>
      <c r="AK1026" s="2"/>
      <c r="AL1026" s="2"/>
      <c r="AM1026" s="2"/>
      <c r="AN1026" s="9"/>
      <c r="AO1026" s="9"/>
      <c r="AP1026" s="9"/>
      <c r="AQ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224"/>
      <c r="X1027" s="224"/>
      <c r="Y1027" s="868"/>
      <c r="Z1027" s="865"/>
      <c r="AA1027" s="2"/>
      <c r="AB1027" s="2"/>
      <c r="AC1027" s="2"/>
      <c r="AD1027" s="2"/>
      <c r="AE1027" s="2"/>
      <c r="AF1027" s="2"/>
      <c r="AG1027" s="2"/>
      <c r="AH1027" s="2"/>
      <c r="AI1027" s="2"/>
      <c r="AJ1027" s="2"/>
      <c r="AK1027" s="2"/>
      <c r="AL1027" s="2"/>
      <c r="AM1027" s="2"/>
      <c r="AN1027" s="9"/>
      <c r="AO1027" s="9"/>
      <c r="AP1027" s="9"/>
      <c r="AQ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224"/>
      <c r="X1028" s="224"/>
      <c r="Y1028" s="868"/>
      <c r="Z1028" s="865"/>
      <c r="AA1028" s="2"/>
      <c r="AB1028" s="2"/>
      <c r="AC1028" s="2"/>
      <c r="AD1028" s="2"/>
      <c r="AE1028" s="2"/>
      <c r="AF1028" s="2"/>
      <c r="AG1028" s="2"/>
      <c r="AH1028" s="2"/>
      <c r="AI1028" s="2"/>
      <c r="AJ1028" s="2"/>
      <c r="AK1028" s="2"/>
      <c r="AL1028" s="2"/>
      <c r="AM1028" s="2"/>
      <c r="AN1028" s="9"/>
      <c r="AO1028" s="9"/>
      <c r="AP1028" s="9"/>
      <c r="AQ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224"/>
      <c r="X1029" s="224"/>
      <c r="Y1029" s="868"/>
      <c r="Z1029" s="865"/>
      <c r="AA1029" s="2"/>
      <c r="AB1029" s="2"/>
      <c r="AC1029" s="2"/>
      <c r="AD1029" s="2"/>
      <c r="AE1029" s="2"/>
      <c r="AF1029" s="2"/>
      <c r="AG1029" s="2"/>
      <c r="AH1029" s="2"/>
      <c r="AI1029" s="2"/>
      <c r="AJ1029" s="2"/>
      <c r="AK1029" s="2"/>
      <c r="AL1029" s="2"/>
      <c r="AM1029" s="2"/>
      <c r="AN1029" s="9"/>
      <c r="AO1029" s="9"/>
      <c r="AP1029" s="9"/>
      <c r="AQ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224"/>
      <c r="X1030" s="224"/>
      <c r="Y1030" s="868"/>
      <c r="Z1030" s="865"/>
      <c r="AA1030" s="2"/>
      <c r="AB1030" s="2"/>
      <c r="AC1030" s="2"/>
      <c r="AD1030" s="2"/>
      <c r="AE1030" s="2"/>
      <c r="AF1030" s="2"/>
      <c r="AG1030" s="2"/>
      <c r="AH1030" s="2"/>
      <c r="AI1030" s="2"/>
      <c r="AJ1030" s="2"/>
      <c r="AK1030" s="2"/>
      <c r="AL1030" s="2"/>
      <c r="AM1030" s="2"/>
      <c r="AN1030" s="9"/>
      <c r="AO1030" s="9"/>
      <c r="AP1030" s="9"/>
      <c r="AQ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224"/>
      <c r="X1031" s="224"/>
      <c r="Y1031" s="868"/>
      <c r="Z1031" s="865"/>
      <c r="AA1031" s="2"/>
      <c r="AB1031" s="2"/>
      <c r="AC1031" s="2"/>
      <c r="AD1031" s="2"/>
      <c r="AE1031" s="2"/>
      <c r="AF1031" s="2"/>
      <c r="AG1031" s="2"/>
      <c r="AH1031" s="2"/>
      <c r="AI1031" s="2"/>
      <c r="AJ1031" s="2"/>
      <c r="AK1031" s="2"/>
      <c r="AL1031" s="2"/>
      <c r="AM1031" s="2"/>
      <c r="AN1031" s="9"/>
      <c r="AO1031" s="9"/>
      <c r="AP1031" s="9"/>
      <c r="AQ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224"/>
      <c r="X1032" s="224"/>
      <c r="Y1032" s="868"/>
      <c r="Z1032" s="865"/>
      <c r="AA1032" s="2"/>
      <c r="AB1032" s="2"/>
      <c r="AC1032" s="2"/>
      <c r="AD1032" s="2"/>
      <c r="AE1032" s="2"/>
      <c r="AF1032" s="2"/>
      <c r="AG1032" s="2"/>
      <c r="AH1032" s="2"/>
      <c r="AI1032" s="2"/>
      <c r="AJ1032" s="2"/>
      <c r="AK1032" s="2"/>
      <c r="AL1032" s="2"/>
      <c r="AM1032" s="2"/>
      <c r="AN1032" s="9"/>
      <c r="AO1032" s="9"/>
      <c r="AP1032" s="9"/>
      <c r="AQ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224"/>
      <c r="X1033" s="224"/>
      <c r="Y1033" s="868"/>
      <c r="Z1033" s="865"/>
      <c r="AA1033" s="2"/>
      <c r="AB1033" s="2"/>
      <c r="AC1033" s="2"/>
      <c r="AD1033" s="2"/>
      <c r="AE1033" s="2"/>
      <c r="AF1033" s="2"/>
      <c r="AG1033" s="2"/>
      <c r="AH1033" s="2"/>
      <c r="AI1033" s="2"/>
      <c r="AJ1033" s="2"/>
      <c r="AK1033" s="2"/>
      <c r="AL1033" s="2"/>
      <c r="AM1033" s="2"/>
      <c r="AN1033" s="9"/>
      <c r="AO1033" s="9"/>
      <c r="AP1033" s="9"/>
      <c r="AQ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224"/>
      <c r="X1034" s="224"/>
      <c r="Y1034" s="868"/>
      <c r="Z1034" s="865"/>
      <c r="AA1034" s="2"/>
      <c r="AB1034" s="2"/>
      <c r="AC1034" s="2"/>
      <c r="AD1034" s="2"/>
      <c r="AE1034" s="2"/>
      <c r="AF1034" s="2"/>
      <c r="AG1034" s="2"/>
      <c r="AH1034" s="2"/>
      <c r="AI1034" s="2"/>
      <c r="AJ1034" s="2"/>
      <c r="AK1034" s="2"/>
      <c r="AL1034" s="2"/>
      <c r="AM1034" s="2"/>
      <c r="AN1034" s="9"/>
      <c r="AO1034" s="9"/>
      <c r="AP1034" s="9"/>
      <c r="AQ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224"/>
      <c r="X1035" s="224"/>
      <c r="Y1035" s="868"/>
      <c r="Z1035" s="865"/>
      <c r="AA1035" s="2"/>
      <c r="AB1035" s="2"/>
      <c r="AC1035" s="2"/>
      <c r="AD1035" s="2"/>
      <c r="AE1035" s="2"/>
      <c r="AF1035" s="2"/>
      <c r="AG1035" s="2"/>
      <c r="AH1035" s="2"/>
      <c r="AI1035" s="2"/>
      <c r="AJ1035" s="2"/>
      <c r="AK1035" s="2"/>
      <c r="AL1035" s="2"/>
      <c r="AM1035" s="2"/>
      <c r="AN1035" s="9"/>
      <c r="AO1035" s="9"/>
      <c r="AP1035" s="9"/>
      <c r="AQ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224"/>
      <c r="X1036" s="224"/>
      <c r="Y1036" s="868"/>
      <c r="Z1036" s="865"/>
      <c r="AA1036" s="2"/>
      <c r="AB1036" s="2"/>
      <c r="AC1036" s="2"/>
      <c r="AD1036" s="2"/>
      <c r="AE1036" s="2"/>
      <c r="AF1036" s="2"/>
      <c r="AG1036" s="2"/>
      <c r="AH1036" s="2"/>
      <c r="AI1036" s="2"/>
      <c r="AJ1036" s="2"/>
      <c r="AK1036" s="2"/>
      <c r="AL1036" s="2"/>
      <c r="AM1036" s="2"/>
      <c r="AN1036" s="9"/>
      <c r="AO1036" s="9"/>
      <c r="AP1036" s="9"/>
      <c r="AQ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224"/>
      <c r="X1037" s="224"/>
      <c r="Y1037" s="868"/>
      <c r="Z1037" s="865"/>
      <c r="AA1037" s="2"/>
      <c r="AB1037" s="2"/>
      <c r="AC1037" s="2"/>
      <c r="AD1037" s="2"/>
      <c r="AE1037" s="2"/>
      <c r="AF1037" s="2"/>
      <c r="AG1037" s="2"/>
      <c r="AH1037" s="2"/>
      <c r="AI1037" s="2"/>
      <c r="AJ1037" s="2"/>
      <c r="AK1037" s="2"/>
      <c r="AL1037" s="2"/>
      <c r="AM1037" s="2"/>
      <c r="AN1037" s="9"/>
      <c r="AO1037" s="9"/>
      <c r="AP1037" s="9"/>
      <c r="AQ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224"/>
      <c r="X1038" s="224"/>
      <c r="Y1038" s="868"/>
      <c r="Z1038" s="865"/>
      <c r="AA1038" s="2"/>
      <c r="AB1038" s="2"/>
      <c r="AC1038" s="2"/>
      <c r="AD1038" s="2"/>
      <c r="AE1038" s="2"/>
      <c r="AF1038" s="2"/>
      <c r="AG1038" s="2"/>
      <c r="AH1038" s="2"/>
      <c r="AI1038" s="2"/>
      <c r="AJ1038" s="2"/>
      <c r="AK1038" s="2"/>
      <c r="AL1038" s="2"/>
      <c r="AM1038" s="2"/>
      <c r="AN1038" s="9"/>
      <c r="AO1038" s="9"/>
      <c r="AP1038" s="9"/>
      <c r="AQ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224"/>
      <c r="X1039" s="224"/>
      <c r="Y1039" s="868"/>
      <c r="Z1039" s="865"/>
      <c r="AA1039" s="2"/>
      <c r="AB1039" s="2"/>
      <c r="AC1039" s="2"/>
      <c r="AD1039" s="2"/>
      <c r="AE1039" s="2"/>
      <c r="AF1039" s="2"/>
      <c r="AG1039" s="2"/>
      <c r="AH1039" s="2"/>
      <c r="AI1039" s="2"/>
      <c r="AJ1039" s="2"/>
      <c r="AK1039" s="2"/>
      <c r="AL1039" s="2"/>
      <c r="AM1039" s="2"/>
      <c r="AN1039" s="9"/>
      <c r="AO1039" s="9"/>
      <c r="AP1039" s="9"/>
      <c r="AQ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224"/>
      <c r="X1040" s="224"/>
      <c r="Y1040" s="868"/>
      <c r="Z1040" s="865"/>
      <c r="AA1040" s="2"/>
      <c r="AB1040" s="2"/>
      <c r="AC1040" s="2"/>
      <c r="AD1040" s="2"/>
      <c r="AE1040" s="2"/>
      <c r="AF1040" s="2"/>
      <c r="AG1040" s="2"/>
      <c r="AH1040" s="2"/>
      <c r="AI1040" s="2"/>
      <c r="AJ1040" s="2"/>
      <c r="AK1040" s="2"/>
      <c r="AL1040" s="2"/>
      <c r="AM1040" s="2"/>
      <c r="AN1040" s="9"/>
      <c r="AO1040" s="9"/>
      <c r="AP1040" s="9"/>
      <c r="AQ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224"/>
      <c r="X1041" s="224"/>
      <c r="Y1041" s="868"/>
      <c r="Z1041" s="865"/>
      <c r="AA1041" s="2"/>
      <c r="AB1041" s="2"/>
      <c r="AC1041" s="2"/>
      <c r="AD1041" s="2"/>
      <c r="AE1041" s="2"/>
      <c r="AF1041" s="2"/>
      <c r="AG1041" s="2"/>
      <c r="AH1041" s="2"/>
      <c r="AI1041" s="2"/>
      <c r="AJ1041" s="2"/>
      <c r="AK1041" s="2"/>
      <c r="AL1041" s="2"/>
      <c r="AM1041" s="2"/>
      <c r="AN1041" s="9"/>
      <c r="AO1041" s="9"/>
      <c r="AP1041" s="9"/>
      <c r="AQ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224"/>
      <c r="X1042" s="224"/>
      <c r="Y1042" s="868"/>
      <c r="Z1042" s="865"/>
      <c r="AA1042" s="2"/>
      <c r="AB1042" s="2"/>
      <c r="AC1042" s="2"/>
      <c r="AD1042" s="2"/>
      <c r="AE1042" s="2"/>
      <c r="AF1042" s="2"/>
      <c r="AG1042" s="2"/>
      <c r="AH1042" s="2"/>
      <c r="AI1042" s="2"/>
      <c r="AJ1042" s="2"/>
      <c r="AK1042" s="2"/>
      <c r="AL1042" s="2"/>
      <c r="AM1042" s="2"/>
      <c r="AN1042" s="9"/>
      <c r="AO1042" s="9"/>
      <c r="AP1042" s="9"/>
      <c r="AQ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224"/>
      <c r="X1043" s="224"/>
      <c r="Y1043" s="868"/>
      <c r="Z1043" s="865"/>
      <c r="AA1043" s="2"/>
      <c r="AB1043" s="2"/>
      <c r="AC1043" s="2"/>
      <c r="AD1043" s="2"/>
      <c r="AE1043" s="2"/>
      <c r="AF1043" s="2"/>
      <c r="AG1043" s="2"/>
      <c r="AH1043" s="2"/>
      <c r="AI1043" s="2"/>
      <c r="AJ1043" s="2"/>
      <c r="AK1043" s="2"/>
      <c r="AL1043" s="2"/>
      <c r="AM1043" s="2"/>
      <c r="AN1043" s="9"/>
      <c r="AO1043" s="9"/>
      <c r="AP1043" s="9"/>
      <c r="AQ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224"/>
      <c r="X1044" s="224"/>
      <c r="Y1044" s="868"/>
      <c r="Z1044" s="865"/>
      <c r="AA1044" s="2"/>
      <c r="AB1044" s="2"/>
      <c r="AC1044" s="2"/>
      <c r="AD1044" s="2"/>
      <c r="AE1044" s="2"/>
      <c r="AF1044" s="2"/>
      <c r="AG1044" s="2"/>
      <c r="AH1044" s="2"/>
      <c r="AI1044" s="2"/>
      <c r="AJ1044" s="2"/>
      <c r="AK1044" s="2"/>
      <c r="AL1044" s="2"/>
      <c r="AM1044" s="2"/>
      <c r="AN1044" s="9"/>
      <c r="AO1044" s="9"/>
      <c r="AP1044" s="9"/>
      <c r="AQ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224"/>
      <c r="X1045" s="224"/>
      <c r="Y1045" s="868"/>
      <c r="Z1045" s="865"/>
      <c r="AA1045" s="2"/>
      <c r="AB1045" s="2"/>
      <c r="AC1045" s="2"/>
      <c r="AD1045" s="2"/>
      <c r="AE1045" s="2"/>
      <c r="AF1045" s="2"/>
      <c r="AG1045" s="2"/>
      <c r="AH1045" s="2"/>
      <c r="AI1045" s="2"/>
      <c r="AJ1045" s="2"/>
      <c r="AK1045" s="2"/>
      <c r="AL1045" s="2"/>
      <c r="AM1045" s="2"/>
      <c r="AN1045" s="9"/>
      <c r="AO1045" s="9"/>
      <c r="AP1045" s="9"/>
      <c r="AQ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224"/>
      <c r="X1046" s="224"/>
      <c r="Y1046" s="868"/>
      <c r="Z1046" s="865"/>
      <c r="AA1046" s="2"/>
      <c r="AB1046" s="2"/>
      <c r="AC1046" s="2"/>
      <c r="AD1046" s="2"/>
      <c r="AE1046" s="2"/>
      <c r="AF1046" s="2"/>
      <c r="AG1046" s="2"/>
      <c r="AH1046" s="2"/>
      <c r="AI1046" s="2"/>
      <c r="AJ1046" s="2"/>
      <c r="AK1046" s="2"/>
      <c r="AL1046" s="2"/>
      <c r="AM1046" s="2"/>
      <c r="AN1046" s="9"/>
      <c r="AO1046" s="9"/>
      <c r="AP1046" s="9"/>
      <c r="AQ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224"/>
      <c r="X1047" s="224"/>
      <c r="Y1047" s="868"/>
      <c r="Z1047" s="865"/>
      <c r="AA1047" s="2"/>
      <c r="AB1047" s="2"/>
      <c r="AC1047" s="2"/>
      <c r="AD1047" s="2"/>
      <c r="AE1047" s="2"/>
      <c r="AF1047" s="2"/>
      <c r="AG1047" s="2"/>
      <c r="AH1047" s="2"/>
      <c r="AI1047" s="2"/>
      <c r="AJ1047" s="2"/>
      <c r="AK1047" s="2"/>
      <c r="AL1047" s="2"/>
      <c r="AM1047" s="2"/>
      <c r="AN1047" s="9"/>
      <c r="AO1047" s="9"/>
      <c r="AP1047" s="9"/>
      <c r="AQ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224"/>
      <c r="X1048" s="224"/>
      <c r="Y1048" s="868"/>
      <c r="Z1048" s="865"/>
      <c r="AA1048" s="2"/>
      <c r="AB1048" s="2"/>
      <c r="AC1048" s="2"/>
      <c r="AD1048" s="2"/>
      <c r="AE1048" s="2"/>
      <c r="AF1048" s="2"/>
      <c r="AG1048" s="2"/>
      <c r="AH1048" s="2"/>
      <c r="AI1048" s="2"/>
      <c r="AJ1048" s="2"/>
      <c r="AK1048" s="2"/>
      <c r="AL1048" s="2"/>
      <c r="AM1048" s="2"/>
      <c r="AN1048" s="9"/>
      <c r="AO1048" s="9"/>
      <c r="AP1048" s="9"/>
      <c r="AQ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224"/>
      <c r="X1049" s="224"/>
      <c r="Y1049" s="868"/>
      <c r="Z1049" s="865"/>
      <c r="AA1049" s="2"/>
      <c r="AB1049" s="2"/>
      <c r="AC1049" s="2"/>
      <c r="AD1049" s="2"/>
      <c r="AE1049" s="2"/>
      <c r="AF1049" s="2"/>
      <c r="AG1049" s="2"/>
      <c r="AH1049" s="2"/>
      <c r="AI1049" s="2"/>
      <c r="AJ1049" s="2"/>
      <c r="AK1049" s="2"/>
      <c r="AL1049" s="2"/>
      <c r="AM1049" s="2"/>
      <c r="AN1049" s="9"/>
      <c r="AO1049" s="9"/>
      <c r="AP1049" s="9"/>
      <c r="AQ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224"/>
      <c r="X1050" s="224"/>
      <c r="Y1050" s="868"/>
      <c r="Z1050" s="865"/>
      <c r="AA1050" s="2"/>
      <c r="AB1050" s="2"/>
      <c r="AC1050" s="2"/>
      <c r="AD1050" s="2"/>
      <c r="AE1050" s="2"/>
      <c r="AF1050" s="2"/>
      <c r="AG1050" s="2"/>
      <c r="AH1050" s="2"/>
      <c r="AI1050" s="2"/>
      <c r="AJ1050" s="2"/>
      <c r="AK1050" s="2"/>
      <c r="AL1050" s="2"/>
      <c r="AM1050" s="2"/>
      <c r="AN1050" s="9"/>
      <c r="AO1050" s="9"/>
      <c r="AP1050" s="9"/>
      <c r="AQ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224"/>
      <c r="X1051" s="224"/>
      <c r="Y1051" s="868"/>
      <c r="Z1051" s="865"/>
      <c r="AA1051" s="2"/>
      <c r="AB1051" s="2"/>
      <c r="AC1051" s="2"/>
      <c r="AD1051" s="2"/>
      <c r="AE1051" s="2"/>
      <c r="AF1051" s="2"/>
      <c r="AG1051" s="2"/>
      <c r="AH1051" s="2"/>
      <c r="AI1051" s="2"/>
      <c r="AJ1051" s="2"/>
      <c r="AK1051" s="2"/>
      <c r="AL1051" s="2"/>
      <c r="AM1051" s="2"/>
      <c r="AN1051" s="9"/>
      <c r="AO1051" s="9"/>
      <c r="AP1051" s="9"/>
      <c r="AQ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224"/>
      <c r="X1052" s="224"/>
      <c r="Y1052" s="868"/>
      <c r="Z1052" s="865"/>
      <c r="AA1052" s="2"/>
      <c r="AB1052" s="2"/>
      <c r="AC1052" s="2"/>
      <c r="AD1052" s="2"/>
      <c r="AE1052" s="2"/>
      <c r="AF1052" s="2"/>
      <c r="AG1052" s="2"/>
      <c r="AH1052" s="2"/>
      <c r="AI1052" s="2"/>
      <c r="AJ1052" s="2"/>
      <c r="AK1052" s="2"/>
      <c r="AL1052" s="2"/>
      <c r="AM1052" s="2"/>
      <c r="AN1052" s="9"/>
      <c r="AO1052" s="9"/>
      <c r="AP1052" s="9"/>
      <c r="AQ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224"/>
      <c r="X1053" s="224"/>
      <c r="Y1053" s="868"/>
      <c r="Z1053" s="865"/>
      <c r="AA1053" s="2"/>
      <c r="AB1053" s="2"/>
      <c r="AC1053" s="2"/>
      <c r="AD1053" s="2"/>
      <c r="AE1053" s="2"/>
      <c r="AF1053" s="2"/>
      <c r="AG1053" s="2"/>
      <c r="AH1053" s="2"/>
      <c r="AI1053" s="2"/>
      <c r="AJ1053" s="2"/>
      <c r="AK1053" s="2"/>
      <c r="AL1053" s="2"/>
      <c r="AM1053" s="2"/>
      <c r="AN1053" s="9"/>
      <c r="AO1053" s="9"/>
      <c r="AP1053" s="9"/>
      <c r="AQ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224"/>
      <c r="X1054" s="224"/>
      <c r="Y1054" s="868"/>
      <c r="Z1054" s="865"/>
      <c r="AA1054" s="2"/>
      <c r="AB1054" s="2"/>
      <c r="AC1054" s="2"/>
      <c r="AD1054" s="2"/>
      <c r="AE1054" s="2"/>
      <c r="AF1054" s="2"/>
      <c r="AG1054" s="2"/>
      <c r="AH1054" s="2"/>
      <c r="AI1054" s="2"/>
      <c r="AJ1054" s="2"/>
      <c r="AK1054" s="2"/>
      <c r="AL1054" s="2"/>
      <c r="AM1054" s="2"/>
      <c r="AN1054" s="9"/>
      <c r="AO1054" s="9"/>
      <c r="AP1054" s="9"/>
      <c r="AQ1054" s="9"/>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c r="W1055" s="224"/>
      <c r="X1055" s="224"/>
      <c r="Y1055" s="868"/>
      <c r="Z1055" s="865"/>
      <c r="AA1055" s="2"/>
      <c r="AB1055" s="2"/>
      <c r="AC1055" s="2"/>
      <c r="AD1055" s="2"/>
      <c r="AE1055" s="2"/>
      <c r="AF1055" s="2"/>
      <c r="AG1055" s="2"/>
      <c r="AH1055" s="2"/>
      <c r="AI1055" s="2"/>
      <c r="AJ1055" s="2"/>
      <c r="AK1055" s="2"/>
      <c r="AL1055" s="2"/>
      <c r="AM1055" s="2"/>
      <c r="AN1055" s="9"/>
      <c r="AO1055" s="9"/>
      <c r="AP1055" s="9"/>
      <c r="AQ1055" s="9"/>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c r="W1056" s="224"/>
      <c r="X1056" s="224"/>
      <c r="Y1056" s="868"/>
      <c r="Z1056" s="865"/>
      <c r="AA1056" s="2"/>
      <c r="AB1056" s="2"/>
      <c r="AC1056" s="2"/>
      <c r="AD1056" s="2"/>
      <c r="AE1056" s="2"/>
      <c r="AF1056" s="2"/>
      <c r="AG1056" s="2"/>
      <c r="AH1056" s="2"/>
      <c r="AI1056" s="2"/>
      <c r="AJ1056" s="2"/>
      <c r="AK1056" s="2"/>
      <c r="AL1056" s="2"/>
      <c r="AM1056" s="2"/>
      <c r="AN1056" s="9"/>
      <c r="AO1056" s="9"/>
      <c r="AP1056" s="9"/>
      <c r="AQ1056" s="9"/>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c r="W1057" s="224"/>
      <c r="X1057" s="224"/>
      <c r="Y1057" s="868"/>
      <c r="Z1057" s="865"/>
      <c r="AA1057" s="2"/>
      <c r="AB1057" s="2"/>
      <c r="AC1057" s="2"/>
      <c r="AD1057" s="2"/>
      <c r="AE1057" s="2"/>
      <c r="AF1057" s="2"/>
      <c r="AG1057" s="2"/>
      <c r="AH1057" s="2"/>
      <c r="AI1057" s="2"/>
      <c r="AJ1057" s="2"/>
      <c r="AK1057" s="2"/>
      <c r="AL1057" s="2"/>
      <c r="AM1057" s="2"/>
      <c r="AN1057" s="9"/>
      <c r="AO1057" s="9"/>
      <c r="AP1057" s="9"/>
      <c r="AQ1057" s="9"/>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c r="W1058" s="224"/>
      <c r="X1058" s="224"/>
      <c r="Y1058" s="868"/>
      <c r="Z1058" s="865"/>
      <c r="AA1058" s="2"/>
      <c r="AB1058" s="2"/>
      <c r="AC1058" s="2"/>
      <c r="AD1058" s="2"/>
      <c r="AE1058" s="2"/>
      <c r="AF1058" s="2"/>
      <c r="AG1058" s="2"/>
      <c r="AH1058" s="2"/>
      <c r="AI1058" s="2"/>
      <c r="AJ1058" s="2"/>
      <c r="AK1058" s="2"/>
      <c r="AL1058" s="2"/>
      <c r="AM1058" s="2"/>
      <c r="AN1058" s="9"/>
      <c r="AO1058" s="9"/>
      <c r="AP1058" s="9"/>
      <c r="AQ1058" s="9"/>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c r="W1059" s="224"/>
      <c r="X1059" s="224"/>
      <c r="Y1059" s="868"/>
      <c r="Z1059" s="865"/>
      <c r="AA1059" s="2"/>
      <c r="AB1059" s="2"/>
      <c r="AC1059" s="2"/>
      <c r="AD1059" s="2"/>
      <c r="AE1059" s="2"/>
      <c r="AF1059" s="2"/>
      <c r="AG1059" s="2"/>
      <c r="AH1059" s="2"/>
      <c r="AI1059" s="2"/>
      <c r="AJ1059" s="2"/>
      <c r="AK1059" s="2"/>
      <c r="AL1059" s="2"/>
      <c r="AM1059" s="2"/>
      <c r="AN1059" s="9"/>
      <c r="AO1059" s="9"/>
      <c r="AP1059" s="9"/>
      <c r="AQ1059" s="9"/>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c r="W1060" s="224"/>
      <c r="X1060" s="224"/>
      <c r="Y1060" s="868"/>
      <c r="Z1060" s="865"/>
      <c r="AA1060" s="2"/>
      <c r="AB1060" s="2"/>
      <c r="AC1060" s="2"/>
      <c r="AD1060" s="2"/>
      <c r="AE1060" s="2"/>
      <c r="AF1060" s="2"/>
      <c r="AG1060" s="2"/>
      <c r="AH1060" s="2"/>
      <c r="AI1060" s="2"/>
      <c r="AJ1060" s="2"/>
      <c r="AK1060" s="2"/>
      <c r="AL1060" s="2"/>
      <c r="AM1060" s="2"/>
      <c r="AN1060" s="9"/>
      <c r="AO1060" s="9"/>
      <c r="AP1060" s="9"/>
      <c r="AQ1060" s="9"/>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c r="W1061" s="224"/>
      <c r="X1061" s="224"/>
      <c r="Y1061" s="868"/>
      <c r="Z1061" s="865"/>
      <c r="AA1061" s="2"/>
      <c r="AB1061" s="2"/>
      <c r="AC1061" s="2"/>
      <c r="AD1061" s="2"/>
      <c r="AE1061" s="2"/>
      <c r="AF1061" s="2"/>
      <c r="AG1061" s="2"/>
      <c r="AH1061" s="2"/>
      <c r="AI1061" s="2"/>
      <c r="AJ1061" s="2"/>
      <c r="AK1061" s="2"/>
      <c r="AL1061" s="2"/>
      <c r="AM1061" s="2"/>
      <c r="AN1061" s="9"/>
      <c r="AO1061" s="9"/>
      <c r="AP1061" s="9"/>
      <c r="AQ1061" s="9"/>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c r="W1062" s="224"/>
      <c r="X1062" s="224"/>
      <c r="Y1062" s="868"/>
      <c r="Z1062" s="865"/>
      <c r="AA1062" s="2"/>
      <c r="AB1062" s="2"/>
      <c r="AC1062" s="2"/>
      <c r="AD1062" s="2"/>
      <c r="AE1062" s="2"/>
      <c r="AF1062" s="2"/>
      <c r="AG1062" s="2"/>
      <c r="AH1062" s="2"/>
      <c r="AI1062" s="2"/>
      <c r="AJ1062" s="2"/>
      <c r="AK1062" s="2"/>
      <c r="AL1062" s="2"/>
      <c r="AM1062" s="2"/>
      <c r="AN1062" s="9"/>
      <c r="AO1062" s="9"/>
      <c r="AP1062" s="9"/>
      <c r="AQ1062" s="9"/>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c r="W1063" s="224"/>
      <c r="X1063" s="224"/>
      <c r="Y1063" s="868"/>
      <c r="Z1063" s="865"/>
      <c r="AA1063" s="2"/>
      <c r="AB1063" s="2"/>
      <c r="AC1063" s="2"/>
      <c r="AD1063" s="2"/>
      <c r="AE1063" s="2"/>
      <c r="AF1063" s="2"/>
      <c r="AG1063" s="2"/>
      <c r="AH1063" s="2"/>
      <c r="AI1063" s="2"/>
      <c r="AJ1063" s="2"/>
      <c r="AK1063" s="2"/>
      <c r="AL1063" s="2"/>
      <c r="AM1063" s="2"/>
      <c r="AN1063" s="9"/>
      <c r="AO1063" s="9"/>
      <c r="AP1063" s="9"/>
      <c r="AQ1063" s="9"/>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c r="W1064" s="224"/>
      <c r="X1064" s="224"/>
      <c r="Y1064" s="868"/>
      <c r="Z1064" s="865"/>
      <c r="AA1064" s="2"/>
      <c r="AB1064" s="2"/>
      <c r="AC1064" s="2"/>
      <c r="AD1064" s="2"/>
      <c r="AE1064" s="2"/>
      <c r="AF1064" s="2"/>
      <c r="AG1064" s="2"/>
      <c r="AH1064" s="2"/>
      <c r="AI1064" s="2"/>
      <c r="AJ1064" s="2"/>
      <c r="AK1064" s="2"/>
      <c r="AL1064" s="2"/>
      <c r="AM1064" s="2"/>
      <c r="AN1064" s="9"/>
      <c r="AO1064" s="9"/>
      <c r="AP1064" s="9"/>
      <c r="AQ1064" s="9"/>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c r="W1065" s="224"/>
      <c r="X1065" s="224"/>
      <c r="Y1065" s="868"/>
      <c r="Z1065" s="865"/>
      <c r="AA1065" s="2"/>
      <c r="AB1065" s="2"/>
      <c r="AC1065" s="2"/>
      <c r="AD1065" s="2"/>
      <c r="AE1065" s="2"/>
      <c r="AF1065" s="2"/>
      <c r="AG1065" s="2"/>
      <c r="AH1065" s="2"/>
      <c r="AI1065" s="2"/>
      <c r="AJ1065" s="2"/>
      <c r="AK1065" s="2"/>
      <c r="AL1065" s="2"/>
      <c r="AM1065" s="2"/>
      <c r="AN1065" s="9"/>
      <c r="AO1065" s="9"/>
      <c r="AP1065" s="9"/>
      <c r="AQ1065" s="9"/>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c r="W1066" s="224"/>
      <c r="X1066" s="224"/>
      <c r="Y1066" s="868"/>
      <c r="Z1066" s="865"/>
      <c r="AA1066" s="2"/>
      <c r="AB1066" s="2"/>
      <c r="AC1066" s="2"/>
      <c r="AD1066" s="2"/>
      <c r="AE1066" s="2"/>
      <c r="AF1066" s="2"/>
      <c r="AG1066" s="2"/>
      <c r="AH1066" s="2"/>
      <c r="AI1066" s="2"/>
      <c r="AJ1066" s="2"/>
      <c r="AK1066" s="2"/>
      <c r="AL1066" s="2"/>
      <c r="AM1066" s="2"/>
      <c r="AN1066" s="9"/>
      <c r="AO1066" s="9"/>
      <c r="AP1066" s="9"/>
      <c r="AQ1066" s="9"/>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c r="W1067" s="224"/>
      <c r="X1067" s="224"/>
      <c r="Y1067" s="868"/>
      <c r="Z1067" s="865"/>
      <c r="AA1067" s="2"/>
      <c r="AB1067" s="2"/>
      <c r="AC1067" s="2"/>
      <c r="AD1067" s="2"/>
      <c r="AE1067" s="2"/>
      <c r="AF1067" s="2"/>
      <c r="AG1067" s="2"/>
      <c r="AH1067" s="2"/>
      <c r="AI1067" s="2"/>
      <c r="AJ1067" s="2"/>
      <c r="AK1067" s="2"/>
      <c r="AL1067" s="2"/>
      <c r="AM1067" s="2"/>
      <c r="AN1067" s="9"/>
      <c r="AO1067" s="9"/>
      <c r="AP1067" s="9"/>
      <c r="AQ1067" s="9"/>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c r="W1068" s="224"/>
      <c r="X1068" s="224"/>
      <c r="Y1068" s="868"/>
      <c r="Z1068" s="865"/>
      <c r="AA1068" s="2"/>
      <c r="AB1068" s="2"/>
      <c r="AC1068" s="2"/>
      <c r="AD1068" s="2"/>
      <c r="AE1068" s="2"/>
      <c r="AF1068" s="2"/>
      <c r="AG1068" s="2"/>
      <c r="AH1068" s="2"/>
      <c r="AI1068" s="2"/>
      <c r="AJ1068" s="2"/>
      <c r="AK1068" s="2"/>
      <c r="AL1068" s="2"/>
      <c r="AM1068" s="2"/>
      <c r="AN1068" s="9"/>
      <c r="AO1068" s="9"/>
      <c r="AP1068" s="9"/>
      <c r="AQ1068" s="9"/>
    </row>
  </sheetData>
  <mergeCells count="425">
    <mergeCell ref="A40:A41"/>
    <mergeCell ref="B45:B46"/>
    <mergeCell ref="C45:C46"/>
    <mergeCell ref="D45:D46"/>
    <mergeCell ref="E45:E46"/>
    <mergeCell ref="F45:F46"/>
    <mergeCell ref="G45:G46"/>
    <mergeCell ref="A45:A46"/>
    <mergeCell ref="B47:B48"/>
    <mergeCell ref="C47:C48"/>
    <mergeCell ref="D47:D48"/>
    <mergeCell ref="E47:E48"/>
    <mergeCell ref="F47:F48"/>
    <mergeCell ref="G47:G48"/>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63:A64"/>
    <mergeCell ref="A66:A67"/>
    <mergeCell ref="B66:B67"/>
    <mergeCell ref="C66:C67"/>
    <mergeCell ref="D66:D67"/>
    <mergeCell ref="E66:E67"/>
    <mergeCell ref="F66:F67"/>
    <mergeCell ref="G66:G67"/>
    <mergeCell ref="T66:T67"/>
    <mergeCell ref="S68:S69"/>
    <mergeCell ref="T68:T69"/>
    <mergeCell ref="R59:R60"/>
    <mergeCell ref="S59:S60"/>
    <mergeCell ref="T59:T60"/>
    <mergeCell ref="R61:R62"/>
    <mergeCell ref="T61:T62"/>
    <mergeCell ref="R63:R64"/>
    <mergeCell ref="R66:R79"/>
    <mergeCell ref="S61:S62"/>
    <mergeCell ref="S66:S67"/>
    <mergeCell ref="S70:S71"/>
    <mergeCell ref="T70:T71"/>
    <mergeCell ref="S72:S73"/>
    <mergeCell ref="T72:T73"/>
    <mergeCell ref="S74:S75"/>
    <mergeCell ref="T74:T75"/>
    <mergeCell ref="S76:S77"/>
    <mergeCell ref="T76:T77"/>
    <mergeCell ref="S78:S79"/>
    <mergeCell ref="T78:T79"/>
    <mergeCell ref="T81:T82"/>
    <mergeCell ref="T83:T84"/>
    <mergeCell ref="T85:T86"/>
    <mergeCell ref="T87:T88"/>
    <mergeCell ref="T90:T91"/>
    <mergeCell ref="T92:T93"/>
    <mergeCell ref="S92:S93"/>
    <mergeCell ref="S94:S95"/>
    <mergeCell ref="T94:T95"/>
    <mergeCell ref="R81:R88"/>
    <mergeCell ref="S81:S82"/>
    <mergeCell ref="S83:S84"/>
    <mergeCell ref="S85:S86"/>
    <mergeCell ref="S87:S88"/>
    <mergeCell ref="R90:R95"/>
    <mergeCell ref="S90:S91"/>
    <mergeCell ref="W90:W91"/>
    <mergeCell ref="W92:W93"/>
    <mergeCell ref="W94:W95"/>
    <mergeCell ref="AJ111:AK111"/>
    <mergeCell ref="X92:X93"/>
    <mergeCell ref="X94:X95"/>
    <mergeCell ref="M96:M97"/>
    <mergeCell ref="N96:N97"/>
    <mergeCell ref="Q96:Q97"/>
    <mergeCell ref="W83:W84"/>
    <mergeCell ref="X83:X84"/>
    <mergeCell ref="W85:W86"/>
    <mergeCell ref="X85:X86"/>
    <mergeCell ref="W87:W88"/>
    <mergeCell ref="X87:X88"/>
    <mergeCell ref="X90:X91"/>
    <mergeCell ref="R47:R48"/>
    <mergeCell ref="R49:R50"/>
    <mergeCell ref="S49:S50"/>
    <mergeCell ref="T49:T50"/>
    <mergeCell ref="W49:W50"/>
    <mergeCell ref="X49:X50"/>
    <mergeCell ref="R51:R52"/>
    <mergeCell ref="S57:S58"/>
    <mergeCell ref="T57:T58"/>
    <mergeCell ref="R53:R54"/>
    <mergeCell ref="S53:S54"/>
    <mergeCell ref="T53:T54"/>
    <mergeCell ref="R55:R56"/>
    <mergeCell ref="S55:S56"/>
    <mergeCell ref="T55:T56"/>
    <mergeCell ref="R57:R58"/>
    <mergeCell ref="W51:W52"/>
    <mergeCell ref="X51:X52"/>
    <mergeCell ref="W53:W54"/>
    <mergeCell ref="X53:X54"/>
    <mergeCell ref="W55:W56"/>
    <mergeCell ref="X55:X56"/>
    <mergeCell ref="X57:X58"/>
    <mergeCell ref="S63:S64"/>
    <mergeCell ref="T63:T64"/>
    <mergeCell ref="W57:W58"/>
    <mergeCell ref="W59:W60"/>
    <mergeCell ref="W61:W62"/>
    <mergeCell ref="W63:W64"/>
    <mergeCell ref="W66:W67"/>
    <mergeCell ref="W68:W69"/>
    <mergeCell ref="W70:W71"/>
    <mergeCell ref="W72:W73"/>
    <mergeCell ref="W74:W75"/>
    <mergeCell ref="W76:W77"/>
    <mergeCell ref="W78:W79"/>
    <mergeCell ref="X78:X79"/>
    <mergeCell ref="W81:W82"/>
    <mergeCell ref="X81:X82"/>
    <mergeCell ref="A81:A82"/>
    <mergeCell ref="B81:B82"/>
    <mergeCell ref="C81:C82"/>
    <mergeCell ref="D81:D82"/>
    <mergeCell ref="E81:E82"/>
    <mergeCell ref="F81:F82"/>
    <mergeCell ref="G81:G82"/>
    <mergeCell ref="A83:A84"/>
    <mergeCell ref="B83:B84"/>
    <mergeCell ref="C83:C84"/>
    <mergeCell ref="D83:D84"/>
    <mergeCell ref="E83:E84"/>
    <mergeCell ref="F83:F84"/>
    <mergeCell ref="G83:G84"/>
    <mergeCell ref="A85:A86"/>
    <mergeCell ref="B85:B86"/>
    <mergeCell ref="C85:C86"/>
    <mergeCell ref="D85:D86"/>
    <mergeCell ref="E85:E86"/>
    <mergeCell ref="F85:F86"/>
    <mergeCell ref="G85:G86"/>
    <mergeCell ref="A87:A88"/>
    <mergeCell ref="B87:B88"/>
    <mergeCell ref="C87:C88"/>
    <mergeCell ref="D87:D88"/>
    <mergeCell ref="E87:E88"/>
    <mergeCell ref="F87:F88"/>
    <mergeCell ref="G87:G88"/>
    <mergeCell ref="A90:A91"/>
    <mergeCell ref="B90:B91"/>
    <mergeCell ref="C90:C91"/>
    <mergeCell ref="D90:D91"/>
    <mergeCell ref="E90:E91"/>
    <mergeCell ref="F90:F91"/>
    <mergeCell ref="G90:G91"/>
    <mergeCell ref="A92:A93"/>
    <mergeCell ref="B92:B93"/>
    <mergeCell ref="C92:C93"/>
    <mergeCell ref="D92:D93"/>
    <mergeCell ref="E92:E93"/>
    <mergeCell ref="F92:F93"/>
    <mergeCell ref="G92:G93"/>
    <mergeCell ref="C109:H109"/>
    <mergeCell ref="A51:A52"/>
    <mergeCell ref="B53:B54"/>
    <mergeCell ref="C53:C54"/>
    <mergeCell ref="D53:D54"/>
    <mergeCell ref="E53:E54"/>
    <mergeCell ref="F53:F54"/>
    <mergeCell ref="G53:G54"/>
    <mergeCell ref="A53:A54"/>
    <mergeCell ref="B55:B56"/>
    <mergeCell ref="C55:C56"/>
    <mergeCell ref="D55:D56"/>
    <mergeCell ref="E55:E56"/>
    <mergeCell ref="F55:F56"/>
    <mergeCell ref="G55:G56"/>
    <mergeCell ref="A68:A69"/>
    <mergeCell ref="B68:B69"/>
    <mergeCell ref="C68:C69"/>
    <mergeCell ref="D68:D69"/>
    <mergeCell ref="E68:E69"/>
    <mergeCell ref="F68:F69"/>
    <mergeCell ref="G68:G69"/>
    <mergeCell ref="A70:A71"/>
    <mergeCell ref="B70:B71"/>
    <mergeCell ref="C70:C71"/>
    <mergeCell ref="D70:D71"/>
    <mergeCell ref="E70:E71"/>
    <mergeCell ref="F70:F71"/>
    <mergeCell ref="G70:G71"/>
    <mergeCell ref="A72:A73"/>
    <mergeCell ref="B72:B73"/>
    <mergeCell ref="C72:C73"/>
    <mergeCell ref="D72:D73"/>
    <mergeCell ref="E72:E73"/>
    <mergeCell ref="F72:F73"/>
    <mergeCell ref="G72:G73"/>
    <mergeCell ref="A74:A75"/>
    <mergeCell ref="B74:B75"/>
    <mergeCell ref="C74:C75"/>
    <mergeCell ref="D74:D75"/>
    <mergeCell ref="E74:E75"/>
    <mergeCell ref="F74:F75"/>
    <mergeCell ref="G74:G75"/>
    <mergeCell ref="A94:A95"/>
    <mergeCell ref="B94:B95"/>
    <mergeCell ref="C94:C95"/>
    <mergeCell ref="D94:D95"/>
    <mergeCell ref="E94:E95"/>
    <mergeCell ref="F94:F95"/>
    <mergeCell ref="G94:G95"/>
    <mergeCell ref="A96:B97"/>
    <mergeCell ref="E7:E8"/>
    <mergeCell ref="E9:E10"/>
    <mergeCell ref="AB17:AI17"/>
    <mergeCell ref="AB18:AE18"/>
    <mergeCell ref="AF18:AI18"/>
    <mergeCell ref="S19:S21"/>
    <mergeCell ref="T19:T21"/>
    <mergeCell ref="Q20:Q21"/>
    <mergeCell ref="A5:A6"/>
    <mergeCell ref="B5:B6"/>
    <mergeCell ref="E5:E6"/>
    <mergeCell ref="A7:A8"/>
    <mergeCell ref="B7:B8"/>
    <mergeCell ref="A9:A10"/>
    <mergeCell ref="B9:B10"/>
    <mergeCell ref="A20:B21"/>
    <mergeCell ref="B22:B23"/>
    <mergeCell ref="C22:C23"/>
    <mergeCell ref="D22:D23"/>
    <mergeCell ref="E22:E23"/>
    <mergeCell ref="F22:F23"/>
    <mergeCell ref="G22:G23"/>
    <mergeCell ref="M20:M21"/>
    <mergeCell ref="N20:N21"/>
    <mergeCell ref="R22:R23"/>
    <mergeCell ref="S22:S23"/>
    <mergeCell ref="T22:T23"/>
    <mergeCell ref="W22:W23"/>
    <mergeCell ref="X22:X23"/>
    <mergeCell ref="W24:W25"/>
    <mergeCell ref="W26:W27"/>
    <mergeCell ref="W28:W29"/>
    <mergeCell ref="X28:X29"/>
    <mergeCell ref="W30:W31"/>
    <mergeCell ref="X30:X31"/>
    <mergeCell ref="A26:A27"/>
    <mergeCell ref="A28:A29"/>
    <mergeCell ref="B28:B29"/>
    <mergeCell ref="C28:C29"/>
    <mergeCell ref="D28:D29"/>
    <mergeCell ref="E28:E29"/>
    <mergeCell ref="F28:F29"/>
    <mergeCell ref="G28:G29"/>
    <mergeCell ref="R24:R25"/>
    <mergeCell ref="S24:S25"/>
    <mergeCell ref="T24:T25"/>
    <mergeCell ref="X24:X25"/>
    <mergeCell ref="S26:S27"/>
    <mergeCell ref="T26:T27"/>
    <mergeCell ref="X26:X27"/>
    <mergeCell ref="A38:A39"/>
    <mergeCell ref="B38:B39"/>
    <mergeCell ref="C38:C39"/>
    <mergeCell ref="D38:D39"/>
    <mergeCell ref="E38:E39"/>
    <mergeCell ref="F38:F39"/>
    <mergeCell ref="G38:G39"/>
    <mergeCell ref="B40:B41"/>
    <mergeCell ref="C40:C41"/>
    <mergeCell ref="D40:D41"/>
    <mergeCell ref="E40:E41"/>
    <mergeCell ref="F40:F41"/>
    <mergeCell ref="G40:G41"/>
    <mergeCell ref="A42:B43"/>
    <mergeCell ref="W45:W46"/>
    <mergeCell ref="W47:W48"/>
    <mergeCell ref="R45:R46"/>
    <mergeCell ref="S45:S46"/>
    <mergeCell ref="T45:T46"/>
    <mergeCell ref="X45:X46"/>
    <mergeCell ref="S47:S48"/>
    <mergeCell ref="T47:T48"/>
    <mergeCell ref="X47:X48"/>
    <mergeCell ref="R32:R33"/>
    <mergeCell ref="S32:S33"/>
    <mergeCell ref="T32:T33"/>
    <mergeCell ref="W32:W33"/>
    <mergeCell ref="X32:X33"/>
    <mergeCell ref="R26:R27"/>
    <mergeCell ref="R28:R29"/>
    <mergeCell ref="S28:S29"/>
    <mergeCell ref="T28:T29"/>
    <mergeCell ref="R30:R31"/>
    <mergeCell ref="S30:S31"/>
    <mergeCell ref="T30:T31"/>
    <mergeCell ref="W34:W35"/>
    <mergeCell ref="W36:W37"/>
    <mergeCell ref="W38:W39"/>
    <mergeCell ref="X38:X39"/>
    <mergeCell ref="W40:W41"/>
    <mergeCell ref="X40:X41"/>
    <mergeCell ref="R34:R35"/>
    <mergeCell ref="S34:S35"/>
    <mergeCell ref="T34:T35"/>
    <mergeCell ref="X34:X35"/>
    <mergeCell ref="S36:S37"/>
    <mergeCell ref="T36:T37"/>
    <mergeCell ref="X36:X37"/>
    <mergeCell ref="M42:M43"/>
    <mergeCell ref="N42:N43"/>
    <mergeCell ref="Q42:Q43"/>
    <mergeCell ref="R36:R37"/>
    <mergeCell ref="R38:R39"/>
    <mergeCell ref="S38:S39"/>
    <mergeCell ref="T38:T39"/>
    <mergeCell ref="R40:R41"/>
    <mergeCell ref="S40:S41"/>
    <mergeCell ref="T40:T41"/>
    <mergeCell ref="S51:S52"/>
    <mergeCell ref="T51:T52"/>
    <mergeCell ref="A47:A48"/>
    <mergeCell ref="B49:B50"/>
    <mergeCell ref="C49:C50"/>
    <mergeCell ref="D49:D50"/>
    <mergeCell ref="E49:E50"/>
    <mergeCell ref="F49:F50"/>
    <mergeCell ref="G49:G50"/>
    <mergeCell ref="A49:A50"/>
    <mergeCell ref="B51:B52"/>
    <mergeCell ref="C51:C52"/>
    <mergeCell ref="D51:D52"/>
    <mergeCell ref="E51:E52"/>
    <mergeCell ref="F51:F52"/>
    <mergeCell ref="G51:G52"/>
    <mergeCell ref="X74:X75"/>
    <mergeCell ref="X76:X77"/>
    <mergeCell ref="X59:X60"/>
    <mergeCell ref="X61:X62"/>
    <mergeCell ref="X63:X64"/>
    <mergeCell ref="X66:X67"/>
    <mergeCell ref="X68:X69"/>
    <mergeCell ref="X70:X71"/>
    <mergeCell ref="X72:X73"/>
    <mergeCell ref="A76:A77"/>
    <mergeCell ref="B76:B77"/>
    <mergeCell ref="C76:C77"/>
    <mergeCell ref="D76:D77"/>
    <mergeCell ref="E76:E77"/>
    <mergeCell ref="F76:F77"/>
    <mergeCell ref="G76:G77"/>
    <mergeCell ref="A78:A79"/>
    <mergeCell ref="B78:B79"/>
    <mergeCell ref="C78:C79"/>
    <mergeCell ref="D78:D79"/>
    <mergeCell ref="E78:E79"/>
    <mergeCell ref="F78:F79"/>
    <mergeCell ref="G78:G79"/>
  </mergeCells>
  <conditionalFormatting sqref="D22:D86 D88:D95">
    <cfRule type="expression" dxfId="0" priority="1">
      <formula>#REF!=TRUE</formula>
    </cfRule>
  </conditionalFormatting>
  <conditionalFormatting sqref="D22:D86 D88:D95">
    <cfRule type="expression" dxfId="1" priority="2">
      <formula>#REF!=TRUE</formula>
    </cfRule>
  </conditionalFormatting>
  <conditionalFormatting sqref="D22:D23 D38:D39 D51:D56 D65:D67 D70:D71 D76:D77 D80 D85:D86 D89 D99:D100 D104 D108">
    <cfRule type="expression" dxfId="0" priority="3">
      <formula>AF22=TRUE</formula>
    </cfRule>
  </conditionalFormatting>
  <conditionalFormatting sqref="D22:D23 D38:D39 D51:D56 D65:D67 D70:D71 D76:D77 D80 D85:D86 D89 D99:D100 D104 D108">
    <cfRule type="expression" dxfId="1" priority="4">
      <formula>P22=TRUE</formula>
    </cfRule>
  </conditionalFormatting>
  <dataValidations>
    <dataValidation type="list" allowBlank="1" showErrorMessage="1" sqref="G22 G24 G26 G28 G30 G32 G34 G36 G38 G40 G44:G45 G47 G49 G51 G53 G55 G57 G59 G61 G63 G66 G68 G70 G72 G74 G76 G78 G81 G83 G85 G87 G89:G90 G92 G94 G98:G107">
      <formula1>"Hồ Chí Minh,Đồng Nai,Bình Dương,Hải Dương,Hà Nội ,Hải Phòng,Sóc Trăng,Cần Thơ,Mass,Đồng Tháp"</formula1>
    </dataValidation>
    <dataValidation type="list" allowBlank="1" showErrorMessage="1" sqref="T22 T24 T26 T28 T30 T32 T34 T36 T38 T40 T44:T45 T47 T49 T51 T53 T55 T57 T59 T61 T63 T65:T66 T68 T70 T72 T74 T76 T78 T80:T81 T83 T85 T87 T89:T90 T92 T94 T98:T107">
      <formula1>"Confirm,Không phù hợp,Đề xuất thêm"</formula1>
    </dataValidation>
    <dataValidation type="list" allowBlank="1" showErrorMessage="1" sqref="W22 W24 W26 W28 W30 W32 W34 W36 W38 W40 W44:W45 W47 W49 W51 W53 W55 W57 W59 W61 W63 W65:W66 W68 W70 W72 W74 W76 W78 W80:W81 W83 W85 W87 W89:W90 W92 W94 W98:W109">
      <formula1>"Ký Cá Nhân,Ký Công ty (VAT 8%),Ký HKD (6-7%),Chưa phản hồi"</formula1>
    </dataValidation>
    <dataValidation type="list" allowBlank="1" showErrorMessage="1" sqref="E22 E24 E26 E28 E30 E32 E34 E36 E38 E40 E44:E45 E47 E49 E51 E53 E55 E57 E59 E61 E63 E66 E68 E70 E72 E74 E76 E78 E81 E83 E85 E87 E89:E90 E92 E94 E98:E107">
      <formula1>"Nano,Macro,Micro"</formula1>
    </dataValidation>
    <dataValidation type="list" allowBlank="1" showErrorMessage="1" sqref="C22 C24 C26 C28 C30 C32 C34 C36 C38 C40 C44:C45 C47 C49 C51 C53 C55 C57 C59 C61 C63 C66 C68 C70 C72 C74 C76 C78 C81 C83 C85 C87 C89:C90 C92 C94 C98:C107">
      <formula1>"Tiktok,Facebook,Instagram,TikTok &amp; Facebook"</formula1>
    </dataValidation>
    <dataValidation type="list" allowBlank="1" showErrorMessage="1" sqref="X22 X24 X26 X28 X30 X32 X34 X36 X38 X40 X44:X45 X47 X49 X51 X53 X55 X57 X59 X61 X63 X65:X66 X68 X70 X72 X74 X76 X78 X80:X81 X83 X85 X87 X89:X90 X92 X94 X98:X109">
      <formula1>"Thanh Toán sau 100%, 30 ngày,Thanh Toán sau 100%, 14 ngày,Thanh toán 50/50, 14 ngày,Thanh toán 50/50, 30 ngày,Thanh toán trước 100%,Thanh toán 50/50, 7 ngày,Chưa phản hồi,Thanh toán 30/70, 14 ngày"</formula1>
    </dataValidation>
  </dataValidations>
  <hyperlinks>
    <hyperlink r:id="rId4" ref="F22"/>
    <hyperlink r:id="rId5" ref="H22"/>
    <hyperlink r:id="rId6" location="gid=1826739190" ref="Y22"/>
    <hyperlink r:id="rId7" ref="F24"/>
    <hyperlink r:id="rId8" ref="H24"/>
    <hyperlink r:id="rId9" ref="F26"/>
    <hyperlink r:id="rId10" ref="H26"/>
    <hyperlink r:id="rId11" location="gid=0" ref="Y26"/>
    <hyperlink r:id="rId12" ref="F28"/>
    <hyperlink r:id="rId13" ref="H28"/>
    <hyperlink r:id="rId14" ref="F30"/>
    <hyperlink r:id="rId15" ref="H30"/>
    <hyperlink r:id="rId16" ref="F32"/>
    <hyperlink r:id="rId17" ref="H32"/>
    <hyperlink r:id="rId18" ref="S32"/>
    <hyperlink r:id="rId19" location="gid=0" ref="Y32"/>
    <hyperlink r:id="rId20" ref="F34"/>
    <hyperlink r:id="rId21" ref="H34"/>
    <hyperlink r:id="rId22" location="gid=0" ref="Y34"/>
    <hyperlink r:id="rId23" ref="F36"/>
    <hyperlink r:id="rId24" ref="H36"/>
    <hyperlink r:id="rId25" location="gid=1826739190" ref="Y36"/>
    <hyperlink r:id="rId26" ref="F38"/>
    <hyperlink r:id="rId27" ref="H38"/>
    <hyperlink r:id="rId28" location="gid=0" ref="Y38"/>
    <hyperlink r:id="rId29" ref="F40"/>
    <hyperlink r:id="rId30" ref="H40"/>
    <hyperlink r:id="rId31" location="gid=0" ref="Y40"/>
    <hyperlink r:id="rId32" ref="F45"/>
    <hyperlink r:id="rId33" ref="H45"/>
    <hyperlink r:id="rId34" location="gid=1826739190" ref="Y45"/>
    <hyperlink r:id="rId35" ref="F47"/>
    <hyperlink r:id="rId36" ref="H47"/>
    <hyperlink r:id="rId37" location="gid=1826739190" ref="Y47"/>
    <hyperlink r:id="rId38" ref="F49"/>
    <hyperlink r:id="rId39" ref="H49"/>
    <hyperlink r:id="rId40" location="gid=1826739190" ref="Y49"/>
    <hyperlink r:id="rId41" ref="F51"/>
    <hyperlink r:id="rId42" ref="H51"/>
    <hyperlink r:id="rId43" location="gid=1826739190" ref="Y51"/>
    <hyperlink r:id="rId44" ref="F53"/>
    <hyperlink r:id="rId45" ref="H53"/>
    <hyperlink r:id="rId46" location="gid=1826739190" ref="Y53"/>
    <hyperlink r:id="rId47" ref="F55"/>
    <hyperlink r:id="rId48" ref="H55"/>
    <hyperlink r:id="rId49" location="gid=1826739190" ref="Y55"/>
    <hyperlink r:id="rId50" ref="F57"/>
    <hyperlink r:id="rId51" ref="H57"/>
    <hyperlink r:id="rId52" location="gid=1826739190" ref="Y57"/>
    <hyperlink r:id="rId53" ref="F59"/>
    <hyperlink r:id="rId54" ref="H59"/>
    <hyperlink r:id="rId55" location="gid=1826739190" ref="Y59"/>
    <hyperlink r:id="rId56" ref="F61"/>
    <hyperlink r:id="rId57" ref="H61"/>
    <hyperlink r:id="rId58" location="gid=1826739190" ref="Y61"/>
    <hyperlink r:id="rId59" ref="F63"/>
    <hyperlink r:id="rId60" ref="H63"/>
    <hyperlink r:id="rId61" location="gid=0" ref="Y63"/>
    <hyperlink r:id="rId62" ref="F66"/>
    <hyperlink r:id="rId63" ref="H66"/>
    <hyperlink r:id="rId64" location="gid=317397432" ref="Y66"/>
    <hyperlink r:id="rId65" location="gid=317397432" ref="Y67"/>
    <hyperlink r:id="rId66" ref="F68"/>
    <hyperlink r:id="rId67" ref="H68"/>
    <hyperlink r:id="rId68" location="gid=317397432" ref="Y68"/>
    <hyperlink r:id="rId69" location="gid=317397432" ref="Y69"/>
    <hyperlink r:id="rId70" ref="F70"/>
    <hyperlink r:id="rId71" ref="H70"/>
    <hyperlink r:id="rId72" location="gid=317397432" ref="Y70"/>
    <hyperlink r:id="rId73" location="gid=317397432" ref="Y71"/>
    <hyperlink r:id="rId74" ref="F72"/>
    <hyperlink r:id="rId75" ref="H72"/>
    <hyperlink r:id="rId76" location="gid=317397432" ref="Y72"/>
    <hyperlink r:id="rId77" location="gid=317397432" ref="Y73"/>
    <hyperlink r:id="rId78" ref="F74"/>
    <hyperlink r:id="rId79" ref="H74"/>
    <hyperlink r:id="rId80" location="gid=317397432" ref="Y74"/>
    <hyperlink r:id="rId81" location="gid=317397432" ref="Y75"/>
    <hyperlink r:id="rId82" ref="F76"/>
    <hyperlink r:id="rId83" ref="H76"/>
    <hyperlink r:id="rId84" location="gid=317397432" ref="Y76"/>
    <hyperlink r:id="rId85" location="gid=317397432" ref="Y77"/>
    <hyperlink r:id="rId86" ref="F78"/>
    <hyperlink r:id="rId87" ref="H78"/>
    <hyperlink r:id="rId88" location="gid=317397432" ref="Y78"/>
    <hyperlink r:id="rId89" location="gid=317397432" ref="Y79"/>
    <hyperlink r:id="rId90" ref="F81"/>
    <hyperlink r:id="rId91" ref="H81"/>
    <hyperlink r:id="rId92" location="gid=317397432" ref="Y81"/>
    <hyperlink r:id="rId93" location="gid=317397432" ref="Y82"/>
    <hyperlink r:id="rId94" ref="F83"/>
    <hyperlink r:id="rId95" ref="H83"/>
    <hyperlink r:id="rId96" location="gid=317397432" ref="Y83"/>
    <hyperlink r:id="rId97" location="gid=317397432" ref="Y84"/>
    <hyperlink r:id="rId98" ref="F85"/>
    <hyperlink r:id="rId99" ref="H85"/>
    <hyperlink r:id="rId100" location="gid=317397432" ref="Y85"/>
    <hyperlink r:id="rId101" location="gid=317397432" ref="Y86"/>
    <hyperlink r:id="rId102" ref="F87"/>
    <hyperlink r:id="rId103" ref="H87"/>
    <hyperlink r:id="rId104" location="gid=317397432" ref="Y87"/>
    <hyperlink r:id="rId105" location="gid=317397432" ref="Y88"/>
    <hyperlink r:id="rId106" ref="F90"/>
    <hyperlink r:id="rId107" ref="H90"/>
    <hyperlink r:id="rId108" location="gid=317397432" ref="Y90"/>
    <hyperlink r:id="rId109" location="gid=317397432" ref="Y91"/>
    <hyperlink r:id="rId110" ref="F92"/>
    <hyperlink r:id="rId111" ref="H92"/>
    <hyperlink r:id="rId112" location="gid=317397432" ref="Y92"/>
    <hyperlink r:id="rId113" location="gid=317397432" ref="Y93"/>
    <hyperlink r:id="rId114" ref="F94"/>
    <hyperlink r:id="rId115" ref="H94"/>
    <hyperlink r:id="rId116" location="gid=317397432" ref="Y94"/>
    <hyperlink r:id="rId117" location="gid=317397432" ref="Y95"/>
    <hyperlink r:id="rId118" ref="F98"/>
    <hyperlink r:id="rId119" location="gid=1537112938" ref="Y98"/>
    <hyperlink r:id="rId120" ref="F99"/>
    <hyperlink r:id="rId121" location="gid=1537112938" ref="Y99"/>
    <hyperlink r:id="rId122" ref="F100"/>
    <hyperlink r:id="rId123" location="gid=1537112938" ref="Y100"/>
    <hyperlink r:id="rId124" ref="F101"/>
    <hyperlink r:id="rId125" location="gid=1537112938" ref="Y101"/>
    <hyperlink r:id="rId126" ref="F102"/>
    <hyperlink r:id="rId127" location="gid=1537112938" ref="Y102"/>
    <hyperlink r:id="rId128" ref="F103"/>
    <hyperlink r:id="rId129" location="gid=1537112938" ref="Y103"/>
    <hyperlink r:id="rId130" ref="F104"/>
    <hyperlink r:id="rId131" ref="F105"/>
    <hyperlink r:id="rId132" location="gid=1537112938" ref="Y105"/>
    <hyperlink r:id="rId133" ref="F106"/>
    <hyperlink r:id="rId134" ref="F107"/>
    <hyperlink r:id="rId135" location="gid=1537112938" ref="Y107"/>
  </hyperlinks>
  <drawing r:id="rId136"/>
  <legacyDrawing r:id="rId13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3" width="13.25"/>
    <col customWidth="1" min="24" max="24" width="15.38"/>
    <col customWidth="1" min="25" max="25" width="14.88"/>
    <col customWidth="1" min="26" max="26" width="52.63"/>
    <col customWidth="1" min="27" max="27" width="18.75"/>
    <col customWidth="1" min="29" max="36" width="11.0"/>
    <col customWidth="1" min="37" max="37" width="28.63"/>
    <col customWidth="1" min="38" max="38" width="22.13"/>
    <col customWidth="1" min="41" max="41" width="35.38"/>
    <col customWidth="1" min="42" max="44" width="7.25"/>
  </cols>
  <sheetData>
    <row r="1" outlineLevel="1">
      <c r="A1" s="1" t="s">
        <v>1567</v>
      </c>
      <c r="B1" s="2"/>
      <c r="C1" s="2"/>
      <c r="D1" s="3"/>
      <c r="E1" s="2"/>
      <c r="F1" s="4"/>
      <c r="G1" s="2"/>
      <c r="H1" s="2"/>
      <c r="I1" s="2"/>
      <c r="J1" s="2"/>
      <c r="K1" s="5"/>
      <c r="L1" s="6"/>
      <c r="M1" s="6"/>
      <c r="N1" s="6"/>
      <c r="O1" s="6"/>
      <c r="P1" s="6"/>
      <c r="Q1" s="6"/>
      <c r="R1" s="7"/>
      <c r="S1" s="8"/>
      <c r="T1" s="8"/>
      <c r="U1" s="8"/>
      <c r="V1" s="8"/>
      <c r="W1" s="8"/>
      <c r="X1" s="8"/>
      <c r="Y1" s="8"/>
      <c r="Z1" s="580"/>
      <c r="AA1" s="581"/>
      <c r="AB1" s="3"/>
      <c r="AC1" s="3"/>
      <c r="AD1" s="3"/>
      <c r="AE1" s="3"/>
      <c r="AF1" s="3"/>
      <c r="AG1" s="3"/>
      <c r="AH1" s="3"/>
      <c r="AI1" s="3"/>
      <c r="AJ1" s="3"/>
      <c r="AK1" s="3"/>
      <c r="AL1" s="3"/>
      <c r="AM1" s="3"/>
      <c r="AN1" s="3"/>
      <c r="AO1" s="9"/>
      <c r="AP1" s="9"/>
      <c r="AQ1" s="9"/>
      <c r="AR1" s="9"/>
    </row>
    <row r="2" outlineLevel="1">
      <c r="A2" s="10"/>
      <c r="B2" s="11"/>
      <c r="C2" s="11"/>
      <c r="D2" s="11"/>
      <c r="E2" s="2"/>
      <c r="F2" s="4"/>
      <c r="G2" s="2"/>
      <c r="H2" s="2"/>
      <c r="I2" s="2"/>
      <c r="J2" s="2"/>
      <c r="K2" s="5"/>
      <c r="L2" s="6"/>
      <c r="M2" s="6"/>
      <c r="N2" s="6"/>
      <c r="O2" s="6"/>
      <c r="P2" s="6"/>
      <c r="Q2" s="6"/>
      <c r="R2" s="7"/>
      <c r="S2" s="8"/>
      <c r="T2" s="8"/>
      <c r="U2" s="8"/>
      <c r="V2" s="8"/>
      <c r="W2" s="8"/>
      <c r="X2" s="8"/>
      <c r="Y2" s="8"/>
      <c r="Z2" s="580"/>
      <c r="AA2" s="581"/>
      <c r="AB2" s="3"/>
      <c r="AC2" s="3"/>
      <c r="AD2" s="3"/>
      <c r="AE2" s="3"/>
      <c r="AF2" s="3"/>
      <c r="AG2" s="3"/>
      <c r="AH2" s="3"/>
      <c r="AI2" s="3"/>
      <c r="AJ2" s="3"/>
      <c r="AK2" s="3"/>
      <c r="AL2" s="3"/>
      <c r="AM2" s="3"/>
      <c r="AN2" s="3"/>
      <c r="AO2" s="9"/>
      <c r="AP2" s="9"/>
      <c r="AQ2" s="9"/>
      <c r="AR2" s="9"/>
    </row>
    <row r="3" ht="27.0" customHeight="1" outlineLevel="1">
      <c r="A3" s="12" t="s">
        <v>1</v>
      </c>
      <c r="B3" s="13" t="s">
        <v>2</v>
      </c>
      <c r="C3" s="14" t="s">
        <v>3</v>
      </c>
      <c r="D3" s="14" t="s">
        <v>4</v>
      </c>
      <c r="E3" s="15" t="s">
        <v>5</v>
      </c>
      <c r="J3" s="6"/>
      <c r="K3" s="2"/>
      <c r="L3" s="5"/>
      <c r="M3" s="6"/>
      <c r="N3" s="6"/>
      <c r="O3" s="6"/>
      <c r="P3" s="6"/>
      <c r="Q3" s="6"/>
      <c r="R3" s="6"/>
      <c r="S3" s="7"/>
      <c r="T3" s="7"/>
      <c r="U3" s="7"/>
      <c r="V3" s="7"/>
      <c r="W3" s="7"/>
      <c r="X3" s="8"/>
      <c r="Y3" s="8"/>
      <c r="Z3" s="580"/>
      <c r="AA3" s="8"/>
      <c r="AB3" s="581"/>
      <c r="AC3" s="3"/>
      <c r="AD3" s="3"/>
      <c r="AE3" s="3"/>
      <c r="AF3" s="3"/>
      <c r="AG3" s="3"/>
      <c r="AH3" s="3"/>
      <c r="AI3" s="3"/>
      <c r="AJ3" s="3"/>
      <c r="AK3" s="3"/>
      <c r="AL3" s="3"/>
      <c r="AM3" s="3"/>
      <c r="AN3" s="3"/>
      <c r="AO3" s="9"/>
      <c r="AP3" s="9"/>
      <c r="AQ3" s="9"/>
      <c r="AR3" s="9"/>
    </row>
    <row r="4" ht="27.0" customHeight="1" outlineLevel="1">
      <c r="A4" s="17"/>
      <c r="B4" s="18"/>
      <c r="C4" s="19" t="s">
        <v>6</v>
      </c>
      <c r="D4" s="20">
        <f>sum(D5,D7,D9:D10)</f>
        <v>39</v>
      </c>
      <c r="E4" s="20">
        <f>Sum(E5:E11)</f>
        <v>600000000</v>
      </c>
      <c r="J4" s="2"/>
      <c r="K4" s="2"/>
      <c r="L4" s="5"/>
      <c r="M4" s="6"/>
      <c r="N4" s="6"/>
      <c r="O4" s="6"/>
      <c r="P4" s="6"/>
      <c r="Q4" s="6"/>
      <c r="R4" s="6"/>
      <c r="S4" s="7"/>
      <c r="T4" s="7"/>
      <c r="U4" s="7"/>
      <c r="V4" s="7"/>
      <c r="W4" s="7"/>
      <c r="X4" s="672"/>
      <c r="Y4" s="672"/>
      <c r="Z4" s="673"/>
      <c r="AA4" s="672"/>
      <c r="AB4" s="674"/>
      <c r="AC4" s="219"/>
      <c r="AD4" s="3"/>
      <c r="AE4" s="3"/>
      <c r="AF4" s="3"/>
      <c r="AG4" s="3"/>
      <c r="AH4" s="3"/>
      <c r="AI4" s="3"/>
      <c r="AJ4" s="3"/>
      <c r="AK4" s="3"/>
      <c r="AL4" s="3"/>
      <c r="AM4" s="3"/>
      <c r="AN4" s="3"/>
      <c r="AO4" s="9"/>
      <c r="AP4" s="9"/>
      <c r="AQ4" s="9"/>
      <c r="AR4" s="9"/>
    </row>
    <row r="5" ht="27.0" customHeight="1" outlineLevel="1">
      <c r="A5" s="675">
        <v>1.0</v>
      </c>
      <c r="B5" s="22" t="str">
        <f>A20</f>
        <v>FOODY REVIEWER</v>
      </c>
      <c r="C5" s="23" t="s">
        <v>7</v>
      </c>
      <c r="D5" s="24">
        <f t="shared" ref="D5:D6" si="1">K20</f>
        <v>10</v>
      </c>
      <c r="E5" s="25">
        <f>Q20</f>
        <v>205000000</v>
      </c>
      <c r="J5" s="2"/>
      <c r="K5" s="2"/>
      <c r="L5" s="5"/>
      <c r="M5" s="6"/>
      <c r="N5" s="6"/>
      <c r="O5" s="6"/>
      <c r="P5" s="6"/>
      <c r="Q5" s="6"/>
      <c r="R5" s="6"/>
      <c r="S5" s="7"/>
      <c r="T5" s="7"/>
      <c r="U5" s="7"/>
      <c r="V5" s="7"/>
      <c r="W5" s="7"/>
      <c r="X5" s="672"/>
      <c r="Y5" s="672"/>
      <c r="Z5" s="673"/>
      <c r="AA5" s="672"/>
      <c r="AB5" s="674"/>
      <c r="AC5" s="219"/>
      <c r="AD5" s="3"/>
      <c r="AE5" s="3"/>
      <c r="AF5" s="3"/>
      <c r="AG5" s="3"/>
      <c r="AH5" s="3"/>
      <c r="AI5" s="3"/>
      <c r="AJ5" s="3"/>
      <c r="AK5" s="3"/>
      <c r="AL5" s="3"/>
      <c r="AM5" s="3"/>
      <c r="AN5" s="3"/>
      <c r="AO5" s="9"/>
      <c r="AP5" s="9"/>
      <c r="AQ5" s="9"/>
      <c r="AR5" s="9"/>
    </row>
    <row r="6" ht="27.0" customHeight="1" outlineLevel="1">
      <c r="A6" s="26"/>
      <c r="B6" s="26"/>
      <c r="C6" s="23" t="s">
        <v>8</v>
      </c>
      <c r="D6" s="24">
        <f t="shared" si="1"/>
        <v>5</v>
      </c>
      <c r="E6" s="26"/>
      <c r="J6" s="2"/>
      <c r="K6" s="2"/>
      <c r="L6" s="5"/>
      <c r="M6" s="6"/>
      <c r="N6" s="6"/>
      <c r="O6" s="6"/>
      <c r="P6" s="6"/>
      <c r="Q6" s="6"/>
      <c r="R6" s="6"/>
      <c r="S6" s="7"/>
      <c r="T6" s="7"/>
      <c r="U6" s="7"/>
      <c r="V6" s="7"/>
      <c r="W6" s="7"/>
      <c r="X6" s="672"/>
      <c r="Y6" s="672"/>
      <c r="Z6" s="673"/>
      <c r="AA6" s="672"/>
      <c r="AB6" s="674"/>
      <c r="AC6" s="219"/>
      <c r="AD6" s="3"/>
      <c r="AE6" s="3"/>
      <c r="AF6" s="3"/>
      <c r="AG6" s="3"/>
      <c r="AH6" s="3"/>
      <c r="AI6" s="3"/>
      <c r="AJ6" s="3"/>
      <c r="AK6" s="3"/>
      <c r="AL6" s="3"/>
      <c r="AM6" s="3"/>
      <c r="AN6" s="3"/>
      <c r="AO6" s="9"/>
      <c r="AP6" s="9"/>
      <c r="AQ6" s="9"/>
      <c r="AR6" s="9"/>
    </row>
    <row r="7" ht="27.0" customHeight="1" outlineLevel="1">
      <c r="A7" s="676">
        <v>2.0</v>
      </c>
      <c r="B7" s="22" t="str">
        <f>A50</f>
        <v>FOODY UGC</v>
      </c>
      <c r="C7" s="23" t="s">
        <v>7</v>
      </c>
      <c r="D7" s="24">
        <f t="shared" ref="D7:D8" si="2">K50</f>
        <v>19</v>
      </c>
      <c r="E7" s="25">
        <f>Q50</f>
        <v>159000000</v>
      </c>
      <c r="J7" s="2"/>
      <c r="K7" s="2"/>
      <c r="L7" s="5"/>
      <c r="M7" s="6"/>
      <c r="N7" s="6"/>
      <c r="O7" s="6"/>
      <c r="P7" s="6"/>
      <c r="Q7" s="6"/>
      <c r="R7" s="6"/>
      <c r="S7" s="7"/>
      <c r="T7" s="7"/>
      <c r="U7" s="7"/>
      <c r="V7" s="7"/>
      <c r="W7" s="7"/>
      <c r="X7" s="672"/>
      <c r="Y7" s="672"/>
      <c r="Z7" s="673"/>
      <c r="AA7" s="672"/>
      <c r="AB7" s="674"/>
      <c r="AC7" s="219"/>
      <c r="AD7" s="3"/>
      <c r="AE7" s="3"/>
      <c r="AF7" s="3"/>
      <c r="AG7" s="3"/>
      <c r="AH7" s="3"/>
      <c r="AI7" s="3"/>
      <c r="AJ7" s="3"/>
      <c r="AK7" s="3"/>
      <c r="AL7" s="3"/>
      <c r="AM7" s="3"/>
      <c r="AN7" s="3"/>
      <c r="AO7" s="9"/>
      <c r="AP7" s="9"/>
      <c r="AQ7" s="9"/>
      <c r="AR7" s="9"/>
    </row>
    <row r="8" ht="27.0" customHeight="1" outlineLevel="1">
      <c r="A8" s="26"/>
      <c r="B8" s="26"/>
      <c r="C8" s="23" t="s">
        <v>8</v>
      </c>
      <c r="D8" s="28">
        <f t="shared" si="2"/>
        <v>19</v>
      </c>
      <c r="E8" s="26"/>
      <c r="J8" s="2"/>
      <c r="K8" s="2"/>
      <c r="L8" s="5"/>
      <c r="M8" s="6"/>
      <c r="N8" s="6"/>
      <c r="O8" s="6"/>
      <c r="P8" s="6"/>
      <c r="Q8" s="6"/>
      <c r="R8" s="6"/>
      <c r="S8" s="7"/>
      <c r="T8" s="7"/>
      <c r="U8" s="7"/>
      <c r="V8" s="7"/>
      <c r="W8" s="7"/>
      <c r="X8" s="672"/>
      <c r="Y8" s="672"/>
      <c r="Z8" s="673"/>
      <c r="AA8" s="672"/>
      <c r="AB8" s="674"/>
      <c r="AC8" s="219"/>
      <c r="AD8" s="3"/>
      <c r="AE8" s="3"/>
      <c r="AF8" s="3"/>
      <c r="AG8" s="3"/>
      <c r="AH8" s="3"/>
      <c r="AI8" s="3"/>
      <c r="AJ8" s="3"/>
      <c r="AK8" s="3"/>
      <c r="AL8" s="3"/>
      <c r="AM8" s="3"/>
      <c r="AN8" s="3"/>
      <c r="AO8" s="9"/>
      <c r="AP8" s="9"/>
      <c r="AQ8" s="9"/>
      <c r="AR8" s="9"/>
    </row>
    <row r="9" ht="27.0" customHeight="1" outlineLevel="1">
      <c r="A9" s="676">
        <v>3.0</v>
      </c>
      <c r="B9" s="22" t="str">
        <f>A114</f>
        <v>FOODY COMMUNITY</v>
      </c>
      <c r="C9" s="23" t="s">
        <v>9</v>
      </c>
      <c r="D9" s="28">
        <f>K115</f>
        <v>5</v>
      </c>
      <c r="E9" s="25">
        <f>Q114</f>
        <v>216000000</v>
      </c>
      <c r="J9" s="2"/>
      <c r="K9" s="2"/>
      <c r="L9" s="5"/>
      <c r="M9" s="6"/>
      <c r="N9" s="6"/>
      <c r="O9" s="6"/>
      <c r="P9" s="6"/>
      <c r="Q9" s="6"/>
      <c r="R9" s="6"/>
      <c r="S9" s="7"/>
      <c r="T9" s="7"/>
      <c r="U9" s="7"/>
      <c r="V9" s="7"/>
      <c r="W9" s="7"/>
      <c r="X9" s="672"/>
      <c r="Y9" s="672"/>
      <c r="Z9" s="673"/>
      <c r="AA9" s="672"/>
      <c r="AB9" s="674"/>
      <c r="AC9" s="219"/>
      <c r="AD9" s="3"/>
      <c r="AE9" s="3"/>
      <c r="AF9" s="3"/>
      <c r="AG9" s="3"/>
      <c r="AH9" s="3"/>
      <c r="AI9" s="3"/>
      <c r="AJ9" s="3"/>
      <c r="AK9" s="3"/>
      <c r="AL9" s="3"/>
      <c r="AM9" s="3"/>
      <c r="AN9" s="3"/>
      <c r="AO9" s="9"/>
      <c r="AP9" s="9"/>
      <c r="AQ9" s="9"/>
      <c r="AR9" s="9"/>
    </row>
    <row r="10" ht="27.0" customHeight="1" outlineLevel="1">
      <c r="A10" s="26"/>
      <c r="B10" s="26"/>
      <c r="C10" s="29" t="s">
        <v>10</v>
      </c>
      <c r="D10" s="28">
        <f>K114</f>
        <v>5</v>
      </c>
      <c r="E10" s="26"/>
      <c r="J10" s="2"/>
      <c r="K10" s="2"/>
      <c r="L10" s="5"/>
      <c r="M10" s="6"/>
      <c r="N10" s="6"/>
      <c r="O10" s="6"/>
      <c r="P10" s="6"/>
      <c r="Q10" s="6"/>
      <c r="R10" s="6"/>
      <c r="S10" s="7"/>
      <c r="T10" s="7"/>
      <c r="U10" s="7"/>
      <c r="V10" s="7"/>
      <c r="W10" s="7"/>
      <c r="X10" s="672"/>
      <c r="Y10" s="672"/>
      <c r="Z10" s="673"/>
      <c r="AA10" s="672"/>
      <c r="AB10" s="674"/>
      <c r="AC10" s="219"/>
      <c r="AD10" s="3"/>
      <c r="AE10" s="3"/>
      <c r="AF10" s="3"/>
      <c r="AG10" s="3"/>
      <c r="AH10" s="3"/>
      <c r="AI10" s="3"/>
      <c r="AJ10" s="3"/>
      <c r="AK10" s="3"/>
      <c r="AL10" s="3"/>
      <c r="AM10" s="3"/>
      <c r="AN10" s="3"/>
      <c r="AO10" s="9"/>
      <c r="AP10" s="9"/>
      <c r="AQ10" s="9"/>
      <c r="AR10" s="9"/>
    </row>
    <row r="11" ht="27.0" customHeight="1" outlineLevel="1">
      <c r="A11" s="677">
        <v>4.0</v>
      </c>
      <c r="B11" s="31" t="str">
        <f>A126</f>
        <v>SEEDING PACKAGE</v>
      </c>
      <c r="C11" s="29" t="s">
        <v>11</v>
      </c>
      <c r="D11" s="28">
        <f>K127</f>
        <v>2000</v>
      </c>
      <c r="E11" s="32">
        <f>Q126</f>
        <v>20000000</v>
      </c>
      <c r="J11" s="2"/>
      <c r="K11" s="2"/>
      <c r="L11" s="5"/>
      <c r="M11" s="6"/>
      <c r="N11" s="6"/>
      <c r="O11" s="6"/>
      <c r="P11" s="6"/>
      <c r="Q11" s="6"/>
      <c r="R11" s="6"/>
      <c r="S11" s="7"/>
      <c r="T11" s="7"/>
      <c r="U11" s="7"/>
      <c r="V11" s="7"/>
      <c r="W11" s="7"/>
      <c r="X11" s="672"/>
      <c r="Y11" s="672"/>
      <c r="Z11" s="673"/>
      <c r="AA11" s="672"/>
      <c r="AB11" s="674"/>
      <c r="AC11" s="219"/>
      <c r="AD11" s="3"/>
      <c r="AE11" s="3"/>
      <c r="AF11" s="3"/>
      <c r="AG11" s="3"/>
      <c r="AH11" s="3"/>
      <c r="AI11" s="3"/>
      <c r="AJ11" s="3"/>
      <c r="AK11" s="3"/>
      <c r="AL11" s="3"/>
      <c r="AM11" s="3"/>
      <c r="AN11" s="3"/>
      <c r="AO11" s="9"/>
      <c r="AP11" s="9"/>
      <c r="AQ11" s="9"/>
      <c r="AR11" s="9"/>
    </row>
    <row r="12" ht="27.0" customHeight="1" outlineLevel="1">
      <c r="A12" s="33"/>
      <c r="B12" s="34" t="s">
        <v>12</v>
      </c>
      <c r="C12" s="35"/>
      <c r="D12" s="35"/>
      <c r="E12" s="36">
        <f>E4</f>
        <v>600000000</v>
      </c>
      <c r="K12" s="2"/>
      <c r="L12" s="5"/>
      <c r="M12" s="6"/>
      <c r="N12" s="6"/>
      <c r="O12" s="6"/>
      <c r="P12" s="6"/>
      <c r="Q12" s="6"/>
      <c r="R12" s="681"/>
      <c r="S12" s="7"/>
      <c r="T12" s="7"/>
      <c r="U12" s="7"/>
      <c r="V12" s="7"/>
      <c r="W12" s="7"/>
      <c r="X12" s="672"/>
      <c r="Y12" s="672"/>
      <c r="Z12" s="673"/>
      <c r="AA12" s="672"/>
      <c r="AB12" s="682"/>
      <c r="AC12" s="218"/>
      <c r="AD12" s="2"/>
      <c r="AE12" s="2"/>
      <c r="AF12" s="2"/>
      <c r="AG12" s="2"/>
      <c r="AH12" s="2"/>
      <c r="AI12" s="2"/>
      <c r="AJ12" s="2"/>
      <c r="AK12" s="2"/>
      <c r="AL12" s="2"/>
      <c r="AM12" s="2"/>
      <c r="AN12" s="2"/>
      <c r="AO12" s="9"/>
      <c r="AP12" s="9"/>
      <c r="AQ12" s="9"/>
      <c r="AR12" s="9"/>
    </row>
    <row r="13" ht="27.0" customHeight="1" outlineLevel="1">
      <c r="A13" s="38"/>
      <c r="B13" s="34" t="s">
        <v>13</v>
      </c>
      <c r="C13" s="39"/>
      <c r="D13" s="40">
        <v>0.12</v>
      </c>
      <c r="E13" s="41">
        <f>E12*D13</f>
        <v>72000000</v>
      </c>
      <c r="J13" s="42"/>
      <c r="K13" s="42"/>
      <c r="L13" s="43"/>
      <c r="M13" s="43"/>
      <c r="N13" s="43"/>
      <c r="O13" s="43"/>
      <c r="P13" s="43"/>
      <c r="Q13" s="43"/>
      <c r="R13" s="7"/>
      <c r="S13" s="8"/>
      <c r="T13" s="8"/>
      <c r="U13" s="8"/>
      <c r="V13" s="8"/>
      <c r="W13" s="8"/>
      <c r="X13" s="8"/>
      <c r="Y13" s="8"/>
      <c r="Z13" s="580"/>
      <c r="AA13" s="683"/>
      <c r="AB13" s="42"/>
      <c r="AC13" s="42"/>
      <c r="AD13" s="42"/>
      <c r="AE13" s="42"/>
      <c r="AF13" s="42"/>
      <c r="AG13" s="42"/>
      <c r="AH13" s="42"/>
      <c r="AI13" s="42"/>
      <c r="AJ13" s="42"/>
      <c r="AK13" s="43"/>
      <c r="AL13" s="43"/>
      <c r="AM13" s="43"/>
      <c r="AN13" s="43"/>
      <c r="AO13" s="9"/>
      <c r="AP13" s="9"/>
      <c r="AQ13" s="9"/>
      <c r="AR13" s="9"/>
    </row>
    <row r="14" ht="27.0" customHeight="1" outlineLevel="1">
      <c r="A14" s="38"/>
      <c r="B14" s="34" t="s">
        <v>14</v>
      </c>
      <c r="C14" s="39"/>
      <c r="D14" s="39"/>
      <c r="E14" s="41">
        <f>sum(E12:E13)</f>
        <v>672000000</v>
      </c>
      <c r="J14" s="42"/>
      <c r="K14" s="42"/>
      <c r="L14" s="43"/>
      <c r="M14" s="43"/>
      <c r="N14" s="43"/>
      <c r="O14" s="43"/>
      <c r="P14" s="43"/>
      <c r="Q14" s="43"/>
      <c r="R14" s="7"/>
      <c r="S14" s="8"/>
      <c r="T14" s="8"/>
      <c r="U14" s="8"/>
      <c r="V14" s="8"/>
      <c r="W14" s="8"/>
      <c r="X14" s="8"/>
      <c r="Y14" s="8"/>
      <c r="Z14" s="580"/>
      <c r="AA14" s="683"/>
      <c r="AB14" s="42"/>
      <c r="AC14" s="42"/>
      <c r="AD14" s="42"/>
      <c r="AE14" s="42"/>
      <c r="AF14" s="42"/>
      <c r="AG14" s="42"/>
      <c r="AH14" s="42"/>
      <c r="AI14" s="42"/>
      <c r="AJ14" s="42"/>
      <c r="AK14" s="43"/>
      <c r="AL14" s="43"/>
      <c r="AM14" s="43"/>
      <c r="AN14" s="43"/>
      <c r="AO14" s="9"/>
      <c r="AP14" s="9"/>
      <c r="AQ14" s="9"/>
      <c r="AR14" s="9"/>
    </row>
    <row r="15" ht="27.0" customHeight="1" outlineLevel="1">
      <c r="A15" s="38"/>
      <c r="B15" s="34" t="s">
        <v>15</v>
      </c>
      <c r="C15" s="39"/>
      <c r="D15" s="39"/>
      <c r="E15" s="41">
        <f>E14*1.08</f>
        <v>725760000</v>
      </c>
      <c r="J15" s="42"/>
      <c r="K15" s="42"/>
      <c r="L15" s="43"/>
      <c r="M15" s="43"/>
      <c r="N15" s="43"/>
      <c r="O15" s="43"/>
      <c r="P15" s="43"/>
      <c r="Q15" s="43"/>
      <c r="R15" s="7"/>
      <c r="S15" s="8"/>
      <c r="T15" s="8"/>
      <c r="U15" s="8"/>
      <c r="V15" s="8"/>
      <c r="W15" s="8"/>
      <c r="X15" s="8"/>
      <c r="Y15" s="8"/>
      <c r="Z15" s="580"/>
      <c r="AA15" s="683"/>
      <c r="AB15" s="42"/>
      <c r="AC15" s="42"/>
      <c r="AD15" s="42"/>
      <c r="AE15" s="42"/>
      <c r="AF15" s="42"/>
      <c r="AG15" s="42"/>
      <c r="AH15" s="42"/>
      <c r="AI15" s="42"/>
      <c r="AJ15" s="42"/>
      <c r="AK15" s="43"/>
      <c r="AL15" s="43"/>
      <c r="AM15" s="43"/>
      <c r="AN15" s="43"/>
      <c r="AO15" s="9"/>
      <c r="AP15" s="9"/>
      <c r="AQ15" s="9"/>
      <c r="AR15" s="9"/>
    </row>
    <row r="16" outlineLevel="1">
      <c r="A16" s="38"/>
      <c r="B16" s="44"/>
      <c r="C16" s="42"/>
      <c r="D16" s="42"/>
      <c r="E16" s="42"/>
      <c r="J16" s="42"/>
      <c r="K16" s="42"/>
      <c r="L16" s="43"/>
      <c r="M16" s="43"/>
      <c r="N16" s="43"/>
      <c r="O16" s="43"/>
      <c r="P16" s="43"/>
      <c r="Q16" s="43"/>
      <c r="R16" s="7"/>
      <c r="S16" s="8"/>
      <c r="T16" s="8"/>
      <c r="U16" s="8"/>
      <c r="V16" s="8"/>
      <c r="W16" s="8"/>
      <c r="X16" s="8"/>
      <c r="Y16" s="8"/>
      <c r="Z16" s="580"/>
      <c r="AA16" s="683"/>
      <c r="AB16" s="42"/>
      <c r="AC16" s="42"/>
      <c r="AD16" s="42"/>
      <c r="AE16" s="42"/>
      <c r="AF16" s="42"/>
      <c r="AG16" s="42"/>
      <c r="AH16" s="42"/>
      <c r="AI16" s="42"/>
      <c r="AJ16" s="42"/>
      <c r="AK16" s="43"/>
      <c r="AL16" s="43"/>
      <c r="AM16" s="43"/>
      <c r="AN16" s="43"/>
      <c r="AO16" s="9"/>
      <c r="AP16" s="9"/>
      <c r="AQ16" s="9"/>
      <c r="AR16" s="9"/>
    </row>
    <row r="17" outlineLevel="1">
      <c r="R17" s="892"/>
      <c r="S17" s="8"/>
      <c r="T17" s="8"/>
      <c r="U17" s="8"/>
      <c r="V17" s="8"/>
      <c r="W17" s="8"/>
      <c r="X17" s="8"/>
      <c r="Y17" s="8"/>
      <c r="Z17" s="580"/>
      <c r="AA17" s="685" t="s">
        <v>891</v>
      </c>
      <c r="AB17" s="686"/>
      <c r="AC17" s="687" t="s">
        <v>892</v>
      </c>
      <c r="AD17" s="688"/>
      <c r="AE17" s="688"/>
      <c r="AF17" s="688"/>
      <c r="AG17" s="688"/>
      <c r="AH17" s="688"/>
      <c r="AI17" s="688"/>
      <c r="AJ17" s="688"/>
      <c r="AK17" s="686"/>
      <c r="AL17" s="686"/>
      <c r="AM17" s="686"/>
      <c r="AN17" s="689"/>
      <c r="AO17" s="9"/>
      <c r="AP17" s="9"/>
      <c r="AQ17" s="9"/>
      <c r="AR17" s="9"/>
    </row>
    <row r="18" ht="44.25" customHeight="1" outlineLevel="1">
      <c r="A18" s="43"/>
      <c r="B18" s="43"/>
      <c r="C18" s="43"/>
      <c r="D18" s="43"/>
      <c r="E18" s="43"/>
      <c r="G18" s="43"/>
      <c r="H18" s="43"/>
      <c r="K18" s="43"/>
      <c r="L18" s="43"/>
      <c r="M18" s="43"/>
      <c r="N18" s="43"/>
      <c r="O18" s="43"/>
      <c r="P18" s="43"/>
      <c r="Q18" s="43"/>
      <c r="R18" s="690"/>
      <c r="S18" s="47"/>
      <c r="T18" s="47"/>
      <c r="U18" s="47"/>
      <c r="V18" s="47"/>
      <c r="W18" s="47"/>
      <c r="X18" s="47"/>
      <c r="Y18" s="47"/>
      <c r="Z18" s="691"/>
      <c r="AA18" s="692" t="s">
        <v>893</v>
      </c>
      <c r="AB18" s="693" t="s">
        <v>894</v>
      </c>
      <c r="AC18" s="694" t="s">
        <v>38</v>
      </c>
      <c r="AD18" s="688"/>
      <c r="AE18" s="688"/>
      <c r="AF18" s="688"/>
      <c r="AG18" s="695" t="s">
        <v>320</v>
      </c>
      <c r="AH18" s="696"/>
      <c r="AI18" s="696"/>
      <c r="AJ18" s="697"/>
      <c r="AK18" s="698" t="s">
        <v>895</v>
      </c>
      <c r="AL18" s="693" t="s">
        <v>896</v>
      </c>
      <c r="AM18" s="693" t="s">
        <v>897</v>
      </c>
      <c r="AN18" s="693" t="s">
        <v>898</v>
      </c>
      <c r="AO18" s="9"/>
      <c r="AP18" s="9"/>
      <c r="AQ18" s="9"/>
      <c r="AR18" s="9"/>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33</v>
      </c>
      <c r="U19" s="53" t="s">
        <v>34</v>
      </c>
      <c r="V19" s="54"/>
      <c r="W19" s="54"/>
      <c r="X19" s="703" t="s">
        <v>899</v>
      </c>
      <c r="Y19" s="703" t="s">
        <v>900</v>
      </c>
      <c r="Z19" s="704"/>
      <c r="AA19" s="705"/>
      <c r="AB19" s="706"/>
      <c r="AC19" s="707" t="s">
        <v>901</v>
      </c>
      <c r="AD19" s="707" t="s">
        <v>902</v>
      </c>
      <c r="AE19" s="707" t="s">
        <v>903</v>
      </c>
      <c r="AF19" s="707" t="s">
        <v>904</v>
      </c>
      <c r="AG19" s="708" t="s">
        <v>901</v>
      </c>
      <c r="AH19" s="708" t="s">
        <v>902</v>
      </c>
      <c r="AI19" s="708" t="s">
        <v>903</v>
      </c>
      <c r="AJ19" s="708" t="s">
        <v>904</v>
      </c>
      <c r="AK19" s="707" t="s">
        <v>905</v>
      </c>
      <c r="AL19" s="706"/>
      <c r="AM19" s="706"/>
      <c r="AN19" s="706"/>
      <c r="AO19" s="9"/>
      <c r="AP19" s="9"/>
      <c r="AQ19" s="9"/>
      <c r="AR19" s="9"/>
    </row>
    <row r="20" ht="30.0" customHeight="1">
      <c r="A20" s="55" t="s">
        <v>35</v>
      </c>
      <c r="B20" s="56"/>
      <c r="C20" s="57"/>
      <c r="D20" s="58"/>
      <c r="E20" s="59"/>
      <c r="F20" s="60"/>
      <c r="G20" s="61"/>
      <c r="H20" s="61"/>
      <c r="I20" s="62"/>
      <c r="J20" s="63" t="s">
        <v>7</v>
      </c>
      <c r="K20" s="64">
        <f>SUMIFS(K22:K49,J22:J49,"Video Post")</f>
        <v>10</v>
      </c>
      <c r="L20" s="65"/>
      <c r="M20" s="66">
        <f t="shared" ref="M20:N20" si="3">sumif($I$22:$I$49,"TRUE",M22:M49)</f>
        <v>805000</v>
      </c>
      <c r="N20" s="66">
        <f t="shared" si="3"/>
        <v>31700</v>
      </c>
      <c r="O20" s="65"/>
      <c r="P20" s="65"/>
      <c r="Q20" s="66">
        <f>sum(Q22:Q49)</f>
        <v>205000000</v>
      </c>
      <c r="R20" s="67"/>
      <c r="S20" s="68"/>
      <c r="T20" s="68"/>
      <c r="U20" s="68"/>
      <c r="V20" s="69"/>
      <c r="W20" s="69"/>
      <c r="X20" s="717"/>
      <c r="Y20" s="717"/>
      <c r="Z20" s="718"/>
      <c r="AA20" s="719"/>
      <c r="AB20" s="720"/>
      <c r="AC20" s="721"/>
      <c r="AD20" s="721"/>
      <c r="AE20" s="721"/>
      <c r="AF20" s="722"/>
      <c r="AG20" s="723"/>
      <c r="AH20" s="721"/>
      <c r="AI20" s="721"/>
      <c r="AJ20" s="721"/>
      <c r="AK20" s="724"/>
      <c r="AL20" s="724"/>
      <c r="AM20" s="724"/>
      <c r="AN20" s="725"/>
      <c r="AO20" s="9"/>
      <c r="AP20" s="9"/>
      <c r="AQ20" s="9"/>
      <c r="AR20" s="9"/>
    </row>
    <row r="21" ht="30.0" customHeight="1">
      <c r="A21" s="70"/>
      <c r="B21" s="71"/>
      <c r="C21" s="57"/>
      <c r="D21" s="58"/>
      <c r="E21" s="59"/>
      <c r="F21" s="60"/>
      <c r="G21" s="61"/>
      <c r="H21" s="61"/>
      <c r="I21" s="62"/>
      <c r="J21" s="63" t="s">
        <v>8</v>
      </c>
      <c r="K21" s="64">
        <f>SUMIFS(K22:K49,J22:J49,"Tháng")</f>
        <v>5</v>
      </c>
      <c r="L21" s="65"/>
      <c r="M21" s="72"/>
      <c r="N21" s="72"/>
      <c r="O21" s="65"/>
      <c r="P21" s="65"/>
      <c r="Q21" s="72"/>
      <c r="R21" s="67"/>
      <c r="S21" s="72"/>
      <c r="T21" s="72"/>
      <c r="U21" s="72"/>
      <c r="V21" s="69"/>
      <c r="W21" s="69"/>
      <c r="X21" s="717"/>
      <c r="Y21" s="717"/>
      <c r="Z21" s="728"/>
      <c r="AA21" s="719"/>
      <c r="AB21" s="720"/>
      <c r="AC21" s="721"/>
      <c r="AD21" s="721"/>
      <c r="AE21" s="721"/>
      <c r="AF21" s="722"/>
      <c r="AG21" s="723"/>
      <c r="AH21" s="721"/>
      <c r="AI21" s="721"/>
      <c r="AJ21" s="721"/>
      <c r="AK21" s="724"/>
      <c r="AL21" s="724"/>
      <c r="AM21" s="724"/>
      <c r="AN21" s="725"/>
      <c r="AO21" s="9"/>
      <c r="AP21" s="9"/>
      <c r="AQ21" s="9"/>
      <c r="AR21" s="9"/>
    </row>
    <row r="22" ht="59.25" customHeight="1" outlineLevel="1">
      <c r="A22" s="73" t="s">
        <v>36</v>
      </c>
      <c r="B22" s="74" t="s">
        <v>37</v>
      </c>
      <c r="C22" s="75" t="s">
        <v>38</v>
      </c>
      <c r="D22" s="76" t="s">
        <v>39</v>
      </c>
      <c r="E22" s="77" t="s">
        <v>40</v>
      </c>
      <c r="F22" s="78" t="s">
        <v>21</v>
      </c>
      <c r="G22" s="79" t="s">
        <v>41</v>
      </c>
      <c r="H22" s="80" t="s">
        <v>1568</v>
      </c>
      <c r="I22" s="81" t="b">
        <v>1</v>
      </c>
      <c r="J22" s="82" t="s">
        <v>7</v>
      </c>
      <c r="K22" s="83">
        <f t="shared" ref="K22:K49" si="4">if(I22=True,1,if(I22=False,0))</f>
        <v>1</v>
      </c>
      <c r="L22" s="84">
        <v>1.6E7</v>
      </c>
      <c r="M22" s="84">
        <f t="shared" ref="M22:M32" si="5">(sum(AC22:AD22)+sum(AG22:AH22))*K22</f>
        <v>50000</v>
      </c>
      <c r="N22" s="84">
        <f t="shared" ref="N22:N32" si="6">(sum(AE22:AF22)+sum(AI22:AJ22))*K22</f>
        <v>3000</v>
      </c>
      <c r="O22" s="84">
        <f t="shared" ref="O22:O32" si="7">IFERROR(Q22/M22,"-")</f>
        <v>320</v>
      </c>
      <c r="P22" s="84">
        <f t="shared" ref="P22:P32" si="8">IFERROR(Q22/N22,"-")</f>
        <v>5333.333333</v>
      </c>
      <c r="Q22" s="84">
        <f t="shared" ref="Q22:Q49" si="9">iferror(L22*K22,"-")</f>
        <v>16000000</v>
      </c>
      <c r="R22" s="75" t="s">
        <v>1569</v>
      </c>
      <c r="S22" s="85" t="s">
        <v>44</v>
      </c>
      <c r="T22" s="85"/>
      <c r="U22" s="86" t="s">
        <v>45</v>
      </c>
      <c r="V22" s="87"/>
      <c r="W22" s="87"/>
      <c r="X22" s="740"/>
      <c r="Y22" s="740"/>
      <c r="Z22" s="741" t="s">
        <v>1570</v>
      </c>
      <c r="AA22" s="742">
        <f>2200000/0.9</f>
        <v>2444444.444</v>
      </c>
      <c r="AB22" s="743">
        <v>6.0</v>
      </c>
      <c r="AC22" s="744">
        <v>20000.0</v>
      </c>
      <c r="AD22" s="744">
        <v>30000.0</v>
      </c>
      <c r="AE22" s="744">
        <v>1000.0</v>
      </c>
      <c r="AF22" s="745">
        <v>2000.0</v>
      </c>
      <c r="AG22" s="746"/>
      <c r="AH22" s="744"/>
      <c r="AI22" s="744"/>
      <c r="AJ22" s="744"/>
      <c r="AK22" s="747">
        <f t="shared" ref="AK22:AK49" si="10">(AD22*2+AF22*50+AH22*10+AJ22*50)*K22</f>
        <v>160000</v>
      </c>
      <c r="AL22" s="747">
        <f t="shared" ref="AL22:AL49" si="11">sum(AA22,AK22)*K22</f>
        <v>2604444.444</v>
      </c>
      <c r="AM22" s="747">
        <f t="shared" ref="AM22:AM49" si="12">iferror(Q22-AL22,"-")</f>
        <v>13395555.56</v>
      </c>
      <c r="AN22" s="748">
        <f t="shared" ref="AN22:AN49" si="13">iferror(AM22/Q22,"-")</f>
        <v>0.8372222222</v>
      </c>
      <c r="AO22" s="9"/>
      <c r="AP22" s="9"/>
      <c r="AQ22" s="9"/>
      <c r="AR22" s="9"/>
    </row>
    <row r="23" ht="59.25" customHeight="1" outlineLevel="1">
      <c r="A23" s="72"/>
      <c r="B23" s="72"/>
      <c r="C23" s="72"/>
      <c r="D23" s="72"/>
      <c r="E23" s="72"/>
      <c r="F23" s="72"/>
      <c r="G23" s="72"/>
      <c r="H23" s="88" t="s">
        <v>1571</v>
      </c>
      <c r="I23" s="81" t="b">
        <v>1</v>
      </c>
      <c r="J23" s="82" t="s">
        <v>47</v>
      </c>
      <c r="K23" s="83">
        <f t="shared" si="4"/>
        <v>1</v>
      </c>
      <c r="L23" s="84">
        <v>8000000.0</v>
      </c>
      <c r="M23" s="84">
        <f t="shared" si="5"/>
        <v>0</v>
      </c>
      <c r="N23" s="84">
        <f t="shared" si="6"/>
        <v>0</v>
      </c>
      <c r="O23" s="84" t="str">
        <f t="shared" si="7"/>
        <v>-</v>
      </c>
      <c r="P23" s="84" t="str">
        <f t="shared" si="8"/>
        <v>-</v>
      </c>
      <c r="Q23" s="84">
        <f t="shared" si="9"/>
        <v>8000000</v>
      </c>
      <c r="R23" s="72"/>
      <c r="S23" s="72"/>
      <c r="T23" s="72"/>
      <c r="U23" s="72"/>
      <c r="V23" s="87"/>
      <c r="W23" s="87"/>
      <c r="X23" s="26"/>
      <c r="Y23" s="26"/>
      <c r="Z23" s="751" t="s">
        <v>910</v>
      </c>
      <c r="AA23" s="742">
        <v>0.0</v>
      </c>
      <c r="AB23" s="743">
        <v>4.0</v>
      </c>
      <c r="AC23" s="744"/>
      <c r="AD23" s="744"/>
      <c r="AE23" s="744"/>
      <c r="AF23" s="745"/>
      <c r="AG23" s="746"/>
      <c r="AH23" s="744"/>
      <c r="AI23" s="744"/>
      <c r="AJ23" s="744"/>
      <c r="AK23" s="747">
        <f t="shared" si="10"/>
        <v>0</v>
      </c>
      <c r="AL23" s="747">
        <f t="shared" si="11"/>
        <v>0</v>
      </c>
      <c r="AM23" s="747">
        <f t="shared" si="12"/>
        <v>8000000</v>
      </c>
      <c r="AN23" s="748">
        <f t="shared" si="13"/>
        <v>1</v>
      </c>
      <c r="AO23" s="9"/>
      <c r="AP23" s="9"/>
      <c r="AQ23" s="9"/>
      <c r="AR23" s="9"/>
    </row>
    <row r="24" ht="59.25" customHeight="1" outlineLevel="1">
      <c r="A24" s="73" t="s">
        <v>36</v>
      </c>
      <c r="B24" s="89" t="s">
        <v>48</v>
      </c>
      <c r="C24" s="75" t="s">
        <v>38</v>
      </c>
      <c r="D24" s="76" t="s">
        <v>49</v>
      </c>
      <c r="E24" s="77" t="s">
        <v>40</v>
      </c>
      <c r="F24" s="78" t="s">
        <v>21</v>
      </c>
      <c r="G24" s="79" t="s">
        <v>50</v>
      </c>
      <c r="H24" s="80" t="s">
        <v>1572</v>
      </c>
      <c r="I24" s="81" t="b">
        <v>1</v>
      </c>
      <c r="J24" s="82" t="s">
        <v>7</v>
      </c>
      <c r="K24" s="83">
        <f t="shared" si="4"/>
        <v>1</v>
      </c>
      <c r="L24" s="84">
        <f>round(AA24*(1+AB24),-6)</f>
        <v>12000000</v>
      </c>
      <c r="M24" s="84">
        <f t="shared" si="5"/>
        <v>100000</v>
      </c>
      <c r="N24" s="84">
        <f t="shared" si="6"/>
        <v>3000</v>
      </c>
      <c r="O24" s="84">
        <f t="shared" si="7"/>
        <v>120</v>
      </c>
      <c r="P24" s="84">
        <f t="shared" si="8"/>
        <v>4000</v>
      </c>
      <c r="Q24" s="84">
        <f t="shared" si="9"/>
        <v>12000000</v>
      </c>
      <c r="R24" s="75" t="s">
        <v>1573</v>
      </c>
      <c r="S24" s="85" t="s">
        <v>53</v>
      </c>
      <c r="T24" s="85"/>
      <c r="U24" s="86" t="s">
        <v>45</v>
      </c>
      <c r="V24" s="87"/>
      <c r="W24" s="87"/>
      <c r="X24" s="740"/>
      <c r="Y24" s="740"/>
      <c r="Z24" s="751" t="s">
        <v>913</v>
      </c>
      <c r="AA24" s="742">
        <f>5500000/0.9</f>
        <v>6111111.111</v>
      </c>
      <c r="AB24" s="743">
        <v>1.0</v>
      </c>
      <c r="AC24" s="744">
        <v>50000.0</v>
      </c>
      <c r="AD24" s="744">
        <v>50000.0</v>
      </c>
      <c r="AE24" s="744">
        <v>1000.0</v>
      </c>
      <c r="AF24" s="745">
        <v>2000.0</v>
      </c>
      <c r="AG24" s="746"/>
      <c r="AH24" s="744"/>
      <c r="AI24" s="744"/>
      <c r="AJ24" s="744"/>
      <c r="AK24" s="747">
        <f t="shared" si="10"/>
        <v>200000</v>
      </c>
      <c r="AL24" s="747">
        <f t="shared" si="11"/>
        <v>6311111.111</v>
      </c>
      <c r="AM24" s="747">
        <f t="shared" si="12"/>
        <v>5688888.889</v>
      </c>
      <c r="AN24" s="748">
        <f t="shared" si="13"/>
        <v>0.4740740741</v>
      </c>
      <c r="AO24" s="9"/>
      <c r="AP24" s="9"/>
      <c r="AQ24" s="9"/>
      <c r="AR24" s="9"/>
    </row>
    <row r="25" ht="59.25" customHeight="1" outlineLevel="1">
      <c r="A25" s="72"/>
      <c r="B25" s="72"/>
      <c r="C25" s="72"/>
      <c r="D25" s="72"/>
      <c r="E25" s="72"/>
      <c r="F25" s="72"/>
      <c r="G25" s="72"/>
      <c r="H25" s="88" t="s">
        <v>1574</v>
      </c>
      <c r="I25" s="81" t="b">
        <v>1</v>
      </c>
      <c r="J25" s="82" t="s">
        <v>47</v>
      </c>
      <c r="K25" s="83">
        <f t="shared" si="4"/>
        <v>1</v>
      </c>
      <c r="L25" s="90">
        <v>6000000.0</v>
      </c>
      <c r="M25" s="84">
        <f t="shared" si="5"/>
        <v>0</v>
      </c>
      <c r="N25" s="84">
        <f t="shared" si="6"/>
        <v>0</v>
      </c>
      <c r="O25" s="84" t="str">
        <f t="shared" si="7"/>
        <v>-</v>
      </c>
      <c r="P25" s="84" t="str">
        <f t="shared" si="8"/>
        <v>-</v>
      </c>
      <c r="Q25" s="84">
        <f t="shared" si="9"/>
        <v>6000000</v>
      </c>
      <c r="R25" s="72"/>
      <c r="S25" s="72"/>
      <c r="T25" s="72"/>
      <c r="U25" s="72"/>
      <c r="V25" s="9"/>
      <c r="W25" s="9"/>
      <c r="X25" s="26"/>
      <c r="Y25" s="26"/>
      <c r="Z25" s="751" t="s">
        <v>915</v>
      </c>
      <c r="AA25" s="742">
        <v>0.0</v>
      </c>
      <c r="AB25" s="743"/>
      <c r="AC25" s="744"/>
      <c r="AD25" s="744"/>
      <c r="AE25" s="744"/>
      <c r="AF25" s="745"/>
      <c r="AG25" s="746"/>
      <c r="AH25" s="744"/>
      <c r="AI25" s="744"/>
      <c r="AJ25" s="744"/>
      <c r="AK25" s="747">
        <f t="shared" si="10"/>
        <v>0</v>
      </c>
      <c r="AL25" s="747">
        <f t="shared" si="11"/>
        <v>0</v>
      </c>
      <c r="AM25" s="747">
        <f t="shared" si="12"/>
        <v>6000000</v>
      </c>
      <c r="AN25" s="748">
        <f t="shared" si="13"/>
        <v>1</v>
      </c>
      <c r="AO25" s="9"/>
      <c r="AP25" s="9"/>
      <c r="AQ25" s="9"/>
      <c r="AR25" s="9"/>
    </row>
    <row r="26" ht="59.25" customHeight="1" outlineLevel="1">
      <c r="A26" s="73" t="s">
        <v>36</v>
      </c>
      <c r="B26" s="89" t="s">
        <v>55</v>
      </c>
      <c r="C26" s="75" t="s">
        <v>38</v>
      </c>
      <c r="D26" s="76" t="s">
        <v>56</v>
      </c>
      <c r="E26" s="77" t="s">
        <v>40</v>
      </c>
      <c r="F26" s="78" t="s">
        <v>21</v>
      </c>
      <c r="G26" s="79" t="s">
        <v>50</v>
      </c>
      <c r="H26" s="80" t="s">
        <v>1575</v>
      </c>
      <c r="I26" s="81" t="b">
        <v>1</v>
      </c>
      <c r="J26" s="82" t="s">
        <v>7</v>
      </c>
      <c r="K26" s="83">
        <f t="shared" si="4"/>
        <v>1</v>
      </c>
      <c r="L26" s="84">
        <f t="shared" ref="L26:L28" si="14">round(AA26*(1+AB26),-6)</f>
        <v>20000000</v>
      </c>
      <c r="M26" s="84">
        <f t="shared" si="5"/>
        <v>130000</v>
      </c>
      <c r="N26" s="84">
        <f t="shared" si="6"/>
        <v>4000</v>
      </c>
      <c r="O26" s="84">
        <f t="shared" si="7"/>
        <v>153.8461538</v>
      </c>
      <c r="P26" s="84">
        <f t="shared" si="8"/>
        <v>5000</v>
      </c>
      <c r="Q26" s="84">
        <f t="shared" si="9"/>
        <v>20000000</v>
      </c>
      <c r="R26" s="75" t="s">
        <v>1576</v>
      </c>
      <c r="S26" s="85" t="s">
        <v>59</v>
      </c>
      <c r="T26" s="85"/>
      <c r="U26" s="86" t="s">
        <v>45</v>
      </c>
      <c r="V26" s="87"/>
      <c r="W26" s="87"/>
      <c r="X26" s="740"/>
      <c r="Y26" s="740"/>
      <c r="Z26" s="741" t="s">
        <v>918</v>
      </c>
      <c r="AA26" s="742">
        <f>12000000/0.9</f>
        <v>13333333.33</v>
      </c>
      <c r="AB26" s="743">
        <v>0.5</v>
      </c>
      <c r="AC26" s="744">
        <v>80000.0</v>
      </c>
      <c r="AD26" s="744">
        <v>50000.0</v>
      </c>
      <c r="AE26" s="744">
        <v>2000.0</v>
      </c>
      <c r="AF26" s="745">
        <v>2000.0</v>
      </c>
      <c r="AG26" s="746"/>
      <c r="AH26" s="744"/>
      <c r="AI26" s="744"/>
      <c r="AJ26" s="744"/>
      <c r="AK26" s="747">
        <f t="shared" si="10"/>
        <v>200000</v>
      </c>
      <c r="AL26" s="747">
        <f t="shared" si="11"/>
        <v>13533333.33</v>
      </c>
      <c r="AM26" s="747">
        <f t="shared" si="12"/>
        <v>6466666.667</v>
      </c>
      <c r="AN26" s="748">
        <f t="shared" si="13"/>
        <v>0.3233333333</v>
      </c>
      <c r="AO26" s="9"/>
      <c r="AP26" s="9"/>
      <c r="AQ26" s="9"/>
      <c r="AR26" s="9"/>
    </row>
    <row r="27" ht="59.25" customHeight="1" outlineLevel="1">
      <c r="A27" s="72"/>
      <c r="B27" s="72"/>
      <c r="C27" s="72"/>
      <c r="D27" s="72"/>
      <c r="E27" s="72"/>
      <c r="F27" s="72"/>
      <c r="G27" s="72"/>
      <c r="H27" s="88" t="s">
        <v>1577</v>
      </c>
      <c r="I27" s="81" t="b">
        <v>1</v>
      </c>
      <c r="J27" s="82" t="s">
        <v>47</v>
      </c>
      <c r="K27" s="83">
        <f t="shared" si="4"/>
        <v>1</v>
      </c>
      <c r="L27" s="84">
        <f t="shared" si="14"/>
        <v>13000000</v>
      </c>
      <c r="M27" s="84">
        <f t="shared" si="5"/>
        <v>0</v>
      </c>
      <c r="N27" s="84">
        <f t="shared" si="6"/>
        <v>0</v>
      </c>
      <c r="O27" s="84" t="str">
        <f t="shared" si="7"/>
        <v>-</v>
      </c>
      <c r="P27" s="84" t="str">
        <f t="shared" si="8"/>
        <v>-</v>
      </c>
      <c r="Q27" s="84">
        <f t="shared" si="9"/>
        <v>13000000</v>
      </c>
      <c r="R27" s="72"/>
      <c r="S27" s="72"/>
      <c r="T27" s="72"/>
      <c r="U27" s="72"/>
      <c r="V27" s="9"/>
      <c r="W27" s="9"/>
      <c r="X27" s="26"/>
      <c r="Y27" s="26"/>
      <c r="Z27" s="751" t="s">
        <v>910</v>
      </c>
      <c r="AA27" s="742">
        <f>8000000/0.9</f>
        <v>8888888.889</v>
      </c>
      <c r="AB27" s="743">
        <v>0.5</v>
      </c>
      <c r="AC27" s="744"/>
      <c r="AD27" s="744"/>
      <c r="AE27" s="744"/>
      <c r="AF27" s="745"/>
      <c r="AG27" s="746"/>
      <c r="AH27" s="744"/>
      <c r="AI27" s="744"/>
      <c r="AJ27" s="744"/>
      <c r="AK27" s="747">
        <f t="shared" si="10"/>
        <v>0</v>
      </c>
      <c r="AL27" s="747">
        <f t="shared" si="11"/>
        <v>8888888.889</v>
      </c>
      <c r="AM27" s="747">
        <f t="shared" si="12"/>
        <v>4111111.111</v>
      </c>
      <c r="AN27" s="748">
        <f t="shared" si="13"/>
        <v>0.3162393162</v>
      </c>
      <c r="AO27" s="9"/>
      <c r="AP27" s="9"/>
      <c r="AQ27" s="9"/>
      <c r="AR27" s="9"/>
    </row>
    <row r="28" ht="59.25" customHeight="1" outlineLevel="1">
      <c r="A28" s="73" t="s">
        <v>36</v>
      </c>
      <c r="B28" s="89" t="s">
        <v>61</v>
      </c>
      <c r="C28" s="75" t="s">
        <v>38</v>
      </c>
      <c r="D28" s="76" t="s">
        <v>62</v>
      </c>
      <c r="E28" s="77" t="s">
        <v>40</v>
      </c>
      <c r="F28" s="78" t="s">
        <v>21</v>
      </c>
      <c r="G28" s="79" t="s">
        <v>50</v>
      </c>
      <c r="H28" s="80" t="s">
        <v>1578</v>
      </c>
      <c r="I28" s="81" t="b">
        <v>1</v>
      </c>
      <c r="J28" s="82" t="s">
        <v>7</v>
      </c>
      <c r="K28" s="83">
        <f t="shared" si="4"/>
        <v>1</v>
      </c>
      <c r="L28" s="84">
        <f t="shared" si="14"/>
        <v>8000000</v>
      </c>
      <c r="M28" s="84">
        <f t="shared" si="5"/>
        <v>30000</v>
      </c>
      <c r="N28" s="84">
        <f t="shared" si="6"/>
        <v>1200</v>
      </c>
      <c r="O28" s="84">
        <f t="shared" si="7"/>
        <v>266.6666667</v>
      </c>
      <c r="P28" s="84">
        <f t="shared" si="8"/>
        <v>6666.666667</v>
      </c>
      <c r="Q28" s="84">
        <f t="shared" si="9"/>
        <v>8000000</v>
      </c>
      <c r="R28" s="75" t="s">
        <v>1579</v>
      </c>
      <c r="S28" s="85" t="s">
        <v>65</v>
      </c>
      <c r="T28" s="85"/>
      <c r="U28" s="86" t="s">
        <v>45</v>
      </c>
      <c r="V28" s="87"/>
      <c r="W28" s="87"/>
      <c r="X28" s="740"/>
      <c r="Y28" s="740"/>
      <c r="Z28" s="751" t="s">
        <v>913</v>
      </c>
      <c r="AA28" s="742">
        <f>3800000/0.9</f>
        <v>4222222.222</v>
      </c>
      <c r="AB28" s="743">
        <v>1.0</v>
      </c>
      <c r="AC28" s="744">
        <v>5000.0</v>
      </c>
      <c r="AD28" s="744">
        <v>25000.0</v>
      </c>
      <c r="AE28" s="744">
        <v>200.0</v>
      </c>
      <c r="AF28" s="745">
        <v>1000.0</v>
      </c>
      <c r="AG28" s="746"/>
      <c r="AH28" s="744"/>
      <c r="AI28" s="744"/>
      <c r="AJ28" s="744"/>
      <c r="AK28" s="747">
        <f t="shared" si="10"/>
        <v>100000</v>
      </c>
      <c r="AL28" s="747">
        <f t="shared" si="11"/>
        <v>4322222.222</v>
      </c>
      <c r="AM28" s="747">
        <f t="shared" si="12"/>
        <v>3677777.778</v>
      </c>
      <c r="AN28" s="748">
        <f t="shared" si="13"/>
        <v>0.4597222222</v>
      </c>
      <c r="AO28" s="9"/>
      <c r="AP28" s="9"/>
      <c r="AQ28" s="9"/>
      <c r="AR28" s="9"/>
    </row>
    <row r="29" ht="59.25" customHeight="1" outlineLevel="1">
      <c r="A29" s="72"/>
      <c r="B29" s="72"/>
      <c r="C29" s="72"/>
      <c r="D29" s="72"/>
      <c r="E29" s="72"/>
      <c r="F29" s="72"/>
      <c r="G29" s="72"/>
      <c r="H29" s="88" t="s">
        <v>1580</v>
      </c>
      <c r="I29" s="81" t="b">
        <v>1</v>
      </c>
      <c r="J29" s="82" t="s">
        <v>47</v>
      </c>
      <c r="K29" s="83">
        <f t="shared" si="4"/>
        <v>1</v>
      </c>
      <c r="L29" s="90">
        <v>4000000.0</v>
      </c>
      <c r="M29" s="84">
        <f t="shared" si="5"/>
        <v>0</v>
      </c>
      <c r="N29" s="84">
        <f t="shared" si="6"/>
        <v>0</v>
      </c>
      <c r="O29" s="84" t="str">
        <f t="shared" si="7"/>
        <v>-</v>
      </c>
      <c r="P29" s="84" t="str">
        <f t="shared" si="8"/>
        <v>-</v>
      </c>
      <c r="Q29" s="84">
        <f t="shared" si="9"/>
        <v>4000000</v>
      </c>
      <c r="R29" s="72"/>
      <c r="S29" s="72"/>
      <c r="T29" s="72"/>
      <c r="U29" s="72"/>
      <c r="V29" s="9"/>
      <c r="W29" s="9"/>
      <c r="X29" s="26"/>
      <c r="Y29" s="26"/>
      <c r="Z29" s="751" t="s">
        <v>923</v>
      </c>
      <c r="AA29" s="742">
        <v>0.0</v>
      </c>
      <c r="AB29" s="743"/>
      <c r="AC29" s="744"/>
      <c r="AD29" s="744"/>
      <c r="AE29" s="744"/>
      <c r="AF29" s="745"/>
      <c r="AG29" s="746"/>
      <c r="AH29" s="744"/>
      <c r="AI29" s="744"/>
      <c r="AJ29" s="744"/>
      <c r="AK29" s="747">
        <f t="shared" si="10"/>
        <v>0</v>
      </c>
      <c r="AL29" s="747">
        <f t="shared" si="11"/>
        <v>0</v>
      </c>
      <c r="AM29" s="747">
        <f t="shared" si="12"/>
        <v>4000000</v>
      </c>
      <c r="AN29" s="748">
        <f t="shared" si="13"/>
        <v>1</v>
      </c>
      <c r="AO29" s="9"/>
      <c r="AP29" s="9"/>
      <c r="AQ29" s="9"/>
      <c r="AR29" s="9"/>
    </row>
    <row r="30" ht="59.25" customHeight="1" outlineLevel="1">
      <c r="A30" s="73" t="s">
        <v>36</v>
      </c>
      <c r="B30" s="89" t="s">
        <v>67</v>
      </c>
      <c r="C30" s="75" t="s">
        <v>38</v>
      </c>
      <c r="D30" s="76" t="s">
        <v>68</v>
      </c>
      <c r="E30" s="77" t="s">
        <v>40</v>
      </c>
      <c r="F30" s="78" t="s">
        <v>21</v>
      </c>
      <c r="G30" s="79" t="s">
        <v>50</v>
      </c>
      <c r="H30" s="80" t="s">
        <v>1581</v>
      </c>
      <c r="I30" s="81" t="b">
        <v>1</v>
      </c>
      <c r="J30" s="82" t="s">
        <v>7</v>
      </c>
      <c r="K30" s="83">
        <f t="shared" si="4"/>
        <v>1</v>
      </c>
      <c r="L30" s="84">
        <f>round(AA30*(1+AB30),-6)</f>
        <v>10000000</v>
      </c>
      <c r="M30" s="84">
        <f t="shared" si="5"/>
        <v>50000</v>
      </c>
      <c r="N30" s="84">
        <f t="shared" si="6"/>
        <v>3000</v>
      </c>
      <c r="O30" s="84">
        <f t="shared" si="7"/>
        <v>200</v>
      </c>
      <c r="P30" s="84">
        <f t="shared" si="8"/>
        <v>3333.333333</v>
      </c>
      <c r="Q30" s="84">
        <f t="shared" si="9"/>
        <v>10000000</v>
      </c>
      <c r="R30" s="75" t="s">
        <v>1582</v>
      </c>
      <c r="S30" s="85" t="s">
        <v>71</v>
      </c>
      <c r="T30" s="85"/>
      <c r="U30" s="86" t="s">
        <v>45</v>
      </c>
      <c r="V30" s="87"/>
      <c r="W30" s="87"/>
      <c r="X30" s="740"/>
      <c r="Y30" s="740"/>
      <c r="Z30" s="751" t="s">
        <v>913</v>
      </c>
      <c r="AA30" s="742">
        <f>5000000/0.9</f>
        <v>5555555.556</v>
      </c>
      <c r="AB30" s="743">
        <v>0.8</v>
      </c>
      <c r="AC30" s="744">
        <v>15000.0</v>
      </c>
      <c r="AD30" s="744">
        <v>35000.0</v>
      </c>
      <c r="AE30" s="744">
        <v>1000.0</v>
      </c>
      <c r="AF30" s="745">
        <v>2000.0</v>
      </c>
      <c r="AG30" s="746"/>
      <c r="AH30" s="744"/>
      <c r="AI30" s="744"/>
      <c r="AJ30" s="744"/>
      <c r="AK30" s="747">
        <f t="shared" si="10"/>
        <v>170000</v>
      </c>
      <c r="AL30" s="747">
        <f t="shared" si="11"/>
        <v>5725555.556</v>
      </c>
      <c r="AM30" s="747">
        <f t="shared" si="12"/>
        <v>4274444.444</v>
      </c>
      <c r="AN30" s="748">
        <f t="shared" si="13"/>
        <v>0.4274444444</v>
      </c>
      <c r="AO30" s="9"/>
      <c r="AP30" s="9"/>
      <c r="AQ30" s="9"/>
      <c r="AR30" s="9"/>
    </row>
    <row r="31" ht="59.25" customHeight="1" outlineLevel="1">
      <c r="A31" s="72"/>
      <c r="B31" s="72"/>
      <c r="C31" s="72"/>
      <c r="D31" s="72"/>
      <c r="E31" s="72"/>
      <c r="F31" s="72"/>
      <c r="G31" s="72"/>
      <c r="H31" s="88" t="s">
        <v>1583</v>
      </c>
      <c r="I31" s="81" t="b">
        <v>1</v>
      </c>
      <c r="J31" s="82" t="s">
        <v>47</v>
      </c>
      <c r="K31" s="83">
        <f t="shared" si="4"/>
        <v>1</v>
      </c>
      <c r="L31" s="90">
        <v>5000000.0</v>
      </c>
      <c r="M31" s="84">
        <f t="shared" si="5"/>
        <v>0</v>
      </c>
      <c r="N31" s="84">
        <f t="shared" si="6"/>
        <v>0</v>
      </c>
      <c r="O31" s="84" t="str">
        <f t="shared" si="7"/>
        <v>-</v>
      </c>
      <c r="P31" s="84" t="str">
        <f t="shared" si="8"/>
        <v>-</v>
      </c>
      <c r="Q31" s="84">
        <f t="shared" si="9"/>
        <v>5000000</v>
      </c>
      <c r="R31" s="72"/>
      <c r="S31" s="72"/>
      <c r="T31" s="72"/>
      <c r="U31" s="72"/>
      <c r="V31" s="9"/>
      <c r="W31" s="9"/>
      <c r="X31" s="26"/>
      <c r="Y31" s="26"/>
      <c r="Z31" s="751" t="s">
        <v>927</v>
      </c>
      <c r="AA31" s="742">
        <v>0.0</v>
      </c>
      <c r="AB31" s="743"/>
      <c r="AC31" s="744"/>
      <c r="AD31" s="744"/>
      <c r="AE31" s="744"/>
      <c r="AF31" s="745"/>
      <c r="AG31" s="746"/>
      <c r="AH31" s="744"/>
      <c r="AI31" s="744"/>
      <c r="AJ31" s="744"/>
      <c r="AK31" s="747">
        <f t="shared" si="10"/>
        <v>0</v>
      </c>
      <c r="AL31" s="747">
        <f t="shared" si="11"/>
        <v>0</v>
      </c>
      <c r="AM31" s="747">
        <f t="shared" si="12"/>
        <v>5000000</v>
      </c>
      <c r="AN31" s="748">
        <f t="shared" si="13"/>
        <v>1</v>
      </c>
      <c r="AO31" s="9"/>
      <c r="AP31" s="9"/>
      <c r="AQ31" s="9"/>
      <c r="AR31" s="9"/>
    </row>
    <row r="32" ht="59.25" customHeight="1" outlineLevel="1">
      <c r="A32" s="73" t="s">
        <v>73</v>
      </c>
      <c r="B32" s="91" t="s">
        <v>74</v>
      </c>
      <c r="C32" s="75" t="s">
        <v>38</v>
      </c>
      <c r="D32" s="76" t="s">
        <v>75</v>
      </c>
      <c r="E32" s="77" t="s">
        <v>40</v>
      </c>
      <c r="F32" s="78" t="s">
        <v>21</v>
      </c>
      <c r="G32" s="79" t="s">
        <v>50</v>
      </c>
      <c r="H32" s="80" t="s">
        <v>1584</v>
      </c>
      <c r="I32" s="81" t="b">
        <v>1</v>
      </c>
      <c r="J32" s="82" t="s">
        <v>7</v>
      </c>
      <c r="K32" s="83">
        <f t="shared" si="4"/>
        <v>1</v>
      </c>
      <c r="L32" s="84">
        <f t="shared" ref="L32:L40" si="15">round(AA32*(1+AB32),-6)</f>
        <v>30000000</v>
      </c>
      <c r="M32" s="84">
        <f t="shared" si="5"/>
        <v>120000</v>
      </c>
      <c r="N32" s="84">
        <f t="shared" si="6"/>
        <v>4500</v>
      </c>
      <c r="O32" s="84">
        <f t="shared" si="7"/>
        <v>250</v>
      </c>
      <c r="P32" s="84">
        <f t="shared" si="8"/>
        <v>6666.666667</v>
      </c>
      <c r="Q32" s="84">
        <f t="shared" si="9"/>
        <v>30000000</v>
      </c>
      <c r="R32" s="75" t="s">
        <v>1585</v>
      </c>
      <c r="S32" s="92" t="s">
        <v>78</v>
      </c>
      <c r="T32" s="93" t="s">
        <v>79</v>
      </c>
      <c r="U32" s="153" t="s">
        <v>222</v>
      </c>
      <c r="V32" s="9"/>
      <c r="W32" s="9"/>
      <c r="X32" s="740"/>
      <c r="Y32" s="740"/>
      <c r="Z32" s="741" t="s">
        <v>918</v>
      </c>
      <c r="AA32" s="742">
        <f>18000000/0.9</f>
        <v>20000000</v>
      </c>
      <c r="AB32" s="743">
        <v>0.5</v>
      </c>
      <c r="AC32" s="744">
        <v>30000.0</v>
      </c>
      <c r="AD32" s="744">
        <v>90000.0</v>
      </c>
      <c r="AE32" s="744">
        <v>2000.0</v>
      </c>
      <c r="AF32" s="745">
        <v>2500.0</v>
      </c>
      <c r="AG32" s="746"/>
      <c r="AH32" s="744"/>
      <c r="AI32" s="744"/>
      <c r="AJ32" s="744"/>
      <c r="AK32" s="747">
        <f t="shared" si="10"/>
        <v>305000</v>
      </c>
      <c r="AL32" s="747">
        <f t="shared" si="11"/>
        <v>20305000</v>
      </c>
      <c r="AM32" s="747">
        <f t="shared" si="12"/>
        <v>9695000</v>
      </c>
      <c r="AN32" s="748">
        <f t="shared" si="13"/>
        <v>0.3231666667</v>
      </c>
      <c r="AO32" s="9"/>
      <c r="AP32" s="9"/>
      <c r="AQ32" s="9"/>
      <c r="AR32" s="9"/>
    </row>
    <row r="33" ht="59.25" customHeight="1" outlineLevel="1">
      <c r="A33" s="72"/>
      <c r="B33" s="72"/>
      <c r="C33" s="72"/>
      <c r="D33" s="72"/>
      <c r="E33" s="72"/>
      <c r="F33" s="72"/>
      <c r="G33" s="72"/>
      <c r="H33" s="88" t="s">
        <v>1586</v>
      </c>
      <c r="I33" s="81" t="b">
        <v>0</v>
      </c>
      <c r="J33" s="82" t="s">
        <v>47</v>
      </c>
      <c r="K33" s="83">
        <f t="shared" si="4"/>
        <v>0</v>
      </c>
      <c r="L33" s="84">
        <f t="shared" si="15"/>
        <v>17000000</v>
      </c>
      <c r="M33" s="84">
        <v>0.0</v>
      </c>
      <c r="N33" s="84">
        <v>0.0</v>
      </c>
      <c r="O33" s="84" t="s">
        <v>81</v>
      </c>
      <c r="P33" s="84" t="s">
        <v>81</v>
      </c>
      <c r="Q33" s="84">
        <f t="shared" si="9"/>
        <v>0</v>
      </c>
      <c r="R33" s="72"/>
      <c r="S33" s="72"/>
      <c r="T33" s="72"/>
      <c r="U33" s="72"/>
      <c r="V33" s="9"/>
      <c r="W33" s="9"/>
      <c r="X33" s="26"/>
      <c r="Y33" s="26"/>
      <c r="Z33" s="751" t="s">
        <v>910</v>
      </c>
      <c r="AA33" s="742">
        <f>10000000/0.9</f>
        <v>11111111.11</v>
      </c>
      <c r="AB33" s="743">
        <v>0.5</v>
      </c>
      <c r="AC33" s="744"/>
      <c r="AD33" s="744"/>
      <c r="AE33" s="744"/>
      <c r="AF33" s="745"/>
      <c r="AG33" s="746"/>
      <c r="AH33" s="744"/>
      <c r="AI33" s="744"/>
      <c r="AJ33" s="744"/>
      <c r="AK33" s="747">
        <f t="shared" si="10"/>
        <v>0</v>
      </c>
      <c r="AL33" s="747">
        <f t="shared" si="11"/>
        <v>0</v>
      </c>
      <c r="AM33" s="747">
        <f t="shared" si="12"/>
        <v>0</v>
      </c>
      <c r="AN33" s="748" t="str">
        <f t="shared" si="13"/>
        <v>-</v>
      </c>
      <c r="AO33" s="9"/>
      <c r="AP33" s="9"/>
      <c r="AQ33" s="9"/>
      <c r="AR33" s="9"/>
    </row>
    <row r="34" ht="59.25" customHeight="1" outlineLevel="1">
      <c r="A34" s="73" t="s">
        <v>73</v>
      </c>
      <c r="B34" s="95" t="s">
        <v>82</v>
      </c>
      <c r="C34" s="75" t="s">
        <v>38</v>
      </c>
      <c r="D34" s="76" t="s">
        <v>83</v>
      </c>
      <c r="E34" s="77" t="s">
        <v>40</v>
      </c>
      <c r="F34" s="78" t="s">
        <v>21</v>
      </c>
      <c r="G34" s="79" t="s">
        <v>50</v>
      </c>
      <c r="H34" s="80" t="s">
        <v>1587</v>
      </c>
      <c r="I34" s="81" t="b">
        <v>1</v>
      </c>
      <c r="J34" s="82" t="s">
        <v>7</v>
      </c>
      <c r="K34" s="83">
        <f t="shared" si="4"/>
        <v>1</v>
      </c>
      <c r="L34" s="84">
        <f t="shared" si="15"/>
        <v>22000000</v>
      </c>
      <c r="M34" s="84">
        <f t="shared" ref="M34:M49" si="16">(sum(AC34:AD34)+sum(AG34:AH34))*K34</f>
        <v>100000</v>
      </c>
      <c r="N34" s="84">
        <f t="shared" ref="N34:N49" si="17">(sum(AE34:AF34)+sum(AI34:AJ34))*K34</f>
        <v>3500</v>
      </c>
      <c r="O34" s="84">
        <f t="shared" ref="O34:O49" si="18">IFERROR(Q34/M34,"-")</f>
        <v>220</v>
      </c>
      <c r="P34" s="84">
        <f t="shared" ref="P34:P49" si="19">IFERROR(Q34/N34,"-")</f>
        <v>6285.714286</v>
      </c>
      <c r="Q34" s="84">
        <f t="shared" si="9"/>
        <v>22000000</v>
      </c>
      <c r="R34" s="75" t="s">
        <v>1588</v>
      </c>
      <c r="S34" s="85" t="s">
        <v>86</v>
      </c>
      <c r="T34" s="93" t="s">
        <v>79</v>
      </c>
      <c r="U34" s="153" t="s">
        <v>222</v>
      </c>
      <c r="V34" s="87"/>
      <c r="W34" s="87"/>
      <c r="X34" s="740"/>
      <c r="Y34" s="740"/>
      <c r="Z34" s="741" t="s">
        <v>918</v>
      </c>
      <c r="AA34" s="742">
        <f>13000000/0.9</f>
        <v>14444444.44</v>
      </c>
      <c r="AB34" s="743">
        <v>0.5</v>
      </c>
      <c r="AC34" s="744">
        <v>80000.0</v>
      </c>
      <c r="AD34" s="744">
        <v>20000.0</v>
      </c>
      <c r="AE34" s="744">
        <v>1000.0</v>
      </c>
      <c r="AF34" s="745">
        <v>2500.0</v>
      </c>
      <c r="AG34" s="746"/>
      <c r="AH34" s="744"/>
      <c r="AI34" s="744"/>
      <c r="AJ34" s="744"/>
      <c r="AK34" s="747">
        <f t="shared" si="10"/>
        <v>165000</v>
      </c>
      <c r="AL34" s="747">
        <f t="shared" si="11"/>
        <v>14609444.44</v>
      </c>
      <c r="AM34" s="747">
        <f t="shared" si="12"/>
        <v>7390555.556</v>
      </c>
      <c r="AN34" s="748">
        <f t="shared" si="13"/>
        <v>0.3359343434</v>
      </c>
      <c r="AO34" s="9"/>
      <c r="AP34" s="9"/>
      <c r="AQ34" s="9"/>
      <c r="AR34" s="9"/>
    </row>
    <row r="35" ht="59.25" customHeight="1" outlineLevel="1">
      <c r="A35" s="72"/>
      <c r="B35" s="72"/>
      <c r="C35" s="72"/>
      <c r="D35" s="72"/>
      <c r="E35" s="72"/>
      <c r="F35" s="72"/>
      <c r="G35" s="72"/>
      <c r="H35" s="88" t="s">
        <v>1589</v>
      </c>
      <c r="I35" s="81" t="b">
        <v>0</v>
      </c>
      <c r="J35" s="82" t="s">
        <v>47</v>
      </c>
      <c r="K35" s="83">
        <f t="shared" si="4"/>
        <v>0</v>
      </c>
      <c r="L35" s="84">
        <f t="shared" si="15"/>
        <v>13000000</v>
      </c>
      <c r="M35" s="84">
        <f t="shared" si="16"/>
        <v>0</v>
      </c>
      <c r="N35" s="84">
        <f t="shared" si="17"/>
        <v>0</v>
      </c>
      <c r="O35" s="84" t="str">
        <f t="shared" si="18"/>
        <v>-</v>
      </c>
      <c r="P35" s="84" t="str">
        <f t="shared" si="19"/>
        <v>-</v>
      </c>
      <c r="Q35" s="84">
        <f t="shared" si="9"/>
        <v>0</v>
      </c>
      <c r="R35" s="72"/>
      <c r="S35" s="72"/>
      <c r="T35" s="72"/>
      <c r="U35" s="72"/>
      <c r="V35" s="9"/>
      <c r="W35" s="9"/>
      <c r="X35" s="26"/>
      <c r="Y35" s="26"/>
      <c r="Z35" s="751" t="s">
        <v>1068</v>
      </c>
      <c r="AA35" s="742">
        <f>8000000/0.9</f>
        <v>8888888.889</v>
      </c>
      <c r="AB35" s="743">
        <v>0.5</v>
      </c>
      <c r="AC35" s="744"/>
      <c r="AD35" s="744"/>
      <c r="AE35" s="744"/>
      <c r="AF35" s="745"/>
      <c r="AG35" s="746"/>
      <c r="AH35" s="744"/>
      <c r="AI35" s="744"/>
      <c r="AJ35" s="744"/>
      <c r="AK35" s="747">
        <f t="shared" si="10"/>
        <v>0</v>
      </c>
      <c r="AL35" s="747">
        <f t="shared" si="11"/>
        <v>0</v>
      </c>
      <c r="AM35" s="747">
        <f t="shared" si="12"/>
        <v>0</v>
      </c>
      <c r="AN35" s="748" t="str">
        <f t="shared" si="13"/>
        <v>-</v>
      </c>
      <c r="AO35" s="9"/>
      <c r="AP35" s="9"/>
      <c r="AQ35" s="9"/>
      <c r="AR35" s="9"/>
    </row>
    <row r="36" ht="59.25" customHeight="1" outlineLevel="1">
      <c r="A36" s="73" t="s">
        <v>73</v>
      </c>
      <c r="B36" s="91" t="s">
        <v>89</v>
      </c>
      <c r="C36" s="75" t="s">
        <v>38</v>
      </c>
      <c r="D36" s="76" t="s">
        <v>90</v>
      </c>
      <c r="E36" s="77" t="s">
        <v>40</v>
      </c>
      <c r="F36" s="78" t="s">
        <v>21</v>
      </c>
      <c r="G36" s="79" t="s">
        <v>50</v>
      </c>
      <c r="H36" s="80" t="s">
        <v>1590</v>
      </c>
      <c r="I36" s="81" t="b">
        <v>1</v>
      </c>
      <c r="J36" s="82" t="s">
        <v>7</v>
      </c>
      <c r="K36" s="83">
        <f t="shared" si="4"/>
        <v>1</v>
      </c>
      <c r="L36" s="84">
        <f t="shared" si="15"/>
        <v>17000000</v>
      </c>
      <c r="M36" s="84">
        <f t="shared" si="16"/>
        <v>100000</v>
      </c>
      <c r="N36" s="84">
        <f t="shared" si="17"/>
        <v>4000</v>
      </c>
      <c r="O36" s="84">
        <f t="shared" si="18"/>
        <v>170</v>
      </c>
      <c r="P36" s="84">
        <f t="shared" si="19"/>
        <v>4250</v>
      </c>
      <c r="Q36" s="84">
        <f t="shared" si="9"/>
        <v>17000000</v>
      </c>
      <c r="R36" s="75" t="s">
        <v>1591</v>
      </c>
      <c r="S36" s="85" t="s">
        <v>93</v>
      </c>
      <c r="T36" s="93" t="s">
        <v>79</v>
      </c>
      <c r="U36" s="153" t="s">
        <v>222</v>
      </c>
      <c r="V36" s="9"/>
      <c r="W36" s="9"/>
      <c r="X36" s="740"/>
      <c r="Y36" s="740"/>
      <c r="Z36" s="741" t="s">
        <v>1592</v>
      </c>
      <c r="AA36" s="742">
        <f>4300000/0.9</f>
        <v>4777777.778</v>
      </c>
      <c r="AB36" s="743">
        <v>2.5</v>
      </c>
      <c r="AC36" s="744">
        <v>50000.0</v>
      </c>
      <c r="AD36" s="744">
        <v>50000.0</v>
      </c>
      <c r="AE36" s="744">
        <v>2000.0</v>
      </c>
      <c r="AF36" s="745">
        <v>2000.0</v>
      </c>
      <c r="AG36" s="746"/>
      <c r="AH36" s="744"/>
      <c r="AI36" s="744"/>
      <c r="AJ36" s="744"/>
      <c r="AK36" s="747">
        <f t="shared" si="10"/>
        <v>200000</v>
      </c>
      <c r="AL36" s="747">
        <f t="shared" si="11"/>
        <v>4977777.778</v>
      </c>
      <c r="AM36" s="747">
        <f t="shared" si="12"/>
        <v>12022222.22</v>
      </c>
      <c r="AN36" s="748">
        <f t="shared" si="13"/>
        <v>0.7071895425</v>
      </c>
      <c r="AO36" s="9"/>
      <c r="AP36" s="9"/>
      <c r="AQ36" s="9"/>
      <c r="AR36" s="9"/>
    </row>
    <row r="37" ht="59.25" customHeight="1" outlineLevel="1">
      <c r="A37" s="72"/>
      <c r="B37" s="72"/>
      <c r="C37" s="72"/>
      <c r="D37" s="72"/>
      <c r="E37" s="72"/>
      <c r="F37" s="72"/>
      <c r="G37" s="72"/>
      <c r="H37" s="88" t="s">
        <v>1593</v>
      </c>
      <c r="I37" s="81" t="b">
        <v>0</v>
      </c>
      <c r="J37" s="82" t="s">
        <v>47</v>
      </c>
      <c r="K37" s="83">
        <f t="shared" si="4"/>
        <v>0</v>
      </c>
      <c r="L37" s="84">
        <f t="shared" si="15"/>
        <v>7000000</v>
      </c>
      <c r="M37" s="84">
        <f t="shared" si="16"/>
        <v>0</v>
      </c>
      <c r="N37" s="84">
        <f t="shared" si="17"/>
        <v>0</v>
      </c>
      <c r="O37" s="84" t="str">
        <f t="shared" si="18"/>
        <v>-</v>
      </c>
      <c r="P37" s="84" t="str">
        <f t="shared" si="19"/>
        <v>-</v>
      </c>
      <c r="Q37" s="84">
        <f t="shared" si="9"/>
        <v>0</v>
      </c>
      <c r="R37" s="72"/>
      <c r="S37" s="72"/>
      <c r="T37" s="72"/>
      <c r="U37" s="72"/>
      <c r="V37" s="9"/>
      <c r="W37" s="9"/>
      <c r="X37" s="26"/>
      <c r="Y37" s="26"/>
      <c r="Z37" s="751" t="s">
        <v>910</v>
      </c>
      <c r="AA37" s="742">
        <f>2000000/0.9</f>
        <v>2222222.222</v>
      </c>
      <c r="AB37" s="743">
        <v>2.0</v>
      </c>
      <c r="AC37" s="744"/>
      <c r="AD37" s="744"/>
      <c r="AE37" s="744"/>
      <c r="AF37" s="745"/>
      <c r="AG37" s="746"/>
      <c r="AH37" s="744"/>
      <c r="AI37" s="744"/>
      <c r="AJ37" s="744"/>
      <c r="AK37" s="747">
        <f t="shared" si="10"/>
        <v>0</v>
      </c>
      <c r="AL37" s="747">
        <f t="shared" si="11"/>
        <v>0</v>
      </c>
      <c r="AM37" s="747">
        <f t="shared" si="12"/>
        <v>0</v>
      </c>
      <c r="AN37" s="748" t="str">
        <f t="shared" si="13"/>
        <v>-</v>
      </c>
      <c r="AO37" s="9"/>
      <c r="AP37" s="9"/>
      <c r="AQ37" s="9"/>
      <c r="AR37" s="9"/>
    </row>
    <row r="38" ht="59.25" customHeight="1" outlineLevel="1">
      <c r="A38" s="73" t="s">
        <v>73</v>
      </c>
      <c r="B38" s="96" t="s">
        <v>95</v>
      </c>
      <c r="C38" s="75" t="s">
        <v>38</v>
      </c>
      <c r="D38" s="76" t="s">
        <v>96</v>
      </c>
      <c r="E38" s="77" t="s">
        <v>40</v>
      </c>
      <c r="F38" s="78" t="s">
        <v>21</v>
      </c>
      <c r="G38" s="79" t="s">
        <v>50</v>
      </c>
      <c r="H38" s="80" t="s">
        <v>1594</v>
      </c>
      <c r="I38" s="81" t="b">
        <v>0</v>
      </c>
      <c r="J38" s="82" t="s">
        <v>7</v>
      </c>
      <c r="K38" s="83">
        <f t="shared" si="4"/>
        <v>0</v>
      </c>
      <c r="L38" s="84">
        <f t="shared" si="15"/>
        <v>17000000</v>
      </c>
      <c r="M38" s="84">
        <f t="shared" si="16"/>
        <v>0</v>
      </c>
      <c r="N38" s="84">
        <f t="shared" si="17"/>
        <v>0</v>
      </c>
      <c r="O38" s="84" t="str">
        <f t="shared" si="18"/>
        <v>-</v>
      </c>
      <c r="P38" s="84" t="str">
        <f t="shared" si="19"/>
        <v>-</v>
      </c>
      <c r="Q38" s="84">
        <f t="shared" si="9"/>
        <v>0</v>
      </c>
      <c r="R38" s="75" t="s">
        <v>1595</v>
      </c>
      <c r="S38" s="85" t="s">
        <v>99</v>
      </c>
      <c r="T38" s="93" t="s">
        <v>79</v>
      </c>
      <c r="U38" s="153" t="s">
        <v>222</v>
      </c>
      <c r="V38" s="9"/>
      <c r="W38" s="9"/>
      <c r="X38" s="740"/>
      <c r="Y38" s="740"/>
      <c r="Z38" s="741" t="s">
        <v>918</v>
      </c>
      <c r="AA38" s="742">
        <f>10000000/0.9</f>
        <v>11111111.11</v>
      </c>
      <c r="AB38" s="743">
        <v>0.5</v>
      </c>
      <c r="AC38" s="744">
        <v>15000.0</v>
      </c>
      <c r="AD38" s="744">
        <v>45000.0</v>
      </c>
      <c r="AE38" s="744">
        <v>1000.0</v>
      </c>
      <c r="AF38" s="745">
        <v>1500.0</v>
      </c>
      <c r="AG38" s="746"/>
      <c r="AH38" s="744"/>
      <c r="AI38" s="744"/>
      <c r="AJ38" s="744"/>
      <c r="AK38" s="747">
        <f t="shared" si="10"/>
        <v>0</v>
      </c>
      <c r="AL38" s="747">
        <f t="shared" si="11"/>
        <v>0</v>
      </c>
      <c r="AM38" s="747">
        <f t="shared" si="12"/>
        <v>0</v>
      </c>
      <c r="AN38" s="748" t="str">
        <f t="shared" si="13"/>
        <v>-</v>
      </c>
      <c r="AO38" s="9"/>
      <c r="AP38" s="9"/>
      <c r="AQ38" s="9"/>
      <c r="AR38" s="9"/>
    </row>
    <row r="39" ht="59.25" customHeight="1" outlineLevel="1">
      <c r="A39" s="72"/>
      <c r="B39" s="72"/>
      <c r="C39" s="72"/>
      <c r="D39" s="72"/>
      <c r="E39" s="72"/>
      <c r="F39" s="72"/>
      <c r="G39" s="72"/>
      <c r="H39" s="88" t="s">
        <v>1596</v>
      </c>
      <c r="I39" s="97" t="b">
        <v>0</v>
      </c>
      <c r="J39" s="98" t="s">
        <v>47</v>
      </c>
      <c r="K39" s="99">
        <f t="shared" si="4"/>
        <v>0</v>
      </c>
      <c r="L39" s="84">
        <f t="shared" si="15"/>
        <v>10000000</v>
      </c>
      <c r="M39" s="100">
        <f t="shared" si="16"/>
        <v>0</v>
      </c>
      <c r="N39" s="100">
        <f t="shared" si="17"/>
        <v>0</v>
      </c>
      <c r="O39" s="100" t="str">
        <f t="shared" si="18"/>
        <v>-</v>
      </c>
      <c r="P39" s="100" t="str">
        <f t="shared" si="19"/>
        <v>-</v>
      </c>
      <c r="Q39" s="84">
        <f t="shared" si="9"/>
        <v>0</v>
      </c>
      <c r="R39" s="72"/>
      <c r="S39" s="72"/>
      <c r="T39" s="72"/>
      <c r="U39" s="72"/>
      <c r="V39" s="9"/>
      <c r="W39" s="9"/>
      <c r="X39" s="26"/>
      <c r="Y39" s="26"/>
      <c r="Z39" s="751" t="s">
        <v>910</v>
      </c>
      <c r="AA39" s="742">
        <f>6000000/0.9</f>
        <v>6666666.667</v>
      </c>
      <c r="AB39" s="743">
        <v>0.5</v>
      </c>
      <c r="AC39" s="744"/>
      <c r="AD39" s="744"/>
      <c r="AE39" s="744"/>
      <c r="AF39" s="745"/>
      <c r="AG39" s="746"/>
      <c r="AH39" s="744"/>
      <c r="AI39" s="744"/>
      <c r="AJ39" s="744"/>
      <c r="AK39" s="747">
        <f t="shared" si="10"/>
        <v>0</v>
      </c>
      <c r="AL39" s="747">
        <f t="shared" si="11"/>
        <v>0</v>
      </c>
      <c r="AM39" s="747">
        <f t="shared" si="12"/>
        <v>0</v>
      </c>
      <c r="AN39" s="748" t="str">
        <f t="shared" si="13"/>
        <v>-</v>
      </c>
      <c r="AO39" s="9"/>
      <c r="AP39" s="9"/>
      <c r="AQ39" s="9"/>
      <c r="AR39" s="9"/>
    </row>
    <row r="40" ht="59.25" customHeight="1" outlineLevel="1">
      <c r="A40" s="73" t="s">
        <v>109</v>
      </c>
      <c r="B40" s="116" t="s">
        <v>1172</v>
      </c>
      <c r="C40" s="75" t="s">
        <v>38</v>
      </c>
      <c r="D40" s="79" t="s">
        <v>1173</v>
      </c>
      <c r="E40" s="77" t="s">
        <v>40</v>
      </c>
      <c r="F40" s="117" t="s">
        <v>1174</v>
      </c>
      <c r="G40" s="79" t="s">
        <v>105</v>
      </c>
      <c r="H40" s="80" t="s">
        <v>1597</v>
      </c>
      <c r="I40" s="97" t="b">
        <v>1</v>
      </c>
      <c r="J40" s="82" t="s">
        <v>7</v>
      </c>
      <c r="K40" s="99">
        <f t="shared" si="4"/>
        <v>1</v>
      </c>
      <c r="L40" s="84">
        <f t="shared" si="15"/>
        <v>15000000</v>
      </c>
      <c r="M40" s="100">
        <f t="shared" si="16"/>
        <v>60000</v>
      </c>
      <c r="N40" s="100">
        <f t="shared" si="17"/>
        <v>2500</v>
      </c>
      <c r="O40" s="100">
        <f t="shared" si="18"/>
        <v>250</v>
      </c>
      <c r="P40" s="100">
        <f t="shared" si="19"/>
        <v>6000</v>
      </c>
      <c r="Q40" s="84">
        <f t="shared" si="9"/>
        <v>15000000</v>
      </c>
      <c r="R40" s="75" t="s">
        <v>1598</v>
      </c>
      <c r="S40" s="85"/>
      <c r="T40" s="85"/>
      <c r="U40" s="94" t="s">
        <v>122</v>
      </c>
      <c r="V40" s="9"/>
      <c r="W40" s="9"/>
      <c r="X40" s="740"/>
      <c r="Y40" s="740"/>
      <c r="Z40" s="759" t="s">
        <v>937</v>
      </c>
      <c r="AA40" s="742">
        <v>9000000.0</v>
      </c>
      <c r="AB40" s="743">
        <v>0.7</v>
      </c>
      <c r="AC40" s="744">
        <v>12000.0</v>
      </c>
      <c r="AD40" s="744">
        <v>48000.0</v>
      </c>
      <c r="AE40" s="744">
        <v>1500.0</v>
      </c>
      <c r="AF40" s="745">
        <v>1000.0</v>
      </c>
      <c r="AG40" s="746"/>
      <c r="AH40" s="744"/>
      <c r="AI40" s="744"/>
      <c r="AJ40" s="744"/>
      <c r="AK40" s="747">
        <f t="shared" si="10"/>
        <v>146000</v>
      </c>
      <c r="AL40" s="747">
        <f t="shared" si="11"/>
        <v>9146000</v>
      </c>
      <c r="AM40" s="747">
        <f t="shared" si="12"/>
        <v>5854000</v>
      </c>
      <c r="AN40" s="748">
        <f t="shared" si="13"/>
        <v>0.3902666667</v>
      </c>
      <c r="AO40" s="9"/>
      <c r="AP40" s="9"/>
      <c r="AQ40" s="9"/>
      <c r="AR40" s="9"/>
    </row>
    <row r="41" ht="59.25" customHeight="1" outlineLevel="1">
      <c r="A41" s="72"/>
      <c r="B41" s="72"/>
      <c r="C41" s="72"/>
      <c r="D41" s="72"/>
      <c r="E41" s="72"/>
      <c r="F41" s="72"/>
      <c r="G41" s="72"/>
      <c r="H41" s="88" t="s">
        <v>1599</v>
      </c>
      <c r="I41" s="97" t="b">
        <v>0</v>
      </c>
      <c r="J41" s="98" t="s">
        <v>47</v>
      </c>
      <c r="K41" s="99">
        <f t="shared" si="4"/>
        <v>0</v>
      </c>
      <c r="L41" s="84">
        <v>4000000.0</v>
      </c>
      <c r="M41" s="100">
        <f t="shared" si="16"/>
        <v>0</v>
      </c>
      <c r="N41" s="100">
        <f t="shared" si="17"/>
        <v>0</v>
      </c>
      <c r="O41" s="100" t="str">
        <f t="shared" si="18"/>
        <v>-</v>
      </c>
      <c r="P41" s="100" t="str">
        <f t="shared" si="19"/>
        <v>-</v>
      </c>
      <c r="Q41" s="84">
        <f t="shared" si="9"/>
        <v>0</v>
      </c>
      <c r="R41" s="72"/>
      <c r="S41" s="72"/>
      <c r="T41" s="72"/>
      <c r="U41" s="72"/>
      <c r="V41" s="9"/>
      <c r="W41" s="9"/>
      <c r="X41" s="26"/>
      <c r="Y41" s="26"/>
      <c r="AA41" s="742" t="s">
        <v>1178</v>
      </c>
      <c r="AB41" s="743">
        <v>0.7</v>
      </c>
      <c r="AC41" s="744"/>
      <c r="AD41" s="744"/>
      <c r="AE41" s="744"/>
      <c r="AF41" s="745"/>
      <c r="AG41" s="746"/>
      <c r="AH41" s="744"/>
      <c r="AI41" s="744"/>
      <c r="AJ41" s="744"/>
      <c r="AK41" s="747">
        <f t="shared" si="10"/>
        <v>0</v>
      </c>
      <c r="AL41" s="747">
        <f t="shared" si="11"/>
        <v>0</v>
      </c>
      <c r="AM41" s="747">
        <f t="shared" si="12"/>
        <v>0</v>
      </c>
      <c r="AN41" s="748" t="str">
        <f t="shared" si="13"/>
        <v>-</v>
      </c>
      <c r="AO41" s="9"/>
      <c r="AP41" s="9"/>
      <c r="AQ41" s="9"/>
      <c r="AR41" s="9"/>
    </row>
    <row r="42" ht="59.25" customHeight="1" outlineLevel="1">
      <c r="A42" s="73" t="s">
        <v>109</v>
      </c>
      <c r="B42" s="116" t="s">
        <v>110</v>
      </c>
      <c r="C42" s="75" t="s">
        <v>38</v>
      </c>
      <c r="D42" s="79" t="s">
        <v>111</v>
      </c>
      <c r="E42" s="77" t="s">
        <v>40</v>
      </c>
      <c r="F42" s="117" t="s">
        <v>112</v>
      </c>
      <c r="G42" s="79" t="s">
        <v>105</v>
      </c>
      <c r="H42" s="80" t="s">
        <v>1600</v>
      </c>
      <c r="I42" s="97" t="b">
        <v>1</v>
      </c>
      <c r="J42" s="82" t="s">
        <v>7</v>
      </c>
      <c r="K42" s="99">
        <f t="shared" si="4"/>
        <v>1</v>
      </c>
      <c r="L42" s="84">
        <f t="shared" ref="L42:L49" si="20">round(AA42*(1+AB42),-6)</f>
        <v>19000000</v>
      </c>
      <c r="M42" s="100">
        <f t="shared" si="16"/>
        <v>65000</v>
      </c>
      <c r="N42" s="100">
        <f t="shared" si="17"/>
        <v>3000</v>
      </c>
      <c r="O42" s="100">
        <f t="shared" si="18"/>
        <v>292.3076923</v>
      </c>
      <c r="P42" s="100">
        <f t="shared" si="19"/>
        <v>6333.333333</v>
      </c>
      <c r="Q42" s="84">
        <f t="shared" si="9"/>
        <v>19000000</v>
      </c>
      <c r="R42" s="75" t="s">
        <v>1601</v>
      </c>
      <c r="S42" s="85"/>
      <c r="T42" s="85"/>
      <c r="U42" s="94" t="s">
        <v>122</v>
      </c>
      <c r="V42" s="9"/>
      <c r="W42" s="9"/>
      <c r="X42" s="740"/>
      <c r="Y42" s="740"/>
      <c r="Z42" s="759" t="s">
        <v>937</v>
      </c>
      <c r="AA42" s="760">
        <v>1.1E7</v>
      </c>
      <c r="AB42" s="743">
        <v>0.7</v>
      </c>
      <c r="AC42" s="744">
        <v>10000.0</v>
      </c>
      <c r="AD42" s="744">
        <v>55000.0</v>
      </c>
      <c r="AE42" s="744"/>
      <c r="AF42" s="745">
        <v>3000.0</v>
      </c>
      <c r="AG42" s="746"/>
      <c r="AH42" s="744"/>
      <c r="AI42" s="744"/>
      <c r="AJ42" s="744"/>
      <c r="AK42" s="747">
        <f t="shared" si="10"/>
        <v>260000</v>
      </c>
      <c r="AL42" s="747">
        <f t="shared" si="11"/>
        <v>11260000</v>
      </c>
      <c r="AM42" s="747">
        <f t="shared" si="12"/>
        <v>7740000</v>
      </c>
      <c r="AN42" s="748">
        <f t="shared" si="13"/>
        <v>0.4073684211</v>
      </c>
      <c r="AO42" s="9"/>
      <c r="AP42" s="9"/>
      <c r="AQ42" s="9"/>
      <c r="AR42" s="9"/>
    </row>
    <row r="43" ht="59.25" customHeight="1" outlineLevel="1">
      <c r="A43" s="72"/>
      <c r="B43" s="72"/>
      <c r="C43" s="72"/>
      <c r="D43" s="72"/>
      <c r="E43" s="72"/>
      <c r="F43" s="72"/>
      <c r="G43" s="72"/>
      <c r="H43" s="88" t="s">
        <v>1602</v>
      </c>
      <c r="I43" s="97" t="b">
        <v>0</v>
      </c>
      <c r="J43" s="98" t="s">
        <v>47</v>
      </c>
      <c r="K43" s="99">
        <f t="shared" si="4"/>
        <v>0</v>
      </c>
      <c r="L43" s="84">
        <f t="shared" si="20"/>
        <v>6000000</v>
      </c>
      <c r="M43" s="100">
        <f t="shared" si="16"/>
        <v>0</v>
      </c>
      <c r="N43" s="100">
        <f t="shared" si="17"/>
        <v>0</v>
      </c>
      <c r="O43" s="100" t="str">
        <f t="shared" si="18"/>
        <v>-</v>
      </c>
      <c r="P43" s="100" t="str">
        <f t="shared" si="19"/>
        <v>-</v>
      </c>
      <c r="Q43" s="84">
        <f t="shared" si="9"/>
        <v>0</v>
      </c>
      <c r="R43" s="72"/>
      <c r="S43" s="72"/>
      <c r="T43" s="72"/>
      <c r="U43" s="72"/>
      <c r="V43" s="9"/>
      <c r="W43" s="9"/>
      <c r="X43" s="26"/>
      <c r="Y43" s="26"/>
      <c r="AA43" s="760">
        <v>3500000.0</v>
      </c>
      <c r="AB43" s="743">
        <v>0.7</v>
      </c>
      <c r="AC43" s="744"/>
      <c r="AD43" s="744"/>
      <c r="AE43" s="744"/>
      <c r="AF43" s="745"/>
      <c r="AG43" s="746"/>
      <c r="AH43" s="744"/>
      <c r="AI43" s="744"/>
      <c r="AJ43" s="744"/>
      <c r="AK43" s="747">
        <f t="shared" si="10"/>
        <v>0</v>
      </c>
      <c r="AL43" s="747">
        <f t="shared" si="11"/>
        <v>0</v>
      </c>
      <c r="AM43" s="747">
        <f t="shared" si="12"/>
        <v>0</v>
      </c>
      <c r="AN43" s="748" t="str">
        <f t="shared" si="13"/>
        <v>-</v>
      </c>
      <c r="AO43" s="9"/>
      <c r="AP43" s="9"/>
      <c r="AQ43" s="9"/>
      <c r="AR43" s="9"/>
    </row>
    <row r="44" ht="59.25" customHeight="1" outlineLevel="1">
      <c r="A44" s="118" t="s">
        <v>109</v>
      </c>
      <c r="B44" s="119" t="s">
        <v>116</v>
      </c>
      <c r="C44" s="120" t="s">
        <v>38</v>
      </c>
      <c r="D44" s="121" t="s">
        <v>117</v>
      </c>
      <c r="E44" s="122" t="s">
        <v>118</v>
      </c>
      <c r="F44" s="123" t="s">
        <v>119</v>
      </c>
      <c r="G44" s="121" t="s">
        <v>105</v>
      </c>
      <c r="H44" s="124" t="s">
        <v>1603</v>
      </c>
      <c r="I44" s="125" t="b">
        <v>0</v>
      </c>
      <c r="J44" s="126" t="s">
        <v>7</v>
      </c>
      <c r="K44" s="127">
        <f t="shared" si="4"/>
        <v>0</v>
      </c>
      <c r="L44" s="128">
        <f t="shared" si="20"/>
        <v>0</v>
      </c>
      <c r="M44" s="128">
        <f t="shared" si="16"/>
        <v>0</v>
      </c>
      <c r="N44" s="128">
        <f t="shared" si="17"/>
        <v>0</v>
      </c>
      <c r="O44" s="128" t="str">
        <f t="shared" si="18"/>
        <v>-</v>
      </c>
      <c r="P44" s="128" t="str">
        <f t="shared" si="19"/>
        <v>-</v>
      </c>
      <c r="Q44" s="128">
        <f t="shared" si="9"/>
        <v>0</v>
      </c>
      <c r="R44" s="120"/>
      <c r="S44" s="129" t="s">
        <v>121</v>
      </c>
      <c r="T44" s="85"/>
      <c r="U44" s="122" t="s">
        <v>122</v>
      </c>
      <c r="V44" s="131"/>
      <c r="W44" s="131"/>
      <c r="X44" s="1080"/>
      <c r="Y44" s="1080"/>
      <c r="Z44" s="1081"/>
      <c r="AA44" s="1082"/>
      <c r="AB44" s="1083"/>
      <c r="AC44" s="1084">
        <v>40000.0</v>
      </c>
      <c r="AD44" s="1084"/>
      <c r="AE44" s="1084">
        <v>1000.0</v>
      </c>
      <c r="AF44" s="1085"/>
      <c r="AG44" s="1086"/>
      <c r="AH44" s="1084"/>
      <c r="AI44" s="1084"/>
      <c r="AJ44" s="1084"/>
      <c r="AK44" s="747">
        <f t="shared" si="10"/>
        <v>0</v>
      </c>
      <c r="AL44" s="747">
        <f t="shared" si="11"/>
        <v>0</v>
      </c>
      <c r="AM44" s="747">
        <f t="shared" si="12"/>
        <v>0</v>
      </c>
      <c r="AN44" s="748" t="str">
        <f t="shared" si="13"/>
        <v>-</v>
      </c>
      <c r="AO44" s="131"/>
      <c r="AP44" s="131"/>
      <c r="AQ44" s="131"/>
      <c r="AR44" s="131"/>
    </row>
    <row r="45" ht="59.25" customHeight="1" outlineLevel="1">
      <c r="A45" s="72"/>
      <c r="B45" s="72"/>
      <c r="C45" s="72"/>
      <c r="D45" s="72"/>
      <c r="E45" s="72"/>
      <c r="F45" s="72"/>
      <c r="G45" s="72"/>
      <c r="H45" s="132" t="s">
        <v>1604</v>
      </c>
      <c r="I45" s="125" t="b">
        <v>0</v>
      </c>
      <c r="J45" s="126" t="s">
        <v>47</v>
      </c>
      <c r="K45" s="127">
        <f t="shared" si="4"/>
        <v>0</v>
      </c>
      <c r="L45" s="128">
        <f t="shared" si="20"/>
        <v>0</v>
      </c>
      <c r="M45" s="128">
        <f t="shared" si="16"/>
        <v>0</v>
      </c>
      <c r="N45" s="128">
        <f t="shared" si="17"/>
        <v>0</v>
      </c>
      <c r="O45" s="128" t="str">
        <f t="shared" si="18"/>
        <v>-</v>
      </c>
      <c r="P45" s="128" t="str">
        <f t="shared" si="19"/>
        <v>-</v>
      </c>
      <c r="Q45" s="128">
        <f t="shared" si="9"/>
        <v>0</v>
      </c>
      <c r="R45" s="72"/>
      <c r="S45" s="72"/>
      <c r="T45" s="72"/>
      <c r="U45" s="72"/>
      <c r="V45" s="131"/>
      <c r="W45" s="131"/>
      <c r="X45" s="26"/>
      <c r="Y45" s="26"/>
      <c r="AA45" s="1082"/>
      <c r="AB45" s="1083"/>
      <c r="AC45" s="1084"/>
      <c r="AD45" s="1084"/>
      <c r="AE45" s="1084"/>
      <c r="AF45" s="1085"/>
      <c r="AG45" s="1086"/>
      <c r="AH45" s="1084"/>
      <c r="AI45" s="1084"/>
      <c r="AJ45" s="1084"/>
      <c r="AK45" s="747">
        <f t="shared" si="10"/>
        <v>0</v>
      </c>
      <c r="AL45" s="747">
        <f t="shared" si="11"/>
        <v>0</v>
      </c>
      <c r="AM45" s="747">
        <f t="shared" si="12"/>
        <v>0</v>
      </c>
      <c r="AN45" s="748" t="str">
        <f t="shared" si="13"/>
        <v>-</v>
      </c>
      <c r="AO45" s="131"/>
      <c r="AP45" s="131"/>
      <c r="AQ45" s="131"/>
      <c r="AR45" s="131"/>
    </row>
    <row r="46" ht="59.25" customHeight="1" outlineLevel="1">
      <c r="A46" s="118" t="s">
        <v>109</v>
      </c>
      <c r="B46" s="119" t="s">
        <v>124</v>
      </c>
      <c r="C46" s="120" t="s">
        <v>38</v>
      </c>
      <c r="D46" s="121" t="s">
        <v>125</v>
      </c>
      <c r="E46" s="122" t="s">
        <v>40</v>
      </c>
      <c r="F46" s="123" t="s">
        <v>126</v>
      </c>
      <c r="G46" s="121" t="s">
        <v>50</v>
      </c>
      <c r="H46" s="124" t="s">
        <v>1605</v>
      </c>
      <c r="I46" s="125" t="b">
        <v>0</v>
      </c>
      <c r="J46" s="126" t="s">
        <v>7</v>
      </c>
      <c r="K46" s="127">
        <f t="shared" si="4"/>
        <v>0</v>
      </c>
      <c r="L46" s="128">
        <f t="shared" si="20"/>
        <v>0</v>
      </c>
      <c r="M46" s="128">
        <f t="shared" si="16"/>
        <v>0</v>
      </c>
      <c r="N46" s="128">
        <f t="shared" si="17"/>
        <v>0</v>
      </c>
      <c r="O46" s="128" t="str">
        <f t="shared" si="18"/>
        <v>-</v>
      </c>
      <c r="P46" s="128" t="str">
        <f t="shared" si="19"/>
        <v>-</v>
      </c>
      <c r="Q46" s="128">
        <f t="shared" si="9"/>
        <v>0</v>
      </c>
      <c r="R46" s="120"/>
      <c r="S46" s="129" t="s">
        <v>121</v>
      </c>
      <c r="T46" s="85"/>
      <c r="U46" s="122" t="s">
        <v>122</v>
      </c>
      <c r="V46" s="131"/>
      <c r="W46" s="131"/>
      <c r="X46" s="1080"/>
      <c r="Y46" s="1080"/>
      <c r="Z46" s="1081"/>
      <c r="AA46" s="1082"/>
      <c r="AB46" s="1083"/>
      <c r="AC46" s="1084">
        <v>110000.0</v>
      </c>
      <c r="AD46" s="1084"/>
      <c r="AE46" s="1084">
        <v>4000.0</v>
      </c>
      <c r="AF46" s="1085"/>
      <c r="AG46" s="1086"/>
      <c r="AH46" s="1084"/>
      <c r="AI46" s="1084"/>
      <c r="AJ46" s="1084"/>
      <c r="AK46" s="747">
        <f t="shared" si="10"/>
        <v>0</v>
      </c>
      <c r="AL46" s="747">
        <f t="shared" si="11"/>
        <v>0</v>
      </c>
      <c r="AM46" s="747">
        <f t="shared" si="12"/>
        <v>0</v>
      </c>
      <c r="AN46" s="748" t="str">
        <f t="shared" si="13"/>
        <v>-</v>
      </c>
      <c r="AO46" s="131"/>
      <c r="AP46" s="131"/>
      <c r="AQ46" s="131"/>
      <c r="AR46" s="131"/>
    </row>
    <row r="47" ht="59.25" customHeight="1" outlineLevel="1">
      <c r="A47" s="72"/>
      <c r="B47" s="72"/>
      <c r="C47" s="72"/>
      <c r="D47" s="72"/>
      <c r="E47" s="72"/>
      <c r="F47" s="72"/>
      <c r="G47" s="72"/>
      <c r="H47" s="132" t="s">
        <v>1606</v>
      </c>
      <c r="I47" s="125" t="b">
        <v>0</v>
      </c>
      <c r="J47" s="126" t="s">
        <v>47</v>
      </c>
      <c r="K47" s="127">
        <f t="shared" si="4"/>
        <v>0</v>
      </c>
      <c r="L47" s="128">
        <f t="shared" si="20"/>
        <v>0</v>
      </c>
      <c r="M47" s="128">
        <f t="shared" si="16"/>
        <v>0</v>
      </c>
      <c r="N47" s="128">
        <f t="shared" si="17"/>
        <v>0</v>
      </c>
      <c r="O47" s="128" t="str">
        <f t="shared" si="18"/>
        <v>-</v>
      </c>
      <c r="P47" s="128" t="str">
        <f t="shared" si="19"/>
        <v>-</v>
      </c>
      <c r="Q47" s="128">
        <f t="shared" si="9"/>
        <v>0</v>
      </c>
      <c r="R47" s="72"/>
      <c r="S47" s="72"/>
      <c r="T47" s="72"/>
      <c r="U47" s="72"/>
      <c r="V47" s="131"/>
      <c r="W47" s="131"/>
      <c r="X47" s="26"/>
      <c r="Y47" s="26"/>
      <c r="AA47" s="1082"/>
      <c r="AB47" s="1083"/>
      <c r="AC47" s="1084"/>
      <c r="AD47" s="1084"/>
      <c r="AE47" s="1084"/>
      <c r="AF47" s="1085"/>
      <c r="AG47" s="1086"/>
      <c r="AH47" s="1084"/>
      <c r="AI47" s="1084"/>
      <c r="AJ47" s="1084"/>
      <c r="AK47" s="747">
        <f t="shared" si="10"/>
        <v>0</v>
      </c>
      <c r="AL47" s="747">
        <f t="shared" si="11"/>
        <v>0</v>
      </c>
      <c r="AM47" s="747">
        <f t="shared" si="12"/>
        <v>0</v>
      </c>
      <c r="AN47" s="748" t="str">
        <f t="shared" si="13"/>
        <v>-</v>
      </c>
      <c r="AO47" s="131"/>
      <c r="AP47" s="131"/>
      <c r="AQ47" s="131"/>
      <c r="AR47" s="131"/>
    </row>
    <row r="48" ht="59.25" customHeight="1" outlineLevel="1">
      <c r="A48" s="118" t="s">
        <v>109</v>
      </c>
      <c r="B48" s="119" t="s">
        <v>129</v>
      </c>
      <c r="C48" s="120" t="s">
        <v>38</v>
      </c>
      <c r="D48" s="121" t="s">
        <v>130</v>
      </c>
      <c r="E48" s="122" t="s">
        <v>40</v>
      </c>
      <c r="F48" s="123" t="s">
        <v>131</v>
      </c>
      <c r="G48" s="121" t="s">
        <v>105</v>
      </c>
      <c r="H48" s="124" t="s">
        <v>1607</v>
      </c>
      <c r="I48" s="125" t="b">
        <v>0</v>
      </c>
      <c r="J48" s="126" t="s">
        <v>7</v>
      </c>
      <c r="K48" s="127">
        <f t="shared" si="4"/>
        <v>0</v>
      </c>
      <c r="L48" s="128">
        <f t="shared" si="20"/>
        <v>0</v>
      </c>
      <c r="M48" s="128">
        <f t="shared" si="16"/>
        <v>0</v>
      </c>
      <c r="N48" s="128">
        <f t="shared" si="17"/>
        <v>0</v>
      </c>
      <c r="O48" s="128" t="str">
        <f t="shared" si="18"/>
        <v>-</v>
      </c>
      <c r="P48" s="128" t="str">
        <f t="shared" si="19"/>
        <v>-</v>
      </c>
      <c r="Q48" s="128">
        <f t="shared" si="9"/>
        <v>0</v>
      </c>
      <c r="R48" s="120"/>
      <c r="S48" s="129" t="s">
        <v>121</v>
      </c>
      <c r="T48" s="85"/>
      <c r="U48" s="122" t="s">
        <v>122</v>
      </c>
      <c r="V48" s="131"/>
      <c r="W48" s="131"/>
      <c r="X48" s="1080"/>
      <c r="Y48" s="1080"/>
      <c r="Z48" s="1081"/>
      <c r="AA48" s="1082"/>
      <c r="AB48" s="1083"/>
      <c r="AC48" s="1084">
        <v>20000.0</v>
      </c>
      <c r="AD48" s="1084"/>
      <c r="AE48" s="1084">
        <v>1500.0</v>
      </c>
      <c r="AF48" s="1085"/>
      <c r="AG48" s="1086"/>
      <c r="AH48" s="1084"/>
      <c r="AI48" s="1084"/>
      <c r="AJ48" s="1084"/>
      <c r="AK48" s="747">
        <f t="shared" si="10"/>
        <v>0</v>
      </c>
      <c r="AL48" s="747">
        <f t="shared" si="11"/>
        <v>0</v>
      </c>
      <c r="AM48" s="747">
        <f t="shared" si="12"/>
        <v>0</v>
      </c>
      <c r="AN48" s="748" t="str">
        <f t="shared" si="13"/>
        <v>-</v>
      </c>
      <c r="AO48" s="131"/>
      <c r="AP48" s="131"/>
      <c r="AQ48" s="131"/>
      <c r="AR48" s="131"/>
    </row>
    <row r="49" ht="59.25" customHeight="1" outlineLevel="1">
      <c r="A49" s="72"/>
      <c r="B49" s="72"/>
      <c r="C49" s="72"/>
      <c r="D49" s="72"/>
      <c r="E49" s="72"/>
      <c r="F49" s="72"/>
      <c r="G49" s="72"/>
      <c r="H49" s="132" t="s">
        <v>1608</v>
      </c>
      <c r="I49" s="125" t="b">
        <v>0</v>
      </c>
      <c r="J49" s="126" t="s">
        <v>47</v>
      </c>
      <c r="K49" s="127">
        <f t="shared" si="4"/>
        <v>0</v>
      </c>
      <c r="L49" s="128">
        <f t="shared" si="20"/>
        <v>0</v>
      </c>
      <c r="M49" s="128">
        <f t="shared" si="16"/>
        <v>0</v>
      </c>
      <c r="N49" s="128">
        <f t="shared" si="17"/>
        <v>0</v>
      </c>
      <c r="O49" s="128" t="str">
        <f t="shared" si="18"/>
        <v>-</v>
      </c>
      <c r="P49" s="128" t="str">
        <f t="shared" si="19"/>
        <v>-</v>
      </c>
      <c r="Q49" s="128">
        <f t="shared" si="9"/>
        <v>0</v>
      </c>
      <c r="R49" s="72"/>
      <c r="S49" s="72"/>
      <c r="T49" s="72"/>
      <c r="U49" s="72"/>
      <c r="V49" s="131"/>
      <c r="W49" s="131"/>
      <c r="X49" s="26"/>
      <c r="Y49" s="26"/>
      <c r="AA49" s="1082"/>
      <c r="AB49" s="1083"/>
      <c r="AC49" s="1084"/>
      <c r="AD49" s="1084"/>
      <c r="AE49" s="1084"/>
      <c r="AF49" s="1085"/>
      <c r="AG49" s="1086"/>
      <c r="AH49" s="1084"/>
      <c r="AI49" s="1084"/>
      <c r="AJ49" s="1084"/>
      <c r="AK49" s="747">
        <f t="shared" si="10"/>
        <v>0</v>
      </c>
      <c r="AL49" s="747">
        <f t="shared" si="11"/>
        <v>0</v>
      </c>
      <c r="AM49" s="747">
        <f t="shared" si="12"/>
        <v>0</v>
      </c>
      <c r="AN49" s="748" t="str">
        <f t="shared" si="13"/>
        <v>-</v>
      </c>
      <c r="AO49" s="131"/>
      <c r="AP49" s="131"/>
      <c r="AQ49" s="131"/>
      <c r="AR49" s="131"/>
    </row>
    <row r="50" ht="30.0" customHeight="1">
      <c r="A50" s="55" t="s">
        <v>134</v>
      </c>
      <c r="B50" s="56"/>
      <c r="C50" s="57"/>
      <c r="D50" s="58"/>
      <c r="E50" s="59"/>
      <c r="F50" s="59"/>
      <c r="G50" s="61"/>
      <c r="H50" s="61"/>
      <c r="I50" s="62"/>
      <c r="J50" s="63" t="s">
        <v>7</v>
      </c>
      <c r="K50" s="64">
        <f>SUMIFS(K53:K113,J53:J113,"Video Post")</f>
        <v>19</v>
      </c>
      <c r="L50" s="65"/>
      <c r="M50" s="66">
        <f t="shared" ref="M50:N50" si="21">sumif($I$53:$I$113,"TRUE",M53:M113)</f>
        <v>526500</v>
      </c>
      <c r="N50" s="66">
        <f t="shared" si="21"/>
        <v>31000</v>
      </c>
      <c r="O50" s="65"/>
      <c r="P50" s="65"/>
      <c r="Q50" s="66">
        <f>sum(Q53:Q113)</f>
        <v>159000000</v>
      </c>
      <c r="R50" s="133"/>
      <c r="S50" s="133"/>
      <c r="T50" s="133"/>
      <c r="U50" s="133"/>
      <c r="V50" s="69"/>
      <c r="W50" s="69"/>
      <c r="X50" s="717"/>
      <c r="Y50" s="717"/>
      <c r="Z50" s="718"/>
      <c r="AA50" s="719"/>
      <c r="AB50" s="720"/>
      <c r="AC50" s="721"/>
      <c r="AD50" s="721"/>
      <c r="AE50" s="721"/>
      <c r="AF50" s="722"/>
      <c r="AG50" s="723"/>
      <c r="AH50" s="721"/>
      <c r="AI50" s="721"/>
      <c r="AJ50" s="721"/>
      <c r="AK50" s="724"/>
      <c r="AL50" s="724"/>
      <c r="AM50" s="724"/>
      <c r="AN50" s="725"/>
      <c r="AO50" s="9"/>
      <c r="AP50" s="9"/>
      <c r="AQ50" s="9"/>
      <c r="AR50" s="9"/>
    </row>
    <row r="51" ht="30.0" customHeight="1">
      <c r="A51" s="70"/>
      <c r="B51" s="71"/>
      <c r="C51" s="57"/>
      <c r="D51" s="58"/>
      <c r="E51" s="59"/>
      <c r="F51" s="60"/>
      <c r="G51" s="61"/>
      <c r="H51" s="61"/>
      <c r="I51" s="62"/>
      <c r="J51" s="63" t="s">
        <v>8</v>
      </c>
      <c r="K51" s="64">
        <f>SUMIFS(K53:K113,J53:J113,"Tháng")</f>
        <v>19</v>
      </c>
      <c r="L51" s="65"/>
      <c r="M51" s="72"/>
      <c r="N51" s="72"/>
      <c r="O51" s="65"/>
      <c r="P51" s="65"/>
      <c r="Q51" s="72"/>
      <c r="R51" s="133"/>
      <c r="S51" s="133"/>
      <c r="T51" s="133"/>
      <c r="U51" s="133"/>
      <c r="V51" s="69"/>
      <c r="W51" s="69"/>
      <c r="X51" s="717"/>
      <c r="Y51" s="717"/>
      <c r="Z51" s="728"/>
      <c r="AA51" s="719"/>
      <c r="AB51" s="720"/>
      <c r="AC51" s="721"/>
      <c r="AD51" s="721"/>
      <c r="AE51" s="721"/>
      <c r="AF51" s="722"/>
      <c r="AG51" s="723"/>
      <c r="AH51" s="721"/>
      <c r="AI51" s="721"/>
      <c r="AJ51" s="721"/>
      <c r="AK51" s="724"/>
      <c r="AL51" s="724"/>
      <c r="AM51" s="724"/>
      <c r="AN51" s="725"/>
      <c r="AO51" s="9"/>
      <c r="AP51" s="9"/>
      <c r="AQ51" s="9"/>
      <c r="AR51" s="9"/>
    </row>
    <row r="52" outlineLevel="1">
      <c r="A52" s="134" t="s">
        <v>135</v>
      </c>
      <c r="B52" s="135" t="s">
        <v>136</v>
      </c>
      <c r="C52" s="136"/>
      <c r="D52" s="137"/>
      <c r="E52" s="138"/>
      <c r="F52" s="139"/>
      <c r="G52" s="140"/>
      <c r="H52" s="136"/>
      <c r="I52" s="141" t="b">
        <v>0</v>
      </c>
      <c r="J52" s="142"/>
      <c r="K52" s="143"/>
      <c r="L52" s="144"/>
      <c r="M52" s="144"/>
      <c r="N52" s="144"/>
      <c r="O52" s="144"/>
      <c r="P52" s="144"/>
      <c r="Q52" s="144"/>
      <c r="R52" s="136"/>
      <c r="S52" s="145"/>
      <c r="T52" s="145"/>
      <c r="U52" s="138"/>
      <c r="V52" s="146"/>
      <c r="W52" s="146"/>
      <c r="X52" s="773"/>
      <c r="Y52" s="773"/>
      <c r="Z52" s="774"/>
      <c r="AA52" s="775"/>
      <c r="AB52" s="776"/>
      <c r="AC52" s="777"/>
      <c r="AD52" s="777"/>
      <c r="AE52" s="777"/>
      <c r="AF52" s="778"/>
      <c r="AG52" s="779"/>
      <c r="AH52" s="777"/>
      <c r="AI52" s="777"/>
      <c r="AJ52" s="777"/>
      <c r="AK52" s="780"/>
      <c r="AL52" s="780"/>
      <c r="AM52" s="780"/>
      <c r="AN52" s="781"/>
      <c r="AO52" s="146"/>
      <c r="AP52" s="146"/>
      <c r="AQ52" s="146"/>
      <c r="AR52" s="146"/>
    </row>
    <row r="53" ht="43.5" customHeight="1" outlineLevel="1">
      <c r="A53" s="73" t="s">
        <v>45</v>
      </c>
      <c r="B53" s="147" t="s">
        <v>137</v>
      </c>
      <c r="C53" s="75" t="s">
        <v>38</v>
      </c>
      <c r="D53" s="76" t="s">
        <v>138</v>
      </c>
      <c r="E53" s="77" t="s">
        <v>40</v>
      </c>
      <c r="F53" s="78" t="s">
        <v>139</v>
      </c>
      <c r="G53" s="79" t="s">
        <v>50</v>
      </c>
      <c r="H53" s="80" t="s">
        <v>1609</v>
      </c>
      <c r="I53" s="81" t="b">
        <v>1</v>
      </c>
      <c r="J53" s="82" t="s">
        <v>7</v>
      </c>
      <c r="K53" s="83">
        <f t="shared" ref="K53:K74" si="22">if(I53=True,1,if(I53=False,0))</f>
        <v>1</v>
      </c>
      <c r="L53" s="84">
        <f>round(AA53*(1+AB53),-6)</f>
        <v>6000000</v>
      </c>
      <c r="M53" s="84">
        <f>(sum(AC53:AD53)+sum(AG53:AH53))*K53</f>
        <v>30000</v>
      </c>
      <c r="N53" s="84">
        <f>(sum(AE53:AF53)+sum(AI53:AJ53))*K53</f>
        <v>2000</v>
      </c>
      <c r="O53" s="84">
        <f>IFERROR(Q53/M53,"-")</f>
        <v>200</v>
      </c>
      <c r="P53" s="84">
        <f>IFERROR(Q53/N53,"-")</f>
        <v>3000</v>
      </c>
      <c r="Q53" s="84">
        <f t="shared" ref="Q53:Q74" si="23">iferror(L53*K53,"-")</f>
        <v>6000000</v>
      </c>
      <c r="R53" s="75" t="s">
        <v>1610</v>
      </c>
      <c r="S53" s="85" t="s">
        <v>142</v>
      </c>
      <c r="T53" s="85"/>
      <c r="U53" s="86" t="s">
        <v>45</v>
      </c>
      <c r="V53" s="9"/>
      <c r="W53" s="9"/>
      <c r="X53" s="740"/>
      <c r="Y53" s="740"/>
      <c r="Z53" s="741" t="s">
        <v>1611</v>
      </c>
      <c r="AA53" s="742">
        <f>3300000/0.9</f>
        <v>3666666.667</v>
      </c>
      <c r="AB53" s="743">
        <v>0.5</v>
      </c>
      <c r="AC53" s="744">
        <v>20000.0</v>
      </c>
      <c r="AD53" s="744">
        <v>10000.0</v>
      </c>
      <c r="AE53" s="744">
        <v>1000.0</v>
      </c>
      <c r="AF53" s="745">
        <v>1000.0</v>
      </c>
      <c r="AG53" s="746"/>
      <c r="AH53" s="744"/>
      <c r="AI53" s="744"/>
      <c r="AJ53" s="744"/>
      <c r="AK53" s="747">
        <f t="shared" ref="AK53:AK74" si="24">(AD53*2+AF53*50+AH53*10+AJ53*50)*K53</f>
        <v>70000</v>
      </c>
      <c r="AL53" s="747">
        <f t="shared" ref="AL53:AL74" si="25">sum(AA53,AK53)*K53</f>
        <v>3736666.667</v>
      </c>
      <c r="AM53" s="747">
        <f t="shared" ref="AM53:AM74" si="26">iferror(Q53-AL53,"-")</f>
        <v>2263333.333</v>
      </c>
      <c r="AN53" s="748">
        <f t="shared" ref="AN53:AN74" si="27">iferror(AM53/Q53,"-")</f>
        <v>0.3772222222</v>
      </c>
      <c r="AO53" s="9"/>
      <c r="AP53" s="9"/>
      <c r="AQ53" s="9"/>
      <c r="AR53" s="9"/>
    </row>
    <row r="54" ht="43.5" customHeight="1" outlineLevel="1">
      <c r="A54" s="72"/>
      <c r="B54" s="72"/>
      <c r="C54" s="72"/>
      <c r="D54" s="72"/>
      <c r="E54" s="72"/>
      <c r="F54" s="72"/>
      <c r="G54" s="72"/>
      <c r="H54" s="88" t="s">
        <v>1612</v>
      </c>
      <c r="I54" s="81" t="b">
        <v>1</v>
      </c>
      <c r="J54" s="82" t="s">
        <v>47</v>
      </c>
      <c r="K54" s="83">
        <f t="shared" si="22"/>
        <v>1</v>
      </c>
      <c r="L54" s="84">
        <v>2000000.0</v>
      </c>
      <c r="M54" s="84">
        <v>0.0</v>
      </c>
      <c r="N54" s="84">
        <v>0.0</v>
      </c>
      <c r="O54" s="84" t="s">
        <v>81</v>
      </c>
      <c r="P54" s="84" t="s">
        <v>81</v>
      </c>
      <c r="Q54" s="84">
        <f t="shared" si="23"/>
        <v>2000000</v>
      </c>
      <c r="R54" s="72"/>
      <c r="S54" s="72"/>
      <c r="T54" s="72"/>
      <c r="U54" s="72"/>
      <c r="V54" s="9"/>
      <c r="W54" s="9"/>
      <c r="X54" s="26"/>
      <c r="Y54" s="26"/>
      <c r="Z54" s="751" t="s">
        <v>910</v>
      </c>
      <c r="AA54" s="742">
        <v>0.0</v>
      </c>
      <c r="AB54" s="743">
        <v>0.5</v>
      </c>
      <c r="AC54" s="744"/>
      <c r="AD54" s="744"/>
      <c r="AE54" s="744"/>
      <c r="AF54" s="745"/>
      <c r="AG54" s="746"/>
      <c r="AH54" s="744"/>
      <c r="AI54" s="744"/>
      <c r="AJ54" s="744"/>
      <c r="AK54" s="747">
        <f t="shared" si="24"/>
        <v>0</v>
      </c>
      <c r="AL54" s="747">
        <f t="shared" si="25"/>
        <v>0</v>
      </c>
      <c r="AM54" s="747">
        <f t="shared" si="26"/>
        <v>2000000</v>
      </c>
      <c r="AN54" s="748">
        <f t="shared" si="27"/>
        <v>1</v>
      </c>
      <c r="AO54" s="9"/>
      <c r="AP54" s="9"/>
      <c r="AQ54" s="9"/>
      <c r="AR54" s="9"/>
    </row>
    <row r="55" ht="43.5" customHeight="1" outlineLevel="1">
      <c r="A55" s="73" t="s">
        <v>45</v>
      </c>
      <c r="B55" s="89" t="s">
        <v>144</v>
      </c>
      <c r="C55" s="75" t="s">
        <v>38</v>
      </c>
      <c r="D55" s="76" t="s">
        <v>145</v>
      </c>
      <c r="E55" s="77" t="s">
        <v>146</v>
      </c>
      <c r="F55" s="78" t="s">
        <v>139</v>
      </c>
      <c r="G55" s="79" t="s">
        <v>50</v>
      </c>
      <c r="H55" s="80" t="s">
        <v>1613</v>
      </c>
      <c r="I55" s="81" t="b">
        <v>1</v>
      </c>
      <c r="J55" s="82" t="s">
        <v>7</v>
      </c>
      <c r="K55" s="83">
        <f t="shared" si="22"/>
        <v>1</v>
      </c>
      <c r="L55" s="84">
        <f t="shared" ref="L55:L57" si="28">round(AA55*(1+AB55),-6)</f>
        <v>5000000</v>
      </c>
      <c r="M55" s="84">
        <f t="shared" ref="M55:M64" si="29">(sum(AC55:AD55)+sum(AG55:AH55))*K55</f>
        <v>20000</v>
      </c>
      <c r="N55" s="84">
        <f t="shared" ref="N55:N74" si="30">(sum(AE55:AF55)+sum(AI55:AJ55))*K55</f>
        <v>1500</v>
      </c>
      <c r="O55" s="84">
        <f t="shared" ref="O55:O74" si="31">IFERROR(Q55/M55,"-")</f>
        <v>250</v>
      </c>
      <c r="P55" s="84">
        <f t="shared" ref="P55:P74" si="32">IFERROR(Q55/N55,"-")</f>
        <v>3333.333333</v>
      </c>
      <c r="Q55" s="84">
        <f t="shared" si="23"/>
        <v>5000000</v>
      </c>
      <c r="R55" s="75" t="s">
        <v>1614</v>
      </c>
      <c r="S55" s="85" t="s">
        <v>149</v>
      </c>
      <c r="T55" s="85"/>
      <c r="U55" s="86" t="s">
        <v>45</v>
      </c>
      <c r="V55" s="87"/>
      <c r="W55" s="87"/>
      <c r="X55" s="740"/>
      <c r="Y55" s="740"/>
      <c r="Z55" s="741" t="s">
        <v>1615</v>
      </c>
      <c r="AA55" s="742">
        <f>2700000/0.9</f>
        <v>3000000</v>
      </c>
      <c r="AB55" s="743">
        <v>0.5</v>
      </c>
      <c r="AC55" s="744">
        <v>10000.0</v>
      </c>
      <c r="AD55" s="744">
        <v>10000.0</v>
      </c>
      <c r="AE55" s="744">
        <v>500.0</v>
      </c>
      <c r="AF55" s="745">
        <v>1000.0</v>
      </c>
      <c r="AG55" s="746"/>
      <c r="AH55" s="744"/>
      <c r="AI55" s="744"/>
      <c r="AJ55" s="744"/>
      <c r="AK55" s="747">
        <f t="shared" si="24"/>
        <v>70000</v>
      </c>
      <c r="AL55" s="747">
        <f t="shared" si="25"/>
        <v>3070000</v>
      </c>
      <c r="AM55" s="747">
        <f t="shared" si="26"/>
        <v>1930000</v>
      </c>
      <c r="AN55" s="748">
        <f t="shared" si="27"/>
        <v>0.386</v>
      </c>
      <c r="AO55" s="9"/>
      <c r="AP55" s="9"/>
      <c r="AQ55" s="9"/>
      <c r="AR55" s="9"/>
    </row>
    <row r="56" ht="43.5" customHeight="1" outlineLevel="1">
      <c r="A56" s="72"/>
      <c r="B56" s="72"/>
      <c r="C56" s="72"/>
      <c r="D56" s="72"/>
      <c r="E56" s="72"/>
      <c r="F56" s="72"/>
      <c r="G56" s="72"/>
      <c r="H56" s="88" t="s">
        <v>1616</v>
      </c>
      <c r="I56" s="81" t="b">
        <v>1</v>
      </c>
      <c r="J56" s="82" t="s">
        <v>47</v>
      </c>
      <c r="K56" s="83">
        <f t="shared" si="22"/>
        <v>1</v>
      </c>
      <c r="L56" s="84">
        <f t="shared" si="28"/>
        <v>2000000</v>
      </c>
      <c r="M56" s="84">
        <f t="shared" si="29"/>
        <v>0</v>
      </c>
      <c r="N56" s="84">
        <f t="shared" si="30"/>
        <v>0</v>
      </c>
      <c r="O56" s="84" t="str">
        <f t="shared" si="31"/>
        <v>-</v>
      </c>
      <c r="P56" s="84" t="str">
        <f t="shared" si="32"/>
        <v>-</v>
      </c>
      <c r="Q56" s="84">
        <f t="shared" si="23"/>
        <v>2000000</v>
      </c>
      <c r="R56" s="72"/>
      <c r="S56" s="72"/>
      <c r="T56" s="72"/>
      <c r="U56" s="72"/>
      <c r="V56" s="9"/>
      <c r="W56" s="9"/>
      <c r="X56" s="26"/>
      <c r="Y56" s="26"/>
      <c r="Z56" s="751" t="s">
        <v>910</v>
      </c>
      <c r="AA56" s="742">
        <f>1200000/0.9</f>
        <v>1333333.333</v>
      </c>
      <c r="AB56" s="743">
        <v>0.8</v>
      </c>
      <c r="AC56" s="744"/>
      <c r="AD56" s="744"/>
      <c r="AE56" s="744"/>
      <c r="AF56" s="745"/>
      <c r="AG56" s="746"/>
      <c r="AH56" s="744"/>
      <c r="AI56" s="744"/>
      <c r="AJ56" s="744"/>
      <c r="AK56" s="747">
        <f t="shared" si="24"/>
        <v>0</v>
      </c>
      <c r="AL56" s="747">
        <f t="shared" si="25"/>
        <v>1333333.333</v>
      </c>
      <c r="AM56" s="747">
        <f t="shared" si="26"/>
        <v>666666.6667</v>
      </c>
      <c r="AN56" s="748">
        <f t="shared" si="27"/>
        <v>0.3333333333</v>
      </c>
      <c r="AO56" s="9"/>
      <c r="AP56" s="9"/>
      <c r="AQ56" s="9"/>
      <c r="AR56" s="9"/>
    </row>
    <row r="57" ht="43.5" customHeight="1" outlineLevel="1">
      <c r="A57" s="73" t="s">
        <v>45</v>
      </c>
      <c r="B57" s="147" t="s">
        <v>151</v>
      </c>
      <c r="C57" s="75" t="s">
        <v>38</v>
      </c>
      <c r="D57" s="76" t="s">
        <v>152</v>
      </c>
      <c r="E57" s="77" t="s">
        <v>146</v>
      </c>
      <c r="F57" s="78" t="s">
        <v>139</v>
      </c>
      <c r="G57" s="79" t="s">
        <v>50</v>
      </c>
      <c r="H57" s="80" t="s">
        <v>1617</v>
      </c>
      <c r="I57" s="81" t="b">
        <v>1</v>
      </c>
      <c r="J57" s="82" t="s">
        <v>7</v>
      </c>
      <c r="K57" s="83">
        <f t="shared" si="22"/>
        <v>1</v>
      </c>
      <c r="L57" s="84">
        <f t="shared" si="28"/>
        <v>3000000</v>
      </c>
      <c r="M57" s="84">
        <f t="shared" si="29"/>
        <v>20000</v>
      </c>
      <c r="N57" s="84">
        <f t="shared" si="30"/>
        <v>1500</v>
      </c>
      <c r="O57" s="84">
        <f t="shared" si="31"/>
        <v>150</v>
      </c>
      <c r="P57" s="84">
        <f t="shared" si="32"/>
        <v>2000</v>
      </c>
      <c r="Q57" s="84">
        <f t="shared" si="23"/>
        <v>3000000</v>
      </c>
      <c r="R57" s="75" t="s">
        <v>1618</v>
      </c>
      <c r="S57" s="85" t="s">
        <v>155</v>
      </c>
      <c r="T57" s="85"/>
      <c r="U57" s="86" t="s">
        <v>45</v>
      </c>
      <c r="V57" s="9"/>
      <c r="W57" s="9"/>
      <c r="X57" s="740"/>
      <c r="Y57" s="740"/>
      <c r="Z57" s="741" t="s">
        <v>1619</v>
      </c>
      <c r="AA57" s="742">
        <f>2000000/0.9</f>
        <v>2222222.222</v>
      </c>
      <c r="AB57" s="743">
        <v>0.5</v>
      </c>
      <c r="AC57" s="744">
        <v>10000.0</v>
      </c>
      <c r="AD57" s="744">
        <v>10000.0</v>
      </c>
      <c r="AE57" s="744">
        <v>500.0</v>
      </c>
      <c r="AF57" s="745">
        <v>1000.0</v>
      </c>
      <c r="AG57" s="746"/>
      <c r="AH57" s="744"/>
      <c r="AI57" s="744"/>
      <c r="AJ57" s="744"/>
      <c r="AK57" s="747">
        <f t="shared" si="24"/>
        <v>70000</v>
      </c>
      <c r="AL57" s="747">
        <f t="shared" si="25"/>
        <v>2292222.222</v>
      </c>
      <c r="AM57" s="747">
        <f t="shared" si="26"/>
        <v>707777.7778</v>
      </c>
      <c r="AN57" s="748">
        <f t="shared" si="27"/>
        <v>0.2359259259</v>
      </c>
      <c r="AO57" s="9"/>
      <c r="AP57" s="9"/>
      <c r="AQ57" s="9"/>
      <c r="AR57" s="9"/>
    </row>
    <row r="58" ht="43.5" customHeight="1" outlineLevel="1">
      <c r="A58" s="72"/>
      <c r="B58" s="72"/>
      <c r="C58" s="72"/>
      <c r="D58" s="72"/>
      <c r="E58" s="72"/>
      <c r="F58" s="72"/>
      <c r="G58" s="72"/>
      <c r="H58" s="88" t="s">
        <v>1620</v>
      </c>
      <c r="I58" s="81" t="b">
        <v>1</v>
      </c>
      <c r="J58" s="82" t="s">
        <v>47</v>
      </c>
      <c r="K58" s="83">
        <f t="shared" si="22"/>
        <v>1</v>
      </c>
      <c r="L58" s="84">
        <v>2000000.0</v>
      </c>
      <c r="M58" s="84">
        <f t="shared" si="29"/>
        <v>0</v>
      </c>
      <c r="N58" s="84">
        <f t="shared" si="30"/>
        <v>0</v>
      </c>
      <c r="O58" s="84" t="str">
        <f t="shared" si="31"/>
        <v>-</v>
      </c>
      <c r="P58" s="84" t="str">
        <f t="shared" si="32"/>
        <v>-</v>
      </c>
      <c r="Q58" s="84">
        <f t="shared" si="23"/>
        <v>2000000</v>
      </c>
      <c r="R58" s="72"/>
      <c r="S58" s="72"/>
      <c r="T58" s="72"/>
      <c r="U58" s="72"/>
      <c r="V58" s="9"/>
      <c r="W58" s="9"/>
      <c r="X58" s="26"/>
      <c r="Y58" s="26"/>
      <c r="Z58" s="751" t="s">
        <v>910</v>
      </c>
      <c r="AA58" s="742">
        <v>0.0</v>
      </c>
      <c r="AB58" s="743">
        <v>1.0</v>
      </c>
      <c r="AC58" s="744"/>
      <c r="AD58" s="744"/>
      <c r="AE58" s="744"/>
      <c r="AF58" s="745"/>
      <c r="AG58" s="746"/>
      <c r="AH58" s="744"/>
      <c r="AI58" s="744"/>
      <c r="AJ58" s="744"/>
      <c r="AK58" s="747">
        <f t="shared" si="24"/>
        <v>0</v>
      </c>
      <c r="AL58" s="747">
        <f t="shared" si="25"/>
        <v>0</v>
      </c>
      <c r="AM58" s="747">
        <f t="shared" si="26"/>
        <v>2000000</v>
      </c>
      <c r="AN58" s="748">
        <f t="shared" si="27"/>
        <v>1</v>
      </c>
      <c r="AO58" s="9"/>
      <c r="AP58" s="9"/>
      <c r="AQ58" s="9"/>
      <c r="AR58" s="9"/>
    </row>
    <row r="59" ht="43.5" customHeight="1" outlineLevel="1">
      <c r="A59" s="73" t="s">
        <v>73</v>
      </c>
      <c r="B59" s="96" t="s">
        <v>157</v>
      </c>
      <c r="C59" s="75" t="s">
        <v>38</v>
      </c>
      <c r="D59" s="76" t="s">
        <v>158</v>
      </c>
      <c r="E59" s="77" t="s">
        <v>40</v>
      </c>
      <c r="F59" s="78" t="s">
        <v>139</v>
      </c>
      <c r="G59" s="79" t="s">
        <v>50</v>
      </c>
      <c r="H59" s="80" t="s">
        <v>1621</v>
      </c>
      <c r="I59" s="81" t="b">
        <v>1</v>
      </c>
      <c r="J59" s="82" t="s">
        <v>7</v>
      </c>
      <c r="K59" s="83">
        <f t="shared" si="22"/>
        <v>1</v>
      </c>
      <c r="L59" s="84">
        <f t="shared" ref="L59:L74" si="33">round(AA59*(1+AB59),-6)</f>
        <v>6000000</v>
      </c>
      <c r="M59" s="84">
        <f t="shared" si="29"/>
        <v>30000</v>
      </c>
      <c r="N59" s="84">
        <f t="shared" si="30"/>
        <v>2000</v>
      </c>
      <c r="O59" s="84">
        <f t="shared" si="31"/>
        <v>200</v>
      </c>
      <c r="P59" s="84">
        <f t="shared" si="32"/>
        <v>3000</v>
      </c>
      <c r="Q59" s="84">
        <f t="shared" si="23"/>
        <v>6000000</v>
      </c>
      <c r="R59" s="75" t="s">
        <v>1622</v>
      </c>
      <c r="S59" s="85" t="s">
        <v>161</v>
      </c>
      <c r="T59" s="85"/>
      <c r="U59" s="153" t="s">
        <v>222</v>
      </c>
      <c r="V59" s="87"/>
      <c r="W59" s="87"/>
      <c r="X59" s="740"/>
      <c r="Y59" s="740"/>
      <c r="Z59" s="741" t="s">
        <v>1623</v>
      </c>
      <c r="AA59" s="742">
        <f>3300000/0.9</f>
        <v>3666666.667</v>
      </c>
      <c r="AB59" s="743">
        <v>0.5</v>
      </c>
      <c r="AC59" s="744">
        <v>20000.0</v>
      </c>
      <c r="AD59" s="744">
        <v>10000.0</v>
      </c>
      <c r="AE59" s="744">
        <v>1000.0</v>
      </c>
      <c r="AF59" s="745">
        <v>1000.0</v>
      </c>
      <c r="AG59" s="746"/>
      <c r="AH59" s="744"/>
      <c r="AI59" s="744"/>
      <c r="AJ59" s="744"/>
      <c r="AK59" s="747">
        <f t="shared" si="24"/>
        <v>70000</v>
      </c>
      <c r="AL59" s="747">
        <f t="shared" si="25"/>
        <v>3736666.667</v>
      </c>
      <c r="AM59" s="747">
        <f t="shared" si="26"/>
        <v>2263333.333</v>
      </c>
      <c r="AN59" s="748">
        <f t="shared" si="27"/>
        <v>0.3772222222</v>
      </c>
      <c r="AO59" s="9"/>
      <c r="AP59" s="9"/>
      <c r="AQ59" s="9"/>
      <c r="AR59" s="9"/>
    </row>
    <row r="60" ht="43.5" customHeight="1" outlineLevel="1">
      <c r="A60" s="72"/>
      <c r="B60" s="72"/>
      <c r="C60" s="72"/>
      <c r="D60" s="72"/>
      <c r="E60" s="72"/>
      <c r="F60" s="72"/>
      <c r="G60" s="72"/>
      <c r="H60" s="88" t="s">
        <v>1624</v>
      </c>
      <c r="I60" s="81" t="b">
        <v>1</v>
      </c>
      <c r="J60" s="82" t="s">
        <v>47</v>
      </c>
      <c r="K60" s="83">
        <f t="shared" si="22"/>
        <v>1</v>
      </c>
      <c r="L60" s="84">
        <f t="shared" si="33"/>
        <v>2000000</v>
      </c>
      <c r="M60" s="84">
        <f t="shared" si="29"/>
        <v>0</v>
      </c>
      <c r="N60" s="84">
        <f t="shared" si="30"/>
        <v>0</v>
      </c>
      <c r="O60" s="84" t="str">
        <f t="shared" si="31"/>
        <v>-</v>
      </c>
      <c r="P60" s="84" t="str">
        <f t="shared" si="32"/>
        <v>-</v>
      </c>
      <c r="Q60" s="84">
        <f t="shared" si="23"/>
        <v>2000000</v>
      </c>
      <c r="R60" s="72"/>
      <c r="S60" s="72"/>
      <c r="T60" s="72"/>
      <c r="U60" s="72"/>
      <c r="V60" s="87"/>
      <c r="W60" s="87"/>
      <c r="X60" s="26"/>
      <c r="Y60" s="26"/>
      <c r="Z60" s="751" t="s">
        <v>910</v>
      </c>
      <c r="AA60" s="742">
        <f>1000000/0.9</f>
        <v>1111111.111</v>
      </c>
      <c r="AB60" s="743">
        <v>0.5</v>
      </c>
      <c r="AC60" s="744"/>
      <c r="AD60" s="744"/>
      <c r="AE60" s="744"/>
      <c r="AF60" s="745"/>
      <c r="AG60" s="746"/>
      <c r="AH60" s="744"/>
      <c r="AI60" s="744"/>
      <c r="AJ60" s="744"/>
      <c r="AK60" s="747">
        <f t="shared" si="24"/>
        <v>0</v>
      </c>
      <c r="AL60" s="747">
        <f t="shared" si="25"/>
        <v>1111111.111</v>
      </c>
      <c r="AM60" s="747">
        <f t="shared" si="26"/>
        <v>888888.8889</v>
      </c>
      <c r="AN60" s="748">
        <f t="shared" si="27"/>
        <v>0.4444444444</v>
      </c>
      <c r="AO60" s="9"/>
      <c r="AP60" s="9"/>
      <c r="AQ60" s="9"/>
      <c r="AR60" s="9"/>
    </row>
    <row r="61" ht="43.5" customHeight="1" outlineLevel="1">
      <c r="A61" s="73" t="s">
        <v>73</v>
      </c>
      <c r="B61" s="96" t="s">
        <v>163</v>
      </c>
      <c r="C61" s="75" t="s">
        <v>38</v>
      </c>
      <c r="D61" s="76" t="s">
        <v>164</v>
      </c>
      <c r="E61" s="77" t="s">
        <v>146</v>
      </c>
      <c r="F61" s="78" t="s">
        <v>21</v>
      </c>
      <c r="G61" s="79" t="s">
        <v>50</v>
      </c>
      <c r="H61" s="80" t="s">
        <v>1625</v>
      </c>
      <c r="I61" s="81" t="b">
        <v>1</v>
      </c>
      <c r="J61" s="82" t="s">
        <v>7</v>
      </c>
      <c r="K61" s="83">
        <f t="shared" si="22"/>
        <v>1</v>
      </c>
      <c r="L61" s="84">
        <f t="shared" si="33"/>
        <v>5000000</v>
      </c>
      <c r="M61" s="84">
        <f t="shared" si="29"/>
        <v>20000</v>
      </c>
      <c r="N61" s="84">
        <f t="shared" si="30"/>
        <v>1500</v>
      </c>
      <c r="O61" s="84">
        <f t="shared" si="31"/>
        <v>250</v>
      </c>
      <c r="P61" s="84">
        <f t="shared" si="32"/>
        <v>3333.333333</v>
      </c>
      <c r="Q61" s="84">
        <f t="shared" si="23"/>
        <v>5000000</v>
      </c>
      <c r="R61" s="75" t="s">
        <v>1626</v>
      </c>
      <c r="S61" s="85" t="s">
        <v>167</v>
      </c>
      <c r="T61" s="85"/>
      <c r="U61" s="153" t="s">
        <v>222</v>
      </c>
      <c r="V61" s="87"/>
      <c r="W61" s="87"/>
      <c r="X61" s="740"/>
      <c r="Y61" s="740"/>
      <c r="Z61" s="741" t="s">
        <v>1627</v>
      </c>
      <c r="AA61" s="742">
        <f>2700000/0.9</f>
        <v>3000000</v>
      </c>
      <c r="AB61" s="743">
        <v>0.5</v>
      </c>
      <c r="AC61" s="744">
        <v>10000.0</v>
      </c>
      <c r="AD61" s="744">
        <v>10000.0</v>
      </c>
      <c r="AE61" s="744">
        <v>500.0</v>
      </c>
      <c r="AF61" s="745">
        <v>1000.0</v>
      </c>
      <c r="AG61" s="746"/>
      <c r="AH61" s="744"/>
      <c r="AI61" s="744"/>
      <c r="AJ61" s="744"/>
      <c r="AK61" s="747">
        <f t="shared" si="24"/>
        <v>70000</v>
      </c>
      <c r="AL61" s="747">
        <f t="shared" si="25"/>
        <v>3070000</v>
      </c>
      <c r="AM61" s="747">
        <f t="shared" si="26"/>
        <v>1930000</v>
      </c>
      <c r="AN61" s="748">
        <f t="shared" si="27"/>
        <v>0.386</v>
      </c>
      <c r="AO61" s="9"/>
      <c r="AP61" s="9"/>
      <c r="AQ61" s="9"/>
      <c r="AR61" s="9"/>
    </row>
    <row r="62" ht="43.5" customHeight="1" outlineLevel="1">
      <c r="A62" s="72"/>
      <c r="B62" s="72"/>
      <c r="C62" s="72"/>
      <c r="D62" s="72"/>
      <c r="E62" s="72"/>
      <c r="F62" s="72"/>
      <c r="G62" s="72"/>
      <c r="H62" s="88" t="s">
        <v>1628</v>
      </c>
      <c r="I62" s="81" t="b">
        <v>1</v>
      </c>
      <c r="J62" s="82" t="s">
        <v>47</v>
      </c>
      <c r="K62" s="83">
        <f t="shared" si="22"/>
        <v>1</v>
      </c>
      <c r="L62" s="84">
        <f t="shared" si="33"/>
        <v>3000000</v>
      </c>
      <c r="M62" s="84">
        <f t="shared" si="29"/>
        <v>0</v>
      </c>
      <c r="N62" s="84">
        <f t="shared" si="30"/>
        <v>0</v>
      </c>
      <c r="O62" s="84" t="str">
        <f t="shared" si="31"/>
        <v>-</v>
      </c>
      <c r="P62" s="84" t="str">
        <f t="shared" si="32"/>
        <v>-</v>
      </c>
      <c r="Q62" s="84">
        <f t="shared" si="23"/>
        <v>3000000</v>
      </c>
      <c r="R62" s="72"/>
      <c r="S62" s="72"/>
      <c r="T62" s="72"/>
      <c r="U62" s="72"/>
      <c r="V62" s="9"/>
      <c r="W62" s="9"/>
      <c r="X62" s="26"/>
      <c r="Y62" s="26"/>
      <c r="Z62" s="751" t="s">
        <v>910</v>
      </c>
      <c r="AA62" s="742">
        <f>1500000/0.9</f>
        <v>1666666.667</v>
      </c>
      <c r="AB62" s="743">
        <v>0.5</v>
      </c>
      <c r="AC62" s="744"/>
      <c r="AD62" s="744"/>
      <c r="AE62" s="744"/>
      <c r="AF62" s="745"/>
      <c r="AG62" s="746"/>
      <c r="AH62" s="744"/>
      <c r="AI62" s="744"/>
      <c r="AJ62" s="744"/>
      <c r="AK62" s="747">
        <f t="shared" si="24"/>
        <v>0</v>
      </c>
      <c r="AL62" s="747">
        <f t="shared" si="25"/>
        <v>1666666.667</v>
      </c>
      <c r="AM62" s="747">
        <f t="shared" si="26"/>
        <v>1333333.333</v>
      </c>
      <c r="AN62" s="748">
        <f t="shared" si="27"/>
        <v>0.4444444444</v>
      </c>
      <c r="AO62" s="9"/>
      <c r="AP62" s="9"/>
      <c r="AQ62" s="9"/>
      <c r="AR62" s="9"/>
    </row>
    <row r="63" ht="43.5" customHeight="1" outlineLevel="1">
      <c r="A63" s="73" t="s">
        <v>73</v>
      </c>
      <c r="B63" s="91" t="s">
        <v>169</v>
      </c>
      <c r="C63" s="75" t="s">
        <v>38</v>
      </c>
      <c r="D63" s="76">
        <v>6489.0</v>
      </c>
      <c r="E63" s="77" t="s">
        <v>146</v>
      </c>
      <c r="F63" s="78" t="s">
        <v>139</v>
      </c>
      <c r="G63" s="79" t="s">
        <v>50</v>
      </c>
      <c r="H63" s="80" t="s">
        <v>1629</v>
      </c>
      <c r="I63" s="81" t="b">
        <v>1</v>
      </c>
      <c r="J63" s="82" t="s">
        <v>7</v>
      </c>
      <c r="K63" s="83">
        <f t="shared" si="22"/>
        <v>1</v>
      </c>
      <c r="L63" s="84">
        <f t="shared" si="33"/>
        <v>3000000</v>
      </c>
      <c r="M63" s="84">
        <f t="shared" si="29"/>
        <v>15000</v>
      </c>
      <c r="N63" s="84">
        <f t="shared" si="30"/>
        <v>1000</v>
      </c>
      <c r="O63" s="84">
        <f t="shared" si="31"/>
        <v>200</v>
      </c>
      <c r="P63" s="84">
        <f t="shared" si="32"/>
        <v>3000</v>
      </c>
      <c r="Q63" s="84">
        <f t="shared" si="23"/>
        <v>3000000</v>
      </c>
      <c r="R63" s="75" t="s">
        <v>1630</v>
      </c>
      <c r="S63" s="85" t="s">
        <v>172</v>
      </c>
      <c r="T63" s="93" t="s">
        <v>79</v>
      </c>
      <c r="U63" s="153" t="s">
        <v>222</v>
      </c>
      <c r="V63" s="9"/>
      <c r="W63" s="9"/>
      <c r="X63" s="740"/>
      <c r="Y63" s="740"/>
      <c r="Z63" s="741" t="s">
        <v>1631</v>
      </c>
      <c r="AA63" s="742">
        <f>1800000/0.9</f>
        <v>2000000</v>
      </c>
      <c r="AB63" s="743">
        <v>0.5</v>
      </c>
      <c r="AC63" s="744">
        <v>5000.0</v>
      </c>
      <c r="AD63" s="744">
        <v>10000.0</v>
      </c>
      <c r="AE63" s="744">
        <v>500.0</v>
      </c>
      <c r="AF63" s="745">
        <v>500.0</v>
      </c>
      <c r="AG63" s="746"/>
      <c r="AH63" s="744"/>
      <c r="AI63" s="744"/>
      <c r="AJ63" s="744"/>
      <c r="AK63" s="747">
        <f t="shared" si="24"/>
        <v>45000</v>
      </c>
      <c r="AL63" s="747">
        <f t="shared" si="25"/>
        <v>2045000</v>
      </c>
      <c r="AM63" s="747">
        <f t="shared" si="26"/>
        <v>955000</v>
      </c>
      <c r="AN63" s="748">
        <f t="shared" si="27"/>
        <v>0.3183333333</v>
      </c>
      <c r="AO63" s="9"/>
      <c r="AP63" s="9"/>
      <c r="AQ63" s="9"/>
      <c r="AR63" s="9"/>
    </row>
    <row r="64" ht="43.5" customHeight="1" outlineLevel="1">
      <c r="A64" s="72"/>
      <c r="B64" s="72"/>
      <c r="C64" s="72"/>
      <c r="D64" s="72"/>
      <c r="E64" s="72"/>
      <c r="F64" s="72"/>
      <c r="G64" s="72"/>
      <c r="H64" s="88" t="s">
        <v>1632</v>
      </c>
      <c r="I64" s="81" t="b">
        <v>1</v>
      </c>
      <c r="J64" s="82" t="s">
        <v>47</v>
      </c>
      <c r="K64" s="83">
        <f t="shared" si="22"/>
        <v>1</v>
      </c>
      <c r="L64" s="84">
        <f t="shared" si="33"/>
        <v>2000000</v>
      </c>
      <c r="M64" s="84">
        <f t="shared" si="29"/>
        <v>0</v>
      </c>
      <c r="N64" s="84">
        <f t="shared" si="30"/>
        <v>0</v>
      </c>
      <c r="O64" s="84" t="str">
        <f t="shared" si="31"/>
        <v>-</v>
      </c>
      <c r="P64" s="84" t="str">
        <f t="shared" si="32"/>
        <v>-</v>
      </c>
      <c r="Q64" s="84">
        <f t="shared" si="23"/>
        <v>2000000</v>
      </c>
      <c r="R64" s="72"/>
      <c r="S64" s="72"/>
      <c r="T64" s="72"/>
      <c r="U64" s="72"/>
      <c r="V64" s="9"/>
      <c r="W64" s="9"/>
      <c r="X64" s="26"/>
      <c r="Y64" s="26"/>
      <c r="Z64" s="751" t="s">
        <v>910</v>
      </c>
      <c r="AA64" s="742">
        <f>1000000/0.9</f>
        <v>1111111.111</v>
      </c>
      <c r="AB64" s="743">
        <v>1.2</v>
      </c>
      <c r="AC64" s="744"/>
      <c r="AD64" s="744"/>
      <c r="AE64" s="744"/>
      <c r="AF64" s="745"/>
      <c r="AG64" s="746"/>
      <c r="AH64" s="744"/>
      <c r="AI64" s="744"/>
      <c r="AJ64" s="744"/>
      <c r="AK64" s="747">
        <f t="shared" si="24"/>
        <v>0</v>
      </c>
      <c r="AL64" s="747">
        <f t="shared" si="25"/>
        <v>1111111.111</v>
      </c>
      <c r="AM64" s="747">
        <f t="shared" si="26"/>
        <v>888888.8889</v>
      </c>
      <c r="AN64" s="748">
        <f t="shared" si="27"/>
        <v>0.4444444444</v>
      </c>
      <c r="AO64" s="9"/>
      <c r="AP64" s="9"/>
      <c r="AQ64" s="9"/>
      <c r="AR64" s="9"/>
    </row>
    <row r="65" ht="43.5" customHeight="1" outlineLevel="1">
      <c r="A65" s="73" t="s">
        <v>109</v>
      </c>
      <c r="B65" s="148" t="s">
        <v>174</v>
      </c>
      <c r="C65" s="75" t="s">
        <v>38</v>
      </c>
      <c r="D65" s="76" t="s">
        <v>175</v>
      </c>
      <c r="E65" s="77" t="s">
        <v>146</v>
      </c>
      <c r="F65" s="78" t="s">
        <v>176</v>
      </c>
      <c r="G65" s="79" t="s">
        <v>50</v>
      </c>
      <c r="H65" s="80" t="s">
        <v>1633</v>
      </c>
      <c r="I65" s="97" t="b">
        <v>1</v>
      </c>
      <c r="J65" s="82" t="s">
        <v>7</v>
      </c>
      <c r="K65" s="83">
        <f t="shared" si="22"/>
        <v>1</v>
      </c>
      <c r="L65" s="84">
        <f t="shared" si="33"/>
        <v>11000000</v>
      </c>
      <c r="M65" s="84">
        <f t="shared" ref="M65:M67" si="34">(sum(AC65:AE65)+sum(AG65:AH65))*K65</f>
        <v>46000</v>
      </c>
      <c r="N65" s="84">
        <f t="shared" si="30"/>
        <v>2000</v>
      </c>
      <c r="O65" s="84">
        <f t="shared" si="31"/>
        <v>239.1304348</v>
      </c>
      <c r="P65" s="84">
        <f t="shared" si="32"/>
        <v>5500</v>
      </c>
      <c r="Q65" s="84">
        <f t="shared" si="23"/>
        <v>11000000</v>
      </c>
      <c r="R65" s="75" t="s">
        <v>1634</v>
      </c>
      <c r="S65" s="85"/>
      <c r="T65" s="85"/>
      <c r="U65" s="149" t="s">
        <v>122</v>
      </c>
      <c r="V65" s="87"/>
      <c r="W65" s="87"/>
      <c r="X65" s="740"/>
      <c r="Y65" s="740"/>
      <c r="Z65" s="741" t="s">
        <v>1635</v>
      </c>
      <c r="AA65" s="742">
        <v>6500000.0</v>
      </c>
      <c r="AB65" s="743">
        <v>0.7</v>
      </c>
      <c r="AC65" s="744">
        <v>10000.0</v>
      </c>
      <c r="AD65" s="744">
        <v>35000.0</v>
      </c>
      <c r="AE65" s="744">
        <v>1000.0</v>
      </c>
      <c r="AF65" s="744">
        <v>1000.0</v>
      </c>
      <c r="AG65" s="746"/>
      <c r="AH65" s="744"/>
      <c r="AI65" s="744"/>
      <c r="AJ65" s="744"/>
      <c r="AK65" s="1087">
        <f t="shared" si="24"/>
        <v>120000</v>
      </c>
      <c r="AL65" s="1087">
        <f t="shared" si="25"/>
        <v>6620000</v>
      </c>
      <c r="AM65" s="1087">
        <f t="shared" si="26"/>
        <v>4380000</v>
      </c>
      <c r="AN65" s="1088">
        <f t="shared" si="27"/>
        <v>0.3981818182</v>
      </c>
      <c r="AO65" s="9"/>
      <c r="AP65" s="9"/>
      <c r="AQ65" s="9"/>
      <c r="AR65" s="9"/>
    </row>
    <row r="66" ht="43.5" customHeight="1" outlineLevel="1">
      <c r="A66" s="72"/>
      <c r="B66" s="72"/>
      <c r="C66" s="72"/>
      <c r="D66" s="72"/>
      <c r="E66" s="72"/>
      <c r="F66" s="72"/>
      <c r="G66" s="72"/>
      <c r="H66" s="88" t="s">
        <v>1636</v>
      </c>
      <c r="I66" s="97" t="b">
        <v>1</v>
      </c>
      <c r="J66" s="82" t="s">
        <v>47</v>
      </c>
      <c r="K66" s="83">
        <f t="shared" si="22"/>
        <v>1</v>
      </c>
      <c r="L66" s="84">
        <f t="shared" si="33"/>
        <v>2000000</v>
      </c>
      <c r="M66" s="84">
        <f t="shared" si="34"/>
        <v>0</v>
      </c>
      <c r="N66" s="84">
        <f t="shared" si="30"/>
        <v>0</v>
      </c>
      <c r="O66" s="84" t="str">
        <f t="shared" si="31"/>
        <v>-</v>
      </c>
      <c r="P66" s="84" t="str">
        <f t="shared" si="32"/>
        <v>-</v>
      </c>
      <c r="Q66" s="84">
        <f t="shared" si="23"/>
        <v>2000000</v>
      </c>
      <c r="R66" s="72"/>
      <c r="S66" s="72"/>
      <c r="T66" s="72"/>
      <c r="U66" s="72"/>
      <c r="V66" s="9"/>
      <c r="W66" s="9"/>
      <c r="X66" s="26"/>
      <c r="Y66" s="26"/>
      <c r="AA66" s="742">
        <v>1500000.0</v>
      </c>
      <c r="AB66" s="743">
        <v>0.5</v>
      </c>
      <c r="AC66" s="744"/>
      <c r="AD66" s="744"/>
      <c r="AE66" s="744"/>
      <c r="AF66" s="744"/>
      <c r="AG66" s="746"/>
      <c r="AH66" s="744"/>
      <c r="AI66" s="744"/>
      <c r="AJ66" s="744"/>
      <c r="AK66" s="1087">
        <f t="shared" si="24"/>
        <v>0</v>
      </c>
      <c r="AL66" s="1087">
        <f t="shared" si="25"/>
        <v>1500000</v>
      </c>
      <c r="AM66" s="1087">
        <f t="shared" si="26"/>
        <v>500000</v>
      </c>
      <c r="AN66" s="1088">
        <f t="shared" si="27"/>
        <v>0.25</v>
      </c>
      <c r="AO66" s="9"/>
      <c r="AP66" s="9"/>
      <c r="AQ66" s="9"/>
      <c r="AR66" s="9"/>
    </row>
    <row r="67" ht="43.5" customHeight="1" outlineLevel="1">
      <c r="A67" s="73" t="s">
        <v>109</v>
      </c>
      <c r="B67" s="150" t="s">
        <v>180</v>
      </c>
      <c r="C67" s="75" t="s">
        <v>38</v>
      </c>
      <c r="D67" s="76" t="s">
        <v>181</v>
      </c>
      <c r="E67" s="77" t="s">
        <v>146</v>
      </c>
      <c r="F67" s="78" t="s">
        <v>182</v>
      </c>
      <c r="G67" s="79" t="s">
        <v>50</v>
      </c>
      <c r="H67" s="80" t="s">
        <v>1637</v>
      </c>
      <c r="I67" s="97" t="b">
        <v>1</v>
      </c>
      <c r="J67" s="82" t="s">
        <v>7</v>
      </c>
      <c r="K67" s="83">
        <f t="shared" si="22"/>
        <v>1</v>
      </c>
      <c r="L67" s="84">
        <f t="shared" si="33"/>
        <v>10000000</v>
      </c>
      <c r="M67" s="84">
        <f t="shared" si="34"/>
        <v>40500</v>
      </c>
      <c r="N67" s="84">
        <f t="shared" si="30"/>
        <v>2000</v>
      </c>
      <c r="O67" s="84">
        <f t="shared" si="31"/>
        <v>246.9135802</v>
      </c>
      <c r="P67" s="84">
        <f t="shared" si="32"/>
        <v>5000</v>
      </c>
      <c r="Q67" s="84">
        <f t="shared" si="23"/>
        <v>10000000</v>
      </c>
      <c r="R67" s="75" t="s">
        <v>1638</v>
      </c>
      <c r="S67" s="85"/>
      <c r="T67" s="85"/>
      <c r="U67" s="149" t="s">
        <v>122</v>
      </c>
      <c r="V67" s="9"/>
      <c r="W67" s="9"/>
      <c r="X67" s="740"/>
      <c r="Y67" s="740"/>
      <c r="Z67" s="764" t="s">
        <v>1639</v>
      </c>
      <c r="AA67" s="742">
        <v>6500000.0</v>
      </c>
      <c r="AB67" s="743">
        <v>0.5</v>
      </c>
      <c r="AC67" s="744">
        <v>10000.0</v>
      </c>
      <c r="AD67" s="744">
        <v>30000.0</v>
      </c>
      <c r="AE67" s="744">
        <v>500.0</v>
      </c>
      <c r="AF67" s="744">
        <v>1500.0</v>
      </c>
      <c r="AG67" s="746"/>
      <c r="AH67" s="744"/>
      <c r="AI67" s="744"/>
      <c r="AJ67" s="744"/>
      <c r="AK67" s="1087">
        <f t="shared" si="24"/>
        <v>135000</v>
      </c>
      <c r="AL67" s="1087">
        <f t="shared" si="25"/>
        <v>6635000</v>
      </c>
      <c r="AM67" s="1087">
        <f t="shared" si="26"/>
        <v>3365000</v>
      </c>
      <c r="AN67" s="1088">
        <f t="shared" si="27"/>
        <v>0.3365</v>
      </c>
      <c r="AO67" s="9"/>
      <c r="AP67" s="9"/>
      <c r="AQ67" s="9"/>
      <c r="AR67" s="9"/>
    </row>
    <row r="68" ht="43.5" customHeight="1" outlineLevel="1">
      <c r="A68" s="72"/>
      <c r="B68" s="72"/>
      <c r="C68" s="72"/>
      <c r="D68" s="72"/>
      <c r="E68" s="72"/>
      <c r="F68" s="72"/>
      <c r="G68" s="72"/>
      <c r="H68" s="88" t="s">
        <v>1640</v>
      </c>
      <c r="I68" s="97" t="b">
        <v>1</v>
      </c>
      <c r="J68" s="82" t="s">
        <v>47</v>
      </c>
      <c r="K68" s="83">
        <f t="shared" si="22"/>
        <v>1</v>
      </c>
      <c r="L68" s="84">
        <f t="shared" si="33"/>
        <v>3000000</v>
      </c>
      <c r="M68" s="84">
        <f t="shared" ref="M68:M74" si="35">(sum(AC68:AD68)+sum(AG68:AH68))*K68</f>
        <v>0</v>
      </c>
      <c r="N68" s="84">
        <f t="shared" si="30"/>
        <v>0</v>
      </c>
      <c r="O68" s="84" t="str">
        <f t="shared" si="31"/>
        <v>-</v>
      </c>
      <c r="P68" s="84" t="str">
        <f t="shared" si="32"/>
        <v>-</v>
      </c>
      <c r="Q68" s="84">
        <f t="shared" si="23"/>
        <v>3000000</v>
      </c>
      <c r="R68" s="72"/>
      <c r="S68" s="72"/>
      <c r="T68" s="72"/>
      <c r="U68" s="72"/>
      <c r="V68" s="9"/>
      <c r="W68" s="9"/>
      <c r="X68" s="26"/>
      <c r="Y68" s="26"/>
      <c r="AA68" s="742">
        <v>2000000.0</v>
      </c>
      <c r="AB68" s="743">
        <v>0.5</v>
      </c>
      <c r="AC68" s="744"/>
      <c r="AD68" s="744"/>
      <c r="AE68" s="744"/>
      <c r="AF68" s="744"/>
      <c r="AG68" s="746"/>
      <c r="AH68" s="744"/>
      <c r="AI68" s="744"/>
      <c r="AJ68" s="744"/>
      <c r="AK68" s="1087">
        <f t="shared" si="24"/>
        <v>0</v>
      </c>
      <c r="AL68" s="1087">
        <f t="shared" si="25"/>
        <v>2000000</v>
      </c>
      <c r="AM68" s="1087">
        <f t="shared" si="26"/>
        <v>1000000</v>
      </c>
      <c r="AN68" s="1088">
        <f t="shared" si="27"/>
        <v>0.3333333333</v>
      </c>
      <c r="AO68" s="9"/>
      <c r="AP68" s="9"/>
      <c r="AQ68" s="9"/>
      <c r="AR68" s="9"/>
    </row>
    <row r="69" ht="43.5" customHeight="1" outlineLevel="1">
      <c r="A69" s="73" t="s">
        <v>186</v>
      </c>
      <c r="B69" s="151" t="s">
        <v>187</v>
      </c>
      <c r="C69" s="75" t="s">
        <v>38</v>
      </c>
      <c r="D69" s="76" t="s">
        <v>188</v>
      </c>
      <c r="E69" s="77" t="s">
        <v>146</v>
      </c>
      <c r="F69" s="78" t="s">
        <v>139</v>
      </c>
      <c r="G69" s="79" t="s">
        <v>50</v>
      </c>
      <c r="H69" s="80" t="s">
        <v>1641</v>
      </c>
      <c r="I69" s="81" t="b">
        <v>0</v>
      </c>
      <c r="J69" s="82" t="s">
        <v>7</v>
      </c>
      <c r="K69" s="83">
        <f t="shared" si="22"/>
        <v>0</v>
      </c>
      <c r="L69" s="84">
        <f t="shared" si="33"/>
        <v>12000000</v>
      </c>
      <c r="M69" s="84">
        <f t="shared" si="35"/>
        <v>0</v>
      </c>
      <c r="N69" s="84">
        <f t="shared" si="30"/>
        <v>0</v>
      </c>
      <c r="O69" s="84" t="str">
        <f t="shared" si="31"/>
        <v>-</v>
      </c>
      <c r="P69" s="84" t="str">
        <f t="shared" si="32"/>
        <v>-</v>
      </c>
      <c r="Q69" s="84">
        <f t="shared" si="23"/>
        <v>0</v>
      </c>
      <c r="R69" s="75" t="s">
        <v>1642</v>
      </c>
      <c r="S69" s="85"/>
      <c r="T69" s="85"/>
      <c r="U69" s="149" t="s">
        <v>122</v>
      </c>
      <c r="V69" s="87"/>
      <c r="W69" s="87"/>
      <c r="X69" s="740"/>
      <c r="Y69" s="740"/>
      <c r="Z69" s="741" t="s">
        <v>918</v>
      </c>
      <c r="AA69" s="742">
        <f>8000000/0.9</f>
        <v>8888888.889</v>
      </c>
      <c r="AB69" s="743">
        <v>0.4</v>
      </c>
      <c r="AC69" s="744">
        <v>10000.0</v>
      </c>
      <c r="AD69" s="744">
        <v>50000.0</v>
      </c>
      <c r="AE69" s="744">
        <v>500.0</v>
      </c>
      <c r="AF69" s="745">
        <v>2500.0</v>
      </c>
      <c r="AG69" s="746"/>
      <c r="AH69" s="744"/>
      <c r="AI69" s="744"/>
      <c r="AJ69" s="744"/>
      <c r="AK69" s="747">
        <f t="shared" si="24"/>
        <v>0</v>
      </c>
      <c r="AL69" s="747">
        <f t="shared" si="25"/>
        <v>0</v>
      </c>
      <c r="AM69" s="747">
        <f t="shared" si="26"/>
        <v>0</v>
      </c>
      <c r="AN69" s="748" t="str">
        <f t="shared" si="27"/>
        <v>-</v>
      </c>
      <c r="AO69" s="9"/>
      <c r="AP69" s="9"/>
      <c r="AQ69" s="9"/>
      <c r="AR69" s="9"/>
    </row>
    <row r="70" ht="43.5" customHeight="1" outlineLevel="1">
      <c r="A70" s="72"/>
      <c r="B70" s="72"/>
      <c r="C70" s="72"/>
      <c r="D70" s="72"/>
      <c r="E70" s="72"/>
      <c r="F70" s="72"/>
      <c r="G70" s="72"/>
      <c r="H70" s="88" t="s">
        <v>1643</v>
      </c>
      <c r="I70" s="81" t="b">
        <v>0</v>
      </c>
      <c r="J70" s="82" t="s">
        <v>47</v>
      </c>
      <c r="K70" s="83">
        <f t="shared" si="22"/>
        <v>0</v>
      </c>
      <c r="L70" s="84">
        <f t="shared" si="33"/>
        <v>8000000</v>
      </c>
      <c r="M70" s="84">
        <f t="shared" si="35"/>
        <v>0</v>
      </c>
      <c r="N70" s="84">
        <f t="shared" si="30"/>
        <v>0</v>
      </c>
      <c r="O70" s="84" t="str">
        <f t="shared" si="31"/>
        <v>-</v>
      </c>
      <c r="P70" s="84" t="str">
        <f t="shared" si="32"/>
        <v>-</v>
      </c>
      <c r="Q70" s="84">
        <f t="shared" si="23"/>
        <v>0</v>
      </c>
      <c r="R70" s="72"/>
      <c r="S70" s="72"/>
      <c r="T70" s="72"/>
      <c r="U70" s="72"/>
      <c r="V70" s="9"/>
      <c r="W70" s="9"/>
      <c r="X70" s="26"/>
      <c r="Y70" s="26"/>
      <c r="Z70" s="751" t="s">
        <v>910</v>
      </c>
      <c r="AA70" s="742">
        <f>5000000/0.9</f>
        <v>5555555.556</v>
      </c>
      <c r="AB70" s="743">
        <v>0.4</v>
      </c>
      <c r="AC70" s="744"/>
      <c r="AD70" s="744"/>
      <c r="AE70" s="744"/>
      <c r="AF70" s="745"/>
      <c r="AG70" s="746"/>
      <c r="AH70" s="744"/>
      <c r="AI70" s="744"/>
      <c r="AJ70" s="744"/>
      <c r="AK70" s="747">
        <f t="shared" si="24"/>
        <v>0</v>
      </c>
      <c r="AL70" s="747">
        <f t="shared" si="25"/>
        <v>0</v>
      </c>
      <c r="AM70" s="747">
        <f t="shared" si="26"/>
        <v>0</v>
      </c>
      <c r="AN70" s="748" t="str">
        <f t="shared" si="27"/>
        <v>-</v>
      </c>
      <c r="AO70" s="9"/>
      <c r="AP70" s="9"/>
      <c r="AQ70" s="9"/>
      <c r="AR70" s="9"/>
    </row>
    <row r="71" ht="43.5" customHeight="1" outlineLevel="1">
      <c r="A71" s="73" t="s">
        <v>186</v>
      </c>
      <c r="B71" s="151" t="s">
        <v>192</v>
      </c>
      <c r="C71" s="75" t="s">
        <v>38</v>
      </c>
      <c r="D71" s="76" t="s">
        <v>193</v>
      </c>
      <c r="E71" s="77" t="s">
        <v>146</v>
      </c>
      <c r="F71" s="78" t="s">
        <v>139</v>
      </c>
      <c r="G71" s="79" t="s">
        <v>50</v>
      </c>
      <c r="H71" s="80" t="s">
        <v>1644</v>
      </c>
      <c r="I71" s="81" t="b">
        <v>0</v>
      </c>
      <c r="J71" s="82" t="s">
        <v>7</v>
      </c>
      <c r="K71" s="83">
        <f t="shared" si="22"/>
        <v>0</v>
      </c>
      <c r="L71" s="84">
        <f t="shared" si="33"/>
        <v>6000000</v>
      </c>
      <c r="M71" s="84">
        <f t="shared" si="35"/>
        <v>0</v>
      </c>
      <c r="N71" s="84">
        <f t="shared" si="30"/>
        <v>0</v>
      </c>
      <c r="O71" s="84" t="str">
        <f t="shared" si="31"/>
        <v>-</v>
      </c>
      <c r="P71" s="84" t="str">
        <f t="shared" si="32"/>
        <v>-</v>
      </c>
      <c r="Q71" s="84">
        <f t="shared" si="23"/>
        <v>0</v>
      </c>
      <c r="R71" s="75" t="s">
        <v>1645</v>
      </c>
      <c r="S71" s="85"/>
      <c r="T71" s="85"/>
      <c r="U71" s="149" t="s">
        <v>122</v>
      </c>
      <c r="V71" s="87"/>
      <c r="W71" s="87"/>
      <c r="X71" s="740"/>
      <c r="Y71" s="740"/>
      <c r="Z71" s="741" t="s">
        <v>1646</v>
      </c>
      <c r="AA71" s="742">
        <f>2500000/0.9</f>
        <v>2777777.778</v>
      </c>
      <c r="AB71" s="743">
        <v>1.0</v>
      </c>
      <c r="AC71" s="744">
        <v>10000.0</v>
      </c>
      <c r="AD71" s="744">
        <v>15000.0</v>
      </c>
      <c r="AE71" s="744"/>
      <c r="AF71" s="745">
        <v>2000.0</v>
      </c>
      <c r="AG71" s="746"/>
      <c r="AH71" s="744"/>
      <c r="AI71" s="744"/>
      <c r="AJ71" s="744"/>
      <c r="AK71" s="747">
        <f t="shared" si="24"/>
        <v>0</v>
      </c>
      <c r="AL71" s="747">
        <f t="shared" si="25"/>
        <v>0</v>
      </c>
      <c r="AM71" s="747">
        <f t="shared" si="26"/>
        <v>0</v>
      </c>
      <c r="AN71" s="748" t="str">
        <f t="shared" si="27"/>
        <v>-</v>
      </c>
      <c r="AO71" s="9"/>
      <c r="AP71" s="9"/>
      <c r="AQ71" s="9"/>
      <c r="AR71" s="9"/>
    </row>
    <row r="72" ht="43.5" customHeight="1" outlineLevel="1">
      <c r="A72" s="72"/>
      <c r="B72" s="72"/>
      <c r="C72" s="72"/>
      <c r="D72" s="72"/>
      <c r="E72" s="72"/>
      <c r="F72" s="72"/>
      <c r="G72" s="72"/>
      <c r="H72" s="88" t="s">
        <v>1647</v>
      </c>
      <c r="I72" s="81" t="b">
        <v>0</v>
      </c>
      <c r="J72" s="82" t="s">
        <v>47</v>
      </c>
      <c r="K72" s="83">
        <f t="shared" si="22"/>
        <v>0</v>
      </c>
      <c r="L72" s="84">
        <f t="shared" si="33"/>
        <v>2000000</v>
      </c>
      <c r="M72" s="84">
        <f t="shared" si="35"/>
        <v>0</v>
      </c>
      <c r="N72" s="84">
        <f t="shared" si="30"/>
        <v>0</v>
      </c>
      <c r="O72" s="84" t="str">
        <f t="shared" si="31"/>
        <v>-</v>
      </c>
      <c r="P72" s="84" t="str">
        <f t="shared" si="32"/>
        <v>-</v>
      </c>
      <c r="Q72" s="84">
        <f t="shared" si="23"/>
        <v>0</v>
      </c>
      <c r="R72" s="72"/>
      <c r="S72" s="72"/>
      <c r="T72" s="72"/>
      <c r="U72" s="72"/>
      <c r="V72" s="9"/>
      <c r="W72" s="9"/>
      <c r="X72" s="26"/>
      <c r="Y72" s="26"/>
      <c r="Z72" s="751" t="s">
        <v>910</v>
      </c>
      <c r="AA72" s="742">
        <f>1000000/0.9</f>
        <v>1111111.111</v>
      </c>
      <c r="AB72" s="743">
        <v>1.0</v>
      </c>
      <c r="AC72" s="744"/>
      <c r="AD72" s="744"/>
      <c r="AE72" s="744"/>
      <c r="AF72" s="745"/>
      <c r="AG72" s="746"/>
      <c r="AH72" s="744"/>
      <c r="AI72" s="744"/>
      <c r="AJ72" s="744"/>
      <c r="AK72" s="747">
        <f t="shared" si="24"/>
        <v>0</v>
      </c>
      <c r="AL72" s="747">
        <f t="shared" si="25"/>
        <v>0</v>
      </c>
      <c r="AM72" s="747">
        <f t="shared" si="26"/>
        <v>0</v>
      </c>
      <c r="AN72" s="748" t="str">
        <f t="shared" si="27"/>
        <v>-</v>
      </c>
      <c r="AO72" s="9"/>
      <c r="AP72" s="9"/>
      <c r="AQ72" s="9"/>
      <c r="AR72" s="9"/>
    </row>
    <row r="73" ht="43.5" customHeight="1" outlineLevel="1">
      <c r="A73" s="73" t="s">
        <v>186</v>
      </c>
      <c r="B73" s="152" t="s">
        <v>197</v>
      </c>
      <c r="C73" s="75" t="s">
        <v>38</v>
      </c>
      <c r="D73" s="76" t="s">
        <v>198</v>
      </c>
      <c r="E73" s="77" t="s">
        <v>40</v>
      </c>
      <c r="F73" s="78" t="s">
        <v>139</v>
      </c>
      <c r="G73" s="79" t="s">
        <v>50</v>
      </c>
      <c r="H73" s="80" t="s">
        <v>1648</v>
      </c>
      <c r="I73" s="81" t="b">
        <v>0</v>
      </c>
      <c r="J73" s="82" t="s">
        <v>7</v>
      </c>
      <c r="K73" s="83">
        <f t="shared" si="22"/>
        <v>0</v>
      </c>
      <c r="L73" s="84">
        <f t="shared" si="33"/>
        <v>22000000</v>
      </c>
      <c r="M73" s="84">
        <f t="shared" si="35"/>
        <v>0</v>
      </c>
      <c r="N73" s="84">
        <f t="shared" si="30"/>
        <v>0</v>
      </c>
      <c r="O73" s="84" t="str">
        <f t="shared" si="31"/>
        <v>-</v>
      </c>
      <c r="P73" s="84" t="str">
        <f t="shared" si="32"/>
        <v>-</v>
      </c>
      <c r="Q73" s="84">
        <f t="shared" si="23"/>
        <v>0</v>
      </c>
      <c r="R73" s="75" t="s">
        <v>1649</v>
      </c>
      <c r="S73" s="85"/>
      <c r="T73" s="85"/>
      <c r="U73" s="149" t="s">
        <v>122</v>
      </c>
      <c r="V73" s="9"/>
      <c r="W73" s="9"/>
      <c r="X73" s="740"/>
      <c r="Y73" s="740"/>
      <c r="Z73" s="741" t="s">
        <v>918</v>
      </c>
      <c r="AA73" s="742">
        <f>14000000/0.9</f>
        <v>15555555.56</v>
      </c>
      <c r="AB73" s="743">
        <v>0.4</v>
      </c>
      <c r="AC73" s="744">
        <v>10000.0</v>
      </c>
      <c r="AD73" s="744">
        <v>80000.0</v>
      </c>
      <c r="AE73" s="744">
        <v>1000.0</v>
      </c>
      <c r="AF73" s="745">
        <v>3000.0</v>
      </c>
      <c r="AG73" s="746"/>
      <c r="AH73" s="744"/>
      <c r="AI73" s="744"/>
      <c r="AJ73" s="744"/>
      <c r="AK73" s="747">
        <f t="shared" si="24"/>
        <v>0</v>
      </c>
      <c r="AL73" s="747">
        <f t="shared" si="25"/>
        <v>0</v>
      </c>
      <c r="AM73" s="747">
        <f t="shared" si="26"/>
        <v>0</v>
      </c>
      <c r="AN73" s="748" t="str">
        <f t="shared" si="27"/>
        <v>-</v>
      </c>
      <c r="AO73" s="9"/>
      <c r="AP73" s="9"/>
      <c r="AQ73" s="9"/>
      <c r="AR73" s="9"/>
    </row>
    <row r="74" ht="43.5" customHeight="1" outlineLevel="1">
      <c r="A74" s="72"/>
      <c r="B74" s="72"/>
      <c r="C74" s="72"/>
      <c r="D74" s="72"/>
      <c r="E74" s="72"/>
      <c r="F74" s="72"/>
      <c r="G74" s="72"/>
      <c r="H74" s="88" t="s">
        <v>1650</v>
      </c>
      <c r="I74" s="81" t="b">
        <v>0</v>
      </c>
      <c r="J74" s="82" t="s">
        <v>47</v>
      </c>
      <c r="K74" s="83">
        <f t="shared" si="22"/>
        <v>0</v>
      </c>
      <c r="L74" s="84">
        <f t="shared" si="33"/>
        <v>6000000</v>
      </c>
      <c r="M74" s="84">
        <f t="shared" si="35"/>
        <v>0</v>
      </c>
      <c r="N74" s="84">
        <f t="shared" si="30"/>
        <v>0</v>
      </c>
      <c r="O74" s="84" t="str">
        <f t="shared" si="31"/>
        <v>-</v>
      </c>
      <c r="P74" s="84" t="str">
        <f t="shared" si="32"/>
        <v>-</v>
      </c>
      <c r="Q74" s="84">
        <f t="shared" si="23"/>
        <v>0</v>
      </c>
      <c r="R74" s="72"/>
      <c r="S74" s="72"/>
      <c r="T74" s="72"/>
      <c r="U74" s="72"/>
      <c r="V74" s="9"/>
      <c r="W74" s="9"/>
      <c r="X74" s="26"/>
      <c r="Y74" s="26"/>
      <c r="Z74" s="751" t="s">
        <v>1497</v>
      </c>
      <c r="AA74" s="742">
        <f>1000000/0.9</f>
        <v>1111111.111</v>
      </c>
      <c r="AB74" s="743">
        <v>4.0</v>
      </c>
      <c r="AC74" s="744"/>
      <c r="AD74" s="744"/>
      <c r="AE74" s="744"/>
      <c r="AF74" s="745"/>
      <c r="AG74" s="746"/>
      <c r="AH74" s="744"/>
      <c r="AI74" s="744"/>
      <c r="AJ74" s="744"/>
      <c r="AK74" s="747">
        <f t="shared" si="24"/>
        <v>0</v>
      </c>
      <c r="AL74" s="747">
        <f t="shared" si="25"/>
        <v>0</v>
      </c>
      <c r="AM74" s="747">
        <f t="shared" si="26"/>
        <v>0</v>
      </c>
      <c r="AN74" s="748" t="str">
        <f t="shared" si="27"/>
        <v>-</v>
      </c>
      <c r="AO74" s="9"/>
      <c r="AP74" s="9"/>
      <c r="AQ74" s="9"/>
      <c r="AR74" s="9"/>
    </row>
    <row r="75" outlineLevel="1">
      <c r="A75" s="134" t="s">
        <v>202</v>
      </c>
      <c r="B75" s="135" t="s">
        <v>203</v>
      </c>
      <c r="C75" s="136"/>
      <c r="D75" s="137"/>
      <c r="E75" s="138"/>
      <c r="F75" s="139"/>
      <c r="G75" s="140"/>
      <c r="H75" s="136"/>
      <c r="I75" s="141"/>
      <c r="J75" s="142"/>
      <c r="K75" s="143"/>
      <c r="L75" s="144"/>
      <c r="M75" s="144"/>
      <c r="N75" s="144"/>
      <c r="O75" s="144"/>
      <c r="P75" s="144"/>
      <c r="Q75" s="144"/>
      <c r="R75" s="136"/>
      <c r="S75" s="145"/>
      <c r="T75" s="145"/>
      <c r="U75" s="138"/>
      <c r="V75" s="146"/>
      <c r="W75" s="146"/>
      <c r="X75" s="773"/>
      <c r="Y75" s="773"/>
      <c r="Z75" s="774"/>
      <c r="AA75" s="775"/>
      <c r="AB75" s="776"/>
      <c r="AC75" s="777"/>
      <c r="AD75" s="777"/>
      <c r="AE75" s="777"/>
      <c r="AF75" s="778"/>
      <c r="AG75" s="779"/>
      <c r="AH75" s="777"/>
      <c r="AI75" s="777"/>
      <c r="AJ75" s="777"/>
      <c r="AK75" s="780"/>
      <c r="AL75" s="780"/>
      <c r="AM75" s="780"/>
      <c r="AN75" s="781"/>
      <c r="AO75" s="146"/>
      <c r="AP75" s="146"/>
      <c r="AQ75" s="146"/>
      <c r="AR75" s="146"/>
    </row>
    <row r="76" ht="42.0" customHeight="1" outlineLevel="1">
      <c r="A76" s="73" t="s">
        <v>101</v>
      </c>
      <c r="B76" s="147" t="s">
        <v>204</v>
      </c>
      <c r="C76" s="75" t="s">
        <v>38</v>
      </c>
      <c r="D76" s="76" t="s">
        <v>205</v>
      </c>
      <c r="E76" s="77" t="s">
        <v>146</v>
      </c>
      <c r="F76" s="78" t="s">
        <v>206</v>
      </c>
      <c r="G76" s="79" t="s">
        <v>105</v>
      </c>
      <c r="H76" s="80" t="s">
        <v>1651</v>
      </c>
      <c r="I76" s="81" t="b">
        <v>1</v>
      </c>
      <c r="J76" s="82" t="s">
        <v>7</v>
      </c>
      <c r="K76" s="83">
        <f t="shared" ref="K76:K97" si="36">if(I76=True,1,if(I76=False,0))</f>
        <v>1</v>
      </c>
      <c r="L76" s="84">
        <f t="shared" ref="L76:L77" si="37">round(AA76*(1+AB76),-6)</f>
        <v>4000000</v>
      </c>
      <c r="M76" s="84">
        <f t="shared" ref="M76:M82" si="38">(sum(AC76:AD76)+sum(AG76:AH76))*K76</f>
        <v>20000</v>
      </c>
      <c r="N76" s="84">
        <f t="shared" ref="N76:N82" si="39">(sum(AE76:AF76)+sum(AI76:AJ76))*K76</f>
        <v>1500</v>
      </c>
      <c r="O76" s="84">
        <f t="shared" ref="O76:O82" si="40">IFERROR(Q76/M76,"-")</f>
        <v>200</v>
      </c>
      <c r="P76" s="84">
        <f t="shared" ref="P76:P82" si="41">IFERROR(Q76/N76,"-")</f>
        <v>2666.666667</v>
      </c>
      <c r="Q76" s="84">
        <f t="shared" ref="Q76:Q97" si="42">iferror(L76*K76,"-")</f>
        <v>4000000</v>
      </c>
      <c r="R76" s="75" t="s">
        <v>1652</v>
      </c>
      <c r="S76" s="85" t="s">
        <v>209</v>
      </c>
      <c r="T76" s="85"/>
      <c r="U76" s="86" t="s">
        <v>45</v>
      </c>
      <c r="V76" s="9"/>
      <c r="W76" s="9"/>
      <c r="X76" s="740"/>
      <c r="Y76" s="740"/>
      <c r="Z76" s="741" t="s">
        <v>1653</v>
      </c>
      <c r="AA76" s="742">
        <f>2300000/0.9</f>
        <v>2555555.556</v>
      </c>
      <c r="AB76" s="743">
        <v>0.5</v>
      </c>
      <c r="AC76" s="744">
        <v>10000.0</v>
      </c>
      <c r="AD76" s="744">
        <v>10000.0</v>
      </c>
      <c r="AE76" s="744">
        <v>500.0</v>
      </c>
      <c r="AF76" s="745">
        <v>1000.0</v>
      </c>
      <c r="AG76" s="746"/>
      <c r="AH76" s="744"/>
      <c r="AI76" s="744"/>
      <c r="AJ76" s="744"/>
      <c r="AK76" s="747">
        <f t="shared" ref="AK76:AK97" si="43">(AD76*2+AF76*50+AH76*10+AJ76*50)*K76</f>
        <v>70000</v>
      </c>
      <c r="AL76" s="747">
        <f t="shared" ref="AL76:AL97" si="44">sum(AA76,AK76)*K76</f>
        <v>2625555.556</v>
      </c>
      <c r="AM76" s="747">
        <f t="shared" ref="AM76:AM97" si="45">iferror(Q76-AL76,"-")</f>
        <v>1374444.444</v>
      </c>
      <c r="AN76" s="748">
        <f t="shared" ref="AN76:AN97" si="46">iferror(AM76/Q76,"-")</f>
        <v>0.3436111111</v>
      </c>
      <c r="AO76" s="9"/>
      <c r="AP76" s="9"/>
      <c r="AQ76" s="9"/>
      <c r="AR76" s="9"/>
    </row>
    <row r="77" ht="42.0" customHeight="1" outlineLevel="1">
      <c r="A77" s="72"/>
      <c r="B77" s="72"/>
      <c r="C77" s="72"/>
      <c r="D77" s="72"/>
      <c r="E77" s="72"/>
      <c r="F77" s="72"/>
      <c r="G77" s="72"/>
      <c r="H77" s="88" t="s">
        <v>1654</v>
      </c>
      <c r="I77" s="81" t="b">
        <v>1</v>
      </c>
      <c r="J77" s="82" t="s">
        <v>47</v>
      </c>
      <c r="K77" s="83">
        <f t="shared" si="36"/>
        <v>1</v>
      </c>
      <c r="L77" s="84">
        <f t="shared" si="37"/>
        <v>2000000</v>
      </c>
      <c r="M77" s="84">
        <f t="shared" si="38"/>
        <v>0</v>
      </c>
      <c r="N77" s="84">
        <f t="shared" si="39"/>
        <v>0</v>
      </c>
      <c r="O77" s="84" t="str">
        <f t="shared" si="40"/>
        <v>-</v>
      </c>
      <c r="P77" s="84" t="str">
        <f t="shared" si="41"/>
        <v>-</v>
      </c>
      <c r="Q77" s="84">
        <f t="shared" si="42"/>
        <v>2000000</v>
      </c>
      <c r="R77" s="68"/>
      <c r="S77" s="72"/>
      <c r="T77" s="72"/>
      <c r="U77" s="72"/>
      <c r="V77" s="9"/>
      <c r="W77" s="9"/>
      <c r="X77" s="26"/>
      <c r="Y77" s="26"/>
      <c r="Z77" s="741" t="s">
        <v>1655</v>
      </c>
      <c r="AA77" s="742">
        <f>500000/0.9</f>
        <v>555555.5556</v>
      </c>
      <c r="AB77" s="743">
        <v>2.0</v>
      </c>
      <c r="AC77" s="744"/>
      <c r="AD77" s="744"/>
      <c r="AE77" s="744"/>
      <c r="AF77" s="745"/>
      <c r="AG77" s="746"/>
      <c r="AH77" s="744"/>
      <c r="AI77" s="744"/>
      <c r="AJ77" s="744"/>
      <c r="AK77" s="747">
        <f t="shared" si="43"/>
        <v>0</v>
      </c>
      <c r="AL77" s="747">
        <f t="shared" si="44"/>
        <v>555555.5556</v>
      </c>
      <c r="AM77" s="747">
        <f t="shared" si="45"/>
        <v>1444444.444</v>
      </c>
      <c r="AN77" s="748">
        <f t="shared" si="46"/>
        <v>0.7222222222</v>
      </c>
      <c r="AO77" s="9"/>
      <c r="AP77" s="9"/>
      <c r="AQ77" s="9"/>
      <c r="AR77" s="9"/>
    </row>
    <row r="78" ht="42.0" customHeight="1" outlineLevel="1">
      <c r="A78" s="73" t="s">
        <v>101</v>
      </c>
      <c r="B78" s="89" t="s">
        <v>211</v>
      </c>
      <c r="C78" s="75" t="s">
        <v>38</v>
      </c>
      <c r="D78" s="76">
        <v>45000.0</v>
      </c>
      <c r="E78" s="77" t="s">
        <v>146</v>
      </c>
      <c r="F78" s="78" t="s">
        <v>212</v>
      </c>
      <c r="G78" s="79" t="s">
        <v>213</v>
      </c>
      <c r="H78" s="80" t="s">
        <v>1656</v>
      </c>
      <c r="I78" s="81" t="b">
        <v>1</v>
      </c>
      <c r="J78" s="82" t="s">
        <v>7</v>
      </c>
      <c r="K78" s="83">
        <f t="shared" si="36"/>
        <v>1</v>
      </c>
      <c r="L78" s="84">
        <v>5000000.0</v>
      </c>
      <c r="M78" s="84">
        <f t="shared" si="38"/>
        <v>20000</v>
      </c>
      <c r="N78" s="84">
        <f t="shared" si="39"/>
        <v>1500</v>
      </c>
      <c r="O78" s="84">
        <f t="shared" si="40"/>
        <v>250</v>
      </c>
      <c r="P78" s="84">
        <f t="shared" si="41"/>
        <v>3333.333333</v>
      </c>
      <c r="Q78" s="84">
        <f t="shared" si="42"/>
        <v>5000000</v>
      </c>
      <c r="R78" s="68"/>
      <c r="S78" s="85" t="s">
        <v>215</v>
      </c>
      <c r="T78" s="85"/>
      <c r="U78" s="86" t="s">
        <v>45</v>
      </c>
      <c r="V78" s="9"/>
      <c r="W78" s="9"/>
      <c r="X78" s="740"/>
      <c r="Y78" s="740"/>
      <c r="Z78" s="741" t="s">
        <v>1657</v>
      </c>
      <c r="AA78" s="742">
        <f>3000000/0.9</f>
        <v>3333333.333</v>
      </c>
      <c r="AB78" s="743">
        <v>0.5</v>
      </c>
      <c r="AC78" s="744">
        <v>10000.0</v>
      </c>
      <c r="AD78" s="744">
        <v>10000.0</v>
      </c>
      <c r="AE78" s="744">
        <v>500.0</v>
      </c>
      <c r="AF78" s="745">
        <v>1000.0</v>
      </c>
      <c r="AG78" s="746"/>
      <c r="AH78" s="744"/>
      <c r="AI78" s="744"/>
      <c r="AJ78" s="744"/>
      <c r="AK78" s="747">
        <f t="shared" si="43"/>
        <v>70000</v>
      </c>
      <c r="AL78" s="747">
        <f t="shared" si="44"/>
        <v>3403333.333</v>
      </c>
      <c r="AM78" s="747">
        <f t="shared" si="45"/>
        <v>1596666.667</v>
      </c>
      <c r="AN78" s="748">
        <f t="shared" si="46"/>
        <v>0.3193333333</v>
      </c>
      <c r="AO78" s="9"/>
      <c r="AP78" s="9"/>
      <c r="AQ78" s="9"/>
      <c r="AR78" s="9"/>
    </row>
    <row r="79" ht="42.0" customHeight="1" outlineLevel="1">
      <c r="A79" s="72"/>
      <c r="B79" s="72"/>
      <c r="C79" s="72"/>
      <c r="D79" s="72"/>
      <c r="E79" s="72"/>
      <c r="F79" s="72"/>
      <c r="G79" s="72"/>
      <c r="H79" s="88" t="s">
        <v>1658</v>
      </c>
      <c r="I79" s="81" t="b">
        <v>1</v>
      </c>
      <c r="J79" s="82" t="s">
        <v>47</v>
      </c>
      <c r="K79" s="83">
        <f t="shared" si="36"/>
        <v>1</v>
      </c>
      <c r="L79" s="84">
        <v>2000000.0</v>
      </c>
      <c r="M79" s="84">
        <f t="shared" si="38"/>
        <v>0</v>
      </c>
      <c r="N79" s="84">
        <f t="shared" si="39"/>
        <v>0</v>
      </c>
      <c r="O79" s="84" t="str">
        <f t="shared" si="40"/>
        <v>-</v>
      </c>
      <c r="P79" s="84" t="str">
        <f t="shared" si="41"/>
        <v>-</v>
      </c>
      <c r="Q79" s="84">
        <f t="shared" si="42"/>
        <v>2000000</v>
      </c>
      <c r="R79" s="68"/>
      <c r="S79" s="72"/>
      <c r="T79" s="72"/>
      <c r="U79" s="72"/>
      <c r="V79" s="87"/>
      <c r="W79" s="87"/>
      <c r="X79" s="26"/>
      <c r="Y79" s="26"/>
      <c r="Z79" s="741" t="s">
        <v>1659</v>
      </c>
      <c r="AA79" s="742">
        <v>0.0</v>
      </c>
      <c r="AB79" s="743">
        <v>2.0</v>
      </c>
      <c r="AC79" s="744"/>
      <c r="AD79" s="744"/>
      <c r="AE79" s="744"/>
      <c r="AF79" s="745"/>
      <c r="AG79" s="746"/>
      <c r="AH79" s="744"/>
      <c r="AI79" s="744"/>
      <c r="AJ79" s="744"/>
      <c r="AK79" s="747">
        <f t="shared" si="43"/>
        <v>0</v>
      </c>
      <c r="AL79" s="747">
        <f t="shared" si="44"/>
        <v>0</v>
      </c>
      <c r="AM79" s="747">
        <f t="shared" si="45"/>
        <v>2000000</v>
      </c>
      <c r="AN79" s="748">
        <f t="shared" si="46"/>
        <v>1</v>
      </c>
      <c r="AO79" s="9"/>
      <c r="AP79" s="9"/>
      <c r="AQ79" s="9"/>
      <c r="AR79" s="9"/>
    </row>
    <row r="80" ht="42.0" customHeight="1" outlineLevel="1">
      <c r="A80" s="73" t="s">
        <v>101</v>
      </c>
      <c r="B80" s="96" t="s">
        <v>217</v>
      </c>
      <c r="C80" s="75" t="s">
        <v>38</v>
      </c>
      <c r="D80" s="76" t="s">
        <v>218</v>
      </c>
      <c r="E80" s="77" t="s">
        <v>146</v>
      </c>
      <c r="F80" s="78" t="s">
        <v>219</v>
      </c>
      <c r="G80" s="79" t="s">
        <v>105</v>
      </c>
      <c r="H80" s="80" t="s">
        <v>1660</v>
      </c>
      <c r="I80" s="81" t="b">
        <v>0</v>
      </c>
      <c r="J80" s="82" t="s">
        <v>7</v>
      </c>
      <c r="K80" s="83">
        <f t="shared" si="36"/>
        <v>0</v>
      </c>
      <c r="L80" s="84">
        <f t="shared" ref="L80:L85" si="47">round(AA80*(1+AB80),-6)</f>
        <v>4000000</v>
      </c>
      <c r="M80" s="84">
        <f t="shared" si="38"/>
        <v>0</v>
      </c>
      <c r="N80" s="84">
        <f t="shared" si="39"/>
        <v>0</v>
      </c>
      <c r="O80" s="84" t="str">
        <f t="shared" si="40"/>
        <v>-</v>
      </c>
      <c r="P80" s="84" t="str">
        <f t="shared" si="41"/>
        <v>-</v>
      </c>
      <c r="Q80" s="84">
        <f t="shared" si="42"/>
        <v>0</v>
      </c>
      <c r="R80" s="75"/>
      <c r="S80" s="85" t="s">
        <v>221</v>
      </c>
      <c r="T80" s="93" t="s">
        <v>79</v>
      </c>
      <c r="U80" s="153" t="s">
        <v>222</v>
      </c>
      <c r="V80" s="9"/>
      <c r="W80" s="9"/>
      <c r="X80" s="740"/>
      <c r="Y80" s="740"/>
      <c r="Z80" s="741" t="s">
        <v>1661</v>
      </c>
      <c r="AA80" s="742">
        <f>2300000/0.9</f>
        <v>2555555.556</v>
      </c>
      <c r="AB80" s="743">
        <v>0.5</v>
      </c>
      <c r="AC80" s="744">
        <v>10000.0</v>
      </c>
      <c r="AD80" s="744">
        <v>10000.0</v>
      </c>
      <c r="AE80" s="744">
        <v>500.0</v>
      </c>
      <c r="AF80" s="745">
        <v>1500.0</v>
      </c>
      <c r="AG80" s="746"/>
      <c r="AH80" s="744"/>
      <c r="AI80" s="744"/>
      <c r="AJ80" s="744"/>
      <c r="AK80" s="747">
        <f t="shared" si="43"/>
        <v>0</v>
      </c>
      <c r="AL80" s="747">
        <f t="shared" si="44"/>
        <v>0</v>
      </c>
      <c r="AM80" s="747">
        <f t="shared" si="45"/>
        <v>0</v>
      </c>
      <c r="AN80" s="748" t="str">
        <f t="shared" si="46"/>
        <v>-</v>
      </c>
      <c r="AO80" s="9"/>
      <c r="AP80" s="9"/>
      <c r="AQ80" s="9"/>
      <c r="AR80" s="9"/>
    </row>
    <row r="81" ht="42.0" customHeight="1" outlineLevel="1">
      <c r="A81" s="72"/>
      <c r="B81" s="72"/>
      <c r="C81" s="72"/>
      <c r="D81" s="72"/>
      <c r="E81" s="72"/>
      <c r="F81" s="72"/>
      <c r="G81" s="72"/>
      <c r="H81" s="88" t="s">
        <v>1662</v>
      </c>
      <c r="I81" s="81" t="b">
        <v>0</v>
      </c>
      <c r="J81" s="82" t="s">
        <v>47</v>
      </c>
      <c r="K81" s="83">
        <f t="shared" si="36"/>
        <v>0</v>
      </c>
      <c r="L81" s="84">
        <f t="shared" si="47"/>
        <v>2000000</v>
      </c>
      <c r="M81" s="84">
        <f t="shared" si="38"/>
        <v>0</v>
      </c>
      <c r="N81" s="84">
        <f t="shared" si="39"/>
        <v>0</v>
      </c>
      <c r="O81" s="84" t="str">
        <f t="shared" si="40"/>
        <v>-</v>
      </c>
      <c r="P81" s="84" t="str">
        <f t="shared" si="41"/>
        <v>-</v>
      </c>
      <c r="Q81" s="84">
        <f t="shared" si="42"/>
        <v>0</v>
      </c>
      <c r="R81" s="68"/>
      <c r="S81" s="72"/>
      <c r="T81" s="72"/>
      <c r="U81" s="72"/>
      <c r="V81" s="87"/>
      <c r="W81" s="87"/>
      <c r="X81" s="26"/>
      <c r="Y81" s="26"/>
      <c r="Z81" s="741" t="s">
        <v>1663</v>
      </c>
      <c r="AA81" s="742">
        <f>500000/0.9</f>
        <v>555555.5556</v>
      </c>
      <c r="AB81" s="743">
        <v>2.0</v>
      </c>
      <c r="AC81" s="744"/>
      <c r="AD81" s="744"/>
      <c r="AE81" s="744"/>
      <c r="AF81" s="745"/>
      <c r="AG81" s="746"/>
      <c r="AH81" s="744"/>
      <c r="AI81" s="744"/>
      <c r="AJ81" s="744"/>
      <c r="AK81" s="747">
        <f t="shared" si="43"/>
        <v>0</v>
      </c>
      <c r="AL81" s="747">
        <f t="shared" si="44"/>
        <v>0</v>
      </c>
      <c r="AM81" s="747">
        <f t="shared" si="45"/>
        <v>0</v>
      </c>
      <c r="AN81" s="748" t="str">
        <f t="shared" si="46"/>
        <v>-</v>
      </c>
      <c r="AO81" s="9"/>
      <c r="AP81" s="9"/>
      <c r="AQ81" s="9"/>
      <c r="AR81" s="9"/>
    </row>
    <row r="82" ht="42.0" customHeight="1" outlineLevel="1">
      <c r="A82" s="73" t="s">
        <v>101</v>
      </c>
      <c r="B82" s="91" t="s">
        <v>224</v>
      </c>
      <c r="C82" s="75" t="s">
        <v>38</v>
      </c>
      <c r="D82" s="76">
        <v>76600.0</v>
      </c>
      <c r="E82" s="77" t="s">
        <v>146</v>
      </c>
      <c r="F82" s="78" t="s">
        <v>225</v>
      </c>
      <c r="G82" s="79" t="s">
        <v>226</v>
      </c>
      <c r="H82" s="80" t="s">
        <v>1664</v>
      </c>
      <c r="I82" s="81" t="b">
        <v>0</v>
      </c>
      <c r="J82" s="82" t="s">
        <v>7</v>
      </c>
      <c r="K82" s="83">
        <f t="shared" si="36"/>
        <v>0</v>
      </c>
      <c r="L82" s="84">
        <f t="shared" si="47"/>
        <v>5000000</v>
      </c>
      <c r="M82" s="84">
        <f t="shared" si="38"/>
        <v>0</v>
      </c>
      <c r="N82" s="84">
        <f t="shared" si="39"/>
        <v>0</v>
      </c>
      <c r="O82" s="84" t="str">
        <f t="shared" si="40"/>
        <v>-</v>
      </c>
      <c r="P82" s="84" t="str">
        <f t="shared" si="41"/>
        <v>-</v>
      </c>
      <c r="Q82" s="84">
        <f t="shared" si="42"/>
        <v>0</v>
      </c>
      <c r="R82" s="75"/>
      <c r="S82" s="85" t="s">
        <v>228</v>
      </c>
      <c r="T82" s="85"/>
      <c r="U82" s="153" t="s">
        <v>222</v>
      </c>
      <c r="V82" s="9"/>
      <c r="W82" s="9"/>
      <c r="X82" s="740"/>
      <c r="Y82" s="740"/>
      <c r="Z82" s="741" t="s">
        <v>1665</v>
      </c>
      <c r="AA82" s="742">
        <f>3000000/0.9</f>
        <v>3333333.333</v>
      </c>
      <c r="AB82" s="743">
        <v>0.5</v>
      </c>
      <c r="AC82" s="744">
        <v>20000.0</v>
      </c>
      <c r="AD82" s="744">
        <v>10000.0</v>
      </c>
      <c r="AE82" s="744">
        <v>1000.0</v>
      </c>
      <c r="AF82" s="745">
        <v>1000.0</v>
      </c>
      <c r="AG82" s="746"/>
      <c r="AH82" s="744"/>
      <c r="AI82" s="744"/>
      <c r="AJ82" s="744"/>
      <c r="AK82" s="747">
        <f t="shared" si="43"/>
        <v>0</v>
      </c>
      <c r="AL82" s="747">
        <f t="shared" si="44"/>
        <v>0</v>
      </c>
      <c r="AM82" s="747">
        <f t="shared" si="45"/>
        <v>0</v>
      </c>
      <c r="AN82" s="748" t="str">
        <f t="shared" si="46"/>
        <v>-</v>
      </c>
      <c r="AO82" s="9"/>
      <c r="AP82" s="9"/>
      <c r="AQ82" s="9"/>
      <c r="AR82" s="9"/>
    </row>
    <row r="83" ht="42.0" customHeight="1" outlineLevel="1">
      <c r="A83" s="72"/>
      <c r="B83" s="72"/>
      <c r="C83" s="72"/>
      <c r="D83" s="72"/>
      <c r="E83" s="72"/>
      <c r="F83" s="72"/>
      <c r="G83" s="72"/>
      <c r="H83" s="88" t="s">
        <v>1666</v>
      </c>
      <c r="I83" s="81" t="b">
        <v>0</v>
      </c>
      <c r="J83" s="82" t="s">
        <v>47</v>
      </c>
      <c r="K83" s="83">
        <f t="shared" si="36"/>
        <v>0</v>
      </c>
      <c r="L83" s="84">
        <f t="shared" si="47"/>
        <v>2000000</v>
      </c>
      <c r="M83" s="84">
        <v>0.0</v>
      </c>
      <c r="N83" s="84">
        <v>0.0</v>
      </c>
      <c r="O83" s="84" t="s">
        <v>81</v>
      </c>
      <c r="P83" s="84" t="s">
        <v>81</v>
      </c>
      <c r="Q83" s="84">
        <f t="shared" si="42"/>
        <v>0</v>
      </c>
      <c r="R83" s="68"/>
      <c r="S83" s="72"/>
      <c r="T83" s="72"/>
      <c r="U83" s="72"/>
      <c r="V83" s="9"/>
      <c r="W83" s="9"/>
      <c r="X83" s="26"/>
      <c r="Y83" s="26"/>
      <c r="Z83" s="741" t="s">
        <v>1667</v>
      </c>
      <c r="AA83" s="742">
        <f>500000/0.9</f>
        <v>555555.5556</v>
      </c>
      <c r="AB83" s="743">
        <v>2.0</v>
      </c>
      <c r="AC83" s="744"/>
      <c r="AD83" s="744"/>
      <c r="AE83" s="744"/>
      <c r="AF83" s="745"/>
      <c r="AG83" s="746"/>
      <c r="AH83" s="744"/>
      <c r="AI83" s="744"/>
      <c r="AJ83" s="744"/>
      <c r="AK83" s="747">
        <f t="shared" si="43"/>
        <v>0</v>
      </c>
      <c r="AL83" s="747">
        <f t="shared" si="44"/>
        <v>0</v>
      </c>
      <c r="AM83" s="747">
        <f t="shared" si="45"/>
        <v>0</v>
      </c>
      <c r="AN83" s="748" t="str">
        <f t="shared" si="46"/>
        <v>-</v>
      </c>
      <c r="AO83" s="9"/>
      <c r="AP83" s="9"/>
      <c r="AQ83" s="9"/>
      <c r="AR83" s="9"/>
    </row>
    <row r="84" ht="42.0" customHeight="1" outlineLevel="1">
      <c r="A84" s="73" t="s">
        <v>101</v>
      </c>
      <c r="B84" s="91" t="s">
        <v>230</v>
      </c>
      <c r="C84" s="75" t="s">
        <v>38</v>
      </c>
      <c r="D84" s="76" t="s">
        <v>231</v>
      </c>
      <c r="E84" s="77" t="s">
        <v>146</v>
      </c>
      <c r="F84" s="78" t="s">
        <v>232</v>
      </c>
      <c r="G84" s="79" t="s">
        <v>226</v>
      </c>
      <c r="H84" s="80" t="s">
        <v>1668</v>
      </c>
      <c r="I84" s="81" t="b">
        <v>0</v>
      </c>
      <c r="J84" s="82" t="s">
        <v>7</v>
      </c>
      <c r="K84" s="83">
        <f t="shared" si="36"/>
        <v>0</v>
      </c>
      <c r="L84" s="84">
        <f t="shared" si="47"/>
        <v>4000000</v>
      </c>
      <c r="M84" s="84">
        <f>(sum(AC84:AD84)+sum(AG84:AH84))*K84</f>
        <v>0</v>
      </c>
      <c r="N84" s="84">
        <f>(sum(AE84:AF84)+sum(AI84:AJ84))*K84</f>
        <v>0</v>
      </c>
      <c r="O84" s="84" t="str">
        <f>IFERROR(Q84/M84,"-")</f>
        <v>-</v>
      </c>
      <c r="P84" s="84" t="str">
        <f>IFERROR(Q84/N84,"-")</f>
        <v>-</v>
      </c>
      <c r="Q84" s="84">
        <f t="shared" si="42"/>
        <v>0</v>
      </c>
      <c r="R84" s="75"/>
      <c r="S84" s="85" t="s">
        <v>234</v>
      </c>
      <c r="T84" s="85"/>
      <c r="U84" s="153" t="s">
        <v>222</v>
      </c>
      <c r="V84" s="9"/>
      <c r="W84" s="9"/>
      <c r="X84" s="740"/>
      <c r="Y84" s="740"/>
      <c r="Z84" s="741" t="s">
        <v>1669</v>
      </c>
      <c r="AA84" s="742">
        <f>2500000/0.9</f>
        <v>2777777.778</v>
      </c>
      <c r="AB84" s="743">
        <v>0.5</v>
      </c>
      <c r="AC84" s="744">
        <v>20000.0</v>
      </c>
      <c r="AD84" s="744">
        <v>10000.0</v>
      </c>
      <c r="AE84" s="744">
        <v>1000.0</v>
      </c>
      <c r="AF84" s="745">
        <v>1000.0</v>
      </c>
      <c r="AG84" s="746"/>
      <c r="AH84" s="744"/>
      <c r="AI84" s="744"/>
      <c r="AJ84" s="744"/>
      <c r="AK84" s="747">
        <f t="shared" si="43"/>
        <v>0</v>
      </c>
      <c r="AL84" s="747">
        <f t="shared" si="44"/>
        <v>0</v>
      </c>
      <c r="AM84" s="747">
        <f t="shared" si="45"/>
        <v>0</v>
      </c>
      <c r="AN84" s="748" t="str">
        <f t="shared" si="46"/>
        <v>-</v>
      </c>
      <c r="AO84" s="9"/>
      <c r="AP84" s="9"/>
      <c r="AQ84" s="9"/>
      <c r="AR84" s="9"/>
    </row>
    <row r="85" ht="42.0" customHeight="1" outlineLevel="1">
      <c r="A85" s="72"/>
      <c r="B85" s="72"/>
      <c r="C85" s="72"/>
      <c r="D85" s="72"/>
      <c r="E85" s="72"/>
      <c r="F85" s="72"/>
      <c r="G85" s="72"/>
      <c r="H85" s="88" t="s">
        <v>1670</v>
      </c>
      <c r="I85" s="81" t="b">
        <v>0</v>
      </c>
      <c r="J85" s="82" t="s">
        <v>47</v>
      </c>
      <c r="K85" s="83">
        <f t="shared" si="36"/>
        <v>0</v>
      </c>
      <c r="L85" s="84">
        <f t="shared" si="47"/>
        <v>2000000</v>
      </c>
      <c r="M85" s="84">
        <v>0.0</v>
      </c>
      <c r="N85" s="84">
        <v>0.0</v>
      </c>
      <c r="O85" s="84" t="s">
        <v>81</v>
      </c>
      <c r="P85" s="84" t="s">
        <v>81</v>
      </c>
      <c r="Q85" s="84">
        <f t="shared" si="42"/>
        <v>0</v>
      </c>
      <c r="R85" s="68"/>
      <c r="S85" s="72"/>
      <c r="T85" s="72"/>
      <c r="U85" s="72"/>
      <c r="V85" s="9"/>
      <c r="W85" s="9"/>
      <c r="X85" s="26"/>
      <c r="Y85" s="26"/>
      <c r="Z85" s="741" t="s">
        <v>1671</v>
      </c>
      <c r="AA85" s="742">
        <f>500000/0.9</f>
        <v>555555.5556</v>
      </c>
      <c r="AB85" s="743">
        <v>2.0</v>
      </c>
      <c r="AC85" s="744"/>
      <c r="AD85" s="744"/>
      <c r="AE85" s="744"/>
      <c r="AF85" s="745"/>
      <c r="AG85" s="746"/>
      <c r="AH85" s="744"/>
      <c r="AI85" s="744"/>
      <c r="AJ85" s="744"/>
      <c r="AK85" s="747">
        <f t="shared" si="43"/>
        <v>0</v>
      </c>
      <c r="AL85" s="747">
        <f t="shared" si="44"/>
        <v>0</v>
      </c>
      <c r="AM85" s="747">
        <f t="shared" si="45"/>
        <v>0</v>
      </c>
      <c r="AN85" s="748" t="str">
        <f t="shared" si="46"/>
        <v>-</v>
      </c>
      <c r="AO85" s="9"/>
      <c r="AP85" s="9"/>
      <c r="AQ85" s="9"/>
      <c r="AR85" s="9"/>
    </row>
    <row r="86" ht="42.0" customHeight="1" outlineLevel="1">
      <c r="A86" s="73" t="s">
        <v>236</v>
      </c>
      <c r="B86" s="148" t="s">
        <v>237</v>
      </c>
      <c r="C86" s="75" t="s">
        <v>38</v>
      </c>
      <c r="D86" s="76" t="s">
        <v>238</v>
      </c>
      <c r="E86" s="77" t="s">
        <v>146</v>
      </c>
      <c r="F86" s="78" t="s">
        <v>139</v>
      </c>
      <c r="G86" s="79" t="s">
        <v>105</v>
      </c>
      <c r="H86" s="80" t="s">
        <v>1672</v>
      </c>
      <c r="I86" s="81" t="b">
        <v>0</v>
      </c>
      <c r="J86" s="82" t="s">
        <v>7</v>
      </c>
      <c r="K86" s="83">
        <f t="shared" si="36"/>
        <v>0</v>
      </c>
      <c r="L86" s="84">
        <v>1.6E7</v>
      </c>
      <c r="M86" s="84">
        <f t="shared" ref="M86:M97" si="48">(sum(AC86:AD86)+sum(AG86:AH86))*K86</f>
        <v>0</v>
      </c>
      <c r="N86" s="84">
        <f t="shared" ref="N86:N97" si="49">(sum(AE86:AF86)+sum(AI86:AJ86))*K86</f>
        <v>0</v>
      </c>
      <c r="O86" s="84" t="str">
        <f t="shared" ref="O86:O97" si="50">IFERROR(Q86/M86,"-")</f>
        <v>-</v>
      </c>
      <c r="P86" s="84" t="str">
        <f t="shared" ref="P86:P97" si="51">IFERROR(Q86/N86,"-")</f>
        <v>-</v>
      </c>
      <c r="Q86" s="84">
        <f t="shared" si="42"/>
        <v>0</v>
      </c>
      <c r="R86" s="75" t="s">
        <v>1673</v>
      </c>
      <c r="S86" s="85"/>
      <c r="T86" s="85"/>
      <c r="U86" s="149" t="s">
        <v>122</v>
      </c>
      <c r="V86" s="87"/>
      <c r="W86" s="87"/>
      <c r="X86" s="740"/>
      <c r="Y86" s="740"/>
      <c r="Z86" s="741" t="s">
        <v>1674</v>
      </c>
      <c r="AA86" s="742">
        <v>7000000.0</v>
      </c>
      <c r="AB86" s="743">
        <v>0.4</v>
      </c>
      <c r="AC86" s="744"/>
      <c r="AD86" s="744">
        <v>70000.0</v>
      </c>
      <c r="AE86" s="744"/>
      <c r="AF86" s="745">
        <v>4000.0</v>
      </c>
      <c r="AG86" s="746"/>
      <c r="AH86" s="744"/>
      <c r="AI86" s="744"/>
      <c r="AJ86" s="744"/>
      <c r="AK86" s="747">
        <f t="shared" si="43"/>
        <v>0</v>
      </c>
      <c r="AL86" s="747">
        <f t="shared" si="44"/>
        <v>0</v>
      </c>
      <c r="AM86" s="747">
        <f t="shared" si="45"/>
        <v>0</v>
      </c>
      <c r="AN86" s="748" t="str">
        <f t="shared" si="46"/>
        <v>-</v>
      </c>
      <c r="AO86" s="9"/>
      <c r="AP86" s="9"/>
      <c r="AQ86" s="9"/>
      <c r="AR86" s="9"/>
    </row>
    <row r="87" ht="42.0" customHeight="1" outlineLevel="1">
      <c r="A87" s="72"/>
      <c r="B87" s="72"/>
      <c r="C87" s="72"/>
      <c r="D87" s="72"/>
      <c r="E87" s="72"/>
      <c r="F87" s="72"/>
      <c r="G87" s="72"/>
      <c r="H87" s="88" t="s">
        <v>1675</v>
      </c>
      <c r="I87" s="81" t="b">
        <v>0</v>
      </c>
      <c r="J87" s="82" t="s">
        <v>47</v>
      </c>
      <c r="K87" s="83">
        <f t="shared" si="36"/>
        <v>0</v>
      </c>
      <c r="L87" s="84">
        <v>8000000.0</v>
      </c>
      <c r="M87" s="84">
        <f t="shared" si="48"/>
        <v>0</v>
      </c>
      <c r="N87" s="84">
        <f t="shared" si="49"/>
        <v>0</v>
      </c>
      <c r="O87" s="84" t="str">
        <f t="shared" si="50"/>
        <v>-</v>
      </c>
      <c r="P87" s="84" t="str">
        <f t="shared" si="51"/>
        <v>-</v>
      </c>
      <c r="Q87" s="84">
        <f t="shared" si="42"/>
        <v>0</v>
      </c>
      <c r="R87" s="72"/>
      <c r="S87" s="72"/>
      <c r="T87" s="72"/>
      <c r="U87" s="72"/>
      <c r="V87" s="9"/>
      <c r="W87" s="9"/>
      <c r="X87" s="26"/>
      <c r="Y87" s="26"/>
      <c r="AA87" s="742">
        <v>1500000.0</v>
      </c>
      <c r="AB87" s="743">
        <v>0.4</v>
      </c>
      <c r="AC87" s="744"/>
      <c r="AD87" s="744"/>
      <c r="AE87" s="744"/>
      <c r="AF87" s="745"/>
      <c r="AG87" s="746"/>
      <c r="AH87" s="744"/>
      <c r="AI87" s="744"/>
      <c r="AJ87" s="744"/>
      <c r="AK87" s="747">
        <f t="shared" si="43"/>
        <v>0</v>
      </c>
      <c r="AL87" s="747">
        <f t="shared" si="44"/>
        <v>0</v>
      </c>
      <c r="AM87" s="747">
        <f t="shared" si="45"/>
        <v>0</v>
      </c>
      <c r="AN87" s="748" t="str">
        <f t="shared" si="46"/>
        <v>-</v>
      </c>
      <c r="AO87" s="9"/>
      <c r="AP87" s="9"/>
      <c r="AQ87" s="9"/>
      <c r="AR87" s="9"/>
    </row>
    <row r="88" ht="42.0" customHeight="1" outlineLevel="1">
      <c r="A88" s="73" t="s">
        <v>109</v>
      </c>
      <c r="B88" s="148" t="s">
        <v>242</v>
      </c>
      <c r="C88" s="75" t="s">
        <v>38</v>
      </c>
      <c r="D88" s="76" t="s">
        <v>243</v>
      </c>
      <c r="E88" s="77" t="s">
        <v>146</v>
      </c>
      <c r="F88" s="78" t="s">
        <v>244</v>
      </c>
      <c r="G88" s="79" t="s">
        <v>105</v>
      </c>
      <c r="H88" s="80" t="s">
        <v>1676</v>
      </c>
      <c r="I88" s="97" t="b">
        <v>1</v>
      </c>
      <c r="J88" s="82" t="s">
        <v>7</v>
      </c>
      <c r="K88" s="83">
        <f t="shared" si="36"/>
        <v>1</v>
      </c>
      <c r="L88" s="84">
        <f>round(AA88*(1+AB88),-6)</f>
        <v>10000000</v>
      </c>
      <c r="M88" s="84">
        <f t="shared" si="48"/>
        <v>35000</v>
      </c>
      <c r="N88" s="84">
        <f t="shared" si="49"/>
        <v>1500</v>
      </c>
      <c r="O88" s="84">
        <f t="shared" si="50"/>
        <v>285.7142857</v>
      </c>
      <c r="P88" s="84">
        <f t="shared" si="51"/>
        <v>6666.666667</v>
      </c>
      <c r="Q88" s="84">
        <f t="shared" si="42"/>
        <v>10000000</v>
      </c>
      <c r="R88" s="75" t="s">
        <v>1677</v>
      </c>
      <c r="S88" s="85"/>
      <c r="T88" s="85"/>
      <c r="U88" s="149" t="s">
        <v>122</v>
      </c>
      <c r="V88" s="9"/>
      <c r="W88" s="9"/>
      <c r="X88" s="740"/>
      <c r="Y88" s="740"/>
      <c r="Z88" s="786" t="s">
        <v>1678</v>
      </c>
      <c r="AA88" s="742">
        <v>5000000.0</v>
      </c>
      <c r="AB88" s="743">
        <v>1.0</v>
      </c>
      <c r="AC88" s="744">
        <v>5000.0</v>
      </c>
      <c r="AD88" s="744">
        <v>30000.0</v>
      </c>
      <c r="AE88" s="744"/>
      <c r="AF88" s="745">
        <v>1500.0</v>
      </c>
      <c r="AG88" s="746"/>
      <c r="AH88" s="744"/>
      <c r="AI88" s="744"/>
      <c r="AJ88" s="744"/>
      <c r="AK88" s="747">
        <f t="shared" si="43"/>
        <v>135000</v>
      </c>
      <c r="AL88" s="747">
        <f t="shared" si="44"/>
        <v>5135000</v>
      </c>
      <c r="AM88" s="747">
        <f t="shared" si="45"/>
        <v>4865000</v>
      </c>
      <c r="AN88" s="748">
        <f t="shared" si="46"/>
        <v>0.4865</v>
      </c>
      <c r="AO88" s="9"/>
      <c r="AP88" s="9"/>
      <c r="AQ88" s="9"/>
      <c r="AR88" s="9"/>
    </row>
    <row r="89" ht="42.0" customHeight="1" outlineLevel="1">
      <c r="A89" s="72"/>
      <c r="B89" s="72"/>
      <c r="C89" s="72"/>
      <c r="D89" s="72"/>
      <c r="E89" s="72"/>
      <c r="F89" s="72"/>
      <c r="G89" s="72"/>
      <c r="H89" s="88" t="s">
        <v>1679</v>
      </c>
      <c r="I89" s="97" t="b">
        <v>1</v>
      </c>
      <c r="J89" s="82" t="s">
        <v>47</v>
      </c>
      <c r="K89" s="83">
        <f t="shared" si="36"/>
        <v>1</v>
      </c>
      <c r="L89" s="90">
        <v>2000000.0</v>
      </c>
      <c r="M89" s="84">
        <f t="shared" si="48"/>
        <v>0</v>
      </c>
      <c r="N89" s="84">
        <f t="shared" si="49"/>
        <v>0</v>
      </c>
      <c r="O89" s="84" t="str">
        <f t="shared" si="50"/>
        <v>-</v>
      </c>
      <c r="P89" s="84" t="str">
        <f t="shared" si="51"/>
        <v>-</v>
      </c>
      <c r="Q89" s="84">
        <f t="shared" si="42"/>
        <v>2000000</v>
      </c>
      <c r="R89" s="72"/>
      <c r="S89" s="72"/>
      <c r="T89" s="72"/>
      <c r="U89" s="72"/>
      <c r="V89" s="87"/>
      <c r="W89" s="87"/>
      <c r="X89" s="26"/>
      <c r="Y89" s="26"/>
      <c r="Z89" s="26"/>
      <c r="AA89" s="742">
        <v>0.0</v>
      </c>
      <c r="AB89" s="743"/>
      <c r="AC89" s="744"/>
      <c r="AD89" s="744"/>
      <c r="AE89" s="744"/>
      <c r="AF89" s="745"/>
      <c r="AG89" s="746"/>
      <c r="AH89" s="744"/>
      <c r="AI89" s="744"/>
      <c r="AJ89" s="744"/>
      <c r="AK89" s="747">
        <f t="shared" si="43"/>
        <v>0</v>
      </c>
      <c r="AL89" s="747">
        <f t="shared" si="44"/>
        <v>0</v>
      </c>
      <c r="AM89" s="747">
        <f t="shared" si="45"/>
        <v>2000000</v>
      </c>
      <c r="AN89" s="748">
        <f t="shared" si="46"/>
        <v>1</v>
      </c>
      <c r="AO89" s="9"/>
      <c r="AP89" s="9"/>
      <c r="AQ89" s="9"/>
      <c r="AR89" s="9"/>
    </row>
    <row r="90" ht="42.0" customHeight="1" outlineLevel="1">
      <c r="A90" s="73" t="s">
        <v>109</v>
      </c>
      <c r="B90" s="148" t="s">
        <v>248</v>
      </c>
      <c r="C90" s="75" t="s">
        <v>38</v>
      </c>
      <c r="D90" s="76" t="s">
        <v>249</v>
      </c>
      <c r="E90" s="77" t="s">
        <v>146</v>
      </c>
      <c r="F90" s="78" t="s">
        <v>250</v>
      </c>
      <c r="G90" s="79" t="s">
        <v>105</v>
      </c>
      <c r="H90" s="80" t="s">
        <v>1680</v>
      </c>
      <c r="I90" s="97" t="b">
        <v>1</v>
      </c>
      <c r="J90" s="82" t="s">
        <v>7</v>
      </c>
      <c r="K90" s="83">
        <f t="shared" si="36"/>
        <v>1</v>
      </c>
      <c r="L90" s="84">
        <f t="shared" ref="L90:L97" si="52">round(AA90*(1+AB90),-6)</f>
        <v>7000000</v>
      </c>
      <c r="M90" s="84">
        <f t="shared" si="48"/>
        <v>25000</v>
      </c>
      <c r="N90" s="84">
        <f t="shared" si="49"/>
        <v>1500</v>
      </c>
      <c r="O90" s="84">
        <f t="shared" si="50"/>
        <v>280</v>
      </c>
      <c r="P90" s="84">
        <f t="shared" si="51"/>
        <v>4666.666667</v>
      </c>
      <c r="Q90" s="84">
        <f t="shared" si="42"/>
        <v>7000000</v>
      </c>
      <c r="R90" s="75" t="s">
        <v>1681</v>
      </c>
      <c r="S90" s="85"/>
      <c r="T90" s="85"/>
      <c r="U90" s="149" t="s">
        <v>122</v>
      </c>
      <c r="V90" s="9"/>
      <c r="W90" s="9"/>
      <c r="X90" s="740"/>
      <c r="Y90" s="740"/>
      <c r="Z90" s="786" t="s">
        <v>1682</v>
      </c>
      <c r="AA90" s="742">
        <v>3500000.0</v>
      </c>
      <c r="AB90" s="743">
        <v>1.0</v>
      </c>
      <c r="AC90" s="744">
        <v>2000.0</v>
      </c>
      <c r="AD90" s="744">
        <v>23000.0</v>
      </c>
      <c r="AE90" s="744">
        <v>500.0</v>
      </c>
      <c r="AF90" s="745">
        <v>1000.0</v>
      </c>
      <c r="AG90" s="746"/>
      <c r="AH90" s="744"/>
      <c r="AI90" s="744"/>
      <c r="AJ90" s="744"/>
      <c r="AK90" s="747">
        <f t="shared" si="43"/>
        <v>96000</v>
      </c>
      <c r="AL90" s="747">
        <f t="shared" si="44"/>
        <v>3596000</v>
      </c>
      <c r="AM90" s="747">
        <f t="shared" si="45"/>
        <v>3404000</v>
      </c>
      <c r="AN90" s="748">
        <f t="shared" si="46"/>
        <v>0.4862857143</v>
      </c>
      <c r="AO90" s="9"/>
      <c r="AP90" s="9"/>
      <c r="AQ90" s="9"/>
      <c r="AR90" s="9"/>
    </row>
    <row r="91" ht="42.0" customHeight="1" outlineLevel="1">
      <c r="A91" s="72"/>
      <c r="B91" s="72"/>
      <c r="C91" s="72"/>
      <c r="D91" s="72"/>
      <c r="E91" s="72"/>
      <c r="F91" s="72"/>
      <c r="G91" s="72"/>
      <c r="H91" s="88" t="s">
        <v>1683</v>
      </c>
      <c r="I91" s="97" t="b">
        <v>1</v>
      </c>
      <c r="J91" s="82" t="s">
        <v>47</v>
      </c>
      <c r="K91" s="83">
        <f t="shared" si="36"/>
        <v>1</v>
      </c>
      <c r="L91" s="84">
        <f t="shared" si="52"/>
        <v>3000000</v>
      </c>
      <c r="M91" s="84">
        <f t="shared" si="48"/>
        <v>0</v>
      </c>
      <c r="N91" s="84">
        <f t="shared" si="49"/>
        <v>0</v>
      </c>
      <c r="O91" s="84" t="str">
        <f t="shared" si="50"/>
        <v>-</v>
      </c>
      <c r="P91" s="84" t="str">
        <f t="shared" si="51"/>
        <v>-</v>
      </c>
      <c r="Q91" s="84">
        <f t="shared" si="42"/>
        <v>3000000</v>
      </c>
      <c r="R91" s="72"/>
      <c r="S91" s="72"/>
      <c r="T91" s="72"/>
      <c r="U91" s="72"/>
      <c r="V91" s="9"/>
      <c r="W91" s="9"/>
      <c r="X91" s="26"/>
      <c r="Y91" s="26"/>
      <c r="Z91" s="26"/>
      <c r="AA91" s="742">
        <v>1500000.0</v>
      </c>
      <c r="AB91" s="743">
        <v>1.0</v>
      </c>
      <c r="AC91" s="744"/>
      <c r="AD91" s="744"/>
      <c r="AE91" s="744"/>
      <c r="AF91" s="745"/>
      <c r="AG91" s="746"/>
      <c r="AH91" s="744"/>
      <c r="AI91" s="744"/>
      <c r="AJ91" s="744"/>
      <c r="AK91" s="747">
        <f t="shared" si="43"/>
        <v>0</v>
      </c>
      <c r="AL91" s="747">
        <f t="shared" si="44"/>
        <v>1500000</v>
      </c>
      <c r="AM91" s="747">
        <f t="shared" si="45"/>
        <v>1500000</v>
      </c>
      <c r="AN91" s="748">
        <f t="shared" si="46"/>
        <v>0.5</v>
      </c>
      <c r="AO91" s="9"/>
      <c r="AP91" s="9"/>
      <c r="AQ91" s="9"/>
      <c r="AR91" s="9"/>
    </row>
    <row r="92" ht="42.0" customHeight="1" outlineLevel="1">
      <c r="A92" s="73" t="s">
        <v>109</v>
      </c>
      <c r="B92" s="148" t="s">
        <v>254</v>
      </c>
      <c r="C92" s="75" t="s">
        <v>38</v>
      </c>
      <c r="D92" s="76" t="s">
        <v>255</v>
      </c>
      <c r="E92" s="77" t="s">
        <v>146</v>
      </c>
      <c r="F92" s="78" t="s">
        <v>256</v>
      </c>
      <c r="G92" s="79" t="s">
        <v>105</v>
      </c>
      <c r="H92" s="80" t="s">
        <v>1684</v>
      </c>
      <c r="I92" s="97" t="b">
        <v>1</v>
      </c>
      <c r="J92" s="82" t="s">
        <v>7</v>
      </c>
      <c r="K92" s="83">
        <f t="shared" si="36"/>
        <v>1</v>
      </c>
      <c r="L92" s="84">
        <f t="shared" si="52"/>
        <v>9000000</v>
      </c>
      <c r="M92" s="84">
        <f t="shared" si="48"/>
        <v>30000</v>
      </c>
      <c r="N92" s="84">
        <f t="shared" si="49"/>
        <v>1500</v>
      </c>
      <c r="O92" s="84">
        <f t="shared" si="50"/>
        <v>300</v>
      </c>
      <c r="P92" s="84">
        <f t="shared" si="51"/>
        <v>6000</v>
      </c>
      <c r="Q92" s="84">
        <f t="shared" si="42"/>
        <v>9000000</v>
      </c>
      <c r="R92" s="75" t="s">
        <v>1685</v>
      </c>
      <c r="S92" s="85"/>
      <c r="T92" s="85"/>
      <c r="U92" s="149" t="s">
        <v>122</v>
      </c>
      <c r="V92" s="9"/>
      <c r="W92" s="9"/>
      <c r="X92" s="740"/>
      <c r="Y92" s="740"/>
      <c r="Z92" s="786" t="s">
        <v>1686</v>
      </c>
      <c r="AA92" s="742">
        <v>5000000.0</v>
      </c>
      <c r="AB92" s="743">
        <v>0.7</v>
      </c>
      <c r="AC92" s="744">
        <v>5000.0</v>
      </c>
      <c r="AD92" s="744">
        <v>25000.0</v>
      </c>
      <c r="AE92" s="744">
        <v>200.0</v>
      </c>
      <c r="AF92" s="745">
        <v>1300.0</v>
      </c>
      <c r="AG92" s="746"/>
      <c r="AH92" s="744"/>
      <c r="AI92" s="744"/>
      <c r="AJ92" s="744"/>
      <c r="AK92" s="747">
        <f t="shared" si="43"/>
        <v>115000</v>
      </c>
      <c r="AL92" s="747">
        <f t="shared" si="44"/>
        <v>5115000</v>
      </c>
      <c r="AM92" s="747">
        <f t="shared" si="45"/>
        <v>3885000</v>
      </c>
      <c r="AN92" s="748">
        <f t="shared" si="46"/>
        <v>0.4316666667</v>
      </c>
      <c r="AO92" s="9"/>
      <c r="AP92" s="9"/>
      <c r="AQ92" s="9"/>
      <c r="AR92" s="9"/>
    </row>
    <row r="93" ht="42.0" customHeight="1" outlineLevel="1">
      <c r="A93" s="72"/>
      <c r="B93" s="72"/>
      <c r="C93" s="72"/>
      <c r="D93" s="72"/>
      <c r="E93" s="72"/>
      <c r="F93" s="72"/>
      <c r="G93" s="72"/>
      <c r="H93" s="88" t="s">
        <v>1687</v>
      </c>
      <c r="I93" s="97" t="b">
        <v>1</v>
      </c>
      <c r="J93" s="82" t="s">
        <v>47</v>
      </c>
      <c r="K93" s="83">
        <f t="shared" si="36"/>
        <v>1</v>
      </c>
      <c r="L93" s="84">
        <f t="shared" si="52"/>
        <v>3000000</v>
      </c>
      <c r="M93" s="84">
        <f t="shared" si="48"/>
        <v>0</v>
      </c>
      <c r="N93" s="84">
        <f t="shared" si="49"/>
        <v>0</v>
      </c>
      <c r="O93" s="84" t="str">
        <f t="shared" si="50"/>
        <v>-</v>
      </c>
      <c r="P93" s="84" t="str">
        <f t="shared" si="51"/>
        <v>-</v>
      </c>
      <c r="Q93" s="84">
        <f t="shared" si="42"/>
        <v>3000000</v>
      </c>
      <c r="R93" s="72"/>
      <c r="S93" s="72"/>
      <c r="T93" s="72"/>
      <c r="U93" s="72"/>
      <c r="V93" s="9"/>
      <c r="W93" s="9"/>
      <c r="X93" s="26"/>
      <c r="Y93" s="26"/>
      <c r="Z93" s="26"/>
      <c r="AA93" s="742">
        <v>1500000.0</v>
      </c>
      <c r="AB93" s="743">
        <v>0.7</v>
      </c>
      <c r="AC93" s="744"/>
      <c r="AD93" s="744"/>
      <c r="AE93" s="744"/>
      <c r="AF93" s="745"/>
      <c r="AG93" s="746"/>
      <c r="AH93" s="744"/>
      <c r="AI93" s="744"/>
      <c r="AJ93" s="744"/>
      <c r="AK93" s="747">
        <f t="shared" si="43"/>
        <v>0</v>
      </c>
      <c r="AL93" s="747">
        <f t="shared" si="44"/>
        <v>1500000</v>
      </c>
      <c r="AM93" s="747">
        <f t="shared" si="45"/>
        <v>1500000</v>
      </c>
      <c r="AN93" s="748">
        <f t="shared" si="46"/>
        <v>0.5</v>
      </c>
      <c r="AO93" s="9"/>
      <c r="AP93" s="9"/>
      <c r="AQ93" s="9"/>
      <c r="AR93" s="9"/>
    </row>
    <row r="94" ht="42.0" customHeight="1" outlineLevel="1">
      <c r="A94" s="73" t="s">
        <v>101</v>
      </c>
      <c r="B94" s="154" t="s">
        <v>260</v>
      </c>
      <c r="C94" s="75" t="s">
        <v>38</v>
      </c>
      <c r="D94" s="76" t="s">
        <v>261</v>
      </c>
      <c r="E94" s="77" t="s">
        <v>146</v>
      </c>
      <c r="F94" s="78" t="s">
        <v>262</v>
      </c>
      <c r="G94" s="79" t="s">
        <v>105</v>
      </c>
      <c r="H94" s="80" t="s">
        <v>1688</v>
      </c>
      <c r="I94" s="81" t="b">
        <v>0</v>
      </c>
      <c r="J94" s="82" t="s">
        <v>7</v>
      </c>
      <c r="K94" s="83">
        <f t="shared" si="36"/>
        <v>0</v>
      </c>
      <c r="L94" s="84">
        <f t="shared" si="52"/>
        <v>6000000</v>
      </c>
      <c r="M94" s="84">
        <f t="shared" si="48"/>
        <v>0</v>
      </c>
      <c r="N94" s="84">
        <f t="shared" si="49"/>
        <v>0</v>
      </c>
      <c r="O94" s="84" t="str">
        <f t="shared" si="50"/>
        <v>-</v>
      </c>
      <c r="P94" s="84" t="str">
        <f t="shared" si="51"/>
        <v>-</v>
      </c>
      <c r="Q94" s="84">
        <f t="shared" si="42"/>
        <v>0</v>
      </c>
      <c r="R94" s="75"/>
      <c r="S94" s="85"/>
      <c r="T94" s="85"/>
      <c r="U94" s="149" t="s">
        <v>122</v>
      </c>
      <c r="V94" s="9"/>
      <c r="W94" s="9"/>
      <c r="X94" s="740"/>
      <c r="Y94" s="740"/>
      <c r="Z94" s="741" t="s">
        <v>1689</v>
      </c>
      <c r="AA94" s="742">
        <v>3000000.0</v>
      </c>
      <c r="AB94" s="743">
        <v>1.0</v>
      </c>
      <c r="AC94" s="744">
        <v>10000.0</v>
      </c>
      <c r="AD94" s="744">
        <v>10000.0</v>
      </c>
      <c r="AE94" s="744">
        <v>1000.0</v>
      </c>
      <c r="AF94" s="745"/>
      <c r="AG94" s="746"/>
      <c r="AH94" s="744"/>
      <c r="AI94" s="744"/>
      <c r="AJ94" s="744"/>
      <c r="AK94" s="747">
        <f t="shared" si="43"/>
        <v>0</v>
      </c>
      <c r="AL94" s="747">
        <f t="shared" si="44"/>
        <v>0</v>
      </c>
      <c r="AM94" s="747">
        <f t="shared" si="45"/>
        <v>0</v>
      </c>
      <c r="AN94" s="748" t="str">
        <f t="shared" si="46"/>
        <v>-</v>
      </c>
      <c r="AO94" s="9"/>
      <c r="AP94" s="9"/>
      <c r="AQ94" s="9"/>
      <c r="AR94" s="9"/>
    </row>
    <row r="95" ht="42.0" customHeight="1" outlineLevel="1">
      <c r="A95" s="72"/>
      <c r="B95" s="72"/>
      <c r="C95" s="72"/>
      <c r="D95" s="72"/>
      <c r="E95" s="72"/>
      <c r="F95" s="72"/>
      <c r="G95" s="72"/>
      <c r="H95" s="88" t="s">
        <v>1690</v>
      </c>
      <c r="I95" s="81" t="b">
        <v>0</v>
      </c>
      <c r="J95" s="82" t="s">
        <v>47</v>
      </c>
      <c r="K95" s="83">
        <f t="shared" si="36"/>
        <v>0</v>
      </c>
      <c r="L95" s="84">
        <f t="shared" si="52"/>
        <v>3000000</v>
      </c>
      <c r="M95" s="84">
        <f t="shared" si="48"/>
        <v>0</v>
      </c>
      <c r="N95" s="84">
        <f t="shared" si="49"/>
        <v>0</v>
      </c>
      <c r="O95" s="84" t="str">
        <f t="shared" si="50"/>
        <v>-</v>
      </c>
      <c r="P95" s="84" t="str">
        <f t="shared" si="51"/>
        <v>-</v>
      </c>
      <c r="Q95" s="84">
        <f t="shared" si="42"/>
        <v>0</v>
      </c>
      <c r="R95" s="68"/>
      <c r="S95" s="72"/>
      <c r="T95" s="72"/>
      <c r="U95" s="72"/>
      <c r="V95" s="87"/>
      <c r="W95" s="87"/>
      <c r="X95" s="26"/>
      <c r="Y95" s="26"/>
      <c r="Z95" s="741" t="s">
        <v>1691</v>
      </c>
      <c r="AA95" s="742">
        <v>1000000.0</v>
      </c>
      <c r="AB95" s="743">
        <v>2.0</v>
      </c>
      <c r="AC95" s="744"/>
      <c r="AD95" s="744"/>
      <c r="AE95" s="744"/>
      <c r="AF95" s="745"/>
      <c r="AG95" s="746"/>
      <c r="AH95" s="744"/>
      <c r="AI95" s="744"/>
      <c r="AJ95" s="744"/>
      <c r="AK95" s="747">
        <f t="shared" si="43"/>
        <v>0</v>
      </c>
      <c r="AL95" s="747">
        <f t="shared" si="44"/>
        <v>0</v>
      </c>
      <c r="AM95" s="747">
        <f t="shared" si="45"/>
        <v>0</v>
      </c>
      <c r="AN95" s="748" t="str">
        <f t="shared" si="46"/>
        <v>-</v>
      </c>
      <c r="AO95" s="9"/>
      <c r="AP95" s="9"/>
      <c r="AQ95" s="9"/>
      <c r="AR95" s="9"/>
    </row>
    <row r="96" ht="42.0" customHeight="1" outlineLevel="1">
      <c r="A96" s="73" t="s">
        <v>101</v>
      </c>
      <c r="B96" s="151" t="s">
        <v>265</v>
      </c>
      <c r="C96" s="75" t="s">
        <v>38</v>
      </c>
      <c r="D96" s="76" t="s">
        <v>266</v>
      </c>
      <c r="E96" s="77" t="s">
        <v>146</v>
      </c>
      <c r="F96" s="78" t="s">
        <v>267</v>
      </c>
      <c r="G96" s="79" t="s">
        <v>226</v>
      </c>
      <c r="H96" s="80" t="s">
        <v>1692</v>
      </c>
      <c r="I96" s="81" t="b">
        <v>0</v>
      </c>
      <c r="J96" s="82" t="s">
        <v>7</v>
      </c>
      <c r="K96" s="83">
        <f t="shared" si="36"/>
        <v>0</v>
      </c>
      <c r="L96" s="84">
        <f t="shared" si="52"/>
        <v>8000000</v>
      </c>
      <c r="M96" s="84">
        <f t="shared" si="48"/>
        <v>0</v>
      </c>
      <c r="N96" s="84">
        <f t="shared" si="49"/>
        <v>0</v>
      </c>
      <c r="O96" s="84" t="str">
        <f t="shared" si="50"/>
        <v>-</v>
      </c>
      <c r="P96" s="84" t="str">
        <f t="shared" si="51"/>
        <v>-</v>
      </c>
      <c r="Q96" s="84">
        <f t="shared" si="42"/>
        <v>0</v>
      </c>
      <c r="R96" s="75"/>
      <c r="S96" s="85"/>
      <c r="T96" s="85"/>
      <c r="U96" s="149" t="s">
        <v>122</v>
      </c>
      <c r="V96" s="9"/>
      <c r="W96" s="9"/>
      <c r="X96" s="740"/>
      <c r="Y96" s="740"/>
      <c r="Z96" s="741" t="s">
        <v>1693</v>
      </c>
      <c r="AA96" s="742">
        <f>4500000/0.9</f>
        <v>5000000</v>
      </c>
      <c r="AB96" s="743">
        <v>0.5</v>
      </c>
      <c r="AC96" s="744">
        <v>10000.0</v>
      </c>
      <c r="AD96" s="744">
        <v>10000.0</v>
      </c>
      <c r="AE96" s="744">
        <v>500.0</v>
      </c>
      <c r="AF96" s="745">
        <v>1000.0</v>
      </c>
      <c r="AG96" s="746"/>
      <c r="AH96" s="744"/>
      <c r="AI96" s="744"/>
      <c r="AJ96" s="744"/>
      <c r="AK96" s="747">
        <f t="shared" si="43"/>
        <v>0</v>
      </c>
      <c r="AL96" s="747">
        <f t="shared" si="44"/>
        <v>0</v>
      </c>
      <c r="AM96" s="747">
        <f t="shared" si="45"/>
        <v>0</v>
      </c>
      <c r="AN96" s="748" t="str">
        <f t="shared" si="46"/>
        <v>-</v>
      </c>
      <c r="AO96" s="9"/>
      <c r="AP96" s="9"/>
      <c r="AQ96" s="9"/>
      <c r="AR96" s="9"/>
    </row>
    <row r="97" ht="42.0" customHeight="1" outlineLevel="1">
      <c r="A97" s="72"/>
      <c r="B97" s="72"/>
      <c r="C97" s="72"/>
      <c r="D97" s="72"/>
      <c r="E97" s="72"/>
      <c r="F97" s="72"/>
      <c r="G97" s="72"/>
      <c r="H97" s="88" t="s">
        <v>1694</v>
      </c>
      <c r="I97" s="81" t="b">
        <v>0</v>
      </c>
      <c r="J97" s="82" t="s">
        <v>47</v>
      </c>
      <c r="K97" s="83">
        <f t="shared" si="36"/>
        <v>0</v>
      </c>
      <c r="L97" s="84">
        <f t="shared" si="52"/>
        <v>4000000</v>
      </c>
      <c r="M97" s="84">
        <f t="shared" si="48"/>
        <v>0</v>
      </c>
      <c r="N97" s="84">
        <f t="shared" si="49"/>
        <v>0</v>
      </c>
      <c r="O97" s="84" t="str">
        <f t="shared" si="50"/>
        <v>-</v>
      </c>
      <c r="P97" s="84" t="str">
        <f t="shared" si="51"/>
        <v>-</v>
      </c>
      <c r="Q97" s="84">
        <f t="shared" si="42"/>
        <v>0</v>
      </c>
      <c r="R97" s="68"/>
      <c r="S97" s="72"/>
      <c r="T97" s="72"/>
      <c r="U97" s="72"/>
      <c r="V97" s="9"/>
      <c r="W97" s="9"/>
      <c r="X97" s="26"/>
      <c r="Y97" s="26"/>
      <c r="Z97" s="741" t="s">
        <v>1695</v>
      </c>
      <c r="AA97" s="742">
        <v>2000000.0</v>
      </c>
      <c r="AB97" s="743">
        <v>1.0</v>
      </c>
      <c r="AC97" s="744"/>
      <c r="AD97" s="744"/>
      <c r="AE97" s="744"/>
      <c r="AF97" s="745"/>
      <c r="AG97" s="746"/>
      <c r="AH97" s="744"/>
      <c r="AI97" s="744"/>
      <c r="AJ97" s="744"/>
      <c r="AK97" s="747">
        <f t="shared" si="43"/>
        <v>0</v>
      </c>
      <c r="AL97" s="747">
        <f t="shared" si="44"/>
        <v>0</v>
      </c>
      <c r="AM97" s="747">
        <f t="shared" si="45"/>
        <v>0</v>
      </c>
      <c r="AN97" s="748" t="str">
        <f t="shared" si="46"/>
        <v>-</v>
      </c>
      <c r="AO97" s="9"/>
      <c r="AP97" s="9"/>
      <c r="AQ97" s="9"/>
      <c r="AR97" s="9"/>
    </row>
    <row r="98" outlineLevel="1">
      <c r="A98" s="134" t="s">
        <v>270</v>
      </c>
      <c r="B98" s="135" t="s">
        <v>271</v>
      </c>
      <c r="C98" s="136"/>
      <c r="D98" s="137"/>
      <c r="E98" s="138"/>
      <c r="F98" s="139"/>
      <c r="G98" s="140"/>
      <c r="H98" s="136"/>
      <c r="I98" s="141" t="b">
        <v>0</v>
      </c>
      <c r="J98" s="142"/>
      <c r="K98" s="143"/>
      <c r="L98" s="144"/>
      <c r="M98" s="144"/>
      <c r="N98" s="144"/>
      <c r="O98" s="144"/>
      <c r="P98" s="144"/>
      <c r="Q98" s="144"/>
      <c r="R98" s="136"/>
      <c r="S98" s="145"/>
      <c r="T98" s="145"/>
      <c r="U98" s="138"/>
      <c r="V98" s="146"/>
      <c r="W98" s="146"/>
      <c r="X98" s="773"/>
      <c r="Y98" s="773"/>
      <c r="Z98" s="774"/>
      <c r="AA98" s="775"/>
      <c r="AB98" s="776"/>
      <c r="AC98" s="777"/>
      <c r="AD98" s="777"/>
      <c r="AE98" s="777"/>
      <c r="AF98" s="778"/>
      <c r="AG98" s="779"/>
      <c r="AH98" s="777"/>
      <c r="AI98" s="777"/>
      <c r="AJ98" s="777"/>
      <c r="AK98" s="780"/>
      <c r="AL98" s="780"/>
      <c r="AM98" s="780"/>
      <c r="AN98" s="781"/>
      <c r="AO98" s="146"/>
      <c r="AP98" s="146"/>
      <c r="AQ98" s="146"/>
      <c r="AR98" s="146"/>
    </row>
    <row r="99" ht="42.75" customHeight="1" outlineLevel="1">
      <c r="A99" s="73" t="s">
        <v>45</v>
      </c>
      <c r="B99" s="147" t="s">
        <v>272</v>
      </c>
      <c r="C99" s="75" t="s">
        <v>38</v>
      </c>
      <c r="D99" s="76" t="s">
        <v>273</v>
      </c>
      <c r="E99" s="77" t="s">
        <v>146</v>
      </c>
      <c r="F99" s="78" t="s">
        <v>274</v>
      </c>
      <c r="G99" s="79" t="s">
        <v>275</v>
      </c>
      <c r="H99" s="80" t="s">
        <v>1696</v>
      </c>
      <c r="I99" s="81" t="b">
        <v>1</v>
      </c>
      <c r="J99" s="82" t="s">
        <v>7</v>
      </c>
      <c r="K99" s="83">
        <f t="shared" ref="K99:K106" si="53">if(I99=True,1,if(I99=False,0))</f>
        <v>1</v>
      </c>
      <c r="L99" s="84">
        <f t="shared" ref="L99:L106" si="54">round(AA99*(1+AB99),-6)</f>
        <v>5000000</v>
      </c>
      <c r="M99" s="84">
        <f t="shared" ref="M99:M106" si="55">(sum(AC99:AD99)+sum(AG99:AH99))*K99</f>
        <v>40000</v>
      </c>
      <c r="N99" s="84">
        <f t="shared" ref="N99:N106" si="56">(sum(AE99:AF99)+sum(AI99:AJ99))*K99</f>
        <v>2000</v>
      </c>
      <c r="O99" s="84">
        <f t="shared" ref="O99:O106" si="57">IFERROR(Q99/M99,"-")</f>
        <v>125</v>
      </c>
      <c r="P99" s="84">
        <f t="shared" ref="P99:P106" si="58">IFERROR(Q99/N99,"-")</f>
        <v>2500</v>
      </c>
      <c r="Q99" s="84">
        <f t="shared" ref="Q99:Q106" si="59">iferror(L99*K99,"-")</f>
        <v>5000000</v>
      </c>
      <c r="R99" s="75" t="s">
        <v>1697</v>
      </c>
      <c r="S99" s="85" t="s">
        <v>278</v>
      </c>
      <c r="T99" s="85"/>
      <c r="U99" s="86" t="s">
        <v>45</v>
      </c>
      <c r="V99" s="9"/>
      <c r="W99" s="9"/>
      <c r="X99" s="740"/>
      <c r="Y99" s="740"/>
      <c r="Z99" s="741" t="s">
        <v>1698</v>
      </c>
      <c r="AA99" s="742">
        <f>2800000/0.9</f>
        <v>3111111.111</v>
      </c>
      <c r="AB99" s="743">
        <v>0.5</v>
      </c>
      <c r="AC99" s="744">
        <v>20000.0</v>
      </c>
      <c r="AD99" s="744">
        <v>20000.0</v>
      </c>
      <c r="AE99" s="744">
        <v>1000.0</v>
      </c>
      <c r="AF99" s="745">
        <v>1000.0</v>
      </c>
      <c r="AG99" s="746"/>
      <c r="AH99" s="744"/>
      <c r="AI99" s="744"/>
      <c r="AJ99" s="744"/>
      <c r="AK99" s="747">
        <f t="shared" ref="AK99:AK106" si="60">(AD99*2+AF99*50+AH99*10+AJ99*50)*K99</f>
        <v>90000</v>
      </c>
      <c r="AL99" s="747">
        <f t="shared" ref="AL99:AL106" si="61">sum(AA99,AK99)*K99</f>
        <v>3201111.111</v>
      </c>
      <c r="AM99" s="747">
        <f t="shared" ref="AM99:AM106" si="62">iferror(Q99-AL99,"-")</f>
        <v>1798888.889</v>
      </c>
      <c r="AN99" s="748">
        <f t="shared" ref="AN99:AN106" si="63">iferror(AM99/Q99,"-")</f>
        <v>0.3597777778</v>
      </c>
      <c r="AO99" s="9"/>
      <c r="AP99" s="9"/>
      <c r="AQ99" s="9"/>
      <c r="AR99" s="9"/>
    </row>
    <row r="100" ht="42.75" customHeight="1" outlineLevel="1">
      <c r="A100" s="72"/>
      <c r="B100" s="72"/>
      <c r="C100" s="72"/>
      <c r="D100" s="72"/>
      <c r="E100" s="72"/>
      <c r="F100" s="72"/>
      <c r="G100" s="72"/>
      <c r="H100" s="88" t="s">
        <v>1699</v>
      </c>
      <c r="I100" s="81" t="b">
        <v>1</v>
      </c>
      <c r="J100" s="82" t="s">
        <v>47</v>
      </c>
      <c r="K100" s="83">
        <f t="shared" si="53"/>
        <v>1</v>
      </c>
      <c r="L100" s="84">
        <f t="shared" si="54"/>
        <v>2000000</v>
      </c>
      <c r="M100" s="84">
        <f t="shared" si="55"/>
        <v>0</v>
      </c>
      <c r="N100" s="84">
        <f t="shared" si="56"/>
        <v>0</v>
      </c>
      <c r="O100" s="84" t="str">
        <f t="shared" si="57"/>
        <v>-</v>
      </c>
      <c r="P100" s="84" t="str">
        <f t="shared" si="58"/>
        <v>-</v>
      </c>
      <c r="Q100" s="84">
        <f t="shared" si="59"/>
        <v>2000000</v>
      </c>
      <c r="R100" s="68"/>
      <c r="S100" s="72"/>
      <c r="T100" s="72"/>
      <c r="U100" s="72"/>
      <c r="V100" s="9"/>
      <c r="W100" s="9"/>
      <c r="X100" s="26"/>
      <c r="Y100" s="26"/>
      <c r="Z100" s="741" t="s">
        <v>1700</v>
      </c>
      <c r="AA100" s="742">
        <f>500000/0.9</f>
        <v>555555.5556</v>
      </c>
      <c r="AB100" s="743">
        <v>2.0</v>
      </c>
      <c r="AC100" s="744"/>
      <c r="AD100" s="744"/>
      <c r="AE100" s="744"/>
      <c r="AF100" s="745"/>
      <c r="AG100" s="746"/>
      <c r="AH100" s="744"/>
      <c r="AI100" s="744"/>
      <c r="AJ100" s="744"/>
      <c r="AK100" s="747">
        <f t="shared" si="60"/>
        <v>0</v>
      </c>
      <c r="AL100" s="747">
        <f t="shared" si="61"/>
        <v>555555.5556</v>
      </c>
      <c r="AM100" s="747">
        <f t="shared" si="62"/>
        <v>1444444.444</v>
      </c>
      <c r="AN100" s="748">
        <f t="shared" si="63"/>
        <v>0.7222222222</v>
      </c>
      <c r="AO100" s="9"/>
      <c r="AP100" s="9"/>
      <c r="AQ100" s="9"/>
      <c r="AR100" s="9"/>
    </row>
    <row r="101" ht="42.75" customHeight="1" outlineLevel="1">
      <c r="A101" s="73" t="s">
        <v>73</v>
      </c>
      <c r="B101" s="91" t="s">
        <v>280</v>
      </c>
      <c r="C101" s="75" t="s">
        <v>38</v>
      </c>
      <c r="D101" s="76">
        <v>13600.0</v>
      </c>
      <c r="E101" s="77" t="s">
        <v>146</v>
      </c>
      <c r="F101" s="78" t="s">
        <v>281</v>
      </c>
      <c r="G101" s="79" t="s">
        <v>41</v>
      </c>
      <c r="H101" s="80" t="s">
        <v>1701</v>
      </c>
      <c r="I101" s="81" t="b">
        <v>1</v>
      </c>
      <c r="J101" s="82" t="s">
        <v>7</v>
      </c>
      <c r="K101" s="83">
        <f t="shared" si="53"/>
        <v>1</v>
      </c>
      <c r="L101" s="84">
        <f t="shared" si="54"/>
        <v>5000000</v>
      </c>
      <c r="M101" s="84">
        <f t="shared" si="55"/>
        <v>25000</v>
      </c>
      <c r="N101" s="84">
        <f t="shared" si="56"/>
        <v>1500</v>
      </c>
      <c r="O101" s="84">
        <f t="shared" si="57"/>
        <v>200</v>
      </c>
      <c r="P101" s="84">
        <f t="shared" si="58"/>
        <v>3333.333333</v>
      </c>
      <c r="Q101" s="84">
        <f t="shared" si="59"/>
        <v>5000000</v>
      </c>
      <c r="R101" s="68"/>
      <c r="S101" s="85" t="s">
        <v>283</v>
      </c>
      <c r="T101" s="93" t="s">
        <v>79</v>
      </c>
      <c r="U101" s="153" t="s">
        <v>222</v>
      </c>
      <c r="V101" s="9"/>
      <c r="W101" s="9"/>
      <c r="X101" s="740"/>
      <c r="Y101" s="740"/>
      <c r="Z101" s="741" t="s">
        <v>1702</v>
      </c>
      <c r="AA101" s="742">
        <f>2800000/0.9</f>
        <v>3111111.111</v>
      </c>
      <c r="AB101" s="743">
        <v>0.5</v>
      </c>
      <c r="AC101" s="744">
        <v>10000.0</v>
      </c>
      <c r="AD101" s="744">
        <v>15000.0</v>
      </c>
      <c r="AE101" s="744">
        <v>500.0</v>
      </c>
      <c r="AF101" s="745">
        <v>1000.0</v>
      </c>
      <c r="AG101" s="746"/>
      <c r="AH101" s="744"/>
      <c r="AI101" s="744"/>
      <c r="AJ101" s="744"/>
      <c r="AK101" s="747">
        <f t="shared" si="60"/>
        <v>80000</v>
      </c>
      <c r="AL101" s="747">
        <f t="shared" si="61"/>
        <v>3191111.111</v>
      </c>
      <c r="AM101" s="747">
        <f t="shared" si="62"/>
        <v>1808888.889</v>
      </c>
      <c r="AN101" s="748">
        <f t="shared" si="63"/>
        <v>0.3617777778</v>
      </c>
      <c r="AO101" s="9"/>
      <c r="AP101" s="9"/>
      <c r="AQ101" s="9"/>
      <c r="AR101" s="9"/>
    </row>
    <row r="102" ht="42.75" customHeight="1" outlineLevel="1">
      <c r="A102" s="72"/>
      <c r="B102" s="72"/>
      <c r="C102" s="72"/>
      <c r="D102" s="72"/>
      <c r="E102" s="72"/>
      <c r="F102" s="72"/>
      <c r="G102" s="72"/>
      <c r="H102" s="88" t="s">
        <v>1703</v>
      </c>
      <c r="I102" s="81" t="b">
        <v>1</v>
      </c>
      <c r="J102" s="82" t="s">
        <v>47</v>
      </c>
      <c r="K102" s="83">
        <f t="shared" si="53"/>
        <v>1</v>
      </c>
      <c r="L102" s="84">
        <f t="shared" si="54"/>
        <v>2000000</v>
      </c>
      <c r="M102" s="84">
        <f t="shared" si="55"/>
        <v>0</v>
      </c>
      <c r="N102" s="84">
        <f t="shared" si="56"/>
        <v>0</v>
      </c>
      <c r="O102" s="84" t="str">
        <f t="shared" si="57"/>
        <v>-</v>
      </c>
      <c r="P102" s="84" t="str">
        <f t="shared" si="58"/>
        <v>-</v>
      </c>
      <c r="Q102" s="84">
        <f t="shared" si="59"/>
        <v>2000000</v>
      </c>
      <c r="R102" s="68"/>
      <c r="S102" s="72"/>
      <c r="T102" s="72"/>
      <c r="U102" s="72"/>
      <c r="V102" s="9"/>
      <c r="W102" s="9"/>
      <c r="X102" s="26"/>
      <c r="Y102" s="26"/>
      <c r="Z102" s="741" t="s">
        <v>1704</v>
      </c>
      <c r="AA102" s="742">
        <f>500000/0.9</f>
        <v>555555.5556</v>
      </c>
      <c r="AB102" s="743">
        <v>2.0</v>
      </c>
      <c r="AC102" s="744"/>
      <c r="AD102" s="744"/>
      <c r="AE102" s="744"/>
      <c r="AF102" s="745"/>
      <c r="AG102" s="746"/>
      <c r="AH102" s="744"/>
      <c r="AI102" s="744"/>
      <c r="AJ102" s="744"/>
      <c r="AK102" s="747">
        <f t="shared" si="60"/>
        <v>0</v>
      </c>
      <c r="AL102" s="747">
        <f t="shared" si="61"/>
        <v>555555.5556</v>
      </c>
      <c r="AM102" s="747">
        <f t="shared" si="62"/>
        <v>1444444.444</v>
      </c>
      <c r="AN102" s="748">
        <f t="shared" si="63"/>
        <v>0.7222222222</v>
      </c>
      <c r="AO102" s="9"/>
      <c r="AP102" s="9"/>
      <c r="AQ102" s="9"/>
      <c r="AR102" s="9"/>
    </row>
    <row r="103" ht="42.75" customHeight="1" outlineLevel="1">
      <c r="A103" s="73" t="s">
        <v>73</v>
      </c>
      <c r="B103" s="96" t="s">
        <v>285</v>
      </c>
      <c r="C103" s="75" t="s">
        <v>38</v>
      </c>
      <c r="D103" s="76" t="s">
        <v>286</v>
      </c>
      <c r="E103" s="77" t="s">
        <v>146</v>
      </c>
      <c r="F103" s="78" t="s">
        <v>287</v>
      </c>
      <c r="G103" s="79" t="s">
        <v>275</v>
      </c>
      <c r="H103" s="80" t="s">
        <v>1705</v>
      </c>
      <c r="I103" s="81" t="b">
        <v>1</v>
      </c>
      <c r="J103" s="82" t="s">
        <v>7</v>
      </c>
      <c r="K103" s="83">
        <f t="shared" si="53"/>
        <v>1</v>
      </c>
      <c r="L103" s="84">
        <f t="shared" si="54"/>
        <v>5000000</v>
      </c>
      <c r="M103" s="84">
        <f t="shared" si="55"/>
        <v>20000</v>
      </c>
      <c r="N103" s="84">
        <f t="shared" si="56"/>
        <v>1000</v>
      </c>
      <c r="O103" s="84">
        <f t="shared" si="57"/>
        <v>250</v>
      </c>
      <c r="P103" s="84">
        <f t="shared" si="58"/>
        <v>5000</v>
      </c>
      <c r="Q103" s="84">
        <f t="shared" si="59"/>
        <v>5000000</v>
      </c>
      <c r="R103" s="68"/>
      <c r="S103" s="85" t="s">
        <v>289</v>
      </c>
      <c r="T103" s="93" t="s">
        <v>79</v>
      </c>
      <c r="U103" s="153" t="s">
        <v>222</v>
      </c>
      <c r="V103" s="9"/>
      <c r="W103" s="9"/>
      <c r="X103" s="740"/>
      <c r="Y103" s="740"/>
      <c r="Z103" s="741" t="s">
        <v>1706</v>
      </c>
      <c r="AA103" s="742">
        <f>3000000/0.9</f>
        <v>3333333.333</v>
      </c>
      <c r="AB103" s="743">
        <v>0.5</v>
      </c>
      <c r="AC103" s="744">
        <v>5000.0</v>
      </c>
      <c r="AD103" s="744">
        <v>15000.0</v>
      </c>
      <c r="AE103" s="744">
        <v>500.0</v>
      </c>
      <c r="AF103" s="745">
        <v>500.0</v>
      </c>
      <c r="AG103" s="746"/>
      <c r="AH103" s="744"/>
      <c r="AI103" s="744"/>
      <c r="AJ103" s="744"/>
      <c r="AK103" s="747">
        <f t="shared" si="60"/>
        <v>55000</v>
      </c>
      <c r="AL103" s="747">
        <f t="shared" si="61"/>
        <v>3388333.333</v>
      </c>
      <c r="AM103" s="747">
        <f t="shared" si="62"/>
        <v>1611666.667</v>
      </c>
      <c r="AN103" s="748">
        <f t="shared" si="63"/>
        <v>0.3223333333</v>
      </c>
      <c r="AO103" s="9"/>
      <c r="AP103" s="9"/>
      <c r="AQ103" s="9"/>
      <c r="AR103" s="9"/>
    </row>
    <row r="104" ht="42.75" customHeight="1" outlineLevel="1">
      <c r="A104" s="72"/>
      <c r="B104" s="72"/>
      <c r="C104" s="72"/>
      <c r="D104" s="72"/>
      <c r="E104" s="72"/>
      <c r="F104" s="72"/>
      <c r="G104" s="72"/>
      <c r="H104" s="88" t="s">
        <v>1707</v>
      </c>
      <c r="I104" s="81" t="b">
        <v>1</v>
      </c>
      <c r="J104" s="82" t="s">
        <v>47</v>
      </c>
      <c r="K104" s="83">
        <f t="shared" si="53"/>
        <v>1</v>
      </c>
      <c r="L104" s="84">
        <f t="shared" si="54"/>
        <v>2000000</v>
      </c>
      <c r="M104" s="84">
        <f t="shared" si="55"/>
        <v>0</v>
      </c>
      <c r="N104" s="84">
        <f t="shared" si="56"/>
        <v>0</v>
      </c>
      <c r="O104" s="84" t="str">
        <f t="shared" si="57"/>
        <v>-</v>
      </c>
      <c r="P104" s="84" t="str">
        <f t="shared" si="58"/>
        <v>-</v>
      </c>
      <c r="Q104" s="84">
        <f t="shared" si="59"/>
        <v>2000000</v>
      </c>
      <c r="R104" s="68"/>
      <c r="S104" s="72"/>
      <c r="T104" s="72"/>
      <c r="U104" s="72"/>
      <c r="V104" s="9"/>
      <c r="W104" s="9"/>
      <c r="X104" s="26"/>
      <c r="Y104" s="26"/>
      <c r="Z104" s="741" t="s">
        <v>1708</v>
      </c>
      <c r="AA104" s="742">
        <f>500000/0.9</f>
        <v>555555.5556</v>
      </c>
      <c r="AB104" s="743">
        <v>2.0</v>
      </c>
      <c r="AC104" s="744"/>
      <c r="AD104" s="744"/>
      <c r="AE104" s="744"/>
      <c r="AF104" s="745"/>
      <c r="AG104" s="746"/>
      <c r="AH104" s="744"/>
      <c r="AI104" s="744"/>
      <c r="AJ104" s="744"/>
      <c r="AK104" s="747">
        <f t="shared" si="60"/>
        <v>0</v>
      </c>
      <c r="AL104" s="747">
        <f t="shared" si="61"/>
        <v>555555.5556</v>
      </c>
      <c r="AM104" s="747">
        <f t="shared" si="62"/>
        <v>1444444.444</v>
      </c>
      <c r="AN104" s="748">
        <f t="shared" si="63"/>
        <v>0.7222222222</v>
      </c>
      <c r="AO104" s="9"/>
      <c r="AP104" s="9"/>
      <c r="AQ104" s="9"/>
      <c r="AR104" s="9"/>
    </row>
    <row r="105" ht="42.75" customHeight="1" outlineLevel="1">
      <c r="A105" s="73" t="s">
        <v>101</v>
      </c>
      <c r="B105" s="151" t="s">
        <v>291</v>
      </c>
      <c r="C105" s="75" t="s">
        <v>38</v>
      </c>
      <c r="D105" s="155" t="s">
        <v>292</v>
      </c>
      <c r="E105" s="77" t="s">
        <v>146</v>
      </c>
      <c r="F105" s="78" t="s">
        <v>293</v>
      </c>
      <c r="G105" s="79" t="s">
        <v>41</v>
      </c>
      <c r="H105" s="80" t="s">
        <v>1709</v>
      </c>
      <c r="I105" s="81" t="b">
        <v>1</v>
      </c>
      <c r="J105" s="82" t="s">
        <v>7</v>
      </c>
      <c r="K105" s="83">
        <f t="shared" si="53"/>
        <v>1</v>
      </c>
      <c r="L105" s="84">
        <f t="shared" si="54"/>
        <v>5000000</v>
      </c>
      <c r="M105" s="84">
        <f t="shared" si="55"/>
        <v>20000</v>
      </c>
      <c r="N105" s="84">
        <f t="shared" si="56"/>
        <v>1500</v>
      </c>
      <c r="O105" s="84">
        <f t="shared" si="57"/>
        <v>250</v>
      </c>
      <c r="P105" s="84">
        <f t="shared" si="58"/>
        <v>3333.333333</v>
      </c>
      <c r="Q105" s="84">
        <f t="shared" si="59"/>
        <v>5000000</v>
      </c>
      <c r="R105" s="68"/>
      <c r="S105" s="85"/>
      <c r="T105" s="85"/>
      <c r="U105" s="149" t="s">
        <v>122</v>
      </c>
      <c r="V105" s="9"/>
      <c r="W105" s="9"/>
      <c r="X105" s="740"/>
      <c r="Y105" s="740"/>
      <c r="Z105" s="741" t="s">
        <v>1710</v>
      </c>
      <c r="AA105" s="742">
        <f>3000000/0.9</f>
        <v>3333333.333</v>
      </c>
      <c r="AB105" s="743">
        <v>0.5</v>
      </c>
      <c r="AC105" s="744">
        <v>10000.0</v>
      </c>
      <c r="AD105" s="744">
        <v>10000.0</v>
      </c>
      <c r="AE105" s="744">
        <v>500.0</v>
      </c>
      <c r="AF105" s="745">
        <v>1000.0</v>
      </c>
      <c r="AG105" s="746"/>
      <c r="AH105" s="744"/>
      <c r="AI105" s="744"/>
      <c r="AJ105" s="744"/>
      <c r="AK105" s="747">
        <f t="shared" si="60"/>
        <v>70000</v>
      </c>
      <c r="AL105" s="747">
        <f t="shared" si="61"/>
        <v>3403333.333</v>
      </c>
      <c r="AM105" s="747">
        <f t="shared" si="62"/>
        <v>1596666.667</v>
      </c>
      <c r="AN105" s="748">
        <f t="shared" si="63"/>
        <v>0.3193333333</v>
      </c>
      <c r="AO105" s="9"/>
      <c r="AP105" s="9"/>
      <c r="AQ105" s="9"/>
      <c r="AR105" s="9"/>
    </row>
    <row r="106" ht="42.75" customHeight="1" outlineLevel="1">
      <c r="A106" s="72"/>
      <c r="B106" s="72"/>
      <c r="C106" s="72"/>
      <c r="D106" s="72"/>
      <c r="E106" s="72"/>
      <c r="F106" s="72"/>
      <c r="G106" s="72"/>
      <c r="H106" s="88" t="s">
        <v>1711</v>
      </c>
      <c r="I106" s="81" t="b">
        <v>1</v>
      </c>
      <c r="J106" s="82" t="s">
        <v>47</v>
      </c>
      <c r="K106" s="83">
        <f t="shared" si="53"/>
        <v>1</v>
      </c>
      <c r="L106" s="84">
        <f t="shared" si="54"/>
        <v>3000000</v>
      </c>
      <c r="M106" s="84">
        <f t="shared" si="55"/>
        <v>0</v>
      </c>
      <c r="N106" s="84">
        <f t="shared" si="56"/>
        <v>0</v>
      </c>
      <c r="O106" s="84" t="str">
        <f t="shared" si="57"/>
        <v>-</v>
      </c>
      <c r="P106" s="84" t="str">
        <f t="shared" si="58"/>
        <v>-</v>
      </c>
      <c r="Q106" s="84">
        <f t="shared" si="59"/>
        <v>3000000</v>
      </c>
      <c r="R106" s="72"/>
      <c r="S106" s="72"/>
      <c r="T106" s="72"/>
      <c r="U106" s="72"/>
      <c r="V106" s="87"/>
      <c r="W106" s="87"/>
      <c r="X106" s="26"/>
      <c r="Y106" s="26"/>
      <c r="Z106" s="741" t="s">
        <v>1712</v>
      </c>
      <c r="AA106" s="742">
        <f>1000000/0.9</f>
        <v>1111111.111</v>
      </c>
      <c r="AB106" s="743">
        <v>2.0</v>
      </c>
      <c r="AC106" s="744"/>
      <c r="AD106" s="744"/>
      <c r="AE106" s="744"/>
      <c r="AF106" s="745"/>
      <c r="AG106" s="746"/>
      <c r="AH106" s="744"/>
      <c r="AI106" s="744"/>
      <c r="AJ106" s="744"/>
      <c r="AK106" s="747">
        <f t="shared" si="60"/>
        <v>0</v>
      </c>
      <c r="AL106" s="747">
        <f t="shared" si="61"/>
        <v>1111111.111</v>
      </c>
      <c r="AM106" s="747">
        <f t="shared" si="62"/>
        <v>1888888.889</v>
      </c>
      <c r="AN106" s="748">
        <f t="shared" si="63"/>
        <v>0.6296296296</v>
      </c>
      <c r="AO106" s="9"/>
      <c r="AP106" s="9"/>
      <c r="AQ106" s="9"/>
      <c r="AR106" s="9"/>
    </row>
    <row r="107" ht="42.75" customHeight="1" outlineLevel="1">
      <c r="A107" s="134" t="s">
        <v>296</v>
      </c>
      <c r="B107" s="135" t="s">
        <v>297</v>
      </c>
      <c r="C107" s="136"/>
      <c r="D107" s="137"/>
      <c r="E107" s="138"/>
      <c r="F107" s="139"/>
      <c r="G107" s="140"/>
      <c r="H107" s="136"/>
      <c r="I107" s="141" t="b">
        <v>0</v>
      </c>
      <c r="J107" s="142"/>
      <c r="K107" s="143"/>
      <c r="L107" s="144"/>
      <c r="M107" s="144"/>
      <c r="N107" s="144"/>
      <c r="O107" s="144"/>
      <c r="P107" s="144"/>
      <c r="Q107" s="144"/>
      <c r="R107" s="136"/>
      <c r="S107" s="145"/>
      <c r="T107" s="145"/>
      <c r="U107" s="138"/>
      <c r="V107" s="146"/>
      <c r="W107" s="146"/>
      <c r="X107" s="773"/>
      <c r="Y107" s="773"/>
      <c r="Z107" s="774"/>
      <c r="AA107" s="775"/>
      <c r="AB107" s="776"/>
      <c r="AC107" s="777"/>
      <c r="AD107" s="777"/>
      <c r="AE107" s="777"/>
      <c r="AF107" s="778"/>
      <c r="AG107" s="779"/>
      <c r="AH107" s="777"/>
      <c r="AI107" s="777"/>
      <c r="AJ107" s="777"/>
      <c r="AK107" s="780"/>
      <c r="AL107" s="780"/>
      <c r="AM107" s="780"/>
      <c r="AN107" s="781"/>
      <c r="AO107" s="146"/>
      <c r="AP107" s="146"/>
      <c r="AQ107" s="146"/>
      <c r="AR107" s="146"/>
    </row>
    <row r="108" ht="42.75" customHeight="1" outlineLevel="1">
      <c r="A108" s="73" t="s">
        <v>45</v>
      </c>
      <c r="B108" s="147" t="s">
        <v>298</v>
      </c>
      <c r="C108" s="75" t="s">
        <v>38</v>
      </c>
      <c r="D108" s="76">
        <v>270000.0</v>
      </c>
      <c r="E108" s="77" t="s">
        <v>40</v>
      </c>
      <c r="F108" s="78" t="s">
        <v>299</v>
      </c>
      <c r="G108" s="79" t="s">
        <v>300</v>
      </c>
      <c r="H108" s="80" t="s">
        <v>1713</v>
      </c>
      <c r="I108" s="81" t="b">
        <v>1</v>
      </c>
      <c r="J108" s="82" t="s">
        <v>7</v>
      </c>
      <c r="K108" s="83">
        <f t="shared" ref="K108:K113" si="64">if(I108=True,1,if(I108=False,0))</f>
        <v>1</v>
      </c>
      <c r="L108" s="84">
        <f t="shared" ref="L108:L113" si="65">round(AA108*(1+AB108),-6)</f>
        <v>6000000</v>
      </c>
      <c r="M108" s="84">
        <f>(sum(AC108:AD108)+sum(AG108:AH108))*K108</f>
        <v>30000</v>
      </c>
      <c r="N108" s="84">
        <f>(sum(AE108:AF108)+sum(AI108:AJ108))*K108</f>
        <v>2000</v>
      </c>
      <c r="O108" s="84">
        <f>IFERROR(Q108/M108,"-")</f>
        <v>200</v>
      </c>
      <c r="P108" s="84">
        <f>IFERROR(Q108/N108,"-")</f>
        <v>3000</v>
      </c>
      <c r="Q108" s="84">
        <f t="shared" ref="Q108:Q113" si="66">iferror(L108*K108,"-")</f>
        <v>6000000</v>
      </c>
      <c r="R108" s="75" t="s">
        <v>1714</v>
      </c>
      <c r="S108" s="85" t="s">
        <v>303</v>
      </c>
      <c r="T108" s="85"/>
      <c r="U108" s="86" t="s">
        <v>45</v>
      </c>
      <c r="V108" s="9"/>
      <c r="W108" s="9"/>
      <c r="X108" s="740"/>
      <c r="Y108" s="740"/>
      <c r="Z108" s="741" t="s">
        <v>1715</v>
      </c>
      <c r="AA108" s="742">
        <f>3500000/0.9</f>
        <v>3888888.889</v>
      </c>
      <c r="AB108" s="743">
        <v>0.5</v>
      </c>
      <c r="AC108" s="744">
        <v>20000.0</v>
      </c>
      <c r="AD108" s="744">
        <v>10000.0</v>
      </c>
      <c r="AE108" s="744">
        <v>1000.0</v>
      </c>
      <c r="AF108" s="745">
        <v>1000.0</v>
      </c>
      <c r="AG108" s="746"/>
      <c r="AH108" s="744"/>
      <c r="AI108" s="744"/>
      <c r="AJ108" s="744"/>
      <c r="AK108" s="747">
        <f t="shared" ref="AK108:AK113" si="67">(AD108*2+AF108*50+AH108*10+AJ108*50)*K108</f>
        <v>70000</v>
      </c>
      <c r="AL108" s="747">
        <f t="shared" ref="AL108:AL113" si="68">sum(AA108,AK108)*K108</f>
        <v>3958888.889</v>
      </c>
      <c r="AM108" s="747">
        <f t="shared" ref="AM108:AM113" si="69">iferror(Q108-AL108,"-")</f>
        <v>2041111.111</v>
      </c>
      <c r="AN108" s="748">
        <f t="shared" ref="AN108:AN113" si="70">iferror(AM108/Q108,"-")</f>
        <v>0.3401851852</v>
      </c>
      <c r="AO108" s="9"/>
      <c r="AP108" s="9"/>
      <c r="AQ108" s="9"/>
      <c r="AR108" s="9"/>
    </row>
    <row r="109" ht="42.75" customHeight="1" outlineLevel="1">
      <c r="A109" s="72"/>
      <c r="B109" s="72"/>
      <c r="C109" s="72"/>
      <c r="D109" s="72"/>
      <c r="E109" s="72"/>
      <c r="F109" s="72"/>
      <c r="G109" s="72"/>
      <c r="H109" s="88" t="s">
        <v>1716</v>
      </c>
      <c r="I109" s="81" t="b">
        <v>1</v>
      </c>
      <c r="J109" s="82" t="s">
        <v>47</v>
      </c>
      <c r="K109" s="83">
        <f t="shared" si="64"/>
        <v>1</v>
      </c>
      <c r="L109" s="84">
        <f t="shared" si="65"/>
        <v>2000000</v>
      </c>
      <c r="M109" s="84">
        <v>0.0</v>
      </c>
      <c r="N109" s="84">
        <v>0.0</v>
      </c>
      <c r="O109" s="84" t="s">
        <v>81</v>
      </c>
      <c r="P109" s="84" t="s">
        <v>81</v>
      </c>
      <c r="Q109" s="84">
        <f t="shared" si="66"/>
        <v>2000000</v>
      </c>
      <c r="R109" s="68"/>
      <c r="S109" s="72"/>
      <c r="T109" s="72"/>
      <c r="U109" s="72"/>
      <c r="V109" s="9"/>
      <c r="W109" s="9"/>
      <c r="X109" s="26"/>
      <c r="Y109" s="26"/>
      <c r="Z109" s="741" t="s">
        <v>1717</v>
      </c>
      <c r="AA109" s="742">
        <f>500000/0.9</f>
        <v>555555.5556</v>
      </c>
      <c r="AB109" s="743">
        <v>2.0</v>
      </c>
      <c r="AC109" s="744"/>
      <c r="AD109" s="744"/>
      <c r="AE109" s="744"/>
      <c r="AF109" s="745"/>
      <c r="AG109" s="746"/>
      <c r="AH109" s="744"/>
      <c r="AI109" s="744"/>
      <c r="AJ109" s="744"/>
      <c r="AK109" s="747">
        <f t="shared" si="67"/>
        <v>0</v>
      </c>
      <c r="AL109" s="747">
        <f t="shared" si="68"/>
        <v>555555.5556</v>
      </c>
      <c r="AM109" s="747">
        <f t="shared" si="69"/>
        <v>1444444.444</v>
      </c>
      <c r="AN109" s="748">
        <f t="shared" si="70"/>
        <v>0.7222222222</v>
      </c>
      <c r="AO109" s="9"/>
      <c r="AP109" s="9"/>
      <c r="AQ109" s="9"/>
      <c r="AR109" s="9"/>
    </row>
    <row r="110" ht="42.75" customHeight="1" outlineLevel="1">
      <c r="A110" s="73" t="s">
        <v>73</v>
      </c>
      <c r="B110" s="91" t="s">
        <v>306</v>
      </c>
      <c r="C110" s="75" t="s">
        <v>38</v>
      </c>
      <c r="D110" s="76">
        <v>129000.0</v>
      </c>
      <c r="E110" s="77" t="s">
        <v>40</v>
      </c>
      <c r="F110" s="78" t="s">
        <v>307</v>
      </c>
      <c r="G110" s="79" t="s">
        <v>308</v>
      </c>
      <c r="H110" s="80" t="s">
        <v>1718</v>
      </c>
      <c r="I110" s="81" t="b">
        <v>1</v>
      </c>
      <c r="J110" s="82" t="s">
        <v>7</v>
      </c>
      <c r="K110" s="83">
        <f t="shared" si="64"/>
        <v>1</v>
      </c>
      <c r="L110" s="84">
        <f t="shared" si="65"/>
        <v>6000000</v>
      </c>
      <c r="M110" s="84">
        <f>(sum(AC110:AD110)+sum(AG110:AH110))*K110</f>
        <v>40000</v>
      </c>
      <c r="N110" s="84">
        <f>(sum(AE110:AF110)+sum(AI110:AJ110))*K110</f>
        <v>2000</v>
      </c>
      <c r="O110" s="84">
        <f>IFERROR(Q110/M110,"-")</f>
        <v>150</v>
      </c>
      <c r="P110" s="84">
        <f>IFERROR(Q110/N110,"-")</f>
        <v>3000</v>
      </c>
      <c r="Q110" s="84">
        <f t="shared" si="66"/>
        <v>6000000</v>
      </c>
      <c r="R110" s="68"/>
      <c r="S110" s="85" t="s">
        <v>310</v>
      </c>
      <c r="T110" s="85" t="s">
        <v>79</v>
      </c>
      <c r="U110" s="153" t="s">
        <v>222</v>
      </c>
      <c r="V110" s="9"/>
      <c r="W110" s="9"/>
      <c r="X110" s="740"/>
      <c r="Y110" s="740"/>
      <c r="Z110" s="741" t="s">
        <v>1719</v>
      </c>
      <c r="AA110" s="742">
        <f>3500000/0.9</f>
        <v>3888888.889</v>
      </c>
      <c r="AB110" s="743">
        <v>0.5</v>
      </c>
      <c r="AC110" s="744">
        <v>20000.0</v>
      </c>
      <c r="AD110" s="744">
        <v>20000.0</v>
      </c>
      <c r="AE110" s="744">
        <v>1000.0</v>
      </c>
      <c r="AF110" s="745">
        <v>1000.0</v>
      </c>
      <c r="AG110" s="746"/>
      <c r="AH110" s="744"/>
      <c r="AI110" s="744"/>
      <c r="AJ110" s="744"/>
      <c r="AK110" s="747">
        <f t="shared" si="67"/>
        <v>90000</v>
      </c>
      <c r="AL110" s="747">
        <f t="shared" si="68"/>
        <v>3978888.889</v>
      </c>
      <c r="AM110" s="747">
        <f t="shared" si="69"/>
        <v>2021111.111</v>
      </c>
      <c r="AN110" s="748">
        <f t="shared" si="70"/>
        <v>0.3368518519</v>
      </c>
      <c r="AO110" s="9"/>
      <c r="AP110" s="9"/>
      <c r="AQ110" s="9"/>
      <c r="AR110" s="9"/>
    </row>
    <row r="111" ht="42.75" customHeight="1" outlineLevel="1">
      <c r="A111" s="72"/>
      <c r="B111" s="72"/>
      <c r="C111" s="72"/>
      <c r="D111" s="72"/>
      <c r="E111" s="72"/>
      <c r="F111" s="72"/>
      <c r="G111" s="72"/>
      <c r="H111" s="88" t="s">
        <v>1720</v>
      </c>
      <c r="I111" s="81" t="b">
        <v>1</v>
      </c>
      <c r="J111" s="82" t="s">
        <v>47</v>
      </c>
      <c r="K111" s="83">
        <f t="shared" si="64"/>
        <v>1</v>
      </c>
      <c r="L111" s="84">
        <f t="shared" si="65"/>
        <v>2000000</v>
      </c>
      <c r="M111" s="84">
        <v>0.0</v>
      </c>
      <c r="N111" s="84">
        <v>0.0</v>
      </c>
      <c r="O111" s="84" t="s">
        <v>81</v>
      </c>
      <c r="P111" s="84" t="s">
        <v>81</v>
      </c>
      <c r="Q111" s="84">
        <f t="shared" si="66"/>
        <v>2000000</v>
      </c>
      <c r="R111" s="68"/>
      <c r="S111" s="72"/>
      <c r="T111" s="72"/>
      <c r="U111" s="72"/>
      <c r="V111" s="9"/>
      <c r="W111" s="9"/>
      <c r="X111" s="26"/>
      <c r="Y111" s="26"/>
      <c r="Z111" s="741" t="s">
        <v>1721</v>
      </c>
      <c r="AA111" s="742">
        <f>500000/0.9</f>
        <v>555555.5556</v>
      </c>
      <c r="AB111" s="743">
        <v>2.0</v>
      </c>
      <c r="AC111" s="744"/>
      <c r="AD111" s="744"/>
      <c r="AE111" s="744"/>
      <c r="AF111" s="745"/>
      <c r="AG111" s="746"/>
      <c r="AH111" s="744"/>
      <c r="AI111" s="744"/>
      <c r="AJ111" s="744"/>
      <c r="AK111" s="747">
        <f t="shared" si="67"/>
        <v>0</v>
      </c>
      <c r="AL111" s="747">
        <f t="shared" si="68"/>
        <v>555555.5556</v>
      </c>
      <c r="AM111" s="747">
        <f t="shared" si="69"/>
        <v>1444444.444</v>
      </c>
      <c r="AN111" s="748">
        <f t="shared" si="70"/>
        <v>0.7222222222</v>
      </c>
      <c r="AO111" s="9"/>
      <c r="AP111" s="9"/>
      <c r="AQ111" s="9"/>
      <c r="AR111" s="9"/>
    </row>
    <row r="112" ht="42.75" customHeight="1" outlineLevel="1">
      <c r="A112" s="73" t="s">
        <v>101</v>
      </c>
      <c r="B112" s="152" t="s">
        <v>312</v>
      </c>
      <c r="C112" s="75" t="s">
        <v>38</v>
      </c>
      <c r="D112" s="76" t="s">
        <v>313</v>
      </c>
      <c r="E112" s="77" t="s">
        <v>40</v>
      </c>
      <c r="F112" s="78" t="s">
        <v>314</v>
      </c>
      <c r="G112" s="79" t="s">
        <v>315</v>
      </c>
      <c r="H112" s="80" t="s">
        <v>1722</v>
      </c>
      <c r="I112" s="81" t="b">
        <v>0</v>
      </c>
      <c r="J112" s="82" t="s">
        <v>7</v>
      </c>
      <c r="K112" s="83">
        <f t="shared" si="64"/>
        <v>0</v>
      </c>
      <c r="L112" s="84">
        <f t="shared" si="65"/>
        <v>17000000</v>
      </c>
      <c r="M112" s="84">
        <f>(sum(AC112:AD112)+sum(AG112:AH112))*K112</f>
        <v>0</v>
      </c>
      <c r="N112" s="84">
        <f>(sum(AE112:AF112)+sum(AI112:AJ112))*K112</f>
        <v>0</v>
      </c>
      <c r="O112" s="84" t="str">
        <f>IFERROR(Q112/M112,"-")</f>
        <v>-</v>
      </c>
      <c r="P112" s="84" t="str">
        <f>IFERROR(Q112/N112,"-")</f>
        <v>-</v>
      </c>
      <c r="Q112" s="84">
        <f t="shared" si="66"/>
        <v>0</v>
      </c>
      <c r="R112" s="68"/>
      <c r="S112" s="85"/>
      <c r="T112" s="85"/>
      <c r="U112" s="149" t="s">
        <v>122</v>
      </c>
      <c r="V112" s="9"/>
      <c r="W112" s="9"/>
      <c r="X112" s="740"/>
      <c r="Y112" s="740"/>
      <c r="Z112" s="741" t="s">
        <v>1723</v>
      </c>
      <c r="AA112" s="742">
        <f>3800000/0.9</f>
        <v>4222222.222</v>
      </c>
      <c r="AB112" s="743">
        <v>3.0</v>
      </c>
      <c r="AC112" s="744">
        <v>20000.0</v>
      </c>
      <c r="AD112" s="744">
        <v>50000.0</v>
      </c>
      <c r="AE112" s="744">
        <v>1000.0</v>
      </c>
      <c r="AF112" s="745">
        <v>4000.0</v>
      </c>
      <c r="AG112" s="746"/>
      <c r="AH112" s="744"/>
      <c r="AI112" s="744"/>
      <c r="AJ112" s="744"/>
      <c r="AK112" s="747">
        <f t="shared" si="67"/>
        <v>0</v>
      </c>
      <c r="AL112" s="747">
        <f t="shared" si="68"/>
        <v>0</v>
      </c>
      <c r="AM112" s="747">
        <f t="shared" si="69"/>
        <v>0</v>
      </c>
      <c r="AN112" s="748" t="str">
        <f t="shared" si="70"/>
        <v>-</v>
      </c>
      <c r="AO112" s="9"/>
      <c r="AP112" s="9"/>
      <c r="AQ112" s="9"/>
      <c r="AR112" s="9"/>
    </row>
    <row r="113" ht="42.75" customHeight="1" outlineLevel="1">
      <c r="A113" s="72"/>
      <c r="B113" s="72"/>
      <c r="C113" s="72"/>
      <c r="D113" s="72"/>
      <c r="E113" s="72"/>
      <c r="F113" s="72"/>
      <c r="G113" s="72"/>
      <c r="H113" s="88" t="s">
        <v>1724</v>
      </c>
      <c r="I113" s="81" t="b">
        <v>0</v>
      </c>
      <c r="J113" s="82" t="s">
        <v>47</v>
      </c>
      <c r="K113" s="83">
        <f t="shared" si="64"/>
        <v>0</v>
      </c>
      <c r="L113" s="84">
        <f t="shared" si="65"/>
        <v>7000000</v>
      </c>
      <c r="M113" s="84">
        <v>0.0</v>
      </c>
      <c r="N113" s="84">
        <v>0.0</v>
      </c>
      <c r="O113" s="84" t="s">
        <v>81</v>
      </c>
      <c r="P113" s="84" t="s">
        <v>81</v>
      </c>
      <c r="Q113" s="84">
        <f t="shared" si="66"/>
        <v>0</v>
      </c>
      <c r="R113" s="72"/>
      <c r="S113" s="72"/>
      <c r="T113" s="72"/>
      <c r="U113" s="72"/>
      <c r="V113" s="9"/>
      <c r="W113" s="9"/>
      <c r="X113" s="26"/>
      <c r="Y113" s="26"/>
      <c r="Z113" s="741" t="s">
        <v>1725</v>
      </c>
      <c r="AA113" s="742">
        <f>2000000/0.9</f>
        <v>2222222.222</v>
      </c>
      <c r="AB113" s="743">
        <v>2.0</v>
      </c>
      <c r="AC113" s="744"/>
      <c r="AD113" s="744"/>
      <c r="AE113" s="744"/>
      <c r="AF113" s="745"/>
      <c r="AG113" s="746"/>
      <c r="AH113" s="744"/>
      <c r="AI113" s="744"/>
      <c r="AJ113" s="744"/>
      <c r="AK113" s="747">
        <f t="shared" si="67"/>
        <v>0</v>
      </c>
      <c r="AL113" s="747">
        <f t="shared" si="68"/>
        <v>0</v>
      </c>
      <c r="AM113" s="747">
        <f t="shared" si="69"/>
        <v>0</v>
      </c>
      <c r="AN113" s="748" t="str">
        <f t="shared" si="70"/>
        <v>-</v>
      </c>
      <c r="AO113" s="9"/>
      <c r="AP113" s="9"/>
      <c r="AQ113" s="9"/>
      <c r="AR113" s="9"/>
    </row>
    <row r="114" ht="34.5" customHeight="1">
      <c r="A114" s="156" t="s">
        <v>318</v>
      </c>
      <c r="B114" s="56"/>
      <c r="C114" s="61"/>
      <c r="D114" s="61"/>
      <c r="E114" s="61"/>
      <c r="F114" s="61"/>
      <c r="G114" s="61"/>
      <c r="H114" s="61"/>
      <c r="I114" s="62"/>
      <c r="J114" s="63" t="s">
        <v>10</v>
      </c>
      <c r="K114" s="64">
        <f>SUMIFS(K116:K125,J116:J125,"Photo Post")</f>
        <v>5</v>
      </c>
      <c r="L114" s="65"/>
      <c r="M114" s="66">
        <f t="shared" ref="M114:N114" si="71">sum(M116:M125)</f>
        <v>320000</v>
      </c>
      <c r="N114" s="66">
        <f t="shared" si="71"/>
        <v>23500</v>
      </c>
      <c r="O114" s="65"/>
      <c r="P114" s="65"/>
      <c r="Q114" s="66">
        <f>sum(Q116:Q125)</f>
        <v>216000000</v>
      </c>
      <c r="R114" s="133"/>
      <c r="S114" s="133"/>
      <c r="T114" s="133"/>
      <c r="U114" s="133"/>
      <c r="V114" s="69"/>
      <c r="W114" s="69"/>
      <c r="X114" s="717"/>
      <c r="Y114" s="717"/>
      <c r="Z114" s="9"/>
      <c r="AA114" s="719"/>
      <c r="AB114" s="720"/>
      <c r="AC114" s="721"/>
      <c r="AD114" s="721"/>
      <c r="AE114" s="721"/>
      <c r="AF114" s="722"/>
      <c r="AG114" s="723"/>
      <c r="AH114" s="721"/>
      <c r="AI114" s="721"/>
      <c r="AJ114" s="721"/>
      <c r="AK114" s="724"/>
      <c r="AL114" s="724"/>
      <c r="AM114" s="724"/>
      <c r="AN114" s="725"/>
      <c r="AO114" s="9"/>
      <c r="AP114" s="9"/>
      <c r="AQ114" s="9"/>
      <c r="AR114" s="9"/>
    </row>
    <row r="115" ht="34.5" customHeight="1">
      <c r="A115" s="70"/>
      <c r="B115" s="71"/>
      <c r="C115" s="61"/>
      <c r="D115" s="61"/>
      <c r="E115" s="61"/>
      <c r="F115" s="61"/>
      <c r="G115" s="61"/>
      <c r="H115" s="61"/>
      <c r="I115" s="62"/>
      <c r="J115" s="63" t="s">
        <v>7</v>
      </c>
      <c r="K115" s="64">
        <f>SUMIFS(K116:K125,J116:J125,"Video Post")</f>
        <v>5</v>
      </c>
      <c r="L115" s="65"/>
      <c r="M115" s="72"/>
      <c r="N115" s="72"/>
      <c r="O115" s="65"/>
      <c r="P115" s="65"/>
      <c r="Q115" s="72"/>
      <c r="R115" s="133"/>
      <c r="S115" s="133"/>
      <c r="T115" s="133"/>
      <c r="U115" s="133"/>
      <c r="V115" s="69"/>
      <c r="W115" s="69"/>
      <c r="X115" s="717"/>
      <c r="Y115" s="717"/>
      <c r="Z115" s="718"/>
      <c r="AA115" s="719"/>
      <c r="AB115" s="720"/>
      <c r="AC115" s="721"/>
      <c r="AD115" s="721"/>
      <c r="AE115" s="721"/>
      <c r="AF115" s="722"/>
      <c r="AG115" s="723"/>
      <c r="AH115" s="721"/>
      <c r="AI115" s="721"/>
      <c r="AJ115" s="721"/>
      <c r="AK115" s="724"/>
      <c r="AL115" s="724"/>
      <c r="AM115" s="724"/>
      <c r="AN115" s="725"/>
      <c r="AO115" s="9"/>
      <c r="AP115" s="9"/>
      <c r="AQ115" s="9"/>
      <c r="AR115" s="9"/>
    </row>
    <row r="116" ht="75.0" customHeight="1" outlineLevel="1">
      <c r="A116" s="157" t="s">
        <v>45</v>
      </c>
      <c r="B116" s="158" t="s">
        <v>319</v>
      </c>
      <c r="C116" s="159" t="s">
        <v>320</v>
      </c>
      <c r="D116" s="160" t="s">
        <v>321</v>
      </c>
      <c r="E116" s="161" t="s">
        <v>118</v>
      </c>
      <c r="F116" s="162" t="s">
        <v>21</v>
      </c>
      <c r="G116" s="163" t="s">
        <v>322</v>
      </c>
      <c r="H116" s="164" t="s">
        <v>323</v>
      </c>
      <c r="I116" s="97" t="b">
        <v>1</v>
      </c>
      <c r="J116" s="98" t="s">
        <v>10</v>
      </c>
      <c r="K116" s="99">
        <f t="shared" ref="K116:K125" si="72">if(I116=True,1,if(I116=False,0))</f>
        <v>1</v>
      </c>
      <c r="L116" s="100">
        <f t="shared" ref="L116:L125" si="73">round(AA116*(1+AB116),-6)</f>
        <v>32000000</v>
      </c>
      <c r="M116" s="100">
        <f t="shared" ref="M116:M125" si="74">(sum(AC116:AD116)+sum(AG116:AH116))*K116</f>
        <v>0</v>
      </c>
      <c r="N116" s="100">
        <f t="shared" ref="N116:N125" si="75">(sum(AE116:AF116)+sum(AI116:AJ116))*K116</f>
        <v>3000</v>
      </c>
      <c r="O116" s="100" t="str">
        <f t="shared" ref="O116:O125" si="76">IFERROR(Q116/M116,"-")</f>
        <v>-</v>
      </c>
      <c r="P116" s="100">
        <f t="shared" ref="P116:P125" si="77">IFERROR(Q116/N116,"-")</f>
        <v>10666.66667</v>
      </c>
      <c r="Q116" s="100">
        <f t="shared" ref="Q116:Q125" si="78">iferror(L116*K116,"-")</f>
        <v>32000000</v>
      </c>
      <c r="R116" s="165" t="s">
        <v>1726</v>
      </c>
      <c r="S116" s="166"/>
      <c r="T116" s="166"/>
      <c r="U116" s="167" t="s">
        <v>45</v>
      </c>
      <c r="V116" s="168"/>
      <c r="W116" s="168"/>
      <c r="X116" s="798"/>
      <c r="Y116" s="798"/>
      <c r="Z116" s="799" t="s">
        <v>1017</v>
      </c>
      <c r="AA116" s="800">
        <f>14500000/0.9</f>
        <v>16111111.11</v>
      </c>
      <c r="AB116" s="743">
        <v>1.0</v>
      </c>
      <c r="AC116" s="801"/>
      <c r="AD116" s="801"/>
      <c r="AE116" s="801"/>
      <c r="AF116" s="802"/>
      <c r="AG116" s="803"/>
      <c r="AH116" s="801"/>
      <c r="AI116" s="744">
        <v>3000.0</v>
      </c>
      <c r="AJ116" s="801"/>
      <c r="AK116" s="804">
        <f>(AD116*2+AF116*50+AH116*10+AJ116*50)*K116</f>
        <v>0</v>
      </c>
      <c r="AL116" s="804">
        <f t="shared" ref="AL116:AL125" si="79">sum(AA116,AK116)*K116</f>
        <v>16111111.11</v>
      </c>
      <c r="AM116" s="804">
        <f t="shared" ref="AM116:AM125" si="80">iferror(Q116-AL116,"-")</f>
        <v>15888888.89</v>
      </c>
      <c r="AN116" s="805">
        <f t="shared" ref="AN116:AN125" si="81">iferror(AM116/Q116,"-")</f>
        <v>0.4965277778</v>
      </c>
      <c r="AO116" s="9"/>
      <c r="AP116" s="9"/>
      <c r="AQ116" s="9"/>
      <c r="AR116" s="9"/>
    </row>
    <row r="117" ht="75.0" customHeight="1" outlineLevel="1">
      <c r="A117" s="157" t="s">
        <v>45</v>
      </c>
      <c r="B117" s="158" t="s">
        <v>325</v>
      </c>
      <c r="C117" s="159" t="s">
        <v>320</v>
      </c>
      <c r="D117" s="160" t="s">
        <v>326</v>
      </c>
      <c r="E117" s="161" t="s">
        <v>118</v>
      </c>
      <c r="F117" s="162" t="s">
        <v>139</v>
      </c>
      <c r="G117" s="163" t="s">
        <v>322</v>
      </c>
      <c r="H117" s="164" t="s">
        <v>323</v>
      </c>
      <c r="I117" s="97" t="b">
        <v>1</v>
      </c>
      <c r="J117" s="98" t="s">
        <v>10</v>
      </c>
      <c r="K117" s="99">
        <f t="shared" si="72"/>
        <v>1</v>
      </c>
      <c r="L117" s="100">
        <f t="shared" si="73"/>
        <v>26000000</v>
      </c>
      <c r="M117" s="100">
        <f t="shared" si="74"/>
        <v>0</v>
      </c>
      <c r="N117" s="100">
        <f t="shared" si="75"/>
        <v>3000</v>
      </c>
      <c r="O117" s="100" t="str">
        <f t="shared" si="76"/>
        <v>-</v>
      </c>
      <c r="P117" s="100">
        <f t="shared" si="77"/>
        <v>8666.666667</v>
      </c>
      <c r="Q117" s="100">
        <f t="shared" si="78"/>
        <v>26000000</v>
      </c>
      <c r="R117" s="165" t="s">
        <v>1727</v>
      </c>
      <c r="S117" s="169"/>
      <c r="T117" s="169"/>
      <c r="U117" s="167" t="s">
        <v>45</v>
      </c>
      <c r="V117" s="170"/>
      <c r="W117" s="170"/>
      <c r="X117" s="798"/>
      <c r="Y117" s="798"/>
      <c r="Z117" s="799" t="s">
        <v>1017</v>
      </c>
      <c r="AA117" s="742">
        <f>11500000/0.9</f>
        <v>12777777.78</v>
      </c>
      <c r="AB117" s="743">
        <v>1.0</v>
      </c>
      <c r="AC117" s="744"/>
      <c r="AD117" s="744"/>
      <c r="AE117" s="744"/>
      <c r="AF117" s="745"/>
      <c r="AG117" s="746"/>
      <c r="AH117" s="744"/>
      <c r="AI117" s="744">
        <v>3000.0</v>
      </c>
      <c r="AJ117" s="744"/>
      <c r="AK117" s="747">
        <f t="shared" ref="AK117:AK118" si="82">(AJ117*50+AF117*50+AH117*20+AD117*2)*K117</f>
        <v>0</v>
      </c>
      <c r="AL117" s="747">
        <f t="shared" si="79"/>
        <v>12777777.78</v>
      </c>
      <c r="AM117" s="747">
        <f t="shared" si="80"/>
        <v>13222222.22</v>
      </c>
      <c r="AN117" s="748">
        <f t="shared" si="81"/>
        <v>0.5085470085</v>
      </c>
      <c r="AO117" s="9"/>
      <c r="AP117" s="9"/>
      <c r="AQ117" s="9"/>
      <c r="AR117" s="9"/>
    </row>
    <row r="118" ht="75.0" customHeight="1" outlineLevel="1">
      <c r="A118" s="157" t="s">
        <v>45</v>
      </c>
      <c r="B118" s="158" t="s">
        <v>328</v>
      </c>
      <c r="C118" s="159" t="s">
        <v>320</v>
      </c>
      <c r="D118" s="160" t="s">
        <v>329</v>
      </c>
      <c r="E118" s="161" t="s">
        <v>118</v>
      </c>
      <c r="F118" s="162" t="s">
        <v>21</v>
      </c>
      <c r="G118" s="163" t="s">
        <v>322</v>
      </c>
      <c r="H118" s="164" t="s">
        <v>323</v>
      </c>
      <c r="I118" s="97" t="b">
        <v>1</v>
      </c>
      <c r="J118" s="98" t="s">
        <v>10</v>
      </c>
      <c r="K118" s="99">
        <f t="shared" si="72"/>
        <v>1</v>
      </c>
      <c r="L118" s="100">
        <f t="shared" si="73"/>
        <v>26000000</v>
      </c>
      <c r="M118" s="100">
        <f t="shared" si="74"/>
        <v>0</v>
      </c>
      <c r="N118" s="100">
        <f t="shared" si="75"/>
        <v>3000</v>
      </c>
      <c r="O118" s="100" t="str">
        <f t="shared" si="76"/>
        <v>-</v>
      </c>
      <c r="P118" s="100">
        <f t="shared" si="77"/>
        <v>8666.666667</v>
      </c>
      <c r="Q118" s="100">
        <f t="shared" si="78"/>
        <v>26000000</v>
      </c>
      <c r="R118" s="165" t="s">
        <v>1728</v>
      </c>
      <c r="S118" s="169"/>
      <c r="T118" s="169"/>
      <c r="U118" s="167" t="s">
        <v>45</v>
      </c>
      <c r="V118" s="170"/>
      <c r="W118" s="170"/>
      <c r="X118" s="798"/>
      <c r="Y118" s="798"/>
      <c r="Z118" s="799" t="s">
        <v>1017</v>
      </c>
      <c r="AA118" s="742">
        <f>10000000/0.9</f>
        <v>11111111.11</v>
      </c>
      <c r="AB118" s="743">
        <v>1.3</v>
      </c>
      <c r="AC118" s="744"/>
      <c r="AD118" s="744"/>
      <c r="AE118" s="744"/>
      <c r="AF118" s="745"/>
      <c r="AG118" s="746"/>
      <c r="AH118" s="744"/>
      <c r="AI118" s="744">
        <v>3000.0</v>
      </c>
      <c r="AJ118" s="744"/>
      <c r="AK118" s="747">
        <f t="shared" si="82"/>
        <v>0</v>
      </c>
      <c r="AL118" s="747">
        <f t="shared" si="79"/>
        <v>11111111.11</v>
      </c>
      <c r="AM118" s="747">
        <f t="shared" si="80"/>
        <v>14888888.89</v>
      </c>
      <c r="AN118" s="748">
        <f t="shared" si="81"/>
        <v>0.5726495726</v>
      </c>
      <c r="AO118" s="9"/>
      <c r="AP118" s="9"/>
      <c r="AQ118" s="9"/>
      <c r="AR118" s="9"/>
    </row>
    <row r="119" ht="75.0" customHeight="1" outlineLevel="1">
      <c r="A119" s="157" t="s">
        <v>45</v>
      </c>
      <c r="B119" s="171" t="s">
        <v>331</v>
      </c>
      <c r="C119" s="159" t="s">
        <v>320</v>
      </c>
      <c r="D119" s="160" t="s">
        <v>332</v>
      </c>
      <c r="E119" s="161" t="s">
        <v>40</v>
      </c>
      <c r="F119" s="162" t="s">
        <v>21</v>
      </c>
      <c r="G119" s="163" t="s">
        <v>50</v>
      </c>
      <c r="H119" s="164" t="s">
        <v>323</v>
      </c>
      <c r="I119" s="97" t="b">
        <v>1</v>
      </c>
      <c r="J119" s="98" t="s">
        <v>10</v>
      </c>
      <c r="K119" s="99">
        <f t="shared" si="72"/>
        <v>1</v>
      </c>
      <c r="L119" s="100">
        <f t="shared" si="73"/>
        <v>25000000</v>
      </c>
      <c r="M119" s="100">
        <f t="shared" si="74"/>
        <v>0</v>
      </c>
      <c r="N119" s="100">
        <f t="shared" si="75"/>
        <v>3000</v>
      </c>
      <c r="O119" s="100" t="str">
        <f t="shared" si="76"/>
        <v>-</v>
      </c>
      <c r="P119" s="100">
        <f t="shared" si="77"/>
        <v>8333.333333</v>
      </c>
      <c r="Q119" s="100">
        <f t="shared" si="78"/>
        <v>25000000</v>
      </c>
      <c r="R119" s="165" t="s">
        <v>1729</v>
      </c>
      <c r="S119" s="169"/>
      <c r="T119" s="169"/>
      <c r="U119" s="167" t="s">
        <v>45</v>
      </c>
      <c r="V119" s="170"/>
      <c r="W119" s="170"/>
      <c r="X119" s="798"/>
      <c r="Y119" s="798"/>
      <c r="Z119" s="799" t="s">
        <v>1017</v>
      </c>
      <c r="AA119" s="742">
        <f>11500000/0.9</f>
        <v>12777777.78</v>
      </c>
      <c r="AB119" s="743">
        <v>0.95</v>
      </c>
      <c r="AC119" s="744"/>
      <c r="AD119" s="744"/>
      <c r="AE119" s="744"/>
      <c r="AF119" s="745"/>
      <c r="AG119" s="746"/>
      <c r="AH119" s="744"/>
      <c r="AI119" s="744">
        <v>3000.0</v>
      </c>
      <c r="AJ119" s="744"/>
      <c r="AK119" s="747">
        <f t="shared" ref="AK119:AK121" si="83">(AD119*2+AF119*50+AH119*10+AJ119*50)*K119</f>
        <v>0</v>
      </c>
      <c r="AL119" s="747">
        <f t="shared" si="79"/>
        <v>12777777.78</v>
      </c>
      <c r="AM119" s="747">
        <f t="shared" si="80"/>
        <v>12222222.22</v>
      </c>
      <c r="AN119" s="748">
        <f t="shared" si="81"/>
        <v>0.4888888889</v>
      </c>
      <c r="AO119" s="9"/>
      <c r="AP119" s="9"/>
      <c r="AQ119" s="9"/>
      <c r="AR119" s="9"/>
    </row>
    <row r="120" ht="75.0" customHeight="1" outlineLevel="1">
      <c r="A120" s="157" t="s">
        <v>45</v>
      </c>
      <c r="B120" s="158" t="s">
        <v>334</v>
      </c>
      <c r="C120" s="159" t="s">
        <v>320</v>
      </c>
      <c r="D120" s="160" t="s">
        <v>335</v>
      </c>
      <c r="E120" s="161" t="s">
        <v>40</v>
      </c>
      <c r="F120" s="162" t="s">
        <v>21</v>
      </c>
      <c r="G120" s="163" t="s">
        <v>322</v>
      </c>
      <c r="H120" s="164" t="s">
        <v>336</v>
      </c>
      <c r="I120" s="97" t="b">
        <v>1</v>
      </c>
      <c r="J120" s="98" t="s">
        <v>10</v>
      </c>
      <c r="K120" s="99">
        <f t="shared" si="72"/>
        <v>1</v>
      </c>
      <c r="L120" s="100">
        <f t="shared" si="73"/>
        <v>17000000</v>
      </c>
      <c r="M120" s="100">
        <f t="shared" si="74"/>
        <v>0</v>
      </c>
      <c r="N120" s="100">
        <f t="shared" si="75"/>
        <v>3000</v>
      </c>
      <c r="O120" s="100" t="str">
        <f t="shared" si="76"/>
        <v>-</v>
      </c>
      <c r="P120" s="100">
        <f t="shared" si="77"/>
        <v>5666.666667</v>
      </c>
      <c r="Q120" s="100">
        <f t="shared" si="78"/>
        <v>17000000</v>
      </c>
      <c r="R120" s="165" t="s">
        <v>1730</v>
      </c>
      <c r="S120" s="169"/>
      <c r="T120" s="169"/>
      <c r="U120" s="167" t="s">
        <v>45</v>
      </c>
      <c r="V120" s="170"/>
      <c r="W120" s="170"/>
      <c r="X120" s="798"/>
      <c r="Y120" s="798"/>
      <c r="Z120" s="799" t="s">
        <v>1017</v>
      </c>
      <c r="AA120" s="742">
        <f>7500000/0.9</f>
        <v>8333333.333</v>
      </c>
      <c r="AB120" s="743">
        <v>1.0</v>
      </c>
      <c r="AC120" s="744"/>
      <c r="AD120" s="744"/>
      <c r="AE120" s="744"/>
      <c r="AF120" s="745"/>
      <c r="AG120" s="746"/>
      <c r="AH120" s="744"/>
      <c r="AI120" s="744">
        <v>3000.0</v>
      </c>
      <c r="AJ120" s="744"/>
      <c r="AK120" s="747">
        <f t="shared" si="83"/>
        <v>0</v>
      </c>
      <c r="AL120" s="747">
        <f t="shared" si="79"/>
        <v>8333333.333</v>
      </c>
      <c r="AM120" s="747">
        <f t="shared" si="80"/>
        <v>8666666.667</v>
      </c>
      <c r="AN120" s="748">
        <f t="shared" si="81"/>
        <v>0.5098039216</v>
      </c>
      <c r="AO120" s="9"/>
      <c r="AP120" s="9"/>
      <c r="AQ120" s="9"/>
      <c r="AR120" s="9"/>
    </row>
    <row r="121" ht="75.0" customHeight="1" outlineLevel="1">
      <c r="A121" s="157" t="s">
        <v>45</v>
      </c>
      <c r="B121" s="171" t="s">
        <v>338</v>
      </c>
      <c r="C121" s="159" t="s">
        <v>38</v>
      </c>
      <c r="D121" s="160" t="s">
        <v>339</v>
      </c>
      <c r="E121" s="161" t="s">
        <v>118</v>
      </c>
      <c r="F121" s="162" t="s">
        <v>21</v>
      </c>
      <c r="G121" s="163" t="s">
        <v>105</v>
      </c>
      <c r="H121" s="164" t="s">
        <v>340</v>
      </c>
      <c r="I121" s="97" t="b">
        <v>1</v>
      </c>
      <c r="J121" s="98" t="s">
        <v>7</v>
      </c>
      <c r="K121" s="99">
        <f t="shared" si="72"/>
        <v>1</v>
      </c>
      <c r="L121" s="100">
        <f t="shared" si="73"/>
        <v>25000000</v>
      </c>
      <c r="M121" s="100">
        <f t="shared" si="74"/>
        <v>80000</v>
      </c>
      <c r="N121" s="100">
        <f t="shared" si="75"/>
        <v>2000</v>
      </c>
      <c r="O121" s="100">
        <f t="shared" si="76"/>
        <v>312.5</v>
      </c>
      <c r="P121" s="100">
        <f t="shared" si="77"/>
        <v>12500</v>
      </c>
      <c r="Q121" s="100">
        <f t="shared" si="78"/>
        <v>25000000</v>
      </c>
      <c r="R121" s="165" t="s">
        <v>1731</v>
      </c>
      <c r="S121" s="169"/>
      <c r="T121" s="169"/>
      <c r="U121" s="167" t="s">
        <v>45</v>
      </c>
      <c r="V121" s="170"/>
      <c r="W121" s="170"/>
      <c r="X121" s="798"/>
      <c r="Y121" s="798"/>
      <c r="Z121" s="799" t="s">
        <v>1017</v>
      </c>
      <c r="AA121" s="742">
        <f>15000000/0.9</f>
        <v>16666666.67</v>
      </c>
      <c r="AB121" s="743">
        <v>0.5</v>
      </c>
      <c r="AC121" s="744">
        <v>80000.0</v>
      </c>
      <c r="AD121" s="744"/>
      <c r="AE121" s="744">
        <v>1000.0</v>
      </c>
      <c r="AF121" s="745">
        <v>1000.0</v>
      </c>
      <c r="AG121" s="746"/>
      <c r="AH121" s="744"/>
      <c r="AI121" s="744"/>
      <c r="AJ121" s="744"/>
      <c r="AK121" s="747">
        <f t="shared" si="83"/>
        <v>50000</v>
      </c>
      <c r="AL121" s="747">
        <f t="shared" si="79"/>
        <v>16716666.67</v>
      </c>
      <c r="AM121" s="747">
        <f t="shared" si="80"/>
        <v>8283333.333</v>
      </c>
      <c r="AN121" s="748">
        <f t="shared" si="81"/>
        <v>0.3313333333</v>
      </c>
      <c r="AO121" s="9"/>
      <c r="AP121" s="9"/>
      <c r="AQ121" s="9"/>
      <c r="AR121" s="9"/>
    </row>
    <row r="122" ht="75.0" customHeight="1" outlineLevel="1">
      <c r="A122" s="157" t="s">
        <v>45</v>
      </c>
      <c r="B122" s="158" t="s">
        <v>342</v>
      </c>
      <c r="C122" s="159" t="s">
        <v>38</v>
      </c>
      <c r="D122" s="160" t="s">
        <v>343</v>
      </c>
      <c r="E122" s="161" t="s">
        <v>40</v>
      </c>
      <c r="F122" s="162" t="s">
        <v>21</v>
      </c>
      <c r="G122" s="163" t="s">
        <v>50</v>
      </c>
      <c r="H122" s="164" t="s">
        <v>340</v>
      </c>
      <c r="I122" s="97" t="b">
        <v>1</v>
      </c>
      <c r="J122" s="98" t="s">
        <v>7</v>
      </c>
      <c r="K122" s="99">
        <f t="shared" si="72"/>
        <v>1</v>
      </c>
      <c r="L122" s="100">
        <f t="shared" si="73"/>
        <v>15000000</v>
      </c>
      <c r="M122" s="100">
        <f t="shared" si="74"/>
        <v>30000</v>
      </c>
      <c r="N122" s="100">
        <f t="shared" si="75"/>
        <v>1500</v>
      </c>
      <c r="O122" s="100">
        <f t="shared" si="76"/>
        <v>500</v>
      </c>
      <c r="P122" s="100">
        <f t="shared" si="77"/>
        <v>10000</v>
      </c>
      <c r="Q122" s="100">
        <f t="shared" si="78"/>
        <v>15000000</v>
      </c>
      <c r="R122" s="165" t="s">
        <v>1732</v>
      </c>
      <c r="S122" s="169"/>
      <c r="T122" s="169"/>
      <c r="U122" s="167" t="s">
        <v>45</v>
      </c>
      <c r="V122" s="170"/>
      <c r="W122" s="170"/>
      <c r="X122" s="798"/>
      <c r="Y122" s="798"/>
      <c r="Z122" s="808" t="s">
        <v>1024</v>
      </c>
      <c r="AA122" s="742">
        <f>9000000/0.9</f>
        <v>10000000</v>
      </c>
      <c r="AB122" s="743">
        <v>0.5</v>
      </c>
      <c r="AC122" s="744">
        <v>10000.0</v>
      </c>
      <c r="AD122" s="744">
        <v>20000.0</v>
      </c>
      <c r="AE122" s="744">
        <v>500.0</v>
      </c>
      <c r="AF122" s="745">
        <v>1000.0</v>
      </c>
      <c r="AG122" s="746"/>
      <c r="AH122" s="744"/>
      <c r="AI122" s="744"/>
      <c r="AJ122" s="801"/>
      <c r="AK122" s="747">
        <f>(AJ122*50+AF122*50+AH122*20+AD122*2)*K122</f>
        <v>90000</v>
      </c>
      <c r="AL122" s="747">
        <f t="shared" si="79"/>
        <v>10090000</v>
      </c>
      <c r="AM122" s="747">
        <f t="shared" si="80"/>
        <v>4910000</v>
      </c>
      <c r="AN122" s="748">
        <f t="shared" si="81"/>
        <v>0.3273333333</v>
      </c>
      <c r="AO122" s="9"/>
      <c r="AP122" s="9"/>
      <c r="AQ122" s="9"/>
      <c r="AR122" s="9"/>
    </row>
    <row r="123" ht="75.0" customHeight="1" outlineLevel="1">
      <c r="A123" s="157" t="s">
        <v>45</v>
      </c>
      <c r="B123" s="158" t="s">
        <v>345</v>
      </c>
      <c r="C123" s="159" t="s">
        <v>38</v>
      </c>
      <c r="D123" s="160" t="s">
        <v>346</v>
      </c>
      <c r="E123" s="161" t="s">
        <v>40</v>
      </c>
      <c r="F123" s="162" t="s">
        <v>21</v>
      </c>
      <c r="G123" s="163" t="s">
        <v>322</v>
      </c>
      <c r="H123" s="164" t="s">
        <v>340</v>
      </c>
      <c r="I123" s="97" t="b">
        <v>1</v>
      </c>
      <c r="J123" s="98" t="s">
        <v>7</v>
      </c>
      <c r="K123" s="99">
        <f t="shared" si="72"/>
        <v>1</v>
      </c>
      <c r="L123" s="100">
        <f t="shared" si="73"/>
        <v>18000000</v>
      </c>
      <c r="M123" s="100">
        <f t="shared" si="74"/>
        <v>80000</v>
      </c>
      <c r="N123" s="100">
        <f t="shared" si="75"/>
        <v>1500</v>
      </c>
      <c r="O123" s="100">
        <f t="shared" si="76"/>
        <v>225</v>
      </c>
      <c r="P123" s="100">
        <f t="shared" si="77"/>
        <v>12000</v>
      </c>
      <c r="Q123" s="100">
        <f t="shared" si="78"/>
        <v>18000000</v>
      </c>
      <c r="R123" s="165" t="s">
        <v>1733</v>
      </c>
      <c r="S123" s="169"/>
      <c r="T123" s="169"/>
      <c r="U123" s="167" t="s">
        <v>45</v>
      </c>
      <c r="V123" s="170"/>
      <c r="W123" s="170"/>
      <c r="X123" s="798"/>
      <c r="Y123" s="798"/>
      <c r="Z123" s="799" t="s">
        <v>1017</v>
      </c>
      <c r="AA123" s="742">
        <f>8000000/0.9</f>
        <v>8888888.889</v>
      </c>
      <c r="AB123" s="743">
        <v>1.0</v>
      </c>
      <c r="AC123" s="744">
        <v>30000.0</v>
      </c>
      <c r="AD123" s="744">
        <v>50000.0</v>
      </c>
      <c r="AE123" s="744">
        <v>500.0</v>
      </c>
      <c r="AF123" s="745">
        <v>1000.0</v>
      </c>
      <c r="AG123" s="746"/>
      <c r="AH123" s="744"/>
      <c r="AI123" s="744"/>
      <c r="AJ123" s="744"/>
      <c r="AK123" s="747">
        <f t="shared" ref="AK123:AK125" si="84">(AD123*2+AF123*50+AH123*10+AJ123*50)*K123</f>
        <v>150000</v>
      </c>
      <c r="AL123" s="747">
        <f t="shared" si="79"/>
        <v>9038888.889</v>
      </c>
      <c r="AM123" s="747">
        <f t="shared" si="80"/>
        <v>8961111.111</v>
      </c>
      <c r="AN123" s="748">
        <f t="shared" si="81"/>
        <v>0.4978395062</v>
      </c>
      <c r="AO123" s="9"/>
      <c r="AP123" s="9"/>
      <c r="AQ123" s="9"/>
      <c r="AR123" s="9"/>
    </row>
    <row r="124" ht="75.0" customHeight="1" outlineLevel="1">
      <c r="A124" s="157" t="s">
        <v>45</v>
      </c>
      <c r="B124" s="158" t="s">
        <v>348</v>
      </c>
      <c r="C124" s="159" t="s">
        <v>38</v>
      </c>
      <c r="D124" s="160" t="s">
        <v>349</v>
      </c>
      <c r="E124" s="161" t="s">
        <v>40</v>
      </c>
      <c r="F124" s="162" t="s">
        <v>21</v>
      </c>
      <c r="G124" s="163" t="s">
        <v>50</v>
      </c>
      <c r="H124" s="164" t="s">
        <v>340</v>
      </c>
      <c r="I124" s="97" t="b">
        <v>1</v>
      </c>
      <c r="J124" s="98" t="s">
        <v>7</v>
      </c>
      <c r="K124" s="99">
        <f t="shared" si="72"/>
        <v>1</v>
      </c>
      <c r="L124" s="100">
        <f t="shared" si="73"/>
        <v>12000000</v>
      </c>
      <c r="M124" s="100">
        <f t="shared" si="74"/>
        <v>50000</v>
      </c>
      <c r="N124" s="100">
        <f t="shared" si="75"/>
        <v>1500</v>
      </c>
      <c r="O124" s="100">
        <f t="shared" si="76"/>
        <v>240</v>
      </c>
      <c r="P124" s="100">
        <f t="shared" si="77"/>
        <v>8000</v>
      </c>
      <c r="Q124" s="100">
        <f t="shared" si="78"/>
        <v>12000000</v>
      </c>
      <c r="R124" s="165" t="s">
        <v>1734</v>
      </c>
      <c r="S124" s="169"/>
      <c r="T124" s="169"/>
      <c r="U124" s="167" t="s">
        <v>45</v>
      </c>
      <c r="V124" s="170"/>
      <c r="W124" s="170"/>
      <c r="X124" s="798"/>
      <c r="Y124" s="798"/>
      <c r="Z124" s="808" t="s">
        <v>1024</v>
      </c>
      <c r="AA124" s="742">
        <f>5000000/0.9</f>
        <v>5555555.556</v>
      </c>
      <c r="AB124" s="743">
        <v>1.2</v>
      </c>
      <c r="AC124" s="744">
        <v>30000.0</v>
      </c>
      <c r="AD124" s="744">
        <v>20000.0</v>
      </c>
      <c r="AE124" s="744">
        <v>500.0</v>
      </c>
      <c r="AF124" s="745">
        <v>1000.0</v>
      </c>
      <c r="AG124" s="746"/>
      <c r="AH124" s="744"/>
      <c r="AI124" s="744"/>
      <c r="AJ124" s="744"/>
      <c r="AK124" s="747">
        <f t="shared" si="84"/>
        <v>90000</v>
      </c>
      <c r="AL124" s="747">
        <f t="shared" si="79"/>
        <v>5645555.556</v>
      </c>
      <c r="AM124" s="747">
        <f t="shared" si="80"/>
        <v>6354444.444</v>
      </c>
      <c r="AN124" s="748">
        <f t="shared" si="81"/>
        <v>0.529537037</v>
      </c>
      <c r="AO124" s="9"/>
      <c r="AP124" s="9"/>
      <c r="AQ124" s="9"/>
      <c r="AR124" s="9"/>
    </row>
    <row r="125" ht="75.0" customHeight="1" outlineLevel="1">
      <c r="A125" s="157" t="s">
        <v>45</v>
      </c>
      <c r="B125" s="158" t="s">
        <v>351</v>
      </c>
      <c r="C125" s="159" t="s">
        <v>38</v>
      </c>
      <c r="D125" s="160" t="s">
        <v>352</v>
      </c>
      <c r="E125" s="161" t="s">
        <v>40</v>
      </c>
      <c r="F125" s="162" t="s">
        <v>21</v>
      </c>
      <c r="G125" s="163" t="s">
        <v>105</v>
      </c>
      <c r="H125" s="164" t="s">
        <v>340</v>
      </c>
      <c r="I125" s="97" t="b">
        <v>1</v>
      </c>
      <c r="J125" s="98" t="s">
        <v>7</v>
      </c>
      <c r="K125" s="99">
        <f t="shared" si="72"/>
        <v>1</v>
      </c>
      <c r="L125" s="100">
        <f t="shared" si="73"/>
        <v>20000000</v>
      </c>
      <c r="M125" s="100">
        <f t="shared" si="74"/>
        <v>80000</v>
      </c>
      <c r="N125" s="100">
        <f t="shared" si="75"/>
        <v>2000</v>
      </c>
      <c r="O125" s="100">
        <f t="shared" si="76"/>
        <v>250</v>
      </c>
      <c r="P125" s="100">
        <f t="shared" si="77"/>
        <v>10000</v>
      </c>
      <c r="Q125" s="100">
        <f t="shared" si="78"/>
        <v>20000000</v>
      </c>
      <c r="R125" s="165" t="s">
        <v>1735</v>
      </c>
      <c r="S125" s="166"/>
      <c r="T125" s="166"/>
      <c r="U125" s="167" t="s">
        <v>45</v>
      </c>
      <c r="V125" s="168"/>
      <c r="W125" s="168"/>
      <c r="X125" s="798"/>
      <c r="Y125" s="798"/>
      <c r="Z125" s="799" t="s">
        <v>1017</v>
      </c>
      <c r="AA125" s="800">
        <f>12000000/0.9</f>
        <v>13333333.33</v>
      </c>
      <c r="AB125" s="743">
        <v>0.5</v>
      </c>
      <c r="AC125" s="744">
        <v>80000.0</v>
      </c>
      <c r="AD125" s="801"/>
      <c r="AE125" s="744">
        <v>1000.0</v>
      </c>
      <c r="AF125" s="745">
        <v>1000.0</v>
      </c>
      <c r="AG125" s="803"/>
      <c r="AH125" s="801"/>
      <c r="AI125" s="744"/>
      <c r="AJ125" s="801"/>
      <c r="AK125" s="804">
        <f t="shared" si="84"/>
        <v>50000</v>
      </c>
      <c r="AL125" s="804">
        <f t="shared" si="79"/>
        <v>13383333.33</v>
      </c>
      <c r="AM125" s="804">
        <f t="shared" si="80"/>
        <v>6616666.667</v>
      </c>
      <c r="AN125" s="805">
        <f t="shared" si="81"/>
        <v>0.3308333333</v>
      </c>
      <c r="AO125" s="9"/>
      <c r="AP125" s="9"/>
      <c r="AQ125" s="9"/>
      <c r="AR125" s="9"/>
    </row>
    <row r="126" ht="54.0" customHeight="1">
      <c r="A126" s="172" t="s">
        <v>354</v>
      </c>
      <c r="B126" s="173"/>
      <c r="C126" s="174"/>
      <c r="D126" s="175"/>
      <c r="E126" s="174"/>
      <c r="F126" s="174"/>
      <c r="G126" s="174"/>
      <c r="H126" s="174"/>
      <c r="I126" s="176"/>
      <c r="J126" s="177"/>
      <c r="K126" s="178"/>
      <c r="L126" s="177"/>
      <c r="M126" s="177"/>
      <c r="N126" s="179">
        <f>K127</f>
        <v>2000</v>
      </c>
      <c r="O126" s="177"/>
      <c r="P126" s="177"/>
      <c r="Q126" s="179">
        <f>Q127</f>
        <v>20000000</v>
      </c>
      <c r="R126" s="812"/>
      <c r="S126" s="181"/>
      <c r="T126" s="181"/>
      <c r="U126" s="181"/>
      <c r="V126" s="181"/>
      <c r="W126" s="181"/>
      <c r="X126" s="813"/>
      <c r="Y126" s="813"/>
      <c r="Z126" s="814"/>
      <c r="AA126" s="815"/>
      <c r="AB126" s="816"/>
      <c r="AC126" s="815"/>
      <c r="AD126" s="815"/>
      <c r="AE126" s="815"/>
      <c r="AF126" s="817"/>
      <c r="AG126" s="818"/>
      <c r="AH126" s="815"/>
      <c r="AI126" s="815"/>
      <c r="AJ126" s="815"/>
      <c r="AK126" s="815"/>
      <c r="AL126" s="815"/>
      <c r="AM126" s="815"/>
      <c r="AN126" s="819"/>
      <c r="AO126" s="9"/>
      <c r="AP126" s="9"/>
      <c r="AQ126" s="9"/>
      <c r="AR126" s="9"/>
    </row>
    <row r="127" ht="67.5" customHeight="1" outlineLevel="1">
      <c r="A127" s="182">
        <v>1.0</v>
      </c>
      <c r="B127" s="183" t="s">
        <v>355</v>
      </c>
      <c r="C127" s="184" t="s">
        <v>356</v>
      </c>
      <c r="D127" s="185"/>
      <c r="E127" s="185"/>
      <c r="F127" s="185"/>
      <c r="G127" s="185"/>
      <c r="H127" s="186"/>
      <c r="I127" s="187" t="b">
        <v>1</v>
      </c>
      <c r="J127" s="188" t="s">
        <v>11</v>
      </c>
      <c r="K127" s="189">
        <v>2000.0</v>
      </c>
      <c r="L127" s="189">
        <v>10000.0</v>
      </c>
      <c r="M127" s="190"/>
      <c r="N127" s="191">
        <f>L127</f>
        <v>10000</v>
      </c>
      <c r="O127" s="190"/>
      <c r="P127" s="190"/>
      <c r="Q127" s="192">
        <f>iferror(L127*K127,"-")</f>
        <v>20000000</v>
      </c>
      <c r="R127" s="1014"/>
      <c r="S127" s="181"/>
      <c r="T127" s="181"/>
      <c r="U127" s="181"/>
      <c r="V127" s="181"/>
      <c r="W127" s="181"/>
      <c r="X127" s="826"/>
      <c r="Y127" s="826"/>
      <c r="Z127" s="814"/>
      <c r="AA127" s="827">
        <f>6000/0.9</f>
        <v>6666.666667</v>
      </c>
      <c r="AB127" s="832"/>
      <c r="AC127" s="828"/>
      <c r="AD127" s="828"/>
      <c r="AE127" s="828"/>
      <c r="AF127" s="829"/>
      <c r="AG127" s="830"/>
      <c r="AH127" s="828"/>
      <c r="AI127" s="828"/>
      <c r="AJ127" s="828"/>
      <c r="AK127" s="804">
        <f>(AD127*2+AF127*50+AH127*10+AJ127*50)*K127</f>
        <v>0</v>
      </c>
      <c r="AL127" s="804">
        <f>sum(AA127,AK127)*K127</f>
        <v>13333333.33</v>
      </c>
      <c r="AM127" s="804">
        <f>iferror(Q127-AL127,"-")</f>
        <v>6666666.667</v>
      </c>
      <c r="AN127" s="805">
        <f>iferror(AM127/Q127,"-")</f>
        <v>0.3333333333</v>
      </c>
      <c r="AO127" s="9"/>
      <c r="AP127" s="9"/>
      <c r="AQ127" s="9"/>
      <c r="AR127" s="9"/>
    </row>
    <row r="128" ht="23.25" customHeight="1">
      <c r="A128" s="194"/>
      <c r="B128" s="195"/>
      <c r="C128" s="195"/>
      <c r="D128" s="195"/>
      <c r="E128" s="195"/>
      <c r="F128" s="196"/>
      <c r="G128" s="195"/>
      <c r="H128" s="195"/>
      <c r="I128" s="197" t="s">
        <v>357</v>
      </c>
      <c r="J128" s="195"/>
      <c r="K128" s="195"/>
      <c r="L128" s="195"/>
      <c r="M128" s="198">
        <f t="shared" ref="M128:N128" si="85">sum(M126,M114,M50,M20)</f>
        <v>1651500</v>
      </c>
      <c r="N128" s="198">
        <f t="shared" si="85"/>
        <v>88200</v>
      </c>
      <c r="O128" s="199"/>
      <c r="P128" s="199"/>
      <c r="Q128" s="198">
        <f>sum(Q126,Q114,Q50,Q20)</f>
        <v>600000000</v>
      </c>
      <c r="R128" s="200"/>
      <c r="S128" s="8"/>
      <c r="T128" s="8"/>
      <c r="U128" s="8"/>
      <c r="V128" s="8"/>
      <c r="W128" s="8"/>
      <c r="X128" s="717"/>
      <c r="Y128" s="717"/>
      <c r="Z128" s="580"/>
      <c r="AA128" s="839"/>
      <c r="AB128" s="839"/>
      <c r="AC128" s="839"/>
      <c r="AD128" s="839"/>
      <c r="AE128" s="839"/>
      <c r="AF128" s="839"/>
      <c r="AG128" s="839"/>
      <c r="AH128" s="839"/>
      <c r="AI128" s="839"/>
      <c r="AJ128" s="839"/>
      <c r="AK128" s="840">
        <f t="shared" ref="AK128:AM128" si="86">sum(AK20:AK127)</f>
        <v>3927000</v>
      </c>
      <c r="AL128" s="840">
        <f t="shared" si="86"/>
        <v>319371444.4</v>
      </c>
      <c r="AM128" s="840">
        <f t="shared" si="86"/>
        <v>280628555.6</v>
      </c>
      <c r="AN128" s="841" t="str">
        <f>iferror(AM128/#REF!,"-")</f>
        <v>-</v>
      </c>
      <c r="AO128" s="9"/>
      <c r="AP128" s="9"/>
      <c r="AQ128" s="9"/>
      <c r="AR128" s="9"/>
    </row>
    <row r="129" ht="25.5" customHeight="1">
      <c r="A129" s="194"/>
      <c r="B129" s="195"/>
      <c r="C129" s="195"/>
      <c r="D129" s="195"/>
      <c r="E129" s="195"/>
      <c r="F129" s="196"/>
      <c r="G129" s="195"/>
      <c r="H129" s="195"/>
      <c r="I129" s="197" t="s">
        <v>358</v>
      </c>
      <c r="J129" s="195"/>
      <c r="K129" s="195"/>
      <c r="L129" s="195"/>
      <c r="M129" s="195"/>
      <c r="N129" s="195"/>
      <c r="O129" s="195"/>
      <c r="P129" s="201">
        <v>0.12</v>
      </c>
      <c r="Q129" s="198">
        <f>Q128*P129</f>
        <v>72000000</v>
      </c>
      <c r="R129" s="200"/>
      <c r="S129" s="8"/>
      <c r="T129" s="8"/>
      <c r="U129" s="8"/>
      <c r="V129" s="8"/>
      <c r="W129" s="8"/>
      <c r="X129" s="8"/>
      <c r="Y129" s="8"/>
      <c r="Z129" s="580"/>
      <c r="AA129" s="581"/>
      <c r="AB129" s="3"/>
      <c r="AC129" s="3"/>
      <c r="AD129" s="3"/>
      <c r="AE129" s="3"/>
      <c r="AF129" s="3"/>
      <c r="AG129" s="3"/>
      <c r="AH129" s="3"/>
      <c r="AI129" s="3"/>
      <c r="AJ129" s="3"/>
      <c r="AK129" s="844" t="s">
        <v>1032</v>
      </c>
      <c r="AL129" s="845"/>
      <c r="AM129" s="3"/>
      <c r="AN129" s="3"/>
      <c r="AO129" s="9"/>
      <c r="AP129" s="9"/>
      <c r="AQ129" s="9"/>
      <c r="AR129" s="9"/>
    </row>
    <row r="130" ht="25.5" customHeight="1">
      <c r="A130" s="202"/>
      <c r="B130" s="203"/>
      <c r="C130" s="203"/>
      <c r="D130" s="203"/>
      <c r="E130" s="203"/>
      <c r="F130" s="204"/>
      <c r="G130" s="203"/>
      <c r="H130" s="203"/>
      <c r="I130" s="205" t="s">
        <v>359</v>
      </c>
      <c r="J130" s="203"/>
      <c r="K130" s="203"/>
      <c r="L130" s="203"/>
      <c r="M130" s="203"/>
      <c r="N130" s="203"/>
      <c r="O130" s="203"/>
      <c r="P130" s="206"/>
      <c r="Q130" s="207">
        <f>SUM(Q128:Q129)</f>
        <v>672000000</v>
      </c>
      <c r="R130" s="208"/>
      <c r="S130" s="8"/>
      <c r="T130" s="8"/>
      <c r="U130" s="8"/>
      <c r="V130" s="8"/>
      <c r="W130" s="8"/>
      <c r="X130" s="8"/>
      <c r="Y130" s="8"/>
      <c r="Z130" s="580"/>
      <c r="AA130" s="581"/>
      <c r="AB130" s="3"/>
      <c r="AC130" s="3"/>
      <c r="AD130" s="3"/>
      <c r="AE130" s="3"/>
      <c r="AF130" s="3"/>
      <c r="AG130" s="3"/>
      <c r="AH130" s="3"/>
      <c r="AI130" s="3"/>
      <c r="AJ130" s="3"/>
      <c r="AK130" s="852" t="s">
        <v>1033</v>
      </c>
      <c r="AL130" s="853">
        <f>(30*600000)/0.9</f>
        <v>20000000</v>
      </c>
      <c r="AM130" s="854" t="s">
        <v>1034</v>
      </c>
      <c r="AN130" s="3"/>
      <c r="AO130" s="9"/>
      <c r="AP130" s="9"/>
      <c r="AQ130" s="9"/>
      <c r="AR130" s="9"/>
    </row>
    <row r="131" ht="25.5" customHeight="1">
      <c r="A131" s="209"/>
      <c r="B131" s="210"/>
      <c r="C131" s="210"/>
      <c r="D131" s="210"/>
      <c r="E131" s="210"/>
      <c r="F131" s="211"/>
      <c r="G131" s="210"/>
      <c r="H131" s="210"/>
      <c r="I131" s="212" t="s">
        <v>360</v>
      </c>
      <c r="J131" s="210"/>
      <c r="K131" s="210"/>
      <c r="L131" s="210"/>
      <c r="M131" s="210"/>
      <c r="N131" s="210"/>
      <c r="O131" s="210"/>
      <c r="P131" s="213"/>
      <c r="Q131" s="214">
        <f>Q130*1.08</f>
        <v>725760000</v>
      </c>
      <c r="R131" s="215"/>
      <c r="S131" s="8"/>
      <c r="T131" s="8"/>
      <c r="U131" s="8"/>
      <c r="V131" s="8"/>
      <c r="W131" s="8"/>
      <c r="X131" s="8"/>
      <c r="Y131" s="8"/>
      <c r="Z131" s="580"/>
      <c r="AA131" s="581"/>
      <c r="AB131" s="3"/>
      <c r="AC131" s="3"/>
      <c r="AD131" s="3"/>
      <c r="AE131" s="3"/>
      <c r="AF131" s="3"/>
      <c r="AG131" s="3"/>
      <c r="AH131" s="3"/>
      <c r="AI131" s="3"/>
      <c r="AJ131" s="3"/>
      <c r="AK131" s="860" t="s">
        <v>5</v>
      </c>
      <c r="AL131" s="861">
        <f>sum(AL128,AL130)</f>
        <v>339371444.4</v>
      </c>
      <c r="AM131" s="854"/>
      <c r="AN131" s="851"/>
      <c r="AO131" s="9"/>
      <c r="AP131" s="9"/>
      <c r="AQ131" s="9"/>
      <c r="AR131" s="9"/>
    </row>
    <row r="132" ht="25.5" customHeight="1">
      <c r="S132" s="8"/>
      <c r="T132" s="8"/>
      <c r="U132" s="8"/>
      <c r="V132" s="8"/>
      <c r="W132" s="8"/>
      <c r="X132" s="8"/>
      <c r="Y132" s="8"/>
      <c r="Z132" s="580"/>
      <c r="AA132" s="581"/>
      <c r="AB132" s="3"/>
      <c r="AC132" s="3"/>
      <c r="AD132" s="3"/>
      <c r="AE132" s="3"/>
      <c r="AF132" s="3"/>
      <c r="AG132" s="3"/>
      <c r="AH132" s="3"/>
      <c r="AI132" s="3"/>
      <c r="AJ132" s="3"/>
      <c r="AK132" s="852" t="s">
        <v>1035</v>
      </c>
      <c r="AL132" s="861">
        <f>Q128-AL131</f>
        <v>260628555.6</v>
      </c>
      <c r="AM132" s="3"/>
      <c r="AN132" s="3"/>
      <c r="AO132" s="9"/>
      <c r="AP132" s="9"/>
      <c r="AQ132" s="9"/>
      <c r="AR132" s="9"/>
    </row>
    <row r="133" ht="25.5" customHeight="1">
      <c r="A133" s="217"/>
      <c r="B133" s="218"/>
      <c r="C133" s="218"/>
      <c r="D133" s="219"/>
      <c r="E133" s="218"/>
      <c r="F133" s="220"/>
      <c r="G133" s="218"/>
      <c r="H133" s="218"/>
      <c r="I133" s="218"/>
      <c r="J133" s="221"/>
      <c r="K133" s="222"/>
      <c r="L133" s="221"/>
      <c r="M133" s="221"/>
      <c r="N133" s="221"/>
      <c r="O133" s="221"/>
      <c r="P133" s="221"/>
      <c r="Q133" s="221"/>
      <c r="R133" s="223"/>
      <c r="S133" s="8"/>
      <c r="T133" s="8"/>
      <c r="U133" s="8"/>
      <c r="V133" s="8"/>
      <c r="W133" s="8"/>
      <c r="X133" s="8"/>
      <c r="Y133" s="8"/>
      <c r="Z133" s="580"/>
      <c r="AA133" s="865"/>
      <c r="AB133" s="3"/>
      <c r="AC133" s="3"/>
      <c r="AD133" s="3"/>
      <c r="AE133" s="3"/>
      <c r="AF133" s="3"/>
      <c r="AG133" s="3"/>
      <c r="AH133" s="3"/>
      <c r="AI133" s="3"/>
      <c r="AJ133" s="3"/>
      <c r="AK133" s="866" t="s">
        <v>1036</v>
      </c>
      <c r="AL133" s="867">
        <f>iferror(AL132/Q128,"-")</f>
        <v>0.4343809259</v>
      </c>
      <c r="AM133" s="3"/>
      <c r="AN133" s="3"/>
      <c r="AO133" s="9"/>
      <c r="AP133" s="9"/>
      <c r="AQ133" s="9"/>
      <c r="AR133" s="9"/>
    </row>
    <row r="134" ht="29.25" customHeight="1">
      <c r="A134" s="33"/>
      <c r="B134" s="2"/>
      <c r="C134" s="2"/>
      <c r="D134" s="2"/>
      <c r="E134" s="2"/>
      <c r="F134" s="4"/>
      <c r="G134" s="2"/>
      <c r="H134" s="2"/>
      <c r="I134" s="2"/>
      <c r="J134" s="2"/>
      <c r="K134" s="5"/>
      <c r="L134" s="2"/>
      <c r="M134" s="2"/>
      <c r="N134" s="2"/>
      <c r="O134" s="2"/>
      <c r="P134" s="2"/>
      <c r="Q134" s="2"/>
      <c r="R134" s="7"/>
      <c r="S134" s="224"/>
      <c r="T134" s="224"/>
      <c r="U134" s="224"/>
      <c r="V134" s="224"/>
      <c r="W134" s="224"/>
      <c r="X134" s="224"/>
      <c r="Y134" s="224"/>
      <c r="Z134" s="868"/>
      <c r="AA134" s="865"/>
      <c r="AB134" s="2"/>
      <c r="AC134" s="2"/>
      <c r="AD134" s="2"/>
      <c r="AE134" s="2"/>
      <c r="AF134" s="2"/>
      <c r="AG134" s="2"/>
      <c r="AH134" s="2"/>
      <c r="AI134" s="2"/>
      <c r="AJ134" s="2"/>
      <c r="AM134" s="2"/>
      <c r="AN134" s="2"/>
      <c r="AO134" s="9"/>
      <c r="AP134" s="9"/>
      <c r="AQ134" s="9"/>
      <c r="AR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224"/>
      <c r="X135" s="224"/>
      <c r="Y135" s="224"/>
      <c r="Z135" s="868"/>
      <c r="AA135" s="865"/>
      <c r="AB135" s="2"/>
      <c r="AC135" s="2"/>
      <c r="AD135" s="2"/>
      <c r="AE135" s="2"/>
      <c r="AF135" s="2"/>
      <c r="AG135" s="2"/>
      <c r="AH135" s="2"/>
      <c r="AI135" s="2"/>
      <c r="AJ135" s="2"/>
      <c r="AK135" s="2"/>
      <c r="AL135" s="2"/>
      <c r="AM135" s="2"/>
      <c r="AN135" s="2"/>
      <c r="AO135" s="9"/>
      <c r="AP135" s="9"/>
      <c r="AQ135" s="9"/>
      <c r="AR135" s="9"/>
    </row>
    <row r="136">
      <c r="A136" s="33"/>
      <c r="B136" s="2"/>
      <c r="C136" s="225"/>
      <c r="D136" s="2"/>
      <c r="E136" s="2"/>
      <c r="F136" s="4"/>
      <c r="G136" s="2"/>
      <c r="H136" s="2"/>
      <c r="I136" s="2"/>
      <c r="J136" s="2"/>
      <c r="K136" s="5"/>
      <c r="L136" s="2"/>
      <c r="M136" s="2"/>
      <c r="N136" s="2"/>
      <c r="O136" s="2"/>
      <c r="P136" s="2"/>
      <c r="Q136" s="2"/>
      <c r="R136" s="7"/>
      <c r="S136" s="224"/>
      <c r="T136" s="224"/>
      <c r="U136" s="224"/>
      <c r="V136" s="224"/>
      <c r="W136" s="224"/>
      <c r="X136" s="224"/>
      <c r="Y136" s="224"/>
      <c r="Z136" s="868"/>
      <c r="AA136" s="865"/>
      <c r="AB136" s="2"/>
      <c r="AC136" s="2"/>
      <c r="AD136" s="2"/>
      <c r="AE136" s="2"/>
      <c r="AF136" s="2"/>
      <c r="AG136" s="2"/>
      <c r="AH136" s="2"/>
      <c r="AI136" s="2"/>
      <c r="AJ136" s="2"/>
      <c r="AK136" s="2"/>
      <c r="AL136" s="2"/>
      <c r="AM136" s="2"/>
      <c r="AN136" s="2"/>
      <c r="AO136" s="9"/>
      <c r="AP136" s="9"/>
      <c r="AQ136" s="9"/>
      <c r="AR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224"/>
      <c r="X137" s="224"/>
      <c r="Y137" s="224"/>
      <c r="Z137" s="868"/>
      <c r="AA137" s="865"/>
      <c r="AB137" s="2"/>
      <c r="AC137" s="2"/>
      <c r="AD137" s="2"/>
      <c r="AE137" s="2"/>
      <c r="AF137" s="2"/>
      <c r="AG137" s="2"/>
      <c r="AH137" s="2"/>
      <c r="AI137" s="2"/>
      <c r="AJ137" s="2"/>
      <c r="AK137" s="2"/>
      <c r="AL137" s="2"/>
      <c r="AM137" s="2"/>
      <c r="AN137" s="2"/>
      <c r="AO137" s="9"/>
      <c r="AP137" s="9"/>
      <c r="AQ137" s="9"/>
      <c r="AR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224"/>
      <c r="X138" s="224"/>
      <c r="Y138" s="224"/>
      <c r="Z138" s="868"/>
      <c r="AA138" s="865"/>
      <c r="AB138" s="2"/>
      <c r="AC138" s="2"/>
      <c r="AD138" s="2"/>
      <c r="AE138" s="2"/>
      <c r="AF138" s="2"/>
      <c r="AG138" s="2"/>
      <c r="AH138" s="2"/>
      <c r="AI138" s="2"/>
      <c r="AJ138" s="2"/>
      <c r="AK138" s="2"/>
      <c r="AL138" s="2"/>
      <c r="AM138" s="2"/>
      <c r="AN138" s="2"/>
      <c r="AO138" s="9"/>
      <c r="AP138" s="9"/>
      <c r="AQ138" s="9"/>
      <c r="AR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224"/>
      <c r="X139" s="224"/>
      <c r="Y139" s="224"/>
      <c r="Z139" s="868"/>
      <c r="AA139" s="865"/>
      <c r="AB139" s="2"/>
      <c r="AC139" s="2"/>
      <c r="AD139" s="2"/>
      <c r="AE139" s="2"/>
      <c r="AF139" s="2"/>
      <c r="AG139" s="2"/>
      <c r="AH139" s="2"/>
      <c r="AI139" s="2"/>
      <c r="AJ139" s="2"/>
      <c r="AK139" s="2"/>
      <c r="AL139" s="2"/>
      <c r="AM139" s="2"/>
      <c r="AN139" s="2"/>
      <c r="AO139" s="9"/>
      <c r="AP139" s="9"/>
      <c r="AQ139" s="9"/>
      <c r="AR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224"/>
      <c r="X140" s="224"/>
      <c r="Y140" s="224"/>
      <c r="Z140" s="868"/>
      <c r="AA140" s="865"/>
      <c r="AB140" s="2"/>
      <c r="AC140" s="2"/>
      <c r="AD140" s="2"/>
      <c r="AE140" s="2"/>
      <c r="AF140" s="2"/>
      <c r="AG140" s="2"/>
      <c r="AH140" s="2"/>
      <c r="AI140" s="2"/>
      <c r="AJ140" s="2"/>
      <c r="AK140" s="2"/>
      <c r="AL140" s="2"/>
      <c r="AM140" s="2"/>
      <c r="AN140" s="2"/>
      <c r="AO140" s="9"/>
      <c r="AP140" s="9"/>
      <c r="AQ140" s="9"/>
      <c r="AR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224"/>
      <c r="X141" s="224"/>
      <c r="Y141" s="224"/>
      <c r="Z141" s="868"/>
      <c r="AA141" s="865"/>
      <c r="AB141" s="2"/>
      <c r="AC141" s="2"/>
      <c r="AD141" s="2"/>
      <c r="AE141" s="2"/>
      <c r="AF141" s="2"/>
      <c r="AG141" s="2"/>
      <c r="AH141" s="2"/>
      <c r="AI141" s="2"/>
      <c r="AJ141" s="2"/>
      <c r="AK141" s="2"/>
      <c r="AL141" s="2"/>
      <c r="AM141" s="2"/>
      <c r="AN141" s="2"/>
      <c r="AO141" s="9"/>
      <c r="AP141" s="9"/>
      <c r="AQ141" s="9"/>
      <c r="AR141" s="9"/>
    </row>
    <row r="142">
      <c r="A142" s="33"/>
      <c r="B142" s="2"/>
      <c r="C142" s="2"/>
      <c r="D142" s="2"/>
      <c r="E142" s="2"/>
      <c r="F142" s="4"/>
      <c r="G142" s="2"/>
      <c r="H142" s="2"/>
      <c r="I142" s="2"/>
      <c r="J142" s="2"/>
      <c r="K142" s="5"/>
      <c r="L142" s="2"/>
      <c r="M142" s="2"/>
      <c r="N142" s="2"/>
      <c r="O142" s="2"/>
      <c r="P142" s="2"/>
      <c r="Q142" s="2"/>
      <c r="R142" s="7"/>
      <c r="S142" s="224"/>
      <c r="T142" s="224"/>
      <c r="U142" s="224"/>
      <c r="V142" s="224"/>
      <c r="W142" s="224"/>
      <c r="X142" s="224"/>
      <c r="Y142" s="224"/>
      <c r="Z142" s="868"/>
      <c r="AA142" s="865"/>
      <c r="AB142" s="2"/>
      <c r="AC142" s="2"/>
      <c r="AD142" s="2"/>
      <c r="AE142" s="2"/>
      <c r="AF142" s="2"/>
      <c r="AG142" s="2"/>
      <c r="AH142" s="2"/>
      <c r="AI142" s="2"/>
      <c r="AJ142" s="2"/>
      <c r="AK142" s="2"/>
      <c r="AL142" s="2"/>
      <c r="AM142" s="2"/>
      <c r="AN142" s="2"/>
      <c r="AO142" s="9"/>
      <c r="AP142" s="9"/>
      <c r="AQ142" s="9"/>
      <c r="AR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224"/>
      <c r="X143" s="224"/>
      <c r="Y143" s="224"/>
      <c r="Z143" s="868"/>
      <c r="AA143" s="865"/>
      <c r="AB143" s="2"/>
      <c r="AC143" s="2"/>
      <c r="AD143" s="2"/>
      <c r="AE143" s="2"/>
      <c r="AF143" s="2"/>
      <c r="AG143" s="2"/>
      <c r="AH143" s="2"/>
      <c r="AI143" s="2"/>
      <c r="AJ143" s="2"/>
      <c r="AK143" s="2"/>
      <c r="AL143" s="2"/>
      <c r="AM143" s="2"/>
      <c r="AN143" s="2"/>
      <c r="AO143" s="9"/>
      <c r="AP143" s="9"/>
      <c r="AQ143" s="9"/>
      <c r="AR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224"/>
      <c r="X144" s="224"/>
      <c r="Y144" s="224"/>
      <c r="Z144" s="868"/>
      <c r="AA144" s="865"/>
      <c r="AB144" s="2"/>
      <c r="AC144" s="2"/>
      <c r="AD144" s="2"/>
      <c r="AE144" s="2"/>
      <c r="AF144" s="2"/>
      <c r="AG144" s="2"/>
      <c r="AH144" s="2"/>
      <c r="AI144" s="2"/>
      <c r="AJ144" s="2"/>
      <c r="AK144" s="2"/>
      <c r="AL144" s="2"/>
      <c r="AM144" s="2"/>
      <c r="AN144" s="2"/>
      <c r="AO144" s="9"/>
      <c r="AP144" s="9"/>
      <c r="AQ144" s="9"/>
      <c r="AR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224"/>
      <c r="X145" s="224"/>
      <c r="Y145" s="224"/>
      <c r="Z145" s="868"/>
      <c r="AA145" s="865"/>
      <c r="AB145" s="2"/>
      <c r="AC145" s="2"/>
      <c r="AD145" s="2"/>
      <c r="AE145" s="2"/>
      <c r="AF145" s="2"/>
      <c r="AG145" s="2"/>
      <c r="AH145" s="2"/>
      <c r="AI145" s="2"/>
      <c r="AJ145" s="2"/>
      <c r="AK145" s="2"/>
      <c r="AL145" s="2"/>
      <c r="AM145" s="2"/>
      <c r="AN145" s="2"/>
      <c r="AO145" s="9"/>
      <c r="AP145" s="9"/>
      <c r="AQ145" s="9"/>
      <c r="AR145" s="9"/>
    </row>
    <row r="146">
      <c r="A146" s="33"/>
      <c r="B146" s="2"/>
      <c r="C146" s="2"/>
      <c r="D146" s="2"/>
      <c r="E146" s="2"/>
      <c r="F146" s="4"/>
      <c r="G146" s="2"/>
      <c r="H146" s="2"/>
      <c r="I146" s="2"/>
      <c r="J146" s="2"/>
      <c r="K146" s="5"/>
      <c r="L146" s="2"/>
      <c r="M146" s="2"/>
      <c r="N146" s="2"/>
      <c r="O146" s="2"/>
      <c r="P146" s="2"/>
      <c r="Q146" s="2"/>
      <c r="R146" s="7"/>
      <c r="S146" s="224"/>
      <c r="T146" s="224"/>
      <c r="U146" s="224"/>
      <c r="V146" s="224"/>
      <c r="W146" s="224"/>
      <c r="X146" s="224"/>
      <c r="Y146" s="224"/>
      <c r="Z146" s="868"/>
      <c r="AA146" s="865"/>
      <c r="AB146" s="2"/>
      <c r="AC146" s="2"/>
      <c r="AD146" s="2"/>
      <c r="AE146" s="2"/>
      <c r="AF146" s="2"/>
      <c r="AG146" s="2"/>
      <c r="AH146" s="2"/>
      <c r="AI146" s="2"/>
      <c r="AJ146" s="2"/>
      <c r="AK146" s="2"/>
      <c r="AL146" s="2"/>
      <c r="AM146" s="2"/>
      <c r="AN146" s="2"/>
      <c r="AO146" s="9"/>
      <c r="AP146" s="9"/>
      <c r="AQ146" s="9"/>
      <c r="AR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224"/>
      <c r="X147" s="224"/>
      <c r="Y147" s="224"/>
      <c r="Z147" s="868"/>
      <c r="AA147" s="865"/>
      <c r="AB147" s="2"/>
      <c r="AC147" s="2"/>
      <c r="AD147" s="2"/>
      <c r="AE147" s="2"/>
      <c r="AF147" s="2"/>
      <c r="AG147" s="2"/>
      <c r="AH147" s="2"/>
      <c r="AI147" s="2"/>
      <c r="AJ147" s="2"/>
      <c r="AK147" s="2"/>
      <c r="AL147" s="2"/>
      <c r="AM147" s="2"/>
      <c r="AN147" s="2"/>
      <c r="AO147" s="9"/>
      <c r="AP147" s="9"/>
      <c r="AQ147" s="9"/>
      <c r="AR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224"/>
      <c r="X148" s="224"/>
      <c r="Y148" s="224"/>
      <c r="Z148" s="868"/>
      <c r="AA148" s="865"/>
      <c r="AB148" s="2"/>
      <c r="AC148" s="2"/>
      <c r="AD148" s="2"/>
      <c r="AE148" s="2"/>
      <c r="AF148" s="2"/>
      <c r="AG148" s="2"/>
      <c r="AH148" s="2"/>
      <c r="AI148" s="2"/>
      <c r="AJ148" s="2"/>
      <c r="AK148" s="2"/>
      <c r="AL148" s="2"/>
      <c r="AM148" s="2"/>
      <c r="AN148" s="2"/>
      <c r="AO148" s="9"/>
      <c r="AP148" s="9"/>
      <c r="AQ148" s="9"/>
      <c r="AR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224"/>
      <c r="X149" s="224"/>
      <c r="Y149" s="224"/>
      <c r="Z149" s="868"/>
      <c r="AA149" s="865"/>
      <c r="AB149" s="2"/>
      <c r="AC149" s="2"/>
      <c r="AD149" s="2"/>
      <c r="AE149" s="2"/>
      <c r="AF149" s="2"/>
      <c r="AG149" s="2"/>
      <c r="AH149" s="2"/>
      <c r="AI149" s="2"/>
      <c r="AJ149" s="2"/>
      <c r="AK149" s="2"/>
      <c r="AL149" s="2"/>
      <c r="AM149" s="2"/>
      <c r="AN149" s="2"/>
      <c r="AO149" s="9"/>
      <c r="AP149" s="9"/>
      <c r="AQ149" s="9"/>
      <c r="AR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224"/>
      <c r="X150" s="224"/>
      <c r="Y150" s="224"/>
      <c r="Z150" s="868"/>
      <c r="AA150" s="865"/>
      <c r="AB150" s="2"/>
      <c r="AC150" s="2"/>
      <c r="AD150" s="2"/>
      <c r="AE150" s="2"/>
      <c r="AF150" s="2"/>
      <c r="AG150" s="2"/>
      <c r="AH150" s="2"/>
      <c r="AI150" s="2"/>
      <c r="AJ150" s="2"/>
      <c r="AK150" s="2"/>
      <c r="AL150" s="2"/>
      <c r="AM150" s="2"/>
      <c r="AN150" s="2"/>
      <c r="AO150" s="9"/>
      <c r="AP150" s="9"/>
      <c r="AQ150" s="9"/>
      <c r="AR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224"/>
      <c r="X151" s="224"/>
      <c r="Y151" s="224"/>
      <c r="Z151" s="868"/>
      <c r="AA151" s="865"/>
      <c r="AB151" s="2"/>
      <c r="AC151" s="2"/>
      <c r="AD151" s="2"/>
      <c r="AE151" s="2"/>
      <c r="AF151" s="2"/>
      <c r="AG151" s="2"/>
      <c r="AH151" s="2"/>
      <c r="AI151" s="2"/>
      <c r="AJ151" s="2"/>
      <c r="AK151" s="2"/>
      <c r="AL151" s="2"/>
      <c r="AM151" s="2"/>
      <c r="AN151" s="2"/>
      <c r="AO151" s="9"/>
      <c r="AP151" s="9"/>
      <c r="AQ151" s="9"/>
      <c r="AR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224"/>
      <c r="X152" s="224"/>
      <c r="Y152" s="224"/>
      <c r="Z152" s="868"/>
      <c r="AA152" s="865"/>
      <c r="AB152" s="2"/>
      <c r="AC152" s="2"/>
      <c r="AD152" s="2"/>
      <c r="AE152" s="2"/>
      <c r="AF152" s="2"/>
      <c r="AG152" s="2"/>
      <c r="AH152" s="2"/>
      <c r="AI152" s="2"/>
      <c r="AJ152" s="2"/>
      <c r="AK152" s="2"/>
      <c r="AL152" s="2"/>
      <c r="AM152" s="2"/>
      <c r="AN152" s="2"/>
      <c r="AO152" s="9"/>
      <c r="AP152" s="9"/>
      <c r="AQ152" s="9"/>
      <c r="AR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224"/>
      <c r="X153" s="224"/>
      <c r="Y153" s="224"/>
      <c r="Z153" s="868"/>
      <c r="AA153" s="865"/>
      <c r="AB153" s="2"/>
      <c r="AC153" s="2"/>
      <c r="AD153" s="2"/>
      <c r="AE153" s="2"/>
      <c r="AF153" s="2"/>
      <c r="AG153" s="2"/>
      <c r="AH153" s="2"/>
      <c r="AI153" s="2"/>
      <c r="AJ153" s="2"/>
      <c r="AK153" s="2"/>
      <c r="AL153" s="2"/>
      <c r="AM153" s="2"/>
      <c r="AN153" s="2"/>
      <c r="AO153" s="9"/>
      <c r="AP153" s="9"/>
      <c r="AQ153" s="9"/>
      <c r="AR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224"/>
      <c r="X154" s="224"/>
      <c r="Y154" s="224"/>
      <c r="Z154" s="868"/>
      <c r="AA154" s="865"/>
      <c r="AB154" s="2"/>
      <c r="AC154" s="2"/>
      <c r="AD154" s="2"/>
      <c r="AE154" s="2"/>
      <c r="AF154" s="2"/>
      <c r="AG154" s="2"/>
      <c r="AH154" s="2"/>
      <c r="AI154" s="2"/>
      <c r="AJ154" s="2"/>
      <c r="AK154" s="2"/>
      <c r="AL154" s="2"/>
      <c r="AM154" s="2"/>
      <c r="AN154" s="2"/>
      <c r="AO154" s="9"/>
      <c r="AP154" s="9"/>
      <c r="AQ154" s="9"/>
      <c r="AR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224"/>
      <c r="X155" s="224"/>
      <c r="Y155" s="224"/>
      <c r="Z155" s="868"/>
      <c r="AA155" s="865"/>
      <c r="AB155" s="2"/>
      <c r="AC155" s="2"/>
      <c r="AD155" s="2"/>
      <c r="AE155" s="2"/>
      <c r="AF155" s="2"/>
      <c r="AG155" s="2"/>
      <c r="AH155" s="2"/>
      <c r="AI155" s="2"/>
      <c r="AJ155" s="2"/>
      <c r="AK155" s="2"/>
      <c r="AL155" s="2"/>
      <c r="AM155" s="2"/>
      <c r="AN155" s="2"/>
      <c r="AO155" s="9"/>
      <c r="AP155" s="9"/>
      <c r="AQ155" s="9"/>
      <c r="AR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224"/>
      <c r="X156" s="224"/>
      <c r="Y156" s="224"/>
      <c r="Z156" s="868"/>
      <c r="AA156" s="865"/>
      <c r="AB156" s="2"/>
      <c r="AC156" s="2"/>
      <c r="AD156" s="2"/>
      <c r="AE156" s="2"/>
      <c r="AF156" s="2"/>
      <c r="AG156" s="2"/>
      <c r="AH156" s="2"/>
      <c r="AI156" s="2"/>
      <c r="AJ156" s="2"/>
      <c r="AK156" s="2"/>
      <c r="AL156" s="2"/>
      <c r="AM156" s="2"/>
      <c r="AN156" s="2"/>
      <c r="AO156" s="9"/>
      <c r="AP156" s="9"/>
      <c r="AQ156" s="9"/>
      <c r="AR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224"/>
      <c r="X157" s="224"/>
      <c r="Y157" s="224"/>
      <c r="Z157" s="868"/>
      <c r="AA157" s="865"/>
      <c r="AB157" s="2"/>
      <c r="AC157" s="2"/>
      <c r="AD157" s="2"/>
      <c r="AE157" s="2"/>
      <c r="AF157" s="2"/>
      <c r="AG157" s="2"/>
      <c r="AH157" s="2"/>
      <c r="AI157" s="2"/>
      <c r="AJ157" s="2"/>
      <c r="AK157" s="2"/>
      <c r="AL157" s="2"/>
      <c r="AM157" s="2"/>
      <c r="AN157" s="2"/>
      <c r="AO157" s="9"/>
      <c r="AP157" s="9"/>
      <c r="AQ157" s="9"/>
      <c r="AR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224"/>
      <c r="X158" s="224"/>
      <c r="Y158" s="224"/>
      <c r="Z158" s="868"/>
      <c r="AA158" s="865"/>
      <c r="AB158" s="2"/>
      <c r="AC158" s="2"/>
      <c r="AD158" s="2"/>
      <c r="AE158" s="2"/>
      <c r="AF158" s="2"/>
      <c r="AG158" s="2"/>
      <c r="AH158" s="2"/>
      <c r="AI158" s="2"/>
      <c r="AJ158" s="2"/>
      <c r="AK158" s="2"/>
      <c r="AL158" s="2"/>
      <c r="AM158" s="2"/>
      <c r="AN158" s="2"/>
      <c r="AO158" s="9"/>
      <c r="AP158" s="9"/>
      <c r="AQ158" s="9"/>
      <c r="AR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224"/>
      <c r="X159" s="224"/>
      <c r="Y159" s="224"/>
      <c r="Z159" s="868"/>
      <c r="AA159" s="865"/>
      <c r="AB159" s="2"/>
      <c r="AC159" s="2"/>
      <c r="AD159" s="2"/>
      <c r="AE159" s="2"/>
      <c r="AF159" s="2"/>
      <c r="AG159" s="2"/>
      <c r="AH159" s="2"/>
      <c r="AI159" s="2"/>
      <c r="AJ159" s="2"/>
      <c r="AK159" s="2"/>
      <c r="AL159" s="2"/>
      <c r="AM159" s="2"/>
      <c r="AN159" s="2"/>
      <c r="AO159" s="9"/>
      <c r="AP159" s="9"/>
      <c r="AQ159" s="9"/>
      <c r="AR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224"/>
      <c r="X160" s="224"/>
      <c r="Y160" s="224"/>
      <c r="Z160" s="868"/>
      <c r="AA160" s="865"/>
      <c r="AB160" s="2"/>
      <c r="AC160" s="2"/>
      <c r="AD160" s="2"/>
      <c r="AE160" s="2"/>
      <c r="AF160" s="2"/>
      <c r="AG160" s="2"/>
      <c r="AH160" s="2"/>
      <c r="AI160" s="2"/>
      <c r="AJ160" s="2"/>
      <c r="AK160" s="2"/>
      <c r="AL160" s="2"/>
      <c r="AM160" s="2"/>
      <c r="AN160" s="2"/>
      <c r="AO160" s="9"/>
      <c r="AP160" s="9"/>
      <c r="AQ160" s="9"/>
      <c r="AR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224"/>
      <c r="X161" s="224"/>
      <c r="Y161" s="224"/>
      <c r="Z161" s="868"/>
      <c r="AA161" s="865"/>
      <c r="AB161" s="2"/>
      <c r="AC161" s="2"/>
      <c r="AD161" s="2"/>
      <c r="AE161" s="2"/>
      <c r="AF161" s="2"/>
      <c r="AG161" s="2"/>
      <c r="AH161" s="2"/>
      <c r="AI161" s="2"/>
      <c r="AJ161" s="2"/>
      <c r="AK161" s="2"/>
      <c r="AL161" s="2"/>
      <c r="AM161" s="2"/>
      <c r="AN161" s="2"/>
      <c r="AO161" s="9"/>
      <c r="AP161" s="9"/>
      <c r="AQ161" s="9"/>
      <c r="AR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224"/>
      <c r="X162" s="224"/>
      <c r="Y162" s="224"/>
      <c r="Z162" s="868"/>
      <c r="AA162" s="865"/>
      <c r="AB162" s="2"/>
      <c r="AC162" s="2"/>
      <c r="AD162" s="2"/>
      <c r="AE162" s="2"/>
      <c r="AF162" s="2"/>
      <c r="AG162" s="2"/>
      <c r="AH162" s="2"/>
      <c r="AI162" s="2"/>
      <c r="AJ162" s="2"/>
      <c r="AK162" s="2"/>
      <c r="AL162" s="2"/>
      <c r="AM162" s="2"/>
      <c r="AN162" s="2"/>
      <c r="AO162" s="9"/>
      <c r="AP162" s="9"/>
      <c r="AQ162" s="9"/>
      <c r="AR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224"/>
      <c r="X163" s="224"/>
      <c r="Y163" s="224"/>
      <c r="Z163" s="868"/>
      <c r="AA163" s="865"/>
      <c r="AB163" s="2"/>
      <c r="AC163" s="2"/>
      <c r="AD163" s="2"/>
      <c r="AE163" s="2"/>
      <c r="AF163" s="2"/>
      <c r="AG163" s="2"/>
      <c r="AH163" s="2"/>
      <c r="AI163" s="2"/>
      <c r="AJ163" s="2"/>
      <c r="AK163" s="2"/>
      <c r="AL163" s="2"/>
      <c r="AM163" s="2"/>
      <c r="AN163" s="2"/>
      <c r="AO163" s="9"/>
      <c r="AP163" s="9"/>
      <c r="AQ163" s="9"/>
      <c r="AR163" s="9"/>
    </row>
    <row r="164">
      <c r="A164" s="33"/>
      <c r="B164" s="2"/>
      <c r="C164" s="2"/>
      <c r="D164" s="2"/>
      <c r="E164" s="2"/>
      <c r="F164" s="4"/>
      <c r="G164" s="2"/>
      <c r="H164" s="2"/>
      <c r="I164" s="2"/>
      <c r="J164" s="2"/>
      <c r="K164" s="5"/>
      <c r="L164" s="2"/>
      <c r="M164" s="2"/>
      <c r="N164" s="2"/>
      <c r="O164" s="2"/>
      <c r="P164" s="2"/>
      <c r="Q164" s="2"/>
      <c r="R164" s="7"/>
      <c r="S164" s="226"/>
      <c r="T164" s="226"/>
      <c r="U164" s="226"/>
      <c r="V164" s="226"/>
      <c r="W164" s="226"/>
      <c r="X164" s="224"/>
      <c r="Y164" s="224"/>
      <c r="Z164" s="868"/>
      <c r="AA164" s="865"/>
      <c r="AB164" s="2"/>
      <c r="AC164" s="2"/>
      <c r="AD164" s="2"/>
      <c r="AE164" s="2"/>
      <c r="AF164" s="2"/>
      <c r="AG164" s="2"/>
      <c r="AH164" s="2"/>
      <c r="AI164" s="2"/>
      <c r="AJ164" s="2"/>
      <c r="AK164" s="2"/>
      <c r="AL164" s="2"/>
      <c r="AM164" s="2"/>
      <c r="AN164" s="2"/>
      <c r="AO164" s="9"/>
      <c r="AP164" s="9"/>
      <c r="AQ164" s="9"/>
      <c r="AR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224"/>
      <c r="X165" s="224"/>
      <c r="Y165" s="224"/>
      <c r="Z165" s="868"/>
      <c r="AA165" s="865"/>
      <c r="AB165" s="2"/>
      <c r="AC165" s="2"/>
      <c r="AD165" s="2"/>
      <c r="AE165" s="2"/>
      <c r="AF165" s="2"/>
      <c r="AG165" s="2"/>
      <c r="AH165" s="2"/>
      <c r="AI165" s="2"/>
      <c r="AJ165" s="2"/>
      <c r="AK165" s="2"/>
      <c r="AL165" s="2"/>
      <c r="AM165" s="2"/>
      <c r="AN165" s="2"/>
      <c r="AO165" s="9"/>
      <c r="AP165" s="9"/>
      <c r="AQ165" s="9"/>
      <c r="AR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224"/>
      <c r="X166" s="224"/>
      <c r="Y166" s="224"/>
      <c r="Z166" s="868"/>
      <c r="AA166" s="865"/>
      <c r="AB166" s="2"/>
      <c r="AC166" s="2"/>
      <c r="AD166" s="2"/>
      <c r="AE166" s="2"/>
      <c r="AF166" s="2"/>
      <c r="AG166" s="2"/>
      <c r="AH166" s="2"/>
      <c r="AI166" s="2"/>
      <c r="AJ166" s="2"/>
      <c r="AK166" s="2"/>
      <c r="AL166" s="2"/>
      <c r="AM166" s="2"/>
      <c r="AN166" s="2"/>
      <c r="AO166" s="9"/>
      <c r="AP166" s="9"/>
      <c r="AQ166" s="9"/>
      <c r="AR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224"/>
      <c r="X167" s="224"/>
      <c r="Y167" s="224"/>
      <c r="Z167" s="868"/>
      <c r="AA167" s="865"/>
      <c r="AB167" s="2"/>
      <c r="AC167" s="2"/>
      <c r="AD167" s="2"/>
      <c r="AE167" s="2"/>
      <c r="AF167" s="2"/>
      <c r="AG167" s="2"/>
      <c r="AH167" s="2"/>
      <c r="AI167" s="2"/>
      <c r="AJ167" s="2"/>
      <c r="AK167" s="2"/>
      <c r="AL167" s="2"/>
      <c r="AM167" s="2"/>
      <c r="AN167" s="2"/>
      <c r="AO167" s="9"/>
      <c r="AP167" s="9"/>
      <c r="AQ167" s="9"/>
      <c r="AR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224"/>
      <c r="X168" s="224"/>
      <c r="Y168" s="224"/>
      <c r="Z168" s="868"/>
      <c r="AA168" s="865"/>
      <c r="AB168" s="2"/>
      <c r="AC168" s="2"/>
      <c r="AD168" s="2"/>
      <c r="AE168" s="2"/>
      <c r="AF168" s="2"/>
      <c r="AG168" s="2"/>
      <c r="AH168" s="2"/>
      <c r="AI168" s="2"/>
      <c r="AJ168" s="2"/>
      <c r="AK168" s="2"/>
      <c r="AL168" s="2"/>
      <c r="AM168" s="2"/>
      <c r="AN168" s="2"/>
      <c r="AO168" s="9"/>
      <c r="AP168" s="9"/>
      <c r="AQ168" s="9"/>
      <c r="AR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224"/>
      <c r="X169" s="224"/>
      <c r="Y169" s="224"/>
      <c r="Z169" s="868"/>
      <c r="AA169" s="865"/>
      <c r="AB169" s="2"/>
      <c r="AC169" s="2"/>
      <c r="AD169" s="2"/>
      <c r="AE169" s="2"/>
      <c r="AF169" s="2"/>
      <c r="AG169" s="2"/>
      <c r="AH169" s="2"/>
      <c r="AI169" s="2"/>
      <c r="AJ169" s="2"/>
      <c r="AK169" s="2"/>
      <c r="AL169" s="2"/>
      <c r="AM169" s="2"/>
      <c r="AN169" s="2"/>
      <c r="AO169" s="9"/>
      <c r="AP169" s="9"/>
      <c r="AQ169" s="9"/>
      <c r="AR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224"/>
      <c r="X170" s="224"/>
      <c r="Y170" s="224"/>
      <c r="Z170" s="868"/>
      <c r="AA170" s="865"/>
      <c r="AB170" s="2"/>
      <c r="AC170" s="2"/>
      <c r="AD170" s="2"/>
      <c r="AE170" s="2"/>
      <c r="AF170" s="2"/>
      <c r="AG170" s="2"/>
      <c r="AH170" s="2"/>
      <c r="AI170" s="2"/>
      <c r="AJ170" s="2"/>
      <c r="AK170" s="2"/>
      <c r="AL170" s="2"/>
      <c r="AM170" s="2"/>
      <c r="AN170" s="2"/>
      <c r="AO170" s="9"/>
      <c r="AP170" s="9"/>
      <c r="AQ170" s="9"/>
      <c r="AR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224"/>
      <c r="X171" s="224"/>
      <c r="Y171" s="224"/>
      <c r="Z171" s="868"/>
      <c r="AA171" s="865"/>
      <c r="AB171" s="2"/>
      <c r="AC171" s="2"/>
      <c r="AD171" s="2"/>
      <c r="AE171" s="2"/>
      <c r="AF171" s="2"/>
      <c r="AG171" s="2"/>
      <c r="AH171" s="2"/>
      <c r="AI171" s="2"/>
      <c r="AJ171" s="2"/>
      <c r="AK171" s="2"/>
      <c r="AL171" s="2"/>
      <c r="AM171" s="2"/>
      <c r="AN171" s="2"/>
      <c r="AO171" s="9"/>
      <c r="AP171" s="9"/>
      <c r="AQ171" s="9"/>
      <c r="AR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224"/>
      <c r="X172" s="224"/>
      <c r="Y172" s="224"/>
      <c r="Z172" s="868"/>
      <c r="AA172" s="865"/>
      <c r="AB172" s="2"/>
      <c r="AC172" s="2"/>
      <c r="AD172" s="2"/>
      <c r="AE172" s="2"/>
      <c r="AF172" s="2"/>
      <c r="AG172" s="2"/>
      <c r="AH172" s="2"/>
      <c r="AI172" s="2"/>
      <c r="AJ172" s="2"/>
      <c r="AK172" s="2"/>
      <c r="AL172" s="2"/>
      <c r="AM172" s="2"/>
      <c r="AN172" s="2"/>
      <c r="AO172" s="9"/>
      <c r="AP172" s="9"/>
      <c r="AQ172" s="9"/>
      <c r="AR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224"/>
      <c r="X173" s="224"/>
      <c r="Y173" s="224"/>
      <c r="Z173" s="868"/>
      <c r="AA173" s="865"/>
      <c r="AB173" s="2"/>
      <c r="AC173" s="2"/>
      <c r="AD173" s="2"/>
      <c r="AE173" s="2"/>
      <c r="AF173" s="2"/>
      <c r="AG173" s="2"/>
      <c r="AH173" s="2"/>
      <c r="AI173" s="2"/>
      <c r="AJ173" s="2"/>
      <c r="AK173" s="2"/>
      <c r="AL173" s="2"/>
      <c r="AM173" s="2"/>
      <c r="AN173" s="2"/>
      <c r="AO173" s="9"/>
      <c r="AP173" s="9"/>
      <c r="AQ173" s="9"/>
      <c r="AR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224"/>
      <c r="X174" s="224"/>
      <c r="Y174" s="224"/>
      <c r="Z174" s="868"/>
      <c r="AA174" s="865"/>
      <c r="AB174" s="2"/>
      <c r="AC174" s="2"/>
      <c r="AD174" s="2"/>
      <c r="AE174" s="2"/>
      <c r="AF174" s="2"/>
      <c r="AG174" s="2"/>
      <c r="AH174" s="2"/>
      <c r="AI174" s="2"/>
      <c r="AJ174" s="2"/>
      <c r="AK174" s="2"/>
      <c r="AL174" s="2"/>
      <c r="AM174" s="2"/>
      <c r="AN174" s="2"/>
      <c r="AO174" s="9"/>
      <c r="AP174" s="9"/>
      <c r="AQ174" s="9"/>
      <c r="AR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224"/>
      <c r="X175" s="224"/>
      <c r="Y175" s="224"/>
      <c r="Z175" s="868"/>
      <c r="AA175" s="865"/>
      <c r="AB175" s="2"/>
      <c r="AC175" s="2"/>
      <c r="AD175" s="2"/>
      <c r="AE175" s="2"/>
      <c r="AF175" s="2"/>
      <c r="AG175" s="2"/>
      <c r="AH175" s="2"/>
      <c r="AI175" s="2"/>
      <c r="AJ175" s="2"/>
      <c r="AK175" s="2"/>
      <c r="AL175" s="2"/>
      <c r="AM175" s="2"/>
      <c r="AN175" s="2"/>
      <c r="AO175" s="9"/>
      <c r="AP175" s="9"/>
      <c r="AQ175" s="9"/>
      <c r="AR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224"/>
      <c r="X176" s="224"/>
      <c r="Y176" s="224"/>
      <c r="Z176" s="868"/>
      <c r="AA176" s="865"/>
      <c r="AB176" s="2"/>
      <c r="AC176" s="2"/>
      <c r="AD176" s="2"/>
      <c r="AE176" s="2"/>
      <c r="AF176" s="2"/>
      <c r="AG176" s="2"/>
      <c r="AH176" s="2"/>
      <c r="AI176" s="2"/>
      <c r="AJ176" s="2"/>
      <c r="AK176" s="2"/>
      <c r="AL176" s="2"/>
      <c r="AM176" s="2"/>
      <c r="AN176" s="2"/>
      <c r="AO176" s="9"/>
      <c r="AP176" s="9"/>
      <c r="AQ176" s="9"/>
      <c r="AR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224"/>
      <c r="X177" s="224"/>
      <c r="Y177" s="224"/>
      <c r="Z177" s="868"/>
      <c r="AA177" s="865"/>
      <c r="AB177" s="2"/>
      <c r="AC177" s="2"/>
      <c r="AD177" s="2"/>
      <c r="AE177" s="2"/>
      <c r="AF177" s="2"/>
      <c r="AG177" s="2"/>
      <c r="AH177" s="2"/>
      <c r="AI177" s="2"/>
      <c r="AJ177" s="2"/>
      <c r="AK177" s="2"/>
      <c r="AL177" s="2"/>
      <c r="AM177" s="2"/>
      <c r="AN177" s="2"/>
      <c r="AO177" s="9"/>
      <c r="AP177" s="9"/>
      <c r="AQ177" s="9"/>
      <c r="AR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224"/>
      <c r="X178" s="224"/>
      <c r="Y178" s="224"/>
      <c r="Z178" s="868"/>
      <c r="AA178" s="865"/>
      <c r="AB178" s="2"/>
      <c r="AC178" s="2"/>
      <c r="AD178" s="2"/>
      <c r="AE178" s="2"/>
      <c r="AF178" s="2"/>
      <c r="AG178" s="2"/>
      <c r="AH178" s="2"/>
      <c r="AI178" s="2"/>
      <c r="AJ178" s="2"/>
      <c r="AK178" s="2"/>
      <c r="AL178" s="2"/>
      <c r="AM178" s="2"/>
      <c r="AN178" s="2"/>
      <c r="AO178" s="9"/>
      <c r="AP178" s="9"/>
      <c r="AQ178" s="9"/>
      <c r="AR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224"/>
      <c r="X179" s="224"/>
      <c r="Y179" s="224"/>
      <c r="Z179" s="868"/>
      <c r="AA179" s="865"/>
      <c r="AB179" s="2"/>
      <c r="AC179" s="2"/>
      <c r="AD179" s="2"/>
      <c r="AE179" s="2"/>
      <c r="AF179" s="2"/>
      <c r="AG179" s="2"/>
      <c r="AH179" s="2"/>
      <c r="AI179" s="2"/>
      <c r="AJ179" s="2"/>
      <c r="AK179" s="2"/>
      <c r="AL179" s="2"/>
      <c r="AM179" s="2"/>
      <c r="AN179" s="2"/>
      <c r="AO179" s="9"/>
      <c r="AP179" s="9"/>
      <c r="AQ179" s="9"/>
      <c r="AR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224"/>
      <c r="X180" s="224"/>
      <c r="Y180" s="224"/>
      <c r="Z180" s="868"/>
      <c r="AA180" s="865"/>
      <c r="AB180" s="2"/>
      <c r="AC180" s="2"/>
      <c r="AD180" s="2"/>
      <c r="AE180" s="2"/>
      <c r="AF180" s="2"/>
      <c r="AG180" s="2"/>
      <c r="AH180" s="2"/>
      <c r="AI180" s="2"/>
      <c r="AJ180" s="2"/>
      <c r="AK180" s="2"/>
      <c r="AL180" s="2"/>
      <c r="AM180" s="2"/>
      <c r="AN180" s="2"/>
      <c r="AO180" s="9"/>
      <c r="AP180" s="9"/>
      <c r="AQ180" s="9"/>
      <c r="AR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224"/>
      <c r="X181" s="224"/>
      <c r="Y181" s="224"/>
      <c r="Z181" s="868"/>
      <c r="AA181" s="865"/>
      <c r="AB181" s="2"/>
      <c r="AC181" s="2"/>
      <c r="AD181" s="2"/>
      <c r="AE181" s="2"/>
      <c r="AF181" s="2"/>
      <c r="AG181" s="2"/>
      <c r="AH181" s="2"/>
      <c r="AI181" s="2"/>
      <c r="AJ181" s="2"/>
      <c r="AK181" s="2"/>
      <c r="AL181" s="2"/>
      <c r="AM181" s="2"/>
      <c r="AN181" s="2"/>
      <c r="AO181" s="9"/>
      <c r="AP181" s="9"/>
      <c r="AQ181" s="9"/>
      <c r="AR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224"/>
      <c r="X182" s="224"/>
      <c r="Y182" s="224"/>
      <c r="Z182" s="868"/>
      <c r="AA182" s="865"/>
      <c r="AB182" s="2"/>
      <c r="AC182" s="2"/>
      <c r="AD182" s="2"/>
      <c r="AE182" s="2"/>
      <c r="AF182" s="2"/>
      <c r="AG182" s="2"/>
      <c r="AH182" s="2"/>
      <c r="AI182" s="2"/>
      <c r="AJ182" s="2"/>
      <c r="AK182" s="2"/>
      <c r="AL182" s="2"/>
      <c r="AM182" s="2"/>
      <c r="AN182" s="2"/>
      <c r="AO182" s="9"/>
      <c r="AP182" s="9"/>
      <c r="AQ182" s="9"/>
      <c r="AR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224"/>
      <c r="X183" s="224"/>
      <c r="Y183" s="224"/>
      <c r="Z183" s="868"/>
      <c r="AA183" s="865"/>
      <c r="AB183" s="2"/>
      <c r="AC183" s="2"/>
      <c r="AD183" s="2"/>
      <c r="AE183" s="2"/>
      <c r="AF183" s="2"/>
      <c r="AG183" s="2"/>
      <c r="AH183" s="2"/>
      <c r="AI183" s="2"/>
      <c r="AJ183" s="2"/>
      <c r="AK183" s="2"/>
      <c r="AL183" s="2"/>
      <c r="AM183" s="2"/>
      <c r="AN183" s="2"/>
      <c r="AO183" s="9"/>
      <c r="AP183" s="9"/>
      <c r="AQ183" s="9"/>
      <c r="AR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224"/>
      <c r="X184" s="224"/>
      <c r="Y184" s="224"/>
      <c r="Z184" s="868"/>
      <c r="AA184" s="865"/>
      <c r="AB184" s="2"/>
      <c r="AC184" s="2"/>
      <c r="AD184" s="2"/>
      <c r="AE184" s="2"/>
      <c r="AF184" s="2"/>
      <c r="AG184" s="2"/>
      <c r="AH184" s="2"/>
      <c r="AI184" s="2"/>
      <c r="AJ184" s="2"/>
      <c r="AK184" s="2"/>
      <c r="AL184" s="2"/>
      <c r="AM184" s="2"/>
      <c r="AN184" s="2"/>
      <c r="AO184" s="9"/>
      <c r="AP184" s="9"/>
      <c r="AQ184" s="9"/>
      <c r="AR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224"/>
      <c r="X185" s="224"/>
      <c r="Y185" s="224"/>
      <c r="Z185" s="868"/>
      <c r="AA185" s="865"/>
      <c r="AB185" s="2"/>
      <c r="AC185" s="2"/>
      <c r="AD185" s="2"/>
      <c r="AE185" s="2"/>
      <c r="AF185" s="2"/>
      <c r="AG185" s="2"/>
      <c r="AH185" s="2"/>
      <c r="AI185" s="2"/>
      <c r="AJ185" s="2"/>
      <c r="AK185" s="2"/>
      <c r="AL185" s="2"/>
      <c r="AM185" s="2"/>
      <c r="AN185" s="2"/>
      <c r="AO185" s="9"/>
      <c r="AP185" s="9"/>
      <c r="AQ185" s="9"/>
      <c r="AR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224"/>
      <c r="X186" s="224"/>
      <c r="Y186" s="224"/>
      <c r="Z186" s="868"/>
      <c r="AA186" s="865"/>
      <c r="AB186" s="2"/>
      <c r="AC186" s="2"/>
      <c r="AD186" s="2"/>
      <c r="AE186" s="2"/>
      <c r="AF186" s="2"/>
      <c r="AG186" s="2"/>
      <c r="AH186" s="2"/>
      <c r="AI186" s="2"/>
      <c r="AJ186" s="2"/>
      <c r="AK186" s="2"/>
      <c r="AL186" s="2"/>
      <c r="AM186" s="2"/>
      <c r="AN186" s="2"/>
      <c r="AO186" s="9"/>
      <c r="AP186" s="9"/>
      <c r="AQ186" s="9"/>
      <c r="AR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224"/>
      <c r="X187" s="224"/>
      <c r="Y187" s="224"/>
      <c r="Z187" s="868"/>
      <c r="AA187" s="865"/>
      <c r="AB187" s="2"/>
      <c r="AC187" s="2"/>
      <c r="AD187" s="2"/>
      <c r="AE187" s="2"/>
      <c r="AF187" s="2"/>
      <c r="AG187" s="2"/>
      <c r="AH187" s="2"/>
      <c r="AI187" s="2"/>
      <c r="AJ187" s="2"/>
      <c r="AK187" s="2"/>
      <c r="AL187" s="2"/>
      <c r="AM187" s="2"/>
      <c r="AN187" s="2"/>
      <c r="AO187" s="9"/>
      <c r="AP187" s="9"/>
      <c r="AQ187" s="9"/>
      <c r="AR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224"/>
      <c r="X188" s="224"/>
      <c r="Y188" s="224"/>
      <c r="Z188" s="868"/>
      <c r="AA188" s="865"/>
      <c r="AB188" s="2"/>
      <c r="AC188" s="2"/>
      <c r="AD188" s="2"/>
      <c r="AE188" s="2"/>
      <c r="AF188" s="2"/>
      <c r="AG188" s="2"/>
      <c r="AH188" s="2"/>
      <c r="AI188" s="2"/>
      <c r="AJ188" s="2"/>
      <c r="AK188" s="2"/>
      <c r="AL188" s="2"/>
      <c r="AM188" s="2"/>
      <c r="AN188" s="2"/>
      <c r="AO188" s="9"/>
      <c r="AP188" s="9"/>
      <c r="AQ188" s="9"/>
      <c r="AR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224"/>
      <c r="X189" s="224"/>
      <c r="Y189" s="224"/>
      <c r="Z189" s="868"/>
      <c r="AA189" s="865"/>
      <c r="AB189" s="2"/>
      <c r="AC189" s="2"/>
      <c r="AD189" s="2"/>
      <c r="AE189" s="2"/>
      <c r="AF189" s="2"/>
      <c r="AG189" s="2"/>
      <c r="AH189" s="2"/>
      <c r="AI189" s="2"/>
      <c r="AJ189" s="2"/>
      <c r="AK189" s="2"/>
      <c r="AL189" s="2"/>
      <c r="AM189" s="2"/>
      <c r="AN189" s="2"/>
      <c r="AO189" s="9"/>
      <c r="AP189" s="9"/>
      <c r="AQ189" s="9"/>
      <c r="AR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224"/>
      <c r="X190" s="224"/>
      <c r="Y190" s="224"/>
      <c r="Z190" s="868"/>
      <c r="AA190" s="865"/>
      <c r="AB190" s="2"/>
      <c r="AC190" s="2"/>
      <c r="AD190" s="2"/>
      <c r="AE190" s="2"/>
      <c r="AF190" s="2"/>
      <c r="AG190" s="2"/>
      <c r="AH190" s="2"/>
      <c r="AI190" s="2"/>
      <c r="AJ190" s="2"/>
      <c r="AK190" s="2"/>
      <c r="AL190" s="2"/>
      <c r="AM190" s="2"/>
      <c r="AN190" s="2"/>
      <c r="AO190" s="9"/>
      <c r="AP190" s="9"/>
      <c r="AQ190" s="9"/>
      <c r="AR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224"/>
      <c r="X191" s="224"/>
      <c r="Y191" s="224"/>
      <c r="Z191" s="868"/>
      <c r="AA191" s="865"/>
      <c r="AB191" s="2"/>
      <c r="AC191" s="2"/>
      <c r="AD191" s="2"/>
      <c r="AE191" s="2"/>
      <c r="AF191" s="2"/>
      <c r="AG191" s="2"/>
      <c r="AH191" s="2"/>
      <c r="AI191" s="2"/>
      <c r="AJ191" s="2"/>
      <c r="AK191" s="2"/>
      <c r="AL191" s="2"/>
      <c r="AM191" s="2"/>
      <c r="AN191" s="2"/>
      <c r="AO191" s="9"/>
      <c r="AP191" s="9"/>
      <c r="AQ191" s="9"/>
      <c r="AR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224"/>
      <c r="X192" s="224"/>
      <c r="Y192" s="224"/>
      <c r="Z192" s="868"/>
      <c r="AA192" s="865"/>
      <c r="AB192" s="2"/>
      <c r="AC192" s="2"/>
      <c r="AD192" s="2"/>
      <c r="AE192" s="2"/>
      <c r="AF192" s="2"/>
      <c r="AG192" s="2"/>
      <c r="AH192" s="2"/>
      <c r="AI192" s="2"/>
      <c r="AJ192" s="2"/>
      <c r="AK192" s="2"/>
      <c r="AL192" s="2"/>
      <c r="AM192" s="2"/>
      <c r="AN192" s="2"/>
      <c r="AO192" s="9"/>
      <c r="AP192" s="9"/>
      <c r="AQ192" s="9"/>
      <c r="AR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224"/>
      <c r="X193" s="224"/>
      <c r="Y193" s="224"/>
      <c r="Z193" s="868"/>
      <c r="AA193" s="865"/>
      <c r="AB193" s="2"/>
      <c r="AC193" s="2"/>
      <c r="AD193" s="2"/>
      <c r="AE193" s="2"/>
      <c r="AF193" s="2"/>
      <c r="AG193" s="2"/>
      <c r="AH193" s="2"/>
      <c r="AI193" s="2"/>
      <c r="AJ193" s="2"/>
      <c r="AK193" s="2"/>
      <c r="AL193" s="2"/>
      <c r="AM193" s="2"/>
      <c r="AN193" s="2"/>
      <c r="AO193" s="9"/>
      <c r="AP193" s="9"/>
      <c r="AQ193" s="9"/>
      <c r="AR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224"/>
      <c r="X194" s="224"/>
      <c r="Y194" s="224"/>
      <c r="Z194" s="868"/>
      <c r="AA194" s="865"/>
      <c r="AB194" s="2"/>
      <c r="AC194" s="2"/>
      <c r="AD194" s="2"/>
      <c r="AE194" s="2"/>
      <c r="AF194" s="2"/>
      <c r="AG194" s="2"/>
      <c r="AH194" s="2"/>
      <c r="AI194" s="2"/>
      <c r="AJ194" s="2"/>
      <c r="AK194" s="2"/>
      <c r="AL194" s="2"/>
      <c r="AM194" s="2"/>
      <c r="AN194" s="2"/>
      <c r="AO194" s="9"/>
      <c r="AP194" s="9"/>
      <c r="AQ194" s="9"/>
      <c r="AR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224"/>
      <c r="X195" s="224"/>
      <c r="Y195" s="224"/>
      <c r="Z195" s="868"/>
      <c r="AA195" s="865"/>
      <c r="AB195" s="2"/>
      <c r="AC195" s="2"/>
      <c r="AD195" s="2"/>
      <c r="AE195" s="2"/>
      <c r="AF195" s="2"/>
      <c r="AG195" s="2"/>
      <c r="AH195" s="2"/>
      <c r="AI195" s="2"/>
      <c r="AJ195" s="2"/>
      <c r="AK195" s="2"/>
      <c r="AL195" s="2"/>
      <c r="AM195" s="2"/>
      <c r="AN195" s="2"/>
      <c r="AO195" s="9"/>
      <c r="AP195" s="9"/>
      <c r="AQ195" s="9"/>
      <c r="AR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224"/>
      <c r="X196" s="224"/>
      <c r="Y196" s="224"/>
      <c r="Z196" s="868"/>
      <c r="AA196" s="865"/>
      <c r="AB196" s="2"/>
      <c r="AC196" s="2"/>
      <c r="AD196" s="2"/>
      <c r="AE196" s="2"/>
      <c r="AF196" s="2"/>
      <c r="AG196" s="2"/>
      <c r="AH196" s="2"/>
      <c r="AI196" s="2"/>
      <c r="AJ196" s="2"/>
      <c r="AK196" s="2"/>
      <c r="AL196" s="2"/>
      <c r="AM196" s="2"/>
      <c r="AN196" s="2"/>
      <c r="AO196" s="9"/>
      <c r="AP196" s="9"/>
      <c r="AQ196" s="9"/>
      <c r="AR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224"/>
      <c r="X197" s="224"/>
      <c r="Y197" s="224"/>
      <c r="Z197" s="868"/>
      <c r="AA197" s="865"/>
      <c r="AB197" s="2"/>
      <c r="AC197" s="2"/>
      <c r="AD197" s="2"/>
      <c r="AE197" s="2"/>
      <c r="AF197" s="2"/>
      <c r="AG197" s="2"/>
      <c r="AH197" s="2"/>
      <c r="AI197" s="2"/>
      <c r="AJ197" s="2"/>
      <c r="AK197" s="2"/>
      <c r="AL197" s="2"/>
      <c r="AM197" s="2"/>
      <c r="AN197" s="2"/>
      <c r="AO197" s="9"/>
      <c r="AP197" s="9"/>
      <c r="AQ197" s="9"/>
      <c r="AR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224"/>
      <c r="X198" s="224"/>
      <c r="Y198" s="224"/>
      <c r="Z198" s="868"/>
      <c r="AA198" s="865"/>
      <c r="AB198" s="2"/>
      <c r="AC198" s="2"/>
      <c r="AD198" s="2"/>
      <c r="AE198" s="2"/>
      <c r="AF198" s="2"/>
      <c r="AG198" s="2"/>
      <c r="AH198" s="2"/>
      <c r="AI198" s="2"/>
      <c r="AJ198" s="2"/>
      <c r="AK198" s="2"/>
      <c r="AL198" s="2"/>
      <c r="AM198" s="2"/>
      <c r="AN198" s="2"/>
      <c r="AO198" s="9"/>
      <c r="AP198" s="9"/>
      <c r="AQ198" s="9"/>
      <c r="AR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224"/>
      <c r="X199" s="224"/>
      <c r="Y199" s="224"/>
      <c r="Z199" s="868"/>
      <c r="AA199" s="865"/>
      <c r="AB199" s="2"/>
      <c r="AC199" s="2"/>
      <c r="AD199" s="2"/>
      <c r="AE199" s="2"/>
      <c r="AF199" s="2"/>
      <c r="AG199" s="2"/>
      <c r="AH199" s="2"/>
      <c r="AI199" s="2"/>
      <c r="AJ199" s="2"/>
      <c r="AK199" s="2"/>
      <c r="AL199" s="2"/>
      <c r="AM199" s="2"/>
      <c r="AN199" s="2"/>
      <c r="AO199" s="9"/>
      <c r="AP199" s="9"/>
      <c r="AQ199" s="9"/>
      <c r="AR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224"/>
      <c r="X200" s="224"/>
      <c r="Y200" s="224"/>
      <c r="Z200" s="868"/>
      <c r="AA200" s="865"/>
      <c r="AB200" s="2"/>
      <c r="AC200" s="2"/>
      <c r="AD200" s="2"/>
      <c r="AE200" s="2"/>
      <c r="AF200" s="2"/>
      <c r="AG200" s="2"/>
      <c r="AH200" s="2"/>
      <c r="AI200" s="2"/>
      <c r="AJ200" s="2"/>
      <c r="AK200" s="2"/>
      <c r="AL200" s="2"/>
      <c r="AM200" s="2"/>
      <c r="AN200" s="2"/>
      <c r="AO200" s="9"/>
      <c r="AP200" s="9"/>
      <c r="AQ200" s="9"/>
      <c r="AR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224"/>
      <c r="X201" s="224"/>
      <c r="Y201" s="224"/>
      <c r="Z201" s="868"/>
      <c r="AA201" s="865"/>
      <c r="AB201" s="2"/>
      <c r="AC201" s="2"/>
      <c r="AD201" s="2"/>
      <c r="AE201" s="2"/>
      <c r="AF201" s="2"/>
      <c r="AG201" s="2"/>
      <c r="AH201" s="2"/>
      <c r="AI201" s="2"/>
      <c r="AJ201" s="2"/>
      <c r="AK201" s="2"/>
      <c r="AL201" s="2"/>
      <c r="AM201" s="2"/>
      <c r="AN201" s="2"/>
      <c r="AO201" s="9"/>
      <c r="AP201" s="9"/>
      <c r="AQ201" s="9"/>
      <c r="AR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224"/>
      <c r="X202" s="224"/>
      <c r="Y202" s="224"/>
      <c r="Z202" s="868"/>
      <c r="AA202" s="865"/>
      <c r="AB202" s="2"/>
      <c r="AC202" s="2"/>
      <c r="AD202" s="2"/>
      <c r="AE202" s="2"/>
      <c r="AF202" s="2"/>
      <c r="AG202" s="2"/>
      <c r="AH202" s="2"/>
      <c r="AI202" s="2"/>
      <c r="AJ202" s="2"/>
      <c r="AK202" s="2"/>
      <c r="AL202" s="2"/>
      <c r="AM202" s="2"/>
      <c r="AN202" s="2"/>
      <c r="AO202" s="9"/>
      <c r="AP202" s="9"/>
      <c r="AQ202" s="9"/>
      <c r="AR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224"/>
      <c r="X203" s="224"/>
      <c r="Y203" s="224"/>
      <c r="Z203" s="868"/>
      <c r="AA203" s="865"/>
      <c r="AB203" s="2"/>
      <c r="AC203" s="2"/>
      <c r="AD203" s="2"/>
      <c r="AE203" s="2"/>
      <c r="AF203" s="2"/>
      <c r="AG203" s="2"/>
      <c r="AH203" s="2"/>
      <c r="AI203" s="2"/>
      <c r="AJ203" s="2"/>
      <c r="AK203" s="2"/>
      <c r="AL203" s="2"/>
      <c r="AM203" s="2"/>
      <c r="AN203" s="2"/>
      <c r="AO203" s="9"/>
      <c r="AP203" s="9"/>
      <c r="AQ203" s="9"/>
      <c r="AR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224"/>
      <c r="X204" s="224"/>
      <c r="Y204" s="224"/>
      <c r="Z204" s="868"/>
      <c r="AA204" s="865"/>
      <c r="AB204" s="2"/>
      <c r="AC204" s="2"/>
      <c r="AD204" s="2"/>
      <c r="AE204" s="2"/>
      <c r="AF204" s="2"/>
      <c r="AG204" s="2"/>
      <c r="AH204" s="2"/>
      <c r="AI204" s="2"/>
      <c r="AJ204" s="2"/>
      <c r="AK204" s="2"/>
      <c r="AL204" s="2"/>
      <c r="AM204" s="2"/>
      <c r="AN204" s="2"/>
      <c r="AO204" s="9"/>
      <c r="AP204" s="9"/>
      <c r="AQ204" s="9"/>
      <c r="AR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224"/>
      <c r="X205" s="224"/>
      <c r="Y205" s="224"/>
      <c r="Z205" s="868"/>
      <c r="AA205" s="865"/>
      <c r="AB205" s="2"/>
      <c r="AC205" s="2"/>
      <c r="AD205" s="2"/>
      <c r="AE205" s="2"/>
      <c r="AF205" s="2"/>
      <c r="AG205" s="2"/>
      <c r="AH205" s="2"/>
      <c r="AI205" s="2"/>
      <c r="AJ205" s="2"/>
      <c r="AK205" s="2"/>
      <c r="AL205" s="2"/>
      <c r="AM205" s="2"/>
      <c r="AN205" s="2"/>
      <c r="AO205" s="9"/>
      <c r="AP205" s="9"/>
      <c r="AQ205" s="9"/>
      <c r="AR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224"/>
      <c r="X206" s="224"/>
      <c r="Y206" s="224"/>
      <c r="Z206" s="868"/>
      <c r="AA206" s="865"/>
      <c r="AB206" s="2"/>
      <c r="AC206" s="2"/>
      <c r="AD206" s="2"/>
      <c r="AE206" s="2"/>
      <c r="AF206" s="2"/>
      <c r="AG206" s="2"/>
      <c r="AH206" s="2"/>
      <c r="AI206" s="2"/>
      <c r="AJ206" s="2"/>
      <c r="AK206" s="2"/>
      <c r="AL206" s="2"/>
      <c r="AM206" s="2"/>
      <c r="AN206" s="2"/>
      <c r="AO206" s="9"/>
      <c r="AP206" s="9"/>
      <c r="AQ206" s="9"/>
      <c r="AR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224"/>
      <c r="X207" s="224"/>
      <c r="Y207" s="224"/>
      <c r="Z207" s="868"/>
      <c r="AA207" s="865"/>
      <c r="AB207" s="2"/>
      <c r="AC207" s="2"/>
      <c r="AD207" s="2"/>
      <c r="AE207" s="2"/>
      <c r="AF207" s="2"/>
      <c r="AG207" s="2"/>
      <c r="AH207" s="2"/>
      <c r="AI207" s="2"/>
      <c r="AJ207" s="2"/>
      <c r="AK207" s="2"/>
      <c r="AL207" s="2"/>
      <c r="AM207" s="2"/>
      <c r="AN207" s="2"/>
      <c r="AO207" s="9"/>
      <c r="AP207" s="9"/>
      <c r="AQ207" s="9"/>
      <c r="AR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224"/>
      <c r="X208" s="224"/>
      <c r="Y208" s="224"/>
      <c r="Z208" s="868"/>
      <c r="AA208" s="865"/>
      <c r="AB208" s="2"/>
      <c r="AC208" s="2"/>
      <c r="AD208" s="2"/>
      <c r="AE208" s="2"/>
      <c r="AF208" s="2"/>
      <c r="AG208" s="2"/>
      <c r="AH208" s="2"/>
      <c r="AI208" s="2"/>
      <c r="AJ208" s="2"/>
      <c r="AK208" s="2"/>
      <c r="AL208" s="2"/>
      <c r="AM208" s="2"/>
      <c r="AN208" s="2"/>
      <c r="AO208" s="9"/>
      <c r="AP208" s="9"/>
      <c r="AQ208" s="9"/>
      <c r="AR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224"/>
      <c r="X209" s="224"/>
      <c r="Y209" s="224"/>
      <c r="Z209" s="868"/>
      <c r="AA209" s="865"/>
      <c r="AB209" s="2"/>
      <c r="AC209" s="2"/>
      <c r="AD209" s="2"/>
      <c r="AE209" s="2"/>
      <c r="AF209" s="2"/>
      <c r="AG209" s="2"/>
      <c r="AH209" s="2"/>
      <c r="AI209" s="2"/>
      <c r="AJ209" s="2"/>
      <c r="AK209" s="2"/>
      <c r="AL209" s="2"/>
      <c r="AM209" s="2"/>
      <c r="AN209" s="2"/>
      <c r="AO209" s="9"/>
      <c r="AP209" s="9"/>
      <c r="AQ209" s="9"/>
      <c r="AR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224"/>
      <c r="X210" s="224"/>
      <c r="Y210" s="224"/>
      <c r="Z210" s="868"/>
      <c r="AA210" s="865"/>
      <c r="AB210" s="2"/>
      <c r="AC210" s="2"/>
      <c r="AD210" s="2"/>
      <c r="AE210" s="2"/>
      <c r="AF210" s="2"/>
      <c r="AG210" s="2"/>
      <c r="AH210" s="2"/>
      <c r="AI210" s="2"/>
      <c r="AJ210" s="2"/>
      <c r="AK210" s="2"/>
      <c r="AL210" s="2"/>
      <c r="AM210" s="2"/>
      <c r="AN210" s="2"/>
      <c r="AO210" s="9"/>
      <c r="AP210" s="9"/>
      <c r="AQ210" s="9"/>
      <c r="AR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224"/>
      <c r="X211" s="224"/>
      <c r="Y211" s="224"/>
      <c r="Z211" s="868"/>
      <c r="AA211" s="865"/>
      <c r="AB211" s="2"/>
      <c r="AC211" s="2"/>
      <c r="AD211" s="2"/>
      <c r="AE211" s="2"/>
      <c r="AF211" s="2"/>
      <c r="AG211" s="2"/>
      <c r="AH211" s="2"/>
      <c r="AI211" s="2"/>
      <c r="AJ211" s="2"/>
      <c r="AK211" s="2"/>
      <c r="AL211" s="2"/>
      <c r="AM211" s="2"/>
      <c r="AN211" s="2"/>
      <c r="AO211" s="9"/>
      <c r="AP211" s="9"/>
      <c r="AQ211" s="9"/>
      <c r="AR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224"/>
      <c r="X212" s="224"/>
      <c r="Y212" s="224"/>
      <c r="Z212" s="868"/>
      <c r="AA212" s="865"/>
      <c r="AB212" s="2"/>
      <c r="AC212" s="2"/>
      <c r="AD212" s="2"/>
      <c r="AE212" s="2"/>
      <c r="AF212" s="2"/>
      <c r="AG212" s="2"/>
      <c r="AH212" s="2"/>
      <c r="AI212" s="2"/>
      <c r="AJ212" s="2"/>
      <c r="AK212" s="2"/>
      <c r="AL212" s="2"/>
      <c r="AM212" s="2"/>
      <c r="AN212" s="2"/>
      <c r="AO212" s="9"/>
      <c r="AP212" s="9"/>
      <c r="AQ212" s="9"/>
      <c r="AR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224"/>
      <c r="X213" s="224"/>
      <c r="Y213" s="224"/>
      <c r="Z213" s="868"/>
      <c r="AA213" s="865"/>
      <c r="AB213" s="2"/>
      <c r="AC213" s="2"/>
      <c r="AD213" s="2"/>
      <c r="AE213" s="2"/>
      <c r="AF213" s="2"/>
      <c r="AG213" s="2"/>
      <c r="AH213" s="2"/>
      <c r="AI213" s="2"/>
      <c r="AJ213" s="2"/>
      <c r="AK213" s="2"/>
      <c r="AL213" s="2"/>
      <c r="AM213" s="2"/>
      <c r="AN213" s="2"/>
      <c r="AO213" s="9"/>
      <c r="AP213" s="9"/>
      <c r="AQ213" s="9"/>
      <c r="AR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224"/>
      <c r="X214" s="224"/>
      <c r="Y214" s="224"/>
      <c r="Z214" s="868"/>
      <c r="AA214" s="865"/>
      <c r="AB214" s="2"/>
      <c r="AC214" s="2"/>
      <c r="AD214" s="2"/>
      <c r="AE214" s="2"/>
      <c r="AF214" s="2"/>
      <c r="AG214" s="2"/>
      <c r="AH214" s="2"/>
      <c r="AI214" s="2"/>
      <c r="AJ214" s="2"/>
      <c r="AK214" s="2"/>
      <c r="AL214" s="2"/>
      <c r="AM214" s="2"/>
      <c r="AN214" s="2"/>
      <c r="AO214" s="9"/>
      <c r="AP214" s="9"/>
      <c r="AQ214" s="9"/>
      <c r="AR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224"/>
      <c r="X215" s="224"/>
      <c r="Y215" s="224"/>
      <c r="Z215" s="868"/>
      <c r="AA215" s="865"/>
      <c r="AB215" s="2"/>
      <c r="AC215" s="2"/>
      <c r="AD215" s="2"/>
      <c r="AE215" s="2"/>
      <c r="AF215" s="2"/>
      <c r="AG215" s="2"/>
      <c r="AH215" s="2"/>
      <c r="AI215" s="2"/>
      <c r="AJ215" s="2"/>
      <c r="AK215" s="2"/>
      <c r="AL215" s="2"/>
      <c r="AM215" s="2"/>
      <c r="AN215" s="2"/>
      <c r="AO215" s="9"/>
      <c r="AP215" s="9"/>
      <c r="AQ215" s="9"/>
      <c r="AR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224"/>
      <c r="X216" s="224"/>
      <c r="Y216" s="224"/>
      <c r="Z216" s="868"/>
      <c r="AA216" s="865"/>
      <c r="AB216" s="2"/>
      <c r="AC216" s="2"/>
      <c r="AD216" s="2"/>
      <c r="AE216" s="2"/>
      <c r="AF216" s="2"/>
      <c r="AG216" s="2"/>
      <c r="AH216" s="2"/>
      <c r="AI216" s="2"/>
      <c r="AJ216" s="2"/>
      <c r="AK216" s="2"/>
      <c r="AL216" s="2"/>
      <c r="AM216" s="2"/>
      <c r="AN216" s="2"/>
      <c r="AO216" s="9"/>
      <c r="AP216" s="9"/>
      <c r="AQ216" s="9"/>
      <c r="AR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224"/>
      <c r="X217" s="224"/>
      <c r="Y217" s="224"/>
      <c r="Z217" s="868"/>
      <c r="AA217" s="865"/>
      <c r="AB217" s="2"/>
      <c r="AC217" s="2"/>
      <c r="AD217" s="2"/>
      <c r="AE217" s="2"/>
      <c r="AF217" s="2"/>
      <c r="AG217" s="2"/>
      <c r="AH217" s="2"/>
      <c r="AI217" s="2"/>
      <c r="AJ217" s="2"/>
      <c r="AK217" s="2"/>
      <c r="AL217" s="2"/>
      <c r="AM217" s="2"/>
      <c r="AN217" s="2"/>
      <c r="AO217" s="9"/>
      <c r="AP217" s="9"/>
      <c r="AQ217" s="9"/>
      <c r="AR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224"/>
      <c r="X218" s="224"/>
      <c r="Y218" s="224"/>
      <c r="Z218" s="868"/>
      <c r="AA218" s="865"/>
      <c r="AB218" s="2"/>
      <c r="AC218" s="2"/>
      <c r="AD218" s="2"/>
      <c r="AE218" s="2"/>
      <c r="AF218" s="2"/>
      <c r="AG218" s="2"/>
      <c r="AH218" s="2"/>
      <c r="AI218" s="2"/>
      <c r="AJ218" s="2"/>
      <c r="AK218" s="2"/>
      <c r="AL218" s="2"/>
      <c r="AM218" s="2"/>
      <c r="AN218" s="2"/>
      <c r="AO218" s="9"/>
      <c r="AP218" s="9"/>
      <c r="AQ218" s="9"/>
      <c r="AR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224"/>
      <c r="X219" s="224"/>
      <c r="Y219" s="224"/>
      <c r="Z219" s="868"/>
      <c r="AA219" s="865"/>
      <c r="AB219" s="2"/>
      <c r="AC219" s="2"/>
      <c r="AD219" s="2"/>
      <c r="AE219" s="2"/>
      <c r="AF219" s="2"/>
      <c r="AG219" s="2"/>
      <c r="AH219" s="2"/>
      <c r="AI219" s="2"/>
      <c r="AJ219" s="2"/>
      <c r="AK219" s="2"/>
      <c r="AL219" s="2"/>
      <c r="AM219" s="2"/>
      <c r="AN219" s="2"/>
      <c r="AO219" s="9"/>
      <c r="AP219" s="9"/>
      <c r="AQ219" s="9"/>
      <c r="AR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224"/>
      <c r="X220" s="224"/>
      <c r="Y220" s="224"/>
      <c r="Z220" s="868"/>
      <c r="AA220" s="865"/>
      <c r="AB220" s="2"/>
      <c r="AC220" s="2"/>
      <c r="AD220" s="2"/>
      <c r="AE220" s="2"/>
      <c r="AF220" s="2"/>
      <c r="AG220" s="2"/>
      <c r="AH220" s="2"/>
      <c r="AI220" s="2"/>
      <c r="AJ220" s="2"/>
      <c r="AK220" s="2"/>
      <c r="AL220" s="2"/>
      <c r="AM220" s="2"/>
      <c r="AN220" s="2"/>
      <c r="AO220" s="9"/>
      <c r="AP220" s="9"/>
      <c r="AQ220" s="9"/>
      <c r="AR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224"/>
      <c r="X221" s="224"/>
      <c r="Y221" s="224"/>
      <c r="Z221" s="868"/>
      <c r="AA221" s="865"/>
      <c r="AB221" s="2"/>
      <c r="AC221" s="2"/>
      <c r="AD221" s="2"/>
      <c r="AE221" s="2"/>
      <c r="AF221" s="2"/>
      <c r="AG221" s="2"/>
      <c r="AH221" s="2"/>
      <c r="AI221" s="2"/>
      <c r="AJ221" s="2"/>
      <c r="AK221" s="2"/>
      <c r="AL221" s="2"/>
      <c r="AM221" s="2"/>
      <c r="AN221" s="2"/>
      <c r="AO221" s="9"/>
      <c r="AP221" s="9"/>
      <c r="AQ221" s="9"/>
      <c r="AR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224"/>
      <c r="X222" s="224"/>
      <c r="Y222" s="224"/>
      <c r="Z222" s="868"/>
      <c r="AA222" s="865"/>
      <c r="AB222" s="2"/>
      <c r="AC222" s="2"/>
      <c r="AD222" s="2"/>
      <c r="AE222" s="2"/>
      <c r="AF222" s="2"/>
      <c r="AG222" s="2"/>
      <c r="AH222" s="2"/>
      <c r="AI222" s="2"/>
      <c r="AJ222" s="2"/>
      <c r="AK222" s="2"/>
      <c r="AL222" s="2"/>
      <c r="AM222" s="2"/>
      <c r="AN222" s="2"/>
      <c r="AO222" s="9"/>
      <c r="AP222" s="9"/>
      <c r="AQ222" s="9"/>
      <c r="AR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224"/>
      <c r="X223" s="224"/>
      <c r="Y223" s="224"/>
      <c r="Z223" s="868"/>
      <c r="AA223" s="865"/>
      <c r="AB223" s="2"/>
      <c r="AC223" s="2"/>
      <c r="AD223" s="2"/>
      <c r="AE223" s="2"/>
      <c r="AF223" s="2"/>
      <c r="AG223" s="2"/>
      <c r="AH223" s="2"/>
      <c r="AI223" s="2"/>
      <c r="AJ223" s="2"/>
      <c r="AK223" s="2"/>
      <c r="AL223" s="2"/>
      <c r="AM223" s="2"/>
      <c r="AN223" s="2"/>
      <c r="AO223" s="9"/>
      <c r="AP223" s="9"/>
      <c r="AQ223" s="9"/>
      <c r="AR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224"/>
      <c r="X224" s="224"/>
      <c r="Y224" s="224"/>
      <c r="Z224" s="868"/>
      <c r="AA224" s="865"/>
      <c r="AB224" s="2"/>
      <c r="AC224" s="2"/>
      <c r="AD224" s="2"/>
      <c r="AE224" s="2"/>
      <c r="AF224" s="2"/>
      <c r="AG224" s="2"/>
      <c r="AH224" s="2"/>
      <c r="AI224" s="2"/>
      <c r="AJ224" s="2"/>
      <c r="AK224" s="2"/>
      <c r="AL224" s="2"/>
      <c r="AM224" s="2"/>
      <c r="AN224" s="2"/>
      <c r="AO224" s="9"/>
      <c r="AP224" s="9"/>
      <c r="AQ224" s="9"/>
      <c r="AR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224"/>
      <c r="X225" s="224"/>
      <c r="Y225" s="224"/>
      <c r="Z225" s="868"/>
      <c r="AA225" s="865"/>
      <c r="AB225" s="2"/>
      <c r="AC225" s="2"/>
      <c r="AD225" s="2"/>
      <c r="AE225" s="2"/>
      <c r="AF225" s="2"/>
      <c r="AG225" s="2"/>
      <c r="AH225" s="2"/>
      <c r="AI225" s="2"/>
      <c r="AJ225" s="2"/>
      <c r="AK225" s="2"/>
      <c r="AL225" s="2"/>
      <c r="AM225" s="2"/>
      <c r="AN225" s="2"/>
      <c r="AO225" s="9"/>
      <c r="AP225" s="9"/>
      <c r="AQ225" s="9"/>
      <c r="AR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224"/>
      <c r="X226" s="224"/>
      <c r="Y226" s="224"/>
      <c r="Z226" s="868"/>
      <c r="AA226" s="865"/>
      <c r="AB226" s="2"/>
      <c r="AC226" s="2"/>
      <c r="AD226" s="2"/>
      <c r="AE226" s="2"/>
      <c r="AF226" s="2"/>
      <c r="AG226" s="2"/>
      <c r="AH226" s="2"/>
      <c r="AI226" s="2"/>
      <c r="AJ226" s="2"/>
      <c r="AK226" s="2"/>
      <c r="AL226" s="2"/>
      <c r="AM226" s="2"/>
      <c r="AN226" s="2"/>
      <c r="AO226" s="9"/>
      <c r="AP226" s="9"/>
      <c r="AQ226" s="9"/>
      <c r="AR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224"/>
      <c r="X227" s="224"/>
      <c r="Y227" s="224"/>
      <c r="Z227" s="868"/>
      <c r="AA227" s="865"/>
      <c r="AB227" s="2"/>
      <c r="AC227" s="2"/>
      <c r="AD227" s="2"/>
      <c r="AE227" s="2"/>
      <c r="AF227" s="2"/>
      <c r="AG227" s="2"/>
      <c r="AH227" s="2"/>
      <c r="AI227" s="2"/>
      <c r="AJ227" s="2"/>
      <c r="AK227" s="2"/>
      <c r="AL227" s="2"/>
      <c r="AM227" s="2"/>
      <c r="AN227" s="2"/>
      <c r="AO227" s="9"/>
      <c r="AP227" s="9"/>
      <c r="AQ227" s="9"/>
      <c r="AR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224"/>
      <c r="X228" s="224"/>
      <c r="Y228" s="224"/>
      <c r="Z228" s="868"/>
      <c r="AA228" s="865"/>
      <c r="AB228" s="2"/>
      <c r="AC228" s="2"/>
      <c r="AD228" s="2"/>
      <c r="AE228" s="2"/>
      <c r="AF228" s="2"/>
      <c r="AG228" s="2"/>
      <c r="AH228" s="2"/>
      <c r="AI228" s="2"/>
      <c r="AJ228" s="2"/>
      <c r="AK228" s="2"/>
      <c r="AL228" s="2"/>
      <c r="AM228" s="2"/>
      <c r="AN228" s="2"/>
      <c r="AO228" s="9"/>
      <c r="AP228" s="9"/>
      <c r="AQ228" s="9"/>
      <c r="AR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224"/>
      <c r="X229" s="224"/>
      <c r="Y229" s="224"/>
      <c r="Z229" s="868"/>
      <c r="AA229" s="865"/>
      <c r="AB229" s="2"/>
      <c r="AC229" s="2"/>
      <c r="AD229" s="2"/>
      <c r="AE229" s="2"/>
      <c r="AF229" s="2"/>
      <c r="AG229" s="2"/>
      <c r="AH229" s="2"/>
      <c r="AI229" s="2"/>
      <c r="AJ229" s="2"/>
      <c r="AK229" s="2"/>
      <c r="AL229" s="2"/>
      <c r="AM229" s="2"/>
      <c r="AN229" s="2"/>
      <c r="AO229" s="9"/>
      <c r="AP229" s="9"/>
      <c r="AQ229" s="9"/>
      <c r="AR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224"/>
      <c r="X230" s="224"/>
      <c r="Y230" s="224"/>
      <c r="Z230" s="868"/>
      <c r="AA230" s="865"/>
      <c r="AB230" s="2"/>
      <c r="AC230" s="2"/>
      <c r="AD230" s="2"/>
      <c r="AE230" s="2"/>
      <c r="AF230" s="2"/>
      <c r="AG230" s="2"/>
      <c r="AH230" s="2"/>
      <c r="AI230" s="2"/>
      <c r="AJ230" s="2"/>
      <c r="AK230" s="2"/>
      <c r="AL230" s="2"/>
      <c r="AM230" s="2"/>
      <c r="AN230" s="2"/>
      <c r="AO230" s="9"/>
      <c r="AP230" s="9"/>
      <c r="AQ230" s="9"/>
      <c r="AR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224"/>
      <c r="X231" s="224"/>
      <c r="Y231" s="224"/>
      <c r="Z231" s="868"/>
      <c r="AA231" s="865"/>
      <c r="AB231" s="2"/>
      <c r="AC231" s="2"/>
      <c r="AD231" s="2"/>
      <c r="AE231" s="2"/>
      <c r="AF231" s="2"/>
      <c r="AG231" s="2"/>
      <c r="AH231" s="2"/>
      <c r="AI231" s="2"/>
      <c r="AJ231" s="2"/>
      <c r="AK231" s="2"/>
      <c r="AL231" s="2"/>
      <c r="AM231" s="2"/>
      <c r="AN231" s="2"/>
      <c r="AO231" s="9"/>
      <c r="AP231" s="9"/>
      <c r="AQ231" s="9"/>
      <c r="AR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224"/>
      <c r="X232" s="224"/>
      <c r="Y232" s="224"/>
      <c r="Z232" s="868"/>
      <c r="AA232" s="865"/>
      <c r="AB232" s="2"/>
      <c r="AC232" s="2"/>
      <c r="AD232" s="2"/>
      <c r="AE232" s="2"/>
      <c r="AF232" s="2"/>
      <c r="AG232" s="2"/>
      <c r="AH232" s="2"/>
      <c r="AI232" s="2"/>
      <c r="AJ232" s="2"/>
      <c r="AK232" s="2"/>
      <c r="AL232" s="2"/>
      <c r="AM232" s="2"/>
      <c r="AN232" s="2"/>
      <c r="AO232" s="9"/>
      <c r="AP232" s="9"/>
      <c r="AQ232" s="9"/>
      <c r="AR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224"/>
      <c r="X233" s="224"/>
      <c r="Y233" s="224"/>
      <c r="Z233" s="868"/>
      <c r="AA233" s="865"/>
      <c r="AB233" s="2"/>
      <c r="AC233" s="2"/>
      <c r="AD233" s="2"/>
      <c r="AE233" s="2"/>
      <c r="AF233" s="2"/>
      <c r="AG233" s="2"/>
      <c r="AH233" s="2"/>
      <c r="AI233" s="2"/>
      <c r="AJ233" s="2"/>
      <c r="AK233" s="2"/>
      <c r="AL233" s="2"/>
      <c r="AM233" s="2"/>
      <c r="AN233" s="2"/>
      <c r="AO233" s="9"/>
      <c r="AP233" s="9"/>
      <c r="AQ233" s="9"/>
      <c r="AR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224"/>
      <c r="X234" s="224"/>
      <c r="Y234" s="224"/>
      <c r="Z234" s="868"/>
      <c r="AA234" s="865"/>
      <c r="AB234" s="2"/>
      <c r="AC234" s="2"/>
      <c r="AD234" s="2"/>
      <c r="AE234" s="2"/>
      <c r="AF234" s="2"/>
      <c r="AG234" s="2"/>
      <c r="AH234" s="2"/>
      <c r="AI234" s="2"/>
      <c r="AJ234" s="2"/>
      <c r="AK234" s="2"/>
      <c r="AL234" s="2"/>
      <c r="AM234" s="2"/>
      <c r="AN234" s="2"/>
      <c r="AO234" s="9"/>
      <c r="AP234" s="9"/>
      <c r="AQ234" s="9"/>
      <c r="AR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224"/>
      <c r="X235" s="224"/>
      <c r="Y235" s="224"/>
      <c r="Z235" s="868"/>
      <c r="AA235" s="865"/>
      <c r="AB235" s="2"/>
      <c r="AC235" s="2"/>
      <c r="AD235" s="2"/>
      <c r="AE235" s="2"/>
      <c r="AF235" s="2"/>
      <c r="AG235" s="2"/>
      <c r="AH235" s="2"/>
      <c r="AI235" s="2"/>
      <c r="AJ235" s="2"/>
      <c r="AK235" s="2"/>
      <c r="AL235" s="2"/>
      <c r="AM235" s="2"/>
      <c r="AN235" s="2"/>
      <c r="AO235" s="9"/>
      <c r="AP235" s="9"/>
      <c r="AQ235" s="9"/>
      <c r="AR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224"/>
      <c r="X236" s="224"/>
      <c r="Y236" s="224"/>
      <c r="Z236" s="868"/>
      <c r="AA236" s="865"/>
      <c r="AB236" s="2"/>
      <c r="AC236" s="2"/>
      <c r="AD236" s="2"/>
      <c r="AE236" s="2"/>
      <c r="AF236" s="2"/>
      <c r="AG236" s="2"/>
      <c r="AH236" s="2"/>
      <c r="AI236" s="2"/>
      <c r="AJ236" s="2"/>
      <c r="AK236" s="2"/>
      <c r="AL236" s="2"/>
      <c r="AM236" s="2"/>
      <c r="AN236" s="2"/>
      <c r="AO236" s="9"/>
      <c r="AP236" s="9"/>
      <c r="AQ236" s="9"/>
      <c r="AR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224"/>
      <c r="X237" s="224"/>
      <c r="Y237" s="224"/>
      <c r="Z237" s="868"/>
      <c r="AA237" s="865"/>
      <c r="AB237" s="2"/>
      <c r="AC237" s="2"/>
      <c r="AD237" s="2"/>
      <c r="AE237" s="2"/>
      <c r="AF237" s="2"/>
      <c r="AG237" s="2"/>
      <c r="AH237" s="2"/>
      <c r="AI237" s="2"/>
      <c r="AJ237" s="2"/>
      <c r="AK237" s="2"/>
      <c r="AL237" s="2"/>
      <c r="AM237" s="2"/>
      <c r="AN237" s="2"/>
      <c r="AO237" s="9"/>
      <c r="AP237" s="9"/>
      <c r="AQ237" s="9"/>
      <c r="AR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224"/>
      <c r="X238" s="224"/>
      <c r="Y238" s="224"/>
      <c r="Z238" s="868"/>
      <c r="AA238" s="865"/>
      <c r="AB238" s="2"/>
      <c r="AC238" s="2"/>
      <c r="AD238" s="2"/>
      <c r="AE238" s="2"/>
      <c r="AF238" s="2"/>
      <c r="AG238" s="2"/>
      <c r="AH238" s="2"/>
      <c r="AI238" s="2"/>
      <c r="AJ238" s="2"/>
      <c r="AK238" s="2"/>
      <c r="AL238" s="2"/>
      <c r="AM238" s="2"/>
      <c r="AN238" s="2"/>
      <c r="AO238" s="9"/>
      <c r="AP238" s="9"/>
      <c r="AQ238" s="9"/>
      <c r="AR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224"/>
      <c r="X239" s="224"/>
      <c r="Y239" s="224"/>
      <c r="Z239" s="868"/>
      <c r="AA239" s="865"/>
      <c r="AB239" s="2"/>
      <c r="AC239" s="2"/>
      <c r="AD239" s="2"/>
      <c r="AE239" s="2"/>
      <c r="AF239" s="2"/>
      <c r="AG239" s="2"/>
      <c r="AH239" s="2"/>
      <c r="AI239" s="2"/>
      <c r="AJ239" s="2"/>
      <c r="AK239" s="2"/>
      <c r="AL239" s="2"/>
      <c r="AM239" s="2"/>
      <c r="AN239" s="2"/>
      <c r="AO239" s="9"/>
      <c r="AP239" s="9"/>
      <c r="AQ239" s="9"/>
      <c r="AR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224"/>
      <c r="X240" s="224"/>
      <c r="Y240" s="224"/>
      <c r="Z240" s="868"/>
      <c r="AA240" s="865"/>
      <c r="AB240" s="2"/>
      <c r="AC240" s="2"/>
      <c r="AD240" s="2"/>
      <c r="AE240" s="2"/>
      <c r="AF240" s="2"/>
      <c r="AG240" s="2"/>
      <c r="AH240" s="2"/>
      <c r="AI240" s="2"/>
      <c r="AJ240" s="2"/>
      <c r="AK240" s="2"/>
      <c r="AL240" s="2"/>
      <c r="AM240" s="2"/>
      <c r="AN240" s="2"/>
      <c r="AO240" s="9"/>
      <c r="AP240" s="9"/>
      <c r="AQ240" s="9"/>
      <c r="AR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224"/>
      <c r="X241" s="224"/>
      <c r="Y241" s="224"/>
      <c r="Z241" s="868"/>
      <c r="AA241" s="865"/>
      <c r="AB241" s="2"/>
      <c r="AC241" s="2"/>
      <c r="AD241" s="2"/>
      <c r="AE241" s="2"/>
      <c r="AF241" s="2"/>
      <c r="AG241" s="2"/>
      <c r="AH241" s="2"/>
      <c r="AI241" s="2"/>
      <c r="AJ241" s="2"/>
      <c r="AK241" s="2"/>
      <c r="AL241" s="2"/>
      <c r="AM241" s="2"/>
      <c r="AN241" s="2"/>
      <c r="AO241" s="9"/>
      <c r="AP241" s="9"/>
      <c r="AQ241" s="9"/>
      <c r="AR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224"/>
      <c r="X242" s="224"/>
      <c r="Y242" s="224"/>
      <c r="Z242" s="868"/>
      <c r="AA242" s="865"/>
      <c r="AB242" s="2"/>
      <c r="AC242" s="2"/>
      <c r="AD242" s="2"/>
      <c r="AE242" s="2"/>
      <c r="AF242" s="2"/>
      <c r="AG242" s="2"/>
      <c r="AH242" s="2"/>
      <c r="AI242" s="2"/>
      <c r="AJ242" s="2"/>
      <c r="AK242" s="2"/>
      <c r="AL242" s="2"/>
      <c r="AM242" s="2"/>
      <c r="AN242" s="2"/>
      <c r="AO242" s="9"/>
      <c r="AP242" s="9"/>
      <c r="AQ242" s="9"/>
      <c r="AR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224"/>
      <c r="X243" s="224"/>
      <c r="Y243" s="224"/>
      <c r="Z243" s="868"/>
      <c r="AA243" s="865"/>
      <c r="AB243" s="2"/>
      <c r="AC243" s="2"/>
      <c r="AD243" s="2"/>
      <c r="AE243" s="2"/>
      <c r="AF243" s="2"/>
      <c r="AG243" s="2"/>
      <c r="AH243" s="2"/>
      <c r="AI243" s="2"/>
      <c r="AJ243" s="2"/>
      <c r="AK243" s="2"/>
      <c r="AL243" s="2"/>
      <c r="AM243" s="2"/>
      <c r="AN243" s="2"/>
      <c r="AO243" s="9"/>
      <c r="AP243" s="9"/>
      <c r="AQ243" s="9"/>
      <c r="AR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224"/>
      <c r="X244" s="224"/>
      <c r="Y244" s="224"/>
      <c r="Z244" s="868"/>
      <c r="AA244" s="865"/>
      <c r="AB244" s="2"/>
      <c r="AC244" s="2"/>
      <c r="AD244" s="2"/>
      <c r="AE244" s="2"/>
      <c r="AF244" s="2"/>
      <c r="AG244" s="2"/>
      <c r="AH244" s="2"/>
      <c r="AI244" s="2"/>
      <c r="AJ244" s="2"/>
      <c r="AK244" s="2"/>
      <c r="AL244" s="2"/>
      <c r="AM244" s="2"/>
      <c r="AN244" s="2"/>
      <c r="AO244" s="9"/>
      <c r="AP244" s="9"/>
      <c r="AQ244" s="9"/>
      <c r="AR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224"/>
      <c r="X245" s="224"/>
      <c r="Y245" s="224"/>
      <c r="Z245" s="868"/>
      <c r="AA245" s="865"/>
      <c r="AB245" s="2"/>
      <c r="AC245" s="2"/>
      <c r="AD245" s="2"/>
      <c r="AE245" s="2"/>
      <c r="AF245" s="2"/>
      <c r="AG245" s="2"/>
      <c r="AH245" s="2"/>
      <c r="AI245" s="2"/>
      <c r="AJ245" s="2"/>
      <c r="AK245" s="2"/>
      <c r="AL245" s="2"/>
      <c r="AM245" s="2"/>
      <c r="AN245" s="2"/>
      <c r="AO245" s="9"/>
      <c r="AP245" s="9"/>
      <c r="AQ245" s="9"/>
      <c r="AR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224"/>
      <c r="X246" s="224"/>
      <c r="Y246" s="224"/>
      <c r="Z246" s="868"/>
      <c r="AA246" s="865"/>
      <c r="AB246" s="2"/>
      <c r="AC246" s="2"/>
      <c r="AD246" s="2"/>
      <c r="AE246" s="2"/>
      <c r="AF246" s="2"/>
      <c r="AG246" s="2"/>
      <c r="AH246" s="2"/>
      <c r="AI246" s="2"/>
      <c r="AJ246" s="2"/>
      <c r="AK246" s="2"/>
      <c r="AL246" s="2"/>
      <c r="AM246" s="2"/>
      <c r="AN246" s="2"/>
      <c r="AO246" s="9"/>
      <c r="AP246" s="9"/>
      <c r="AQ246" s="9"/>
      <c r="AR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224"/>
      <c r="X247" s="224"/>
      <c r="Y247" s="224"/>
      <c r="Z247" s="868"/>
      <c r="AA247" s="865"/>
      <c r="AB247" s="2"/>
      <c r="AC247" s="2"/>
      <c r="AD247" s="2"/>
      <c r="AE247" s="2"/>
      <c r="AF247" s="2"/>
      <c r="AG247" s="2"/>
      <c r="AH247" s="2"/>
      <c r="AI247" s="2"/>
      <c r="AJ247" s="2"/>
      <c r="AK247" s="2"/>
      <c r="AL247" s="2"/>
      <c r="AM247" s="2"/>
      <c r="AN247" s="2"/>
      <c r="AO247" s="9"/>
      <c r="AP247" s="9"/>
      <c r="AQ247" s="9"/>
      <c r="AR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224"/>
      <c r="X248" s="224"/>
      <c r="Y248" s="224"/>
      <c r="Z248" s="868"/>
      <c r="AA248" s="865"/>
      <c r="AB248" s="2"/>
      <c r="AC248" s="2"/>
      <c r="AD248" s="2"/>
      <c r="AE248" s="2"/>
      <c r="AF248" s="2"/>
      <c r="AG248" s="2"/>
      <c r="AH248" s="2"/>
      <c r="AI248" s="2"/>
      <c r="AJ248" s="2"/>
      <c r="AK248" s="2"/>
      <c r="AL248" s="2"/>
      <c r="AM248" s="2"/>
      <c r="AN248" s="2"/>
      <c r="AO248" s="9"/>
      <c r="AP248" s="9"/>
      <c r="AQ248" s="9"/>
      <c r="AR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224"/>
      <c r="X249" s="224"/>
      <c r="Y249" s="224"/>
      <c r="Z249" s="868"/>
      <c r="AA249" s="865"/>
      <c r="AB249" s="2"/>
      <c r="AC249" s="2"/>
      <c r="AD249" s="2"/>
      <c r="AE249" s="2"/>
      <c r="AF249" s="2"/>
      <c r="AG249" s="2"/>
      <c r="AH249" s="2"/>
      <c r="AI249" s="2"/>
      <c r="AJ249" s="2"/>
      <c r="AK249" s="2"/>
      <c r="AL249" s="2"/>
      <c r="AM249" s="2"/>
      <c r="AN249" s="2"/>
      <c r="AO249" s="9"/>
      <c r="AP249" s="9"/>
      <c r="AQ249" s="9"/>
      <c r="AR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224"/>
      <c r="X250" s="224"/>
      <c r="Y250" s="224"/>
      <c r="Z250" s="868"/>
      <c r="AA250" s="865"/>
      <c r="AB250" s="2"/>
      <c r="AC250" s="2"/>
      <c r="AD250" s="2"/>
      <c r="AE250" s="2"/>
      <c r="AF250" s="2"/>
      <c r="AG250" s="2"/>
      <c r="AH250" s="2"/>
      <c r="AI250" s="2"/>
      <c r="AJ250" s="2"/>
      <c r="AK250" s="2"/>
      <c r="AL250" s="2"/>
      <c r="AM250" s="2"/>
      <c r="AN250" s="2"/>
      <c r="AO250" s="9"/>
      <c r="AP250" s="9"/>
      <c r="AQ250" s="9"/>
      <c r="AR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224"/>
      <c r="X251" s="224"/>
      <c r="Y251" s="224"/>
      <c r="Z251" s="868"/>
      <c r="AA251" s="865"/>
      <c r="AB251" s="2"/>
      <c r="AC251" s="2"/>
      <c r="AD251" s="2"/>
      <c r="AE251" s="2"/>
      <c r="AF251" s="2"/>
      <c r="AG251" s="2"/>
      <c r="AH251" s="2"/>
      <c r="AI251" s="2"/>
      <c r="AJ251" s="2"/>
      <c r="AK251" s="2"/>
      <c r="AL251" s="2"/>
      <c r="AM251" s="2"/>
      <c r="AN251" s="2"/>
      <c r="AO251" s="9"/>
      <c r="AP251" s="9"/>
      <c r="AQ251" s="9"/>
      <c r="AR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224"/>
      <c r="X252" s="224"/>
      <c r="Y252" s="224"/>
      <c r="Z252" s="868"/>
      <c r="AA252" s="865"/>
      <c r="AB252" s="2"/>
      <c r="AC252" s="2"/>
      <c r="AD252" s="2"/>
      <c r="AE252" s="2"/>
      <c r="AF252" s="2"/>
      <c r="AG252" s="2"/>
      <c r="AH252" s="2"/>
      <c r="AI252" s="2"/>
      <c r="AJ252" s="2"/>
      <c r="AK252" s="2"/>
      <c r="AL252" s="2"/>
      <c r="AM252" s="2"/>
      <c r="AN252" s="2"/>
      <c r="AO252" s="9"/>
      <c r="AP252" s="9"/>
      <c r="AQ252" s="9"/>
      <c r="AR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224"/>
      <c r="X253" s="224"/>
      <c r="Y253" s="224"/>
      <c r="Z253" s="868"/>
      <c r="AA253" s="865"/>
      <c r="AB253" s="2"/>
      <c r="AC253" s="2"/>
      <c r="AD253" s="2"/>
      <c r="AE253" s="2"/>
      <c r="AF253" s="2"/>
      <c r="AG253" s="2"/>
      <c r="AH253" s="2"/>
      <c r="AI253" s="2"/>
      <c r="AJ253" s="2"/>
      <c r="AK253" s="2"/>
      <c r="AL253" s="2"/>
      <c r="AM253" s="2"/>
      <c r="AN253" s="2"/>
      <c r="AO253" s="9"/>
      <c r="AP253" s="9"/>
      <c r="AQ253" s="9"/>
      <c r="AR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224"/>
      <c r="X254" s="224"/>
      <c r="Y254" s="224"/>
      <c r="Z254" s="868"/>
      <c r="AA254" s="865"/>
      <c r="AB254" s="2"/>
      <c r="AC254" s="2"/>
      <c r="AD254" s="2"/>
      <c r="AE254" s="2"/>
      <c r="AF254" s="2"/>
      <c r="AG254" s="2"/>
      <c r="AH254" s="2"/>
      <c r="AI254" s="2"/>
      <c r="AJ254" s="2"/>
      <c r="AK254" s="2"/>
      <c r="AL254" s="2"/>
      <c r="AM254" s="2"/>
      <c r="AN254" s="2"/>
      <c r="AO254" s="9"/>
      <c r="AP254" s="9"/>
      <c r="AQ254" s="9"/>
      <c r="AR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224"/>
      <c r="X255" s="224"/>
      <c r="Y255" s="224"/>
      <c r="Z255" s="868"/>
      <c r="AA255" s="865"/>
      <c r="AB255" s="2"/>
      <c r="AC255" s="2"/>
      <c r="AD255" s="2"/>
      <c r="AE255" s="2"/>
      <c r="AF255" s="2"/>
      <c r="AG255" s="2"/>
      <c r="AH255" s="2"/>
      <c r="AI255" s="2"/>
      <c r="AJ255" s="2"/>
      <c r="AK255" s="2"/>
      <c r="AL255" s="2"/>
      <c r="AM255" s="2"/>
      <c r="AN255" s="2"/>
      <c r="AO255" s="9"/>
      <c r="AP255" s="9"/>
      <c r="AQ255" s="9"/>
      <c r="AR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224"/>
      <c r="X256" s="224"/>
      <c r="Y256" s="224"/>
      <c r="Z256" s="868"/>
      <c r="AA256" s="865"/>
      <c r="AB256" s="2"/>
      <c r="AC256" s="2"/>
      <c r="AD256" s="2"/>
      <c r="AE256" s="2"/>
      <c r="AF256" s="2"/>
      <c r="AG256" s="2"/>
      <c r="AH256" s="2"/>
      <c r="AI256" s="2"/>
      <c r="AJ256" s="2"/>
      <c r="AK256" s="2"/>
      <c r="AL256" s="2"/>
      <c r="AM256" s="2"/>
      <c r="AN256" s="2"/>
      <c r="AO256" s="9"/>
      <c r="AP256" s="9"/>
      <c r="AQ256" s="9"/>
      <c r="AR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224"/>
      <c r="X257" s="224"/>
      <c r="Y257" s="224"/>
      <c r="Z257" s="868"/>
      <c r="AA257" s="865"/>
      <c r="AB257" s="2"/>
      <c r="AC257" s="2"/>
      <c r="AD257" s="2"/>
      <c r="AE257" s="2"/>
      <c r="AF257" s="2"/>
      <c r="AG257" s="2"/>
      <c r="AH257" s="2"/>
      <c r="AI257" s="2"/>
      <c r="AJ257" s="2"/>
      <c r="AK257" s="2"/>
      <c r="AL257" s="2"/>
      <c r="AM257" s="2"/>
      <c r="AN257" s="2"/>
      <c r="AO257" s="9"/>
      <c r="AP257" s="9"/>
      <c r="AQ257" s="9"/>
      <c r="AR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224"/>
      <c r="X258" s="224"/>
      <c r="Y258" s="224"/>
      <c r="Z258" s="868"/>
      <c r="AA258" s="865"/>
      <c r="AB258" s="2"/>
      <c r="AC258" s="2"/>
      <c r="AD258" s="2"/>
      <c r="AE258" s="2"/>
      <c r="AF258" s="2"/>
      <c r="AG258" s="2"/>
      <c r="AH258" s="2"/>
      <c r="AI258" s="2"/>
      <c r="AJ258" s="2"/>
      <c r="AK258" s="2"/>
      <c r="AL258" s="2"/>
      <c r="AM258" s="2"/>
      <c r="AN258" s="2"/>
      <c r="AO258" s="9"/>
      <c r="AP258" s="9"/>
      <c r="AQ258" s="9"/>
      <c r="AR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224"/>
      <c r="X259" s="224"/>
      <c r="Y259" s="224"/>
      <c r="Z259" s="868"/>
      <c r="AA259" s="865"/>
      <c r="AB259" s="2"/>
      <c r="AC259" s="2"/>
      <c r="AD259" s="2"/>
      <c r="AE259" s="2"/>
      <c r="AF259" s="2"/>
      <c r="AG259" s="2"/>
      <c r="AH259" s="2"/>
      <c r="AI259" s="2"/>
      <c r="AJ259" s="2"/>
      <c r="AK259" s="2"/>
      <c r="AL259" s="2"/>
      <c r="AM259" s="2"/>
      <c r="AN259" s="2"/>
      <c r="AO259" s="9"/>
      <c r="AP259" s="9"/>
      <c r="AQ259" s="9"/>
      <c r="AR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224"/>
      <c r="X260" s="224"/>
      <c r="Y260" s="224"/>
      <c r="Z260" s="868"/>
      <c r="AA260" s="865"/>
      <c r="AB260" s="2"/>
      <c r="AC260" s="2"/>
      <c r="AD260" s="2"/>
      <c r="AE260" s="2"/>
      <c r="AF260" s="2"/>
      <c r="AG260" s="2"/>
      <c r="AH260" s="2"/>
      <c r="AI260" s="2"/>
      <c r="AJ260" s="2"/>
      <c r="AK260" s="2"/>
      <c r="AL260" s="2"/>
      <c r="AM260" s="2"/>
      <c r="AN260" s="2"/>
      <c r="AO260" s="9"/>
      <c r="AP260" s="9"/>
      <c r="AQ260" s="9"/>
      <c r="AR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224"/>
      <c r="X261" s="224"/>
      <c r="Y261" s="224"/>
      <c r="Z261" s="868"/>
      <c r="AA261" s="865"/>
      <c r="AB261" s="2"/>
      <c r="AC261" s="2"/>
      <c r="AD261" s="2"/>
      <c r="AE261" s="2"/>
      <c r="AF261" s="2"/>
      <c r="AG261" s="2"/>
      <c r="AH261" s="2"/>
      <c r="AI261" s="2"/>
      <c r="AJ261" s="2"/>
      <c r="AK261" s="2"/>
      <c r="AL261" s="2"/>
      <c r="AM261" s="2"/>
      <c r="AN261" s="2"/>
      <c r="AO261" s="9"/>
      <c r="AP261" s="9"/>
      <c r="AQ261" s="9"/>
      <c r="AR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224"/>
      <c r="X262" s="224"/>
      <c r="Y262" s="224"/>
      <c r="Z262" s="868"/>
      <c r="AA262" s="865"/>
      <c r="AB262" s="2"/>
      <c r="AC262" s="2"/>
      <c r="AD262" s="2"/>
      <c r="AE262" s="2"/>
      <c r="AF262" s="2"/>
      <c r="AG262" s="2"/>
      <c r="AH262" s="2"/>
      <c r="AI262" s="2"/>
      <c r="AJ262" s="2"/>
      <c r="AK262" s="2"/>
      <c r="AL262" s="2"/>
      <c r="AM262" s="2"/>
      <c r="AN262" s="2"/>
      <c r="AO262" s="9"/>
      <c r="AP262" s="9"/>
      <c r="AQ262" s="9"/>
      <c r="AR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224"/>
      <c r="X263" s="224"/>
      <c r="Y263" s="224"/>
      <c r="Z263" s="868"/>
      <c r="AA263" s="865"/>
      <c r="AB263" s="2"/>
      <c r="AC263" s="2"/>
      <c r="AD263" s="2"/>
      <c r="AE263" s="2"/>
      <c r="AF263" s="2"/>
      <c r="AG263" s="2"/>
      <c r="AH263" s="2"/>
      <c r="AI263" s="2"/>
      <c r="AJ263" s="2"/>
      <c r="AK263" s="2"/>
      <c r="AL263" s="2"/>
      <c r="AM263" s="2"/>
      <c r="AN263" s="2"/>
      <c r="AO263" s="9"/>
      <c r="AP263" s="9"/>
      <c r="AQ263" s="9"/>
      <c r="AR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224"/>
      <c r="X264" s="224"/>
      <c r="Y264" s="224"/>
      <c r="Z264" s="868"/>
      <c r="AA264" s="865"/>
      <c r="AB264" s="2"/>
      <c r="AC264" s="2"/>
      <c r="AD264" s="2"/>
      <c r="AE264" s="2"/>
      <c r="AF264" s="2"/>
      <c r="AG264" s="2"/>
      <c r="AH264" s="2"/>
      <c r="AI264" s="2"/>
      <c r="AJ264" s="2"/>
      <c r="AK264" s="2"/>
      <c r="AL264" s="2"/>
      <c r="AM264" s="2"/>
      <c r="AN264" s="2"/>
      <c r="AO264" s="9"/>
      <c r="AP264" s="9"/>
      <c r="AQ264" s="9"/>
      <c r="AR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224"/>
      <c r="X265" s="224"/>
      <c r="Y265" s="224"/>
      <c r="Z265" s="868"/>
      <c r="AA265" s="865"/>
      <c r="AB265" s="2"/>
      <c r="AC265" s="2"/>
      <c r="AD265" s="2"/>
      <c r="AE265" s="2"/>
      <c r="AF265" s="2"/>
      <c r="AG265" s="2"/>
      <c r="AH265" s="2"/>
      <c r="AI265" s="2"/>
      <c r="AJ265" s="2"/>
      <c r="AK265" s="2"/>
      <c r="AL265" s="2"/>
      <c r="AM265" s="2"/>
      <c r="AN265" s="2"/>
      <c r="AO265" s="9"/>
      <c r="AP265" s="9"/>
      <c r="AQ265" s="9"/>
      <c r="AR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224"/>
      <c r="X266" s="224"/>
      <c r="Y266" s="224"/>
      <c r="Z266" s="868"/>
      <c r="AA266" s="865"/>
      <c r="AB266" s="2"/>
      <c r="AC266" s="2"/>
      <c r="AD266" s="2"/>
      <c r="AE266" s="2"/>
      <c r="AF266" s="2"/>
      <c r="AG266" s="2"/>
      <c r="AH266" s="2"/>
      <c r="AI266" s="2"/>
      <c r="AJ266" s="2"/>
      <c r="AK266" s="2"/>
      <c r="AL266" s="2"/>
      <c r="AM266" s="2"/>
      <c r="AN266" s="2"/>
      <c r="AO266" s="9"/>
      <c r="AP266" s="9"/>
      <c r="AQ266" s="9"/>
      <c r="AR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224"/>
      <c r="X267" s="224"/>
      <c r="Y267" s="224"/>
      <c r="Z267" s="868"/>
      <c r="AA267" s="865"/>
      <c r="AB267" s="2"/>
      <c r="AC267" s="2"/>
      <c r="AD267" s="2"/>
      <c r="AE267" s="2"/>
      <c r="AF267" s="2"/>
      <c r="AG267" s="2"/>
      <c r="AH267" s="2"/>
      <c r="AI267" s="2"/>
      <c r="AJ267" s="2"/>
      <c r="AK267" s="2"/>
      <c r="AL267" s="2"/>
      <c r="AM267" s="2"/>
      <c r="AN267" s="2"/>
      <c r="AO267" s="9"/>
      <c r="AP267" s="9"/>
      <c r="AQ267" s="9"/>
      <c r="AR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224"/>
      <c r="X268" s="224"/>
      <c r="Y268" s="224"/>
      <c r="Z268" s="868"/>
      <c r="AA268" s="865"/>
      <c r="AB268" s="2"/>
      <c r="AC268" s="2"/>
      <c r="AD268" s="2"/>
      <c r="AE268" s="2"/>
      <c r="AF268" s="2"/>
      <c r="AG268" s="2"/>
      <c r="AH268" s="2"/>
      <c r="AI268" s="2"/>
      <c r="AJ268" s="2"/>
      <c r="AK268" s="2"/>
      <c r="AL268" s="2"/>
      <c r="AM268" s="2"/>
      <c r="AN268" s="2"/>
      <c r="AO268" s="9"/>
      <c r="AP268" s="9"/>
      <c r="AQ268" s="9"/>
      <c r="AR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224"/>
      <c r="X269" s="224"/>
      <c r="Y269" s="224"/>
      <c r="Z269" s="868"/>
      <c r="AA269" s="865"/>
      <c r="AB269" s="2"/>
      <c r="AC269" s="2"/>
      <c r="AD269" s="2"/>
      <c r="AE269" s="2"/>
      <c r="AF269" s="2"/>
      <c r="AG269" s="2"/>
      <c r="AH269" s="2"/>
      <c r="AI269" s="2"/>
      <c r="AJ269" s="2"/>
      <c r="AK269" s="2"/>
      <c r="AL269" s="2"/>
      <c r="AM269" s="2"/>
      <c r="AN269" s="2"/>
      <c r="AO269" s="9"/>
      <c r="AP269" s="9"/>
      <c r="AQ269" s="9"/>
      <c r="AR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224"/>
      <c r="X270" s="224"/>
      <c r="Y270" s="224"/>
      <c r="Z270" s="868"/>
      <c r="AA270" s="865"/>
      <c r="AB270" s="2"/>
      <c r="AC270" s="2"/>
      <c r="AD270" s="2"/>
      <c r="AE270" s="2"/>
      <c r="AF270" s="2"/>
      <c r="AG270" s="2"/>
      <c r="AH270" s="2"/>
      <c r="AI270" s="2"/>
      <c r="AJ270" s="2"/>
      <c r="AK270" s="2"/>
      <c r="AL270" s="2"/>
      <c r="AM270" s="2"/>
      <c r="AN270" s="2"/>
      <c r="AO270" s="9"/>
      <c r="AP270" s="9"/>
      <c r="AQ270" s="9"/>
      <c r="AR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224"/>
      <c r="X271" s="224"/>
      <c r="Y271" s="224"/>
      <c r="Z271" s="868"/>
      <c r="AA271" s="865"/>
      <c r="AB271" s="2"/>
      <c r="AC271" s="2"/>
      <c r="AD271" s="2"/>
      <c r="AE271" s="2"/>
      <c r="AF271" s="2"/>
      <c r="AG271" s="2"/>
      <c r="AH271" s="2"/>
      <c r="AI271" s="2"/>
      <c r="AJ271" s="2"/>
      <c r="AK271" s="2"/>
      <c r="AL271" s="2"/>
      <c r="AM271" s="2"/>
      <c r="AN271" s="2"/>
      <c r="AO271" s="9"/>
      <c r="AP271" s="9"/>
      <c r="AQ271" s="9"/>
      <c r="AR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224"/>
      <c r="X272" s="224"/>
      <c r="Y272" s="224"/>
      <c r="Z272" s="868"/>
      <c r="AA272" s="865"/>
      <c r="AB272" s="2"/>
      <c r="AC272" s="2"/>
      <c r="AD272" s="2"/>
      <c r="AE272" s="2"/>
      <c r="AF272" s="2"/>
      <c r="AG272" s="2"/>
      <c r="AH272" s="2"/>
      <c r="AI272" s="2"/>
      <c r="AJ272" s="2"/>
      <c r="AK272" s="2"/>
      <c r="AL272" s="2"/>
      <c r="AM272" s="2"/>
      <c r="AN272" s="2"/>
      <c r="AO272" s="9"/>
      <c r="AP272" s="9"/>
      <c r="AQ272" s="9"/>
      <c r="AR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224"/>
      <c r="X273" s="224"/>
      <c r="Y273" s="224"/>
      <c r="Z273" s="868"/>
      <c r="AA273" s="865"/>
      <c r="AB273" s="2"/>
      <c r="AC273" s="2"/>
      <c r="AD273" s="2"/>
      <c r="AE273" s="2"/>
      <c r="AF273" s="2"/>
      <c r="AG273" s="2"/>
      <c r="AH273" s="2"/>
      <c r="AI273" s="2"/>
      <c r="AJ273" s="2"/>
      <c r="AK273" s="2"/>
      <c r="AL273" s="2"/>
      <c r="AM273" s="2"/>
      <c r="AN273" s="2"/>
      <c r="AO273" s="9"/>
      <c r="AP273" s="9"/>
      <c r="AQ273" s="9"/>
      <c r="AR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224"/>
      <c r="X274" s="224"/>
      <c r="Y274" s="224"/>
      <c r="Z274" s="868"/>
      <c r="AA274" s="865"/>
      <c r="AB274" s="2"/>
      <c r="AC274" s="2"/>
      <c r="AD274" s="2"/>
      <c r="AE274" s="2"/>
      <c r="AF274" s="2"/>
      <c r="AG274" s="2"/>
      <c r="AH274" s="2"/>
      <c r="AI274" s="2"/>
      <c r="AJ274" s="2"/>
      <c r="AK274" s="2"/>
      <c r="AL274" s="2"/>
      <c r="AM274" s="2"/>
      <c r="AN274" s="2"/>
      <c r="AO274" s="9"/>
      <c r="AP274" s="9"/>
      <c r="AQ274" s="9"/>
      <c r="AR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224"/>
      <c r="X275" s="224"/>
      <c r="Y275" s="224"/>
      <c r="Z275" s="868"/>
      <c r="AA275" s="865"/>
      <c r="AB275" s="2"/>
      <c r="AC275" s="2"/>
      <c r="AD275" s="2"/>
      <c r="AE275" s="2"/>
      <c r="AF275" s="2"/>
      <c r="AG275" s="2"/>
      <c r="AH275" s="2"/>
      <c r="AI275" s="2"/>
      <c r="AJ275" s="2"/>
      <c r="AK275" s="2"/>
      <c r="AL275" s="2"/>
      <c r="AM275" s="2"/>
      <c r="AN275" s="2"/>
      <c r="AO275" s="9"/>
      <c r="AP275" s="9"/>
      <c r="AQ275" s="9"/>
      <c r="AR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224"/>
      <c r="X276" s="224"/>
      <c r="Y276" s="224"/>
      <c r="Z276" s="868"/>
      <c r="AA276" s="865"/>
      <c r="AB276" s="2"/>
      <c r="AC276" s="2"/>
      <c r="AD276" s="2"/>
      <c r="AE276" s="2"/>
      <c r="AF276" s="2"/>
      <c r="AG276" s="2"/>
      <c r="AH276" s="2"/>
      <c r="AI276" s="2"/>
      <c r="AJ276" s="2"/>
      <c r="AK276" s="2"/>
      <c r="AL276" s="2"/>
      <c r="AM276" s="2"/>
      <c r="AN276" s="2"/>
      <c r="AO276" s="9"/>
      <c r="AP276" s="9"/>
      <c r="AQ276" s="9"/>
      <c r="AR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224"/>
      <c r="X277" s="224"/>
      <c r="Y277" s="224"/>
      <c r="Z277" s="868"/>
      <c r="AA277" s="865"/>
      <c r="AB277" s="2"/>
      <c r="AC277" s="2"/>
      <c r="AD277" s="2"/>
      <c r="AE277" s="2"/>
      <c r="AF277" s="2"/>
      <c r="AG277" s="2"/>
      <c r="AH277" s="2"/>
      <c r="AI277" s="2"/>
      <c r="AJ277" s="2"/>
      <c r="AK277" s="2"/>
      <c r="AL277" s="2"/>
      <c r="AM277" s="2"/>
      <c r="AN277" s="2"/>
      <c r="AO277" s="9"/>
      <c r="AP277" s="9"/>
      <c r="AQ277" s="9"/>
      <c r="AR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224"/>
      <c r="X278" s="224"/>
      <c r="Y278" s="224"/>
      <c r="Z278" s="868"/>
      <c r="AA278" s="865"/>
      <c r="AB278" s="2"/>
      <c r="AC278" s="2"/>
      <c r="AD278" s="2"/>
      <c r="AE278" s="2"/>
      <c r="AF278" s="2"/>
      <c r="AG278" s="2"/>
      <c r="AH278" s="2"/>
      <c r="AI278" s="2"/>
      <c r="AJ278" s="2"/>
      <c r="AK278" s="2"/>
      <c r="AL278" s="2"/>
      <c r="AM278" s="2"/>
      <c r="AN278" s="2"/>
      <c r="AO278" s="9"/>
      <c r="AP278" s="9"/>
      <c r="AQ278" s="9"/>
      <c r="AR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224"/>
      <c r="X279" s="224"/>
      <c r="Y279" s="224"/>
      <c r="Z279" s="868"/>
      <c r="AA279" s="865"/>
      <c r="AB279" s="2"/>
      <c r="AC279" s="2"/>
      <c r="AD279" s="2"/>
      <c r="AE279" s="2"/>
      <c r="AF279" s="2"/>
      <c r="AG279" s="2"/>
      <c r="AH279" s="2"/>
      <c r="AI279" s="2"/>
      <c r="AJ279" s="2"/>
      <c r="AK279" s="2"/>
      <c r="AL279" s="2"/>
      <c r="AM279" s="2"/>
      <c r="AN279" s="2"/>
      <c r="AO279" s="9"/>
      <c r="AP279" s="9"/>
      <c r="AQ279" s="9"/>
      <c r="AR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224"/>
      <c r="X280" s="224"/>
      <c r="Y280" s="224"/>
      <c r="Z280" s="868"/>
      <c r="AA280" s="865"/>
      <c r="AB280" s="2"/>
      <c r="AC280" s="2"/>
      <c r="AD280" s="2"/>
      <c r="AE280" s="2"/>
      <c r="AF280" s="2"/>
      <c r="AG280" s="2"/>
      <c r="AH280" s="2"/>
      <c r="AI280" s="2"/>
      <c r="AJ280" s="2"/>
      <c r="AK280" s="2"/>
      <c r="AL280" s="2"/>
      <c r="AM280" s="2"/>
      <c r="AN280" s="2"/>
      <c r="AO280" s="9"/>
      <c r="AP280" s="9"/>
      <c r="AQ280" s="9"/>
      <c r="AR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224"/>
      <c r="X281" s="224"/>
      <c r="Y281" s="224"/>
      <c r="Z281" s="868"/>
      <c r="AA281" s="865"/>
      <c r="AB281" s="2"/>
      <c r="AC281" s="2"/>
      <c r="AD281" s="2"/>
      <c r="AE281" s="2"/>
      <c r="AF281" s="2"/>
      <c r="AG281" s="2"/>
      <c r="AH281" s="2"/>
      <c r="AI281" s="2"/>
      <c r="AJ281" s="2"/>
      <c r="AK281" s="2"/>
      <c r="AL281" s="2"/>
      <c r="AM281" s="2"/>
      <c r="AN281" s="2"/>
      <c r="AO281" s="9"/>
      <c r="AP281" s="9"/>
      <c r="AQ281" s="9"/>
      <c r="AR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224"/>
      <c r="X282" s="224"/>
      <c r="Y282" s="224"/>
      <c r="Z282" s="868"/>
      <c r="AA282" s="865"/>
      <c r="AB282" s="2"/>
      <c r="AC282" s="2"/>
      <c r="AD282" s="2"/>
      <c r="AE282" s="2"/>
      <c r="AF282" s="2"/>
      <c r="AG282" s="2"/>
      <c r="AH282" s="2"/>
      <c r="AI282" s="2"/>
      <c r="AJ282" s="2"/>
      <c r="AK282" s="2"/>
      <c r="AL282" s="2"/>
      <c r="AM282" s="2"/>
      <c r="AN282" s="2"/>
      <c r="AO282" s="9"/>
      <c r="AP282" s="9"/>
      <c r="AQ282" s="9"/>
      <c r="AR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224"/>
      <c r="X283" s="224"/>
      <c r="Y283" s="224"/>
      <c r="Z283" s="868"/>
      <c r="AA283" s="865"/>
      <c r="AB283" s="2"/>
      <c r="AC283" s="2"/>
      <c r="AD283" s="2"/>
      <c r="AE283" s="2"/>
      <c r="AF283" s="2"/>
      <c r="AG283" s="2"/>
      <c r="AH283" s="2"/>
      <c r="AI283" s="2"/>
      <c r="AJ283" s="2"/>
      <c r="AK283" s="2"/>
      <c r="AL283" s="2"/>
      <c r="AM283" s="2"/>
      <c r="AN283" s="2"/>
      <c r="AO283" s="9"/>
      <c r="AP283" s="9"/>
      <c r="AQ283" s="9"/>
      <c r="AR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224"/>
      <c r="X284" s="224"/>
      <c r="Y284" s="224"/>
      <c r="Z284" s="868"/>
      <c r="AA284" s="865"/>
      <c r="AB284" s="2"/>
      <c r="AC284" s="2"/>
      <c r="AD284" s="2"/>
      <c r="AE284" s="2"/>
      <c r="AF284" s="2"/>
      <c r="AG284" s="2"/>
      <c r="AH284" s="2"/>
      <c r="AI284" s="2"/>
      <c r="AJ284" s="2"/>
      <c r="AK284" s="2"/>
      <c r="AL284" s="2"/>
      <c r="AM284" s="2"/>
      <c r="AN284" s="2"/>
      <c r="AO284" s="9"/>
      <c r="AP284" s="9"/>
      <c r="AQ284" s="9"/>
      <c r="AR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224"/>
      <c r="X285" s="224"/>
      <c r="Y285" s="224"/>
      <c r="Z285" s="868"/>
      <c r="AA285" s="865"/>
      <c r="AB285" s="2"/>
      <c r="AC285" s="2"/>
      <c r="AD285" s="2"/>
      <c r="AE285" s="2"/>
      <c r="AF285" s="2"/>
      <c r="AG285" s="2"/>
      <c r="AH285" s="2"/>
      <c r="AI285" s="2"/>
      <c r="AJ285" s="2"/>
      <c r="AK285" s="2"/>
      <c r="AL285" s="2"/>
      <c r="AM285" s="2"/>
      <c r="AN285" s="2"/>
      <c r="AO285" s="9"/>
      <c r="AP285" s="9"/>
      <c r="AQ285" s="9"/>
      <c r="AR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224"/>
      <c r="X286" s="224"/>
      <c r="Y286" s="224"/>
      <c r="Z286" s="868"/>
      <c r="AA286" s="865"/>
      <c r="AB286" s="2"/>
      <c r="AC286" s="2"/>
      <c r="AD286" s="2"/>
      <c r="AE286" s="2"/>
      <c r="AF286" s="2"/>
      <c r="AG286" s="2"/>
      <c r="AH286" s="2"/>
      <c r="AI286" s="2"/>
      <c r="AJ286" s="2"/>
      <c r="AK286" s="2"/>
      <c r="AL286" s="2"/>
      <c r="AM286" s="2"/>
      <c r="AN286" s="2"/>
      <c r="AO286" s="9"/>
      <c r="AP286" s="9"/>
      <c r="AQ286" s="9"/>
      <c r="AR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224"/>
      <c r="X287" s="224"/>
      <c r="Y287" s="224"/>
      <c r="Z287" s="868"/>
      <c r="AA287" s="865"/>
      <c r="AB287" s="2"/>
      <c r="AC287" s="2"/>
      <c r="AD287" s="2"/>
      <c r="AE287" s="2"/>
      <c r="AF287" s="2"/>
      <c r="AG287" s="2"/>
      <c r="AH287" s="2"/>
      <c r="AI287" s="2"/>
      <c r="AJ287" s="2"/>
      <c r="AK287" s="2"/>
      <c r="AL287" s="2"/>
      <c r="AM287" s="2"/>
      <c r="AN287" s="2"/>
      <c r="AO287" s="9"/>
      <c r="AP287" s="9"/>
      <c r="AQ287" s="9"/>
      <c r="AR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224"/>
      <c r="X288" s="224"/>
      <c r="Y288" s="224"/>
      <c r="Z288" s="868"/>
      <c r="AA288" s="865"/>
      <c r="AB288" s="2"/>
      <c r="AC288" s="2"/>
      <c r="AD288" s="2"/>
      <c r="AE288" s="2"/>
      <c r="AF288" s="2"/>
      <c r="AG288" s="2"/>
      <c r="AH288" s="2"/>
      <c r="AI288" s="2"/>
      <c r="AJ288" s="2"/>
      <c r="AK288" s="2"/>
      <c r="AL288" s="2"/>
      <c r="AM288" s="2"/>
      <c r="AN288" s="2"/>
      <c r="AO288" s="9"/>
      <c r="AP288" s="9"/>
      <c r="AQ288" s="9"/>
      <c r="AR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224"/>
      <c r="X289" s="224"/>
      <c r="Y289" s="224"/>
      <c r="Z289" s="868"/>
      <c r="AA289" s="865"/>
      <c r="AB289" s="2"/>
      <c r="AC289" s="2"/>
      <c r="AD289" s="2"/>
      <c r="AE289" s="2"/>
      <c r="AF289" s="2"/>
      <c r="AG289" s="2"/>
      <c r="AH289" s="2"/>
      <c r="AI289" s="2"/>
      <c r="AJ289" s="2"/>
      <c r="AK289" s="2"/>
      <c r="AL289" s="2"/>
      <c r="AM289" s="2"/>
      <c r="AN289" s="2"/>
      <c r="AO289" s="9"/>
      <c r="AP289" s="9"/>
      <c r="AQ289" s="9"/>
      <c r="AR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224"/>
      <c r="X290" s="224"/>
      <c r="Y290" s="224"/>
      <c r="Z290" s="868"/>
      <c r="AA290" s="865"/>
      <c r="AB290" s="2"/>
      <c r="AC290" s="2"/>
      <c r="AD290" s="2"/>
      <c r="AE290" s="2"/>
      <c r="AF290" s="2"/>
      <c r="AG290" s="2"/>
      <c r="AH290" s="2"/>
      <c r="AI290" s="2"/>
      <c r="AJ290" s="2"/>
      <c r="AK290" s="2"/>
      <c r="AL290" s="2"/>
      <c r="AM290" s="2"/>
      <c r="AN290" s="2"/>
      <c r="AO290" s="9"/>
      <c r="AP290" s="9"/>
      <c r="AQ290" s="9"/>
      <c r="AR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224"/>
      <c r="X291" s="224"/>
      <c r="Y291" s="224"/>
      <c r="Z291" s="868"/>
      <c r="AA291" s="865"/>
      <c r="AB291" s="2"/>
      <c r="AC291" s="2"/>
      <c r="AD291" s="2"/>
      <c r="AE291" s="2"/>
      <c r="AF291" s="2"/>
      <c r="AG291" s="2"/>
      <c r="AH291" s="2"/>
      <c r="AI291" s="2"/>
      <c r="AJ291" s="2"/>
      <c r="AK291" s="2"/>
      <c r="AL291" s="2"/>
      <c r="AM291" s="2"/>
      <c r="AN291" s="2"/>
      <c r="AO291" s="9"/>
      <c r="AP291" s="9"/>
      <c r="AQ291" s="9"/>
      <c r="AR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224"/>
      <c r="X292" s="224"/>
      <c r="Y292" s="224"/>
      <c r="Z292" s="868"/>
      <c r="AA292" s="865"/>
      <c r="AB292" s="2"/>
      <c r="AC292" s="2"/>
      <c r="AD292" s="2"/>
      <c r="AE292" s="2"/>
      <c r="AF292" s="2"/>
      <c r="AG292" s="2"/>
      <c r="AH292" s="2"/>
      <c r="AI292" s="2"/>
      <c r="AJ292" s="2"/>
      <c r="AK292" s="2"/>
      <c r="AL292" s="2"/>
      <c r="AM292" s="2"/>
      <c r="AN292" s="2"/>
      <c r="AO292" s="9"/>
      <c r="AP292" s="9"/>
      <c r="AQ292" s="9"/>
      <c r="AR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224"/>
      <c r="X293" s="224"/>
      <c r="Y293" s="224"/>
      <c r="Z293" s="868"/>
      <c r="AA293" s="865"/>
      <c r="AB293" s="2"/>
      <c r="AC293" s="2"/>
      <c r="AD293" s="2"/>
      <c r="AE293" s="2"/>
      <c r="AF293" s="2"/>
      <c r="AG293" s="2"/>
      <c r="AH293" s="2"/>
      <c r="AI293" s="2"/>
      <c r="AJ293" s="2"/>
      <c r="AK293" s="2"/>
      <c r="AL293" s="2"/>
      <c r="AM293" s="2"/>
      <c r="AN293" s="2"/>
      <c r="AO293" s="9"/>
      <c r="AP293" s="9"/>
      <c r="AQ293" s="9"/>
      <c r="AR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224"/>
      <c r="X294" s="224"/>
      <c r="Y294" s="224"/>
      <c r="Z294" s="868"/>
      <c r="AA294" s="865"/>
      <c r="AB294" s="2"/>
      <c r="AC294" s="2"/>
      <c r="AD294" s="2"/>
      <c r="AE294" s="2"/>
      <c r="AF294" s="2"/>
      <c r="AG294" s="2"/>
      <c r="AH294" s="2"/>
      <c r="AI294" s="2"/>
      <c r="AJ294" s="2"/>
      <c r="AK294" s="2"/>
      <c r="AL294" s="2"/>
      <c r="AM294" s="2"/>
      <c r="AN294" s="2"/>
      <c r="AO294" s="9"/>
      <c r="AP294" s="9"/>
      <c r="AQ294" s="9"/>
      <c r="AR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224"/>
      <c r="X295" s="224"/>
      <c r="Y295" s="224"/>
      <c r="Z295" s="868"/>
      <c r="AA295" s="865"/>
      <c r="AB295" s="2"/>
      <c r="AC295" s="2"/>
      <c r="AD295" s="2"/>
      <c r="AE295" s="2"/>
      <c r="AF295" s="2"/>
      <c r="AG295" s="2"/>
      <c r="AH295" s="2"/>
      <c r="AI295" s="2"/>
      <c r="AJ295" s="2"/>
      <c r="AK295" s="2"/>
      <c r="AL295" s="2"/>
      <c r="AM295" s="2"/>
      <c r="AN295" s="2"/>
      <c r="AO295" s="9"/>
      <c r="AP295" s="9"/>
      <c r="AQ295" s="9"/>
      <c r="AR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224"/>
      <c r="X296" s="224"/>
      <c r="Y296" s="224"/>
      <c r="Z296" s="868"/>
      <c r="AA296" s="865"/>
      <c r="AB296" s="2"/>
      <c r="AC296" s="2"/>
      <c r="AD296" s="2"/>
      <c r="AE296" s="2"/>
      <c r="AF296" s="2"/>
      <c r="AG296" s="2"/>
      <c r="AH296" s="2"/>
      <c r="AI296" s="2"/>
      <c r="AJ296" s="2"/>
      <c r="AK296" s="2"/>
      <c r="AL296" s="2"/>
      <c r="AM296" s="2"/>
      <c r="AN296" s="2"/>
      <c r="AO296" s="9"/>
      <c r="AP296" s="9"/>
      <c r="AQ296" s="9"/>
      <c r="AR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224"/>
      <c r="X297" s="224"/>
      <c r="Y297" s="224"/>
      <c r="Z297" s="868"/>
      <c r="AA297" s="865"/>
      <c r="AB297" s="2"/>
      <c r="AC297" s="2"/>
      <c r="AD297" s="2"/>
      <c r="AE297" s="2"/>
      <c r="AF297" s="2"/>
      <c r="AG297" s="2"/>
      <c r="AH297" s="2"/>
      <c r="AI297" s="2"/>
      <c r="AJ297" s="2"/>
      <c r="AK297" s="2"/>
      <c r="AL297" s="2"/>
      <c r="AM297" s="2"/>
      <c r="AN297" s="2"/>
      <c r="AO297" s="9"/>
      <c r="AP297" s="9"/>
      <c r="AQ297" s="9"/>
      <c r="AR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224"/>
      <c r="X298" s="224"/>
      <c r="Y298" s="224"/>
      <c r="Z298" s="868"/>
      <c r="AA298" s="865"/>
      <c r="AB298" s="2"/>
      <c r="AC298" s="2"/>
      <c r="AD298" s="2"/>
      <c r="AE298" s="2"/>
      <c r="AF298" s="2"/>
      <c r="AG298" s="2"/>
      <c r="AH298" s="2"/>
      <c r="AI298" s="2"/>
      <c r="AJ298" s="2"/>
      <c r="AK298" s="2"/>
      <c r="AL298" s="2"/>
      <c r="AM298" s="2"/>
      <c r="AN298" s="2"/>
      <c r="AO298" s="9"/>
      <c r="AP298" s="9"/>
      <c r="AQ298" s="9"/>
      <c r="AR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224"/>
      <c r="X299" s="224"/>
      <c r="Y299" s="224"/>
      <c r="Z299" s="868"/>
      <c r="AA299" s="865"/>
      <c r="AB299" s="2"/>
      <c r="AC299" s="2"/>
      <c r="AD299" s="2"/>
      <c r="AE299" s="2"/>
      <c r="AF299" s="2"/>
      <c r="AG299" s="2"/>
      <c r="AH299" s="2"/>
      <c r="AI299" s="2"/>
      <c r="AJ299" s="2"/>
      <c r="AK299" s="2"/>
      <c r="AL299" s="2"/>
      <c r="AM299" s="2"/>
      <c r="AN299" s="2"/>
      <c r="AO299" s="9"/>
      <c r="AP299" s="9"/>
      <c r="AQ299" s="9"/>
      <c r="AR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224"/>
      <c r="X300" s="224"/>
      <c r="Y300" s="224"/>
      <c r="Z300" s="868"/>
      <c r="AA300" s="865"/>
      <c r="AB300" s="2"/>
      <c r="AC300" s="2"/>
      <c r="AD300" s="2"/>
      <c r="AE300" s="2"/>
      <c r="AF300" s="2"/>
      <c r="AG300" s="2"/>
      <c r="AH300" s="2"/>
      <c r="AI300" s="2"/>
      <c r="AJ300" s="2"/>
      <c r="AK300" s="2"/>
      <c r="AL300" s="2"/>
      <c r="AM300" s="2"/>
      <c r="AN300" s="2"/>
      <c r="AO300" s="9"/>
      <c r="AP300" s="9"/>
      <c r="AQ300" s="9"/>
      <c r="AR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224"/>
      <c r="X301" s="224"/>
      <c r="Y301" s="224"/>
      <c r="Z301" s="868"/>
      <c r="AA301" s="865"/>
      <c r="AB301" s="2"/>
      <c r="AC301" s="2"/>
      <c r="AD301" s="2"/>
      <c r="AE301" s="2"/>
      <c r="AF301" s="2"/>
      <c r="AG301" s="2"/>
      <c r="AH301" s="2"/>
      <c r="AI301" s="2"/>
      <c r="AJ301" s="2"/>
      <c r="AK301" s="2"/>
      <c r="AL301" s="2"/>
      <c r="AM301" s="2"/>
      <c r="AN301" s="2"/>
      <c r="AO301" s="9"/>
      <c r="AP301" s="9"/>
      <c r="AQ301" s="9"/>
      <c r="AR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224"/>
      <c r="X302" s="224"/>
      <c r="Y302" s="224"/>
      <c r="Z302" s="868"/>
      <c r="AA302" s="865"/>
      <c r="AB302" s="2"/>
      <c r="AC302" s="2"/>
      <c r="AD302" s="2"/>
      <c r="AE302" s="2"/>
      <c r="AF302" s="2"/>
      <c r="AG302" s="2"/>
      <c r="AH302" s="2"/>
      <c r="AI302" s="2"/>
      <c r="AJ302" s="2"/>
      <c r="AK302" s="2"/>
      <c r="AL302" s="2"/>
      <c r="AM302" s="2"/>
      <c r="AN302" s="2"/>
      <c r="AO302" s="9"/>
      <c r="AP302" s="9"/>
      <c r="AQ302" s="9"/>
      <c r="AR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224"/>
      <c r="X303" s="224"/>
      <c r="Y303" s="224"/>
      <c r="Z303" s="868"/>
      <c r="AA303" s="865"/>
      <c r="AB303" s="2"/>
      <c r="AC303" s="2"/>
      <c r="AD303" s="2"/>
      <c r="AE303" s="2"/>
      <c r="AF303" s="2"/>
      <c r="AG303" s="2"/>
      <c r="AH303" s="2"/>
      <c r="AI303" s="2"/>
      <c r="AJ303" s="2"/>
      <c r="AK303" s="2"/>
      <c r="AL303" s="2"/>
      <c r="AM303" s="2"/>
      <c r="AN303" s="2"/>
      <c r="AO303" s="9"/>
      <c r="AP303" s="9"/>
      <c r="AQ303" s="9"/>
      <c r="AR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224"/>
      <c r="X304" s="224"/>
      <c r="Y304" s="224"/>
      <c r="Z304" s="868"/>
      <c r="AA304" s="865"/>
      <c r="AB304" s="2"/>
      <c r="AC304" s="2"/>
      <c r="AD304" s="2"/>
      <c r="AE304" s="2"/>
      <c r="AF304" s="2"/>
      <c r="AG304" s="2"/>
      <c r="AH304" s="2"/>
      <c r="AI304" s="2"/>
      <c r="AJ304" s="2"/>
      <c r="AK304" s="2"/>
      <c r="AL304" s="2"/>
      <c r="AM304" s="2"/>
      <c r="AN304" s="2"/>
      <c r="AO304" s="9"/>
      <c r="AP304" s="9"/>
      <c r="AQ304" s="9"/>
      <c r="AR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224"/>
      <c r="X305" s="224"/>
      <c r="Y305" s="224"/>
      <c r="Z305" s="868"/>
      <c r="AA305" s="865"/>
      <c r="AB305" s="2"/>
      <c r="AC305" s="2"/>
      <c r="AD305" s="2"/>
      <c r="AE305" s="2"/>
      <c r="AF305" s="2"/>
      <c r="AG305" s="2"/>
      <c r="AH305" s="2"/>
      <c r="AI305" s="2"/>
      <c r="AJ305" s="2"/>
      <c r="AK305" s="2"/>
      <c r="AL305" s="2"/>
      <c r="AM305" s="2"/>
      <c r="AN305" s="2"/>
      <c r="AO305" s="9"/>
      <c r="AP305" s="9"/>
      <c r="AQ305" s="9"/>
      <c r="AR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224"/>
      <c r="X306" s="224"/>
      <c r="Y306" s="224"/>
      <c r="Z306" s="868"/>
      <c r="AA306" s="865"/>
      <c r="AB306" s="2"/>
      <c r="AC306" s="2"/>
      <c r="AD306" s="2"/>
      <c r="AE306" s="2"/>
      <c r="AF306" s="2"/>
      <c r="AG306" s="2"/>
      <c r="AH306" s="2"/>
      <c r="AI306" s="2"/>
      <c r="AJ306" s="2"/>
      <c r="AK306" s="2"/>
      <c r="AL306" s="2"/>
      <c r="AM306" s="2"/>
      <c r="AN306" s="2"/>
      <c r="AO306" s="9"/>
      <c r="AP306" s="9"/>
      <c r="AQ306" s="9"/>
      <c r="AR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224"/>
      <c r="X307" s="224"/>
      <c r="Y307" s="224"/>
      <c r="Z307" s="868"/>
      <c r="AA307" s="865"/>
      <c r="AB307" s="2"/>
      <c r="AC307" s="2"/>
      <c r="AD307" s="2"/>
      <c r="AE307" s="2"/>
      <c r="AF307" s="2"/>
      <c r="AG307" s="2"/>
      <c r="AH307" s="2"/>
      <c r="AI307" s="2"/>
      <c r="AJ307" s="2"/>
      <c r="AK307" s="2"/>
      <c r="AL307" s="2"/>
      <c r="AM307" s="2"/>
      <c r="AN307" s="2"/>
      <c r="AO307" s="9"/>
      <c r="AP307" s="9"/>
      <c r="AQ307" s="9"/>
      <c r="AR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224"/>
      <c r="X308" s="224"/>
      <c r="Y308" s="224"/>
      <c r="Z308" s="868"/>
      <c r="AA308" s="865"/>
      <c r="AB308" s="2"/>
      <c r="AC308" s="2"/>
      <c r="AD308" s="2"/>
      <c r="AE308" s="2"/>
      <c r="AF308" s="2"/>
      <c r="AG308" s="2"/>
      <c r="AH308" s="2"/>
      <c r="AI308" s="2"/>
      <c r="AJ308" s="2"/>
      <c r="AK308" s="2"/>
      <c r="AL308" s="2"/>
      <c r="AM308" s="2"/>
      <c r="AN308" s="2"/>
      <c r="AO308" s="9"/>
      <c r="AP308" s="9"/>
      <c r="AQ308" s="9"/>
      <c r="AR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224"/>
      <c r="X309" s="224"/>
      <c r="Y309" s="224"/>
      <c r="Z309" s="868"/>
      <c r="AA309" s="865"/>
      <c r="AB309" s="2"/>
      <c r="AC309" s="2"/>
      <c r="AD309" s="2"/>
      <c r="AE309" s="2"/>
      <c r="AF309" s="2"/>
      <c r="AG309" s="2"/>
      <c r="AH309" s="2"/>
      <c r="AI309" s="2"/>
      <c r="AJ309" s="2"/>
      <c r="AK309" s="2"/>
      <c r="AL309" s="2"/>
      <c r="AM309" s="2"/>
      <c r="AN309" s="2"/>
      <c r="AO309" s="9"/>
      <c r="AP309" s="9"/>
      <c r="AQ309" s="9"/>
      <c r="AR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224"/>
      <c r="X310" s="224"/>
      <c r="Y310" s="224"/>
      <c r="Z310" s="868"/>
      <c r="AA310" s="865"/>
      <c r="AB310" s="2"/>
      <c r="AC310" s="2"/>
      <c r="AD310" s="2"/>
      <c r="AE310" s="2"/>
      <c r="AF310" s="2"/>
      <c r="AG310" s="2"/>
      <c r="AH310" s="2"/>
      <c r="AI310" s="2"/>
      <c r="AJ310" s="2"/>
      <c r="AK310" s="2"/>
      <c r="AL310" s="2"/>
      <c r="AM310" s="2"/>
      <c r="AN310" s="2"/>
      <c r="AO310" s="9"/>
      <c r="AP310" s="9"/>
      <c r="AQ310" s="9"/>
      <c r="AR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224"/>
      <c r="X311" s="224"/>
      <c r="Y311" s="224"/>
      <c r="Z311" s="868"/>
      <c r="AA311" s="865"/>
      <c r="AB311" s="2"/>
      <c r="AC311" s="2"/>
      <c r="AD311" s="2"/>
      <c r="AE311" s="2"/>
      <c r="AF311" s="2"/>
      <c r="AG311" s="2"/>
      <c r="AH311" s="2"/>
      <c r="AI311" s="2"/>
      <c r="AJ311" s="2"/>
      <c r="AK311" s="2"/>
      <c r="AL311" s="2"/>
      <c r="AM311" s="2"/>
      <c r="AN311" s="2"/>
      <c r="AO311" s="9"/>
      <c r="AP311" s="9"/>
      <c r="AQ311" s="9"/>
      <c r="AR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224"/>
      <c r="X312" s="224"/>
      <c r="Y312" s="224"/>
      <c r="Z312" s="868"/>
      <c r="AA312" s="865"/>
      <c r="AB312" s="2"/>
      <c r="AC312" s="2"/>
      <c r="AD312" s="2"/>
      <c r="AE312" s="2"/>
      <c r="AF312" s="2"/>
      <c r="AG312" s="2"/>
      <c r="AH312" s="2"/>
      <c r="AI312" s="2"/>
      <c r="AJ312" s="2"/>
      <c r="AK312" s="2"/>
      <c r="AL312" s="2"/>
      <c r="AM312" s="2"/>
      <c r="AN312" s="2"/>
      <c r="AO312" s="9"/>
      <c r="AP312" s="9"/>
      <c r="AQ312" s="9"/>
      <c r="AR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224"/>
      <c r="X313" s="224"/>
      <c r="Y313" s="224"/>
      <c r="Z313" s="868"/>
      <c r="AA313" s="865"/>
      <c r="AB313" s="2"/>
      <c r="AC313" s="2"/>
      <c r="AD313" s="2"/>
      <c r="AE313" s="2"/>
      <c r="AF313" s="2"/>
      <c r="AG313" s="2"/>
      <c r="AH313" s="2"/>
      <c r="AI313" s="2"/>
      <c r="AJ313" s="2"/>
      <c r="AK313" s="2"/>
      <c r="AL313" s="2"/>
      <c r="AM313" s="2"/>
      <c r="AN313" s="2"/>
      <c r="AO313" s="9"/>
      <c r="AP313" s="9"/>
      <c r="AQ313" s="9"/>
      <c r="AR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224"/>
      <c r="X314" s="224"/>
      <c r="Y314" s="224"/>
      <c r="Z314" s="868"/>
      <c r="AA314" s="865"/>
      <c r="AB314" s="2"/>
      <c r="AC314" s="2"/>
      <c r="AD314" s="2"/>
      <c r="AE314" s="2"/>
      <c r="AF314" s="2"/>
      <c r="AG314" s="2"/>
      <c r="AH314" s="2"/>
      <c r="AI314" s="2"/>
      <c r="AJ314" s="2"/>
      <c r="AK314" s="2"/>
      <c r="AL314" s="2"/>
      <c r="AM314" s="2"/>
      <c r="AN314" s="2"/>
      <c r="AO314" s="9"/>
      <c r="AP314" s="9"/>
      <c r="AQ314" s="9"/>
      <c r="AR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224"/>
      <c r="X315" s="224"/>
      <c r="Y315" s="224"/>
      <c r="Z315" s="868"/>
      <c r="AA315" s="865"/>
      <c r="AB315" s="2"/>
      <c r="AC315" s="2"/>
      <c r="AD315" s="2"/>
      <c r="AE315" s="2"/>
      <c r="AF315" s="2"/>
      <c r="AG315" s="2"/>
      <c r="AH315" s="2"/>
      <c r="AI315" s="2"/>
      <c r="AJ315" s="2"/>
      <c r="AK315" s="2"/>
      <c r="AL315" s="2"/>
      <c r="AM315" s="2"/>
      <c r="AN315" s="2"/>
      <c r="AO315" s="9"/>
      <c r="AP315" s="9"/>
      <c r="AQ315" s="9"/>
      <c r="AR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224"/>
      <c r="X316" s="224"/>
      <c r="Y316" s="224"/>
      <c r="Z316" s="868"/>
      <c r="AA316" s="865"/>
      <c r="AB316" s="2"/>
      <c r="AC316" s="2"/>
      <c r="AD316" s="2"/>
      <c r="AE316" s="2"/>
      <c r="AF316" s="2"/>
      <c r="AG316" s="2"/>
      <c r="AH316" s="2"/>
      <c r="AI316" s="2"/>
      <c r="AJ316" s="2"/>
      <c r="AK316" s="2"/>
      <c r="AL316" s="2"/>
      <c r="AM316" s="2"/>
      <c r="AN316" s="2"/>
      <c r="AO316" s="9"/>
      <c r="AP316" s="9"/>
      <c r="AQ316" s="9"/>
      <c r="AR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224"/>
      <c r="X317" s="224"/>
      <c r="Y317" s="224"/>
      <c r="Z317" s="868"/>
      <c r="AA317" s="865"/>
      <c r="AB317" s="2"/>
      <c r="AC317" s="2"/>
      <c r="AD317" s="2"/>
      <c r="AE317" s="2"/>
      <c r="AF317" s="2"/>
      <c r="AG317" s="2"/>
      <c r="AH317" s="2"/>
      <c r="AI317" s="2"/>
      <c r="AJ317" s="2"/>
      <c r="AK317" s="2"/>
      <c r="AL317" s="2"/>
      <c r="AM317" s="2"/>
      <c r="AN317" s="2"/>
      <c r="AO317" s="9"/>
      <c r="AP317" s="9"/>
      <c r="AQ317" s="9"/>
      <c r="AR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224"/>
      <c r="X318" s="224"/>
      <c r="Y318" s="224"/>
      <c r="Z318" s="868"/>
      <c r="AA318" s="865"/>
      <c r="AB318" s="2"/>
      <c r="AC318" s="2"/>
      <c r="AD318" s="2"/>
      <c r="AE318" s="2"/>
      <c r="AF318" s="2"/>
      <c r="AG318" s="2"/>
      <c r="AH318" s="2"/>
      <c r="AI318" s="2"/>
      <c r="AJ318" s="2"/>
      <c r="AK318" s="2"/>
      <c r="AL318" s="2"/>
      <c r="AM318" s="2"/>
      <c r="AN318" s="2"/>
      <c r="AO318" s="9"/>
      <c r="AP318" s="9"/>
      <c r="AQ318" s="9"/>
      <c r="AR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224"/>
      <c r="X319" s="224"/>
      <c r="Y319" s="224"/>
      <c r="Z319" s="868"/>
      <c r="AA319" s="865"/>
      <c r="AB319" s="2"/>
      <c r="AC319" s="2"/>
      <c r="AD319" s="2"/>
      <c r="AE319" s="2"/>
      <c r="AF319" s="2"/>
      <c r="AG319" s="2"/>
      <c r="AH319" s="2"/>
      <c r="AI319" s="2"/>
      <c r="AJ319" s="2"/>
      <c r="AK319" s="2"/>
      <c r="AL319" s="2"/>
      <c r="AM319" s="2"/>
      <c r="AN319" s="2"/>
      <c r="AO319" s="9"/>
      <c r="AP319" s="9"/>
      <c r="AQ319" s="9"/>
      <c r="AR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224"/>
      <c r="X320" s="224"/>
      <c r="Y320" s="224"/>
      <c r="Z320" s="868"/>
      <c r="AA320" s="865"/>
      <c r="AB320" s="2"/>
      <c r="AC320" s="2"/>
      <c r="AD320" s="2"/>
      <c r="AE320" s="2"/>
      <c r="AF320" s="2"/>
      <c r="AG320" s="2"/>
      <c r="AH320" s="2"/>
      <c r="AI320" s="2"/>
      <c r="AJ320" s="2"/>
      <c r="AK320" s="2"/>
      <c r="AL320" s="2"/>
      <c r="AM320" s="2"/>
      <c r="AN320" s="2"/>
      <c r="AO320" s="9"/>
      <c r="AP320" s="9"/>
      <c r="AQ320" s="9"/>
      <c r="AR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224"/>
      <c r="X321" s="224"/>
      <c r="Y321" s="224"/>
      <c r="Z321" s="868"/>
      <c r="AA321" s="865"/>
      <c r="AB321" s="2"/>
      <c r="AC321" s="2"/>
      <c r="AD321" s="2"/>
      <c r="AE321" s="2"/>
      <c r="AF321" s="2"/>
      <c r="AG321" s="2"/>
      <c r="AH321" s="2"/>
      <c r="AI321" s="2"/>
      <c r="AJ321" s="2"/>
      <c r="AK321" s="2"/>
      <c r="AL321" s="2"/>
      <c r="AM321" s="2"/>
      <c r="AN321" s="2"/>
      <c r="AO321" s="9"/>
      <c r="AP321" s="9"/>
      <c r="AQ321" s="9"/>
      <c r="AR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224"/>
      <c r="X322" s="224"/>
      <c r="Y322" s="224"/>
      <c r="Z322" s="868"/>
      <c r="AA322" s="865"/>
      <c r="AB322" s="2"/>
      <c r="AC322" s="2"/>
      <c r="AD322" s="2"/>
      <c r="AE322" s="2"/>
      <c r="AF322" s="2"/>
      <c r="AG322" s="2"/>
      <c r="AH322" s="2"/>
      <c r="AI322" s="2"/>
      <c r="AJ322" s="2"/>
      <c r="AK322" s="2"/>
      <c r="AL322" s="2"/>
      <c r="AM322" s="2"/>
      <c r="AN322" s="2"/>
      <c r="AO322" s="9"/>
      <c r="AP322" s="9"/>
      <c r="AQ322" s="9"/>
      <c r="AR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224"/>
      <c r="X323" s="224"/>
      <c r="Y323" s="224"/>
      <c r="Z323" s="868"/>
      <c r="AA323" s="865"/>
      <c r="AB323" s="2"/>
      <c r="AC323" s="2"/>
      <c r="AD323" s="2"/>
      <c r="AE323" s="2"/>
      <c r="AF323" s="2"/>
      <c r="AG323" s="2"/>
      <c r="AH323" s="2"/>
      <c r="AI323" s="2"/>
      <c r="AJ323" s="2"/>
      <c r="AK323" s="2"/>
      <c r="AL323" s="2"/>
      <c r="AM323" s="2"/>
      <c r="AN323" s="2"/>
      <c r="AO323" s="9"/>
      <c r="AP323" s="9"/>
      <c r="AQ323" s="9"/>
      <c r="AR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224"/>
      <c r="X324" s="224"/>
      <c r="Y324" s="224"/>
      <c r="Z324" s="868"/>
      <c r="AA324" s="865"/>
      <c r="AB324" s="2"/>
      <c r="AC324" s="2"/>
      <c r="AD324" s="2"/>
      <c r="AE324" s="2"/>
      <c r="AF324" s="2"/>
      <c r="AG324" s="2"/>
      <c r="AH324" s="2"/>
      <c r="AI324" s="2"/>
      <c r="AJ324" s="2"/>
      <c r="AK324" s="2"/>
      <c r="AL324" s="2"/>
      <c r="AM324" s="2"/>
      <c r="AN324" s="2"/>
      <c r="AO324" s="9"/>
      <c r="AP324" s="9"/>
      <c r="AQ324" s="9"/>
      <c r="AR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224"/>
      <c r="X325" s="224"/>
      <c r="Y325" s="224"/>
      <c r="Z325" s="868"/>
      <c r="AA325" s="865"/>
      <c r="AB325" s="2"/>
      <c r="AC325" s="2"/>
      <c r="AD325" s="2"/>
      <c r="AE325" s="2"/>
      <c r="AF325" s="2"/>
      <c r="AG325" s="2"/>
      <c r="AH325" s="2"/>
      <c r="AI325" s="2"/>
      <c r="AJ325" s="2"/>
      <c r="AK325" s="2"/>
      <c r="AL325" s="2"/>
      <c r="AM325" s="2"/>
      <c r="AN325" s="2"/>
      <c r="AO325" s="9"/>
      <c r="AP325" s="9"/>
      <c r="AQ325" s="9"/>
      <c r="AR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224"/>
      <c r="X326" s="224"/>
      <c r="Y326" s="224"/>
      <c r="Z326" s="868"/>
      <c r="AA326" s="865"/>
      <c r="AB326" s="2"/>
      <c r="AC326" s="2"/>
      <c r="AD326" s="2"/>
      <c r="AE326" s="2"/>
      <c r="AF326" s="2"/>
      <c r="AG326" s="2"/>
      <c r="AH326" s="2"/>
      <c r="AI326" s="2"/>
      <c r="AJ326" s="2"/>
      <c r="AK326" s="2"/>
      <c r="AL326" s="2"/>
      <c r="AM326" s="2"/>
      <c r="AN326" s="2"/>
      <c r="AO326" s="9"/>
      <c r="AP326" s="9"/>
      <c r="AQ326" s="9"/>
      <c r="AR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224"/>
      <c r="X327" s="224"/>
      <c r="Y327" s="224"/>
      <c r="Z327" s="868"/>
      <c r="AA327" s="865"/>
      <c r="AB327" s="2"/>
      <c r="AC327" s="2"/>
      <c r="AD327" s="2"/>
      <c r="AE327" s="2"/>
      <c r="AF327" s="2"/>
      <c r="AG327" s="2"/>
      <c r="AH327" s="2"/>
      <c r="AI327" s="2"/>
      <c r="AJ327" s="2"/>
      <c r="AK327" s="2"/>
      <c r="AL327" s="2"/>
      <c r="AM327" s="2"/>
      <c r="AN327" s="2"/>
      <c r="AO327" s="9"/>
      <c r="AP327" s="9"/>
      <c r="AQ327" s="9"/>
      <c r="AR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224"/>
      <c r="X328" s="224"/>
      <c r="Y328" s="224"/>
      <c r="Z328" s="868"/>
      <c r="AA328" s="865"/>
      <c r="AB328" s="2"/>
      <c r="AC328" s="2"/>
      <c r="AD328" s="2"/>
      <c r="AE328" s="2"/>
      <c r="AF328" s="2"/>
      <c r="AG328" s="2"/>
      <c r="AH328" s="2"/>
      <c r="AI328" s="2"/>
      <c r="AJ328" s="2"/>
      <c r="AK328" s="2"/>
      <c r="AL328" s="2"/>
      <c r="AM328" s="2"/>
      <c r="AN328" s="2"/>
      <c r="AO328" s="9"/>
      <c r="AP328" s="9"/>
      <c r="AQ328" s="9"/>
      <c r="AR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224"/>
      <c r="X329" s="224"/>
      <c r="Y329" s="224"/>
      <c r="Z329" s="868"/>
      <c r="AA329" s="865"/>
      <c r="AB329" s="2"/>
      <c r="AC329" s="2"/>
      <c r="AD329" s="2"/>
      <c r="AE329" s="2"/>
      <c r="AF329" s="2"/>
      <c r="AG329" s="2"/>
      <c r="AH329" s="2"/>
      <c r="AI329" s="2"/>
      <c r="AJ329" s="2"/>
      <c r="AK329" s="2"/>
      <c r="AL329" s="2"/>
      <c r="AM329" s="2"/>
      <c r="AN329" s="2"/>
      <c r="AO329" s="9"/>
      <c r="AP329" s="9"/>
      <c r="AQ329" s="9"/>
      <c r="AR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224"/>
      <c r="X330" s="224"/>
      <c r="Y330" s="224"/>
      <c r="Z330" s="868"/>
      <c r="AA330" s="865"/>
      <c r="AB330" s="2"/>
      <c r="AC330" s="2"/>
      <c r="AD330" s="2"/>
      <c r="AE330" s="2"/>
      <c r="AF330" s="2"/>
      <c r="AG330" s="2"/>
      <c r="AH330" s="2"/>
      <c r="AI330" s="2"/>
      <c r="AJ330" s="2"/>
      <c r="AK330" s="2"/>
      <c r="AL330" s="2"/>
      <c r="AM330" s="2"/>
      <c r="AN330" s="2"/>
      <c r="AO330" s="9"/>
      <c r="AP330" s="9"/>
      <c r="AQ330" s="9"/>
      <c r="AR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224"/>
      <c r="X331" s="224"/>
      <c r="Y331" s="224"/>
      <c r="Z331" s="868"/>
      <c r="AA331" s="865"/>
      <c r="AB331" s="2"/>
      <c r="AC331" s="2"/>
      <c r="AD331" s="2"/>
      <c r="AE331" s="2"/>
      <c r="AF331" s="2"/>
      <c r="AG331" s="2"/>
      <c r="AH331" s="2"/>
      <c r="AI331" s="2"/>
      <c r="AJ331" s="2"/>
      <c r="AK331" s="2"/>
      <c r="AL331" s="2"/>
      <c r="AM331" s="2"/>
      <c r="AN331" s="2"/>
      <c r="AO331" s="9"/>
      <c r="AP331" s="9"/>
      <c r="AQ331" s="9"/>
      <c r="AR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224"/>
      <c r="X332" s="224"/>
      <c r="Y332" s="224"/>
      <c r="Z332" s="868"/>
      <c r="AA332" s="865"/>
      <c r="AB332" s="2"/>
      <c r="AC332" s="2"/>
      <c r="AD332" s="2"/>
      <c r="AE332" s="2"/>
      <c r="AF332" s="2"/>
      <c r="AG332" s="2"/>
      <c r="AH332" s="2"/>
      <c r="AI332" s="2"/>
      <c r="AJ332" s="2"/>
      <c r="AK332" s="2"/>
      <c r="AL332" s="2"/>
      <c r="AM332" s="2"/>
      <c r="AN332" s="2"/>
      <c r="AO332" s="9"/>
      <c r="AP332" s="9"/>
      <c r="AQ332" s="9"/>
      <c r="AR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224"/>
      <c r="X333" s="224"/>
      <c r="Y333" s="224"/>
      <c r="Z333" s="868"/>
      <c r="AA333" s="865"/>
      <c r="AB333" s="2"/>
      <c r="AC333" s="2"/>
      <c r="AD333" s="2"/>
      <c r="AE333" s="2"/>
      <c r="AF333" s="2"/>
      <c r="AG333" s="2"/>
      <c r="AH333" s="2"/>
      <c r="AI333" s="2"/>
      <c r="AJ333" s="2"/>
      <c r="AK333" s="2"/>
      <c r="AL333" s="2"/>
      <c r="AM333" s="2"/>
      <c r="AN333" s="2"/>
      <c r="AO333" s="9"/>
      <c r="AP333" s="9"/>
      <c r="AQ333" s="9"/>
      <c r="AR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224"/>
      <c r="X334" s="224"/>
      <c r="Y334" s="224"/>
      <c r="Z334" s="868"/>
      <c r="AA334" s="865"/>
      <c r="AB334" s="2"/>
      <c r="AC334" s="2"/>
      <c r="AD334" s="2"/>
      <c r="AE334" s="2"/>
      <c r="AF334" s="2"/>
      <c r="AG334" s="2"/>
      <c r="AH334" s="2"/>
      <c r="AI334" s="2"/>
      <c r="AJ334" s="2"/>
      <c r="AK334" s="2"/>
      <c r="AL334" s="2"/>
      <c r="AM334" s="2"/>
      <c r="AN334" s="2"/>
      <c r="AO334" s="9"/>
      <c r="AP334" s="9"/>
      <c r="AQ334" s="9"/>
      <c r="AR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224"/>
      <c r="X335" s="224"/>
      <c r="Y335" s="224"/>
      <c r="Z335" s="868"/>
      <c r="AA335" s="865"/>
      <c r="AB335" s="2"/>
      <c r="AC335" s="2"/>
      <c r="AD335" s="2"/>
      <c r="AE335" s="2"/>
      <c r="AF335" s="2"/>
      <c r="AG335" s="2"/>
      <c r="AH335" s="2"/>
      <c r="AI335" s="2"/>
      <c r="AJ335" s="2"/>
      <c r="AK335" s="2"/>
      <c r="AL335" s="2"/>
      <c r="AM335" s="2"/>
      <c r="AN335" s="2"/>
      <c r="AO335" s="9"/>
      <c r="AP335" s="9"/>
      <c r="AQ335" s="9"/>
      <c r="AR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224"/>
      <c r="X336" s="224"/>
      <c r="Y336" s="224"/>
      <c r="Z336" s="868"/>
      <c r="AA336" s="865"/>
      <c r="AB336" s="2"/>
      <c r="AC336" s="2"/>
      <c r="AD336" s="2"/>
      <c r="AE336" s="2"/>
      <c r="AF336" s="2"/>
      <c r="AG336" s="2"/>
      <c r="AH336" s="2"/>
      <c r="AI336" s="2"/>
      <c r="AJ336" s="2"/>
      <c r="AK336" s="2"/>
      <c r="AL336" s="2"/>
      <c r="AM336" s="2"/>
      <c r="AN336" s="2"/>
      <c r="AO336" s="9"/>
      <c r="AP336" s="9"/>
      <c r="AQ336" s="9"/>
      <c r="AR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224"/>
      <c r="X337" s="224"/>
      <c r="Y337" s="224"/>
      <c r="Z337" s="868"/>
      <c r="AA337" s="865"/>
      <c r="AB337" s="2"/>
      <c r="AC337" s="2"/>
      <c r="AD337" s="2"/>
      <c r="AE337" s="2"/>
      <c r="AF337" s="2"/>
      <c r="AG337" s="2"/>
      <c r="AH337" s="2"/>
      <c r="AI337" s="2"/>
      <c r="AJ337" s="2"/>
      <c r="AK337" s="2"/>
      <c r="AL337" s="2"/>
      <c r="AM337" s="2"/>
      <c r="AN337" s="2"/>
      <c r="AO337" s="9"/>
      <c r="AP337" s="9"/>
      <c r="AQ337" s="9"/>
      <c r="AR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224"/>
      <c r="X338" s="224"/>
      <c r="Y338" s="224"/>
      <c r="Z338" s="868"/>
      <c r="AA338" s="865"/>
      <c r="AB338" s="2"/>
      <c r="AC338" s="2"/>
      <c r="AD338" s="2"/>
      <c r="AE338" s="2"/>
      <c r="AF338" s="2"/>
      <c r="AG338" s="2"/>
      <c r="AH338" s="2"/>
      <c r="AI338" s="2"/>
      <c r="AJ338" s="2"/>
      <c r="AK338" s="2"/>
      <c r="AL338" s="2"/>
      <c r="AM338" s="2"/>
      <c r="AN338" s="2"/>
      <c r="AO338" s="9"/>
      <c r="AP338" s="9"/>
      <c r="AQ338" s="9"/>
      <c r="AR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224"/>
      <c r="X339" s="224"/>
      <c r="Y339" s="224"/>
      <c r="Z339" s="868"/>
      <c r="AA339" s="865"/>
      <c r="AB339" s="2"/>
      <c r="AC339" s="2"/>
      <c r="AD339" s="2"/>
      <c r="AE339" s="2"/>
      <c r="AF339" s="2"/>
      <c r="AG339" s="2"/>
      <c r="AH339" s="2"/>
      <c r="AI339" s="2"/>
      <c r="AJ339" s="2"/>
      <c r="AK339" s="2"/>
      <c r="AL339" s="2"/>
      <c r="AM339" s="2"/>
      <c r="AN339" s="2"/>
      <c r="AO339" s="9"/>
      <c r="AP339" s="9"/>
      <c r="AQ339" s="9"/>
      <c r="AR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224"/>
      <c r="X340" s="224"/>
      <c r="Y340" s="224"/>
      <c r="Z340" s="868"/>
      <c r="AA340" s="865"/>
      <c r="AB340" s="2"/>
      <c r="AC340" s="2"/>
      <c r="AD340" s="2"/>
      <c r="AE340" s="2"/>
      <c r="AF340" s="2"/>
      <c r="AG340" s="2"/>
      <c r="AH340" s="2"/>
      <c r="AI340" s="2"/>
      <c r="AJ340" s="2"/>
      <c r="AK340" s="2"/>
      <c r="AL340" s="2"/>
      <c r="AM340" s="2"/>
      <c r="AN340" s="2"/>
      <c r="AO340" s="9"/>
      <c r="AP340" s="9"/>
      <c r="AQ340" s="9"/>
      <c r="AR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224"/>
      <c r="X341" s="224"/>
      <c r="Y341" s="224"/>
      <c r="Z341" s="868"/>
      <c r="AA341" s="865"/>
      <c r="AB341" s="2"/>
      <c r="AC341" s="2"/>
      <c r="AD341" s="2"/>
      <c r="AE341" s="2"/>
      <c r="AF341" s="2"/>
      <c r="AG341" s="2"/>
      <c r="AH341" s="2"/>
      <c r="AI341" s="2"/>
      <c r="AJ341" s="2"/>
      <c r="AK341" s="2"/>
      <c r="AL341" s="2"/>
      <c r="AM341" s="2"/>
      <c r="AN341" s="2"/>
      <c r="AO341" s="9"/>
      <c r="AP341" s="9"/>
      <c r="AQ341" s="9"/>
      <c r="AR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224"/>
      <c r="X342" s="224"/>
      <c r="Y342" s="224"/>
      <c r="Z342" s="868"/>
      <c r="AA342" s="865"/>
      <c r="AB342" s="2"/>
      <c r="AC342" s="2"/>
      <c r="AD342" s="2"/>
      <c r="AE342" s="2"/>
      <c r="AF342" s="2"/>
      <c r="AG342" s="2"/>
      <c r="AH342" s="2"/>
      <c r="AI342" s="2"/>
      <c r="AJ342" s="2"/>
      <c r="AK342" s="2"/>
      <c r="AL342" s="2"/>
      <c r="AM342" s="2"/>
      <c r="AN342" s="2"/>
      <c r="AO342" s="9"/>
      <c r="AP342" s="9"/>
      <c r="AQ342" s="9"/>
      <c r="AR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224"/>
      <c r="X343" s="224"/>
      <c r="Y343" s="224"/>
      <c r="Z343" s="868"/>
      <c r="AA343" s="865"/>
      <c r="AB343" s="2"/>
      <c r="AC343" s="2"/>
      <c r="AD343" s="2"/>
      <c r="AE343" s="2"/>
      <c r="AF343" s="2"/>
      <c r="AG343" s="2"/>
      <c r="AH343" s="2"/>
      <c r="AI343" s="2"/>
      <c r="AJ343" s="2"/>
      <c r="AK343" s="2"/>
      <c r="AL343" s="2"/>
      <c r="AM343" s="2"/>
      <c r="AN343" s="2"/>
      <c r="AO343" s="9"/>
      <c r="AP343" s="9"/>
      <c r="AQ343" s="9"/>
      <c r="AR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224"/>
      <c r="X344" s="224"/>
      <c r="Y344" s="224"/>
      <c r="Z344" s="868"/>
      <c r="AA344" s="865"/>
      <c r="AB344" s="2"/>
      <c r="AC344" s="2"/>
      <c r="AD344" s="2"/>
      <c r="AE344" s="2"/>
      <c r="AF344" s="2"/>
      <c r="AG344" s="2"/>
      <c r="AH344" s="2"/>
      <c r="AI344" s="2"/>
      <c r="AJ344" s="2"/>
      <c r="AK344" s="2"/>
      <c r="AL344" s="2"/>
      <c r="AM344" s="2"/>
      <c r="AN344" s="2"/>
      <c r="AO344" s="9"/>
      <c r="AP344" s="9"/>
      <c r="AQ344" s="9"/>
      <c r="AR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224"/>
      <c r="X345" s="224"/>
      <c r="Y345" s="224"/>
      <c r="Z345" s="868"/>
      <c r="AA345" s="865"/>
      <c r="AB345" s="2"/>
      <c r="AC345" s="2"/>
      <c r="AD345" s="2"/>
      <c r="AE345" s="2"/>
      <c r="AF345" s="2"/>
      <c r="AG345" s="2"/>
      <c r="AH345" s="2"/>
      <c r="AI345" s="2"/>
      <c r="AJ345" s="2"/>
      <c r="AK345" s="2"/>
      <c r="AL345" s="2"/>
      <c r="AM345" s="2"/>
      <c r="AN345" s="2"/>
      <c r="AO345" s="9"/>
      <c r="AP345" s="9"/>
      <c r="AQ345" s="9"/>
      <c r="AR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224"/>
      <c r="X346" s="224"/>
      <c r="Y346" s="224"/>
      <c r="Z346" s="868"/>
      <c r="AA346" s="865"/>
      <c r="AB346" s="2"/>
      <c r="AC346" s="2"/>
      <c r="AD346" s="2"/>
      <c r="AE346" s="2"/>
      <c r="AF346" s="2"/>
      <c r="AG346" s="2"/>
      <c r="AH346" s="2"/>
      <c r="AI346" s="2"/>
      <c r="AJ346" s="2"/>
      <c r="AK346" s="2"/>
      <c r="AL346" s="2"/>
      <c r="AM346" s="2"/>
      <c r="AN346" s="2"/>
      <c r="AO346" s="9"/>
      <c r="AP346" s="9"/>
      <c r="AQ346" s="9"/>
      <c r="AR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224"/>
      <c r="X347" s="224"/>
      <c r="Y347" s="224"/>
      <c r="Z347" s="868"/>
      <c r="AA347" s="865"/>
      <c r="AB347" s="2"/>
      <c r="AC347" s="2"/>
      <c r="AD347" s="2"/>
      <c r="AE347" s="2"/>
      <c r="AF347" s="2"/>
      <c r="AG347" s="2"/>
      <c r="AH347" s="2"/>
      <c r="AI347" s="2"/>
      <c r="AJ347" s="2"/>
      <c r="AK347" s="2"/>
      <c r="AL347" s="2"/>
      <c r="AM347" s="2"/>
      <c r="AN347" s="2"/>
      <c r="AO347" s="9"/>
      <c r="AP347" s="9"/>
      <c r="AQ347" s="9"/>
      <c r="AR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224"/>
      <c r="X348" s="224"/>
      <c r="Y348" s="224"/>
      <c r="Z348" s="868"/>
      <c r="AA348" s="865"/>
      <c r="AB348" s="2"/>
      <c r="AC348" s="2"/>
      <c r="AD348" s="2"/>
      <c r="AE348" s="2"/>
      <c r="AF348" s="2"/>
      <c r="AG348" s="2"/>
      <c r="AH348" s="2"/>
      <c r="AI348" s="2"/>
      <c r="AJ348" s="2"/>
      <c r="AK348" s="2"/>
      <c r="AL348" s="2"/>
      <c r="AM348" s="2"/>
      <c r="AN348" s="2"/>
      <c r="AO348" s="9"/>
      <c r="AP348" s="9"/>
      <c r="AQ348" s="9"/>
      <c r="AR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224"/>
      <c r="X349" s="224"/>
      <c r="Y349" s="224"/>
      <c r="Z349" s="868"/>
      <c r="AA349" s="865"/>
      <c r="AB349" s="2"/>
      <c r="AC349" s="2"/>
      <c r="AD349" s="2"/>
      <c r="AE349" s="2"/>
      <c r="AF349" s="2"/>
      <c r="AG349" s="2"/>
      <c r="AH349" s="2"/>
      <c r="AI349" s="2"/>
      <c r="AJ349" s="2"/>
      <c r="AK349" s="2"/>
      <c r="AL349" s="2"/>
      <c r="AM349" s="2"/>
      <c r="AN349" s="2"/>
      <c r="AO349" s="9"/>
      <c r="AP349" s="9"/>
      <c r="AQ349" s="9"/>
      <c r="AR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224"/>
      <c r="X350" s="224"/>
      <c r="Y350" s="224"/>
      <c r="Z350" s="868"/>
      <c r="AA350" s="865"/>
      <c r="AB350" s="2"/>
      <c r="AC350" s="2"/>
      <c r="AD350" s="2"/>
      <c r="AE350" s="2"/>
      <c r="AF350" s="2"/>
      <c r="AG350" s="2"/>
      <c r="AH350" s="2"/>
      <c r="AI350" s="2"/>
      <c r="AJ350" s="2"/>
      <c r="AK350" s="2"/>
      <c r="AL350" s="2"/>
      <c r="AM350" s="2"/>
      <c r="AN350" s="2"/>
      <c r="AO350" s="9"/>
      <c r="AP350" s="9"/>
      <c r="AQ350" s="9"/>
      <c r="AR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224"/>
      <c r="X351" s="224"/>
      <c r="Y351" s="224"/>
      <c r="Z351" s="868"/>
      <c r="AA351" s="865"/>
      <c r="AB351" s="2"/>
      <c r="AC351" s="2"/>
      <c r="AD351" s="2"/>
      <c r="AE351" s="2"/>
      <c r="AF351" s="2"/>
      <c r="AG351" s="2"/>
      <c r="AH351" s="2"/>
      <c r="AI351" s="2"/>
      <c r="AJ351" s="2"/>
      <c r="AK351" s="2"/>
      <c r="AL351" s="2"/>
      <c r="AM351" s="2"/>
      <c r="AN351" s="2"/>
      <c r="AO351" s="9"/>
      <c r="AP351" s="9"/>
      <c r="AQ351" s="9"/>
      <c r="AR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224"/>
      <c r="X352" s="224"/>
      <c r="Y352" s="224"/>
      <c r="Z352" s="868"/>
      <c r="AA352" s="865"/>
      <c r="AB352" s="2"/>
      <c r="AC352" s="2"/>
      <c r="AD352" s="2"/>
      <c r="AE352" s="2"/>
      <c r="AF352" s="2"/>
      <c r="AG352" s="2"/>
      <c r="AH352" s="2"/>
      <c r="AI352" s="2"/>
      <c r="AJ352" s="2"/>
      <c r="AK352" s="2"/>
      <c r="AL352" s="2"/>
      <c r="AM352" s="2"/>
      <c r="AN352" s="2"/>
      <c r="AO352" s="9"/>
      <c r="AP352" s="9"/>
      <c r="AQ352" s="9"/>
      <c r="AR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224"/>
      <c r="X353" s="224"/>
      <c r="Y353" s="224"/>
      <c r="Z353" s="868"/>
      <c r="AA353" s="865"/>
      <c r="AB353" s="2"/>
      <c r="AC353" s="2"/>
      <c r="AD353" s="2"/>
      <c r="AE353" s="2"/>
      <c r="AF353" s="2"/>
      <c r="AG353" s="2"/>
      <c r="AH353" s="2"/>
      <c r="AI353" s="2"/>
      <c r="AJ353" s="2"/>
      <c r="AK353" s="2"/>
      <c r="AL353" s="2"/>
      <c r="AM353" s="2"/>
      <c r="AN353" s="2"/>
      <c r="AO353" s="9"/>
      <c r="AP353" s="9"/>
      <c r="AQ353" s="9"/>
      <c r="AR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224"/>
      <c r="X354" s="224"/>
      <c r="Y354" s="224"/>
      <c r="Z354" s="868"/>
      <c r="AA354" s="865"/>
      <c r="AB354" s="2"/>
      <c r="AC354" s="2"/>
      <c r="AD354" s="2"/>
      <c r="AE354" s="2"/>
      <c r="AF354" s="2"/>
      <c r="AG354" s="2"/>
      <c r="AH354" s="2"/>
      <c r="AI354" s="2"/>
      <c r="AJ354" s="2"/>
      <c r="AK354" s="2"/>
      <c r="AL354" s="2"/>
      <c r="AM354" s="2"/>
      <c r="AN354" s="2"/>
      <c r="AO354" s="9"/>
      <c r="AP354" s="9"/>
      <c r="AQ354" s="9"/>
      <c r="AR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224"/>
      <c r="X355" s="224"/>
      <c r="Y355" s="224"/>
      <c r="Z355" s="868"/>
      <c r="AA355" s="865"/>
      <c r="AB355" s="2"/>
      <c r="AC355" s="2"/>
      <c r="AD355" s="2"/>
      <c r="AE355" s="2"/>
      <c r="AF355" s="2"/>
      <c r="AG355" s="2"/>
      <c r="AH355" s="2"/>
      <c r="AI355" s="2"/>
      <c r="AJ355" s="2"/>
      <c r="AK355" s="2"/>
      <c r="AL355" s="2"/>
      <c r="AM355" s="2"/>
      <c r="AN355" s="2"/>
      <c r="AO355" s="9"/>
      <c r="AP355" s="9"/>
      <c r="AQ355" s="9"/>
      <c r="AR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224"/>
      <c r="X356" s="224"/>
      <c r="Y356" s="224"/>
      <c r="Z356" s="868"/>
      <c r="AA356" s="865"/>
      <c r="AB356" s="2"/>
      <c r="AC356" s="2"/>
      <c r="AD356" s="2"/>
      <c r="AE356" s="2"/>
      <c r="AF356" s="2"/>
      <c r="AG356" s="2"/>
      <c r="AH356" s="2"/>
      <c r="AI356" s="2"/>
      <c r="AJ356" s="2"/>
      <c r="AK356" s="2"/>
      <c r="AL356" s="2"/>
      <c r="AM356" s="2"/>
      <c r="AN356" s="2"/>
      <c r="AO356" s="9"/>
      <c r="AP356" s="9"/>
      <c r="AQ356" s="9"/>
      <c r="AR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224"/>
      <c r="X357" s="224"/>
      <c r="Y357" s="224"/>
      <c r="Z357" s="868"/>
      <c r="AA357" s="865"/>
      <c r="AB357" s="2"/>
      <c r="AC357" s="2"/>
      <c r="AD357" s="2"/>
      <c r="AE357" s="2"/>
      <c r="AF357" s="2"/>
      <c r="AG357" s="2"/>
      <c r="AH357" s="2"/>
      <c r="AI357" s="2"/>
      <c r="AJ357" s="2"/>
      <c r="AK357" s="2"/>
      <c r="AL357" s="2"/>
      <c r="AM357" s="2"/>
      <c r="AN357" s="2"/>
      <c r="AO357" s="9"/>
      <c r="AP357" s="9"/>
      <c r="AQ357" s="9"/>
      <c r="AR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224"/>
      <c r="X358" s="224"/>
      <c r="Y358" s="224"/>
      <c r="Z358" s="868"/>
      <c r="AA358" s="865"/>
      <c r="AB358" s="2"/>
      <c r="AC358" s="2"/>
      <c r="AD358" s="2"/>
      <c r="AE358" s="2"/>
      <c r="AF358" s="2"/>
      <c r="AG358" s="2"/>
      <c r="AH358" s="2"/>
      <c r="AI358" s="2"/>
      <c r="AJ358" s="2"/>
      <c r="AK358" s="2"/>
      <c r="AL358" s="2"/>
      <c r="AM358" s="2"/>
      <c r="AN358" s="2"/>
      <c r="AO358" s="9"/>
      <c r="AP358" s="9"/>
      <c r="AQ358" s="9"/>
      <c r="AR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224"/>
      <c r="X359" s="224"/>
      <c r="Y359" s="224"/>
      <c r="Z359" s="868"/>
      <c r="AA359" s="865"/>
      <c r="AB359" s="2"/>
      <c r="AC359" s="2"/>
      <c r="AD359" s="2"/>
      <c r="AE359" s="2"/>
      <c r="AF359" s="2"/>
      <c r="AG359" s="2"/>
      <c r="AH359" s="2"/>
      <c r="AI359" s="2"/>
      <c r="AJ359" s="2"/>
      <c r="AK359" s="2"/>
      <c r="AL359" s="2"/>
      <c r="AM359" s="2"/>
      <c r="AN359" s="2"/>
      <c r="AO359" s="9"/>
      <c r="AP359" s="9"/>
      <c r="AQ359" s="9"/>
      <c r="AR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224"/>
      <c r="X360" s="224"/>
      <c r="Y360" s="224"/>
      <c r="Z360" s="868"/>
      <c r="AA360" s="865"/>
      <c r="AB360" s="2"/>
      <c r="AC360" s="2"/>
      <c r="AD360" s="2"/>
      <c r="AE360" s="2"/>
      <c r="AF360" s="2"/>
      <c r="AG360" s="2"/>
      <c r="AH360" s="2"/>
      <c r="AI360" s="2"/>
      <c r="AJ360" s="2"/>
      <c r="AK360" s="2"/>
      <c r="AL360" s="2"/>
      <c r="AM360" s="2"/>
      <c r="AN360" s="2"/>
      <c r="AO360" s="9"/>
      <c r="AP360" s="9"/>
      <c r="AQ360" s="9"/>
      <c r="AR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224"/>
      <c r="X361" s="224"/>
      <c r="Y361" s="224"/>
      <c r="Z361" s="868"/>
      <c r="AA361" s="865"/>
      <c r="AB361" s="2"/>
      <c r="AC361" s="2"/>
      <c r="AD361" s="2"/>
      <c r="AE361" s="2"/>
      <c r="AF361" s="2"/>
      <c r="AG361" s="2"/>
      <c r="AH361" s="2"/>
      <c r="AI361" s="2"/>
      <c r="AJ361" s="2"/>
      <c r="AK361" s="2"/>
      <c r="AL361" s="2"/>
      <c r="AM361" s="2"/>
      <c r="AN361" s="2"/>
      <c r="AO361" s="9"/>
      <c r="AP361" s="9"/>
      <c r="AQ361" s="9"/>
      <c r="AR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224"/>
      <c r="X362" s="224"/>
      <c r="Y362" s="224"/>
      <c r="Z362" s="868"/>
      <c r="AA362" s="865"/>
      <c r="AB362" s="2"/>
      <c r="AC362" s="2"/>
      <c r="AD362" s="2"/>
      <c r="AE362" s="2"/>
      <c r="AF362" s="2"/>
      <c r="AG362" s="2"/>
      <c r="AH362" s="2"/>
      <c r="AI362" s="2"/>
      <c r="AJ362" s="2"/>
      <c r="AK362" s="2"/>
      <c r="AL362" s="2"/>
      <c r="AM362" s="2"/>
      <c r="AN362" s="2"/>
      <c r="AO362" s="9"/>
      <c r="AP362" s="9"/>
      <c r="AQ362" s="9"/>
      <c r="AR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224"/>
      <c r="X363" s="224"/>
      <c r="Y363" s="224"/>
      <c r="Z363" s="868"/>
      <c r="AA363" s="865"/>
      <c r="AB363" s="2"/>
      <c r="AC363" s="2"/>
      <c r="AD363" s="2"/>
      <c r="AE363" s="2"/>
      <c r="AF363" s="2"/>
      <c r="AG363" s="2"/>
      <c r="AH363" s="2"/>
      <c r="AI363" s="2"/>
      <c r="AJ363" s="2"/>
      <c r="AK363" s="2"/>
      <c r="AL363" s="2"/>
      <c r="AM363" s="2"/>
      <c r="AN363" s="2"/>
      <c r="AO363" s="9"/>
      <c r="AP363" s="9"/>
      <c r="AQ363" s="9"/>
      <c r="AR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224"/>
      <c r="X364" s="224"/>
      <c r="Y364" s="224"/>
      <c r="Z364" s="868"/>
      <c r="AA364" s="865"/>
      <c r="AB364" s="2"/>
      <c r="AC364" s="2"/>
      <c r="AD364" s="2"/>
      <c r="AE364" s="2"/>
      <c r="AF364" s="2"/>
      <c r="AG364" s="2"/>
      <c r="AH364" s="2"/>
      <c r="AI364" s="2"/>
      <c r="AJ364" s="2"/>
      <c r="AK364" s="2"/>
      <c r="AL364" s="2"/>
      <c r="AM364" s="2"/>
      <c r="AN364" s="2"/>
      <c r="AO364" s="9"/>
      <c r="AP364" s="9"/>
      <c r="AQ364" s="9"/>
      <c r="AR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224"/>
      <c r="X365" s="224"/>
      <c r="Y365" s="224"/>
      <c r="Z365" s="868"/>
      <c r="AA365" s="865"/>
      <c r="AB365" s="2"/>
      <c r="AC365" s="2"/>
      <c r="AD365" s="2"/>
      <c r="AE365" s="2"/>
      <c r="AF365" s="2"/>
      <c r="AG365" s="2"/>
      <c r="AH365" s="2"/>
      <c r="AI365" s="2"/>
      <c r="AJ365" s="2"/>
      <c r="AK365" s="2"/>
      <c r="AL365" s="2"/>
      <c r="AM365" s="2"/>
      <c r="AN365" s="2"/>
      <c r="AO365" s="9"/>
      <c r="AP365" s="9"/>
      <c r="AQ365" s="9"/>
      <c r="AR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224"/>
      <c r="X366" s="224"/>
      <c r="Y366" s="224"/>
      <c r="Z366" s="868"/>
      <c r="AA366" s="865"/>
      <c r="AB366" s="2"/>
      <c r="AC366" s="2"/>
      <c r="AD366" s="2"/>
      <c r="AE366" s="2"/>
      <c r="AF366" s="2"/>
      <c r="AG366" s="2"/>
      <c r="AH366" s="2"/>
      <c r="AI366" s="2"/>
      <c r="AJ366" s="2"/>
      <c r="AK366" s="2"/>
      <c r="AL366" s="2"/>
      <c r="AM366" s="2"/>
      <c r="AN366" s="2"/>
      <c r="AO366" s="9"/>
      <c r="AP366" s="9"/>
      <c r="AQ366" s="9"/>
      <c r="AR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224"/>
      <c r="X367" s="224"/>
      <c r="Y367" s="224"/>
      <c r="Z367" s="868"/>
      <c r="AA367" s="865"/>
      <c r="AB367" s="2"/>
      <c r="AC367" s="2"/>
      <c r="AD367" s="2"/>
      <c r="AE367" s="2"/>
      <c r="AF367" s="2"/>
      <c r="AG367" s="2"/>
      <c r="AH367" s="2"/>
      <c r="AI367" s="2"/>
      <c r="AJ367" s="2"/>
      <c r="AK367" s="2"/>
      <c r="AL367" s="2"/>
      <c r="AM367" s="2"/>
      <c r="AN367" s="2"/>
      <c r="AO367" s="9"/>
      <c r="AP367" s="9"/>
      <c r="AQ367" s="9"/>
      <c r="AR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224"/>
      <c r="X368" s="224"/>
      <c r="Y368" s="224"/>
      <c r="Z368" s="868"/>
      <c r="AA368" s="865"/>
      <c r="AB368" s="2"/>
      <c r="AC368" s="2"/>
      <c r="AD368" s="2"/>
      <c r="AE368" s="2"/>
      <c r="AF368" s="2"/>
      <c r="AG368" s="2"/>
      <c r="AH368" s="2"/>
      <c r="AI368" s="2"/>
      <c r="AJ368" s="2"/>
      <c r="AK368" s="2"/>
      <c r="AL368" s="2"/>
      <c r="AM368" s="2"/>
      <c r="AN368" s="2"/>
      <c r="AO368" s="9"/>
      <c r="AP368" s="9"/>
      <c r="AQ368" s="9"/>
      <c r="AR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224"/>
      <c r="X369" s="224"/>
      <c r="Y369" s="224"/>
      <c r="Z369" s="868"/>
      <c r="AA369" s="865"/>
      <c r="AB369" s="2"/>
      <c r="AC369" s="2"/>
      <c r="AD369" s="2"/>
      <c r="AE369" s="2"/>
      <c r="AF369" s="2"/>
      <c r="AG369" s="2"/>
      <c r="AH369" s="2"/>
      <c r="AI369" s="2"/>
      <c r="AJ369" s="2"/>
      <c r="AK369" s="2"/>
      <c r="AL369" s="2"/>
      <c r="AM369" s="2"/>
      <c r="AN369" s="2"/>
      <c r="AO369" s="9"/>
      <c r="AP369" s="9"/>
      <c r="AQ369" s="9"/>
      <c r="AR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224"/>
      <c r="X370" s="224"/>
      <c r="Y370" s="224"/>
      <c r="Z370" s="868"/>
      <c r="AA370" s="865"/>
      <c r="AB370" s="2"/>
      <c r="AC370" s="2"/>
      <c r="AD370" s="2"/>
      <c r="AE370" s="2"/>
      <c r="AF370" s="2"/>
      <c r="AG370" s="2"/>
      <c r="AH370" s="2"/>
      <c r="AI370" s="2"/>
      <c r="AJ370" s="2"/>
      <c r="AK370" s="2"/>
      <c r="AL370" s="2"/>
      <c r="AM370" s="2"/>
      <c r="AN370" s="2"/>
      <c r="AO370" s="9"/>
      <c r="AP370" s="9"/>
      <c r="AQ370" s="9"/>
      <c r="AR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224"/>
      <c r="X371" s="224"/>
      <c r="Y371" s="224"/>
      <c r="Z371" s="868"/>
      <c r="AA371" s="865"/>
      <c r="AB371" s="2"/>
      <c r="AC371" s="2"/>
      <c r="AD371" s="2"/>
      <c r="AE371" s="2"/>
      <c r="AF371" s="2"/>
      <c r="AG371" s="2"/>
      <c r="AH371" s="2"/>
      <c r="AI371" s="2"/>
      <c r="AJ371" s="2"/>
      <c r="AK371" s="2"/>
      <c r="AL371" s="2"/>
      <c r="AM371" s="2"/>
      <c r="AN371" s="2"/>
      <c r="AO371" s="9"/>
      <c r="AP371" s="9"/>
      <c r="AQ371" s="9"/>
      <c r="AR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224"/>
      <c r="X372" s="224"/>
      <c r="Y372" s="224"/>
      <c r="Z372" s="868"/>
      <c r="AA372" s="865"/>
      <c r="AB372" s="2"/>
      <c r="AC372" s="2"/>
      <c r="AD372" s="2"/>
      <c r="AE372" s="2"/>
      <c r="AF372" s="2"/>
      <c r="AG372" s="2"/>
      <c r="AH372" s="2"/>
      <c r="AI372" s="2"/>
      <c r="AJ372" s="2"/>
      <c r="AK372" s="2"/>
      <c r="AL372" s="2"/>
      <c r="AM372" s="2"/>
      <c r="AN372" s="2"/>
      <c r="AO372" s="9"/>
      <c r="AP372" s="9"/>
      <c r="AQ372" s="9"/>
      <c r="AR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224"/>
      <c r="X373" s="224"/>
      <c r="Y373" s="224"/>
      <c r="Z373" s="868"/>
      <c r="AA373" s="865"/>
      <c r="AB373" s="2"/>
      <c r="AC373" s="2"/>
      <c r="AD373" s="2"/>
      <c r="AE373" s="2"/>
      <c r="AF373" s="2"/>
      <c r="AG373" s="2"/>
      <c r="AH373" s="2"/>
      <c r="AI373" s="2"/>
      <c r="AJ373" s="2"/>
      <c r="AK373" s="2"/>
      <c r="AL373" s="2"/>
      <c r="AM373" s="2"/>
      <c r="AN373" s="2"/>
      <c r="AO373" s="9"/>
      <c r="AP373" s="9"/>
      <c r="AQ373" s="9"/>
      <c r="AR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224"/>
      <c r="X374" s="224"/>
      <c r="Y374" s="224"/>
      <c r="Z374" s="868"/>
      <c r="AA374" s="865"/>
      <c r="AB374" s="2"/>
      <c r="AC374" s="2"/>
      <c r="AD374" s="2"/>
      <c r="AE374" s="2"/>
      <c r="AF374" s="2"/>
      <c r="AG374" s="2"/>
      <c r="AH374" s="2"/>
      <c r="AI374" s="2"/>
      <c r="AJ374" s="2"/>
      <c r="AK374" s="2"/>
      <c r="AL374" s="2"/>
      <c r="AM374" s="2"/>
      <c r="AN374" s="2"/>
      <c r="AO374" s="9"/>
      <c r="AP374" s="9"/>
      <c r="AQ374" s="9"/>
      <c r="AR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224"/>
      <c r="X375" s="224"/>
      <c r="Y375" s="224"/>
      <c r="Z375" s="868"/>
      <c r="AA375" s="865"/>
      <c r="AB375" s="2"/>
      <c r="AC375" s="2"/>
      <c r="AD375" s="2"/>
      <c r="AE375" s="2"/>
      <c r="AF375" s="2"/>
      <c r="AG375" s="2"/>
      <c r="AH375" s="2"/>
      <c r="AI375" s="2"/>
      <c r="AJ375" s="2"/>
      <c r="AK375" s="2"/>
      <c r="AL375" s="2"/>
      <c r="AM375" s="2"/>
      <c r="AN375" s="2"/>
      <c r="AO375" s="9"/>
      <c r="AP375" s="9"/>
      <c r="AQ375" s="9"/>
      <c r="AR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224"/>
      <c r="X376" s="224"/>
      <c r="Y376" s="224"/>
      <c r="Z376" s="868"/>
      <c r="AA376" s="865"/>
      <c r="AB376" s="2"/>
      <c r="AC376" s="2"/>
      <c r="AD376" s="2"/>
      <c r="AE376" s="2"/>
      <c r="AF376" s="2"/>
      <c r="AG376" s="2"/>
      <c r="AH376" s="2"/>
      <c r="AI376" s="2"/>
      <c r="AJ376" s="2"/>
      <c r="AK376" s="2"/>
      <c r="AL376" s="2"/>
      <c r="AM376" s="2"/>
      <c r="AN376" s="2"/>
      <c r="AO376" s="9"/>
      <c r="AP376" s="9"/>
      <c r="AQ376" s="9"/>
      <c r="AR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224"/>
      <c r="X377" s="224"/>
      <c r="Y377" s="224"/>
      <c r="Z377" s="868"/>
      <c r="AA377" s="865"/>
      <c r="AB377" s="2"/>
      <c r="AC377" s="2"/>
      <c r="AD377" s="2"/>
      <c r="AE377" s="2"/>
      <c r="AF377" s="2"/>
      <c r="AG377" s="2"/>
      <c r="AH377" s="2"/>
      <c r="AI377" s="2"/>
      <c r="AJ377" s="2"/>
      <c r="AK377" s="2"/>
      <c r="AL377" s="2"/>
      <c r="AM377" s="2"/>
      <c r="AN377" s="2"/>
      <c r="AO377" s="9"/>
      <c r="AP377" s="9"/>
      <c r="AQ377" s="9"/>
      <c r="AR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224"/>
      <c r="X378" s="224"/>
      <c r="Y378" s="224"/>
      <c r="Z378" s="868"/>
      <c r="AA378" s="865"/>
      <c r="AB378" s="2"/>
      <c r="AC378" s="2"/>
      <c r="AD378" s="2"/>
      <c r="AE378" s="2"/>
      <c r="AF378" s="2"/>
      <c r="AG378" s="2"/>
      <c r="AH378" s="2"/>
      <c r="AI378" s="2"/>
      <c r="AJ378" s="2"/>
      <c r="AK378" s="2"/>
      <c r="AL378" s="2"/>
      <c r="AM378" s="2"/>
      <c r="AN378" s="2"/>
      <c r="AO378" s="9"/>
      <c r="AP378" s="9"/>
      <c r="AQ378" s="9"/>
      <c r="AR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224"/>
      <c r="X379" s="224"/>
      <c r="Y379" s="224"/>
      <c r="Z379" s="868"/>
      <c r="AA379" s="865"/>
      <c r="AB379" s="2"/>
      <c r="AC379" s="2"/>
      <c r="AD379" s="2"/>
      <c r="AE379" s="2"/>
      <c r="AF379" s="2"/>
      <c r="AG379" s="2"/>
      <c r="AH379" s="2"/>
      <c r="AI379" s="2"/>
      <c r="AJ379" s="2"/>
      <c r="AK379" s="2"/>
      <c r="AL379" s="2"/>
      <c r="AM379" s="2"/>
      <c r="AN379" s="2"/>
      <c r="AO379" s="9"/>
      <c r="AP379" s="9"/>
      <c r="AQ379" s="9"/>
      <c r="AR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224"/>
      <c r="X380" s="224"/>
      <c r="Y380" s="224"/>
      <c r="Z380" s="868"/>
      <c r="AA380" s="865"/>
      <c r="AB380" s="2"/>
      <c r="AC380" s="2"/>
      <c r="AD380" s="2"/>
      <c r="AE380" s="2"/>
      <c r="AF380" s="2"/>
      <c r="AG380" s="2"/>
      <c r="AH380" s="2"/>
      <c r="AI380" s="2"/>
      <c r="AJ380" s="2"/>
      <c r="AK380" s="2"/>
      <c r="AL380" s="2"/>
      <c r="AM380" s="2"/>
      <c r="AN380" s="2"/>
      <c r="AO380" s="9"/>
      <c r="AP380" s="9"/>
      <c r="AQ380" s="9"/>
      <c r="AR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224"/>
      <c r="X381" s="224"/>
      <c r="Y381" s="224"/>
      <c r="Z381" s="868"/>
      <c r="AA381" s="865"/>
      <c r="AB381" s="2"/>
      <c r="AC381" s="2"/>
      <c r="AD381" s="2"/>
      <c r="AE381" s="2"/>
      <c r="AF381" s="2"/>
      <c r="AG381" s="2"/>
      <c r="AH381" s="2"/>
      <c r="AI381" s="2"/>
      <c r="AJ381" s="2"/>
      <c r="AK381" s="2"/>
      <c r="AL381" s="2"/>
      <c r="AM381" s="2"/>
      <c r="AN381" s="2"/>
      <c r="AO381" s="9"/>
      <c r="AP381" s="9"/>
      <c r="AQ381" s="9"/>
      <c r="AR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224"/>
      <c r="X382" s="224"/>
      <c r="Y382" s="224"/>
      <c r="Z382" s="868"/>
      <c r="AA382" s="865"/>
      <c r="AB382" s="2"/>
      <c r="AC382" s="2"/>
      <c r="AD382" s="2"/>
      <c r="AE382" s="2"/>
      <c r="AF382" s="2"/>
      <c r="AG382" s="2"/>
      <c r="AH382" s="2"/>
      <c r="AI382" s="2"/>
      <c r="AJ382" s="2"/>
      <c r="AK382" s="2"/>
      <c r="AL382" s="2"/>
      <c r="AM382" s="2"/>
      <c r="AN382" s="2"/>
      <c r="AO382" s="9"/>
      <c r="AP382" s="9"/>
      <c r="AQ382" s="9"/>
      <c r="AR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224"/>
      <c r="X383" s="224"/>
      <c r="Y383" s="224"/>
      <c r="Z383" s="868"/>
      <c r="AA383" s="865"/>
      <c r="AB383" s="2"/>
      <c r="AC383" s="2"/>
      <c r="AD383" s="2"/>
      <c r="AE383" s="2"/>
      <c r="AF383" s="2"/>
      <c r="AG383" s="2"/>
      <c r="AH383" s="2"/>
      <c r="AI383" s="2"/>
      <c r="AJ383" s="2"/>
      <c r="AK383" s="2"/>
      <c r="AL383" s="2"/>
      <c r="AM383" s="2"/>
      <c r="AN383" s="2"/>
      <c r="AO383" s="9"/>
      <c r="AP383" s="9"/>
      <c r="AQ383" s="9"/>
      <c r="AR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224"/>
      <c r="X384" s="224"/>
      <c r="Y384" s="224"/>
      <c r="Z384" s="868"/>
      <c r="AA384" s="865"/>
      <c r="AB384" s="2"/>
      <c r="AC384" s="2"/>
      <c r="AD384" s="2"/>
      <c r="AE384" s="2"/>
      <c r="AF384" s="2"/>
      <c r="AG384" s="2"/>
      <c r="AH384" s="2"/>
      <c r="AI384" s="2"/>
      <c r="AJ384" s="2"/>
      <c r="AK384" s="2"/>
      <c r="AL384" s="2"/>
      <c r="AM384" s="2"/>
      <c r="AN384" s="2"/>
      <c r="AO384" s="9"/>
      <c r="AP384" s="9"/>
      <c r="AQ384" s="9"/>
      <c r="AR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224"/>
      <c r="X385" s="224"/>
      <c r="Y385" s="224"/>
      <c r="Z385" s="868"/>
      <c r="AA385" s="865"/>
      <c r="AB385" s="2"/>
      <c r="AC385" s="2"/>
      <c r="AD385" s="2"/>
      <c r="AE385" s="2"/>
      <c r="AF385" s="2"/>
      <c r="AG385" s="2"/>
      <c r="AH385" s="2"/>
      <c r="AI385" s="2"/>
      <c r="AJ385" s="2"/>
      <c r="AK385" s="2"/>
      <c r="AL385" s="2"/>
      <c r="AM385" s="2"/>
      <c r="AN385" s="2"/>
      <c r="AO385" s="9"/>
      <c r="AP385" s="9"/>
      <c r="AQ385" s="9"/>
      <c r="AR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224"/>
      <c r="X386" s="224"/>
      <c r="Y386" s="224"/>
      <c r="Z386" s="868"/>
      <c r="AA386" s="865"/>
      <c r="AB386" s="2"/>
      <c r="AC386" s="2"/>
      <c r="AD386" s="2"/>
      <c r="AE386" s="2"/>
      <c r="AF386" s="2"/>
      <c r="AG386" s="2"/>
      <c r="AH386" s="2"/>
      <c r="AI386" s="2"/>
      <c r="AJ386" s="2"/>
      <c r="AK386" s="2"/>
      <c r="AL386" s="2"/>
      <c r="AM386" s="2"/>
      <c r="AN386" s="2"/>
      <c r="AO386" s="9"/>
      <c r="AP386" s="9"/>
      <c r="AQ386" s="9"/>
      <c r="AR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224"/>
      <c r="X387" s="224"/>
      <c r="Y387" s="224"/>
      <c r="Z387" s="868"/>
      <c r="AA387" s="865"/>
      <c r="AB387" s="2"/>
      <c r="AC387" s="2"/>
      <c r="AD387" s="2"/>
      <c r="AE387" s="2"/>
      <c r="AF387" s="2"/>
      <c r="AG387" s="2"/>
      <c r="AH387" s="2"/>
      <c r="AI387" s="2"/>
      <c r="AJ387" s="2"/>
      <c r="AK387" s="2"/>
      <c r="AL387" s="2"/>
      <c r="AM387" s="2"/>
      <c r="AN387" s="2"/>
      <c r="AO387" s="9"/>
      <c r="AP387" s="9"/>
      <c r="AQ387" s="9"/>
      <c r="AR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224"/>
      <c r="X388" s="224"/>
      <c r="Y388" s="224"/>
      <c r="Z388" s="868"/>
      <c r="AA388" s="865"/>
      <c r="AB388" s="2"/>
      <c r="AC388" s="2"/>
      <c r="AD388" s="2"/>
      <c r="AE388" s="2"/>
      <c r="AF388" s="2"/>
      <c r="AG388" s="2"/>
      <c r="AH388" s="2"/>
      <c r="AI388" s="2"/>
      <c r="AJ388" s="2"/>
      <c r="AK388" s="2"/>
      <c r="AL388" s="2"/>
      <c r="AM388" s="2"/>
      <c r="AN388" s="2"/>
      <c r="AO388" s="9"/>
      <c r="AP388" s="9"/>
      <c r="AQ388" s="9"/>
      <c r="AR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224"/>
      <c r="X389" s="224"/>
      <c r="Y389" s="224"/>
      <c r="Z389" s="868"/>
      <c r="AA389" s="865"/>
      <c r="AB389" s="2"/>
      <c r="AC389" s="2"/>
      <c r="AD389" s="2"/>
      <c r="AE389" s="2"/>
      <c r="AF389" s="2"/>
      <c r="AG389" s="2"/>
      <c r="AH389" s="2"/>
      <c r="AI389" s="2"/>
      <c r="AJ389" s="2"/>
      <c r="AK389" s="2"/>
      <c r="AL389" s="2"/>
      <c r="AM389" s="2"/>
      <c r="AN389" s="2"/>
      <c r="AO389" s="9"/>
      <c r="AP389" s="9"/>
      <c r="AQ389" s="9"/>
      <c r="AR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224"/>
      <c r="X390" s="224"/>
      <c r="Y390" s="224"/>
      <c r="Z390" s="868"/>
      <c r="AA390" s="865"/>
      <c r="AB390" s="2"/>
      <c r="AC390" s="2"/>
      <c r="AD390" s="2"/>
      <c r="AE390" s="2"/>
      <c r="AF390" s="2"/>
      <c r="AG390" s="2"/>
      <c r="AH390" s="2"/>
      <c r="AI390" s="2"/>
      <c r="AJ390" s="2"/>
      <c r="AK390" s="2"/>
      <c r="AL390" s="2"/>
      <c r="AM390" s="2"/>
      <c r="AN390" s="2"/>
      <c r="AO390" s="9"/>
      <c r="AP390" s="9"/>
      <c r="AQ390" s="9"/>
      <c r="AR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224"/>
      <c r="X391" s="224"/>
      <c r="Y391" s="224"/>
      <c r="Z391" s="868"/>
      <c r="AA391" s="865"/>
      <c r="AB391" s="2"/>
      <c r="AC391" s="2"/>
      <c r="AD391" s="2"/>
      <c r="AE391" s="2"/>
      <c r="AF391" s="2"/>
      <c r="AG391" s="2"/>
      <c r="AH391" s="2"/>
      <c r="AI391" s="2"/>
      <c r="AJ391" s="2"/>
      <c r="AK391" s="2"/>
      <c r="AL391" s="2"/>
      <c r="AM391" s="2"/>
      <c r="AN391" s="2"/>
      <c r="AO391" s="9"/>
      <c r="AP391" s="9"/>
      <c r="AQ391" s="9"/>
      <c r="AR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224"/>
      <c r="X392" s="224"/>
      <c r="Y392" s="224"/>
      <c r="Z392" s="868"/>
      <c r="AA392" s="865"/>
      <c r="AB392" s="2"/>
      <c r="AC392" s="2"/>
      <c r="AD392" s="2"/>
      <c r="AE392" s="2"/>
      <c r="AF392" s="2"/>
      <c r="AG392" s="2"/>
      <c r="AH392" s="2"/>
      <c r="AI392" s="2"/>
      <c r="AJ392" s="2"/>
      <c r="AK392" s="2"/>
      <c r="AL392" s="2"/>
      <c r="AM392" s="2"/>
      <c r="AN392" s="2"/>
      <c r="AO392" s="9"/>
      <c r="AP392" s="9"/>
      <c r="AQ392" s="9"/>
      <c r="AR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224"/>
      <c r="X393" s="224"/>
      <c r="Y393" s="224"/>
      <c r="Z393" s="868"/>
      <c r="AA393" s="865"/>
      <c r="AB393" s="2"/>
      <c r="AC393" s="2"/>
      <c r="AD393" s="2"/>
      <c r="AE393" s="2"/>
      <c r="AF393" s="2"/>
      <c r="AG393" s="2"/>
      <c r="AH393" s="2"/>
      <c r="AI393" s="2"/>
      <c r="AJ393" s="2"/>
      <c r="AK393" s="2"/>
      <c r="AL393" s="2"/>
      <c r="AM393" s="2"/>
      <c r="AN393" s="2"/>
      <c r="AO393" s="9"/>
      <c r="AP393" s="9"/>
      <c r="AQ393" s="9"/>
      <c r="AR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224"/>
      <c r="X394" s="224"/>
      <c r="Y394" s="224"/>
      <c r="Z394" s="868"/>
      <c r="AA394" s="865"/>
      <c r="AB394" s="2"/>
      <c r="AC394" s="2"/>
      <c r="AD394" s="2"/>
      <c r="AE394" s="2"/>
      <c r="AF394" s="2"/>
      <c r="AG394" s="2"/>
      <c r="AH394" s="2"/>
      <c r="AI394" s="2"/>
      <c r="AJ394" s="2"/>
      <c r="AK394" s="2"/>
      <c r="AL394" s="2"/>
      <c r="AM394" s="2"/>
      <c r="AN394" s="2"/>
      <c r="AO394" s="9"/>
      <c r="AP394" s="9"/>
      <c r="AQ394" s="9"/>
      <c r="AR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224"/>
      <c r="X395" s="224"/>
      <c r="Y395" s="224"/>
      <c r="Z395" s="868"/>
      <c r="AA395" s="865"/>
      <c r="AB395" s="2"/>
      <c r="AC395" s="2"/>
      <c r="AD395" s="2"/>
      <c r="AE395" s="2"/>
      <c r="AF395" s="2"/>
      <c r="AG395" s="2"/>
      <c r="AH395" s="2"/>
      <c r="AI395" s="2"/>
      <c r="AJ395" s="2"/>
      <c r="AK395" s="2"/>
      <c r="AL395" s="2"/>
      <c r="AM395" s="2"/>
      <c r="AN395" s="2"/>
      <c r="AO395" s="9"/>
      <c r="AP395" s="9"/>
      <c r="AQ395" s="9"/>
      <c r="AR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224"/>
      <c r="X396" s="224"/>
      <c r="Y396" s="224"/>
      <c r="Z396" s="868"/>
      <c r="AA396" s="865"/>
      <c r="AB396" s="2"/>
      <c r="AC396" s="2"/>
      <c r="AD396" s="2"/>
      <c r="AE396" s="2"/>
      <c r="AF396" s="2"/>
      <c r="AG396" s="2"/>
      <c r="AH396" s="2"/>
      <c r="AI396" s="2"/>
      <c r="AJ396" s="2"/>
      <c r="AK396" s="2"/>
      <c r="AL396" s="2"/>
      <c r="AM396" s="2"/>
      <c r="AN396" s="2"/>
      <c r="AO396" s="9"/>
      <c r="AP396" s="9"/>
      <c r="AQ396" s="9"/>
      <c r="AR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224"/>
      <c r="X397" s="224"/>
      <c r="Y397" s="224"/>
      <c r="Z397" s="868"/>
      <c r="AA397" s="865"/>
      <c r="AB397" s="2"/>
      <c r="AC397" s="2"/>
      <c r="AD397" s="2"/>
      <c r="AE397" s="2"/>
      <c r="AF397" s="2"/>
      <c r="AG397" s="2"/>
      <c r="AH397" s="2"/>
      <c r="AI397" s="2"/>
      <c r="AJ397" s="2"/>
      <c r="AK397" s="2"/>
      <c r="AL397" s="2"/>
      <c r="AM397" s="2"/>
      <c r="AN397" s="2"/>
      <c r="AO397" s="9"/>
      <c r="AP397" s="9"/>
      <c r="AQ397" s="9"/>
      <c r="AR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224"/>
      <c r="X398" s="224"/>
      <c r="Y398" s="224"/>
      <c r="Z398" s="868"/>
      <c r="AA398" s="865"/>
      <c r="AB398" s="2"/>
      <c r="AC398" s="2"/>
      <c r="AD398" s="2"/>
      <c r="AE398" s="2"/>
      <c r="AF398" s="2"/>
      <c r="AG398" s="2"/>
      <c r="AH398" s="2"/>
      <c r="AI398" s="2"/>
      <c r="AJ398" s="2"/>
      <c r="AK398" s="2"/>
      <c r="AL398" s="2"/>
      <c r="AM398" s="2"/>
      <c r="AN398" s="2"/>
      <c r="AO398" s="9"/>
      <c r="AP398" s="9"/>
      <c r="AQ398" s="9"/>
      <c r="AR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224"/>
      <c r="X399" s="224"/>
      <c r="Y399" s="224"/>
      <c r="Z399" s="868"/>
      <c r="AA399" s="865"/>
      <c r="AB399" s="2"/>
      <c r="AC399" s="2"/>
      <c r="AD399" s="2"/>
      <c r="AE399" s="2"/>
      <c r="AF399" s="2"/>
      <c r="AG399" s="2"/>
      <c r="AH399" s="2"/>
      <c r="AI399" s="2"/>
      <c r="AJ399" s="2"/>
      <c r="AK399" s="2"/>
      <c r="AL399" s="2"/>
      <c r="AM399" s="2"/>
      <c r="AN399" s="2"/>
      <c r="AO399" s="9"/>
      <c r="AP399" s="9"/>
      <c r="AQ399" s="9"/>
      <c r="AR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224"/>
      <c r="X400" s="224"/>
      <c r="Y400" s="224"/>
      <c r="Z400" s="868"/>
      <c r="AA400" s="865"/>
      <c r="AB400" s="2"/>
      <c r="AC400" s="2"/>
      <c r="AD400" s="2"/>
      <c r="AE400" s="2"/>
      <c r="AF400" s="2"/>
      <c r="AG400" s="2"/>
      <c r="AH400" s="2"/>
      <c r="AI400" s="2"/>
      <c r="AJ400" s="2"/>
      <c r="AK400" s="2"/>
      <c r="AL400" s="2"/>
      <c r="AM400" s="2"/>
      <c r="AN400" s="2"/>
      <c r="AO400" s="9"/>
      <c r="AP400" s="9"/>
      <c r="AQ400" s="9"/>
      <c r="AR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224"/>
      <c r="X401" s="224"/>
      <c r="Y401" s="224"/>
      <c r="Z401" s="868"/>
      <c r="AA401" s="865"/>
      <c r="AB401" s="2"/>
      <c r="AC401" s="2"/>
      <c r="AD401" s="2"/>
      <c r="AE401" s="2"/>
      <c r="AF401" s="2"/>
      <c r="AG401" s="2"/>
      <c r="AH401" s="2"/>
      <c r="AI401" s="2"/>
      <c r="AJ401" s="2"/>
      <c r="AK401" s="2"/>
      <c r="AL401" s="2"/>
      <c r="AM401" s="2"/>
      <c r="AN401" s="2"/>
      <c r="AO401" s="9"/>
      <c r="AP401" s="9"/>
      <c r="AQ401" s="9"/>
      <c r="AR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224"/>
      <c r="X402" s="224"/>
      <c r="Y402" s="224"/>
      <c r="Z402" s="868"/>
      <c r="AA402" s="865"/>
      <c r="AB402" s="2"/>
      <c r="AC402" s="2"/>
      <c r="AD402" s="2"/>
      <c r="AE402" s="2"/>
      <c r="AF402" s="2"/>
      <c r="AG402" s="2"/>
      <c r="AH402" s="2"/>
      <c r="AI402" s="2"/>
      <c r="AJ402" s="2"/>
      <c r="AK402" s="2"/>
      <c r="AL402" s="2"/>
      <c r="AM402" s="2"/>
      <c r="AN402" s="2"/>
      <c r="AO402" s="9"/>
      <c r="AP402" s="9"/>
      <c r="AQ402" s="9"/>
      <c r="AR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224"/>
      <c r="X403" s="224"/>
      <c r="Y403" s="224"/>
      <c r="Z403" s="868"/>
      <c r="AA403" s="865"/>
      <c r="AB403" s="2"/>
      <c r="AC403" s="2"/>
      <c r="AD403" s="2"/>
      <c r="AE403" s="2"/>
      <c r="AF403" s="2"/>
      <c r="AG403" s="2"/>
      <c r="AH403" s="2"/>
      <c r="AI403" s="2"/>
      <c r="AJ403" s="2"/>
      <c r="AK403" s="2"/>
      <c r="AL403" s="2"/>
      <c r="AM403" s="2"/>
      <c r="AN403" s="2"/>
      <c r="AO403" s="9"/>
      <c r="AP403" s="9"/>
      <c r="AQ403" s="9"/>
      <c r="AR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224"/>
      <c r="X404" s="224"/>
      <c r="Y404" s="224"/>
      <c r="Z404" s="868"/>
      <c r="AA404" s="865"/>
      <c r="AB404" s="2"/>
      <c r="AC404" s="2"/>
      <c r="AD404" s="2"/>
      <c r="AE404" s="2"/>
      <c r="AF404" s="2"/>
      <c r="AG404" s="2"/>
      <c r="AH404" s="2"/>
      <c r="AI404" s="2"/>
      <c r="AJ404" s="2"/>
      <c r="AK404" s="2"/>
      <c r="AL404" s="2"/>
      <c r="AM404" s="2"/>
      <c r="AN404" s="2"/>
      <c r="AO404" s="9"/>
      <c r="AP404" s="9"/>
      <c r="AQ404" s="9"/>
      <c r="AR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224"/>
      <c r="X405" s="224"/>
      <c r="Y405" s="224"/>
      <c r="Z405" s="868"/>
      <c r="AA405" s="865"/>
      <c r="AB405" s="2"/>
      <c r="AC405" s="2"/>
      <c r="AD405" s="2"/>
      <c r="AE405" s="2"/>
      <c r="AF405" s="2"/>
      <c r="AG405" s="2"/>
      <c r="AH405" s="2"/>
      <c r="AI405" s="2"/>
      <c r="AJ405" s="2"/>
      <c r="AK405" s="2"/>
      <c r="AL405" s="2"/>
      <c r="AM405" s="2"/>
      <c r="AN405" s="2"/>
      <c r="AO405" s="9"/>
      <c r="AP405" s="9"/>
      <c r="AQ405" s="9"/>
      <c r="AR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224"/>
      <c r="X406" s="224"/>
      <c r="Y406" s="224"/>
      <c r="Z406" s="868"/>
      <c r="AA406" s="865"/>
      <c r="AB406" s="2"/>
      <c r="AC406" s="2"/>
      <c r="AD406" s="2"/>
      <c r="AE406" s="2"/>
      <c r="AF406" s="2"/>
      <c r="AG406" s="2"/>
      <c r="AH406" s="2"/>
      <c r="AI406" s="2"/>
      <c r="AJ406" s="2"/>
      <c r="AK406" s="2"/>
      <c r="AL406" s="2"/>
      <c r="AM406" s="2"/>
      <c r="AN406" s="2"/>
      <c r="AO406" s="9"/>
      <c r="AP406" s="9"/>
      <c r="AQ406" s="9"/>
      <c r="AR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224"/>
      <c r="X407" s="224"/>
      <c r="Y407" s="224"/>
      <c r="Z407" s="868"/>
      <c r="AA407" s="865"/>
      <c r="AB407" s="2"/>
      <c r="AC407" s="2"/>
      <c r="AD407" s="2"/>
      <c r="AE407" s="2"/>
      <c r="AF407" s="2"/>
      <c r="AG407" s="2"/>
      <c r="AH407" s="2"/>
      <c r="AI407" s="2"/>
      <c r="AJ407" s="2"/>
      <c r="AK407" s="2"/>
      <c r="AL407" s="2"/>
      <c r="AM407" s="2"/>
      <c r="AN407" s="2"/>
      <c r="AO407" s="9"/>
      <c r="AP407" s="9"/>
      <c r="AQ407" s="9"/>
      <c r="AR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224"/>
      <c r="X408" s="224"/>
      <c r="Y408" s="224"/>
      <c r="Z408" s="868"/>
      <c r="AA408" s="865"/>
      <c r="AB408" s="2"/>
      <c r="AC408" s="2"/>
      <c r="AD408" s="2"/>
      <c r="AE408" s="2"/>
      <c r="AF408" s="2"/>
      <c r="AG408" s="2"/>
      <c r="AH408" s="2"/>
      <c r="AI408" s="2"/>
      <c r="AJ408" s="2"/>
      <c r="AK408" s="2"/>
      <c r="AL408" s="2"/>
      <c r="AM408" s="2"/>
      <c r="AN408" s="2"/>
      <c r="AO408" s="9"/>
      <c r="AP408" s="9"/>
      <c r="AQ408" s="9"/>
      <c r="AR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224"/>
      <c r="X409" s="224"/>
      <c r="Y409" s="224"/>
      <c r="Z409" s="868"/>
      <c r="AA409" s="865"/>
      <c r="AB409" s="2"/>
      <c r="AC409" s="2"/>
      <c r="AD409" s="2"/>
      <c r="AE409" s="2"/>
      <c r="AF409" s="2"/>
      <c r="AG409" s="2"/>
      <c r="AH409" s="2"/>
      <c r="AI409" s="2"/>
      <c r="AJ409" s="2"/>
      <c r="AK409" s="2"/>
      <c r="AL409" s="2"/>
      <c r="AM409" s="2"/>
      <c r="AN409" s="2"/>
      <c r="AO409" s="9"/>
      <c r="AP409" s="9"/>
      <c r="AQ409" s="9"/>
      <c r="AR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224"/>
      <c r="X410" s="224"/>
      <c r="Y410" s="224"/>
      <c r="Z410" s="868"/>
      <c r="AA410" s="865"/>
      <c r="AB410" s="2"/>
      <c r="AC410" s="2"/>
      <c r="AD410" s="2"/>
      <c r="AE410" s="2"/>
      <c r="AF410" s="2"/>
      <c r="AG410" s="2"/>
      <c r="AH410" s="2"/>
      <c r="AI410" s="2"/>
      <c r="AJ410" s="2"/>
      <c r="AK410" s="2"/>
      <c r="AL410" s="2"/>
      <c r="AM410" s="2"/>
      <c r="AN410" s="2"/>
      <c r="AO410" s="9"/>
      <c r="AP410" s="9"/>
      <c r="AQ410" s="9"/>
      <c r="AR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224"/>
      <c r="X411" s="224"/>
      <c r="Y411" s="224"/>
      <c r="Z411" s="868"/>
      <c r="AA411" s="865"/>
      <c r="AB411" s="2"/>
      <c r="AC411" s="2"/>
      <c r="AD411" s="2"/>
      <c r="AE411" s="2"/>
      <c r="AF411" s="2"/>
      <c r="AG411" s="2"/>
      <c r="AH411" s="2"/>
      <c r="AI411" s="2"/>
      <c r="AJ411" s="2"/>
      <c r="AK411" s="2"/>
      <c r="AL411" s="2"/>
      <c r="AM411" s="2"/>
      <c r="AN411" s="2"/>
      <c r="AO411" s="9"/>
      <c r="AP411" s="9"/>
      <c r="AQ411" s="9"/>
      <c r="AR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224"/>
      <c r="X412" s="224"/>
      <c r="Y412" s="224"/>
      <c r="Z412" s="868"/>
      <c r="AA412" s="865"/>
      <c r="AB412" s="2"/>
      <c r="AC412" s="2"/>
      <c r="AD412" s="2"/>
      <c r="AE412" s="2"/>
      <c r="AF412" s="2"/>
      <c r="AG412" s="2"/>
      <c r="AH412" s="2"/>
      <c r="AI412" s="2"/>
      <c r="AJ412" s="2"/>
      <c r="AK412" s="2"/>
      <c r="AL412" s="2"/>
      <c r="AM412" s="2"/>
      <c r="AN412" s="2"/>
      <c r="AO412" s="9"/>
      <c r="AP412" s="9"/>
      <c r="AQ412" s="9"/>
      <c r="AR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224"/>
      <c r="X413" s="224"/>
      <c r="Y413" s="224"/>
      <c r="Z413" s="868"/>
      <c r="AA413" s="865"/>
      <c r="AB413" s="2"/>
      <c r="AC413" s="2"/>
      <c r="AD413" s="2"/>
      <c r="AE413" s="2"/>
      <c r="AF413" s="2"/>
      <c r="AG413" s="2"/>
      <c r="AH413" s="2"/>
      <c r="AI413" s="2"/>
      <c r="AJ413" s="2"/>
      <c r="AK413" s="2"/>
      <c r="AL413" s="2"/>
      <c r="AM413" s="2"/>
      <c r="AN413" s="2"/>
      <c r="AO413" s="9"/>
      <c r="AP413" s="9"/>
      <c r="AQ413" s="9"/>
      <c r="AR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224"/>
      <c r="X414" s="224"/>
      <c r="Y414" s="224"/>
      <c r="Z414" s="868"/>
      <c r="AA414" s="865"/>
      <c r="AB414" s="2"/>
      <c r="AC414" s="2"/>
      <c r="AD414" s="2"/>
      <c r="AE414" s="2"/>
      <c r="AF414" s="2"/>
      <c r="AG414" s="2"/>
      <c r="AH414" s="2"/>
      <c r="AI414" s="2"/>
      <c r="AJ414" s="2"/>
      <c r="AK414" s="2"/>
      <c r="AL414" s="2"/>
      <c r="AM414" s="2"/>
      <c r="AN414" s="2"/>
      <c r="AO414" s="9"/>
      <c r="AP414" s="9"/>
      <c r="AQ414" s="9"/>
      <c r="AR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224"/>
      <c r="X415" s="224"/>
      <c r="Y415" s="224"/>
      <c r="Z415" s="868"/>
      <c r="AA415" s="865"/>
      <c r="AB415" s="2"/>
      <c r="AC415" s="2"/>
      <c r="AD415" s="2"/>
      <c r="AE415" s="2"/>
      <c r="AF415" s="2"/>
      <c r="AG415" s="2"/>
      <c r="AH415" s="2"/>
      <c r="AI415" s="2"/>
      <c r="AJ415" s="2"/>
      <c r="AK415" s="2"/>
      <c r="AL415" s="2"/>
      <c r="AM415" s="2"/>
      <c r="AN415" s="2"/>
      <c r="AO415" s="9"/>
      <c r="AP415" s="9"/>
      <c r="AQ415" s="9"/>
      <c r="AR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224"/>
      <c r="X416" s="224"/>
      <c r="Y416" s="224"/>
      <c r="Z416" s="868"/>
      <c r="AA416" s="865"/>
      <c r="AB416" s="2"/>
      <c r="AC416" s="2"/>
      <c r="AD416" s="2"/>
      <c r="AE416" s="2"/>
      <c r="AF416" s="2"/>
      <c r="AG416" s="2"/>
      <c r="AH416" s="2"/>
      <c r="AI416" s="2"/>
      <c r="AJ416" s="2"/>
      <c r="AK416" s="2"/>
      <c r="AL416" s="2"/>
      <c r="AM416" s="2"/>
      <c r="AN416" s="2"/>
      <c r="AO416" s="9"/>
      <c r="AP416" s="9"/>
      <c r="AQ416" s="9"/>
      <c r="AR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224"/>
      <c r="X417" s="224"/>
      <c r="Y417" s="224"/>
      <c r="Z417" s="868"/>
      <c r="AA417" s="865"/>
      <c r="AB417" s="2"/>
      <c r="AC417" s="2"/>
      <c r="AD417" s="2"/>
      <c r="AE417" s="2"/>
      <c r="AF417" s="2"/>
      <c r="AG417" s="2"/>
      <c r="AH417" s="2"/>
      <c r="AI417" s="2"/>
      <c r="AJ417" s="2"/>
      <c r="AK417" s="2"/>
      <c r="AL417" s="2"/>
      <c r="AM417" s="2"/>
      <c r="AN417" s="2"/>
      <c r="AO417" s="9"/>
      <c r="AP417" s="9"/>
      <c r="AQ417" s="9"/>
      <c r="AR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224"/>
      <c r="X418" s="224"/>
      <c r="Y418" s="224"/>
      <c r="Z418" s="868"/>
      <c r="AA418" s="865"/>
      <c r="AB418" s="2"/>
      <c r="AC418" s="2"/>
      <c r="AD418" s="2"/>
      <c r="AE418" s="2"/>
      <c r="AF418" s="2"/>
      <c r="AG418" s="2"/>
      <c r="AH418" s="2"/>
      <c r="AI418" s="2"/>
      <c r="AJ418" s="2"/>
      <c r="AK418" s="2"/>
      <c r="AL418" s="2"/>
      <c r="AM418" s="2"/>
      <c r="AN418" s="2"/>
      <c r="AO418" s="9"/>
      <c r="AP418" s="9"/>
      <c r="AQ418" s="9"/>
      <c r="AR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224"/>
      <c r="X419" s="224"/>
      <c r="Y419" s="224"/>
      <c r="Z419" s="868"/>
      <c r="AA419" s="865"/>
      <c r="AB419" s="2"/>
      <c r="AC419" s="2"/>
      <c r="AD419" s="2"/>
      <c r="AE419" s="2"/>
      <c r="AF419" s="2"/>
      <c r="AG419" s="2"/>
      <c r="AH419" s="2"/>
      <c r="AI419" s="2"/>
      <c r="AJ419" s="2"/>
      <c r="AK419" s="2"/>
      <c r="AL419" s="2"/>
      <c r="AM419" s="2"/>
      <c r="AN419" s="2"/>
      <c r="AO419" s="9"/>
      <c r="AP419" s="9"/>
      <c r="AQ419" s="9"/>
      <c r="AR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224"/>
      <c r="X420" s="224"/>
      <c r="Y420" s="224"/>
      <c r="Z420" s="868"/>
      <c r="AA420" s="865"/>
      <c r="AB420" s="2"/>
      <c r="AC420" s="2"/>
      <c r="AD420" s="2"/>
      <c r="AE420" s="2"/>
      <c r="AF420" s="2"/>
      <c r="AG420" s="2"/>
      <c r="AH420" s="2"/>
      <c r="AI420" s="2"/>
      <c r="AJ420" s="2"/>
      <c r="AK420" s="2"/>
      <c r="AL420" s="2"/>
      <c r="AM420" s="2"/>
      <c r="AN420" s="2"/>
      <c r="AO420" s="9"/>
      <c r="AP420" s="9"/>
      <c r="AQ420" s="9"/>
      <c r="AR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224"/>
      <c r="X421" s="224"/>
      <c r="Y421" s="224"/>
      <c r="Z421" s="868"/>
      <c r="AA421" s="865"/>
      <c r="AB421" s="2"/>
      <c r="AC421" s="2"/>
      <c r="AD421" s="2"/>
      <c r="AE421" s="2"/>
      <c r="AF421" s="2"/>
      <c r="AG421" s="2"/>
      <c r="AH421" s="2"/>
      <c r="AI421" s="2"/>
      <c r="AJ421" s="2"/>
      <c r="AK421" s="2"/>
      <c r="AL421" s="2"/>
      <c r="AM421" s="2"/>
      <c r="AN421" s="2"/>
      <c r="AO421" s="9"/>
      <c r="AP421" s="9"/>
      <c r="AQ421" s="9"/>
      <c r="AR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224"/>
      <c r="X422" s="224"/>
      <c r="Y422" s="224"/>
      <c r="Z422" s="868"/>
      <c r="AA422" s="865"/>
      <c r="AB422" s="2"/>
      <c r="AC422" s="2"/>
      <c r="AD422" s="2"/>
      <c r="AE422" s="2"/>
      <c r="AF422" s="2"/>
      <c r="AG422" s="2"/>
      <c r="AH422" s="2"/>
      <c r="AI422" s="2"/>
      <c r="AJ422" s="2"/>
      <c r="AK422" s="2"/>
      <c r="AL422" s="2"/>
      <c r="AM422" s="2"/>
      <c r="AN422" s="2"/>
      <c r="AO422" s="9"/>
      <c r="AP422" s="9"/>
      <c r="AQ422" s="9"/>
      <c r="AR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224"/>
      <c r="X423" s="224"/>
      <c r="Y423" s="224"/>
      <c r="Z423" s="868"/>
      <c r="AA423" s="865"/>
      <c r="AB423" s="2"/>
      <c r="AC423" s="2"/>
      <c r="AD423" s="2"/>
      <c r="AE423" s="2"/>
      <c r="AF423" s="2"/>
      <c r="AG423" s="2"/>
      <c r="AH423" s="2"/>
      <c r="AI423" s="2"/>
      <c r="AJ423" s="2"/>
      <c r="AK423" s="2"/>
      <c r="AL423" s="2"/>
      <c r="AM423" s="2"/>
      <c r="AN423" s="2"/>
      <c r="AO423" s="9"/>
      <c r="AP423" s="9"/>
      <c r="AQ423" s="9"/>
      <c r="AR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224"/>
      <c r="X424" s="224"/>
      <c r="Y424" s="224"/>
      <c r="Z424" s="868"/>
      <c r="AA424" s="865"/>
      <c r="AB424" s="2"/>
      <c r="AC424" s="2"/>
      <c r="AD424" s="2"/>
      <c r="AE424" s="2"/>
      <c r="AF424" s="2"/>
      <c r="AG424" s="2"/>
      <c r="AH424" s="2"/>
      <c r="AI424" s="2"/>
      <c r="AJ424" s="2"/>
      <c r="AK424" s="2"/>
      <c r="AL424" s="2"/>
      <c r="AM424" s="2"/>
      <c r="AN424" s="2"/>
      <c r="AO424" s="9"/>
      <c r="AP424" s="9"/>
      <c r="AQ424" s="9"/>
      <c r="AR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224"/>
      <c r="X425" s="224"/>
      <c r="Y425" s="224"/>
      <c r="Z425" s="868"/>
      <c r="AA425" s="865"/>
      <c r="AB425" s="2"/>
      <c r="AC425" s="2"/>
      <c r="AD425" s="2"/>
      <c r="AE425" s="2"/>
      <c r="AF425" s="2"/>
      <c r="AG425" s="2"/>
      <c r="AH425" s="2"/>
      <c r="AI425" s="2"/>
      <c r="AJ425" s="2"/>
      <c r="AK425" s="2"/>
      <c r="AL425" s="2"/>
      <c r="AM425" s="2"/>
      <c r="AN425" s="2"/>
      <c r="AO425" s="9"/>
      <c r="AP425" s="9"/>
      <c r="AQ425" s="9"/>
      <c r="AR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224"/>
      <c r="X426" s="224"/>
      <c r="Y426" s="224"/>
      <c r="Z426" s="868"/>
      <c r="AA426" s="865"/>
      <c r="AB426" s="2"/>
      <c r="AC426" s="2"/>
      <c r="AD426" s="2"/>
      <c r="AE426" s="2"/>
      <c r="AF426" s="2"/>
      <c r="AG426" s="2"/>
      <c r="AH426" s="2"/>
      <c r="AI426" s="2"/>
      <c r="AJ426" s="2"/>
      <c r="AK426" s="2"/>
      <c r="AL426" s="2"/>
      <c r="AM426" s="2"/>
      <c r="AN426" s="2"/>
      <c r="AO426" s="9"/>
      <c r="AP426" s="9"/>
      <c r="AQ426" s="9"/>
      <c r="AR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224"/>
      <c r="X427" s="224"/>
      <c r="Y427" s="224"/>
      <c r="Z427" s="868"/>
      <c r="AA427" s="865"/>
      <c r="AB427" s="2"/>
      <c r="AC427" s="2"/>
      <c r="AD427" s="2"/>
      <c r="AE427" s="2"/>
      <c r="AF427" s="2"/>
      <c r="AG427" s="2"/>
      <c r="AH427" s="2"/>
      <c r="AI427" s="2"/>
      <c r="AJ427" s="2"/>
      <c r="AK427" s="2"/>
      <c r="AL427" s="2"/>
      <c r="AM427" s="2"/>
      <c r="AN427" s="2"/>
      <c r="AO427" s="9"/>
      <c r="AP427" s="9"/>
      <c r="AQ427" s="9"/>
      <c r="AR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224"/>
      <c r="X428" s="224"/>
      <c r="Y428" s="224"/>
      <c r="Z428" s="868"/>
      <c r="AA428" s="865"/>
      <c r="AB428" s="2"/>
      <c r="AC428" s="2"/>
      <c r="AD428" s="2"/>
      <c r="AE428" s="2"/>
      <c r="AF428" s="2"/>
      <c r="AG428" s="2"/>
      <c r="AH428" s="2"/>
      <c r="AI428" s="2"/>
      <c r="AJ428" s="2"/>
      <c r="AK428" s="2"/>
      <c r="AL428" s="2"/>
      <c r="AM428" s="2"/>
      <c r="AN428" s="2"/>
      <c r="AO428" s="9"/>
      <c r="AP428" s="9"/>
      <c r="AQ428" s="9"/>
      <c r="AR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224"/>
      <c r="X429" s="224"/>
      <c r="Y429" s="224"/>
      <c r="Z429" s="868"/>
      <c r="AA429" s="865"/>
      <c r="AB429" s="2"/>
      <c r="AC429" s="2"/>
      <c r="AD429" s="2"/>
      <c r="AE429" s="2"/>
      <c r="AF429" s="2"/>
      <c r="AG429" s="2"/>
      <c r="AH429" s="2"/>
      <c r="AI429" s="2"/>
      <c r="AJ429" s="2"/>
      <c r="AK429" s="2"/>
      <c r="AL429" s="2"/>
      <c r="AM429" s="2"/>
      <c r="AN429" s="2"/>
      <c r="AO429" s="9"/>
      <c r="AP429" s="9"/>
      <c r="AQ429" s="9"/>
      <c r="AR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224"/>
      <c r="X430" s="224"/>
      <c r="Y430" s="224"/>
      <c r="Z430" s="868"/>
      <c r="AA430" s="865"/>
      <c r="AB430" s="2"/>
      <c r="AC430" s="2"/>
      <c r="AD430" s="2"/>
      <c r="AE430" s="2"/>
      <c r="AF430" s="2"/>
      <c r="AG430" s="2"/>
      <c r="AH430" s="2"/>
      <c r="AI430" s="2"/>
      <c r="AJ430" s="2"/>
      <c r="AK430" s="2"/>
      <c r="AL430" s="2"/>
      <c r="AM430" s="2"/>
      <c r="AN430" s="2"/>
      <c r="AO430" s="9"/>
      <c r="AP430" s="9"/>
      <c r="AQ430" s="9"/>
      <c r="AR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224"/>
      <c r="X431" s="224"/>
      <c r="Y431" s="224"/>
      <c r="Z431" s="868"/>
      <c r="AA431" s="865"/>
      <c r="AB431" s="2"/>
      <c r="AC431" s="2"/>
      <c r="AD431" s="2"/>
      <c r="AE431" s="2"/>
      <c r="AF431" s="2"/>
      <c r="AG431" s="2"/>
      <c r="AH431" s="2"/>
      <c r="AI431" s="2"/>
      <c r="AJ431" s="2"/>
      <c r="AK431" s="2"/>
      <c r="AL431" s="2"/>
      <c r="AM431" s="2"/>
      <c r="AN431" s="2"/>
      <c r="AO431" s="9"/>
      <c r="AP431" s="9"/>
      <c r="AQ431" s="9"/>
      <c r="AR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224"/>
      <c r="X432" s="224"/>
      <c r="Y432" s="224"/>
      <c r="Z432" s="868"/>
      <c r="AA432" s="865"/>
      <c r="AB432" s="2"/>
      <c r="AC432" s="2"/>
      <c r="AD432" s="2"/>
      <c r="AE432" s="2"/>
      <c r="AF432" s="2"/>
      <c r="AG432" s="2"/>
      <c r="AH432" s="2"/>
      <c r="AI432" s="2"/>
      <c r="AJ432" s="2"/>
      <c r="AK432" s="2"/>
      <c r="AL432" s="2"/>
      <c r="AM432" s="2"/>
      <c r="AN432" s="2"/>
      <c r="AO432" s="9"/>
      <c r="AP432" s="9"/>
      <c r="AQ432" s="9"/>
      <c r="AR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224"/>
      <c r="X433" s="224"/>
      <c r="Y433" s="224"/>
      <c r="Z433" s="868"/>
      <c r="AA433" s="865"/>
      <c r="AB433" s="2"/>
      <c r="AC433" s="2"/>
      <c r="AD433" s="2"/>
      <c r="AE433" s="2"/>
      <c r="AF433" s="2"/>
      <c r="AG433" s="2"/>
      <c r="AH433" s="2"/>
      <c r="AI433" s="2"/>
      <c r="AJ433" s="2"/>
      <c r="AK433" s="2"/>
      <c r="AL433" s="2"/>
      <c r="AM433" s="2"/>
      <c r="AN433" s="2"/>
      <c r="AO433" s="9"/>
      <c r="AP433" s="9"/>
      <c r="AQ433" s="9"/>
      <c r="AR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224"/>
      <c r="X434" s="224"/>
      <c r="Y434" s="224"/>
      <c r="Z434" s="868"/>
      <c r="AA434" s="865"/>
      <c r="AB434" s="2"/>
      <c r="AC434" s="2"/>
      <c r="AD434" s="2"/>
      <c r="AE434" s="2"/>
      <c r="AF434" s="2"/>
      <c r="AG434" s="2"/>
      <c r="AH434" s="2"/>
      <c r="AI434" s="2"/>
      <c r="AJ434" s="2"/>
      <c r="AK434" s="2"/>
      <c r="AL434" s="2"/>
      <c r="AM434" s="2"/>
      <c r="AN434" s="2"/>
      <c r="AO434" s="9"/>
      <c r="AP434" s="9"/>
      <c r="AQ434" s="9"/>
      <c r="AR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224"/>
      <c r="X435" s="224"/>
      <c r="Y435" s="224"/>
      <c r="Z435" s="868"/>
      <c r="AA435" s="865"/>
      <c r="AB435" s="2"/>
      <c r="AC435" s="2"/>
      <c r="AD435" s="2"/>
      <c r="AE435" s="2"/>
      <c r="AF435" s="2"/>
      <c r="AG435" s="2"/>
      <c r="AH435" s="2"/>
      <c r="AI435" s="2"/>
      <c r="AJ435" s="2"/>
      <c r="AK435" s="2"/>
      <c r="AL435" s="2"/>
      <c r="AM435" s="2"/>
      <c r="AN435" s="2"/>
      <c r="AO435" s="9"/>
      <c r="AP435" s="9"/>
      <c r="AQ435" s="9"/>
      <c r="AR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224"/>
      <c r="X436" s="224"/>
      <c r="Y436" s="224"/>
      <c r="Z436" s="868"/>
      <c r="AA436" s="865"/>
      <c r="AB436" s="2"/>
      <c r="AC436" s="2"/>
      <c r="AD436" s="2"/>
      <c r="AE436" s="2"/>
      <c r="AF436" s="2"/>
      <c r="AG436" s="2"/>
      <c r="AH436" s="2"/>
      <c r="AI436" s="2"/>
      <c r="AJ436" s="2"/>
      <c r="AK436" s="2"/>
      <c r="AL436" s="2"/>
      <c r="AM436" s="2"/>
      <c r="AN436" s="2"/>
      <c r="AO436" s="9"/>
      <c r="AP436" s="9"/>
      <c r="AQ436" s="9"/>
      <c r="AR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224"/>
      <c r="X437" s="224"/>
      <c r="Y437" s="224"/>
      <c r="Z437" s="868"/>
      <c r="AA437" s="865"/>
      <c r="AB437" s="2"/>
      <c r="AC437" s="2"/>
      <c r="AD437" s="2"/>
      <c r="AE437" s="2"/>
      <c r="AF437" s="2"/>
      <c r="AG437" s="2"/>
      <c r="AH437" s="2"/>
      <c r="AI437" s="2"/>
      <c r="AJ437" s="2"/>
      <c r="AK437" s="2"/>
      <c r="AL437" s="2"/>
      <c r="AM437" s="2"/>
      <c r="AN437" s="2"/>
      <c r="AO437" s="9"/>
      <c r="AP437" s="9"/>
      <c r="AQ437" s="9"/>
      <c r="AR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224"/>
      <c r="X438" s="224"/>
      <c r="Y438" s="224"/>
      <c r="Z438" s="868"/>
      <c r="AA438" s="865"/>
      <c r="AB438" s="2"/>
      <c r="AC438" s="2"/>
      <c r="AD438" s="2"/>
      <c r="AE438" s="2"/>
      <c r="AF438" s="2"/>
      <c r="AG438" s="2"/>
      <c r="AH438" s="2"/>
      <c r="AI438" s="2"/>
      <c r="AJ438" s="2"/>
      <c r="AK438" s="2"/>
      <c r="AL438" s="2"/>
      <c r="AM438" s="2"/>
      <c r="AN438" s="2"/>
      <c r="AO438" s="9"/>
      <c r="AP438" s="9"/>
      <c r="AQ438" s="9"/>
      <c r="AR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224"/>
      <c r="X439" s="224"/>
      <c r="Y439" s="224"/>
      <c r="Z439" s="868"/>
      <c r="AA439" s="865"/>
      <c r="AB439" s="2"/>
      <c r="AC439" s="2"/>
      <c r="AD439" s="2"/>
      <c r="AE439" s="2"/>
      <c r="AF439" s="2"/>
      <c r="AG439" s="2"/>
      <c r="AH439" s="2"/>
      <c r="AI439" s="2"/>
      <c r="AJ439" s="2"/>
      <c r="AK439" s="2"/>
      <c r="AL439" s="2"/>
      <c r="AM439" s="2"/>
      <c r="AN439" s="2"/>
      <c r="AO439" s="9"/>
      <c r="AP439" s="9"/>
      <c r="AQ439" s="9"/>
      <c r="AR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224"/>
      <c r="X440" s="224"/>
      <c r="Y440" s="224"/>
      <c r="Z440" s="868"/>
      <c r="AA440" s="865"/>
      <c r="AB440" s="2"/>
      <c r="AC440" s="2"/>
      <c r="AD440" s="2"/>
      <c r="AE440" s="2"/>
      <c r="AF440" s="2"/>
      <c r="AG440" s="2"/>
      <c r="AH440" s="2"/>
      <c r="AI440" s="2"/>
      <c r="AJ440" s="2"/>
      <c r="AK440" s="2"/>
      <c r="AL440" s="2"/>
      <c r="AM440" s="2"/>
      <c r="AN440" s="2"/>
      <c r="AO440" s="9"/>
      <c r="AP440" s="9"/>
      <c r="AQ440" s="9"/>
      <c r="AR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224"/>
      <c r="X441" s="224"/>
      <c r="Y441" s="224"/>
      <c r="Z441" s="868"/>
      <c r="AA441" s="865"/>
      <c r="AB441" s="2"/>
      <c r="AC441" s="2"/>
      <c r="AD441" s="2"/>
      <c r="AE441" s="2"/>
      <c r="AF441" s="2"/>
      <c r="AG441" s="2"/>
      <c r="AH441" s="2"/>
      <c r="AI441" s="2"/>
      <c r="AJ441" s="2"/>
      <c r="AK441" s="2"/>
      <c r="AL441" s="2"/>
      <c r="AM441" s="2"/>
      <c r="AN441" s="2"/>
      <c r="AO441" s="9"/>
      <c r="AP441" s="9"/>
      <c r="AQ441" s="9"/>
      <c r="AR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224"/>
      <c r="X442" s="224"/>
      <c r="Y442" s="224"/>
      <c r="Z442" s="868"/>
      <c r="AA442" s="865"/>
      <c r="AB442" s="2"/>
      <c r="AC442" s="2"/>
      <c r="AD442" s="2"/>
      <c r="AE442" s="2"/>
      <c r="AF442" s="2"/>
      <c r="AG442" s="2"/>
      <c r="AH442" s="2"/>
      <c r="AI442" s="2"/>
      <c r="AJ442" s="2"/>
      <c r="AK442" s="2"/>
      <c r="AL442" s="2"/>
      <c r="AM442" s="2"/>
      <c r="AN442" s="2"/>
      <c r="AO442" s="9"/>
      <c r="AP442" s="9"/>
      <c r="AQ442" s="9"/>
      <c r="AR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224"/>
      <c r="X443" s="224"/>
      <c r="Y443" s="224"/>
      <c r="Z443" s="868"/>
      <c r="AA443" s="865"/>
      <c r="AB443" s="2"/>
      <c r="AC443" s="2"/>
      <c r="AD443" s="2"/>
      <c r="AE443" s="2"/>
      <c r="AF443" s="2"/>
      <c r="AG443" s="2"/>
      <c r="AH443" s="2"/>
      <c r="AI443" s="2"/>
      <c r="AJ443" s="2"/>
      <c r="AK443" s="2"/>
      <c r="AL443" s="2"/>
      <c r="AM443" s="2"/>
      <c r="AN443" s="2"/>
      <c r="AO443" s="9"/>
      <c r="AP443" s="9"/>
      <c r="AQ443" s="9"/>
      <c r="AR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224"/>
      <c r="X444" s="224"/>
      <c r="Y444" s="224"/>
      <c r="Z444" s="868"/>
      <c r="AA444" s="865"/>
      <c r="AB444" s="2"/>
      <c r="AC444" s="2"/>
      <c r="AD444" s="2"/>
      <c r="AE444" s="2"/>
      <c r="AF444" s="2"/>
      <c r="AG444" s="2"/>
      <c r="AH444" s="2"/>
      <c r="AI444" s="2"/>
      <c r="AJ444" s="2"/>
      <c r="AK444" s="2"/>
      <c r="AL444" s="2"/>
      <c r="AM444" s="2"/>
      <c r="AN444" s="2"/>
      <c r="AO444" s="9"/>
      <c r="AP444" s="9"/>
      <c r="AQ444" s="9"/>
      <c r="AR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224"/>
      <c r="X445" s="224"/>
      <c r="Y445" s="224"/>
      <c r="Z445" s="868"/>
      <c r="AA445" s="865"/>
      <c r="AB445" s="2"/>
      <c r="AC445" s="2"/>
      <c r="AD445" s="2"/>
      <c r="AE445" s="2"/>
      <c r="AF445" s="2"/>
      <c r="AG445" s="2"/>
      <c r="AH445" s="2"/>
      <c r="AI445" s="2"/>
      <c r="AJ445" s="2"/>
      <c r="AK445" s="2"/>
      <c r="AL445" s="2"/>
      <c r="AM445" s="2"/>
      <c r="AN445" s="2"/>
      <c r="AO445" s="9"/>
      <c r="AP445" s="9"/>
      <c r="AQ445" s="9"/>
      <c r="AR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224"/>
      <c r="X446" s="224"/>
      <c r="Y446" s="224"/>
      <c r="Z446" s="868"/>
      <c r="AA446" s="865"/>
      <c r="AB446" s="2"/>
      <c r="AC446" s="2"/>
      <c r="AD446" s="2"/>
      <c r="AE446" s="2"/>
      <c r="AF446" s="2"/>
      <c r="AG446" s="2"/>
      <c r="AH446" s="2"/>
      <c r="AI446" s="2"/>
      <c r="AJ446" s="2"/>
      <c r="AK446" s="2"/>
      <c r="AL446" s="2"/>
      <c r="AM446" s="2"/>
      <c r="AN446" s="2"/>
      <c r="AO446" s="9"/>
      <c r="AP446" s="9"/>
      <c r="AQ446" s="9"/>
      <c r="AR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224"/>
      <c r="X447" s="224"/>
      <c r="Y447" s="224"/>
      <c r="Z447" s="868"/>
      <c r="AA447" s="865"/>
      <c r="AB447" s="2"/>
      <c r="AC447" s="2"/>
      <c r="AD447" s="2"/>
      <c r="AE447" s="2"/>
      <c r="AF447" s="2"/>
      <c r="AG447" s="2"/>
      <c r="AH447" s="2"/>
      <c r="AI447" s="2"/>
      <c r="AJ447" s="2"/>
      <c r="AK447" s="2"/>
      <c r="AL447" s="2"/>
      <c r="AM447" s="2"/>
      <c r="AN447" s="2"/>
      <c r="AO447" s="9"/>
      <c r="AP447" s="9"/>
      <c r="AQ447" s="9"/>
      <c r="AR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224"/>
      <c r="X448" s="224"/>
      <c r="Y448" s="224"/>
      <c r="Z448" s="868"/>
      <c r="AA448" s="865"/>
      <c r="AB448" s="2"/>
      <c r="AC448" s="2"/>
      <c r="AD448" s="2"/>
      <c r="AE448" s="2"/>
      <c r="AF448" s="2"/>
      <c r="AG448" s="2"/>
      <c r="AH448" s="2"/>
      <c r="AI448" s="2"/>
      <c r="AJ448" s="2"/>
      <c r="AK448" s="2"/>
      <c r="AL448" s="2"/>
      <c r="AM448" s="2"/>
      <c r="AN448" s="2"/>
      <c r="AO448" s="9"/>
      <c r="AP448" s="9"/>
      <c r="AQ448" s="9"/>
      <c r="AR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224"/>
      <c r="X449" s="224"/>
      <c r="Y449" s="224"/>
      <c r="Z449" s="868"/>
      <c r="AA449" s="865"/>
      <c r="AB449" s="2"/>
      <c r="AC449" s="2"/>
      <c r="AD449" s="2"/>
      <c r="AE449" s="2"/>
      <c r="AF449" s="2"/>
      <c r="AG449" s="2"/>
      <c r="AH449" s="2"/>
      <c r="AI449" s="2"/>
      <c r="AJ449" s="2"/>
      <c r="AK449" s="2"/>
      <c r="AL449" s="2"/>
      <c r="AM449" s="2"/>
      <c r="AN449" s="2"/>
      <c r="AO449" s="9"/>
      <c r="AP449" s="9"/>
      <c r="AQ449" s="9"/>
      <c r="AR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224"/>
      <c r="X450" s="224"/>
      <c r="Y450" s="224"/>
      <c r="Z450" s="868"/>
      <c r="AA450" s="865"/>
      <c r="AB450" s="2"/>
      <c r="AC450" s="2"/>
      <c r="AD450" s="2"/>
      <c r="AE450" s="2"/>
      <c r="AF450" s="2"/>
      <c r="AG450" s="2"/>
      <c r="AH450" s="2"/>
      <c r="AI450" s="2"/>
      <c r="AJ450" s="2"/>
      <c r="AK450" s="2"/>
      <c r="AL450" s="2"/>
      <c r="AM450" s="2"/>
      <c r="AN450" s="2"/>
      <c r="AO450" s="9"/>
      <c r="AP450" s="9"/>
      <c r="AQ450" s="9"/>
      <c r="AR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224"/>
      <c r="X451" s="224"/>
      <c r="Y451" s="224"/>
      <c r="Z451" s="868"/>
      <c r="AA451" s="865"/>
      <c r="AB451" s="2"/>
      <c r="AC451" s="2"/>
      <c r="AD451" s="2"/>
      <c r="AE451" s="2"/>
      <c r="AF451" s="2"/>
      <c r="AG451" s="2"/>
      <c r="AH451" s="2"/>
      <c r="AI451" s="2"/>
      <c r="AJ451" s="2"/>
      <c r="AK451" s="2"/>
      <c r="AL451" s="2"/>
      <c r="AM451" s="2"/>
      <c r="AN451" s="2"/>
      <c r="AO451" s="9"/>
      <c r="AP451" s="9"/>
      <c r="AQ451" s="9"/>
      <c r="AR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224"/>
      <c r="X452" s="224"/>
      <c r="Y452" s="224"/>
      <c r="Z452" s="868"/>
      <c r="AA452" s="865"/>
      <c r="AB452" s="2"/>
      <c r="AC452" s="2"/>
      <c r="AD452" s="2"/>
      <c r="AE452" s="2"/>
      <c r="AF452" s="2"/>
      <c r="AG452" s="2"/>
      <c r="AH452" s="2"/>
      <c r="AI452" s="2"/>
      <c r="AJ452" s="2"/>
      <c r="AK452" s="2"/>
      <c r="AL452" s="2"/>
      <c r="AM452" s="2"/>
      <c r="AN452" s="2"/>
      <c r="AO452" s="9"/>
      <c r="AP452" s="9"/>
      <c r="AQ452" s="9"/>
      <c r="AR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224"/>
      <c r="X453" s="224"/>
      <c r="Y453" s="224"/>
      <c r="Z453" s="868"/>
      <c r="AA453" s="865"/>
      <c r="AB453" s="2"/>
      <c r="AC453" s="2"/>
      <c r="AD453" s="2"/>
      <c r="AE453" s="2"/>
      <c r="AF453" s="2"/>
      <c r="AG453" s="2"/>
      <c r="AH453" s="2"/>
      <c r="AI453" s="2"/>
      <c r="AJ453" s="2"/>
      <c r="AK453" s="2"/>
      <c r="AL453" s="2"/>
      <c r="AM453" s="2"/>
      <c r="AN453" s="2"/>
      <c r="AO453" s="9"/>
      <c r="AP453" s="9"/>
      <c r="AQ453" s="9"/>
      <c r="AR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224"/>
      <c r="X454" s="224"/>
      <c r="Y454" s="224"/>
      <c r="Z454" s="868"/>
      <c r="AA454" s="865"/>
      <c r="AB454" s="2"/>
      <c r="AC454" s="2"/>
      <c r="AD454" s="2"/>
      <c r="AE454" s="2"/>
      <c r="AF454" s="2"/>
      <c r="AG454" s="2"/>
      <c r="AH454" s="2"/>
      <c r="AI454" s="2"/>
      <c r="AJ454" s="2"/>
      <c r="AK454" s="2"/>
      <c r="AL454" s="2"/>
      <c r="AM454" s="2"/>
      <c r="AN454" s="2"/>
      <c r="AO454" s="9"/>
      <c r="AP454" s="9"/>
      <c r="AQ454" s="9"/>
      <c r="AR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224"/>
      <c r="X455" s="224"/>
      <c r="Y455" s="224"/>
      <c r="Z455" s="868"/>
      <c r="AA455" s="865"/>
      <c r="AB455" s="2"/>
      <c r="AC455" s="2"/>
      <c r="AD455" s="2"/>
      <c r="AE455" s="2"/>
      <c r="AF455" s="2"/>
      <c r="AG455" s="2"/>
      <c r="AH455" s="2"/>
      <c r="AI455" s="2"/>
      <c r="AJ455" s="2"/>
      <c r="AK455" s="2"/>
      <c r="AL455" s="2"/>
      <c r="AM455" s="2"/>
      <c r="AN455" s="2"/>
      <c r="AO455" s="9"/>
      <c r="AP455" s="9"/>
      <c r="AQ455" s="9"/>
      <c r="AR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224"/>
      <c r="X456" s="224"/>
      <c r="Y456" s="224"/>
      <c r="Z456" s="868"/>
      <c r="AA456" s="865"/>
      <c r="AB456" s="2"/>
      <c r="AC456" s="2"/>
      <c r="AD456" s="2"/>
      <c r="AE456" s="2"/>
      <c r="AF456" s="2"/>
      <c r="AG456" s="2"/>
      <c r="AH456" s="2"/>
      <c r="AI456" s="2"/>
      <c r="AJ456" s="2"/>
      <c r="AK456" s="2"/>
      <c r="AL456" s="2"/>
      <c r="AM456" s="2"/>
      <c r="AN456" s="2"/>
      <c r="AO456" s="9"/>
      <c r="AP456" s="9"/>
      <c r="AQ456" s="9"/>
      <c r="AR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224"/>
      <c r="X457" s="224"/>
      <c r="Y457" s="224"/>
      <c r="Z457" s="868"/>
      <c r="AA457" s="865"/>
      <c r="AB457" s="2"/>
      <c r="AC457" s="2"/>
      <c r="AD457" s="2"/>
      <c r="AE457" s="2"/>
      <c r="AF457" s="2"/>
      <c r="AG457" s="2"/>
      <c r="AH457" s="2"/>
      <c r="AI457" s="2"/>
      <c r="AJ457" s="2"/>
      <c r="AK457" s="2"/>
      <c r="AL457" s="2"/>
      <c r="AM457" s="2"/>
      <c r="AN457" s="2"/>
      <c r="AO457" s="9"/>
      <c r="AP457" s="9"/>
      <c r="AQ457" s="9"/>
      <c r="AR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224"/>
      <c r="X458" s="224"/>
      <c r="Y458" s="224"/>
      <c r="Z458" s="868"/>
      <c r="AA458" s="865"/>
      <c r="AB458" s="2"/>
      <c r="AC458" s="2"/>
      <c r="AD458" s="2"/>
      <c r="AE458" s="2"/>
      <c r="AF458" s="2"/>
      <c r="AG458" s="2"/>
      <c r="AH458" s="2"/>
      <c r="AI458" s="2"/>
      <c r="AJ458" s="2"/>
      <c r="AK458" s="2"/>
      <c r="AL458" s="2"/>
      <c r="AM458" s="2"/>
      <c r="AN458" s="2"/>
      <c r="AO458" s="9"/>
      <c r="AP458" s="9"/>
      <c r="AQ458" s="9"/>
      <c r="AR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224"/>
      <c r="X459" s="224"/>
      <c r="Y459" s="224"/>
      <c r="Z459" s="868"/>
      <c r="AA459" s="865"/>
      <c r="AB459" s="2"/>
      <c r="AC459" s="2"/>
      <c r="AD459" s="2"/>
      <c r="AE459" s="2"/>
      <c r="AF459" s="2"/>
      <c r="AG459" s="2"/>
      <c r="AH459" s="2"/>
      <c r="AI459" s="2"/>
      <c r="AJ459" s="2"/>
      <c r="AK459" s="2"/>
      <c r="AL459" s="2"/>
      <c r="AM459" s="2"/>
      <c r="AN459" s="2"/>
      <c r="AO459" s="9"/>
      <c r="AP459" s="9"/>
      <c r="AQ459" s="9"/>
      <c r="AR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224"/>
      <c r="X460" s="224"/>
      <c r="Y460" s="224"/>
      <c r="Z460" s="868"/>
      <c r="AA460" s="865"/>
      <c r="AB460" s="2"/>
      <c r="AC460" s="2"/>
      <c r="AD460" s="2"/>
      <c r="AE460" s="2"/>
      <c r="AF460" s="2"/>
      <c r="AG460" s="2"/>
      <c r="AH460" s="2"/>
      <c r="AI460" s="2"/>
      <c r="AJ460" s="2"/>
      <c r="AK460" s="2"/>
      <c r="AL460" s="2"/>
      <c r="AM460" s="2"/>
      <c r="AN460" s="2"/>
      <c r="AO460" s="9"/>
      <c r="AP460" s="9"/>
      <c r="AQ460" s="9"/>
      <c r="AR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224"/>
      <c r="X461" s="224"/>
      <c r="Y461" s="224"/>
      <c r="Z461" s="868"/>
      <c r="AA461" s="865"/>
      <c r="AB461" s="2"/>
      <c r="AC461" s="2"/>
      <c r="AD461" s="2"/>
      <c r="AE461" s="2"/>
      <c r="AF461" s="2"/>
      <c r="AG461" s="2"/>
      <c r="AH461" s="2"/>
      <c r="AI461" s="2"/>
      <c r="AJ461" s="2"/>
      <c r="AK461" s="2"/>
      <c r="AL461" s="2"/>
      <c r="AM461" s="2"/>
      <c r="AN461" s="2"/>
      <c r="AO461" s="9"/>
      <c r="AP461" s="9"/>
      <c r="AQ461" s="9"/>
      <c r="AR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224"/>
      <c r="X462" s="224"/>
      <c r="Y462" s="224"/>
      <c r="Z462" s="868"/>
      <c r="AA462" s="865"/>
      <c r="AB462" s="2"/>
      <c r="AC462" s="2"/>
      <c r="AD462" s="2"/>
      <c r="AE462" s="2"/>
      <c r="AF462" s="2"/>
      <c r="AG462" s="2"/>
      <c r="AH462" s="2"/>
      <c r="AI462" s="2"/>
      <c r="AJ462" s="2"/>
      <c r="AK462" s="2"/>
      <c r="AL462" s="2"/>
      <c r="AM462" s="2"/>
      <c r="AN462" s="2"/>
      <c r="AO462" s="9"/>
      <c r="AP462" s="9"/>
      <c r="AQ462" s="9"/>
      <c r="AR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224"/>
      <c r="X463" s="224"/>
      <c r="Y463" s="224"/>
      <c r="Z463" s="868"/>
      <c r="AA463" s="865"/>
      <c r="AB463" s="2"/>
      <c r="AC463" s="2"/>
      <c r="AD463" s="2"/>
      <c r="AE463" s="2"/>
      <c r="AF463" s="2"/>
      <c r="AG463" s="2"/>
      <c r="AH463" s="2"/>
      <c r="AI463" s="2"/>
      <c r="AJ463" s="2"/>
      <c r="AK463" s="2"/>
      <c r="AL463" s="2"/>
      <c r="AM463" s="2"/>
      <c r="AN463" s="2"/>
      <c r="AO463" s="9"/>
      <c r="AP463" s="9"/>
      <c r="AQ463" s="9"/>
      <c r="AR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224"/>
      <c r="X464" s="224"/>
      <c r="Y464" s="224"/>
      <c r="Z464" s="868"/>
      <c r="AA464" s="865"/>
      <c r="AB464" s="2"/>
      <c r="AC464" s="2"/>
      <c r="AD464" s="2"/>
      <c r="AE464" s="2"/>
      <c r="AF464" s="2"/>
      <c r="AG464" s="2"/>
      <c r="AH464" s="2"/>
      <c r="AI464" s="2"/>
      <c r="AJ464" s="2"/>
      <c r="AK464" s="2"/>
      <c r="AL464" s="2"/>
      <c r="AM464" s="2"/>
      <c r="AN464" s="2"/>
      <c r="AO464" s="9"/>
      <c r="AP464" s="9"/>
      <c r="AQ464" s="9"/>
      <c r="AR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224"/>
      <c r="X465" s="224"/>
      <c r="Y465" s="224"/>
      <c r="Z465" s="868"/>
      <c r="AA465" s="865"/>
      <c r="AB465" s="2"/>
      <c r="AC465" s="2"/>
      <c r="AD465" s="2"/>
      <c r="AE465" s="2"/>
      <c r="AF465" s="2"/>
      <c r="AG465" s="2"/>
      <c r="AH465" s="2"/>
      <c r="AI465" s="2"/>
      <c r="AJ465" s="2"/>
      <c r="AK465" s="2"/>
      <c r="AL465" s="2"/>
      <c r="AM465" s="2"/>
      <c r="AN465" s="2"/>
      <c r="AO465" s="9"/>
      <c r="AP465" s="9"/>
      <c r="AQ465" s="9"/>
      <c r="AR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224"/>
      <c r="X466" s="224"/>
      <c r="Y466" s="224"/>
      <c r="Z466" s="868"/>
      <c r="AA466" s="865"/>
      <c r="AB466" s="2"/>
      <c r="AC466" s="2"/>
      <c r="AD466" s="2"/>
      <c r="AE466" s="2"/>
      <c r="AF466" s="2"/>
      <c r="AG466" s="2"/>
      <c r="AH466" s="2"/>
      <c r="AI466" s="2"/>
      <c r="AJ466" s="2"/>
      <c r="AK466" s="2"/>
      <c r="AL466" s="2"/>
      <c r="AM466" s="2"/>
      <c r="AN466" s="2"/>
      <c r="AO466" s="9"/>
      <c r="AP466" s="9"/>
      <c r="AQ466" s="9"/>
      <c r="AR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224"/>
      <c r="X467" s="224"/>
      <c r="Y467" s="224"/>
      <c r="Z467" s="868"/>
      <c r="AA467" s="865"/>
      <c r="AB467" s="2"/>
      <c r="AC467" s="2"/>
      <c r="AD467" s="2"/>
      <c r="AE467" s="2"/>
      <c r="AF467" s="2"/>
      <c r="AG467" s="2"/>
      <c r="AH467" s="2"/>
      <c r="AI467" s="2"/>
      <c r="AJ467" s="2"/>
      <c r="AK467" s="2"/>
      <c r="AL467" s="2"/>
      <c r="AM467" s="2"/>
      <c r="AN467" s="2"/>
      <c r="AO467" s="9"/>
      <c r="AP467" s="9"/>
      <c r="AQ467" s="9"/>
      <c r="AR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224"/>
      <c r="X468" s="224"/>
      <c r="Y468" s="224"/>
      <c r="Z468" s="868"/>
      <c r="AA468" s="865"/>
      <c r="AB468" s="2"/>
      <c r="AC468" s="2"/>
      <c r="AD468" s="2"/>
      <c r="AE468" s="2"/>
      <c r="AF468" s="2"/>
      <c r="AG468" s="2"/>
      <c r="AH468" s="2"/>
      <c r="AI468" s="2"/>
      <c r="AJ468" s="2"/>
      <c r="AK468" s="2"/>
      <c r="AL468" s="2"/>
      <c r="AM468" s="2"/>
      <c r="AN468" s="2"/>
      <c r="AO468" s="9"/>
      <c r="AP468" s="9"/>
      <c r="AQ468" s="9"/>
      <c r="AR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224"/>
      <c r="X469" s="224"/>
      <c r="Y469" s="224"/>
      <c r="Z469" s="868"/>
      <c r="AA469" s="865"/>
      <c r="AB469" s="2"/>
      <c r="AC469" s="2"/>
      <c r="AD469" s="2"/>
      <c r="AE469" s="2"/>
      <c r="AF469" s="2"/>
      <c r="AG469" s="2"/>
      <c r="AH469" s="2"/>
      <c r="AI469" s="2"/>
      <c r="AJ469" s="2"/>
      <c r="AK469" s="2"/>
      <c r="AL469" s="2"/>
      <c r="AM469" s="2"/>
      <c r="AN469" s="2"/>
      <c r="AO469" s="9"/>
      <c r="AP469" s="9"/>
      <c r="AQ469" s="9"/>
      <c r="AR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224"/>
      <c r="X470" s="224"/>
      <c r="Y470" s="224"/>
      <c r="Z470" s="868"/>
      <c r="AA470" s="865"/>
      <c r="AB470" s="2"/>
      <c r="AC470" s="2"/>
      <c r="AD470" s="2"/>
      <c r="AE470" s="2"/>
      <c r="AF470" s="2"/>
      <c r="AG470" s="2"/>
      <c r="AH470" s="2"/>
      <c r="AI470" s="2"/>
      <c r="AJ470" s="2"/>
      <c r="AK470" s="2"/>
      <c r="AL470" s="2"/>
      <c r="AM470" s="2"/>
      <c r="AN470" s="2"/>
      <c r="AO470" s="9"/>
      <c r="AP470" s="9"/>
      <c r="AQ470" s="9"/>
      <c r="AR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224"/>
      <c r="X471" s="224"/>
      <c r="Y471" s="224"/>
      <c r="Z471" s="868"/>
      <c r="AA471" s="865"/>
      <c r="AB471" s="2"/>
      <c r="AC471" s="2"/>
      <c r="AD471" s="2"/>
      <c r="AE471" s="2"/>
      <c r="AF471" s="2"/>
      <c r="AG471" s="2"/>
      <c r="AH471" s="2"/>
      <c r="AI471" s="2"/>
      <c r="AJ471" s="2"/>
      <c r="AK471" s="2"/>
      <c r="AL471" s="2"/>
      <c r="AM471" s="2"/>
      <c r="AN471" s="2"/>
      <c r="AO471" s="9"/>
      <c r="AP471" s="9"/>
      <c r="AQ471" s="9"/>
      <c r="AR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224"/>
      <c r="X472" s="224"/>
      <c r="Y472" s="224"/>
      <c r="Z472" s="868"/>
      <c r="AA472" s="865"/>
      <c r="AB472" s="2"/>
      <c r="AC472" s="2"/>
      <c r="AD472" s="2"/>
      <c r="AE472" s="2"/>
      <c r="AF472" s="2"/>
      <c r="AG472" s="2"/>
      <c r="AH472" s="2"/>
      <c r="AI472" s="2"/>
      <c r="AJ472" s="2"/>
      <c r="AK472" s="2"/>
      <c r="AL472" s="2"/>
      <c r="AM472" s="2"/>
      <c r="AN472" s="2"/>
      <c r="AO472" s="9"/>
      <c r="AP472" s="9"/>
      <c r="AQ472" s="9"/>
      <c r="AR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224"/>
      <c r="X473" s="224"/>
      <c r="Y473" s="224"/>
      <c r="Z473" s="868"/>
      <c r="AA473" s="865"/>
      <c r="AB473" s="2"/>
      <c r="AC473" s="2"/>
      <c r="AD473" s="2"/>
      <c r="AE473" s="2"/>
      <c r="AF473" s="2"/>
      <c r="AG473" s="2"/>
      <c r="AH473" s="2"/>
      <c r="AI473" s="2"/>
      <c r="AJ473" s="2"/>
      <c r="AK473" s="2"/>
      <c r="AL473" s="2"/>
      <c r="AM473" s="2"/>
      <c r="AN473" s="2"/>
      <c r="AO473" s="9"/>
      <c r="AP473" s="9"/>
      <c r="AQ473" s="9"/>
      <c r="AR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224"/>
      <c r="X474" s="224"/>
      <c r="Y474" s="224"/>
      <c r="Z474" s="868"/>
      <c r="AA474" s="865"/>
      <c r="AB474" s="2"/>
      <c r="AC474" s="2"/>
      <c r="AD474" s="2"/>
      <c r="AE474" s="2"/>
      <c r="AF474" s="2"/>
      <c r="AG474" s="2"/>
      <c r="AH474" s="2"/>
      <c r="AI474" s="2"/>
      <c r="AJ474" s="2"/>
      <c r="AK474" s="2"/>
      <c r="AL474" s="2"/>
      <c r="AM474" s="2"/>
      <c r="AN474" s="2"/>
      <c r="AO474" s="9"/>
      <c r="AP474" s="9"/>
      <c r="AQ474" s="9"/>
      <c r="AR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224"/>
      <c r="X475" s="224"/>
      <c r="Y475" s="224"/>
      <c r="Z475" s="868"/>
      <c r="AA475" s="865"/>
      <c r="AB475" s="2"/>
      <c r="AC475" s="2"/>
      <c r="AD475" s="2"/>
      <c r="AE475" s="2"/>
      <c r="AF475" s="2"/>
      <c r="AG475" s="2"/>
      <c r="AH475" s="2"/>
      <c r="AI475" s="2"/>
      <c r="AJ475" s="2"/>
      <c r="AK475" s="2"/>
      <c r="AL475" s="2"/>
      <c r="AM475" s="2"/>
      <c r="AN475" s="2"/>
      <c r="AO475" s="9"/>
      <c r="AP475" s="9"/>
      <c r="AQ475" s="9"/>
      <c r="AR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224"/>
      <c r="X476" s="224"/>
      <c r="Y476" s="224"/>
      <c r="Z476" s="868"/>
      <c r="AA476" s="865"/>
      <c r="AB476" s="2"/>
      <c r="AC476" s="2"/>
      <c r="AD476" s="2"/>
      <c r="AE476" s="2"/>
      <c r="AF476" s="2"/>
      <c r="AG476" s="2"/>
      <c r="AH476" s="2"/>
      <c r="AI476" s="2"/>
      <c r="AJ476" s="2"/>
      <c r="AK476" s="2"/>
      <c r="AL476" s="2"/>
      <c r="AM476" s="2"/>
      <c r="AN476" s="2"/>
      <c r="AO476" s="9"/>
      <c r="AP476" s="9"/>
      <c r="AQ476" s="9"/>
      <c r="AR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224"/>
      <c r="X477" s="224"/>
      <c r="Y477" s="224"/>
      <c r="Z477" s="868"/>
      <c r="AA477" s="865"/>
      <c r="AB477" s="2"/>
      <c r="AC477" s="2"/>
      <c r="AD477" s="2"/>
      <c r="AE477" s="2"/>
      <c r="AF477" s="2"/>
      <c r="AG477" s="2"/>
      <c r="AH477" s="2"/>
      <c r="AI477" s="2"/>
      <c r="AJ477" s="2"/>
      <c r="AK477" s="2"/>
      <c r="AL477" s="2"/>
      <c r="AM477" s="2"/>
      <c r="AN477" s="2"/>
      <c r="AO477" s="9"/>
      <c r="AP477" s="9"/>
      <c r="AQ477" s="9"/>
      <c r="AR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224"/>
      <c r="X478" s="224"/>
      <c r="Y478" s="224"/>
      <c r="Z478" s="868"/>
      <c r="AA478" s="865"/>
      <c r="AB478" s="2"/>
      <c r="AC478" s="2"/>
      <c r="AD478" s="2"/>
      <c r="AE478" s="2"/>
      <c r="AF478" s="2"/>
      <c r="AG478" s="2"/>
      <c r="AH478" s="2"/>
      <c r="AI478" s="2"/>
      <c r="AJ478" s="2"/>
      <c r="AK478" s="2"/>
      <c r="AL478" s="2"/>
      <c r="AM478" s="2"/>
      <c r="AN478" s="2"/>
      <c r="AO478" s="9"/>
      <c r="AP478" s="9"/>
      <c r="AQ478" s="9"/>
      <c r="AR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224"/>
      <c r="X479" s="224"/>
      <c r="Y479" s="224"/>
      <c r="Z479" s="868"/>
      <c r="AA479" s="865"/>
      <c r="AB479" s="2"/>
      <c r="AC479" s="2"/>
      <c r="AD479" s="2"/>
      <c r="AE479" s="2"/>
      <c r="AF479" s="2"/>
      <c r="AG479" s="2"/>
      <c r="AH479" s="2"/>
      <c r="AI479" s="2"/>
      <c r="AJ479" s="2"/>
      <c r="AK479" s="2"/>
      <c r="AL479" s="2"/>
      <c r="AM479" s="2"/>
      <c r="AN479" s="2"/>
      <c r="AO479" s="9"/>
      <c r="AP479" s="9"/>
      <c r="AQ479" s="9"/>
      <c r="AR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224"/>
      <c r="X480" s="224"/>
      <c r="Y480" s="224"/>
      <c r="Z480" s="868"/>
      <c r="AA480" s="865"/>
      <c r="AB480" s="2"/>
      <c r="AC480" s="2"/>
      <c r="AD480" s="2"/>
      <c r="AE480" s="2"/>
      <c r="AF480" s="2"/>
      <c r="AG480" s="2"/>
      <c r="AH480" s="2"/>
      <c r="AI480" s="2"/>
      <c r="AJ480" s="2"/>
      <c r="AK480" s="2"/>
      <c r="AL480" s="2"/>
      <c r="AM480" s="2"/>
      <c r="AN480" s="2"/>
      <c r="AO480" s="9"/>
      <c r="AP480" s="9"/>
      <c r="AQ480" s="9"/>
      <c r="AR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224"/>
      <c r="X481" s="224"/>
      <c r="Y481" s="224"/>
      <c r="Z481" s="868"/>
      <c r="AA481" s="865"/>
      <c r="AB481" s="2"/>
      <c r="AC481" s="2"/>
      <c r="AD481" s="2"/>
      <c r="AE481" s="2"/>
      <c r="AF481" s="2"/>
      <c r="AG481" s="2"/>
      <c r="AH481" s="2"/>
      <c r="AI481" s="2"/>
      <c r="AJ481" s="2"/>
      <c r="AK481" s="2"/>
      <c r="AL481" s="2"/>
      <c r="AM481" s="2"/>
      <c r="AN481" s="2"/>
      <c r="AO481" s="9"/>
      <c r="AP481" s="9"/>
      <c r="AQ481" s="9"/>
      <c r="AR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224"/>
      <c r="X482" s="224"/>
      <c r="Y482" s="224"/>
      <c r="Z482" s="868"/>
      <c r="AA482" s="865"/>
      <c r="AB482" s="2"/>
      <c r="AC482" s="2"/>
      <c r="AD482" s="2"/>
      <c r="AE482" s="2"/>
      <c r="AF482" s="2"/>
      <c r="AG482" s="2"/>
      <c r="AH482" s="2"/>
      <c r="AI482" s="2"/>
      <c r="AJ482" s="2"/>
      <c r="AK482" s="2"/>
      <c r="AL482" s="2"/>
      <c r="AM482" s="2"/>
      <c r="AN482" s="2"/>
      <c r="AO482" s="9"/>
      <c r="AP482" s="9"/>
      <c r="AQ482" s="9"/>
      <c r="AR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224"/>
      <c r="X483" s="224"/>
      <c r="Y483" s="224"/>
      <c r="Z483" s="868"/>
      <c r="AA483" s="865"/>
      <c r="AB483" s="2"/>
      <c r="AC483" s="2"/>
      <c r="AD483" s="2"/>
      <c r="AE483" s="2"/>
      <c r="AF483" s="2"/>
      <c r="AG483" s="2"/>
      <c r="AH483" s="2"/>
      <c r="AI483" s="2"/>
      <c r="AJ483" s="2"/>
      <c r="AK483" s="2"/>
      <c r="AL483" s="2"/>
      <c r="AM483" s="2"/>
      <c r="AN483" s="2"/>
      <c r="AO483" s="9"/>
      <c r="AP483" s="9"/>
      <c r="AQ483" s="9"/>
      <c r="AR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224"/>
      <c r="X484" s="224"/>
      <c r="Y484" s="224"/>
      <c r="Z484" s="868"/>
      <c r="AA484" s="865"/>
      <c r="AB484" s="2"/>
      <c r="AC484" s="2"/>
      <c r="AD484" s="2"/>
      <c r="AE484" s="2"/>
      <c r="AF484" s="2"/>
      <c r="AG484" s="2"/>
      <c r="AH484" s="2"/>
      <c r="AI484" s="2"/>
      <c r="AJ484" s="2"/>
      <c r="AK484" s="2"/>
      <c r="AL484" s="2"/>
      <c r="AM484" s="2"/>
      <c r="AN484" s="2"/>
      <c r="AO484" s="9"/>
      <c r="AP484" s="9"/>
      <c r="AQ484" s="9"/>
      <c r="AR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224"/>
      <c r="X485" s="224"/>
      <c r="Y485" s="224"/>
      <c r="Z485" s="868"/>
      <c r="AA485" s="865"/>
      <c r="AB485" s="2"/>
      <c r="AC485" s="2"/>
      <c r="AD485" s="2"/>
      <c r="AE485" s="2"/>
      <c r="AF485" s="2"/>
      <c r="AG485" s="2"/>
      <c r="AH485" s="2"/>
      <c r="AI485" s="2"/>
      <c r="AJ485" s="2"/>
      <c r="AK485" s="2"/>
      <c r="AL485" s="2"/>
      <c r="AM485" s="2"/>
      <c r="AN485" s="2"/>
      <c r="AO485" s="9"/>
      <c r="AP485" s="9"/>
      <c r="AQ485" s="9"/>
      <c r="AR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224"/>
      <c r="X486" s="224"/>
      <c r="Y486" s="224"/>
      <c r="Z486" s="868"/>
      <c r="AA486" s="865"/>
      <c r="AB486" s="2"/>
      <c r="AC486" s="2"/>
      <c r="AD486" s="2"/>
      <c r="AE486" s="2"/>
      <c r="AF486" s="2"/>
      <c r="AG486" s="2"/>
      <c r="AH486" s="2"/>
      <c r="AI486" s="2"/>
      <c r="AJ486" s="2"/>
      <c r="AK486" s="2"/>
      <c r="AL486" s="2"/>
      <c r="AM486" s="2"/>
      <c r="AN486" s="2"/>
      <c r="AO486" s="9"/>
      <c r="AP486" s="9"/>
      <c r="AQ486" s="9"/>
      <c r="AR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224"/>
      <c r="X487" s="224"/>
      <c r="Y487" s="224"/>
      <c r="Z487" s="868"/>
      <c r="AA487" s="865"/>
      <c r="AB487" s="2"/>
      <c r="AC487" s="2"/>
      <c r="AD487" s="2"/>
      <c r="AE487" s="2"/>
      <c r="AF487" s="2"/>
      <c r="AG487" s="2"/>
      <c r="AH487" s="2"/>
      <c r="AI487" s="2"/>
      <c r="AJ487" s="2"/>
      <c r="AK487" s="2"/>
      <c r="AL487" s="2"/>
      <c r="AM487" s="2"/>
      <c r="AN487" s="2"/>
      <c r="AO487" s="9"/>
      <c r="AP487" s="9"/>
      <c r="AQ487" s="9"/>
      <c r="AR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224"/>
      <c r="X488" s="224"/>
      <c r="Y488" s="224"/>
      <c r="Z488" s="868"/>
      <c r="AA488" s="865"/>
      <c r="AB488" s="2"/>
      <c r="AC488" s="2"/>
      <c r="AD488" s="2"/>
      <c r="AE488" s="2"/>
      <c r="AF488" s="2"/>
      <c r="AG488" s="2"/>
      <c r="AH488" s="2"/>
      <c r="AI488" s="2"/>
      <c r="AJ488" s="2"/>
      <c r="AK488" s="2"/>
      <c r="AL488" s="2"/>
      <c r="AM488" s="2"/>
      <c r="AN488" s="2"/>
      <c r="AO488" s="9"/>
      <c r="AP488" s="9"/>
      <c r="AQ488" s="9"/>
      <c r="AR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224"/>
      <c r="X489" s="224"/>
      <c r="Y489" s="224"/>
      <c r="Z489" s="868"/>
      <c r="AA489" s="865"/>
      <c r="AB489" s="2"/>
      <c r="AC489" s="2"/>
      <c r="AD489" s="2"/>
      <c r="AE489" s="2"/>
      <c r="AF489" s="2"/>
      <c r="AG489" s="2"/>
      <c r="AH489" s="2"/>
      <c r="AI489" s="2"/>
      <c r="AJ489" s="2"/>
      <c r="AK489" s="2"/>
      <c r="AL489" s="2"/>
      <c r="AM489" s="2"/>
      <c r="AN489" s="2"/>
      <c r="AO489" s="9"/>
      <c r="AP489" s="9"/>
      <c r="AQ489" s="9"/>
      <c r="AR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224"/>
      <c r="X490" s="224"/>
      <c r="Y490" s="224"/>
      <c r="Z490" s="868"/>
      <c r="AA490" s="865"/>
      <c r="AB490" s="2"/>
      <c r="AC490" s="2"/>
      <c r="AD490" s="2"/>
      <c r="AE490" s="2"/>
      <c r="AF490" s="2"/>
      <c r="AG490" s="2"/>
      <c r="AH490" s="2"/>
      <c r="AI490" s="2"/>
      <c r="AJ490" s="2"/>
      <c r="AK490" s="2"/>
      <c r="AL490" s="2"/>
      <c r="AM490" s="2"/>
      <c r="AN490" s="2"/>
      <c r="AO490" s="9"/>
      <c r="AP490" s="9"/>
      <c r="AQ490" s="9"/>
      <c r="AR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224"/>
      <c r="X491" s="224"/>
      <c r="Y491" s="224"/>
      <c r="Z491" s="868"/>
      <c r="AA491" s="865"/>
      <c r="AB491" s="2"/>
      <c r="AC491" s="2"/>
      <c r="AD491" s="2"/>
      <c r="AE491" s="2"/>
      <c r="AF491" s="2"/>
      <c r="AG491" s="2"/>
      <c r="AH491" s="2"/>
      <c r="AI491" s="2"/>
      <c r="AJ491" s="2"/>
      <c r="AK491" s="2"/>
      <c r="AL491" s="2"/>
      <c r="AM491" s="2"/>
      <c r="AN491" s="2"/>
      <c r="AO491" s="9"/>
      <c r="AP491" s="9"/>
      <c r="AQ491" s="9"/>
      <c r="AR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224"/>
      <c r="X492" s="224"/>
      <c r="Y492" s="224"/>
      <c r="Z492" s="868"/>
      <c r="AA492" s="865"/>
      <c r="AB492" s="2"/>
      <c r="AC492" s="2"/>
      <c r="AD492" s="2"/>
      <c r="AE492" s="2"/>
      <c r="AF492" s="2"/>
      <c r="AG492" s="2"/>
      <c r="AH492" s="2"/>
      <c r="AI492" s="2"/>
      <c r="AJ492" s="2"/>
      <c r="AK492" s="2"/>
      <c r="AL492" s="2"/>
      <c r="AM492" s="2"/>
      <c r="AN492" s="2"/>
      <c r="AO492" s="9"/>
      <c r="AP492" s="9"/>
      <c r="AQ492" s="9"/>
      <c r="AR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224"/>
      <c r="X493" s="224"/>
      <c r="Y493" s="224"/>
      <c r="Z493" s="868"/>
      <c r="AA493" s="865"/>
      <c r="AB493" s="2"/>
      <c r="AC493" s="2"/>
      <c r="AD493" s="2"/>
      <c r="AE493" s="2"/>
      <c r="AF493" s="2"/>
      <c r="AG493" s="2"/>
      <c r="AH493" s="2"/>
      <c r="AI493" s="2"/>
      <c r="AJ493" s="2"/>
      <c r="AK493" s="2"/>
      <c r="AL493" s="2"/>
      <c r="AM493" s="2"/>
      <c r="AN493" s="2"/>
      <c r="AO493" s="9"/>
      <c r="AP493" s="9"/>
      <c r="AQ493" s="9"/>
      <c r="AR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224"/>
      <c r="X494" s="224"/>
      <c r="Y494" s="224"/>
      <c r="Z494" s="868"/>
      <c r="AA494" s="865"/>
      <c r="AB494" s="2"/>
      <c r="AC494" s="2"/>
      <c r="AD494" s="2"/>
      <c r="AE494" s="2"/>
      <c r="AF494" s="2"/>
      <c r="AG494" s="2"/>
      <c r="AH494" s="2"/>
      <c r="AI494" s="2"/>
      <c r="AJ494" s="2"/>
      <c r="AK494" s="2"/>
      <c r="AL494" s="2"/>
      <c r="AM494" s="2"/>
      <c r="AN494" s="2"/>
      <c r="AO494" s="9"/>
      <c r="AP494" s="9"/>
      <c r="AQ494" s="9"/>
      <c r="AR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224"/>
      <c r="X495" s="224"/>
      <c r="Y495" s="224"/>
      <c r="Z495" s="868"/>
      <c r="AA495" s="865"/>
      <c r="AB495" s="2"/>
      <c r="AC495" s="2"/>
      <c r="AD495" s="2"/>
      <c r="AE495" s="2"/>
      <c r="AF495" s="2"/>
      <c r="AG495" s="2"/>
      <c r="AH495" s="2"/>
      <c r="AI495" s="2"/>
      <c r="AJ495" s="2"/>
      <c r="AK495" s="2"/>
      <c r="AL495" s="2"/>
      <c r="AM495" s="2"/>
      <c r="AN495" s="2"/>
      <c r="AO495" s="9"/>
      <c r="AP495" s="9"/>
      <c r="AQ495" s="9"/>
      <c r="AR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224"/>
      <c r="X496" s="224"/>
      <c r="Y496" s="224"/>
      <c r="Z496" s="868"/>
      <c r="AA496" s="865"/>
      <c r="AB496" s="2"/>
      <c r="AC496" s="2"/>
      <c r="AD496" s="2"/>
      <c r="AE496" s="2"/>
      <c r="AF496" s="2"/>
      <c r="AG496" s="2"/>
      <c r="AH496" s="2"/>
      <c r="AI496" s="2"/>
      <c r="AJ496" s="2"/>
      <c r="AK496" s="2"/>
      <c r="AL496" s="2"/>
      <c r="AM496" s="2"/>
      <c r="AN496" s="2"/>
      <c r="AO496" s="9"/>
      <c r="AP496" s="9"/>
      <c r="AQ496" s="9"/>
      <c r="AR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224"/>
      <c r="X497" s="224"/>
      <c r="Y497" s="224"/>
      <c r="Z497" s="868"/>
      <c r="AA497" s="865"/>
      <c r="AB497" s="2"/>
      <c r="AC497" s="2"/>
      <c r="AD497" s="2"/>
      <c r="AE497" s="2"/>
      <c r="AF497" s="2"/>
      <c r="AG497" s="2"/>
      <c r="AH497" s="2"/>
      <c r="AI497" s="2"/>
      <c r="AJ497" s="2"/>
      <c r="AK497" s="2"/>
      <c r="AL497" s="2"/>
      <c r="AM497" s="2"/>
      <c r="AN497" s="2"/>
      <c r="AO497" s="9"/>
      <c r="AP497" s="9"/>
      <c r="AQ497" s="9"/>
      <c r="AR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224"/>
      <c r="X498" s="224"/>
      <c r="Y498" s="224"/>
      <c r="Z498" s="868"/>
      <c r="AA498" s="865"/>
      <c r="AB498" s="2"/>
      <c r="AC498" s="2"/>
      <c r="AD498" s="2"/>
      <c r="AE498" s="2"/>
      <c r="AF498" s="2"/>
      <c r="AG498" s="2"/>
      <c r="AH498" s="2"/>
      <c r="AI498" s="2"/>
      <c r="AJ498" s="2"/>
      <c r="AK498" s="2"/>
      <c r="AL498" s="2"/>
      <c r="AM498" s="2"/>
      <c r="AN498" s="2"/>
      <c r="AO498" s="9"/>
      <c r="AP498" s="9"/>
      <c r="AQ498" s="9"/>
      <c r="AR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224"/>
      <c r="X499" s="224"/>
      <c r="Y499" s="224"/>
      <c r="Z499" s="868"/>
      <c r="AA499" s="865"/>
      <c r="AB499" s="2"/>
      <c r="AC499" s="2"/>
      <c r="AD499" s="2"/>
      <c r="AE499" s="2"/>
      <c r="AF499" s="2"/>
      <c r="AG499" s="2"/>
      <c r="AH499" s="2"/>
      <c r="AI499" s="2"/>
      <c r="AJ499" s="2"/>
      <c r="AK499" s="2"/>
      <c r="AL499" s="2"/>
      <c r="AM499" s="2"/>
      <c r="AN499" s="2"/>
      <c r="AO499" s="9"/>
      <c r="AP499" s="9"/>
      <c r="AQ499" s="9"/>
      <c r="AR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224"/>
      <c r="X500" s="224"/>
      <c r="Y500" s="224"/>
      <c r="Z500" s="868"/>
      <c r="AA500" s="865"/>
      <c r="AB500" s="2"/>
      <c r="AC500" s="2"/>
      <c r="AD500" s="2"/>
      <c r="AE500" s="2"/>
      <c r="AF500" s="2"/>
      <c r="AG500" s="2"/>
      <c r="AH500" s="2"/>
      <c r="AI500" s="2"/>
      <c r="AJ500" s="2"/>
      <c r="AK500" s="2"/>
      <c r="AL500" s="2"/>
      <c r="AM500" s="2"/>
      <c r="AN500" s="2"/>
      <c r="AO500" s="9"/>
      <c r="AP500" s="9"/>
      <c r="AQ500" s="9"/>
      <c r="AR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224"/>
      <c r="X501" s="224"/>
      <c r="Y501" s="224"/>
      <c r="Z501" s="868"/>
      <c r="AA501" s="865"/>
      <c r="AB501" s="2"/>
      <c r="AC501" s="2"/>
      <c r="AD501" s="2"/>
      <c r="AE501" s="2"/>
      <c r="AF501" s="2"/>
      <c r="AG501" s="2"/>
      <c r="AH501" s="2"/>
      <c r="AI501" s="2"/>
      <c r="AJ501" s="2"/>
      <c r="AK501" s="2"/>
      <c r="AL501" s="2"/>
      <c r="AM501" s="2"/>
      <c r="AN501" s="2"/>
      <c r="AO501" s="9"/>
      <c r="AP501" s="9"/>
      <c r="AQ501" s="9"/>
      <c r="AR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224"/>
      <c r="X502" s="224"/>
      <c r="Y502" s="224"/>
      <c r="Z502" s="868"/>
      <c r="AA502" s="865"/>
      <c r="AB502" s="2"/>
      <c r="AC502" s="2"/>
      <c r="AD502" s="2"/>
      <c r="AE502" s="2"/>
      <c r="AF502" s="2"/>
      <c r="AG502" s="2"/>
      <c r="AH502" s="2"/>
      <c r="AI502" s="2"/>
      <c r="AJ502" s="2"/>
      <c r="AK502" s="2"/>
      <c r="AL502" s="2"/>
      <c r="AM502" s="2"/>
      <c r="AN502" s="2"/>
      <c r="AO502" s="9"/>
      <c r="AP502" s="9"/>
      <c r="AQ502" s="9"/>
      <c r="AR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224"/>
      <c r="X503" s="224"/>
      <c r="Y503" s="224"/>
      <c r="Z503" s="868"/>
      <c r="AA503" s="865"/>
      <c r="AB503" s="2"/>
      <c r="AC503" s="2"/>
      <c r="AD503" s="2"/>
      <c r="AE503" s="2"/>
      <c r="AF503" s="2"/>
      <c r="AG503" s="2"/>
      <c r="AH503" s="2"/>
      <c r="AI503" s="2"/>
      <c r="AJ503" s="2"/>
      <c r="AK503" s="2"/>
      <c r="AL503" s="2"/>
      <c r="AM503" s="2"/>
      <c r="AN503" s="2"/>
      <c r="AO503" s="9"/>
      <c r="AP503" s="9"/>
      <c r="AQ503" s="9"/>
      <c r="AR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224"/>
      <c r="X504" s="224"/>
      <c r="Y504" s="224"/>
      <c r="Z504" s="868"/>
      <c r="AA504" s="865"/>
      <c r="AB504" s="2"/>
      <c r="AC504" s="2"/>
      <c r="AD504" s="2"/>
      <c r="AE504" s="2"/>
      <c r="AF504" s="2"/>
      <c r="AG504" s="2"/>
      <c r="AH504" s="2"/>
      <c r="AI504" s="2"/>
      <c r="AJ504" s="2"/>
      <c r="AK504" s="2"/>
      <c r="AL504" s="2"/>
      <c r="AM504" s="2"/>
      <c r="AN504" s="2"/>
      <c r="AO504" s="9"/>
      <c r="AP504" s="9"/>
      <c r="AQ504" s="9"/>
      <c r="AR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224"/>
      <c r="X505" s="224"/>
      <c r="Y505" s="224"/>
      <c r="Z505" s="868"/>
      <c r="AA505" s="865"/>
      <c r="AB505" s="2"/>
      <c r="AC505" s="2"/>
      <c r="AD505" s="2"/>
      <c r="AE505" s="2"/>
      <c r="AF505" s="2"/>
      <c r="AG505" s="2"/>
      <c r="AH505" s="2"/>
      <c r="AI505" s="2"/>
      <c r="AJ505" s="2"/>
      <c r="AK505" s="2"/>
      <c r="AL505" s="2"/>
      <c r="AM505" s="2"/>
      <c r="AN505" s="2"/>
      <c r="AO505" s="9"/>
      <c r="AP505" s="9"/>
      <c r="AQ505" s="9"/>
      <c r="AR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224"/>
      <c r="X506" s="224"/>
      <c r="Y506" s="224"/>
      <c r="Z506" s="868"/>
      <c r="AA506" s="865"/>
      <c r="AB506" s="2"/>
      <c r="AC506" s="2"/>
      <c r="AD506" s="2"/>
      <c r="AE506" s="2"/>
      <c r="AF506" s="2"/>
      <c r="AG506" s="2"/>
      <c r="AH506" s="2"/>
      <c r="AI506" s="2"/>
      <c r="AJ506" s="2"/>
      <c r="AK506" s="2"/>
      <c r="AL506" s="2"/>
      <c r="AM506" s="2"/>
      <c r="AN506" s="2"/>
      <c r="AO506" s="9"/>
      <c r="AP506" s="9"/>
      <c r="AQ506" s="9"/>
      <c r="AR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224"/>
      <c r="X507" s="224"/>
      <c r="Y507" s="224"/>
      <c r="Z507" s="868"/>
      <c r="AA507" s="865"/>
      <c r="AB507" s="2"/>
      <c r="AC507" s="2"/>
      <c r="AD507" s="2"/>
      <c r="AE507" s="2"/>
      <c r="AF507" s="2"/>
      <c r="AG507" s="2"/>
      <c r="AH507" s="2"/>
      <c r="AI507" s="2"/>
      <c r="AJ507" s="2"/>
      <c r="AK507" s="2"/>
      <c r="AL507" s="2"/>
      <c r="AM507" s="2"/>
      <c r="AN507" s="2"/>
      <c r="AO507" s="9"/>
      <c r="AP507" s="9"/>
      <c r="AQ507" s="9"/>
      <c r="AR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224"/>
      <c r="X508" s="224"/>
      <c r="Y508" s="224"/>
      <c r="Z508" s="868"/>
      <c r="AA508" s="865"/>
      <c r="AB508" s="2"/>
      <c r="AC508" s="2"/>
      <c r="AD508" s="2"/>
      <c r="AE508" s="2"/>
      <c r="AF508" s="2"/>
      <c r="AG508" s="2"/>
      <c r="AH508" s="2"/>
      <c r="AI508" s="2"/>
      <c r="AJ508" s="2"/>
      <c r="AK508" s="2"/>
      <c r="AL508" s="2"/>
      <c r="AM508" s="2"/>
      <c r="AN508" s="2"/>
      <c r="AO508" s="9"/>
      <c r="AP508" s="9"/>
      <c r="AQ508" s="9"/>
      <c r="AR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224"/>
      <c r="X509" s="224"/>
      <c r="Y509" s="224"/>
      <c r="Z509" s="868"/>
      <c r="AA509" s="865"/>
      <c r="AB509" s="2"/>
      <c r="AC509" s="2"/>
      <c r="AD509" s="2"/>
      <c r="AE509" s="2"/>
      <c r="AF509" s="2"/>
      <c r="AG509" s="2"/>
      <c r="AH509" s="2"/>
      <c r="AI509" s="2"/>
      <c r="AJ509" s="2"/>
      <c r="AK509" s="2"/>
      <c r="AL509" s="2"/>
      <c r="AM509" s="2"/>
      <c r="AN509" s="2"/>
      <c r="AO509" s="9"/>
      <c r="AP509" s="9"/>
      <c r="AQ509" s="9"/>
      <c r="AR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224"/>
      <c r="X510" s="224"/>
      <c r="Y510" s="224"/>
      <c r="Z510" s="868"/>
      <c r="AA510" s="865"/>
      <c r="AB510" s="2"/>
      <c r="AC510" s="2"/>
      <c r="AD510" s="2"/>
      <c r="AE510" s="2"/>
      <c r="AF510" s="2"/>
      <c r="AG510" s="2"/>
      <c r="AH510" s="2"/>
      <c r="AI510" s="2"/>
      <c r="AJ510" s="2"/>
      <c r="AK510" s="2"/>
      <c r="AL510" s="2"/>
      <c r="AM510" s="2"/>
      <c r="AN510" s="2"/>
      <c r="AO510" s="9"/>
      <c r="AP510" s="9"/>
      <c r="AQ510" s="9"/>
      <c r="AR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224"/>
      <c r="X511" s="224"/>
      <c r="Y511" s="224"/>
      <c r="Z511" s="868"/>
      <c r="AA511" s="865"/>
      <c r="AB511" s="2"/>
      <c r="AC511" s="2"/>
      <c r="AD511" s="2"/>
      <c r="AE511" s="2"/>
      <c r="AF511" s="2"/>
      <c r="AG511" s="2"/>
      <c r="AH511" s="2"/>
      <c r="AI511" s="2"/>
      <c r="AJ511" s="2"/>
      <c r="AK511" s="2"/>
      <c r="AL511" s="2"/>
      <c r="AM511" s="2"/>
      <c r="AN511" s="2"/>
      <c r="AO511" s="9"/>
      <c r="AP511" s="9"/>
      <c r="AQ511" s="9"/>
      <c r="AR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224"/>
      <c r="X512" s="224"/>
      <c r="Y512" s="224"/>
      <c r="Z512" s="868"/>
      <c r="AA512" s="865"/>
      <c r="AB512" s="2"/>
      <c r="AC512" s="2"/>
      <c r="AD512" s="2"/>
      <c r="AE512" s="2"/>
      <c r="AF512" s="2"/>
      <c r="AG512" s="2"/>
      <c r="AH512" s="2"/>
      <c r="AI512" s="2"/>
      <c r="AJ512" s="2"/>
      <c r="AK512" s="2"/>
      <c r="AL512" s="2"/>
      <c r="AM512" s="2"/>
      <c r="AN512" s="2"/>
      <c r="AO512" s="9"/>
      <c r="AP512" s="9"/>
      <c r="AQ512" s="9"/>
      <c r="AR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224"/>
      <c r="X513" s="224"/>
      <c r="Y513" s="224"/>
      <c r="Z513" s="868"/>
      <c r="AA513" s="865"/>
      <c r="AB513" s="2"/>
      <c r="AC513" s="2"/>
      <c r="AD513" s="2"/>
      <c r="AE513" s="2"/>
      <c r="AF513" s="2"/>
      <c r="AG513" s="2"/>
      <c r="AH513" s="2"/>
      <c r="AI513" s="2"/>
      <c r="AJ513" s="2"/>
      <c r="AK513" s="2"/>
      <c r="AL513" s="2"/>
      <c r="AM513" s="2"/>
      <c r="AN513" s="2"/>
      <c r="AO513" s="9"/>
      <c r="AP513" s="9"/>
      <c r="AQ513" s="9"/>
      <c r="AR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224"/>
      <c r="X514" s="224"/>
      <c r="Y514" s="224"/>
      <c r="Z514" s="868"/>
      <c r="AA514" s="865"/>
      <c r="AB514" s="2"/>
      <c r="AC514" s="2"/>
      <c r="AD514" s="2"/>
      <c r="AE514" s="2"/>
      <c r="AF514" s="2"/>
      <c r="AG514" s="2"/>
      <c r="AH514" s="2"/>
      <c r="AI514" s="2"/>
      <c r="AJ514" s="2"/>
      <c r="AK514" s="2"/>
      <c r="AL514" s="2"/>
      <c r="AM514" s="2"/>
      <c r="AN514" s="2"/>
      <c r="AO514" s="9"/>
      <c r="AP514" s="9"/>
      <c r="AQ514" s="9"/>
      <c r="AR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224"/>
      <c r="X515" s="224"/>
      <c r="Y515" s="224"/>
      <c r="Z515" s="868"/>
      <c r="AA515" s="865"/>
      <c r="AB515" s="2"/>
      <c r="AC515" s="2"/>
      <c r="AD515" s="2"/>
      <c r="AE515" s="2"/>
      <c r="AF515" s="2"/>
      <c r="AG515" s="2"/>
      <c r="AH515" s="2"/>
      <c r="AI515" s="2"/>
      <c r="AJ515" s="2"/>
      <c r="AK515" s="2"/>
      <c r="AL515" s="2"/>
      <c r="AM515" s="2"/>
      <c r="AN515" s="2"/>
      <c r="AO515" s="9"/>
      <c r="AP515" s="9"/>
      <c r="AQ515" s="9"/>
      <c r="AR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224"/>
      <c r="X516" s="224"/>
      <c r="Y516" s="224"/>
      <c r="Z516" s="868"/>
      <c r="AA516" s="865"/>
      <c r="AB516" s="2"/>
      <c r="AC516" s="2"/>
      <c r="AD516" s="2"/>
      <c r="AE516" s="2"/>
      <c r="AF516" s="2"/>
      <c r="AG516" s="2"/>
      <c r="AH516" s="2"/>
      <c r="AI516" s="2"/>
      <c r="AJ516" s="2"/>
      <c r="AK516" s="2"/>
      <c r="AL516" s="2"/>
      <c r="AM516" s="2"/>
      <c r="AN516" s="2"/>
      <c r="AO516" s="9"/>
      <c r="AP516" s="9"/>
      <c r="AQ516" s="9"/>
      <c r="AR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224"/>
      <c r="X517" s="224"/>
      <c r="Y517" s="224"/>
      <c r="Z517" s="868"/>
      <c r="AA517" s="865"/>
      <c r="AB517" s="2"/>
      <c r="AC517" s="2"/>
      <c r="AD517" s="2"/>
      <c r="AE517" s="2"/>
      <c r="AF517" s="2"/>
      <c r="AG517" s="2"/>
      <c r="AH517" s="2"/>
      <c r="AI517" s="2"/>
      <c r="AJ517" s="2"/>
      <c r="AK517" s="2"/>
      <c r="AL517" s="2"/>
      <c r="AM517" s="2"/>
      <c r="AN517" s="2"/>
      <c r="AO517" s="9"/>
      <c r="AP517" s="9"/>
      <c r="AQ517" s="9"/>
      <c r="AR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224"/>
      <c r="X518" s="224"/>
      <c r="Y518" s="224"/>
      <c r="Z518" s="868"/>
      <c r="AA518" s="865"/>
      <c r="AB518" s="2"/>
      <c r="AC518" s="2"/>
      <c r="AD518" s="2"/>
      <c r="AE518" s="2"/>
      <c r="AF518" s="2"/>
      <c r="AG518" s="2"/>
      <c r="AH518" s="2"/>
      <c r="AI518" s="2"/>
      <c r="AJ518" s="2"/>
      <c r="AK518" s="2"/>
      <c r="AL518" s="2"/>
      <c r="AM518" s="2"/>
      <c r="AN518" s="2"/>
      <c r="AO518" s="9"/>
      <c r="AP518" s="9"/>
      <c r="AQ518" s="9"/>
      <c r="AR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224"/>
      <c r="X519" s="224"/>
      <c r="Y519" s="224"/>
      <c r="Z519" s="868"/>
      <c r="AA519" s="865"/>
      <c r="AB519" s="2"/>
      <c r="AC519" s="2"/>
      <c r="AD519" s="2"/>
      <c r="AE519" s="2"/>
      <c r="AF519" s="2"/>
      <c r="AG519" s="2"/>
      <c r="AH519" s="2"/>
      <c r="AI519" s="2"/>
      <c r="AJ519" s="2"/>
      <c r="AK519" s="2"/>
      <c r="AL519" s="2"/>
      <c r="AM519" s="2"/>
      <c r="AN519" s="2"/>
      <c r="AO519" s="9"/>
      <c r="AP519" s="9"/>
      <c r="AQ519" s="9"/>
      <c r="AR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224"/>
      <c r="X520" s="224"/>
      <c r="Y520" s="224"/>
      <c r="Z520" s="868"/>
      <c r="AA520" s="865"/>
      <c r="AB520" s="2"/>
      <c r="AC520" s="2"/>
      <c r="AD520" s="2"/>
      <c r="AE520" s="2"/>
      <c r="AF520" s="2"/>
      <c r="AG520" s="2"/>
      <c r="AH520" s="2"/>
      <c r="AI520" s="2"/>
      <c r="AJ520" s="2"/>
      <c r="AK520" s="2"/>
      <c r="AL520" s="2"/>
      <c r="AM520" s="2"/>
      <c r="AN520" s="2"/>
      <c r="AO520" s="9"/>
      <c r="AP520" s="9"/>
      <c r="AQ520" s="9"/>
      <c r="AR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224"/>
      <c r="X521" s="224"/>
      <c r="Y521" s="224"/>
      <c r="Z521" s="868"/>
      <c r="AA521" s="865"/>
      <c r="AB521" s="2"/>
      <c r="AC521" s="2"/>
      <c r="AD521" s="2"/>
      <c r="AE521" s="2"/>
      <c r="AF521" s="2"/>
      <c r="AG521" s="2"/>
      <c r="AH521" s="2"/>
      <c r="AI521" s="2"/>
      <c r="AJ521" s="2"/>
      <c r="AK521" s="2"/>
      <c r="AL521" s="2"/>
      <c r="AM521" s="2"/>
      <c r="AN521" s="2"/>
      <c r="AO521" s="9"/>
      <c r="AP521" s="9"/>
      <c r="AQ521" s="9"/>
      <c r="AR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224"/>
      <c r="X522" s="224"/>
      <c r="Y522" s="224"/>
      <c r="Z522" s="868"/>
      <c r="AA522" s="865"/>
      <c r="AB522" s="2"/>
      <c r="AC522" s="2"/>
      <c r="AD522" s="2"/>
      <c r="AE522" s="2"/>
      <c r="AF522" s="2"/>
      <c r="AG522" s="2"/>
      <c r="AH522" s="2"/>
      <c r="AI522" s="2"/>
      <c r="AJ522" s="2"/>
      <c r="AK522" s="2"/>
      <c r="AL522" s="2"/>
      <c r="AM522" s="2"/>
      <c r="AN522" s="2"/>
      <c r="AO522" s="9"/>
      <c r="AP522" s="9"/>
      <c r="AQ522" s="9"/>
      <c r="AR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224"/>
      <c r="X523" s="224"/>
      <c r="Y523" s="224"/>
      <c r="Z523" s="868"/>
      <c r="AA523" s="865"/>
      <c r="AB523" s="2"/>
      <c r="AC523" s="2"/>
      <c r="AD523" s="2"/>
      <c r="AE523" s="2"/>
      <c r="AF523" s="2"/>
      <c r="AG523" s="2"/>
      <c r="AH523" s="2"/>
      <c r="AI523" s="2"/>
      <c r="AJ523" s="2"/>
      <c r="AK523" s="2"/>
      <c r="AL523" s="2"/>
      <c r="AM523" s="2"/>
      <c r="AN523" s="2"/>
      <c r="AO523" s="9"/>
      <c r="AP523" s="9"/>
      <c r="AQ523" s="9"/>
      <c r="AR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224"/>
      <c r="X524" s="224"/>
      <c r="Y524" s="224"/>
      <c r="Z524" s="868"/>
      <c r="AA524" s="865"/>
      <c r="AB524" s="2"/>
      <c r="AC524" s="2"/>
      <c r="AD524" s="2"/>
      <c r="AE524" s="2"/>
      <c r="AF524" s="2"/>
      <c r="AG524" s="2"/>
      <c r="AH524" s="2"/>
      <c r="AI524" s="2"/>
      <c r="AJ524" s="2"/>
      <c r="AK524" s="2"/>
      <c r="AL524" s="2"/>
      <c r="AM524" s="2"/>
      <c r="AN524" s="2"/>
      <c r="AO524" s="9"/>
      <c r="AP524" s="9"/>
      <c r="AQ524" s="9"/>
      <c r="AR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224"/>
      <c r="X525" s="224"/>
      <c r="Y525" s="224"/>
      <c r="Z525" s="868"/>
      <c r="AA525" s="865"/>
      <c r="AB525" s="2"/>
      <c r="AC525" s="2"/>
      <c r="AD525" s="2"/>
      <c r="AE525" s="2"/>
      <c r="AF525" s="2"/>
      <c r="AG525" s="2"/>
      <c r="AH525" s="2"/>
      <c r="AI525" s="2"/>
      <c r="AJ525" s="2"/>
      <c r="AK525" s="2"/>
      <c r="AL525" s="2"/>
      <c r="AM525" s="2"/>
      <c r="AN525" s="2"/>
      <c r="AO525" s="9"/>
      <c r="AP525" s="9"/>
      <c r="AQ525" s="9"/>
      <c r="AR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224"/>
      <c r="X526" s="224"/>
      <c r="Y526" s="224"/>
      <c r="Z526" s="868"/>
      <c r="AA526" s="865"/>
      <c r="AB526" s="2"/>
      <c r="AC526" s="2"/>
      <c r="AD526" s="2"/>
      <c r="AE526" s="2"/>
      <c r="AF526" s="2"/>
      <c r="AG526" s="2"/>
      <c r="AH526" s="2"/>
      <c r="AI526" s="2"/>
      <c r="AJ526" s="2"/>
      <c r="AK526" s="2"/>
      <c r="AL526" s="2"/>
      <c r="AM526" s="2"/>
      <c r="AN526" s="2"/>
      <c r="AO526" s="9"/>
      <c r="AP526" s="9"/>
      <c r="AQ526" s="9"/>
      <c r="AR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224"/>
      <c r="X527" s="224"/>
      <c r="Y527" s="224"/>
      <c r="Z527" s="868"/>
      <c r="AA527" s="865"/>
      <c r="AB527" s="2"/>
      <c r="AC527" s="2"/>
      <c r="AD527" s="2"/>
      <c r="AE527" s="2"/>
      <c r="AF527" s="2"/>
      <c r="AG527" s="2"/>
      <c r="AH527" s="2"/>
      <c r="AI527" s="2"/>
      <c r="AJ527" s="2"/>
      <c r="AK527" s="2"/>
      <c r="AL527" s="2"/>
      <c r="AM527" s="2"/>
      <c r="AN527" s="2"/>
      <c r="AO527" s="9"/>
      <c r="AP527" s="9"/>
      <c r="AQ527" s="9"/>
      <c r="AR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224"/>
      <c r="X528" s="224"/>
      <c r="Y528" s="224"/>
      <c r="Z528" s="868"/>
      <c r="AA528" s="865"/>
      <c r="AB528" s="2"/>
      <c r="AC528" s="2"/>
      <c r="AD528" s="2"/>
      <c r="AE528" s="2"/>
      <c r="AF528" s="2"/>
      <c r="AG528" s="2"/>
      <c r="AH528" s="2"/>
      <c r="AI528" s="2"/>
      <c r="AJ528" s="2"/>
      <c r="AK528" s="2"/>
      <c r="AL528" s="2"/>
      <c r="AM528" s="2"/>
      <c r="AN528" s="2"/>
      <c r="AO528" s="9"/>
      <c r="AP528" s="9"/>
      <c r="AQ528" s="9"/>
      <c r="AR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224"/>
      <c r="X529" s="224"/>
      <c r="Y529" s="224"/>
      <c r="Z529" s="868"/>
      <c r="AA529" s="865"/>
      <c r="AB529" s="2"/>
      <c r="AC529" s="2"/>
      <c r="AD529" s="2"/>
      <c r="AE529" s="2"/>
      <c r="AF529" s="2"/>
      <c r="AG529" s="2"/>
      <c r="AH529" s="2"/>
      <c r="AI529" s="2"/>
      <c r="AJ529" s="2"/>
      <c r="AK529" s="2"/>
      <c r="AL529" s="2"/>
      <c r="AM529" s="2"/>
      <c r="AN529" s="2"/>
      <c r="AO529" s="9"/>
      <c r="AP529" s="9"/>
      <c r="AQ529" s="9"/>
      <c r="AR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224"/>
      <c r="X530" s="224"/>
      <c r="Y530" s="224"/>
      <c r="Z530" s="868"/>
      <c r="AA530" s="865"/>
      <c r="AB530" s="2"/>
      <c r="AC530" s="2"/>
      <c r="AD530" s="2"/>
      <c r="AE530" s="2"/>
      <c r="AF530" s="2"/>
      <c r="AG530" s="2"/>
      <c r="AH530" s="2"/>
      <c r="AI530" s="2"/>
      <c r="AJ530" s="2"/>
      <c r="AK530" s="2"/>
      <c r="AL530" s="2"/>
      <c r="AM530" s="2"/>
      <c r="AN530" s="2"/>
      <c r="AO530" s="9"/>
      <c r="AP530" s="9"/>
      <c r="AQ530" s="9"/>
      <c r="AR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224"/>
      <c r="X531" s="224"/>
      <c r="Y531" s="224"/>
      <c r="Z531" s="868"/>
      <c r="AA531" s="865"/>
      <c r="AB531" s="2"/>
      <c r="AC531" s="2"/>
      <c r="AD531" s="2"/>
      <c r="AE531" s="2"/>
      <c r="AF531" s="2"/>
      <c r="AG531" s="2"/>
      <c r="AH531" s="2"/>
      <c r="AI531" s="2"/>
      <c r="AJ531" s="2"/>
      <c r="AK531" s="2"/>
      <c r="AL531" s="2"/>
      <c r="AM531" s="2"/>
      <c r="AN531" s="2"/>
      <c r="AO531" s="9"/>
      <c r="AP531" s="9"/>
      <c r="AQ531" s="9"/>
      <c r="AR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224"/>
      <c r="X532" s="224"/>
      <c r="Y532" s="224"/>
      <c r="Z532" s="868"/>
      <c r="AA532" s="865"/>
      <c r="AB532" s="2"/>
      <c r="AC532" s="2"/>
      <c r="AD532" s="2"/>
      <c r="AE532" s="2"/>
      <c r="AF532" s="2"/>
      <c r="AG532" s="2"/>
      <c r="AH532" s="2"/>
      <c r="AI532" s="2"/>
      <c r="AJ532" s="2"/>
      <c r="AK532" s="2"/>
      <c r="AL532" s="2"/>
      <c r="AM532" s="2"/>
      <c r="AN532" s="2"/>
      <c r="AO532" s="9"/>
      <c r="AP532" s="9"/>
      <c r="AQ532" s="9"/>
      <c r="AR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224"/>
      <c r="X533" s="224"/>
      <c r="Y533" s="224"/>
      <c r="Z533" s="868"/>
      <c r="AA533" s="865"/>
      <c r="AB533" s="2"/>
      <c r="AC533" s="2"/>
      <c r="AD533" s="2"/>
      <c r="AE533" s="2"/>
      <c r="AF533" s="2"/>
      <c r="AG533" s="2"/>
      <c r="AH533" s="2"/>
      <c r="AI533" s="2"/>
      <c r="AJ533" s="2"/>
      <c r="AK533" s="2"/>
      <c r="AL533" s="2"/>
      <c r="AM533" s="2"/>
      <c r="AN533" s="2"/>
      <c r="AO533" s="9"/>
      <c r="AP533" s="9"/>
      <c r="AQ533" s="9"/>
      <c r="AR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224"/>
      <c r="X534" s="224"/>
      <c r="Y534" s="224"/>
      <c r="Z534" s="868"/>
      <c r="AA534" s="865"/>
      <c r="AB534" s="2"/>
      <c r="AC534" s="2"/>
      <c r="AD534" s="2"/>
      <c r="AE534" s="2"/>
      <c r="AF534" s="2"/>
      <c r="AG534" s="2"/>
      <c r="AH534" s="2"/>
      <c r="AI534" s="2"/>
      <c r="AJ534" s="2"/>
      <c r="AK534" s="2"/>
      <c r="AL534" s="2"/>
      <c r="AM534" s="2"/>
      <c r="AN534" s="2"/>
      <c r="AO534" s="9"/>
      <c r="AP534" s="9"/>
      <c r="AQ534" s="9"/>
      <c r="AR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224"/>
      <c r="X535" s="224"/>
      <c r="Y535" s="224"/>
      <c r="Z535" s="868"/>
      <c r="AA535" s="865"/>
      <c r="AB535" s="2"/>
      <c r="AC535" s="2"/>
      <c r="AD535" s="2"/>
      <c r="AE535" s="2"/>
      <c r="AF535" s="2"/>
      <c r="AG535" s="2"/>
      <c r="AH535" s="2"/>
      <c r="AI535" s="2"/>
      <c r="AJ535" s="2"/>
      <c r="AK535" s="2"/>
      <c r="AL535" s="2"/>
      <c r="AM535" s="2"/>
      <c r="AN535" s="2"/>
      <c r="AO535" s="9"/>
      <c r="AP535" s="9"/>
      <c r="AQ535" s="9"/>
      <c r="AR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224"/>
      <c r="X536" s="224"/>
      <c r="Y536" s="224"/>
      <c r="Z536" s="868"/>
      <c r="AA536" s="865"/>
      <c r="AB536" s="2"/>
      <c r="AC536" s="2"/>
      <c r="AD536" s="2"/>
      <c r="AE536" s="2"/>
      <c r="AF536" s="2"/>
      <c r="AG536" s="2"/>
      <c r="AH536" s="2"/>
      <c r="AI536" s="2"/>
      <c r="AJ536" s="2"/>
      <c r="AK536" s="2"/>
      <c r="AL536" s="2"/>
      <c r="AM536" s="2"/>
      <c r="AN536" s="2"/>
      <c r="AO536" s="9"/>
      <c r="AP536" s="9"/>
      <c r="AQ536" s="9"/>
      <c r="AR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224"/>
      <c r="X537" s="224"/>
      <c r="Y537" s="224"/>
      <c r="Z537" s="868"/>
      <c r="AA537" s="865"/>
      <c r="AB537" s="2"/>
      <c r="AC537" s="2"/>
      <c r="AD537" s="2"/>
      <c r="AE537" s="2"/>
      <c r="AF537" s="2"/>
      <c r="AG537" s="2"/>
      <c r="AH537" s="2"/>
      <c r="AI537" s="2"/>
      <c r="AJ537" s="2"/>
      <c r="AK537" s="2"/>
      <c r="AL537" s="2"/>
      <c r="AM537" s="2"/>
      <c r="AN537" s="2"/>
      <c r="AO537" s="9"/>
      <c r="AP537" s="9"/>
      <c r="AQ537" s="9"/>
      <c r="AR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224"/>
      <c r="X538" s="224"/>
      <c r="Y538" s="224"/>
      <c r="Z538" s="868"/>
      <c r="AA538" s="865"/>
      <c r="AB538" s="2"/>
      <c r="AC538" s="2"/>
      <c r="AD538" s="2"/>
      <c r="AE538" s="2"/>
      <c r="AF538" s="2"/>
      <c r="AG538" s="2"/>
      <c r="AH538" s="2"/>
      <c r="AI538" s="2"/>
      <c r="AJ538" s="2"/>
      <c r="AK538" s="2"/>
      <c r="AL538" s="2"/>
      <c r="AM538" s="2"/>
      <c r="AN538" s="2"/>
      <c r="AO538" s="9"/>
      <c r="AP538" s="9"/>
      <c r="AQ538" s="9"/>
      <c r="AR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224"/>
      <c r="X539" s="224"/>
      <c r="Y539" s="224"/>
      <c r="Z539" s="868"/>
      <c r="AA539" s="865"/>
      <c r="AB539" s="2"/>
      <c r="AC539" s="2"/>
      <c r="AD539" s="2"/>
      <c r="AE539" s="2"/>
      <c r="AF539" s="2"/>
      <c r="AG539" s="2"/>
      <c r="AH539" s="2"/>
      <c r="AI539" s="2"/>
      <c r="AJ539" s="2"/>
      <c r="AK539" s="2"/>
      <c r="AL539" s="2"/>
      <c r="AM539" s="2"/>
      <c r="AN539" s="2"/>
      <c r="AO539" s="9"/>
      <c r="AP539" s="9"/>
      <c r="AQ539" s="9"/>
      <c r="AR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224"/>
      <c r="X540" s="224"/>
      <c r="Y540" s="224"/>
      <c r="Z540" s="868"/>
      <c r="AA540" s="865"/>
      <c r="AB540" s="2"/>
      <c r="AC540" s="2"/>
      <c r="AD540" s="2"/>
      <c r="AE540" s="2"/>
      <c r="AF540" s="2"/>
      <c r="AG540" s="2"/>
      <c r="AH540" s="2"/>
      <c r="AI540" s="2"/>
      <c r="AJ540" s="2"/>
      <c r="AK540" s="2"/>
      <c r="AL540" s="2"/>
      <c r="AM540" s="2"/>
      <c r="AN540" s="2"/>
      <c r="AO540" s="9"/>
      <c r="AP540" s="9"/>
      <c r="AQ540" s="9"/>
      <c r="AR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224"/>
      <c r="X541" s="224"/>
      <c r="Y541" s="224"/>
      <c r="Z541" s="868"/>
      <c r="AA541" s="865"/>
      <c r="AB541" s="2"/>
      <c r="AC541" s="2"/>
      <c r="AD541" s="2"/>
      <c r="AE541" s="2"/>
      <c r="AF541" s="2"/>
      <c r="AG541" s="2"/>
      <c r="AH541" s="2"/>
      <c r="AI541" s="2"/>
      <c r="AJ541" s="2"/>
      <c r="AK541" s="2"/>
      <c r="AL541" s="2"/>
      <c r="AM541" s="2"/>
      <c r="AN541" s="2"/>
      <c r="AO541" s="9"/>
      <c r="AP541" s="9"/>
      <c r="AQ541" s="9"/>
      <c r="AR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224"/>
      <c r="X542" s="224"/>
      <c r="Y542" s="224"/>
      <c r="Z542" s="868"/>
      <c r="AA542" s="865"/>
      <c r="AB542" s="2"/>
      <c r="AC542" s="2"/>
      <c r="AD542" s="2"/>
      <c r="AE542" s="2"/>
      <c r="AF542" s="2"/>
      <c r="AG542" s="2"/>
      <c r="AH542" s="2"/>
      <c r="AI542" s="2"/>
      <c r="AJ542" s="2"/>
      <c r="AK542" s="2"/>
      <c r="AL542" s="2"/>
      <c r="AM542" s="2"/>
      <c r="AN542" s="2"/>
      <c r="AO542" s="9"/>
      <c r="AP542" s="9"/>
      <c r="AQ542" s="9"/>
      <c r="AR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224"/>
      <c r="X543" s="224"/>
      <c r="Y543" s="224"/>
      <c r="Z543" s="868"/>
      <c r="AA543" s="865"/>
      <c r="AB543" s="2"/>
      <c r="AC543" s="2"/>
      <c r="AD543" s="2"/>
      <c r="AE543" s="2"/>
      <c r="AF543" s="2"/>
      <c r="AG543" s="2"/>
      <c r="AH543" s="2"/>
      <c r="AI543" s="2"/>
      <c r="AJ543" s="2"/>
      <c r="AK543" s="2"/>
      <c r="AL543" s="2"/>
      <c r="AM543" s="2"/>
      <c r="AN543" s="2"/>
      <c r="AO543" s="9"/>
      <c r="AP543" s="9"/>
      <c r="AQ543" s="9"/>
      <c r="AR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224"/>
      <c r="X544" s="224"/>
      <c r="Y544" s="224"/>
      <c r="Z544" s="868"/>
      <c r="AA544" s="865"/>
      <c r="AB544" s="2"/>
      <c r="AC544" s="2"/>
      <c r="AD544" s="2"/>
      <c r="AE544" s="2"/>
      <c r="AF544" s="2"/>
      <c r="AG544" s="2"/>
      <c r="AH544" s="2"/>
      <c r="AI544" s="2"/>
      <c r="AJ544" s="2"/>
      <c r="AK544" s="2"/>
      <c r="AL544" s="2"/>
      <c r="AM544" s="2"/>
      <c r="AN544" s="2"/>
      <c r="AO544" s="9"/>
      <c r="AP544" s="9"/>
      <c r="AQ544" s="9"/>
      <c r="AR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224"/>
      <c r="X545" s="224"/>
      <c r="Y545" s="224"/>
      <c r="Z545" s="868"/>
      <c r="AA545" s="865"/>
      <c r="AB545" s="2"/>
      <c r="AC545" s="2"/>
      <c r="AD545" s="2"/>
      <c r="AE545" s="2"/>
      <c r="AF545" s="2"/>
      <c r="AG545" s="2"/>
      <c r="AH545" s="2"/>
      <c r="AI545" s="2"/>
      <c r="AJ545" s="2"/>
      <c r="AK545" s="2"/>
      <c r="AL545" s="2"/>
      <c r="AM545" s="2"/>
      <c r="AN545" s="2"/>
      <c r="AO545" s="9"/>
      <c r="AP545" s="9"/>
      <c r="AQ545" s="9"/>
      <c r="AR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224"/>
      <c r="X546" s="224"/>
      <c r="Y546" s="224"/>
      <c r="Z546" s="868"/>
      <c r="AA546" s="865"/>
      <c r="AB546" s="2"/>
      <c r="AC546" s="2"/>
      <c r="AD546" s="2"/>
      <c r="AE546" s="2"/>
      <c r="AF546" s="2"/>
      <c r="AG546" s="2"/>
      <c r="AH546" s="2"/>
      <c r="AI546" s="2"/>
      <c r="AJ546" s="2"/>
      <c r="AK546" s="2"/>
      <c r="AL546" s="2"/>
      <c r="AM546" s="2"/>
      <c r="AN546" s="2"/>
      <c r="AO546" s="9"/>
      <c r="AP546" s="9"/>
      <c r="AQ546" s="9"/>
      <c r="AR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224"/>
      <c r="X547" s="224"/>
      <c r="Y547" s="224"/>
      <c r="Z547" s="868"/>
      <c r="AA547" s="865"/>
      <c r="AB547" s="2"/>
      <c r="AC547" s="2"/>
      <c r="AD547" s="2"/>
      <c r="AE547" s="2"/>
      <c r="AF547" s="2"/>
      <c r="AG547" s="2"/>
      <c r="AH547" s="2"/>
      <c r="AI547" s="2"/>
      <c r="AJ547" s="2"/>
      <c r="AK547" s="2"/>
      <c r="AL547" s="2"/>
      <c r="AM547" s="2"/>
      <c r="AN547" s="2"/>
      <c r="AO547" s="9"/>
      <c r="AP547" s="9"/>
      <c r="AQ547" s="9"/>
      <c r="AR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224"/>
      <c r="X548" s="224"/>
      <c r="Y548" s="224"/>
      <c r="Z548" s="868"/>
      <c r="AA548" s="865"/>
      <c r="AB548" s="2"/>
      <c r="AC548" s="2"/>
      <c r="AD548" s="2"/>
      <c r="AE548" s="2"/>
      <c r="AF548" s="2"/>
      <c r="AG548" s="2"/>
      <c r="AH548" s="2"/>
      <c r="AI548" s="2"/>
      <c r="AJ548" s="2"/>
      <c r="AK548" s="2"/>
      <c r="AL548" s="2"/>
      <c r="AM548" s="2"/>
      <c r="AN548" s="2"/>
      <c r="AO548" s="9"/>
      <c r="AP548" s="9"/>
      <c r="AQ548" s="9"/>
      <c r="AR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224"/>
      <c r="X549" s="224"/>
      <c r="Y549" s="224"/>
      <c r="Z549" s="868"/>
      <c r="AA549" s="865"/>
      <c r="AB549" s="2"/>
      <c r="AC549" s="2"/>
      <c r="AD549" s="2"/>
      <c r="AE549" s="2"/>
      <c r="AF549" s="2"/>
      <c r="AG549" s="2"/>
      <c r="AH549" s="2"/>
      <c r="AI549" s="2"/>
      <c r="AJ549" s="2"/>
      <c r="AK549" s="2"/>
      <c r="AL549" s="2"/>
      <c r="AM549" s="2"/>
      <c r="AN549" s="2"/>
      <c r="AO549" s="9"/>
      <c r="AP549" s="9"/>
      <c r="AQ549" s="9"/>
      <c r="AR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224"/>
      <c r="X550" s="224"/>
      <c r="Y550" s="224"/>
      <c r="Z550" s="868"/>
      <c r="AA550" s="865"/>
      <c r="AB550" s="2"/>
      <c r="AC550" s="2"/>
      <c r="AD550" s="2"/>
      <c r="AE550" s="2"/>
      <c r="AF550" s="2"/>
      <c r="AG550" s="2"/>
      <c r="AH550" s="2"/>
      <c r="AI550" s="2"/>
      <c r="AJ550" s="2"/>
      <c r="AK550" s="2"/>
      <c r="AL550" s="2"/>
      <c r="AM550" s="2"/>
      <c r="AN550" s="2"/>
      <c r="AO550" s="9"/>
      <c r="AP550" s="9"/>
      <c r="AQ550" s="9"/>
      <c r="AR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224"/>
      <c r="X551" s="224"/>
      <c r="Y551" s="224"/>
      <c r="Z551" s="868"/>
      <c r="AA551" s="865"/>
      <c r="AB551" s="2"/>
      <c r="AC551" s="2"/>
      <c r="AD551" s="2"/>
      <c r="AE551" s="2"/>
      <c r="AF551" s="2"/>
      <c r="AG551" s="2"/>
      <c r="AH551" s="2"/>
      <c r="AI551" s="2"/>
      <c r="AJ551" s="2"/>
      <c r="AK551" s="2"/>
      <c r="AL551" s="2"/>
      <c r="AM551" s="2"/>
      <c r="AN551" s="2"/>
      <c r="AO551" s="9"/>
      <c r="AP551" s="9"/>
      <c r="AQ551" s="9"/>
      <c r="AR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224"/>
      <c r="X552" s="224"/>
      <c r="Y552" s="224"/>
      <c r="Z552" s="868"/>
      <c r="AA552" s="865"/>
      <c r="AB552" s="2"/>
      <c r="AC552" s="2"/>
      <c r="AD552" s="2"/>
      <c r="AE552" s="2"/>
      <c r="AF552" s="2"/>
      <c r="AG552" s="2"/>
      <c r="AH552" s="2"/>
      <c r="AI552" s="2"/>
      <c r="AJ552" s="2"/>
      <c r="AK552" s="2"/>
      <c r="AL552" s="2"/>
      <c r="AM552" s="2"/>
      <c r="AN552" s="2"/>
      <c r="AO552" s="9"/>
      <c r="AP552" s="9"/>
      <c r="AQ552" s="9"/>
      <c r="AR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224"/>
      <c r="X553" s="224"/>
      <c r="Y553" s="224"/>
      <c r="Z553" s="868"/>
      <c r="AA553" s="865"/>
      <c r="AB553" s="2"/>
      <c r="AC553" s="2"/>
      <c r="AD553" s="2"/>
      <c r="AE553" s="2"/>
      <c r="AF553" s="2"/>
      <c r="AG553" s="2"/>
      <c r="AH553" s="2"/>
      <c r="AI553" s="2"/>
      <c r="AJ553" s="2"/>
      <c r="AK553" s="2"/>
      <c r="AL553" s="2"/>
      <c r="AM553" s="2"/>
      <c r="AN553" s="2"/>
      <c r="AO553" s="9"/>
      <c r="AP553" s="9"/>
      <c r="AQ553" s="9"/>
      <c r="AR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224"/>
      <c r="X554" s="224"/>
      <c r="Y554" s="224"/>
      <c r="Z554" s="868"/>
      <c r="AA554" s="865"/>
      <c r="AB554" s="2"/>
      <c r="AC554" s="2"/>
      <c r="AD554" s="2"/>
      <c r="AE554" s="2"/>
      <c r="AF554" s="2"/>
      <c r="AG554" s="2"/>
      <c r="AH554" s="2"/>
      <c r="AI554" s="2"/>
      <c r="AJ554" s="2"/>
      <c r="AK554" s="2"/>
      <c r="AL554" s="2"/>
      <c r="AM554" s="2"/>
      <c r="AN554" s="2"/>
      <c r="AO554" s="9"/>
      <c r="AP554" s="9"/>
      <c r="AQ554" s="9"/>
      <c r="AR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224"/>
      <c r="X555" s="224"/>
      <c r="Y555" s="224"/>
      <c r="Z555" s="868"/>
      <c r="AA555" s="865"/>
      <c r="AB555" s="2"/>
      <c r="AC555" s="2"/>
      <c r="AD555" s="2"/>
      <c r="AE555" s="2"/>
      <c r="AF555" s="2"/>
      <c r="AG555" s="2"/>
      <c r="AH555" s="2"/>
      <c r="AI555" s="2"/>
      <c r="AJ555" s="2"/>
      <c r="AK555" s="2"/>
      <c r="AL555" s="2"/>
      <c r="AM555" s="2"/>
      <c r="AN555" s="2"/>
      <c r="AO555" s="9"/>
      <c r="AP555" s="9"/>
      <c r="AQ555" s="9"/>
      <c r="AR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224"/>
      <c r="X556" s="224"/>
      <c r="Y556" s="224"/>
      <c r="Z556" s="868"/>
      <c r="AA556" s="865"/>
      <c r="AB556" s="2"/>
      <c r="AC556" s="2"/>
      <c r="AD556" s="2"/>
      <c r="AE556" s="2"/>
      <c r="AF556" s="2"/>
      <c r="AG556" s="2"/>
      <c r="AH556" s="2"/>
      <c r="AI556" s="2"/>
      <c r="AJ556" s="2"/>
      <c r="AK556" s="2"/>
      <c r="AL556" s="2"/>
      <c r="AM556" s="2"/>
      <c r="AN556" s="2"/>
      <c r="AO556" s="9"/>
      <c r="AP556" s="9"/>
      <c r="AQ556" s="9"/>
      <c r="AR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224"/>
      <c r="X557" s="224"/>
      <c r="Y557" s="224"/>
      <c r="Z557" s="868"/>
      <c r="AA557" s="865"/>
      <c r="AB557" s="2"/>
      <c r="AC557" s="2"/>
      <c r="AD557" s="2"/>
      <c r="AE557" s="2"/>
      <c r="AF557" s="2"/>
      <c r="AG557" s="2"/>
      <c r="AH557" s="2"/>
      <c r="AI557" s="2"/>
      <c r="AJ557" s="2"/>
      <c r="AK557" s="2"/>
      <c r="AL557" s="2"/>
      <c r="AM557" s="2"/>
      <c r="AN557" s="2"/>
      <c r="AO557" s="9"/>
      <c r="AP557" s="9"/>
      <c r="AQ557" s="9"/>
      <c r="AR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224"/>
      <c r="X558" s="224"/>
      <c r="Y558" s="224"/>
      <c r="Z558" s="868"/>
      <c r="AA558" s="865"/>
      <c r="AB558" s="2"/>
      <c r="AC558" s="2"/>
      <c r="AD558" s="2"/>
      <c r="AE558" s="2"/>
      <c r="AF558" s="2"/>
      <c r="AG558" s="2"/>
      <c r="AH558" s="2"/>
      <c r="AI558" s="2"/>
      <c r="AJ558" s="2"/>
      <c r="AK558" s="2"/>
      <c r="AL558" s="2"/>
      <c r="AM558" s="2"/>
      <c r="AN558" s="2"/>
      <c r="AO558" s="9"/>
      <c r="AP558" s="9"/>
      <c r="AQ558" s="9"/>
      <c r="AR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224"/>
      <c r="X559" s="224"/>
      <c r="Y559" s="224"/>
      <c r="Z559" s="868"/>
      <c r="AA559" s="865"/>
      <c r="AB559" s="2"/>
      <c r="AC559" s="2"/>
      <c r="AD559" s="2"/>
      <c r="AE559" s="2"/>
      <c r="AF559" s="2"/>
      <c r="AG559" s="2"/>
      <c r="AH559" s="2"/>
      <c r="AI559" s="2"/>
      <c r="AJ559" s="2"/>
      <c r="AK559" s="2"/>
      <c r="AL559" s="2"/>
      <c r="AM559" s="2"/>
      <c r="AN559" s="2"/>
      <c r="AO559" s="9"/>
      <c r="AP559" s="9"/>
      <c r="AQ559" s="9"/>
      <c r="AR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224"/>
      <c r="X560" s="224"/>
      <c r="Y560" s="224"/>
      <c r="Z560" s="868"/>
      <c r="AA560" s="865"/>
      <c r="AB560" s="2"/>
      <c r="AC560" s="2"/>
      <c r="AD560" s="2"/>
      <c r="AE560" s="2"/>
      <c r="AF560" s="2"/>
      <c r="AG560" s="2"/>
      <c r="AH560" s="2"/>
      <c r="AI560" s="2"/>
      <c r="AJ560" s="2"/>
      <c r="AK560" s="2"/>
      <c r="AL560" s="2"/>
      <c r="AM560" s="2"/>
      <c r="AN560" s="2"/>
      <c r="AO560" s="9"/>
      <c r="AP560" s="9"/>
      <c r="AQ560" s="9"/>
      <c r="AR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224"/>
      <c r="X561" s="224"/>
      <c r="Y561" s="224"/>
      <c r="Z561" s="868"/>
      <c r="AA561" s="865"/>
      <c r="AB561" s="2"/>
      <c r="AC561" s="2"/>
      <c r="AD561" s="2"/>
      <c r="AE561" s="2"/>
      <c r="AF561" s="2"/>
      <c r="AG561" s="2"/>
      <c r="AH561" s="2"/>
      <c r="AI561" s="2"/>
      <c r="AJ561" s="2"/>
      <c r="AK561" s="2"/>
      <c r="AL561" s="2"/>
      <c r="AM561" s="2"/>
      <c r="AN561" s="2"/>
      <c r="AO561" s="9"/>
      <c r="AP561" s="9"/>
      <c r="AQ561" s="9"/>
      <c r="AR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224"/>
      <c r="X562" s="224"/>
      <c r="Y562" s="224"/>
      <c r="Z562" s="868"/>
      <c r="AA562" s="865"/>
      <c r="AB562" s="2"/>
      <c r="AC562" s="2"/>
      <c r="AD562" s="2"/>
      <c r="AE562" s="2"/>
      <c r="AF562" s="2"/>
      <c r="AG562" s="2"/>
      <c r="AH562" s="2"/>
      <c r="AI562" s="2"/>
      <c r="AJ562" s="2"/>
      <c r="AK562" s="2"/>
      <c r="AL562" s="2"/>
      <c r="AM562" s="2"/>
      <c r="AN562" s="2"/>
      <c r="AO562" s="9"/>
      <c r="AP562" s="9"/>
      <c r="AQ562" s="9"/>
      <c r="AR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224"/>
      <c r="X563" s="224"/>
      <c r="Y563" s="224"/>
      <c r="Z563" s="868"/>
      <c r="AA563" s="865"/>
      <c r="AB563" s="2"/>
      <c r="AC563" s="2"/>
      <c r="AD563" s="2"/>
      <c r="AE563" s="2"/>
      <c r="AF563" s="2"/>
      <c r="AG563" s="2"/>
      <c r="AH563" s="2"/>
      <c r="AI563" s="2"/>
      <c r="AJ563" s="2"/>
      <c r="AK563" s="2"/>
      <c r="AL563" s="2"/>
      <c r="AM563" s="2"/>
      <c r="AN563" s="2"/>
      <c r="AO563" s="9"/>
      <c r="AP563" s="9"/>
      <c r="AQ563" s="9"/>
      <c r="AR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224"/>
      <c r="X564" s="224"/>
      <c r="Y564" s="224"/>
      <c r="Z564" s="868"/>
      <c r="AA564" s="865"/>
      <c r="AB564" s="2"/>
      <c r="AC564" s="2"/>
      <c r="AD564" s="2"/>
      <c r="AE564" s="2"/>
      <c r="AF564" s="2"/>
      <c r="AG564" s="2"/>
      <c r="AH564" s="2"/>
      <c r="AI564" s="2"/>
      <c r="AJ564" s="2"/>
      <c r="AK564" s="2"/>
      <c r="AL564" s="2"/>
      <c r="AM564" s="2"/>
      <c r="AN564" s="2"/>
      <c r="AO564" s="9"/>
      <c r="AP564" s="9"/>
      <c r="AQ564" s="9"/>
      <c r="AR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224"/>
      <c r="X565" s="224"/>
      <c r="Y565" s="224"/>
      <c r="Z565" s="868"/>
      <c r="AA565" s="865"/>
      <c r="AB565" s="2"/>
      <c r="AC565" s="2"/>
      <c r="AD565" s="2"/>
      <c r="AE565" s="2"/>
      <c r="AF565" s="2"/>
      <c r="AG565" s="2"/>
      <c r="AH565" s="2"/>
      <c r="AI565" s="2"/>
      <c r="AJ565" s="2"/>
      <c r="AK565" s="2"/>
      <c r="AL565" s="2"/>
      <c r="AM565" s="2"/>
      <c r="AN565" s="2"/>
      <c r="AO565" s="9"/>
      <c r="AP565" s="9"/>
      <c r="AQ565" s="9"/>
      <c r="AR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224"/>
      <c r="X566" s="224"/>
      <c r="Y566" s="224"/>
      <c r="Z566" s="868"/>
      <c r="AA566" s="865"/>
      <c r="AB566" s="2"/>
      <c r="AC566" s="2"/>
      <c r="AD566" s="2"/>
      <c r="AE566" s="2"/>
      <c r="AF566" s="2"/>
      <c r="AG566" s="2"/>
      <c r="AH566" s="2"/>
      <c r="AI566" s="2"/>
      <c r="AJ566" s="2"/>
      <c r="AK566" s="2"/>
      <c r="AL566" s="2"/>
      <c r="AM566" s="2"/>
      <c r="AN566" s="2"/>
      <c r="AO566" s="9"/>
      <c r="AP566" s="9"/>
      <c r="AQ566" s="9"/>
      <c r="AR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224"/>
      <c r="X567" s="224"/>
      <c r="Y567" s="224"/>
      <c r="Z567" s="868"/>
      <c r="AA567" s="865"/>
      <c r="AB567" s="2"/>
      <c r="AC567" s="2"/>
      <c r="AD567" s="2"/>
      <c r="AE567" s="2"/>
      <c r="AF567" s="2"/>
      <c r="AG567" s="2"/>
      <c r="AH567" s="2"/>
      <c r="AI567" s="2"/>
      <c r="AJ567" s="2"/>
      <c r="AK567" s="2"/>
      <c r="AL567" s="2"/>
      <c r="AM567" s="2"/>
      <c r="AN567" s="2"/>
      <c r="AO567" s="9"/>
      <c r="AP567" s="9"/>
      <c r="AQ567" s="9"/>
      <c r="AR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224"/>
      <c r="X568" s="224"/>
      <c r="Y568" s="224"/>
      <c r="Z568" s="868"/>
      <c r="AA568" s="865"/>
      <c r="AB568" s="2"/>
      <c r="AC568" s="2"/>
      <c r="AD568" s="2"/>
      <c r="AE568" s="2"/>
      <c r="AF568" s="2"/>
      <c r="AG568" s="2"/>
      <c r="AH568" s="2"/>
      <c r="AI568" s="2"/>
      <c r="AJ568" s="2"/>
      <c r="AK568" s="2"/>
      <c r="AL568" s="2"/>
      <c r="AM568" s="2"/>
      <c r="AN568" s="2"/>
      <c r="AO568" s="9"/>
      <c r="AP568" s="9"/>
      <c r="AQ568" s="9"/>
      <c r="AR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224"/>
      <c r="X569" s="224"/>
      <c r="Y569" s="224"/>
      <c r="Z569" s="868"/>
      <c r="AA569" s="865"/>
      <c r="AB569" s="2"/>
      <c r="AC569" s="2"/>
      <c r="AD569" s="2"/>
      <c r="AE569" s="2"/>
      <c r="AF569" s="2"/>
      <c r="AG569" s="2"/>
      <c r="AH569" s="2"/>
      <c r="AI569" s="2"/>
      <c r="AJ569" s="2"/>
      <c r="AK569" s="2"/>
      <c r="AL569" s="2"/>
      <c r="AM569" s="2"/>
      <c r="AN569" s="2"/>
      <c r="AO569" s="9"/>
      <c r="AP569" s="9"/>
      <c r="AQ569" s="9"/>
      <c r="AR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224"/>
      <c r="X570" s="224"/>
      <c r="Y570" s="224"/>
      <c r="Z570" s="868"/>
      <c r="AA570" s="865"/>
      <c r="AB570" s="2"/>
      <c r="AC570" s="2"/>
      <c r="AD570" s="2"/>
      <c r="AE570" s="2"/>
      <c r="AF570" s="2"/>
      <c r="AG570" s="2"/>
      <c r="AH570" s="2"/>
      <c r="AI570" s="2"/>
      <c r="AJ570" s="2"/>
      <c r="AK570" s="2"/>
      <c r="AL570" s="2"/>
      <c r="AM570" s="2"/>
      <c r="AN570" s="2"/>
      <c r="AO570" s="9"/>
      <c r="AP570" s="9"/>
      <c r="AQ570" s="9"/>
      <c r="AR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224"/>
      <c r="X571" s="224"/>
      <c r="Y571" s="224"/>
      <c r="Z571" s="868"/>
      <c r="AA571" s="865"/>
      <c r="AB571" s="2"/>
      <c r="AC571" s="2"/>
      <c r="AD571" s="2"/>
      <c r="AE571" s="2"/>
      <c r="AF571" s="2"/>
      <c r="AG571" s="2"/>
      <c r="AH571" s="2"/>
      <c r="AI571" s="2"/>
      <c r="AJ571" s="2"/>
      <c r="AK571" s="2"/>
      <c r="AL571" s="2"/>
      <c r="AM571" s="2"/>
      <c r="AN571" s="2"/>
      <c r="AO571" s="9"/>
      <c r="AP571" s="9"/>
      <c r="AQ571" s="9"/>
      <c r="AR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224"/>
      <c r="X572" s="224"/>
      <c r="Y572" s="224"/>
      <c r="Z572" s="868"/>
      <c r="AA572" s="865"/>
      <c r="AB572" s="2"/>
      <c r="AC572" s="2"/>
      <c r="AD572" s="2"/>
      <c r="AE572" s="2"/>
      <c r="AF572" s="2"/>
      <c r="AG572" s="2"/>
      <c r="AH572" s="2"/>
      <c r="AI572" s="2"/>
      <c r="AJ572" s="2"/>
      <c r="AK572" s="2"/>
      <c r="AL572" s="2"/>
      <c r="AM572" s="2"/>
      <c r="AN572" s="2"/>
      <c r="AO572" s="9"/>
      <c r="AP572" s="9"/>
      <c r="AQ572" s="9"/>
      <c r="AR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224"/>
      <c r="X573" s="224"/>
      <c r="Y573" s="224"/>
      <c r="Z573" s="868"/>
      <c r="AA573" s="865"/>
      <c r="AB573" s="2"/>
      <c r="AC573" s="2"/>
      <c r="AD573" s="2"/>
      <c r="AE573" s="2"/>
      <c r="AF573" s="2"/>
      <c r="AG573" s="2"/>
      <c r="AH573" s="2"/>
      <c r="AI573" s="2"/>
      <c r="AJ573" s="2"/>
      <c r="AK573" s="2"/>
      <c r="AL573" s="2"/>
      <c r="AM573" s="2"/>
      <c r="AN573" s="2"/>
      <c r="AO573" s="9"/>
      <c r="AP573" s="9"/>
      <c r="AQ573" s="9"/>
      <c r="AR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224"/>
      <c r="X574" s="224"/>
      <c r="Y574" s="224"/>
      <c r="Z574" s="868"/>
      <c r="AA574" s="865"/>
      <c r="AB574" s="2"/>
      <c r="AC574" s="2"/>
      <c r="AD574" s="2"/>
      <c r="AE574" s="2"/>
      <c r="AF574" s="2"/>
      <c r="AG574" s="2"/>
      <c r="AH574" s="2"/>
      <c r="AI574" s="2"/>
      <c r="AJ574" s="2"/>
      <c r="AK574" s="2"/>
      <c r="AL574" s="2"/>
      <c r="AM574" s="2"/>
      <c r="AN574" s="2"/>
      <c r="AO574" s="9"/>
      <c r="AP574" s="9"/>
      <c r="AQ574" s="9"/>
      <c r="AR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224"/>
      <c r="X575" s="224"/>
      <c r="Y575" s="224"/>
      <c r="Z575" s="868"/>
      <c r="AA575" s="865"/>
      <c r="AB575" s="2"/>
      <c r="AC575" s="2"/>
      <c r="AD575" s="2"/>
      <c r="AE575" s="2"/>
      <c r="AF575" s="2"/>
      <c r="AG575" s="2"/>
      <c r="AH575" s="2"/>
      <c r="AI575" s="2"/>
      <c r="AJ575" s="2"/>
      <c r="AK575" s="2"/>
      <c r="AL575" s="2"/>
      <c r="AM575" s="2"/>
      <c r="AN575" s="2"/>
      <c r="AO575" s="9"/>
      <c r="AP575" s="9"/>
      <c r="AQ575" s="9"/>
      <c r="AR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224"/>
      <c r="X576" s="224"/>
      <c r="Y576" s="224"/>
      <c r="Z576" s="868"/>
      <c r="AA576" s="865"/>
      <c r="AB576" s="2"/>
      <c r="AC576" s="2"/>
      <c r="AD576" s="2"/>
      <c r="AE576" s="2"/>
      <c r="AF576" s="2"/>
      <c r="AG576" s="2"/>
      <c r="AH576" s="2"/>
      <c r="AI576" s="2"/>
      <c r="AJ576" s="2"/>
      <c r="AK576" s="2"/>
      <c r="AL576" s="2"/>
      <c r="AM576" s="2"/>
      <c r="AN576" s="2"/>
      <c r="AO576" s="9"/>
      <c r="AP576" s="9"/>
      <c r="AQ576" s="9"/>
      <c r="AR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224"/>
      <c r="X577" s="224"/>
      <c r="Y577" s="224"/>
      <c r="Z577" s="868"/>
      <c r="AA577" s="865"/>
      <c r="AB577" s="2"/>
      <c r="AC577" s="2"/>
      <c r="AD577" s="2"/>
      <c r="AE577" s="2"/>
      <c r="AF577" s="2"/>
      <c r="AG577" s="2"/>
      <c r="AH577" s="2"/>
      <c r="AI577" s="2"/>
      <c r="AJ577" s="2"/>
      <c r="AK577" s="2"/>
      <c r="AL577" s="2"/>
      <c r="AM577" s="2"/>
      <c r="AN577" s="2"/>
      <c r="AO577" s="9"/>
      <c r="AP577" s="9"/>
      <c r="AQ577" s="9"/>
      <c r="AR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224"/>
      <c r="X578" s="224"/>
      <c r="Y578" s="224"/>
      <c r="Z578" s="868"/>
      <c r="AA578" s="865"/>
      <c r="AB578" s="2"/>
      <c r="AC578" s="2"/>
      <c r="AD578" s="2"/>
      <c r="AE578" s="2"/>
      <c r="AF578" s="2"/>
      <c r="AG578" s="2"/>
      <c r="AH578" s="2"/>
      <c r="AI578" s="2"/>
      <c r="AJ578" s="2"/>
      <c r="AK578" s="2"/>
      <c r="AL578" s="2"/>
      <c r="AM578" s="2"/>
      <c r="AN578" s="2"/>
      <c r="AO578" s="9"/>
      <c r="AP578" s="9"/>
      <c r="AQ578" s="9"/>
      <c r="AR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224"/>
      <c r="X579" s="224"/>
      <c r="Y579" s="224"/>
      <c r="Z579" s="868"/>
      <c r="AA579" s="865"/>
      <c r="AB579" s="2"/>
      <c r="AC579" s="2"/>
      <c r="AD579" s="2"/>
      <c r="AE579" s="2"/>
      <c r="AF579" s="2"/>
      <c r="AG579" s="2"/>
      <c r="AH579" s="2"/>
      <c r="AI579" s="2"/>
      <c r="AJ579" s="2"/>
      <c r="AK579" s="2"/>
      <c r="AL579" s="2"/>
      <c r="AM579" s="2"/>
      <c r="AN579" s="2"/>
      <c r="AO579" s="9"/>
      <c r="AP579" s="9"/>
      <c r="AQ579" s="9"/>
      <c r="AR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224"/>
      <c r="X580" s="224"/>
      <c r="Y580" s="224"/>
      <c r="Z580" s="868"/>
      <c r="AA580" s="865"/>
      <c r="AB580" s="2"/>
      <c r="AC580" s="2"/>
      <c r="AD580" s="2"/>
      <c r="AE580" s="2"/>
      <c r="AF580" s="2"/>
      <c r="AG580" s="2"/>
      <c r="AH580" s="2"/>
      <c r="AI580" s="2"/>
      <c r="AJ580" s="2"/>
      <c r="AK580" s="2"/>
      <c r="AL580" s="2"/>
      <c r="AM580" s="2"/>
      <c r="AN580" s="2"/>
      <c r="AO580" s="9"/>
      <c r="AP580" s="9"/>
      <c r="AQ580" s="9"/>
      <c r="AR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224"/>
      <c r="X581" s="224"/>
      <c r="Y581" s="224"/>
      <c r="Z581" s="868"/>
      <c r="AA581" s="865"/>
      <c r="AB581" s="2"/>
      <c r="AC581" s="2"/>
      <c r="AD581" s="2"/>
      <c r="AE581" s="2"/>
      <c r="AF581" s="2"/>
      <c r="AG581" s="2"/>
      <c r="AH581" s="2"/>
      <c r="AI581" s="2"/>
      <c r="AJ581" s="2"/>
      <c r="AK581" s="2"/>
      <c r="AL581" s="2"/>
      <c r="AM581" s="2"/>
      <c r="AN581" s="2"/>
      <c r="AO581" s="9"/>
      <c r="AP581" s="9"/>
      <c r="AQ581" s="9"/>
      <c r="AR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224"/>
      <c r="X582" s="224"/>
      <c r="Y582" s="224"/>
      <c r="Z582" s="868"/>
      <c r="AA582" s="865"/>
      <c r="AB582" s="2"/>
      <c r="AC582" s="2"/>
      <c r="AD582" s="2"/>
      <c r="AE582" s="2"/>
      <c r="AF582" s="2"/>
      <c r="AG582" s="2"/>
      <c r="AH582" s="2"/>
      <c r="AI582" s="2"/>
      <c r="AJ582" s="2"/>
      <c r="AK582" s="2"/>
      <c r="AL582" s="2"/>
      <c r="AM582" s="2"/>
      <c r="AN582" s="2"/>
      <c r="AO582" s="9"/>
      <c r="AP582" s="9"/>
      <c r="AQ582" s="9"/>
      <c r="AR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224"/>
      <c r="X583" s="224"/>
      <c r="Y583" s="224"/>
      <c r="Z583" s="868"/>
      <c r="AA583" s="865"/>
      <c r="AB583" s="2"/>
      <c r="AC583" s="2"/>
      <c r="AD583" s="2"/>
      <c r="AE583" s="2"/>
      <c r="AF583" s="2"/>
      <c r="AG583" s="2"/>
      <c r="AH583" s="2"/>
      <c r="AI583" s="2"/>
      <c r="AJ583" s="2"/>
      <c r="AK583" s="2"/>
      <c r="AL583" s="2"/>
      <c r="AM583" s="2"/>
      <c r="AN583" s="2"/>
      <c r="AO583" s="9"/>
      <c r="AP583" s="9"/>
      <c r="AQ583" s="9"/>
      <c r="AR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224"/>
      <c r="X584" s="224"/>
      <c r="Y584" s="224"/>
      <c r="Z584" s="868"/>
      <c r="AA584" s="865"/>
      <c r="AB584" s="2"/>
      <c r="AC584" s="2"/>
      <c r="AD584" s="2"/>
      <c r="AE584" s="2"/>
      <c r="AF584" s="2"/>
      <c r="AG584" s="2"/>
      <c r="AH584" s="2"/>
      <c r="AI584" s="2"/>
      <c r="AJ584" s="2"/>
      <c r="AK584" s="2"/>
      <c r="AL584" s="2"/>
      <c r="AM584" s="2"/>
      <c r="AN584" s="2"/>
      <c r="AO584" s="9"/>
      <c r="AP584" s="9"/>
      <c r="AQ584" s="9"/>
      <c r="AR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224"/>
      <c r="X585" s="224"/>
      <c r="Y585" s="224"/>
      <c r="Z585" s="868"/>
      <c r="AA585" s="865"/>
      <c r="AB585" s="2"/>
      <c r="AC585" s="2"/>
      <c r="AD585" s="2"/>
      <c r="AE585" s="2"/>
      <c r="AF585" s="2"/>
      <c r="AG585" s="2"/>
      <c r="AH585" s="2"/>
      <c r="AI585" s="2"/>
      <c r="AJ585" s="2"/>
      <c r="AK585" s="2"/>
      <c r="AL585" s="2"/>
      <c r="AM585" s="2"/>
      <c r="AN585" s="2"/>
      <c r="AO585" s="9"/>
      <c r="AP585" s="9"/>
      <c r="AQ585" s="9"/>
      <c r="AR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224"/>
      <c r="X586" s="224"/>
      <c r="Y586" s="224"/>
      <c r="Z586" s="868"/>
      <c r="AA586" s="865"/>
      <c r="AB586" s="2"/>
      <c r="AC586" s="2"/>
      <c r="AD586" s="2"/>
      <c r="AE586" s="2"/>
      <c r="AF586" s="2"/>
      <c r="AG586" s="2"/>
      <c r="AH586" s="2"/>
      <c r="AI586" s="2"/>
      <c r="AJ586" s="2"/>
      <c r="AK586" s="2"/>
      <c r="AL586" s="2"/>
      <c r="AM586" s="2"/>
      <c r="AN586" s="2"/>
      <c r="AO586" s="9"/>
      <c r="AP586" s="9"/>
      <c r="AQ586" s="9"/>
      <c r="AR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224"/>
      <c r="X587" s="224"/>
      <c r="Y587" s="224"/>
      <c r="Z587" s="868"/>
      <c r="AA587" s="865"/>
      <c r="AB587" s="2"/>
      <c r="AC587" s="2"/>
      <c r="AD587" s="2"/>
      <c r="AE587" s="2"/>
      <c r="AF587" s="2"/>
      <c r="AG587" s="2"/>
      <c r="AH587" s="2"/>
      <c r="AI587" s="2"/>
      <c r="AJ587" s="2"/>
      <c r="AK587" s="2"/>
      <c r="AL587" s="2"/>
      <c r="AM587" s="2"/>
      <c r="AN587" s="2"/>
      <c r="AO587" s="9"/>
      <c r="AP587" s="9"/>
      <c r="AQ587" s="9"/>
      <c r="AR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224"/>
      <c r="X588" s="224"/>
      <c r="Y588" s="224"/>
      <c r="Z588" s="868"/>
      <c r="AA588" s="865"/>
      <c r="AB588" s="2"/>
      <c r="AC588" s="2"/>
      <c r="AD588" s="2"/>
      <c r="AE588" s="2"/>
      <c r="AF588" s="2"/>
      <c r="AG588" s="2"/>
      <c r="AH588" s="2"/>
      <c r="AI588" s="2"/>
      <c r="AJ588" s="2"/>
      <c r="AK588" s="2"/>
      <c r="AL588" s="2"/>
      <c r="AM588" s="2"/>
      <c r="AN588" s="2"/>
      <c r="AO588" s="9"/>
      <c r="AP588" s="9"/>
      <c r="AQ588" s="9"/>
      <c r="AR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224"/>
      <c r="X589" s="224"/>
      <c r="Y589" s="224"/>
      <c r="Z589" s="868"/>
      <c r="AA589" s="865"/>
      <c r="AB589" s="2"/>
      <c r="AC589" s="2"/>
      <c r="AD589" s="2"/>
      <c r="AE589" s="2"/>
      <c r="AF589" s="2"/>
      <c r="AG589" s="2"/>
      <c r="AH589" s="2"/>
      <c r="AI589" s="2"/>
      <c r="AJ589" s="2"/>
      <c r="AK589" s="2"/>
      <c r="AL589" s="2"/>
      <c r="AM589" s="2"/>
      <c r="AN589" s="2"/>
      <c r="AO589" s="9"/>
      <c r="AP589" s="9"/>
      <c r="AQ589" s="9"/>
      <c r="AR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224"/>
      <c r="X590" s="224"/>
      <c r="Y590" s="224"/>
      <c r="Z590" s="868"/>
      <c r="AA590" s="865"/>
      <c r="AB590" s="2"/>
      <c r="AC590" s="2"/>
      <c r="AD590" s="2"/>
      <c r="AE590" s="2"/>
      <c r="AF590" s="2"/>
      <c r="AG590" s="2"/>
      <c r="AH590" s="2"/>
      <c r="AI590" s="2"/>
      <c r="AJ590" s="2"/>
      <c r="AK590" s="2"/>
      <c r="AL590" s="2"/>
      <c r="AM590" s="2"/>
      <c r="AN590" s="2"/>
      <c r="AO590" s="9"/>
      <c r="AP590" s="9"/>
      <c r="AQ590" s="9"/>
      <c r="AR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224"/>
      <c r="X591" s="224"/>
      <c r="Y591" s="224"/>
      <c r="Z591" s="868"/>
      <c r="AA591" s="865"/>
      <c r="AB591" s="2"/>
      <c r="AC591" s="2"/>
      <c r="AD591" s="2"/>
      <c r="AE591" s="2"/>
      <c r="AF591" s="2"/>
      <c r="AG591" s="2"/>
      <c r="AH591" s="2"/>
      <c r="AI591" s="2"/>
      <c r="AJ591" s="2"/>
      <c r="AK591" s="2"/>
      <c r="AL591" s="2"/>
      <c r="AM591" s="2"/>
      <c r="AN591" s="2"/>
      <c r="AO591" s="9"/>
      <c r="AP591" s="9"/>
      <c r="AQ591" s="9"/>
      <c r="AR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224"/>
      <c r="X592" s="224"/>
      <c r="Y592" s="224"/>
      <c r="Z592" s="868"/>
      <c r="AA592" s="865"/>
      <c r="AB592" s="2"/>
      <c r="AC592" s="2"/>
      <c r="AD592" s="2"/>
      <c r="AE592" s="2"/>
      <c r="AF592" s="2"/>
      <c r="AG592" s="2"/>
      <c r="AH592" s="2"/>
      <c r="AI592" s="2"/>
      <c r="AJ592" s="2"/>
      <c r="AK592" s="2"/>
      <c r="AL592" s="2"/>
      <c r="AM592" s="2"/>
      <c r="AN592" s="2"/>
      <c r="AO592" s="9"/>
      <c r="AP592" s="9"/>
      <c r="AQ592" s="9"/>
      <c r="AR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224"/>
      <c r="X593" s="224"/>
      <c r="Y593" s="224"/>
      <c r="Z593" s="868"/>
      <c r="AA593" s="865"/>
      <c r="AB593" s="2"/>
      <c r="AC593" s="2"/>
      <c r="AD593" s="2"/>
      <c r="AE593" s="2"/>
      <c r="AF593" s="2"/>
      <c r="AG593" s="2"/>
      <c r="AH593" s="2"/>
      <c r="AI593" s="2"/>
      <c r="AJ593" s="2"/>
      <c r="AK593" s="2"/>
      <c r="AL593" s="2"/>
      <c r="AM593" s="2"/>
      <c r="AN593" s="2"/>
      <c r="AO593" s="9"/>
      <c r="AP593" s="9"/>
      <c r="AQ593" s="9"/>
      <c r="AR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224"/>
      <c r="X594" s="224"/>
      <c r="Y594" s="224"/>
      <c r="Z594" s="868"/>
      <c r="AA594" s="865"/>
      <c r="AB594" s="2"/>
      <c r="AC594" s="2"/>
      <c r="AD594" s="2"/>
      <c r="AE594" s="2"/>
      <c r="AF594" s="2"/>
      <c r="AG594" s="2"/>
      <c r="AH594" s="2"/>
      <c r="AI594" s="2"/>
      <c r="AJ594" s="2"/>
      <c r="AK594" s="2"/>
      <c r="AL594" s="2"/>
      <c r="AM594" s="2"/>
      <c r="AN594" s="2"/>
      <c r="AO594" s="9"/>
      <c r="AP594" s="9"/>
      <c r="AQ594" s="9"/>
      <c r="AR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224"/>
      <c r="X595" s="224"/>
      <c r="Y595" s="224"/>
      <c r="Z595" s="868"/>
      <c r="AA595" s="865"/>
      <c r="AB595" s="2"/>
      <c r="AC595" s="2"/>
      <c r="AD595" s="2"/>
      <c r="AE595" s="2"/>
      <c r="AF595" s="2"/>
      <c r="AG595" s="2"/>
      <c r="AH595" s="2"/>
      <c r="AI595" s="2"/>
      <c r="AJ595" s="2"/>
      <c r="AK595" s="2"/>
      <c r="AL595" s="2"/>
      <c r="AM595" s="2"/>
      <c r="AN595" s="2"/>
      <c r="AO595" s="9"/>
      <c r="AP595" s="9"/>
      <c r="AQ595" s="9"/>
      <c r="AR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224"/>
      <c r="X596" s="224"/>
      <c r="Y596" s="224"/>
      <c r="Z596" s="868"/>
      <c r="AA596" s="865"/>
      <c r="AB596" s="2"/>
      <c r="AC596" s="2"/>
      <c r="AD596" s="2"/>
      <c r="AE596" s="2"/>
      <c r="AF596" s="2"/>
      <c r="AG596" s="2"/>
      <c r="AH596" s="2"/>
      <c r="AI596" s="2"/>
      <c r="AJ596" s="2"/>
      <c r="AK596" s="2"/>
      <c r="AL596" s="2"/>
      <c r="AM596" s="2"/>
      <c r="AN596" s="2"/>
      <c r="AO596" s="9"/>
      <c r="AP596" s="9"/>
      <c r="AQ596" s="9"/>
      <c r="AR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224"/>
      <c r="X597" s="224"/>
      <c r="Y597" s="224"/>
      <c r="Z597" s="868"/>
      <c r="AA597" s="865"/>
      <c r="AB597" s="2"/>
      <c r="AC597" s="2"/>
      <c r="AD597" s="2"/>
      <c r="AE597" s="2"/>
      <c r="AF597" s="2"/>
      <c r="AG597" s="2"/>
      <c r="AH597" s="2"/>
      <c r="AI597" s="2"/>
      <c r="AJ597" s="2"/>
      <c r="AK597" s="2"/>
      <c r="AL597" s="2"/>
      <c r="AM597" s="2"/>
      <c r="AN597" s="2"/>
      <c r="AO597" s="9"/>
      <c r="AP597" s="9"/>
      <c r="AQ597" s="9"/>
      <c r="AR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224"/>
      <c r="X598" s="224"/>
      <c r="Y598" s="224"/>
      <c r="Z598" s="868"/>
      <c r="AA598" s="865"/>
      <c r="AB598" s="2"/>
      <c r="AC598" s="2"/>
      <c r="AD598" s="2"/>
      <c r="AE598" s="2"/>
      <c r="AF598" s="2"/>
      <c r="AG598" s="2"/>
      <c r="AH598" s="2"/>
      <c r="AI598" s="2"/>
      <c r="AJ598" s="2"/>
      <c r="AK598" s="2"/>
      <c r="AL598" s="2"/>
      <c r="AM598" s="2"/>
      <c r="AN598" s="2"/>
      <c r="AO598" s="9"/>
      <c r="AP598" s="9"/>
      <c r="AQ598" s="9"/>
      <c r="AR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224"/>
      <c r="X599" s="224"/>
      <c r="Y599" s="224"/>
      <c r="Z599" s="868"/>
      <c r="AA599" s="865"/>
      <c r="AB599" s="2"/>
      <c r="AC599" s="2"/>
      <c r="AD599" s="2"/>
      <c r="AE599" s="2"/>
      <c r="AF599" s="2"/>
      <c r="AG599" s="2"/>
      <c r="AH599" s="2"/>
      <c r="AI599" s="2"/>
      <c r="AJ599" s="2"/>
      <c r="AK599" s="2"/>
      <c r="AL599" s="2"/>
      <c r="AM599" s="2"/>
      <c r="AN599" s="2"/>
      <c r="AO599" s="9"/>
      <c r="AP599" s="9"/>
      <c r="AQ599" s="9"/>
      <c r="AR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224"/>
      <c r="X600" s="224"/>
      <c r="Y600" s="224"/>
      <c r="Z600" s="868"/>
      <c r="AA600" s="865"/>
      <c r="AB600" s="2"/>
      <c r="AC600" s="2"/>
      <c r="AD600" s="2"/>
      <c r="AE600" s="2"/>
      <c r="AF600" s="2"/>
      <c r="AG600" s="2"/>
      <c r="AH600" s="2"/>
      <c r="AI600" s="2"/>
      <c r="AJ600" s="2"/>
      <c r="AK600" s="2"/>
      <c r="AL600" s="2"/>
      <c r="AM600" s="2"/>
      <c r="AN600" s="2"/>
      <c r="AO600" s="9"/>
      <c r="AP600" s="9"/>
      <c r="AQ600" s="9"/>
      <c r="AR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224"/>
      <c r="X601" s="224"/>
      <c r="Y601" s="224"/>
      <c r="Z601" s="868"/>
      <c r="AA601" s="865"/>
      <c r="AB601" s="2"/>
      <c r="AC601" s="2"/>
      <c r="AD601" s="2"/>
      <c r="AE601" s="2"/>
      <c r="AF601" s="2"/>
      <c r="AG601" s="2"/>
      <c r="AH601" s="2"/>
      <c r="AI601" s="2"/>
      <c r="AJ601" s="2"/>
      <c r="AK601" s="2"/>
      <c r="AL601" s="2"/>
      <c r="AM601" s="2"/>
      <c r="AN601" s="2"/>
      <c r="AO601" s="9"/>
      <c r="AP601" s="9"/>
      <c r="AQ601" s="9"/>
      <c r="AR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224"/>
      <c r="X602" s="224"/>
      <c r="Y602" s="224"/>
      <c r="Z602" s="868"/>
      <c r="AA602" s="865"/>
      <c r="AB602" s="2"/>
      <c r="AC602" s="2"/>
      <c r="AD602" s="2"/>
      <c r="AE602" s="2"/>
      <c r="AF602" s="2"/>
      <c r="AG602" s="2"/>
      <c r="AH602" s="2"/>
      <c r="AI602" s="2"/>
      <c r="AJ602" s="2"/>
      <c r="AK602" s="2"/>
      <c r="AL602" s="2"/>
      <c r="AM602" s="2"/>
      <c r="AN602" s="2"/>
      <c r="AO602" s="9"/>
      <c r="AP602" s="9"/>
      <c r="AQ602" s="9"/>
      <c r="AR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224"/>
      <c r="X603" s="224"/>
      <c r="Y603" s="224"/>
      <c r="Z603" s="868"/>
      <c r="AA603" s="865"/>
      <c r="AB603" s="2"/>
      <c r="AC603" s="2"/>
      <c r="AD603" s="2"/>
      <c r="AE603" s="2"/>
      <c r="AF603" s="2"/>
      <c r="AG603" s="2"/>
      <c r="AH603" s="2"/>
      <c r="AI603" s="2"/>
      <c r="AJ603" s="2"/>
      <c r="AK603" s="2"/>
      <c r="AL603" s="2"/>
      <c r="AM603" s="2"/>
      <c r="AN603" s="2"/>
      <c r="AO603" s="9"/>
      <c r="AP603" s="9"/>
      <c r="AQ603" s="9"/>
      <c r="AR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224"/>
      <c r="X604" s="224"/>
      <c r="Y604" s="224"/>
      <c r="Z604" s="868"/>
      <c r="AA604" s="865"/>
      <c r="AB604" s="2"/>
      <c r="AC604" s="2"/>
      <c r="AD604" s="2"/>
      <c r="AE604" s="2"/>
      <c r="AF604" s="2"/>
      <c r="AG604" s="2"/>
      <c r="AH604" s="2"/>
      <c r="AI604" s="2"/>
      <c r="AJ604" s="2"/>
      <c r="AK604" s="2"/>
      <c r="AL604" s="2"/>
      <c r="AM604" s="2"/>
      <c r="AN604" s="2"/>
      <c r="AO604" s="9"/>
      <c r="AP604" s="9"/>
      <c r="AQ604" s="9"/>
      <c r="AR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224"/>
      <c r="X605" s="224"/>
      <c r="Y605" s="224"/>
      <c r="Z605" s="868"/>
      <c r="AA605" s="865"/>
      <c r="AB605" s="2"/>
      <c r="AC605" s="2"/>
      <c r="AD605" s="2"/>
      <c r="AE605" s="2"/>
      <c r="AF605" s="2"/>
      <c r="AG605" s="2"/>
      <c r="AH605" s="2"/>
      <c r="AI605" s="2"/>
      <c r="AJ605" s="2"/>
      <c r="AK605" s="2"/>
      <c r="AL605" s="2"/>
      <c r="AM605" s="2"/>
      <c r="AN605" s="2"/>
      <c r="AO605" s="9"/>
      <c r="AP605" s="9"/>
      <c r="AQ605" s="9"/>
      <c r="AR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224"/>
      <c r="X606" s="224"/>
      <c r="Y606" s="224"/>
      <c r="Z606" s="868"/>
      <c r="AA606" s="865"/>
      <c r="AB606" s="2"/>
      <c r="AC606" s="2"/>
      <c r="AD606" s="2"/>
      <c r="AE606" s="2"/>
      <c r="AF606" s="2"/>
      <c r="AG606" s="2"/>
      <c r="AH606" s="2"/>
      <c r="AI606" s="2"/>
      <c r="AJ606" s="2"/>
      <c r="AK606" s="2"/>
      <c r="AL606" s="2"/>
      <c r="AM606" s="2"/>
      <c r="AN606" s="2"/>
      <c r="AO606" s="9"/>
      <c r="AP606" s="9"/>
      <c r="AQ606" s="9"/>
      <c r="AR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224"/>
      <c r="X607" s="224"/>
      <c r="Y607" s="224"/>
      <c r="Z607" s="868"/>
      <c r="AA607" s="865"/>
      <c r="AB607" s="2"/>
      <c r="AC607" s="2"/>
      <c r="AD607" s="2"/>
      <c r="AE607" s="2"/>
      <c r="AF607" s="2"/>
      <c r="AG607" s="2"/>
      <c r="AH607" s="2"/>
      <c r="AI607" s="2"/>
      <c r="AJ607" s="2"/>
      <c r="AK607" s="2"/>
      <c r="AL607" s="2"/>
      <c r="AM607" s="2"/>
      <c r="AN607" s="2"/>
      <c r="AO607" s="9"/>
      <c r="AP607" s="9"/>
      <c r="AQ607" s="9"/>
      <c r="AR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224"/>
      <c r="X608" s="224"/>
      <c r="Y608" s="224"/>
      <c r="Z608" s="868"/>
      <c r="AA608" s="865"/>
      <c r="AB608" s="2"/>
      <c r="AC608" s="2"/>
      <c r="AD608" s="2"/>
      <c r="AE608" s="2"/>
      <c r="AF608" s="2"/>
      <c r="AG608" s="2"/>
      <c r="AH608" s="2"/>
      <c r="AI608" s="2"/>
      <c r="AJ608" s="2"/>
      <c r="AK608" s="2"/>
      <c r="AL608" s="2"/>
      <c r="AM608" s="2"/>
      <c r="AN608" s="2"/>
      <c r="AO608" s="9"/>
      <c r="AP608" s="9"/>
      <c r="AQ608" s="9"/>
      <c r="AR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224"/>
      <c r="X609" s="224"/>
      <c r="Y609" s="224"/>
      <c r="Z609" s="868"/>
      <c r="AA609" s="865"/>
      <c r="AB609" s="2"/>
      <c r="AC609" s="2"/>
      <c r="AD609" s="2"/>
      <c r="AE609" s="2"/>
      <c r="AF609" s="2"/>
      <c r="AG609" s="2"/>
      <c r="AH609" s="2"/>
      <c r="AI609" s="2"/>
      <c r="AJ609" s="2"/>
      <c r="AK609" s="2"/>
      <c r="AL609" s="2"/>
      <c r="AM609" s="2"/>
      <c r="AN609" s="2"/>
      <c r="AO609" s="9"/>
      <c r="AP609" s="9"/>
      <c r="AQ609" s="9"/>
      <c r="AR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224"/>
      <c r="X610" s="224"/>
      <c r="Y610" s="224"/>
      <c r="Z610" s="868"/>
      <c r="AA610" s="865"/>
      <c r="AB610" s="2"/>
      <c r="AC610" s="2"/>
      <c r="AD610" s="2"/>
      <c r="AE610" s="2"/>
      <c r="AF610" s="2"/>
      <c r="AG610" s="2"/>
      <c r="AH610" s="2"/>
      <c r="AI610" s="2"/>
      <c r="AJ610" s="2"/>
      <c r="AK610" s="2"/>
      <c r="AL610" s="2"/>
      <c r="AM610" s="2"/>
      <c r="AN610" s="2"/>
      <c r="AO610" s="9"/>
      <c r="AP610" s="9"/>
      <c r="AQ610" s="9"/>
      <c r="AR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224"/>
      <c r="X611" s="224"/>
      <c r="Y611" s="224"/>
      <c r="Z611" s="868"/>
      <c r="AA611" s="865"/>
      <c r="AB611" s="2"/>
      <c r="AC611" s="2"/>
      <c r="AD611" s="2"/>
      <c r="AE611" s="2"/>
      <c r="AF611" s="2"/>
      <c r="AG611" s="2"/>
      <c r="AH611" s="2"/>
      <c r="AI611" s="2"/>
      <c r="AJ611" s="2"/>
      <c r="AK611" s="2"/>
      <c r="AL611" s="2"/>
      <c r="AM611" s="2"/>
      <c r="AN611" s="2"/>
      <c r="AO611" s="9"/>
      <c r="AP611" s="9"/>
      <c r="AQ611" s="9"/>
      <c r="AR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224"/>
      <c r="X612" s="224"/>
      <c r="Y612" s="224"/>
      <c r="Z612" s="868"/>
      <c r="AA612" s="865"/>
      <c r="AB612" s="2"/>
      <c r="AC612" s="2"/>
      <c r="AD612" s="2"/>
      <c r="AE612" s="2"/>
      <c r="AF612" s="2"/>
      <c r="AG612" s="2"/>
      <c r="AH612" s="2"/>
      <c r="AI612" s="2"/>
      <c r="AJ612" s="2"/>
      <c r="AK612" s="2"/>
      <c r="AL612" s="2"/>
      <c r="AM612" s="2"/>
      <c r="AN612" s="2"/>
      <c r="AO612" s="9"/>
      <c r="AP612" s="9"/>
      <c r="AQ612" s="9"/>
      <c r="AR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224"/>
      <c r="X613" s="224"/>
      <c r="Y613" s="224"/>
      <c r="Z613" s="868"/>
      <c r="AA613" s="865"/>
      <c r="AB613" s="2"/>
      <c r="AC613" s="2"/>
      <c r="AD613" s="2"/>
      <c r="AE613" s="2"/>
      <c r="AF613" s="2"/>
      <c r="AG613" s="2"/>
      <c r="AH613" s="2"/>
      <c r="AI613" s="2"/>
      <c r="AJ613" s="2"/>
      <c r="AK613" s="2"/>
      <c r="AL613" s="2"/>
      <c r="AM613" s="2"/>
      <c r="AN613" s="2"/>
      <c r="AO613" s="9"/>
      <c r="AP613" s="9"/>
      <c r="AQ613" s="9"/>
      <c r="AR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224"/>
      <c r="X614" s="224"/>
      <c r="Y614" s="224"/>
      <c r="Z614" s="868"/>
      <c r="AA614" s="865"/>
      <c r="AB614" s="2"/>
      <c r="AC614" s="2"/>
      <c r="AD614" s="2"/>
      <c r="AE614" s="2"/>
      <c r="AF614" s="2"/>
      <c r="AG614" s="2"/>
      <c r="AH614" s="2"/>
      <c r="AI614" s="2"/>
      <c r="AJ614" s="2"/>
      <c r="AK614" s="2"/>
      <c r="AL614" s="2"/>
      <c r="AM614" s="2"/>
      <c r="AN614" s="2"/>
      <c r="AO614" s="9"/>
      <c r="AP614" s="9"/>
      <c r="AQ614" s="9"/>
      <c r="AR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224"/>
      <c r="X615" s="224"/>
      <c r="Y615" s="224"/>
      <c r="Z615" s="868"/>
      <c r="AA615" s="865"/>
      <c r="AB615" s="2"/>
      <c r="AC615" s="2"/>
      <c r="AD615" s="2"/>
      <c r="AE615" s="2"/>
      <c r="AF615" s="2"/>
      <c r="AG615" s="2"/>
      <c r="AH615" s="2"/>
      <c r="AI615" s="2"/>
      <c r="AJ615" s="2"/>
      <c r="AK615" s="2"/>
      <c r="AL615" s="2"/>
      <c r="AM615" s="2"/>
      <c r="AN615" s="2"/>
      <c r="AO615" s="9"/>
      <c r="AP615" s="9"/>
      <c r="AQ615" s="9"/>
      <c r="AR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224"/>
      <c r="X616" s="224"/>
      <c r="Y616" s="224"/>
      <c r="Z616" s="868"/>
      <c r="AA616" s="865"/>
      <c r="AB616" s="2"/>
      <c r="AC616" s="2"/>
      <c r="AD616" s="2"/>
      <c r="AE616" s="2"/>
      <c r="AF616" s="2"/>
      <c r="AG616" s="2"/>
      <c r="AH616" s="2"/>
      <c r="AI616" s="2"/>
      <c r="AJ616" s="2"/>
      <c r="AK616" s="2"/>
      <c r="AL616" s="2"/>
      <c r="AM616" s="2"/>
      <c r="AN616" s="2"/>
      <c r="AO616" s="9"/>
      <c r="AP616" s="9"/>
      <c r="AQ616" s="9"/>
      <c r="AR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224"/>
      <c r="X617" s="224"/>
      <c r="Y617" s="224"/>
      <c r="Z617" s="868"/>
      <c r="AA617" s="865"/>
      <c r="AB617" s="2"/>
      <c r="AC617" s="2"/>
      <c r="AD617" s="2"/>
      <c r="AE617" s="2"/>
      <c r="AF617" s="2"/>
      <c r="AG617" s="2"/>
      <c r="AH617" s="2"/>
      <c r="AI617" s="2"/>
      <c r="AJ617" s="2"/>
      <c r="AK617" s="2"/>
      <c r="AL617" s="2"/>
      <c r="AM617" s="2"/>
      <c r="AN617" s="2"/>
      <c r="AO617" s="9"/>
      <c r="AP617" s="9"/>
      <c r="AQ617" s="9"/>
      <c r="AR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224"/>
      <c r="X618" s="224"/>
      <c r="Y618" s="224"/>
      <c r="Z618" s="868"/>
      <c r="AA618" s="865"/>
      <c r="AB618" s="2"/>
      <c r="AC618" s="2"/>
      <c r="AD618" s="2"/>
      <c r="AE618" s="2"/>
      <c r="AF618" s="2"/>
      <c r="AG618" s="2"/>
      <c r="AH618" s="2"/>
      <c r="AI618" s="2"/>
      <c r="AJ618" s="2"/>
      <c r="AK618" s="2"/>
      <c r="AL618" s="2"/>
      <c r="AM618" s="2"/>
      <c r="AN618" s="2"/>
      <c r="AO618" s="9"/>
      <c r="AP618" s="9"/>
      <c r="AQ618" s="9"/>
      <c r="AR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224"/>
      <c r="X619" s="224"/>
      <c r="Y619" s="224"/>
      <c r="Z619" s="868"/>
      <c r="AA619" s="865"/>
      <c r="AB619" s="2"/>
      <c r="AC619" s="2"/>
      <c r="AD619" s="2"/>
      <c r="AE619" s="2"/>
      <c r="AF619" s="2"/>
      <c r="AG619" s="2"/>
      <c r="AH619" s="2"/>
      <c r="AI619" s="2"/>
      <c r="AJ619" s="2"/>
      <c r="AK619" s="2"/>
      <c r="AL619" s="2"/>
      <c r="AM619" s="2"/>
      <c r="AN619" s="2"/>
      <c r="AO619" s="9"/>
      <c r="AP619" s="9"/>
      <c r="AQ619" s="9"/>
      <c r="AR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224"/>
      <c r="X620" s="224"/>
      <c r="Y620" s="224"/>
      <c r="Z620" s="868"/>
      <c r="AA620" s="865"/>
      <c r="AB620" s="2"/>
      <c r="AC620" s="2"/>
      <c r="AD620" s="2"/>
      <c r="AE620" s="2"/>
      <c r="AF620" s="2"/>
      <c r="AG620" s="2"/>
      <c r="AH620" s="2"/>
      <c r="AI620" s="2"/>
      <c r="AJ620" s="2"/>
      <c r="AK620" s="2"/>
      <c r="AL620" s="2"/>
      <c r="AM620" s="2"/>
      <c r="AN620" s="2"/>
      <c r="AO620" s="9"/>
      <c r="AP620" s="9"/>
      <c r="AQ620" s="9"/>
      <c r="AR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224"/>
      <c r="X621" s="224"/>
      <c r="Y621" s="224"/>
      <c r="Z621" s="868"/>
      <c r="AA621" s="865"/>
      <c r="AB621" s="2"/>
      <c r="AC621" s="2"/>
      <c r="AD621" s="2"/>
      <c r="AE621" s="2"/>
      <c r="AF621" s="2"/>
      <c r="AG621" s="2"/>
      <c r="AH621" s="2"/>
      <c r="AI621" s="2"/>
      <c r="AJ621" s="2"/>
      <c r="AK621" s="2"/>
      <c r="AL621" s="2"/>
      <c r="AM621" s="2"/>
      <c r="AN621" s="2"/>
      <c r="AO621" s="9"/>
      <c r="AP621" s="9"/>
      <c r="AQ621" s="9"/>
      <c r="AR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224"/>
      <c r="X622" s="224"/>
      <c r="Y622" s="224"/>
      <c r="Z622" s="868"/>
      <c r="AA622" s="865"/>
      <c r="AB622" s="2"/>
      <c r="AC622" s="2"/>
      <c r="AD622" s="2"/>
      <c r="AE622" s="2"/>
      <c r="AF622" s="2"/>
      <c r="AG622" s="2"/>
      <c r="AH622" s="2"/>
      <c r="AI622" s="2"/>
      <c r="AJ622" s="2"/>
      <c r="AK622" s="2"/>
      <c r="AL622" s="2"/>
      <c r="AM622" s="2"/>
      <c r="AN622" s="2"/>
      <c r="AO622" s="9"/>
      <c r="AP622" s="9"/>
      <c r="AQ622" s="9"/>
      <c r="AR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224"/>
      <c r="X623" s="224"/>
      <c r="Y623" s="224"/>
      <c r="Z623" s="868"/>
      <c r="AA623" s="865"/>
      <c r="AB623" s="2"/>
      <c r="AC623" s="2"/>
      <c r="AD623" s="2"/>
      <c r="AE623" s="2"/>
      <c r="AF623" s="2"/>
      <c r="AG623" s="2"/>
      <c r="AH623" s="2"/>
      <c r="AI623" s="2"/>
      <c r="AJ623" s="2"/>
      <c r="AK623" s="2"/>
      <c r="AL623" s="2"/>
      <c r="AM623" s="2"/>
      <c r="AN623" s="2"/>
      <c r="AO623" s="9"/>
      <c r="AP623" s="9"/>
      <c r="AQ623" s="9"/>
      <c r="AR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224"/>
      <c r="X624" s="224"/>
      <c r="Y624" s="224"/>
      <c r="Z624" s="868"/>
      <c r="AA624" s="865"/>
      <c r="AB624" s="2"/>
      <c r="AC624" s="2"/>
      <c r="AD624" s="2"/>
      <c r="AE624" s="2"/>
      <c r="AF624" s="2"/>
      <c r="AG624" s="2"/>
      <c r="AH624" s="2"/>
      <c r="AI624" s="2"/>
      <c r="AJ624" s="2"/>
      <c r="AK624" s="2"/>
      <c r="AL624" s="2"/>
      <c r="AM624" s="2"/>
      <c r="AN624" s="2"/>
      <c r="AO624" s="9"/>
      <c r="AP624" s="9"/>
      <c r="AQ624" s="9"/>
      <c r="AR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224"/>
      <c r="X625" s="224"/>
      <c r="Y625" s="224"/>
      <c r="Z625" s="868"/>
      <c r="AA625" s="865"/>
      <c r="AB625" s="2"/>
      <c r="AC625" s="2"/>
      <c r="AD625" s="2"/>
      <c r="AE625" s="2"/>
      <c r="AF625" s="2"/>
      <c r="AG625" s="2"/>
      <c r="AH625" s="2"/>
      <c r="AI625" s="2"/>
      <c r="AJ625" s="2"/>
      <c r="AK625" s="2"/>
      <c r="AL625" s="2"/>
      <c r="AM625" s="2"/>
      <c r="AN625" s="2"/>
      <c r="AO625" s="9"/>
      <c r="AP625" s="9"/>
      <c r="AQ625" s="9"/>
      <c r="AR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224"/>
      <c r="X626" s="224"/>
      <c r="Y626" s="224"/>
      <c r="Z626" s="868"/>
      <c r="AA626" s="865"/>
      <c r="AB626" s="2"/>
      <c r="AC626" s="2"/>
      <c r="AD626" s="2"/>
      <c r="AE626" s="2"/>
      <c r="AF626" s="2"/>
      <c r="AG626" s="2"/>
      <c r="AH626" s="2"/>
      <c r="AI626" s="2"/>
      <c r="AJ626" s="2"/>
      <c r="AK626" s="2"/>
      <c r="AL626" s="2"/>
      <c r="AM626" s="2"/>
      <c r="AN626" s="2"/>
      <c r="AO626" s="9"/>
      <c r="AP626" s="9"/>
      <c r="AQ626" s="9"/>
      <c r="AR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224"/>
      <c r="X627" s="224"/>
      <c r="Y627" s="224"/>
      <c r="Z627" s="868"/>
      <c r="AA627" s="865"/>
      <c r="AB627" s="2"/>
      <c r="AC627" s="2"/>
      <c r="AD627" s="2"/>
      <c r="AE627" s="2"/>
      <c r="AF627" s="2"/>
      <c r="AG627" s="2"/>
      <c r="AH627" s="2"/>
      <c r="AI627" s="2"/>
      <c r="AJ627" s="2"/>
      <c r="AK627" s="2"/>
      <c r="AL627" s="2"/>
      <c r="AM627" s="2"/>
      <c r="AN627" s="2"/>
      <c r="AO627" s="9"/>
      <c r="AP627" s="9"/>
      <c r="AQ627" s="9"/>
      <c r="AR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224"/>
      <c r="X628" s="224"/>
      <c r="Y628" s="224"/>
      <c r="Z628" s="868"/>
      <c r="AA628" s="865"/>
      <c r="AB628" s="2"/>
      <c r="AC628" s="2"/>
      <c r="AD628" s="2"/>
      <c r="AE628" s="2"/>
      <c r="AF628" s="2"/>
      <c r="AG628" s="2"/>
      <c r="AH628" s="2"/>
      <c r="AI628" s="2"/>
      <c r="AJ628" s="2"/>
      <c r="AK628" s="2"/>
      <c r="AL628" s="2"/>
      <c r="AM628" s="2"/>
      <c r="AN628" s="2"/>
      <c r="AO628" s="9"/>
      <c r="AP628" s="9"/>
      <c r="AQ628" s="9"/>
      <c r="AR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224"/>
      <c r="X629" s="224"/>
      <c r="Y629" s="224"/>
      <c r="Z629" s="868"/>
      <c r="AA629" s="865"/>
      <c r="AB629" s="2"/>
      <c r="AC629" s="2"/>
      <c r="AD629" s="2"/>
      <c r="AE629" s="2"/>
      <c r="AF629" s="2"/>
      <c r="AG629" s="2"/>
      <c r="AH629" s="2"/>
      <c r="AI629" s="2"/>
      <c r="AJ629" s="2"/>
      <c r="AK629" s="2"/>
      <c r="AL629" s="2"/>
      <c r="AM629" s="2"/>
      <c r="AN629" s="2"/>
      <c r="AO629" s="9"/>
      <c r="AP629" s="9"/>
      <c r="AQ629" s="9"/>
      <c r="AR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224"/>
      <c r="X630" s="224"/>
      <c r="Y630" s="224"/>
      <c r="Z630" s="868"/>
      <c r="AA630" s="865"/>
      <c r="AB630" s="2"/>
      <c r="AC630" s="2"/>
      <c r="AD630" s="2"/>
      <c r="AE630" s="2"/>
      <c r="AF630" s="2"/>
      <c r="AG630" s="2"/>
      <c r="AH630" s="2"/>
      <c r="AI630" s="2"/>
      <c r="AJ630" s="2"/>
      <c r="AK630" s="2"/>
      <c r="AL630" s="2"/>
      <c r="AM630" s="2"/>
      <c r="AN630" s="2"/>
      <c r="AO630" s="9"/>
      <c r="AP630" s="9"/>
      <c r="AQ630" s="9"/>
      <c r="AR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224"/>
      <c r="X631" s="224"/>
      <c r="Y631" s="224"/>
      <c r="Z631" s="868"/>
      <c r="AA631" s="865"/>
      <c r="AB631" s="2"/>
      <c r="AC631" s="2"/>
      <c r="AD631" s="2"/>
      <c r="AE631" s="2"/>
      <c r="AF631" s="2"/>
      <c r="AG631" s="2"/>
      <c r="AH631" s="2"/>
      <c r="AI631" s="2"/>
      <c r="AJ631" s="2"/>
      <c r="AK631" s="2"/>
      <c r="AL631" s="2"/>
      <c r="AM631" s="2"/>
      <c r="AN631" s="2"/>
      <c r="AO631" s="9"/>
      <c r="AP631" s="9"/>
      <c r="AQ631" s="9"/>
      <c r="AR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224"/>
      <c r="X632" s="224"/>
      <c r="Y632" s="224"/>
      <c r="Z632" s="868"/>
      <c r="AA632" s="865"/>
      <c r="AB632" s="2"/>
      <c r="AC632" s="2"/>
      <c r="AD632" s="2"/>
      <c r="AE632" s="2"/>
      <c r="AF632" s="2"/>
      <c r="AG632" s="2"/>
      <c r="AH632" s="2"/>
      <c r="AI632" s="2"/>
      <c r="AJ632" s="2"/>
      <c r="AK632" s="2"/>
      <c r="AL632" s="2"/>
      <c r="AM632" s="2"/>
      <c r="AN632" s="2"/>
      <c r="AO632" s="9"/>
      <c r="AP632" s="9"/>
      <c r="AQ632" s="9"/>
      <c r="AR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224"/>
      <c r="X633" s="224"/>
      <c r="Y633" s="224"/>
      <c r="Z633" s="868"/>
      <c r="AA633" s="865"/>
      <c r="AB633" s="2"/>
      <c r="AC633" s="2"/>
      <c r="AD633" s="2"/>
      <c r="AE633" s="2"/>
      <c r="AF633" s="2"/>
      <c r="AG633" s="2"/>
      <c r="AH633" s="2"/>
      <c r="AI633" s="2"/>
      <c r="AJ633" s="2"/>
      <c r="AK633" s="2"/>
      <c r="AL633" s="2"/>
      <c r="AM633" s="2"/>
      <c r="AN633" s="2"/>
      <c r="AO633" s="9"/>
      <c r="AP633" s="9"/>
      <c r="AQ633" s="9"/>
      <c r="AR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224"/>
      <c r="X634" s="224"/>
      <c r="Y634" s="224"/>
      <c r="Z634" s="868"/>
      <c r="AA634" s="865"/>
      <c r="AB634" s="2"/>
      <c r="AC634" s="2"/>
      <c r="AD634" s="2"/>
      <c r="AE634" s="2"/>
      <c r="AF634" s="2"/>
      <c r="AG634" s="2"/>
      <c r="AH634" s="2"/>
      <c r="AI634" s="2"/>
      <c r="AJ634" s="2"/>
      <c r="AK634" s="2"/>
      <c r="AL634" s="2"/>
      <c r="AM634" s="2"/>
      <c r="AN634" s="2"/>
      <c r="AO634" s="9"/>
      <c r="AP634" s="9"/>
      <c r="AQ634" s="9"/>
      <c r="AR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224"/>
      <c r="X635" s="224"/>
      <c r="Y635" s="224"/>
      <c r="Z635" s="868"/>
      <c r="AA635" s="865"/>
      <c r="AB635" s="2"/>
      <c r="AC635" s="2"/>
      <c r="AD635" s="2"/>
      <c r="AE635" s="2"/>
      <c r="AF635" s="2"/>
      <c r="AG635" s="2"/>
      <c r="AH635" s="2"/>
      <c r="AI635" s="2"/>
      <c r="AJ635" s="2"/>
      <c r="AK635" s="2"/>
      <c r="AL635" s="2"/>
      <c r="AM635" s="2"/>
      <c r="AN635" s="2"/>
      <c r="AO635" s="9"/>
      <c r="AP635" s="9"/>
      <c r="AQ635" s="9"/>
      <c r="AR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224"/>
      <c r="X636" s="224"/>
      <c r="Y636" s="224"/>
      <c r="Z636" s="868"/>
      <c r="AA636" s="865"/>
      <c r="AB636" s="2"/>
      <c r="AC636" s="2"/>
      <c r="AD636" s="2"/>
      <c r="AE636" s="2"/>
      <c r="AF636" s="2"/>
      <c r="AG636" s="2"/>
      <c r="AH636" s="2"/>
      <c r="AI636" s="2"/>
      <c r="AJ636" s="2"/>
      <c r="AK636" s="2"/>
      <c r="AL636" s="2"/>
      <c r="AM636" s="2"/>
      <c r="AN636" s="2"/>
      <c r="AO636" s="9"/>
      <c r="AP636" s="9"/>
      <c r="AQ636" s="9"/>
      <c r="AR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224"/>
      <c r="X637" s="224"/>
      <c r="Y637" s="224"/>
      <c r="Z637" s="868"/>
      <c r="AA637" s="865"/>
      <c r="AB637" s="2"/>
      <c r="AC637" s="2"/>
      <c r="AD637" s="2"/>
      <c r="AE637" s="2"/>
      <c r="AF637" s="2"/>
      <c r="AG637" s="2"/>
      <c r="AH637" s="2"/>
      <c r="AI637" s="2"/>
      <c r="AJ637" s="2"/>
      <c r="AK637" s="2"/>
      <c r="AL637" s="2"/>
      <c r="AM637" s="2"/>
      <c r="AN637" s="2"/>
      <c r="AO637" s="9"/>
      <c r="AP637" s="9"/>
      <c r="AQ637" s="9"/>
      <c r="AR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224"/>
      <c r="X638" s="224"/>
      <c r="Y638" s="224"/>
      <c r="Z638" s="868"/>
      <c r="AA638" s="865"/>
      <c r="AB638" s="2"/>
      <c r="AC638" s="2"/>
      <c r="AD638" s="2"/>
      <c r="AE638" s="2"/>
      <c r="AF638" s="2"/>
      <c r="AG638" s="2"/>
      <c r="AH638" s="2"/>
      <c r="AI638" s="2"/>
      <c r="AJ638" s="2"/>
      <c r="AK638" s="2"/>
      <c r="AL638" s="2"/>
      <c r="AM638" s="2"/>
      <c r="AN638" s="2"/>
      <c r="AO638" s="9"/>
      <c r="AP638" s="9"/>
      <c r="AQ638" s="9"/>
      <c r="AR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224"/>
      <c r="X639" s="224"/>
      <c r="Y639" s="224"/>
      <c r="Z639" s="868"/>
      <c r="AA639" s="865"/>
      <c r="AB639" s="2"/>
      <c r="AC639" s="2"/>
      <c r="AD639" s="2"/>
      <c r="AE639" s="2"/>
      <c r="AF639" s="2"/>
      <c r="AG639" s="2"/>
      <c r="AH639" s="2"/>
      <c r="AI639" s="2"/>
      <c r="AJ639" s="2"/>
      <c r="AK639" s="2"/>
      <c r="AL639" s="2"/>
      <c r="AM639" s="2"/>
      <c r="AN639" s="2"/>
      <c r="AO639" s="9"/>
      <c r="AP639" s="9"/>
      <c r="AQ639" s="9"/>
      <c r="AR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224"/>
      <c r="X640" s="224"/>
      <c r="Y640" s="224"/>
      <c r="Z640" s="868"/>
      <c r="AA640" s="865"/>
      <c r="AB640" s="2"/>
      <c r="AC640" s="2"/>
      <c r="AD640" s="2"/>
      <c r="AE640" s="2"/>
      <c r="AF640" s="2"/>
      <c r="AG640" s="2"/>
      <c r="AH640" s="2"/>
      <c r="AI640" s="2"/>
      <c r="AJ640" s="2"/>
      <c r="AK640" s="2"/>
      <c r="AL640" s="2"/>
      <c r="AM640" s="2"/>
      <c r="AN640" s="2"/>
      <c r="AO640" s="9"/>
      <c r="AP640" s="9"/>
      <c r="AQ640" s="9"/>
      <c r="AR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224"/>
      <c r="X641" s="224"/>
      <c r="Y641" s="224"/>
      <c r="Z641" s="868"/>
      <c r="AA641" s="865"/>
      <c r="AB641" s="2"/>
      <c r="AC641" s="2"/>
      <c r="AD641" s="2"/>
      <c r="AE641" s="2"/>
      <c r="AF641" s="2"/>
      <c r="AG641" s="2"/>
      <c r="AH641" s="2"/>
      <c r="AI641" s="2"/>
      <c r="AJ641" s="2"/>
      <c r="AK641" s="2"/>
      <c r="AL641" s="2"/>
      <c r="AM641" s="2"/>
      <c r="AN641" s="2"/>
      <c r="AO641" s="9"/>
      <c r="AP641" s="9"/>
      <c r="AQ641" s="9"/>
      <c r="AR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224"/>
      <c r="X642" s="224"/>
      <c r="Y642" s="224"/>
      <c r="Z642" s="868"/>
      <c r="AA642" s="865"/>
      <c r="AB642" s="2"/>
      <c r="AC642" s="2"/>
      <c r="AD642" s="2"/>
      <c r="AE642" s="2"/>
      <c r="AF642" s="2"/>
      <c r="AG642" s="2"/>
      <c r="AH642" s="2"/>
      <c r="AI642" s="2"/>
      <c r="AJ642" s="2"/>
      <c r="AK642" s="2"/>
      <c r="AL642" s="2"/>
      <c r="AM642" s="2"/>
      <c r="AN642" s="2"/>
      <c r="AO642" s="9"/>
      <c r="AP642" s="9"/>
      <c r="AQ642" s="9"/>
      <c r="AR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224"/>
      <c r="X643" s="224"/>
      <c r="Y643" s="224"/>
      <c r="Z643" s="868"/>
      <c r="AA643" s="865"/>
      <c r="AB643" s="2"/>
      <c r="AC643" s="2"/>
      <c r="AD643" s="2"/>
      <c r="AE643" s="2"/>
      <c r="AF643" s="2"/>
      <c r="AG643" s="2"/>
      <c r="AH643" s="2"/>
      <c r="AI643" s="2"/>
      <c r="AJ643" s="2"/>
      <c r="AK643" s="2"/>
      <c r="AL643" s="2"/>
      <c r="AM643" s="2"/>
      <c r="AN643" s="2"/>
      <c r="AO643" s="9"/>
      <c r="AP643" s="9"/>
      <c r="AQ643" s="9"/>
      <c r="AR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224"/>
      <c r="X644" s="224"/>
      <c r="Y644" s="224"/>
      <c r="Z644" s="868"/>
      <c r="AA644" s="865"/>
      <c r="AB644" s="2"/>
      <c r="AC644" s="2"/>
      <c r="AD644" s="2"/>
      <c r="AE644" s="2"/>
      <c r="AF644" s="2"/>
      <c r="AG644" s="2"/>
      <c r="AH644" s="2"/>
      <c r="AI644" s="2"/>
      <c r="AJ644" s="2"/>
      <c r="AK644" s="2"/>
      <c r="AL644" s="2"/>
      <c r="AM644" s="2"/>
      <c r="AN644" s="2"/>
      <c r="AO644" s="9"/>
      <c r="AP644" s="9"/>
      <c r="AQ644" s="9"/>
      <c r="AR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224"/>
      <c r="X645" s="224"/>
      <c r="Y645" s="224"/>
      <c r="Z645" s="868"/>
      <c r="AA645" s="865"/>
      <c r="AB645" s="2"/>
      <c r="AC645" s="2"/>
      <c r="AD645" s="2"/>
      <c r="AE645" s="2"/>
      <c r="AF645" s="2"/>
      <c r="AG645" s="2"/>
      <c r="AH645" s="2"/>
      <c r="AI645" s="2"/>
      <c r="AJ645" s="2"/>
      <c r="AK645" s="2"/>
      <c r="AL645" s="2"/>
      <c r="AM645" s="2"/>
      <c r="AN645" s="2"/>
      <c r="AO645" s="9"/>
      <c r="AP645" s="9"/>
      <c r="AQ645" s="9"/>
      <c r="AR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224"/>
      <c r="X646" s="224"/>
      <c r="Y646" s="224"/>
      <c r="Z646" s="868"/>
      <c r="AA646" s="865"/>
      <c r="AB646" s="2"/>
      <c r="AC646" s="2"/>
      <c r="AD646" s="2"/>
      <c r="AE646" s="2"/>
      <c r="AF646" s="2"/>
      <c r="AG646" s="2"/>
      <c r="AH646" s="2"/>
      <c r="AI646" s="2"/>
      <c r="AJ646" s="2"/>
      <c r="AK646" s="2"/>
      <c r="AL646" s="2"/>
      <c r="AM646" s="2"/>
      <c r="AN646" s="2"/>
      <c r="AO646" s="9"/>
      <c r="AP646" s="9"/>
      <c r="AQ646" s="9"/>
      <c r="AR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224"/>
      <c r="X647" s="224"/>
      <c r="Y647" s="224"/>
      <c r="Z647" s="868"/>
      <c r="AA647" s="865"/>
      <c r="AB647" s="2"/>
      <c r="AC647" s="2"/>
      <c r="AD647" s="2"/>
      <c r="AE647" s="2"/>
      <c r="AF647" s="2"/>
      <c r="AG647" s="2"/>
      <c r="AH647" s="2"/>
      <c r="AI647" s="2"/>
      <c r="AJ647" s="2"/>
      <c r="AK647" s="2"/>
      <c r="AL647" s="2"/>
      <c r="AM647" s="2"/>
      <c r="AN647" s="2"/>
      <c r="AO647" s="9"/>
      <c r="AP647" s="9"/>
      <c r="AQ647" s="9"/>
      <c r="AR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224"/>
      <c r="X648" s="224"/>
      <c r="Y648" s="224"/>
      <c r="Z648" s="868"/>
      <c r="AA648" s="865"/>
      <c r="AB648" s="2"/>
      <c r="AC648" s="2"/>
      <c r="AD648" s="2"/>
      <c r="AE648" s="2"/>
      <c r="AF648" s="2"/>
      <c r="AG648" s="2"/>
      <c r="AH648" s="2"/>
      <c r="AI648" s="2"/>
      <c r="AJ648" s="2"/>
      <c r="AK648" s="2"/>
      <c r="AL648" s="2"/>
      <c r="AM648" s="2"/>
      <c r="AN648" s="2"/>
      <c r="AO648" s="9"/>
      <c r="AP648" s="9"/>
      <c r="AQ648" s="9"/>
      <c r="AR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224"/>
      <c r="X649" s="224"/>
      <c r="Y649" s="224"/>
      <c r="Z649" s="868"/>
      <c r="AA649" s="865"/>
      <c r="AB649" s="2"/>
      <c r="AC649" s="2"/>
      <c r="AD649" s="2"/>
      <c r="AE649" s="2"/>
      <c r="AF649" s="2"/>
      <c r="AG649" s="2"/>
      <c r="AH649" s="2"/>
      <c r="AI649" s="2"/>
      <c r="AJ649" s="2"/>
      <c r="AK649" s="2"/>
      <c r="AL649" s="2"/>
      <c r="AM649" s="2"/>
      <c r="AN649" s="2"/>
      <c r="AO649" s="9"/>
      <c r="AP649" s="9"/>
      <c r="AQ649" s="9"/>
      <c r="AR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224"/>
      <c r="X650" s="224"/>
      <c r="Y650" s="224"/>
      <c r="Z650" s="868"/>
      <c r="AA650" s="865"/>
      <c r="AB650" s="2"/>
      <c r="AC650" s="2"/>
      <c r="AD650" s="2"/>
      <c r="AE650" s="2"/>
      <c r="AF650" s="2"/>
      <c r="AG650" s="2"/>
      <c r="AH650" s="2"/>
      <c r="AI650" s="2"/>
      <c r="AJ650" s="2"/>
      <c r="AK650" s="2"/>
      <c r="AL650" s="2"/>
      <c r="AM650" s="2"/>
      <c r="AN650" s="2"/>
      <c r="AO650" s="9"/>
      <c r="AP650" s="9"/>
      <c r="AQ650" s="9"/>
      <c r="AR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224"/>
      <c r="X651" s="224"/>
      <c r="Y651" s="224"/>
      <c r="Z651" s="868"/>
      <c r="AA651" s="865"/>
      <c r="AB651" s="2"/>
      <c r="AC651" s="2"/>
      <c r="AD651" s="2"/>
      <c r="AE651" s="2"/>
      <c r="AF651" s="2"/>
      <c r="AG651" s="2"/>
      <c r="AH651" s="2"/>
      <c r="AI651" s="2"/>
      <c r="AJ651" s="2"/>
      <c r="AK651" s="2"/>
      <c r="AL651" s="2"/>
      <c r="AM651" s="2"/>
      <c r="AN651" s="2"/>
      <c r="AO651" s="9"/>
      <c r="AP651" s="9"/>
      <c r="AQ651" s="9"/>
      <c r="AR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224"/>
      <c r="X652" s="224"/>
      <c r="Y652" s="224"/>
      <c r="Z652" s="868"/>
      <c r="AA652" s="865"/>
      <c r="AB652" s="2"/>
      <c r="AC652" s="2"/>
      <c r="AD652" s="2"/>
      <c r="AE652" s="2"/>
      <c r="AF652" s="2"/>
      <c r="AG652" s="2"/>
      <c r="AH652" s="2"/>
      <c r="AI652" s="2"/>
      <c r="AJ652" s="2"/>
      <c r="AK652" s="2"/>
      <c r="AL652" s="2"/>
      <c r="AM652" s="2"/>
      <c r="AN652" s="2"/>
      <c r="AO652" s="9"/>
      <c r="AP652" s="9"/>
      <c r="AQ652" s="9"/>
      <c r="AR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224"/>
      <c r="X653" s="224"/>
      <c r="Y653" s="224"/>
      <c r="Z653" s="868"/>
      <c r="AA653" s="865"/>
      <c r="AB653" s="2"/>
      <c r="AC653" s="2"/>
      <c r="AD653" s="2"/>
      <c r="AE653" s="2"/>
      <c r="AF653" s="2"/>
      <c r="AG653" s="2"/>
      <c r="AH653" s="2"/>
      <c r="AI653" s="2"/>
      <c r="AJ653" s="2"/>
      <c r="AK653" s="2"/>
      <c r="AL653" s="2"/>
      <c r="AM653" s="2"/>
      <c r="AN653" s="2"/>
      <c r="AO653" s="9"/>
      <c r="AP653" s="9"/>
      <c r="AQ653" s="9"/>
      <c r="AR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224"/>
      <c r="X654" s="224"/>
      <c r="Y654" s="224"/>
      <c r="Z654" s="868"/>
      <c r="AA654" s="865"/>
      <c r="AB654" s="2"/>
      <c r="AC654" s="2"/>
      <c r="AD654" s="2"/>
      <c r="AE654" s="2"/>
      <c r="AF654" s="2"/>
      <c r="AG654" s="2"/>
      <c r="AH654" s="2"/>
      <c r="AI654" s="2"/>
      <c r="AJ654" s="2"/>
      <c r="AK654" s="2"/>
      <c r="AL654" s="2"/>
      <c r="AM654" s="2"/>
      <c r="AN654" s="2"/>
      <c r="AO654" s="9"/>
      <c r="AP654" s="9"/>
      <c r="AQ654" s="9"/>
      <c r="AR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224"/>
      <c r="X655" s="224"/>
      <c r="Y655" s="224"/>
      <c r="Z655" s="868"/>
      <c r="AA655" s="865"/>
      <c r="AB655" s="2"/>
      <c r="AC655" s="2"/>
      <c r="AD655" s="2"/>
      <c r="AE655" s="2"/>
      <c r="AF655" s="2"/>
      <c r="AG655" s="2"/>
      <c r="AH655" s="2"/>
      <c r="AI655" s="2"/>
      <c r="AJ655" s="2"/>
      <c r="AK655" s="2"/>
      <c r="AL655" s="2"/>
      <c r="AM655" s="2"/>
      <c r="AN655" s="2"/>
      <c r="AO655" s="9"/>
      <c r="AP655" s="9"/>
      <c r="AQ655" s="9"/>
      <c r="AR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224"/>
      <c r="X656" s="224"/>
      <c r="Y656" s="224"/>
      <c r="Z656" s="868"/>
      <c r="AA656" s="865"/>
      <c r="AB656" s="2"/>
      <c r="AC656" s="2"/>
      <c r="AD656" s="2"/>
      <c r="AE656" s="2"/>
      <c r="AF656" s="2"/>
      <c r="AG656" s="2"/>
      <c r="AH656" s="2"/>
      <c r="AI656" s="2"/>
      <c r="AJ656" s="2"/>
      <c r="AK656" s="2"/>
      <c r="AL656" s="2"/>
      <c r="AM656" s="2"/>
      <c r="AN656" s="2"/>
      <c r="AO656" s="9"/>
      <c r="AP656" s="9"/>
      <c r="AQ656" s="9"/>
      <c r="AR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224"/>
      <c r="X657" s="224"/>
      <c r="Y657" s="224"/>
      <c r="Z657" s="868"/>
      <c r="AA657" s="865"/>
      <c r="AB657" s="2"/>
      <c r="AC657" s="2"/>
      <c r="AD657" s="2"/>
      <c r="AE657" s="2"/>
      <c r="AF657" s="2"/>
      <c r="AG657" s="2"/>
      <c r="AH657" s="2"/>
      <c r="AI657" s="2"/>
      <c r="AJ657" s="2"/>
      <c r="AK657" s="2"/>
      <c r="AL657" s="2"/>
      <c r="AM657" s="2"/>
      <c r="AN657" s="2"/>
      <c r="AO657" s="9"/>
      <c r="AP657" s="9"/>
      <c r="AQ657" s="9"/>
      <c r="AR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224"/>
      <c r="X658" s="224"/>
      <c r="Y658" s="224"/>
      <c r="Z658" s="868"/>
      <c r="AA658" s="865"/>
      <c r="AB658" s="2"/>
      <c r="AC658" s="2"/>
      <c r="AD658" s="2"/>
      <c r="AE658" s="2"/>
      <c r="AF658" s="2"/>
      <c r="AG658" s="2"/>
      <c r="AH658" s="2"/>
      <c r="AI658" s="2"/>
      <c r="AJ658" s="2"/>
      <c r="AK658" s="2"/>
      <c r="AL658" s="2"/>
      <c r="AM658" s="2"/>
      <c r="AN658" s="2"/>
      <c r="AO658" s="9"/>
      <c r="AP658" s="9"/>
      <c r="AQ658" s="9"/>
      <c r="AR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224"/>
      <c r="X659" s="224"/>
      <c r="Y659" s="224"/>
      <c r="Z659" s="868"/>
      <c r="AA659" s="865"/>
      <c r="AB659" s="2"/>
      <c r="AC659" s="2"/>
      <c r="AD659" s="2"/>
      <c r="AE659" s="2"/>
      <c r="AF659" s="2"/>
      <c r="AG659" s="2"/>
      <c r="AH659" s="2"/>
      <c r="AI659" s="2"/>
      <c r="AJ659" s="2"/>
      <c r="AK659" s="2"/>
      <c r="AL659" s="2"/>
      <c r="AM659" s="2"/>
      <c r="AN659" s="2"/>
      <c r="AO659" s="9"/>
      <c r="AP659" s="9"/>
      <c r="AQ659" s="9"/>
      <c r="AR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224"/>
      <c r="X660" s="224"/>
      <c r="Y660" s="224"/>
      <c r="Z660" s="868"/>
      <c r="AA660" s="865"/>
      <c r="AB660" s="2"/>
      <c r="AC660" s="2"/>
      <c r="AD660" s="2"/>
      <c r="AE660" s="2"/>
      <c r="AF660" s="2"/>
      <c r="AG660" s="2"/>
      <c r="AH660" s="2"/>
      <c r="AI660" s="2"/>
      <c r="AJ660" s="2"/>
      <c r="AK660" s="2"/>
      <c r="AL660" s="2"/>
      <c r="AM660" s="2"/>
      <c r="AN660" s="2"/>
      <c r="AO660" s="9"/>
      <c r="AP660" s="9"/>
      <c r="AQ660" s="9"/>
      <c r="AR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224"/>
      <c r="X661" s="224"/>
      <c r="Y661" s="224"/>
      <c r="Z661" s="868"/>
      <c r="AA661" s="865"/>
      <c r="AB661" s="2"/>
      <c r="AC661" s="2"/>
      <c r="AD661" s="2"/>
      <c r="AE661" s="2"/>
      <c r="AF661" s="2"/>
      <c r="AG661" s="2"/>
      <c r="AH661" s="2"/>
      <c r="AI661" s="2"/>
      <c r="AJ661" s="2"/>
      <c r="AK661" s="2"/>
      <c r="AL661" s="2"/>
      <c r="AM661" s="2"/>
      <c r="AN661" s="2"/>
      <c r="AO661" s="9"/>
      <c r="AP661" s="9"/>
      <c r="AQ661" s="9"/>
      <c r="AR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224"/>
      <c r="X662" s="224"/>
      <c r="Y662" s="224"/>
      <c r="Z662" s="868"/>
      <c r="AA662" s="865"/>
      <c r="AB662" s="2"/>
      <c r="AC662" s="2"/>
      <c r="AD662" s="2"/>
      <c r="AE662" s="2"/>
      <c r="AF662" s="2"/>
      <c r="AG662" s="2"/>
      <c r="AH662" s="2"/>
      <c r="AI662" s="2"/>
      <c r="AJ662" s="2"/>
      <c r="AK662" s="2"/>
      <c r="AL662" s="2"/>
      <c r="AM662" s="2"/>
      <c r="AN662" s="2"/>
      <c r="AO662" s="9"/>
      <c r="AP662" s="9"/>
      <c r="AQ662" s="9"/>
      <c r="AR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224"/>
      <c r="X663" s="224"/>
      <c r="Y663" s="224"/>
      <c r="Z663" s="868"/>
      <c r="AA663" s="865"/>
      <c r="AB663" s="2"/>
      <c r="AC663" s="2"/>
      <c r="AD663" s="2"/>
      <c r="AE663" s="2"/>
      <c r="AF663" s="2"/>
      <c r="AG663" s="2"/>
      <c r="AH663" s="2"/>
      <c r="AI663" s="2"/>
      <c r="AJ663" s="2"/>
      <c r="AK663" s="2"/>
      <c r="AL663" s="2"/>
      <c r="AM663" s="2"/>
      <c r="AN663" s="2"/>
      <c r="AO663" s="9"/>
      <c r="AP663" s="9"/>
      <c r="AQ663" s="9"/>
      <c r="AR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224"/>
      <c r="X664" s="224"/>
      <c r="Y664" s="224"/>
      <c r="Z664" s="868"/>
      <c r="AA664" s="865"/>
      <c r="AB664" s="2"/>
      <c r="AC664" s="2"/>
      <c r="AD664" s="2"/>
      <c r="AE664" s="2"/>
      <c r="AF664" s="2"/>
      <c r="AG664" s="2"/>
      <c r="AH664" s="2"/>
      <c r="AI664" s="2"/>
      <c r="AJ664" s="2"/>
      <c r="AK664" s="2"/>
      <c r="AL664" s="2"/>
      <c r="AM664" s="2"/>
      <c r="AN664" s="2"/>
      <c r="AO664" s="9"/>
      <c r="AP664" s="9"/>
      <c r="AQ664" s="9"/>
      <c r="AR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224"/>
      <c r="X665" s="224"/>
      <c r="Y665" s="224"/>
      <c r="Z665" s="868"/>
      <c r="AA665" s="865"/>
      <c r="AB665" s="2"/>
      <c r="AC665" s="2"/>
      <c r="AD665" s="2"/>
      <c r="AE665" s="2"/>
      <c r="AF665" s="2"/>
      <c r="AG665" s="2"/>
      <c r="AH665" s="2"/>
      <c r="AI665" s="2"/>
      <c r="AJ665" s="2"/>
      <c r="AK665" s="2"/>
      <c r="AL665" s="2"/>
      <c r="AM665" s="2"/>
      <c r="AN665" s="2"/>
      <c r="AO665" s="9"/>
      <c r="AP665" s="9"/>
      <c r="AQ665" s="9"/>
      <c r="AR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224"/>
      <c r="X666" s="224"/>
      <c r="Y666" s="224"/>
      <c r="Z666" s="868"/>
      <c r="AA666" s="865"/>
      <c r="AB666" s="2"/>
      <c r="AC666" s="2"/>
      <c r="AD666" s="2"/>
      <c r="AE666" s="2"/>
      <c r="AF666" s="2"/>
      <c r="AG666" s="2"/>
      <c r="AH666" s="2"/>
      <c r="AI666" s="2"/>
      <c r="AJ666" s="2"/>
      <c r="AK666" s="2"/>
      <c r="AL666" s="2"/>
      <c r="AM666" s="2"/>
      <c r="AN666" s="2"/>
      <c r="AO666" s="9"/>
      <c r="AP666" s="9"/>
      <c r="AQ666" s="9"/>
      <c r="AR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224"/>
      <c r="X667" s="224"/>
      <c r="Y667" s="224"/>
      <c r="Z667" s="868"/>
      <c r="AA667" s="865"/>
      <c r="AB667" s="2"/>
      <c r="AC667" s="2"/>
      <c r="AD667" s="2"/>
      <c r="AE667" s="2"/>
      <c r="AF667" s="2"/>
      <c r="AG667" s="2"/>
      <c r="AH667" s="2"/>
      <c r="AI667" s="2"/>
      <c r="AJ667" s="2"/>
      <c r="AK667" s="2"/>
      <c r="AL667" s="2"/>
      <c r="AM667" s="2"/>
      <c r="AN667" s="2"/>
      <c r="AO667" s="9"/>
      <c r="AP667" s="9"/>
      <c r="AQ667" s="9"/>
      <c r="AR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224"/>
      <c r="X668" s="224"/>
      <c r="Y668" s="224"/>
      <c r="Z668" s="868"/>
      <c r="AA668" s="865"/>
      <c r="AB668" s="2"/>
      <c r="AC668" s="2"/>
      <c r="AD668" s="2"/>
      <c r="AE668" s="2"/>
      <c r="AF668" s="2"/>
      <c r="AG668" s="2"/>
      <c r="AH668" s="2"/>
      <c r="AI668" s="2"/>
      <c r="AJ668" s="2"/>
      <c r="AK668" s="2"/>
      <c r="AL668" s="2"/>
      <c r="AM668" s="2"/>
      <c r="AN668" s="2"/>
      <c r="AO668" s="9"/>
      <c r="AP668" s="9"/>
      <c r="AQ668" s="9"/>
      <c r="AR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224"/>
      <c r="X669" s="224"/>
      <c r="Y669" s="224"/>
      <c r="Z669" s="868"/>
      <c r="AA669" s="865"/>
      <c r="AB669" s="2"/>
      <c r="AC669" s="2"/>
      <c r="AD669" s="2"/>
      <c r="AE669" s="2"/>
      <c r="AF669" s="2"/>
      <c r="AG669" s="2"/>
      <c r="AH669" s="2"/>
      <c r="AI669" s="2"/>
      <c r="AJ669" s="2"/>
      <c r="AK669" s="2"/>
      <c r="AL669" s="2"/>
      <c r="AM669" s="2"/>
      <c r="AN669" s="2"/>
      <c r="AO669" s="9"/>
      <c r="AP669" s="9"/>
      <c r="AQ669" s="9"/>
      <c r="AR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224"/>
      <c r="X670" s="224"/>
      <c r="Y670" s="224"/>
      <c r="Z670" s="868"/>
      <c r="AA670" s="865"/>
      <c r="AB670" s="2"/>
      <c r="AC670" s="2"/>
      <c r="AD670" s="2"/>
      <c r="AE670" s="2"/>
      <c r="AF670" s="2"/>
      <c r="AG670" s="2"/>
      <c r="AH670" s="2"/>
      <c r="AI670" s="2"/>
      <c r="AJ670" s="2"/>
      <c r="AK670" s="2"/>
      <c r="AL670" s="2"/>
      <c r="AM670" s="2"/>
      <c r="AN670" s="2"/>
      <c r="AO670" s="9"/>
      <c r="AP670" s="9"/>
      <c r="AQ670" s="9"/>
      <c r="AR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224"/>
      <c r="X671" s="224"/>
      <c r="Y671" s="224"/>
      <c r="Z671" s="868"/>
      <c r="AA671" s="865"/>
      <c r="AB671" s="2"/>
      <c r="AC671" s="2"/>
      <c r="AD671" s="2"/>
      <c r="AE671" s="2"/>
      <c r="AF671" s="2"/>
      <c r="AG671" s="2"/>
      <c r="AH671" s="2"/>
      <c r="AI671" s="2"/>
      <c r="AJ671" s="2"/>
      <c r="AK671" s="2"/>
      <c r="AL671" s="2"/>
      <c r="AM671" s="2"/>
      <c r="AN671" s="2"/>
      <c r="AO671" s="9"/>
      <c r="AP671" s="9"/>
      <c r="AQ671" s="9"/>
      <c r="AR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224"/>
      <c r="X672" s="224"/>
      <c r="Y672" s="224"/>
      <c r="Z672" s="868"/>
      <c r="AA672" s="865"/>
      <c r="AB672" s="2"/>
      <c r="AC672" s="2"/>
      <c r="AD672" s="2"/>
      <c r="AE672" s="2"/>
      <c r="AF672" s="2"/>
      <c r="AG672" s="2"/>
      <c r="AH672" s="2"/>
      <c r="AI672" s="2"/>
      <c r="AJ672" s="2"/>
      <c r="AK672" s="2"/>
      <c r="AL672" s="2"/>
      <c r="AM672" s="2"/>
      <c r="AN672" s="2"/>
      <c r="AO672" s="9"/>
      <c r="AP672" s="9"/>
      <c r="AQ672" s="9"/>
      <c r="AR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224"/>
      <c r="X673" s="224"/>
      <c r="Y673" s="224"/>
      <c r="Z673" s="868"/>
      <c r="AA673" s="865"/>
      <c r="AB673" s="2"/>
      <c r="AC673" s="2"/>
      <c r="AD673" s="2"/>
      <c r="AE673" s="2"/>
      <c r="AF673" s="2"/>
      <c r="AG673" s="2"/>
      <c r="AH673" s="2"/>
      <c r="AI673" s="2"/>
      <c r="AJ673" s="2"/>
      <c r="AK673" s="2"/>
      <c r="AL673" s="2"/>
      <c r="AM673" s="2"/>
      <c r="AN673" s="2"/>
      <c r="AO673" s="9"/>
      <c r="AP673" s="9"/>
      <c r="AQ673" s="9"/>
      <c r="AR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224"/>
      <c r="X674" s="224"/>
      <c r="Y674" s="224"/>
      <c r="Z674" s="868"/>
      <c r="AA674" s="865"/>
      <c r="AB674" s="2"/>
      <c r="AC674" s="2"/>
      <c r="AD674" s="2"/>
      <c r="AE674" s="2"/>
      <c r="AF674" s="2"/>
      <c r="AG674" s="2"/>
      <c r="AH674" s="2"/>
      <c r="AI674" s="2"/>
      <c r="AJ674" s="2"/>
      <c r="AK674" s="2"/>
      <c r="AL674" s="2"/>
      <c r="AM674" s="2"/>
      <c r="AN674" s="2"/>
      <c r="AO674" s="9"/>
      <c r="AP674" s="9"/>
      <c r="AQ674" s="9"/>
      <c r="AR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224"/>
      <c r="X675" s="224"/>
      <c r="Y675" s="224"/>
      <c r="Z675" s="868"/>
      <c r="AA675" s="865"/>
      <c r="AB675" s="2"/>
      <c r="AC675" s="2"/>
      <c r="AD675" s="2"/>
      <c r="AE675" s="2"/>
      <c r="AF675" s="2"/>
      <c r="AG675" s="2"/>
      <c r="AH675" s="2"/>
      <c r="AI675" s="2"/>
      <c r="AJ675" s="2"/>
      <c r="AK675" s="2"/>
      <c r="AL675" s="2"/>
      <c r="AM675" s="2"/>
      <c r="AN675" s="2"/>
      <c r="AO675" s="9"/>
      <c r="AP675" s="9"/>
      <c r="AQ675" s="9"/>
      <c r="AR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224"/>
      <c r="X676" s="224"/>
      <c r="Y676" s="224"/>
      <c r="Z676" s="868"/>
      <c r="AA676" s="865"/>
      <c r="AB676" s="2"/>
      <c r="AC676" s="2"/>
      <c r="AD676" s="2"/>
      <c r="AE676" s="2"/>
      <c r="AF676" s="2"/>
      <c r="AG676" s="2"/>
      <c r="AH676" s="2"/>
      <c r="AI676" s="2"/>
      <c r="AJ676" s="2"/>
      <c r="AK676" s="2"/>
      <c r="AL676" s="2"/>
      <c r="AM676" s="2"/>
      <c r="AN676" s="2"/>
      <c r="AO676" s="9"/>
      <c r="AP676" s="9"/>
      <c r="AQ676" s="9"/>
      <c r="AR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224"/>
      <c r="X677" s="224"/>
      <c r="Y677" s="224"/>
      <c r="Z677" s="868"/>
      <c r="AA677" s="865"/>
      <c r="AB677" s="2"/>
      <c r="AC677" s="2"/>
      <c r="AD677" s="2"/>
      <c r="AE677" s="2"/>
      <c r="AF677" s="2"/>
      <c r="AG677" s="2"/>
      <c r="AH677" s="2"/>
      <c r="AI677" s="2"/>
      <c r="AJ677" s="2"/>
      <c r="AK677" s="2"/>
      <c r="AL677" s="2"/>
      <c r="AM677" s="2"/>
      <c r="AN677" s="2"/>
      <c r="AO677" s="9"/>
      <c r="AP677" s="9"/>
      <c r="AQ677" s="9"/>
      <c r="AR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224"/>
      <c r="X678" s="224"/>
      <c r="Y678" s="224"/>
      <c r="Z678" s="868"/>
      <c r="AA678" s="865"/>
      <c r="AB678" s="2"/>
      <c r="AC678" s="2"/>
      <c r="AD678" s="2"/>
      <c r="AE678" s="2"/>
      <c r="AF678" s="2"/>
      <c r="AG678" s="2"/>
      <c r="AH678" s="2"/>
      <c r="AI678" s="2"/>
      <c r="AJ678" s="2"/>
      <c r="AK678" s="2"/>
      <c r="AL678" s="2"/>
      <c r="AM678" s="2"/>
      <c r="AN678" s="2"/>
      <c r="AO678" s="9"/>
      <c r="AP678" s="9"/>
      <c r="AQ678" s="9"/>
      <c r="AR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224"/>
      <c r="X679" s="224"/>
      <c r="Y679" s="224"/>
      <c r="Z679" s="868"/>
      <c r="AA679" s="865"/>
      <c r="AB679" s="2"/>
      <c r="AC679" s="2"/>
      <c r="AD679" s="2"/>
      <c r="AE679" s="2"/>
      <c r="AF679" s="2"/>
      <c r="AG679" s="2"/>
      <c r="AH679" s="2"/>
      <c r="AI679" s="2"/>
      <c r="AJ679" s="2"/>
      <c r="AK679" s="2"/>
      <c r="AL679" s="2"/>
      <c r="AM679" s="2"/>
      <c r="AN679" s="2"/>
      <c r="AO679" s="9"/>
      <c r="AP679" s="9"/>
      <c r="AQ679" s="9"/>
      <c r="AR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224"/>
      <c r="X680" s="224"/>
      <c r="Y680" s="224"/>
      <c r="Z680" s="868"/>
      <c r="AA680" s="865"/>
      <c r="AB680" s="2"/>
      <c r="AC680" s="2"/>
      <c r="AD680" s="2"/>
      <c r="AE680" s="2"/>
      <c r="AF680" s="2"/>
      <c r="AG680" s="2"/>
      <c r="AH680" s="2"/>
      <c r="AI680" s="2"/>
      <c r="AJ680" s="2"/>
      <c r="AK680" s="2"/>
      <c r="AL680" s="2"/>
      <c r="AM680" s="2"/>
      <c r="AN680" s="2"/>
      <c r="AO680" s="9"/>
      <c r="AP680" s="9"/>
      <c r="AQ680" s="9"/>
      <c r="AR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224"/>
      <c r="X681" s="224"/>
      <c r="Y681" s="224"/>
      <c r="Z681" s="868"/>
      <c r="AA681" s="865"/>
      <c r="AB681" s="2"/>
      <c r="AC681" s="2"/>
      <c r="AD681" s="2"/>
      <c r="AE681" s="2"/>
      <c r="AF681" s="2"/>
      <c r="AG681" s="2"/>
      <c r="AH681" s="2"/>
      <c r="AI681" s="2"/>
      <c r="AJ681" s="2"/>
      <c r="AK681" s="2"/>
      <c r="AL681" s="2"/>
      <c r="AM681" s="2"/>
      <c r="AN681" s="2"/>
      <c r="AO681" s="9"/>
      <c r="AP681" s="9"/>
      <c r="AQ681" s="9"/>
      <c r="AR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224"/>
      <c r="X682" s="224"/>
      <c r="Y682" s="224"/>
      <c r="Z682" s="868"/>
      <c r="AA682" s="865"/>
      <c r="AB682" s="2"/>
      <c r="AC682" s="2"/>
      <c r="AD682" s="2"/>
      <c r="AE682" s="2"/>
      <c r="AF682" s="2"/>
      <c r="AG682" s="2"/>
      <c r="AH682" s="2"/>
      <c r="AI682" s="2"/>
      <c r="AJ682" s="2"/>
      <c r="AK682" s="2"/>
      <c r="AL682" s="2"/>
      <c r="AM682" s="2"/>
      <c r="AN682" s="2"/>
      <c r="AO682" s="9"/>
      <c r="AP682" s="9"/>
      <c r="AQ682" s="9"/>
      <c r="AR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224"/>
      <c r="X683" s="224"/>
      <c r="Y683" s="224"/>
      <c r="Z683" s="868"/>
      <c r="AA683" s="865"/>
      <c r="AB683" s="2"/>
      <c r="AC683" s="2"/>
      <c r="AD683" s="2"/>
      <c r="AE683" s="2"/>
      <c r="AF683" s="2"/>
      <c r="AG683" s="2"/>
      <c r="AH683" s="2"/>
      <c r="AI683" s="2"/>
      <c r="AJ683" s="2"/>
      <c r="AK683" s="2"/>
      <c r="AL683" s="2"/>
      <c r="AM683" s="2"/>
      <c r="AN683" s="2"/>
      <c r="AO683" s="9"/>
      <c r="AP683" s="9"/>
      <c r="AQ683" s="9"/>
      <c r="AR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224"/>
      <c r="X684" s="224"/>
      <c r="Y684" s="224"/>
      <c r="Z684" s="868"/>
      <c r="AA684" s="865"/>
      <c r="AB684" s="2"/>
      <c r="AC684" s="2"/>
      <c r="AD684" s="2"/>
      <c r="AE684" s="2"/>
      <c r="AF684" s="2"/>
      <c r="AG684" s="2"/>
      <c r="AH684" s="2"/>
      <c r="AI684" s="2"/>
      <c r="AJ684" s="2"/>
      <c r="AK684" s="2"/>
      <c r="AL684" s="2"/>
      <c r="AM684" s="2"/>
      <c r="AN684" s="2"/>
      <c r="AO684" s="9"/>
      <c r="AP684" s="9"/>
      <c r="AQ684" s="9"/>
      <c r="AR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224"/>
      <c r="X685" s="224"/>
      <c r="Y685" s="224"/>
      <c r="Z685" s="868"/>
      <c r="AA685" s="865"/>
      <c r="AB685" s="2"/>
      <c r="AC685" s="2"/>
      <c r="AD685" s="2"/>
      <c r="AE685" s="2"/>
      <c r="AF685" s="2"/>
      <c r="AG685" s="2"/>
      <c r="AH685" s="2"/>
      <c r="AI685" s="2"/>
      <c r="AJ685" s="2"/>
      <c r="AK685" s="2"/>
      <c r="AL685" s="2"/>
      <c r="AM685" s="2"/>
      <c r="AN685" s="2"/>
      <c r="AO685" s="9"/>
      <c r="AP685" s="9"/>
      <c r="AQ685" s="9"/>
      <c r="AR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224"/>
      <c r="X686" s="224"/>
      <c r="Y686" s="224"/>
      <c r="Z686" s="868"/>
      <c r="AA686" s="865"/>
      <c r="AB686" s="2"/>
      <c r="AC686" s="2"/>
      <c r="AD686" s="2"/>
      <c r="AE686" s="2"/>
      <c r="AF686" s="2"/>
      <c r="AG686" s="2"/>
      <c r="AH686" s="2"/>
      <c r="AI686" s="2"/>
      <c r="AJ686" s="2"/>
      <c r="AK686" s="2"/>
      <c r="AL686" s="2"/>
      <c r="AM686" s="2"/>
      <c r="AN686" s="2"/>
      <c r="AO686" s="9"/>
      <c r="AP686" s="9"/>
      <c r="AQ686" s="9"/>
      <c r="AR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224"/>
      <c r="X687" s="224"/>
      <c r="Y687" s="224"/>
      <c r="Z687" s="868"/>
      <c r="AA687" s="865"/>
      <c r="AB687" s="2"/>
      <c r="AC687" s="2"/>
      <c r="AD687" s="2"/>
      <c r="AE687" s="2"/>
      <c r="AF687" s="2"/>
      <c r="AG687" s="2"/>
      <c r="AH687" s="2"/>
      <c r="AI687" s="2"/>
      <c r="AJ687" s="2"/>
      <c r="AK687" s="2"/>
      <c r="AL687" s="2"/>
      <c r="AM687" s="2"/>
      <c r="AN687" s="2"/>
      <c r="AO687" s="9"/>
      <c r="AP687" s="9"/>
      <c r="AQ687" s="9"/>
      <c r="AR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224"/>
      <c r="X688" s="224"/>
      <c r="Y688" s="224"/>
      <c r="Z688" s="868"/>
      <c r="AA688" s="865"/>
      <c r="AB688" s="2"/>
      <c r="AC688" s="2"/>
      <c r="AD688" s="2"/>
      <c r="AE688" s="2"/>
      <c r="AF688" s="2"/>
      <c r="AG688" s="2"/>
      <c r="AH688" s="2"/>
      <c r="AI688" s="2"/>
      <c r="AJ688" s="2"/>
      <c r="AK688" s="2"/>
      <c r="AL688" s="2"/>
      <c r="AM688" s="2"/>
      <c r="AN688" s="2"/>
      <c r="AO688" s="9"/>
      <c r="AP688" s="9"/>
      <c r="AQ688" s="9"/>
      <c r="AR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224"/>
      <c r="X689" s="224"/>
      <c r="Y689" s="224"/>
      <c r="Z689" s="868"/>
      <c r="AA689" s="865"/>
      <c r="AB689" s="2"/>
      <c r="AC689" s="2"/>
      <c r="AD689" s="2"/>
      <c r="AE689" s="2"/>
      <c r="AF689" s="2"/>
      <c r="AG689" s="2"/>
      <c r="AH689" s="2"/>
      <c r="AI689" s="2"/>
      <c r="AJ689" s="2"/>
      <c r="AK689" s="2"/>
      <c r="AL689" s="2"/>
      <c r="AM689" s="2"/>
      <c r="AN689" s="2"/>
      <c r="AO689" s="9"/>
      <c r="AP689" s="9"/>
      <c r="AQ689" s="9"/>
      <c r="AR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224"/>
      <c r="X690" s="224"/>
      <c r="Y690" s="224"/>
      <c r="Z690" s="868"/>
      <c r="AA690" s="865"/>
      <c r="AB690" s="2"/>
      <c r="AC690" s="2"/>
      <c r="AD690" s="2"/>
      <c r="AE690" s="2"/>
      <c r="AF690" s="2"/>
      <c r="AG690" s="2"/>
      <c r="AH690" s="2"/>
      <c r="AI690" s="2"/>
      <c r="AJ690" s="2"/>
      <c r="AK690" s="2"/>
      <c r="AL690" s="2"/>
      <c r="AM690" s="2"/>
      <c r="AN690" s="2"/>
      <c r="AO690" s="9"/>
      <c r="AP690" s="9"/>
      <c r="AQ690" s="9"/>
      <c r="AR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224"/>
      <c r="X691" s="224"/>
      <c r="Y691" s="224"/>
      <c r="Z691" s="868"/>
      <c r="AA691" s="865"/>
      <c r="AB691" s="2"/>
      <c r="AC691" s="2"/>
      <c r="AD691" s="2"/>
      <c r="AE691" s="2"/>
      <c r="AF691" s="2"/>
      <c r="AG691" s="2"/>
      <c r="AH691" s="2"/>
      <c r="AI691" s="2"/>
      <c r="AJ691" s="2"/>
      <c r="AK691" s="2"/>
      <c r="AL691" s="2"/>
      <c r="AM691" s="2"/>
      <c r="AN691" s="2"/>
      <c r="AO691" s="9"/>
      <c r="AP691" s="9"/>
      <c r="AQ691" s="9"/>
      <c r="AR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224"/>
      <c r="X692" s="224"/>
      <c r="Y692" s="224"/>
      <c r="Z692" s="868"/>
      <c r="AA692" s="865"/>
      <c r="AB692" s="2"/>
      <c r="AC692" s="2"/>
      <c r="AD692" s="2"/>
      <c r="AE692" s="2"/>
      <c r="AF692" s="2"/>
      <c r="AG692" s="2"/>
      <c r="AH692" s="2"/>
      <c r="AI692" s="2"/>
      <c r="AJ692" s="2"/>
      <c r="AK692" s="2"/>
      <c r="AL692" s="2"/>
      <c r="AM692" s="2"/>
      <c r="AN692" s="2"/>
      <c r="AO692" s="9"/>
      <c r="AP692" s="9"/>
      <c r="AQ692" s="9"/>
      <c r="AR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224"/>
      <c r="X693" s="224"/>
      <c r="Y693" s="224"/>
      <c r="Z693" s="868"/>
      <c r="AA693" s="865"/>
      <c r="AB693" s="2"/>
      <c r="AC693" s="2"/>
      <c r="AD693" s="2"/>
      <c r="AE693" s="2"/>
      <c r="AF693" s="2"/>
      <c r="AG693" s="2"/>
      <c r="AH693" s="2"/>
      <c r="AI693" s="2"/>
      <c r="AJ693" s="2"/>
      <c r="AK693" s="2"/>
      <c r="AL693" s="2"/>
      <c r="AM693" s="2"/>
      <c r="AN693" s="2"/>
      <c r="AO693" s="9"/>
      <c r="AP693" s="9"/>
      <c r="AQ693" s="9"/>
      <c r="AR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224"/>
      <c r="X694" s="224"/>
      <c r="Y694" s="224"/>
      <c r="Z694" s="868"/>
      <c r="AA694" s="865"/>
      <c r="AB694" s="2"/>
      <c r="AC694" s="2"/>
      <c r="AD694" s="2"/>
      <c r="AE694" s="2"/>
      <c r="AF694" s="2"/>
      <c r="AG694" s="2"/>
      <c r="AH694" s="2"/>
      <c r="AI694" s="2"/>
      <c r="AJ694" s="2"/>
      <c r="AK694" s="2"/>
      <c r="AL694" s="2"/>
      <c r="AM694" s="2"/>
      <c r="AN694" s="2"/>
      <c r="AO694" s="9"/>
      <c r="AP694" s="9"/>
      <c r="AQ694" s="9"/>
      <c r="AR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224"/>
      <c r="X695" s="224"/>
      <c r="Y695" s="224"/>
      <c r="Z695" s="868"/>
      <c r="AA695" s="865"/>
      <c r="AB695" s="2"/>
      <c r="AC695" s="2"/>
      <c r="AD695" s="2"/>
      <c r="AE695" s="2"/>
      <c r="AF695" s="2"/>
      <c r="AG695" s="2"/>
      <c r="AH695" s="2"/>
      <c r="AI695" s="2"/>
      <c r="AJ695" s="2"/>
      <c r="AK695" s="2"/>
      <c r="AL695" s="2"/>
      <c r="AM695" s="2"/>
      <c r="AN695" s="2"/>
      <c r="AO695" s="9"/>
      <c r="AP695" s="9"/>
      <c r="AQ695" s="9"/>
      <c r="AR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224"/>
      <c r="X696" s="224"/>
      <c r="Y696" s="224"/>
      <c r="Z696" s="868"/>
      <c r="AA696" s="865"/>
      <c r="AB696" s="2"/>
      <c r="AC696" s="2"/>
      <c r="AD696" s="2"/>
      <c r="AE696" s="2"/>
      <c r="AF696" s="2"/>
      <c r="AG696" s="2"/>
      <c r="AH696" s="2"/>
      <c r="AI696" s="2"/>
      <c r="AJ696" s="2"/>
      <c r="AK696" s="2"/>
      <c r="AL696" s="2"/>
      <c r="AM696" s="2"/>
      <c r="AN696" s="2"/>
      <c r="AO696" s="9"/>
      <c r="AP696" s="9"/>
      <c r="AQ696" s="9"/>
      <c r="AR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224"/>
      <c r="X697" s="224"/>
      <c r="Y697" s="224"/>
      <c r="Z697" s="868"/>
      <c r="AA697" s="865"/>
      <c r="AB697" s="2"/>
      <c r="AC697" s="2"/>
      <c r="AD697" s="2"/>
      <c r="AE697" s="2"/>
      <c r="AF697" s="2"/>
      <c r="AG697" s="2"/>
      <c r="AH697" s="2"/>
      <c r="AI697" s="2"/>
      <c r="AJ697" s="2"/>
      <c r="AK697" s="2"/>
      <c r="AL697" s="2"/>
      <c r="AM697" s="2"/>
      <c r="AN697" s="2"/>
      <c r="AO697" s="9"/>
      <c r="AP697" s="9"/>
      <c r="AQ697" s="9"/>
      <c r="AR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224"/>
      <c r="X698" s="224"/>
      <c r="Y698" s="224"/>
      <c r="Z698" s="868"/>
      <c r="AA698" s="865"/>
      <c r="AB698" s="2"/>
      <c r="AC698" s="2"/>
      <c r="AD698" s="2"/>
      <c r="AE698" s="2"/>
      <c r="AF698" s="2"/>
      <c r="AG698" s="2"/>
      <c r="AH698" s="2"/>
      <c r="AI698" s="2"/>
      <c r="AJ698" s="2"/>
      <c r="AK698" s="2"/>
      <c r="AL698" s="2"/>
      <c r="AM698" s="2"/>
      <c r="AN698" s="2"/>
      <c r="AO698" s="9"/>
      <c r="AP698" s="9"/>
      <c r="AQ698" s="9"/>
      <c r="AR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224"/>
      <c r="X699" s="224"/>
      <c r="Y699" s="224"/>
      <c r="Z699" s="868"/>
      <c r="AA699" s="865"/>
      <c r="AB699" s="2"/>
      <c r="AC699" s="2"/>
      <c r="AD699" s="2"/>
      <c r="AE699" s="2"/>
      <c r="AF699" s="2"/>
      <c r="AG699" s="2"/>
      <c r="AH699" s="2"/>
      <c r="AI699" s="2"/>
      <c r="AJ699" s="2"/>
      <c r="AK699" s="2"/>
      <c r="AL699" s="2"/>
      <c r="AM699" s="2"/>
      <c r="AN699" s="2"/>
      <c r="AO699" s="9"/>
      <c r="AP699" s="9"/>
      <c r="AQ699" s="9"/>
      <c r="AR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224"/>
      <c r="X700" s="224"/>
      <c r="Y700" s="224"/>
      <c r="Z700" s="868"/>
      <c r="AA700" s="865"/>
      <c r="AB700" s="2"/>
      <c r="AC700" s="2"/>
      <c r="AD700" s="2"/>
      <c r="AE700" s="2"/>
      <c r="AF700" s="2"/>
      <c r="AG700" s="2"/>
      <c r="AH700" s="2"/>
      <c r="AI700" s="2"/>
      <c r="AJ700" s="2"/>
      <c r="AK700" s="2"/>
      <c r="AL700" s="2"/>
      <c r="AM700" s="2"/>
      <c r="AN700" s="2"/>
      <c r="AO700" s="9"/>
      <c r="AP700" s="9"/>
      <c r="AQ700" s="9"/>
      <c r="AR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224"/>
      <c r="X701" s="224"/>
      <c r="Y701" s="224"/>
      <c r="Z701" s="868"/>
      <c r="AA701" s="865"/>
      <c r="AB701" s="2"/>
      <c r="AC701" s="2"/>
      <c r="AD701" s="2"/>
      <c r="AE701" s="2"/>
      <c r="AF701" s="2"/>
      <c r="AG701" s="2"/>
      <c r="AH701" s="2"/>
      <c r="AI701" s="2"/>
      <c r="AJ701" s="2"/>
      <c r="AK701" s="2"/>
      <c r="AL701" s="2"/>
      <c r="AM701" s="2"/>
      <c r="AN701" s="2"/>
      <c r="AO701" s="9"/>
      <c r="AP701" s="9"/>
      <c r="AQ701" s="9"/>
      <c r="AR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224"/>
      <c r="X702" s="224"/>
      <c r="Y702" s="224"/>
      <c r="Z702" s="868"/>
      <c r="AA702" s="865"/>
      <c r="AB702" s="2"/>
      <c r="AC702" s="2"/>
      <c r="AD702" s="2"/>
      <c r="AE702" s="2"/>
      <c r="AF702" s="2"/>
      <c r="AG702" s="2"/>
      <c r="AH702" s="2"/>
      <c r="AI702" s="2"/>
      <c r="AJ702" s="2"/>
      <c r="AK702" s="2"/>
      <c r="AL702" s="2"/>
      <c r="AM702" s="2"/>
      <c r="AN702" s="2"/>
      <c r="AO702" s="9"/>
      <c r="AP702" s="9"/>
      <c r="AQ702" s="9"/>
      <c r="AR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224"/>
      <c r="X703" s="224"/>
      <c r="Y703" s="224"/>
      <c r="Z703" s="868"/>
      <c r="AA703" s="865"/>
      <c r="AB703" s="2"/>
      <c r="AC703" s="2"/>
      <c r="AD703" s="2"/>
      <c r="AE703" s="2"/>
      <c r="AF703" s="2"/>
      <c r="AG703" s="2"/>
      <c r="AH703" s="2"/>
      <c r="AI703" s="2"/>
      <c r="AJ703" s="2"/>
      <c r="AK703" s="2"/>
      <c r="AL703" s="2"/>
      <c r="AM703" s="2"/>
      <c r="AN703" s="2"/>
      <c r="AO703" s="9"/>
      <c r="AP703" s="9"/>
      <c r="AQ703" s="9"/>
      <c r="AR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224"/>
      <c r="X704" s="224"/>
      <c r="Y704" s="224"/>
      <c r="Z704" s="868"/>
      <c r="AA704" s="865"/>
      <c r="AB704" s="2"/>
      <c r="AC704" s="2"/>
      <c r="AD704" s="2"/>
      <c r="AE704" s="2"/>
      <c r="AF704" s="2"/>
      <c r="AG704" s="2"/>
      <c r="AH704" s="2"/>
      <c r="AI704" s="2"/>
      <c r="AJ704" s="2"/>
      <c r="AK704" s="2"/>
      <c r="AL704" s="2"/>
      <c r="AM704" s="2"/>
      <c r="AN704" s="2"/>
      <c r="AO704" s="9"/>
      <c r="AP704" s="9"/>
      <c r="AQ704" s="9"/>
      <c r="AR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224"/>
      <c r="X705" s="224"/>
      <c r="Y705" s="224"/>
      <c r="Z705" s="868"/>
      <c r="AA705" s="865"/>
      <c r="AB705" s="2"/>
      <c r="AC705" s="2"/>
      <c r="AD705" s="2"/>
      <c r="AE705" s="2"/>
      <c r="AF705" s="2"/>
      <c r="AG705" s="2"/>
      <c r="AH705" s="2"/>
      <c r="AI705" s="2"/>
      <c r="AJ705" s="2"/>
      <c r="AK705" s="2"/>
      <c r="AL705" s="2"/>
      <c r="AM705" s="2"/>
      <c r="AN705" s="2"/>
      <c r="AO705" s="9"/>
      <c r="AP705" s="9"/>
      <c r="AQ705" s="9"/>
      <c r="AR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224"/>
      <c r="X706" s="224"/>
      <c r="Y706" s="224"/>
      <c r="Z706" s="868"/>
      <c r="AA706" s="865"/>
      <c r="AB706" s="2"/>
      <c r="AC706" s="2"/>
      <c r="AD706" s="2"/>
      <c r="AE706" s="2"/>
      <c r="AF706" s="2"/>
      <c r="AG706" s="2"/>
      <c r="AH706" s="2"/>
      <c r="AI706" s="2"/>
      <c r="AJ706" s="2"/>
      <c r="AK706" s="2"/>
      <c r="AL706" s="2"/>
      <c r="AM706" s="2"/>
      <c r="AN706" s="2"/>
      <c r="AO706" s="9"/>
      <c r="AP706" s="9"/>
      <c r="AQ706" s="9"/>
      <c r="AR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224"/>
      <c r="X707" s="224"/>
      <c r="Y707" s="224"/>
      <c r="Z707" s="868"/>
      <c r="AA707" s="865"/>
      <c r="AB707" s="2"/>
      <c r="AC707" s="2"/>
      <c r="AD707" s="2"/>
      <c r="AE707" s="2"/>
      <c r="AF707" s="2"/>
      <c r="AG707" s="2"/>
      <c r="AH707" s="2"/>
      <c r="AI707" s="2"/>
      <c r="AJ707" s="2"/>
      <c r="AK707" s="2"/>
      <c r="AL707" s="2"/>
      <c r="AM707" s="2"/>
      <c r="AN707" s="2"/>
      <c r="AO707" s="9"/>
      <c r="AP707" s="9"/>
      <c r="AQ707" s="9"/>
      <c r="AR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224"/>
      <c r="X708" s="224"/>
      <c r="Y708" s="224"/>
      <c r="Z708" s="868"/>
      <c r="AA708" s="865"/>
      <c r="AB708" s="2"/>
      <c r="AC708" s="2"/>
      <c r="AD708" s="2"/>
      <c r="AE708" s="2"/>
      <c r="AF708" s="2"/>
      <c r="AG708" s="2"/>
      <c r="AH708" s="2"/>
      <c r="AI708" s="2"/>
      <c r="AJ708" s="2"/>
      <c r="AK708" s="2"/>
      <c r="AL708" s="2"/>
      <c r="AM708" s="2"/>
      <c r="AN708" s="2"/>
      <c r="AO708" s="9"/>
      <c r="AP708" s="9"/>
      <c r="AQ708" s="9"/>
      <c r="AR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224"/>
      <c r="X709" s="224"/>
      <c r="Y709" s="224"/>
      <c r="Z709" s="868"/>
      <c r="AA709" s="865"/>
      <c r="AB709" s="2"/>
      <c r="AC709" s="2"/>
      <c r="AD709" s="2"/>
      <c r="AE709" s="2"/>
      <c r="AF709" s="2"/>
      <c r="AG709" s="2"/>
      <c r="AH709" s="2"/>
      <c r="AI709" s="2"/>
      <c r="AJ709" s="2"/>
      <c r="AK709" s="2"/>
      <c r="AL709" s="2"/>
      <c r="AM709" s="2"/>
      <c r="AN709" s="2"/>
      <c r="AO709" s="9"/>
      <c r="AP709" s="9"/>
      <c r="AQ709" s="9"/>
      <c r="AR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224"/>
      <c r="X710" s="224"/>
      <c r="Y710" s="224"/>
      <c r="Z710" s="868"/>
      <c r="AA710" s="865"/>
      <c r="AB710" s="2"/>
      <c r="AC710" s="2"/>
      <c r="AD710" s="2"/>
      <c r="AE710" s="2"/>
      <c r="AF710" s="2"/>
      <c r="AG710" s="2"/>
      <c r="AH710" s="2"/>
      <c r="AI710" s="2"/>
      <c r="AJ710" s="2"/>
      <c r="AK710" s="2"/>
      <c r="AL710" s="2"/>
      <c r="AM710" s="2"/>
      <c r="AN710" s="2"/>
      <c r="AO710" s="9"/>
      <c r="AP710" s="9"/>
      <c r="AQ710" s="9"/>
      <c r="AR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224"/>
      <c r="X711" s="224"/>
      <c r="Y711" s="224"/>
      <c r="Z711" s="868"/>
      <c r="AA711" s="865"/>
      <c r="AB711" s="2"/>
      <c r="AC711" s="2"/>
      <c r="AD711" s="2"/>
      <c r="AE711" s="2"/>
      <c r="AF711" s="2"/>
      <c r="AG711" s="2"/>
      <c r="AH711" s="2"/>
      <c r="AI711" s="2"/>
      <c r="AJ711" s="2"/>
      <c r="AK711" s="2"/>
      <c r="AL711" s="2"/>
      <c r="AM711" s="2"/>
      <c r="AN711" s="2"/>
      <c r="AO711" s="9"/>
      <c r="AP711" s="9"/>
      <c r="AQ711" s="9"/>
      <c r="AR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224"/>
      <c r="X712" s="224"/>
      <c r="Y712" s="224"/>
      <c r="Z712" s="868"/>
      <c r="AA712" s="865"/>
      <c r="AB712" s="2"/>
      <c r="AC712" s="2"/>
      <c r="AD712" s="2"/>
      <c r="AE712" s="2"/>
      <c r="AF712" s="2"/>
      <c r="AG712" s="2"/>
      <c r="AH712" s="2"/>
      <c r="AI712" s="2"/>
      <c r="AJ712" s="2"/>
      <c r="AK712" s="2"/>
      <c r="AL712" s="2"/>
      <c r="AM712" s="2"/>
      <c r="AN712" s="2"/>
      <c r="AO712" s="9"/>
      <c r="AP712" s="9"/>
      <c r="AQ712" s="9"/>
      <c r="AR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224"/>
      <c r="X713" s="224"/>
      <c r="Y713" s="224"/>
      <c r="Z713" s="868"/>
      <c r="AA713" s="865"/>
      <c r="AB713" s="2"/>
      <c r="AC713" s="2"/>
      <c r="AD713" s="2"/>
      <c r="AE713" s="2"/>
      <c r="AF713" s="2"/>
      <c r="AG713" s="2"/>
      <c r="AH713" s="2"/>
      <c r="AI713" s="2"/>
      <c r="AJ713" s="2"/>
      <c r="AK713" s="2"/>
      <c r="AL713" s="2"/>
      <c r="AM713" s="2"/>
      <c r="AN713" s="2"/>
      <c r="AO713" s="9"/>
      <c r="AP713" s="9"/>
      <c r="AQ713" s="9"/>
      <c r="AR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224"/>
      <c r="X714" s="224"/>
      <c r="Y714" s="224"/>
      <c r="Z714" s="868"/>
      <c r="AA714" s="865"/>
      <c r="AB714" s="2"/>
      <c r="AC714" s="2"/>
      <c r="AD714" s="2"/>
      <c r="AE714" s="2"/>
      <c r="AF714" s="2"/>
      <c r="AG714" s="2"/>
      <c r="AH714" s="2"/>
      <c r="AI714" s="2"/>
      <c r="AJ714" s="2"/>
      <c r="AK714" s="2"/>
      <c r="AL714" s="2"/>
      <c r="AM714" s="2"/>
      <c r="AN714" s="2"/>
      <c r="AO714" s="9"/>
      <c r="AP714" s="9"/>
      <c r="AQ714" s="9"/>
      <c r="AR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224"/>
      <c r="X715" s="224"/>
      <c r="Y715" s="224"/>
      <c r="Z715" s="868"/>
      <c r="AA715" s="865"/>
      <c r="AB715" s="2"/>
      <c r="AC715" s="2"/>
      <c r="AD715" s="2"/>
      <c r="AE715" s="2"/>
      <c r="AF715" s="2"/>
      <c r="AG715" s="2"/>
      <c r="AH715" s="2"/>
      <c r="AI715" s="2"/>
      <c r="AJ715" s="2"/>
      <c r="AK715" s="2"/>
      <c r="AL715" s="2"/>
      <c r="AM715" s="2"/>
      <c r="AN715" s="2"/>
      <c r="AO715" s="9"/>
      <c r="AP715" s="9"/>
      <c r="AQ715" s="9"/>
      <c r="AR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224"/>
      <c r="X716" s="224"/>
      <c r="Y716" s="224"/>
      <c r="Z716" s="868"/>
      <c r="AA716" s="865"/>
      <c r="AB716" s="2"/>
      <c r="AC716" s="2"/>
      <c r="AD716" s="2"/>
      <c r="AE716" s="2"/>
      <c r="AF716" s="2"/>
      <c r="AG716" s="2"/>
      <c r="AH716" s="2"/>
      <c r="AI716" s="2"/>
      <c r="AJ716" s="2"/>
      <c r="AK716" s="2"/>
      <c r="AL716" s="2"/>
      <c r="AM716" s="2"/>
      <c r="AN716" s="2"/>
      <c r="AO716" s="9"/>
      <c r="AP716" s="9"/>
      <c r="AQ716" s="9"/>
      <c r="AR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224"/>
      <c r="X717" s="224"/>
      <c r="Y717" s="224"/>
      <c r="Z717" s="868"/>
      <c r="AA717" s="865"/>
      <c r="AB717" s="2"/>
      <c r="AC717" s="2"/>
      <c r="AD717" s="2"/>
      <c r="AE717" s="2"/>
      <c r="AF717" s="2"/>
      <c r="AG717" s="2"/>
      <c r="AH717" s="2"/>
      <c r="AI717" s="2"/>
      <c r="AJ717" s="2"/>
      <c r="AK717" s="2"/>
      <c r="AL717" s="2"/>
      <c r="AM717" s="2"/>
      <c r="AN717" s="2"/>
      <c r="AO717" s="9"/>
      <c r="AP717" s="9"/>
      <c r="AQ717" s="9"/>
      <c r="AR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224"/>
      <c r="X718" s="224"/>
      <c r="Y718" s="224"/>
      <c r="Z718" s="868"/>
      <c r="AA718" s="865"/>
      <c r="AB718" s="2"/>
      <c r="AC718" s="2"/>
      <c r="AD718" s="2"/>
      <c r="AE718" s="2"/>
      <c r="AF718" s="2"/>
      <c r="AG718" s="2"/>
      <c r="AH718" s="2"/>
      <c r="AI718" s="2"/>
      <c r="AJ718" s="2"/>
      <c r="AK718" s="2"/>
      <c r="AL718" s="2"/>
      <c r="AM718" s="2"/>
      <c r="AN718" s="2"/>
      <c r="AO718" s="9"/>
      <c r="AP718" s="9"/>
      <c r="AQ718" s="9"/>
      <c r="AR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224"/>
      <c r="X719" s="224"/>
      <c r="Y719" s="224"/>
      <c r="Z719" s="868"/>
      <c r="AA719" s="865"/>
      <c r="AB719" s="2"/>
      <c r="AC719" s="2"/>
      <c r="AD719" s="2"/>
      <c r="AE719" s="2"/>
      <c r="AF719" s="2"/>
      <c r="AG719" s="2"/>
      <c r="AH719" s="2"/>
      <c r="AI719" s="2"/>
      <c r="AJ719" s="2"/>
      <c r="AK719" s="2"/>
      <c r="AL719" s="2"/>
      <c r="AM719" s="2"/>
      <c r="AN719" s="2"/>
      <c r="AO719" s="9"/>
      <c r="AP719" s="9"/>
      <c r="AQ719" s="9"/>
      <c r="AR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224"/>
      <c r="X720" s="224"/>
      <c r="Y720" s="224"/>
      <c r="Z720" s="868"/>
      <c r="AA720" s="865"/>
      <c r="AB720" s="2"/>
      <c r="AC720" s="2"/>
      <c r="AD720" s="2"/>
      <c r="AE720" s="2"/>
      <c r="AF720" s="2"/>
      <c r="AG720" s="2"/>
      <c r="AH720" s="2"/>
      <c r="AI720" s="2"/>
      <c r="AJ720" s="2"/>
      <c r="AK720" s="2"/>
      <c r="AL720" s="2"/>
      <c r="AM720" s="2"/>
      <c r="AN720" s="2"/>
      <c r="AO720" s="9"/>
      <c r="AP720" s="9"/>
      <c r="AQ720" s="9"/>
      <c r="AR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224"/>
      <c r="X721" s="224"/>
      <c r="Y721" s="224"/>
      <c r="Z721" s="868"/>
      <c r="AA721" s="865"/>
      <c r="AB721" s="2"/>
      <c r="AC721" s="2"/>
      <c r="AD721" s="2"/>
      <c r="AE721" s="2"/>
      <c r="AF721" s="2"/>
      <c r="AG721" s="2"/>
      <c r="AH721" s="2"/>
      <c r="AI721" s="2"/>
      <c r="AJ721" s="2"/>
      <c r="AK721" s="2"/>
      <c r="AL721" s="2"/>
      <c r="AM721" s="2"/>
      <c r="AN721" s="2"/>
      <c r="AO721" s="9"/>
      <c r="AP721" s="9"/>
      <c r="AQ721" s="9"/>
      <c r="AR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224"/>
      <c r="X722" s="224"/>
      <c r="Y722" s="224"/>
      <c r="Z722" s="868"/>
      <c r="AA722" s="865"/>
      <c r="AB722" s="2"/>
      <c r="AC722" s="2"/>
      <c r="AD722" s="2"/>
      <c r="AE722" s="2"/>
      <c r="AF722" s="2"/>
      <c r="AG722" s="2"/>
      <c r="AH722" s="2"/>
      <c r="AI722" s="2"/>
      <c r="AJ722" s="2"/>
      <c r="AK722" s="2"/>
      <c r="AL722" s="2"/>
      <c r="AM722" s="2"/>
      <c r="AN722" s="2"/>
      <c r="AO722" s="9"/>
      <c r="AP722" s="9"/>
      <c r="AQ722" s="9"/>
      <c r="AR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224"/>
      <c r="X723" s="224"/>
      <c r="Y723" s="224"/>
      <c r="Z723" s="868"/>
      <c r="AA723" s="865"/>
      <c r="AB723" s="2"/>
      <c r="AC723" s="2"/>
      <c r="AD723" s="2"/>
      <c r="AE723" s="2"/>
      <c r="AF723" s="2"/>
      <c r="AG723" s="2"/>
      <c r="AH723" s="2"/>
      <c r="AI723" s="2"/>
      <c r="AJ723" s="2"/>
      <c r="AK723" s="2"/>
      <c r="AL723" s="2"/>
      <c r="AM723" s="2"/>
      <c r="AN723" s="2"/>
      <c r="AO723" s="9"/>
      <c r="AP723" s="9"/>
      <c r="AQ723" s="9"/>
      <c r="AR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224"/>
      <c r="X724" s="224"/>
      <c r="Y724" s="224"/>
      <c r="Z724" s="868"/>
      <c r="AA724" s="865"/>
      <c r="AB724" s="2"/>
      <c r="AC724" s="2"/>
      <c r="AD724" s="2"/>
      <c r="AE724" s="2"/>
      <c r="AF724" s="2"/>
      <c r="AG724" s="2"/>
      <c r="AH724" s="2"/>
      <c r="AI724" s="2"/>
      <c r="AJ724" s="2"/>
      <c r="AK724" s="2"/>
      <c r="AL724" s="2"/>
      <c r="AM724" s="2"/>
      <c r="AN724" s="2"/>
      <c r="AO724" s="9"/>
      <c r="AP724" s="9"/>
      <c r="AQ724" s="9"/>
      <c r="AR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224"/>
      <c r="X725" s="224"/>
      <c r="Y725" s="224"/>
      <c r="Z725" s="868"/>
      <c r="AA725" s="865"/>
      <c r="AB725" s="2"/>
      <c r="AC725" s="2"/>
      <c r="AD725" s="2"/>
      <c r="AE725" s="2"/>
      <c r="AF725" s="2"/>
      <c r="AG725" s="2"/>
      <c r="AH725" s="2"/>
      <c r="AI725" s="2"/>
      <c r="AJ725" s="2"/>
      <c r="AK725" s="2"/>
      <c r="AL725" s="2"/>
      <c r="AM725" s="2"/>
      <c r="AN725" s="2"/>
      <c r="AO725" s="9"/>
      <c r="AP725" s="9"/>
      <c r="AQ725" s="9"/>
      <c r="AR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224"/>
      <c r="X726" s="224"/>
      <c r="Y726" s="224"/>
      <c r="Z726" s="868"/>
      <c r="AA726" s="865"/>
      <c r="AB726" s="2"/>
      <c r="AC726" s="2"/>
      <c r="AD726" s="2"/>
      <c r="AE726" s="2"/>
      <c r="AF726" s="2"/>
      <c r="AG726" s="2"/>
      <c r="AH726" s="2"/>
      <c r="AI726" s="2"/>
      <c r="AJ726" s="2"/>
      <c r="AK726" s="2"/>
      <c r="AL726" s="2"/>
      <c r="AM726" s="2"/>
      <c r="AN726" s="2"/>
      <c r="AO726" s="9"/>
      <c r="AP726" s="9"/>
      <c r="AQ726" s="9"/>
      <c r="AR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224"/>
      <c r="X727" s="224"/>
      <c r="Y727" s="224"/>
      <c r="Z727" s="868"/>
      <c r="AA727" s="865"/>
      <c r="AB727" s="2"/>
      <c r="AC727" s="2"/>
      <c r="AD727" s="2"/>
      <c r="AE727" s="2"/>
      <c r="AF727" s="2"/>
      <c r="AG727" s="2"/>
      <c r="AH727" s="2"/>
      <c r="AI727" s="2"/>
      <c r="AJ727" s="2"/>
      <c r="AK727" s="2"/>
      <c r="AL727" s="2"/>
      <c r="AM727" s="2"/>
      <c r="AN727" s="2"/>
      <c r="AO727" s="9"/>
      <c r="AP727" s="9"/>
      <c r="AQ727" s="9"/>
      <c r="AR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224"/>
      <c r="X728" s="224"/>
      <c r="Y728" s="224"/>
      <c r="Z728" s="868"/>
      <c r="AA728" s="865"/>
      <c r="AB728" s="2"/>
      <c r="AC728" s="2"/>
      <c r="AD728" s="2"/>
      <c r="AE728" s="2"/>
      <c r="AF728" s="2"/>
      <c r="AG728" s="2"/>
      <c r="AH728" s="2"/>
      <c r="AI728" s="2"/>
      <c r="AJ728" s="2"/>
      <c r="AK728" s="2"/>
      <c r="AL728" s="2"/>
      <c r="AM728" s="2"/>
      <c r="AN728" s="2"/>
      <c r="AO728" s="9"/>
      <c r="AP728" s="9"/>
      <c r="AQ728" s="9"/>
      <c r="AR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224"/>
      <c r="X729" s="224"/>
      <c r="Y729" s="224"/>
      <c r="Z729" s="868"/>
      <c r="AA729" s="865"/>
      <c r="AB729" s="2"/>
      <c r="AC729" s="2"/>
      <c r="AD729" s="2"/>
      <c r="AE729" s="2"/>
      <c r="AF729" s="2"/>
      <c r="AG729" s="2"/>
      <c r="AH729" s="2"/>
      <c r="AI729" s="2"/>
      <c r="AJ729" s="2"/>
      <c r="AK729" s="2"/>
      <c r="AL729" s="2"/>
      <c r="AM729" s="2"/>
      <c r="AN729" s="2"/>
      <c r="AO729" s="9"/>
      <c r="AP729" s="9"/>
      <c r="AQ729" s="9"/>
      <c r="AR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224"/>
      <c r="X730" s="224"/>
      <c r="Y730" s="224"/>
      <c r="Z730" s="868"/>
      <c r="AA730" s="865"/>
      <c r="AB730" s="2"/>
      <c r="AC730" s="2"/>
      <c r="AD730" s="2"/>
      <c r="AE730" s="2"/>
      <c r="AF730" s="2"/>
      <c r="AG730" s="2"/>
      <c r="AH730" s="2"/>
      <c r="AI730" s="2"/>
      <c r="AJ730" s="2"/>
      <c r="AK730" s="2"/>
      <c r="AL730" s="2"/>
      <c r="AM730" s="2"/>
      <c r="AN730" s="2"/>
      <c r="AO730" s="9"/>
      <c r="AP730" s="9"/>
      <c r="AQ730" s="9"/>
      <c r="AR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224"/>
      <c r="X731" s="224"/>
      <c r="Y731" s="224"/>
      <c r="Z731" s="868"/>
      <c r="AA731" s="865"/>
      <c r="AB731" s="2"/>
      <c r="AC731" s="2"/>
      <c r="AD731" s="2"/>
      <c r="AE731" s="2"/>
      <c r="AF731" s="2"/>
      <c r="AG731" s="2"/>
      <c r="AH731" s="2"/>
      <c r="AI731" s="2"/>
      <c r="AJ731" s="2"/>
      <c r="AK731" s="2"/>
      <c r="AL731" s="2"/>
      <c r="AM731" s="2"/>
      <c r="AN731" s="2"/>
      <c r="AO731" s="9"/>
      <c r="AP731" s="9"/>
      <c r="AQ731" s="9"/>
      <c r="AR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224"/>
      <c r="X732" s="224"/>
      <c r="Y732" s="224"/>
      <c r="Z732" s="868"/>
      <c r="AA732" s="865"/>
      <c r="AB732" s="2"/>
      <c r="AC732" s="2"/>
      <c r="AD732" s="2"/>
      <c r="AE732" s="2"/>
      <c r="AF732" s="2"/>
      <c r="AG732" s="2"/>
      <c r="AH732" s="2"/>
      <c r="AI732" s="2"/>
      <c r="AJ732" s="2"/>
      <c r="AK732" s="2"/>
      <c r="AL732" s="2"/>
      <c r="AM732" s="2"/>
      <c r="AN732" s="2"/>
      <c r="AO732" s="9"/>
      <c r="AP732" s="9"/>
      <c r="AQ732" s="9"/>
      <c r="AR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224"/>
      <c r="X733" s="224"/>
      <c r="Y733" s="224"/>
      <c r="Z733" s="868"/>
      <c r="AA733" s="865"/>
      <c r="AB733" s="2"/>
      <c r="AC733" s="2"/>
      <c r="AD733" s="2"/>
      <c r="AE733" s="2"/>
      <c r="AF733" s="2"/>
      <c r="AG733" s="2"/>
      <c r="AH733" s="2"/>
      <c r="AI733" s="2"/>
      <c r="AJ733" s="2"/>
      <c r="AK733" s="2"/>
      <c r="AL733" s="2"/>
      <c r="AM733" s="2"/>
      <c r="AN733" s="2"/>
      <c r="AO733" s="9"/>
      <c r="AP733" s="9"/>
      <c r="AQ733" s="9"/>
      <c r="AR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224"/>
      <c r="X734" s="224"/>
      <c r="Y734" s="224"/>
      <c r="Z734" s="868"/>
      <c r="AA734" s="865"/>
      <c r="AB734" s="2"/>
      <c r="AC734" s="2"/>
      <c r="AD734" s="2"/>
      <c r="AE734" s="2"/>
      <c r="AF734" s="2"/>
      <c r="AG734" s="2"/>
      <c r="AH734" s="2"/>
      <c r="AI734" s="2"/>
      <c r="AJ734" s="2"/>
      <c r="AK734" s="2"/>
      <c r="AL734" s="2"/>
      <c r="AM734" s="2"/>
      <c r="AN734" s="2"/>
      <c r="AO734" s="9"/>
      <c r="AP734" s="9"/>
      <c r="AQ734" s="9"/>
      <c r="AR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224"/>
      <c r="X735" s="224"/>
      <c r="Y735" s="224"/>
      <c r="Z735" s="868"/>
      <c r="AA735" s="865"/>
      <c r="AB735" s="2"/>
      <c r="AC735" s="2"/>
      <c r="AD735" s="2"/>
      <c r="AE735" s="2"/>
      <c r="AF735" s="2"/>
      <c r="AG735" s="2"/>
      <c r="AH735" s="2"/>
      <c r="AI735" s="2"/>
      <c r="AJ735" s="2"/>
      <c r="AK735" s="2"/>
      <c r="AL735" s="2"/>
      <c r="AM735" s="2"/>
      <c r="AN735" s="2"/>
      <c r="AO735" s="9"/>
      <c r="AP735" s="9"/>
      <c r="AQ735" s="9"/>
      <c r="AR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224"/>
      <c r="X736" s="224"/>
      <c r="Y736" s="224"/>
      <c r="Z736" s="868"/>
      <c r="AA736" s="865"/>
      <c r="AB736" s="2"/>
      <c r="AC736" s="2"/>
      <c r="AD736" s="2"/>
      <c r="AE736" s="2"/>
      <c r="AF736" s="2"/>
      <c r="AG736" s="2"/>
      <c r="AH736" s="2"/>
      <c r="AI736" s="2"/>
      <c r="AJ736" s="2"/>
      <c r="AK736" s="2"/>
      <c r="AL736" s="2"/>
      <c r="AM736" s="2"/>
      <c r="AN736" s="2"/>
      <c r="AO736" s="9"/>
      <c r="AP736" s="9"/>
      <c r="AQ736" s="9"/>
      <c r="AR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224"/>
      <c r="X737" s="224"/>
      <c r="Y737" s="224"/>
      <c r="Z737" s="868"/>
      <c r="AA737" s="865"/>
      <c r="AB737" s="2"/>
      <c r="AC737" s="2"/>
      <c r="AD737" s="2"/>
      <c r="AE737" s="2"/>
      <c r="AF737" s="2"/>
      <c r="AG737" s="2"/>
      <c r="AH737" s="2"/>
      <c r="AI737" s="2"/>
      <c r="AJ737" s="2"/>
      <c r="AK737" s="2"/>
      <c r="AL737" s="2"/>
      <c r="AM737" s="2"/>
      <c r="AN737" s="2"/>
      <c r="AO737" s="9"/>
      <c r="AP737" s="9"/>
      <c r="AQ737" s="9"/>
      <c r="AR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224"/>
      <c r="X738" s="224"/>
      <c r="Y738" s="224"/>
      <c r="Z738" s="868"/>
      <c r="AA738" s="865"/>
      <c r="AB738" s="2"/>
      <c r="AC738" s="2"/>
      <c r="AD738" s="2"/>
      <c r="AE738" s="2"/>
      <c r="AF738" s="2"/>
      <c r="AG738" s="2"/>
      <c r="AH738" s="2"/>
      <c r="AI738" s="2"/>
      <c r="AJ738" s="2"/>
      <c r="AK738" s="2"/>
      <c r="AL738" s="2"/>
      <c r="AM738" s="2"/>
      <c r="AN738" s="2"/>
      <c r="AO738" s="9"/>
      <c r="AP738" s="9"/>
      <c r="AQ738" s="9"/>
      <c r="AR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224"/>
      <c r="X739" s="224"/>
      <c r="Y739" s="224"/>
      <c r="Z739" s="868"/>
      <c r="AA739" s="865"/>
      <c r="AB739" s="2"/>
      <c r="AC739" s="2"/>
      <c r="AD739" s="2"/>
      <c r="AE739" s="2"/>
      <c r="AF739" s="2"/>
      <c r="AG739" s="2"/>
      <c r="AH739" s="2"/>
      <c r="AI739" s="2"/>
      <c r="AJ739" s="2"/>
      <c r="AK739" s="2"/>
      <c r="AL739" s="2"/>
      <c r="AM739" s="2"/>
      <c r="AN739" s="2"/>
      <c r="AO739" s="9"/>
      <c r="AP739" s="9"/>
      <c r="AQ739" s="9"/>
      <c r="AR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224"/>
      <c r="X740" s="224"/>
      <c r="Y740" s="224"/>
      <c r="Z740" s="868"/>
      <c r="AA740" s="865"/>
      <c r="AB740" s="2"/>
      <c r="AC740" s="2"/>
      <c r="AD740" s="2"/>
      <c r="AE740" s="2"/>
      <c r="AF740" s="2"/>
      <c r="AG740" s="2"/>
      <c r="AH740" s="2"/>
      <c r="AI740" s="2"/>
      <c r="AJ740" s="2"/>
      <c r="AK740" s="2"/>
      <c r="AL740" s="2"/>
      <c r="AM740" s="2"/>
      <c r="AN740" s="2"/>
      <c r="AO740" s="9"/>
      <c r="AP740" s="9"/>
      <c r="AQ740" s="9"/>
      <c r="AR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224"/>
      <c r="X741" s="224"/>
      <c r="Y741" s="224"/>
      <c r="Z741" s="868"/>
      <c r="AA741" s="865"/>
      <c r="AB741" s="2"/>
      <c r="AC741" s="2"/>
      <c r="AD741" s="2"/>
      <c r="AE741" s="2"/>
      <c r="AF741" s="2"/>
      <c r="AG741" s="2"/>
      <c r="AH741" s="2"/>
      <c r="AI741" s="2"/>
      <c r="AJ741" s="2"/>
      <c r="AK741" s="2"/>
      <c r="AL741" s="2"/>
      <c r="AM741" s="2"/>
      <c r="AN741" s="2"/>
      <c r="AO741" s="9"/>
      <c r="AP741" s="9"/>
      <c r="AQ741" s="9"/>
      <c r="AR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224"/>
      <c r="X742" s="224"/>
      <c r="Y742" s="224"/>
      <c r="Z742" s="868"/>
      <c r="AA742" s="865"/>
      <c r="AB742" s="2"/>
      <c r="AC742" s="2"/>
      <c r="AD742" s="2"/>
      <c r="AE742" s="2"/>
      <c r="AF742" s="2"/>
      <c r="AG742" s="2"/>
      <c r="AH742" s="2"/>
      <c r="AI742" s="2"/>
      <c r="AJ742" s="2"/>
      <c r="AK742" s="2"/>
      <c r="AL742" s="2"/>
      <c r="AM742" s="2"/>
      <c r="AN742" s="2"/>
      <c r="AO742" s="9"/>
      <c r="AP742" s="9"/>
      <c r="AQ742" s="9"/>
      <c r="AR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224"/>
      <c r="X743" s="224"/>
      <c r="Y743" s="224"/>
      <c r="Z743" s="868"/>
      <c r="AA743" s="865"/>
      <c r="AB743" s="2"/>
      <c r="AC743" s="2"/>
      <c r="AD743" s="2"/>
      <c r="AE743" s="2"/>
      <c r="AF743" s="2"/>
      <c r="AG743" s="2"/>
      <c r="AH743" s="2"/>
      <c r="AI743" s="2"/>
      <c r="AJ743" s="2"/>
      <c r="AK743" s="2"/>
      <c r="AL743" s="2"/>
      <c r="AM743" s="2"/>
      <c r="AN743" s="2"/>
      <c r="AO743" s="9"/>
      <c r="AP743" s="9"/>
      <c r="AQ743" s="9"/>
      <c r="AR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224"/>
      <c r="X744" s="224"/>
      <c r="Y744" s="224"/>
      <c r="Z744" s="868"/>
      <c r="AA744" s="865"/>
      <c r="AB744" s="2"/>
      <c r="AC744" s="2"/>
      <c r="AD744" s="2"/>
      <c r="AE744" s="2"/>
      <c r="AF744" s="2"/>
      <c r="AG744" s="2"/>
      <c r="AH744" s="2"/>
      <c r="AI744" s="2"/>
      <c r="AJ744" s="2"/>
      <c r="AK744" s="2"/>
      <c r="AL744" s="2"/>
      <c r="AM744" s="2"/>
      <c r="AN744" s="2"/>
      <c r="AO744" s="9"/>
      <c r="AP744" s="9"/>
      <c r="AQ744" s="9"/>
      <c r="AR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224"/>
      <c r="X745" s="224"/>
      <c r="Y745" s="224"/>
      <c r="Z745" s="868"/>
      <c r="AA745" s="865"/>
      <c r="AB745" s="2"/>
      <c r="AC745" s="2"/>
      <c r="AD745" s="2"/>
      <c r="AE745" s="2"/>
      <c r="AF745" s="2"/>
      <c r="AG745" s="2"/>
      <c r="AH745" s="2"/>
      <c r="AI745" s="2"/>
      <c r="AJ745" s="2"/>
      <c r="AK745" s="2"/>
      <c r="AL745" s="2"/>
      <c r="AM745" s="2"/>
      <c r="AN745" s="2"/>
      <c r="AO745" s="9"/>
      <c r="AP745" s="9"/>
      <c r="AQ745" s="9"/>
      <c r="AR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224"/>
      <c r="X746" s="224"/>
      <c r="Y746" s="224"/>
      <c r="Z746" s="868"/>
      <c r="AA746" s="865"/>
      <c r="AB746" s="2"/>
      <c r="AC746" s="2"/>
      <c r="AD746" s="2"/>
      <c r="AE746" s="2"/>
      <c r="AF746" s="2"/>
      <c r="AG746" s="2"/>
      <c r="AH746" s="2"/>
      <c r="AI746" s="2"/>
      <c r="AJ746" s="2"/>
      <c r="AK746" s="2"/>
      <c r="AL746" s="2"/>
      <c r="AM746" s="2"/>
      <c r="AN746" s="2"/>
      <c r="AO746" s="9"/>
      <c r="AP746" s="9"/>
      <c r="AQ746" s="9"/>
      <c r="AR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224"/>
      <c r="X747" s="224"/>
      <c r="Y747" s="224"/>
      <c r="Z747" s="868"/>
      <c r="AA747" s="865"/>
      <c r="AB747" s="2"/>
      <c r="AC747" s="2"/>
      <c r="AD747" s="2"/>
      <c r="AE747" s="2"/>
      <c r="AF747" s="2"/>
      <c r="AG747" s="2"/>
      <c r="AH747" s="2"/>
      <c r="AI747" s="2"/>
      <c r="AJ747" s="2"/>
      <c r="AK747" s="2"/>
      <c r="AL747" s="2"/>
      <c r="AM747" s="2"/>
      <c r="AN747" s="2"/>
      <c r="AO747" s="9"/>
      <c r="AP747" s="9"/>
      <c r="AQ747" s="9"/>
      <c r="AR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224"/>
      <c r="X748" s="224"/>
      <c r="Y748" s="224"/>
      <c r="Z748" s="868"/>
      <c r="AA748" s="865"/>
      <c r="AB748" s="2"/>
      <c r="AC748" s="2"/>
      <c r="AD748" s="2"/>
      <c r="AE748" s="2"/>
      <c r="AF748" s="2"/>
      <c r="AG748" s="2"/>
      <c r="AH748" s="2"/>
      <c r="AI748" s="2"/>
      <c r="AJ748" s="2"/>
      <c r="AK748" s="2"/>
      <c r="AL748" s="2"/>
      <c r="AM748" s="2"/>
      <c r="AN748" s="2"/>
      <c r="AO748" s="9"/>
      <c r="AP748" s="9"/>
      <c r="AQ748" s="9"/>
      <c r="AR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224"/>
      <c r="X749" s="224"/>
      <c r="Y749" s="224"/>
      <c r="Z749" s="868"/>
      <c r="AA749" s="865"/>
      <c r="AB749" s="2"/>
      <c r="AC749" s="2"/>
      <c r="AD749" s="2"/>
      <c r="AE749" s="2"/>
      <c r="AF749" s="2"/>
      <c r="AG749" s="2"/>
      <c r="AH749" s="2"/>
      <c r="AI749" s="2"/>
      <c r="AJ749" s="2"/>
      <c r="AK749" s="2"/>
      <c r="AL749" s="2"/>
      <c r="AM749" s="2"/>
      <c r="AN749" s="2"/>
      <c r="AO749" s="9"/>
      <c r="AP749" s="9"/>
      <c r="AQ749" s="9"/>
      <c r="AR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224"/>
      <c r="X750" s="224"/>
      <c r="Y750" s="224"/>
      <c r="Z750" s="868"/>
      <c r="AA750" s="865"/>
      <c r="AB750" s="2"/>
      <c r="AC750" s="2"/>
      <c r="AD750" s="2"/>
      <c r="AE750" s="2"/>
      <c r="AF750" s="2"/>
      <c r="AG750" s="2"/>
      <c r="AH750" s="2"/>
      <c r="AI750" s="2"/>
      <c r="AJ750" s="2"/>
      <c r="AK750" s="2"/>
      <c r="AL750" s="2"/>
      <c r="AM750" s="2"/>
      <c r="AN750" s="2"/>
      <c r="AO750" s="9"/>
      <c r="AP750" s="9"/>
      <c r="AQ750" s="9"/>
      <c r="AR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224"/>
      <c r="X751" s="224"/>
      <c r="Y751" s="224"/>
      <c r="Z751" s="868"/>
      <c r="AA751" s="865"/>
      <c r="AB751" s="2"/>
      <c r="AC751" s="2"/>
      <c r="AD751" s="2"/>
      <c r="AE751" s="2"/>
      <c r="AF751" s="2"/>
      <c r="AG751" s="2"/>
      <c r="AH751" s="2"/>
      <c r="AI751" s="2"/>
      <c r="AJ751" s="2"/>
      <c r="AK751" s="2"/>
      <c r="AL751" s="2"/>
      <c r="AM751" s="2"/>
      <c r="AN751" s="2"/>
      <c r="AO751" s="9"/>
      <c r="AP751" s="9"/>
      <c r="AQ751" s="9"/>
      <c r="AR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224"/>
      <c r="X752" s="224"/>
      <c r="Y752" s="224"/>
      <c r="Z752" s="868"/>
      <c r="AA752" s="865"/>
      <c r="AB752" s="2"/>
      <c r="AC752" s="2"/>
      <c r="AD752" s="2"/>
      <c r="AE752" s="2"/>
      <c r="AF752" s="2"/>
      <c r="AG752" s="2"/>
      <c r="AH752" s="2"/>
      <c r="AI752" s="2"/>
      <c r="AJ752" s="2"/>
      <c r="AK752" s="2"/>
      <c r="AL752" s="2"/>
      <c r="AM752" s="2"/>
      <c r="AN752" s="2"/>
      <c r="AO752" s="9"/>
      <c r="AP752" s="9"/>
      <c r="AQ752" s="9"/>
      <c r="AR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224"/>
      <c r="X753" s="224"/>
      <c r="Y753" s="224"/>
      <c r="Z753" s="868"/>
      <c r="AA753" s="865"/>
      <c r="AB753" s="2"/>
      <c r="AC753" s="2"/>
      <c r="AD753" s="2"/>
      <c r="AE753" s="2"/>
      <c r="AF753" s="2"/>
      <c r="AG753" s="2"/>
      <c r="AH753" s="2"/>
      <c r="AI753" s="2"/>
      <c r="AJ753" s="2"/>
      <c r="AK753" s="2"/>
      <c r="AL753" s="2"/>
      <c r="AM753" s="2"/>
      <c r="AN753" s="2"/>
      <c r="AO753" s="9"/>
      <c r="AP753" s="9"/>
      <c r="AQ753" s="9"/>
      <c r="AR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224"/>
      <c r="X754" s="224"/>
      <c r="Y754" s="224"/>
      <c r="Z754" s="868"/>
      <c r="AA754" s="865"/>
      <c r="AB754" s="2"/>
      <c r="AC754" s="2"/>
      <c r="AD754" s="2"/>
      <c r="AE754" s="2"/>
      <c r="AF754" s="2"/>
      <c r="AG754" s="2"/>
      <c r="AH754" s="2"/>
      <c r="AI754" s="2"/>
      <c r="AJ754" s="2"/>
      <c r="AK754" s="2"/>
      <c r="AL754" s="2"/>
      <c r="AM754" s="2"/>
      <c r="AN754" s="2"/>
      <c r="AO754" s="9"/>
      <c r="AP754" s="9"/>
      <c r="AQ754" s="9"/>
      <c r="AR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224"/>
      <c r="X755" s="224"/>
      <c r="Y755" s="224"/>
      <c r="Z755" s="868"/>
      <c r="AA755" s="865"/>
      <c r="AB755" s="2"/>
      <c r="AC755" s="2"/>
      <c r="AD755" s="2"/>
      <c r="AE755" s="2"/>
      <c r="AF755" s="2"/>
      <c r="AG755" s="2"/>
      <c r="AH755" s="2"/>
      <c r="AI755" s="2"/>
      <c r="AJ755" s="2"/>
      <c r="AK755" s="2"/>
      <c r="AL755" s="2"/>
      <c r="AM755" s="2"/>
      <c r="AN755" s="2"/>
      <c r="AO755" s="9"/>
      <c r="AP755" s="9"/>
      <c r="AQ755" s="9"/>
      <c r="AR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224"/>
      <c r="X756" s="224"/>
      <c r="Y756" s="224"/>
      <c r="Z756" s="868"/>
      <c r="AA756" s="865"/>
      <c r="AB756" s="2"/>
      <c r="AC756" s="2"/>
      <c r="AD756" s="2"/>
      <c r="AE756" s="2"/>
      <c r="AF756" s="2"/>
      <c r="AG756" s="2"/>
      <c r="AH756" s="2"/>
      <c r="AI756" s="2"/>
      <c r="AJ756" s="2"/>
      <c r="AK756" s="2"/>
      <c r="AL756" s="2"/>
      <c r="AM756" s="2"/>
      <c r="AN756" s="2"/>
      <c r="AO756" s="9"/>
      <c r="AP756" s="9"/>
      <c r="AQ756" s="9"/>
      <c r="AR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224"/>
      <c r="X757" s="224"/>
      <c r="Y757" s="224"/>
      <c r="Z757" s="868"/>
      <c r="AA757" s="865"/>
      <c r="AB757" s="2"/>
      <c r="AC757" s="2"/>
      <c r="AD757" s="2"/>
      <c r="AE757" s="2"/>
      <c r="AF757" s="2"/>
      <c r="AG757" s="2"/>
      <c r="AH757" s="2"/>
      <c r="AI757" s="2"/>
      <c r="AJ757" s="2"/>
      <c r="AK757" s="2"/>
      <c r="AL757" s="2"/>
      <c r="AM757" s="2"/>
      <c r="AN757" s="2"/>
      <c r="AO757" s="9"/>
      <c r="AP757" s="9"/>
      <c r="AQ757" s="9"/>
      <c r="AR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224"/>
      <c r="X758" s="224"/>
      <c r="Y758" s="224"/>
      <c r="Z758" s="868"/>
      <c r="AA758" s="865"/>
      <c r="AB758" s="2"/>
      <c r="AC758" s="2"/>
      <c r="AD758" s="2"/>
      <c r="AE758" s="2"/>
      <c r="AF758" s="2"/>
      <c r="AG758" s="2"/>
      <c r="AH758" s="2"/>
      <c r="AI758" s="2"/>
      <c r="AJ758" s="2"/>
      <c r="AK758" s="2"/>
      <c r="AL758" s="2"/>
      <c r="AM758" s="2"/>
      <c r="AN758" s="2"/>
      <c r="AO758" s="9"/>
      <c r="AP758" s="9"/>
      <c r="AQ758" s="9"/>
      <c r="AR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224"/>
      <c r="X759" s="224"/>
      <c r="Y759" s="224"/>
      <c r="Z759" s="868"/>
      <c r="AA759" s="865"/>
      <c r="AB759" s="2"/>
      <c r="AC759" s="2"/>
      <c r="AD759" s="2"/>
      <c r="AE759" s="2"/>
      <c r="AF759" s="2"/>
      <c r="AG759" s="2"/>
      <c r="AH759" s="2"/>
      <c r="AI759" s="2"/>
      <c r="AJ759" s="2"/>
      <c r="AK759" s="2"/>
      <c r="AL759" s="2"/>
      <c r="AM759" s="2"/>
      <c r="AN759" s="2"/>
      <c r="AO759" s="9"/>
      <c r="AP759" s="9"/>
      <c r="AQ759" s="9"/>
      <c r="AR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224"/>
      <c r="X760" s="224"/>
      <c r="Y760" s="224"/>
      <c r="Z760" s="868"/>
      <c r="AA760" s="865"/>
      <c r="AB760" s="2"/>
      <c r="AC760" s="2"/>
      <c r="AD760" s="2"/>
      <c r="AE760" s="2"/>
      <c r="AF760" s="2"/>
      <c r="AG760" s="2"/>
      <c r="AH760" s="2"/>
      <c r="AI760" s="2"/>
      <c r="AJ760" s="2"/>
      <c r="AK760" s="2"/>
      <c r="AL760" s="2"/>
      <c r="AM760" s="2"/>
      <c r="AN760" s="2"/>
      <c r="AO760" s="9"/>
      <c r="AP760" s="9"/>
      <c r="AQ760" s="9"/>
      <c r="AR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224"/>
      <c r="X761" s="224"/>
      <c r="Y761" s="224"/>
      <c r="Z761" s="868"/>
      <c r="AA761" s="865"/>
      <c r="AB761" s="2"/>
      <c r="AC761" s="2"/>
      <c r="AD761" s="2"/>
      <c r="AE761" s="2"/>
      <c r="AF761" s="2"/>
      <c r="AG761" s="2"/>
      <c r="AH761" s="2"/>
      <c r="AI761" s="2"/>
      <c r="AJ761" s="2"/>
      <c r="AK761" s="2"/>
      <c r="AL761" s="2"/>
      <c r="AM761" s="2"/>
      <c r="AN761" s="2"/>
      <c r="AO761" s="9"/>
      <c r="AP761" s="9"/>
      <c r="AQ761" s="9"/>
      <c r="AR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224"/>
      <c r="X762" s="224"/>
      <c r="Y762" s="224"/>
      <c r="Z762" s="868"/>
      <c r="AA762" s="865"/>
      <c r="AB762" s="2"/>
      <c r="AC762" s="2"/>
      <c r="AD762" s="2"/>
      <c r="AE762" s="2"/>
      <c r="AF762" s="2"/>
      <c r="AG762" s="2"/>
      <c r="AH762" s="2"/>
      <c r="AI762" s="2"/>
      <c r="AJ762" s="2"/>
      <c r="AK762" s="2"/>
      <c r="AL762" s="2"/>
      <c r="AM762" s="2"/>
      <c r="AN762" s="2"/>
      <c r="AO762" s="9"/>
      <c r="AP762" s="9"/>
      <c r="AQ762" s="9"/>
      <c r="AR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224"/>
      <c r="X763" s="224"/>
      <c r="Y763" s="224"/>
      <c r="Z763" s="868"/>
      <c r="AA763" s="865"/>
      <c r="AB763" s="2"/>
      <c r="AC763" s="2"/>
      <c r="AD763" s="2"/>
      <c r="AE763" s="2"/>
      <c r="AF763" s="2"/>
      <c r="AG763" s="2"/>
      <c r="AH763" s="2"/>
      <c r="AI763" s="2"/>
      <c r="AJ763" s="2"/>
      <c r="AK763" s="2"/>
      <c r="AL763" s="2"/>
      <c r="AM763" s="2"/>
      <c r="AN763" s="2"/>
      <c r="AO763" s="9"/>
      <c r="AP763" s="9"/>
      <c r="AQ763" s="9"/>
      <c r="AR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224"/>
      <c r="X764" s="224"/>
      <c r="Y764" s="224"/>
      <c r="Z764" s="868"/>
      <c r="AA764" s="865"/>
      <c r="AB764" s="2"/>
      <c r="AC764" s="2"/>
      <c r="AD764" s="2"/>
      <c r="AE764" s="2"/>
      <c r="AF764" s="2"/>
      <c r="AG764" s="2"/>
      <c r="AH764" s="2"/>
      <c r="AI764" s="2"/>
      <c r="AJ764" s="2"/>
      <c r="AK764" s="2"/>
      <c r="AL764" s="2"/>
      <c r="AM764" s="2"/>
      <c r="AN764" s="2"/>
      <c r="AO764" s="9"/>
      <c r="AP764" s="9"/>
      <c r="AQ764" s="9"/>
      <c r="AR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224"/>
      <c r="X765" s="224"/>
      <c r="Y765" s="224"/>
      <c r="Z765" s="868"/>
      <c r="AA765" s="865"/>
      <c r="AB765" s="2"/>
      <c r="AC765" s="2"/>
      <c r="AD765" s="2"/>
      <c r="AE765" s="2"/>
      <c r="AF765" s="2"/>
      <c r="AG765" s="2"/>
      <c r="AH765" s="2"/>
      <c r="AI765" s="2"/>
      <c r="AJ765" s="2"/>
      <c r="AK765" s="2"/>
      <c r="AL765" s="2"/>
      <c r="AM765" s="2"/>
      <c r="AN765" s="2"/>
      <c r="AO765" s="9"/>
      <c r="AP765" s="9"/>
      <c r="AQ765" s="9"/>
      <c r="AR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224"/>
      <c r="X766" s="224"/>
      <c r="Y766" s="224"/>
      <c r="Z766" s="868"/>
      <c r="AA766" s="865"/>
      <c r="AB766" s="2"/>
      <c r="AC766" s="2"/>
      <c r="AD766" s="2"/>
      <c r="AE766" s="2"/>
      <c r="AF766" s="2"/>
      <c r="AG766" s="2"/>
      <c r="AH766" s="2"/>
      <c r="AI766" s="2"/>
      <c r="AJ766" s="2"/>
      <c r="AK766" s="2"/>
      <c r="AL766" s="2"/>
      <c r="AM766" s="2"/>
      <c r="AN766" s="2"/>
      <c r="AO766" s="9"/>
      <c r="AP766" s="9"/>
      <c r="AQ766" s="9"/>
      <c r="AR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224"/>
      <c r="X767" s="224"/>
      <c r="Y767" s="224"/>
      <c r="Z767" s="868"/>
      <c r="AA767" s="865"/>
      <c r="AB767" s="2"/>
      <c r="AC767" s="2"/>
      <c r="AD767" s="2"/>
      <c r="AE767" s="2"/>
      <c r="AF767" s="2"/>
      <c r="AG767" s="2"/>
      <c r="AH767" s="2"/>
      <c r="AI767" s="2"/>
      <c r="AJ767" s="2"/>
      <c r="AK767" s="2"/>
      <c r="AL767" s="2"/>
      <c r="AM767" s="2"/>
      <c r="AN767" s="2"/>
      <c r="AO767" s="9"/>
      <c r="AP767" s="9"/>
      <c r="AQ767" s="9"/>
      <c r="AR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224"/>
      <c r="X768" s="224"/>
      <c r="Y768" s="224"/>
      <c r="Z768" s="868"/>
      <c r="AA768" s="865"/>
      <c r="AB768" s="2"/>
      <c r="AC768" s="2"/>
      <c r="AD768" s="2"/>
      <c r="AE768" s="2"/>
      <c r="AF768" s="2"/>
      <c r="AG768" s="2"/>
      <c r="AH768" s="2"/>
      <c r="AI768" s="2"/>
      <c r="AJ768" s="2"/>
      <c r="AK768" s="2"/>
      <c r="AL768" s="2"/>
      <c r="AM768" s="2"/>
      <c r="AN768" s="2"/>
      <c r="AO768" s="9"/>
      <c r="AP768" s="9"/>
      <c r="AQ768" s="9"/>
      <c r="AR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224"/>
      <c r="X769" s="224"/>
      <c r="Y769" s="224"/>
      <c r="Z769" s="868"/>
      <c r="AA769" s="865"/>
      <c r="AB769" s="2"/>
      <c r="AC769" s="2"/>
      <c r="AD769" s="2"/>
      <c r="AE769" s="2"/>
      <c r="AF769" s="2"/>
      <c r="AG769" s="2"/>
      <c r="AH769" s="2"/>
      <c r="AI769" s="2"/>
      <c r="AJ769" s="2"/>
      <c r="AK769" s="2"/>
      <c r="AL769" s="2"/>
      <c r="AM769" s="2"/>
      <c r="AN769" s="2"/>
      <c r="AO769" s="9"/>
      <c r="AP769" s="9"/>
      <c r="AQ769" s="9"/>
      <c r="AR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224"/>
      <c r="X770" s="224"/>
      <c r="Y770" s="224"/>
      <c r="Z770" s="868"/>
      <c r="AA770" s="865"/>
      <c r="AB770" s="2"/>
      <c r="AC770" s="2"/>
      <c r="AD770" s="2"/>
      <c r="AE770" s="2"/>
      <c r="AF770" s="2"/>
      <c r="AG770" s="2"/>
      <c r="AH770" s="2"/>
      <c r="AI770" s="2"/>
      <c r="AJ770" s="2"/>
      <c r="AK770" s="2"/>
      <c r="AL770" s="2"/>
      <c r="AM770" s="2"/>
      <c r="AN770" s="2"/>
      <c r="AO770" s="9"/>
      <c r="AP770" s="9"/>
      <c r="AQ770" s="9"/>
      <c r="AR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224"/>
      <c r="X771" s="224"/>
      <c r="Y771" s="224"/>
      <c r="Z771" s="868"/>
      <c r="AA771" s="865"/>
      <c r="AB771" s="2"/>
      <c r="AC771" s="2"/>
      <c r="AD771" s="2"/>
      <c r="AE771" s="2"/>
      <c r="AF771" s="2"/>
      <c r="AG771" s="2"/>
      <c r="AH771" s="2"/>
      <c r="AI771" s="2"/>
      <c r="AJ771" s="2"/>
      <c r="AK771" s="2"/>
      <c r="AL771" s="2"/>
      <c r="AM771" s="2"/>
      <c r="AN771" s="2"/>
      <c r="AO771" s="9"/>
      <c r="AP771" s="9"/>
      <c r="AQ771" s="9"/>
      <c r="AR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224"/>
      <c r="X772" s="224"/>
      <c r="Y772" s="224"/>
      <c r="Z772" s="868"/>
      <c r="AA772" s="865"/>
      <c r="AB772" s="2"/>
      <c r="AC772" s="2"/>
      <c r="AD772" s="2"/>
      <c r="AE772" s="2"/>
      <c r="AF772" s="2"/>
      <c r="AG772" s="2"/>
      <c r="AH772" s="2"/>
      <c r="AI772" s="2"/>
      <c r="AJ772" s="2"/>
      <c r="AK772" s="2"/>
      <c r="AL772" s="2"/>
      <c r="AM772" s="2"/>
      <c r="AN772" s="2"/>
      <c r="AO772" s="9"/>
      <c r="AP772" s="9"/>
      <c r="AQ772" s="9"/>
      <c r="AR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224"/>
      <c r="X773" s="224"/>
      <c r="Y773" s="224"/>
      <c r="Z773" s="868"/>
      <c r="AA773" s="865"/>
      <c r="AB773" s="2"/>
      <c r="AC773" s="2"/>
      <c r="AD773" s="2"/>
      <c r="AE773" s="2"/>
      <c r="AF773" s="2"/>
      <c r="AG773" s="2"/>
      <c r="AH773" s="2"/>
      <c r="AI773" s="2"/>
      <c r="AJ773" s="2"/>
      <c r="AK773" s="2"/>
      <c r="AL773" s="2"/>
      <c r="AM773" s="2"/>
      <c r="AN773" s="2"/>
      <c r="AO773" s="9"/>
      <c r="AP773" s="9"/>
      <c r="AQ773" s="9"/>
      <c r="AR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224"/>
      <c r="X774" s="224"/>
      <c r="Y774" s="224"/>
      <c r="Z774" s="868"/>
      <c r="AA774" s="865"/>
      <c r="AB774" s="2"/>
      <c r="AC774" s="2"/>
      <c r="AD774" s="2"/>
      <c r="AE774" s="2"/>
      <c r="AF774" s="2"/>
      <c r="AG774" s="2"/>
      <c r="AH774" s="2"/>
      <c r="AI774" s="2"/>
      <c r="AJ774" s="2"/>
      <c r="AK774" s="2"/>
      <c r="AL774" s="2"/>
      <c r="AM774" s="2"/>
      <c r="AN774" s="2"/>
      <c r="AO774" s="9"/>
      <c r="AP774" s="9"/>
      <c r="AQ774" s="9"/>
      <c r="AR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224"/>
      <c r="X775" s="224"/>
      <c r="Y775" s="224"/>
      <c r="Z775" s="868"/>
      <c r="AA775" s="865"/>
      <c r="AB775" s="2"/>
      <c r="AC775" s="2"/>
      <c r="AD775" s="2"/>
      <c r="AE775" s="2"/>
      <c r="AF775" s="2"/>
      <c r="AG775" s="2"/>
      <c r="AH775" s="2"/>
      <c r="AI775" s="2"/>
      <c r="AJ775" s="2"/>
      <c r="AK775" s="2"/>
      <c r="AL775" s="2"/>
      <c r="AM775" s="2"/>
      <c r="AN775" s="2"/>
      <c r="AO775" s="9"/>
      <c r="AP775" s="9"/>
      <c r="AQ775" s="9"/>
      <c r="AR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224"/>
      <c r="X776" s="224"/>
      <c r="Y776" s="224"/>
      <c r="Z776" s="868"/>
      <c r="AA776" s="865"/>
      <c r="AB776" s="2"/>
      <c r="AC776" s="2"/>
      <c r="AD776" s="2"/>
      <c r="AE776" s="2"/>
      <c r="AF776" s="2"/>
      <c r="AG776" s="2"/>
      <c r="AH776" s="2"/>
      <c r="AI776" s="2"/>
      <c r="AJ776" s="2"/>
      <c r="AK776" s="2"/>
      <c r="AL776" s="2"/>
      <c r="AM776" s="2"/>
      <c r="AN776" s="2"/>
      <c r="AO776" s="9"/>
      <c r="AP776" s="9"/>
      <c r="AQ776" s="9"/>
      <c r="AR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224"/>
      <c r="X777" s="224"/>
      <c r="Y777" s="224"/>
      <c r="Z777" s="868"/>
      <c r="AA777" s="865"/>
      <c r="AB777" s="2"/>
      <c r="AC777" s="2"/>
      <c r="AD777" s="2"/>
      <c r="AE777" s="2"/>
      <c r="AF777" s="2"/>
      <c r="AG777" s="2"/>
      <c r="AH777" s="2"/>
      <c r="AI777" s="2"/>
      <c r="AJ777" s="2"/>
      <c r="AK777" s="2"/>
      <c r="AL777" s="2"/>
      <c r="AM777" s="2"/>
      <c r="AN777" s="2"/>
      <c r="AO777" s="9"/>
      <c r="AP777" s="9"/>
      <c r="AQ777" s="9"/>
      <c r="AR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224"/>
      <c r="X778" s="224"/>
      <c r="Y778" s="224"/>
      <c r="Z778" s="868"/>
      <c r="AA778" s="865"/>
      <c r="AB778" s="2"/>
      <c r="AC778" s="2"/>
      <c r="AD778" s="2"/>
      <c r="AE778" s="2"/>
      <c r="AF778" s="2"/>
      <c r="AG778" s="2"/>
      <c r="AH778" s="2"/>
      <c r="AI778" s="2"/>
      <c r="AJ778" s="2"/>
      <c r="AK778" s="2"/>
      <c r="AL778" s="2"/>
      <c r="AM778" s="2"/>
      <c r="AN778" s="2"/>
      <c r="AO778" s="9"/>
      <c r="AP778" s="9"/>
      <c r="AQ778" s="9"/>
      <c r="AR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224"/>
      <c r="X779" s="224"/>
      <c r="Y779" s="224"/>
      <c r="Z779" s="868"/>
      <c r="AA779" s="865"/>
      <c r="AB779" s="2"/>
      <c r="AC779" s="2"/>
      <c r="AD779" s="2"/>
      <c r="AE779" s="2"/>
      <c r="AF779" s="2"/>
      <c r="AG779" s="2"/>
      <c r="AH779" s="2"/>
      <c r="AI779" s="2"/>
      <c r="AJ779" s="2"/>
      <c r="AK779" s="2"/>
      <c r="AL779" s="2"/>
      <c r="AM779" s="2"/>
      <c r="AN779" s="2"/>
      <c r="AO779" s="9"/>
      <c r="AP779" s="9"/>
      <c r="AQ779" s="9"/>
      <c r="AR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224"/>
      <c r="X780" s="224"/>
      <c r="Y780" s="224"/>
      <c r="Z780" s="868"/>
      <c r="AA780" s="865"/>
      <c r="AB780" s="2"/>
      <c r="AC780" s="2"/>
      <c r="AD780" s="2"/>
      <c r="AE780" s="2"/>
      <c r="AF780" s="2"/>
      <c r="AG780" s="2"/>
      <c r="AH780" s="2"/>
      <c r="AI780" s="2"/>
      <c r="AJ780" s="2"/>
      <c r="AK780" s="2"/>
      <c r="AL780" s="2"/>
      <c r="AM780" s="2"/>
      <c r="AN780" s="2"/>
      <c r="AO780" s="9"/>
      <c r="AP780" s="9"/>
      <c r="AQ780" s="9"/>
      <c r="AR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224"/>
      <c r="X781" s="224"/>
      <c r="Y781" s="224"/>
      <c r="Z781" s="868"/>
      <c r="AA781" s="865"/>
      <c r="AB781" s="2"/>
      <c r="AC781" s="2"/>
      <c r="AD781" s="2"/>
      <c r="AE781" s="2"/>
      <c r="AF781" s="2"/>
      <c r="AG781" s="2"/>
      <c r="AH781" s="2"/>
      <c r="AI781" s="2"/>
      <c r="AJ781" s="2"/>
      <c r="AK781" s="2"/>
      <c r="AL781" s="2"/>
      <c r="AM781" s="2"/>
      <c r="AN781" s="2"/>
      <c r="AO781" s="9"/>
      <c r="AP781" s="9"/>
      <c r="AQ781" s="9"/>
      <c r="AR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224"/>
      <c r="X782" s="224"/>
      <c r="Y782" s="224"/>
      <c r="Z782" s="868"/>
      <c r="AA782" s="865"/>
      <c r="AB782" s="2"/>
      <c r="AC782" s="2"/>
      <c r="AD782" s="2"/>
      <c r="AE782" s="2"/>
      <c r="AF782" s="2"/>
      <c r="AG782" s="2"/>
      <c r="AH782" s="2"/>
      <c r="AI782" s="2"/>
      <c r="AJ782" s="2"/>
      <c r="AK782" s="2"/>
      <c r="AL782" s="2"/>
      <c r="AM782" s="2"/>
      <c r="AN782" s="2"/>
      <c r="AO782" s="9"/>
      <c r="AP782" s="9"/>
      <c r="AQ782" s="9"/>
      <c r="AR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224"/>
      <c r="X783" s="224"/>
      <c r="Y783" s="224"/>
      <c r="Z783" s="868"/>
      <c r="AA783" s="865"/>
      <c r="AB783" s="2"/>
      <c r="AC783" s="2"/>
      <c r="AD783" s="2"/>
      <c r="AE783" s="2"/>
      <c r="AF783" s="2"/>
      <c r="AG783" s="2"/>
      <c r="AH783" s="2"/>
      <c r="AI783" s="2"/>
      <c r="AJ783" s="2"/>
      <c r="AK783" s="2"/>
      <c r="AL783" s="2"/>
      <c r="AM783" s="2"/>
      <c r="AN783" s="2"/>
      <c r="AO783" s="9"/>
      <c r="AP783" s="9"/>
      <c r="AQ783" s="9"/>
      <c r="AR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224"/>
      <c r="X784" s="224"/>
      <c r="Y784" s="224"/>
      <c r="Z784" s="868"/>
      <c r="AA784" s="865"/>
      <c r="AB784" s="2"/>
      <c r="AC784" s="2"/>
      <c r="AD784" s="2"/>
      <c r="AE784" s="2"/>
      <c r="AF784" s="2"/>
      <c r="AG784" s="2"/>
      <c r="AH784" s="2"/>
      <c r="AI784" s="2"/>
      <c r="AJ784" s="2"/>
      <c r="AK784" s="2"/>
      <c r="AL784" s="2"/>
      <c r="AM784" s="2"/>
      <c r="AN784" s="2"/>
      <c r="AO784" s="9"/>
      <c r="AP784" s="9"/>
      <c r="AQ784" s="9"/>
      <c r="AR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224"/>
      <c r="X785" s="224"/>
      <c r="Y785" s="224"/>
      <c r="Z785" s="868"/>
      <c r="AA785" s="865"/>
      <c r="AB785" s="2"/>
      <c r="AC785" s="2"/>
      <c r="AD785" s="2"/>
      <c r="AE785" s="2"/>
      <c r="AF785" s="2"/>
      <c r="AG785" s="2"/>
      <c r="AH785" s="2"/>
      <c r="AI785" s="2"/>
      <c r="AJ785" s="2"/>
      <c r="AK785" s="2"/>
      <c r="AL785" s="2"/>
      <c r="AM785" s="2"/>
      <c r="AN785" s="2"/>
      <c r="AO785" s="9"/>
      <c r="AP785" s="9"/>
      <c r="AQ785" s="9"/>
      <c r="AR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224"/>
      <c r="X786" s="224"/>
      <c r="Y786" s="224"/>
      <c r="Z786" s="868"/>
      <c r="AA786" s="865"/>
      <c r="AB786" s="2"/>
      <c r="AC786" s="2"/>
      <c r="AD786" s="2"/>
      <c r="AE786" s="2"/>
      <c r="AF786" s="2"/>
      <c r="AG786" s="2"/>
      <c r="AH786" s="2"/>
      <c r="AI786" s="2"/>
      <c r="AJ786" s="2"/>
      <c r="AK786" s="2"/>
      <c r="AL786" s="2"/>
      <c r="AM786" s="2"/>
      <c r="AN786" s="2"/>
      <c r="AO786" s="9"/>
      <c r="AP786" s="9"/>
      <c r="AQ786" s="9"/>
      <c r="AR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224"/>
      <c r="X787" s="224"/>
      <c r="Y787" s="224"/>
      <c r="Z787" s="868"/>
      <c r="AA787" s="865"/>
      <c r="AB787" s="2"/>
      <c r="AC787" s="2"/>
      <c r="AD787" s="2"/>
      <c r="AE787" s="2"/>
      <c r="AF787" s="2"/>
      <c r="AG787" s="2"/>
      <c r="AH787" s="2"/>
      <c r="AI787" s="2"/>
      <c r="AJ787" s="2"/>
      <c r="AK787" s="2"/>
      <c r="AL787" s="2"/>
      <c r="AM787" s="2"/>
      <c r="AN787" s="2"/>
      <c r="AO787" s="9"/>
      <c r="AP787" s="9"/>
      <c r="AQ787" s="9"/>
      <c r="AR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224"/>
      <c r="X788" s="224"/>
      <c r="Y788" s="224"/>
      <c r="Z788" s="868"/>
      <c r="AA788" s="865"/>
      <c r="AB788" s="2"/>
      <c r="AC788" s="2"/>
      <c r="AD788" s="2"/>
      <c r="AE788" s="2"/>
      <c r="AF788" s="2"/>
      <c r="AG788" s="2"/>
      <c r="AH788" s="2"/>
      <c r="AI788" s="2"/>
      <c r="AJ788" s="2"/>
      <c r="AK788" s="2"/>
      <c r="AL788" s="2"/>
      <c r="AM788" s="2"/>
      <c r="AN788" s="2"/>
      <c r="AO788" s="9"/>
      <c r="AP788" s="9"/>
      <c r="AQ788" s="9"/>
      <c r="AR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224"/>
      <c r="X789" s="224"/>
      <c r="Y789" s="224"/>
      <c r="Z789" s="868"/>
      <c r="AA789" s="865"/>
      <c r="AB789" s="2"/>
      <c r="AC789" s="2"/>
      <c r="AD789" s="2"/>
      <c r="AE789" s="2"/>
      <c r="AF789" s="2"/>
      <c r="AG789" s="2"/>
      <c r="AH789" s="2"/>
      <c r="AI789" s="2"/>
      <c r="AJ789" s="2"/>
      <c r="AK789" s="2"/>
      <c r="AL789" s="2"/>
      <c r="AM789" s="2"/>
      <c r="AN789" s="2"/>
      <c r="AO789" s="9"/>
      <c r="AP789" s="9"/>
      <c r="AQ789" s="9"/>
      <c r="AR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224"/>
      <c r="X790" s="224"/>
      <c r="Y790" s="224"/>
      <c r="Z790" s="868"/>
      <c r="AA790" s="865"/>
      <c r="AB790" s="2"/>
      <c r="AC790" s="2"/>
      <c r="AD790" s="2"/>
      <c r="AE790" s="2"/>
      <c r="AF790" s="2"/>
      <c r="AG790" s="2"/>
      <c r="AH790" s="2"/>
      <c r="AI790" s="2"/>
      <c r="AJ790" s="2"/>
      <c r="AK790" s="2"/>
      <c r="AL790" s="2"/>
      <c r="AM790" s="2"/>
      <c r="AN790" s="2"/>
      <c r="AO790" s="9"/>
      <c r="AP790" s="9"/>
      <c r="AQ790" s="9"/>
      <c r="AR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224"/>
      <c r="X791" s="224"/>
      <c r="Y791" s="224"/>
      <c r="Z791" s="868"/>
      <c r="AA791" s="865"/>
      <c r="AB791" s="2"/>
      <c r="AC791" s="2"/>
      <c r="AD791" s="2"/>
      <c r="AE791" s="2"/>
      <c r="AF791" s="2"/>
      <c r="AG791" s="2"/>
      <c r="AH791" s="2"/>
      <c r="AI791" s="2"/>
      <c r="AJ791" s="2"/>
      <c r="AK791" s="2"/>
      <c r="AL791" s="2"/>
      <c r="AM791" s="2"/>
      <c r="AN791" s="2"/>
      <c r="AO791" s="9"/>
      <c r="AP791" s="9"/>
      <c r="AQ791" s="9"/>
      <c r="AR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224"/>
      <c r="X792" s="224"/>
      <c r="Y792" s="224"/>
      <c r="Z792" s="868"/>
      <c r="AA792" s="865"/>
      <c r="AB792" s="2"/>
      <c r="AC792" s="2"/>
      <c r="AD792" s="2"/>
      <c r="AE792" s="2"/>
      <c r="AF792" s="2"/>
      <c r="AG792" s="2"/>
      <c r="AH792" s="2"/>
      <c r="AI792" s="2"/>
      <c r="AJ792" s="2"/>
      <c r="AK792" s="2"/>
      <c r="AL792" s="2"/>
      <c r="AM792" s="2"/>
      <c r="AN792" s="2"/>
      <c r="AO792" s="9"/>
      <c r="AP792" s="9"/>
      <c r="AQ792" s="9"/>
      <c r="AR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224"/>
      <c r="X793" s="224"/>
      <c r="Y793" s="224"/>
      <c r="Z793" s="868"/>
      <c r="AA793" s="865"/>
      <c r="AB793" s="2"/>
      <c r="AC793" s="2"/>
      <c r="AD793" s="2"/>
      <c r="AE793" s="2"/>
      <c r="AF793" s="2"/>
      <c r="AG793" s="2"/>
      <c r="AH793" s="2"/>
      <c r="AI793" s="2"/>
      <c r="AJ793" s="2"/>
      <c r="AK793" s="2"/>
      <c r="AL793" s="2"/>
      <c r="AM793" s="2"/>
      <c r="AN793" s="2"/>
      <c r="AO793" s="9"/>
      <c r="AP793" s="9"/>
      <c r="AQ793" s="9"/>
      <c r="AR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224"/>
      <c r="X794" s="224"/>
      <c r="Y794" s="224"/>
      <c r="Z794" s="868"/>
      <c r="AA794" s="865"/>
      <c r="AB794" s="2"/>
      <c r="AC794" s="2"/>
      <c r="AD794" s="2"/>
      <c r="AE794" s="2"/>
      <c r="AF794" s="2"/>
      <c r="AG794" s="2"/>
      <c r="AH794" s="2"/>
      <c r="AI794" s="2"/>
      <c r="AJ794" s="2"/>
      <c r="AK794" s="2"/>
      <c r="AL794" s="2"/>
      <c r="AM794" s="2"/>
      <c r="AN794" s="2"/>
      <c r="AO794" s="9"/>
      <c r="AP794" s="9"/>
      <c r="AQ794" s="9"/>
      <c r="AR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224"/>
      <c r="X795" s="224"/>
      <c r="Y795" s="224"/>
      <c r="Z795" s="868"/>
      <c r="AA795" s="865"/>
      <c r="AB795" s="2"/>
      <c r="AC795" s="2"/>
      <c r="AD795" s="2"/>
      <c r="AE795" s="2"/>
      <c r="AF795" s="2"/>
      <c r="AG795" s="2"/>
      <c r="AH795" s="2"/>
      <c r="AI795" s="2"/>
      <c r="AJ795" s="2"/>
      <c r="AK795" s="2"/>
      <c r="AL795" s="2"/>
      <c r="AM795" s="2"/>
      <c r="AN795" s="2"/>
      <c r="AO795" s="9"/>
      <c r="AP795" s="9"/>
      <c r="AQ795" s="9"/>
      <c r="AR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224"/>
      <c r="X796" s="224"/>
      <c r="Y796" s="224"/>
      <c r="Z796" s="868"/>
      <c r="AA796" s="865"/>
      <c r="AB796" s="2"/>
      <c r="AC796" s="2"/>
      <c r="AD796" s="2"/>
      <c r="AE796" s="2"/>
      <c r="AF796" s="2"/>
      <c r="AG796" s="2"/>
      <c r="AH796" s="2"/>
      <c r="AI796" s="2"/>
      <c r="AJ796" s="2"/>
      <c r="AK796" s="2"/>
      <c r="AL796" s="2"/>
      <c r="AM796" s="2"/>
      <c r="AN796" s="2"/>
      <c r="AO796" s="9"/>
      <c r="AP796" s="9"/>
      <c r="AQ796" s="9"/>
      <c r="AR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224"/>
      <c r="X797" s="224"/>
      <c r="Y797" s="224"/>
      <c r="Z797" s="868"/>
      <c r="AA797" s="865"/>
      <c r="AB797" s="2"/>
      <c r="AC797" s="2"/>
      <c r="AD797" s="2"/>
      <c r="AE797" s="2"/>
      <c r="AF797" s="2"/>
      <c r="AG797" s="2"/>
      <c r="AH797" s="2"/>
      <c r="AI797" s="2"/>
      <c r="AJ797" s="2"/>
      <c r="AK797" s="2"/>
      <c r="AL797" s="2"/>
      <c r="AM797" s="2"/>
      <c r="AN797" s="2"/>
      <c r="AO797" s="9"/>
      <c r="AP797" s="9"/>
      <c r="AQ797" s="9"/>
      <c r="AR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224"/>
      <c r="X798" s="224"/>
      <c r="Y798" s="224"/>
      <c r="Z798" s="868"/>
      <c r="AA798" s="865"/>
      <c r="AB798" s="2"/>
      <c r="AC798" s="2"/>
      <c r="AD798" s="2"/>
      <c r="AE798" s="2"/>
      <c r="AF798" s="2"/>
      <c r="AG798" s="2"/>
      <c r="AH798" s="2"/>
      <c r="AI798" s="2"/>
      <c r="AJ798" s="2"/>
      <c r="AK798" s="2"/>
      <c r="AL798" s="2"/>
      <c r="AM798" s="2"/>
      <c r="AN798" s="2"/>
      <c r="AO798" s="9"/>
      <c r="AP798" s="9"/>
      <c r="AQ798" s="9"/>
      <c r="AR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224"/>
      <c r="X799" s="224"/>
      <c r="Y799" s="224"/>
      <c r="Z799" s="868"/>
      <c r="AA799" s="865"/>
      <c r="AB799" s="2"/>
      <c r="AC799" s="2"/>
      <c r="AD799" s="2"/>
      <c r="AE799" s="2"/>
      <c r="AF799" s="2"/>
      <c r="AG799" s="2"/>
      <c r="AH799" s="2"/>
      <c r="AI799" s="2"/>
      <c r="AJ799" s="2"/>
      <c r="AK799" s="2"/>
      <c r="AL799" s="2"/>
      <c r="AM799" s="2"/>
      <c r="AN799" s="2"/>
      <c r="AO799" s="9"/>
      <c r="AP799" s="9"/>
      <c r="AQ799" s="9"/>
      <c r="AR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224"/>
      <c r="X800" s="224"/>
      <c r="Y800" s="224"/>
      <c r="Z800" s="868"/>
      <c r="AA800" s="865"/>
      <c r="AB800" s="2"/>
      <c r="AC800" s="2"/>
      <c r="AD800" s="2"/>
      <c r="AE800" s="2"/>
      <c r="AF800" s="2"/>
      <c r="AG800" s="2"/>
      <c r="AH800" s="2"/>
      <c r="AI800" s="2"/>
      <c r="AJ800" s="2"/>
      <c r="AK800" s="2"/>
      <c r="AL800" s="2"/>
      <c r="AM800" s="2"/>
      <c r="AN800" s="2"/>
      <c r="AO800" s="9"/>
      <c r="AP800" s="9"/>
      <c r="AQ800" s="9"/>
      <c r="AR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224"/>
      <c r="X801" s="224"/>
      <c r="Y801" s="224"/>
      <c r="Z801" s="868"/>
      <c r="AA801" s="865"/>
      <c r="AB801" s="2"/>
      <c r="AC801" s="2"/>
      <c r="AD801" s="2"/>
      <c r="AE801" s="2"/>
      <c r="AF801" s="2"/>
      <c r="AG801" s="2"/>
      <c r="AH801" s="2"/>
      <c r="AI801" s="2"/>
      <c r="AJ801" s="2"/>
      <c r="AK801" s="2"/>
      <c r="AL801" s="2"/>
      <c r="AM801" s="2"/>
      <c r="AN801" s="2"/>
      <c r="AO801" s="9"/>
      <c r="AP801" s="9"/>
      <c r="AQ801" s="9"/>
      <c r="AR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224"/>
      <c r="X802" s="224"/>
      <c r="Y802" s="224"/>
      <c r="Z802" s="868"/>
      <c r="AA802" s="865"/>
      <c r="AB802" s="2"/>
      <c r="AC802" s="2"/>
      <c r="AD802" s="2"/>
      <c r="AE802" s="2"/>
      <c r="AF802" s="2"/>
      <c r="AG802" s="2"/>
      <c r="AH802" s="2"/>
      <c r="AI802" s="2"/>
      <c r="AJ802" s="2"/>
      <c r="AK802" s="2"/>
      <c r="AL802" s="2"/>
      <c r="AM802" s="2"/>
      <c r="AN802" s="2"/>
      <c r="AO802" s="9"/>
      <c r="AP802" s="9"/>
      <c r="AQ802" s="9"/>
      <c r="AR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224"/>
      <c r="X803" s="224"/>
      <c r="Y803" s="224"/>
      <c r="Z803" s="868"/>
      <c r="AA803" s="865"/>
      <c r="AB803" s="2"/>
      <c r="AC803" s="2"/>
      <c r="AD803" s="2"/>
      <c r="AE803" s="2"/>
      <c r="AF803" s="2"/>
      <c r="AG803" s="2"/>
      <c r="AH803" s="2"/>
      <c r="AI803" s="2"/>
      <c r="AJ803" s="2"/>
      <c r="AK803" s="2"/>
      <c r="AL803" s="2"/>
      <c r="AM803" s="2"/>
      <c r="AN803" s="2"/>
      <c r="AO803" s="9"/>
      <c r="AP803" s="9"/>
      <c r="AQ803" s="9"/>
      <c r="AR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224"/>
      <c r="X804" s="224"/>
      <c r="Y804" s="224"/>
      <c r="Z804" s="868"/>
      <c r="AA804" s="865"/>
      <c r="AB804" s="2"/>
      <c r="AC804" s="2"/>
      <c r="AD804" s="2"/>
      <c r="AE804" s="2"/>
      <c r="AF804" s="2"/>
      <c r="AG804" s="2"/>
      <c r="AH804" s="2"/>
      <c r="AI804" s="2"/>
      <c r="AJ804" s="2"/>
      <c r="AK804" s="2"/>
      <c r="AL804" s="2"/>
      <c r="AM804" s="2"/>
      <c r="AN804" s="2"/>
      <c r="AO804" s="9"/>
      <c r="AP804" s="9"/>
      <c r="AQ804" s="9"/>
      <c r="AR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224"/>
      <c r="X805" s="224"/>
      <c r="Y805" s="224"/>
      <c r="Z805" s="868"/>
      <c r="AA805" s="865"/>
      <c r="AB805" s="2"/>
      <c r="AC805" s="2"/>
      <c r="AD805" s="2"/>
      <c r="AE805" s="2"/>
      <c r="AF805" s="2"/>
      <c r="AG805" s="2"/>
      <c r="AH805" s="2"/>
      <c r="AI805" s="2"/>
      <c r="AJ805" s="2"/>
      <c r="AK805" s="2"/>
      <c r="AL805" s="2"/>
      <c r="AM805" s="2"/>
      <c r="AN805" s="2"/>
      <c r="AO805" s="9"/>
      <c r="AP805" s="9"/>
      <c r="AQ805" s="9"/>
      <c r="AR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224"/>
      <c r="X806" s="224"/>
      <c r="Y806" s="224"/>
      <c r="Z806" s="868"/>
      <c r="AA806" s="865"/>
      <c r="AB806" s="2"/>
      <c r="AC806" s="2"/>
      <c r="AD806" s="2"/>
      <c r="AE806" s="2"/>
      <c r="AF806" s="2"/>
      <c r="AG806" s="2"/>
      <c r="AH806" s="2"/>
      <c r="AI806" s="2"/>
      <c r="AJ806" s="2"/>
      <c r="AK806" s="2"/>
      <c r="AL806" s="2"/>
      <c r="AM806" s="2"/>
      <c r="AN806" s="2"/>
      <c r="AO806" s="9"/>
      <c r="AP806" s="9"/>
      <c r="AQ806" s="9"/>
      <c r="AR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224"/>
      <c r="X807" s="224"/>
      <c r="Y807" s="224"/>
      <c r="Z807" s="868"/>
      <c r="AA807" s="865"/>
      <c r="AB807" s="2"/>
      <c r="AC807" s="2"/>
      <c r="AD807" s="2"/>
      <c r="AE807" s="2"/>
      <c r="AF807" s="2"/>
      <c r="AG807" s="2"/>
      <c r="AH807" s="2"/>
      <c r="AI807" s="2"/>
      <c r="AJ807" s="2"/>
      <c r="AK807" s="2"/>
      <c r="AL807" s="2"/>
      <c r="AM807" s="2"/>
      <c r="AN807" s="2"/>
      <c r="AO807" s="9"/>
      <c r="AP807" s="9"/>
      <c r="AQ807" s="9"/>
      <c r="AR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224"/>
      <c r="X808" s="224"/>
      <c r="Y808" s="224"/>
      <c r="Z808" s="868"/>
      <c r="AA808" s="865"/>
      <c r="AB808" s="2"/>
      <c r="AC808" s="2"/>
      <c r="AD808" s="2"/>
      <c r="AE808" s="2"/>
      <c r="AF808" s="2"/>
      <c r="AG808" s="2"/>
      <c r="AH808" s="2"/>
      <c r="AI808" s="2"/>
      <c r="AJ808" s="2"/>
      <c r="AK808" s="2"/>
      <c r="AL808" s="2"/>
      <c r="AM808" s="2"/>
      <c r="AN808" s="2"/>
      <c r="AO808" s="9"/>
      <c r="AP808" s="9"/>
      <c r="AQ808" s="9"/>
      <c r="AR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224"/>
      <c r="X809" s="224"/>
      <c r="Y809" s="224"/>
      <c r="Z809" s="868"/>
      <c r="AA809" s="865"/>
      <c r="AB809" s="2"/>
      <c r="AC809" s="2"/>
      <c r="AD809" s="2"/>
      <c r="AE809" s="2"/>
      <c r="AF809" s="2"/>
      <c r="AG809" s="2"/>
      <c r="AH809" s="2"/>
      <c r="AI809" s="2"/>
      <c r="AJ809" s="2"/>
      <c r="AK809" s="2"/>
      <c r="AL809" s="2"/>
      <c r="AM809" s="2"/>
      <c r="AN809" s="2"/>
      <c r="AO809" s="9"/>
      <c r="AP809" s="9"/>
      <c r="AQ809" s="9"/>
      <c r="AR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224"/>
      <c r="X810" s="224"/>
      <c r="Y810" s="224"/>
      <c r="Z810" s="868"/>
      <c r="AA810" s="865"/>
      <c r="AB810" s="2"/>
      <c r="AC810" s="2"/>
      <c r="AD810" s="2"/>
      <c r="AE810" s="2"/>
      <c r="AF810" s="2"/>
      <c r="AG810" s="2"/>
      <c r="AH810" s="2"/>
      <c r="AI810" s="2"/>
      <c r="AJ810" s="2"/>
      <c r="AK810" s="2"/>
      <c r="AL810" s="2"/>
      <c r="AM810" s="2"/>
      <c r="AN810" s="2"/>
      <c r="AO810" s="9"/>
      <c r="AP810" s="9"/>
      <c r="AQ810" s="9"/>
      <c r="AR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224"/>
      <c r="X811" s="224"/>
      <c r="Y811" s="224"/>
      <c r="Z811" s="868"/>
      <c r="AA811" s="865"/>
      <c r="AB811" s="2"/>
      <c r="AC811" s="2"/>
      <c r="AD811" s="2"/>
      <c r="AE811" s="2"/>
      <c r="AF811" s="2"/>
      <c r="AG811" s="2"/>
      <c r="AH811" s="2"/>
      <c r="AI811" s="2"/>
      <c r="AJ811" s="2"/>
      <c r="AK811" s="2"/>
      <c r="AL811" s="2"/>
      <c r="AM811" s="2"/>
      <c r="AN811" s="2"/>
      <c r="AO811" s="9"/>
      <c r="AP811" s="9"/>
      <c r="AQ811" s="9"/>
      <c r="AR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224"/>
      <c r="X812" s="224"/>
      <c r="Y812" s="224"/>
      <c r="Z812" s="868"/>
      <c r="AA812" s="865"/>
      <c r="AB812" s="2"/>
      <c r="AC812" s="2"/>
      <c r="AD812" s="2"/>
      <c r="AE812" s="2"/>
      <c r="AF812" s="2"/>
      <c r="AG812" s="2"/>
      <c r="AH812" s="2"/>
      <c r="AI812" s="2"/>
      <c r="AJ812" s="2"/>
      <c r="AK812" s="2"/>
      <c r="AL812" s="2"/>
      <c r="AM812" s="2"/>
      <c r="AN812" s="2"/>
      <c r="AO812" s="9"/>
      <c r="AP812" s="9"/>
      <c r="AQ812" s="9"/>
      <c r="AR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224"/>
      <c r="X813" s="224"/>
      <c r="Y813" s="224"/>
      <c r="Z813" s="868"/>
      <c r="AA813" s="865"/>
      <c r="AB813" s="2"/>
      <c r="AC813" s="2"/>
      <c r="AD813" s="2"/>
      <c r="AE813" s="2"/>
      <c r="AF813" s="2"/>
      <c r="AG813" s="2"/>
      <c r="AH813" s="2"/>
      <c r="AI813" s="2"/>
      <c r="AJ813" s="2"/>
      <c r="AK813" s="2"/>
      <c r="AL813" s="2"/>
      <c r="AM813" s="2"/>
      <c r="AN813" s="2"/>
      <c r="AO813" s="9"/>
      <c r="AP813" s="9"/>
      <c r="AQ813" s="9"/>
      <c r="AR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224"/>
      <c r="X814" s="224"/>
      <c r="Y814" s="224"/>
      <c r="Z814" s="868"/>
      <c r="AA814" s="865"/>
      <c r="AB814" s="2"/>
      <c r="AC814" s="2"/>
      <c r="AD814" s="2"/>
      <c r="AE814" s="2"/>
      <c r="AF814" s="2"/>
      <c r="AG814" s="2"/>
      <c r="AH814" s="2"/>
      <c r="AI814" s="2"/>
      <c r="AJ814" s="2"/>
      <c r="AK814" s="2"/>
      <c r="AL814" s="2"/>
      <c r="AM814" s="2"/>
      <c r="AN814" s="2"/>
      <c r="AO814" s="9"/>
      <c r="AP814" s="9"/>
      <c r="AQ814" s="9"/>
      <c r="AR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224"/>
      <c r="X815" s="224"/>
      <c r="Y815" s="224"/>
      <c r="Z815" s="868"/>
      <c r="AA815" s="865"/>
      <c r="AB815" s="2"/>
      <c r="AC815" s="2"/>
      <c r="AD815" s="2"/>
      <c r="AE815" s="2"/>
      <c r="AF815" s="2"/>
      <c r="AG815" s="2"/>
      <c r="AH815" s="2"/>
      <c r="AI815" s="2"/>
      <c r="AJ815" s="2"/>
      <c r="AK815" s="2"/>
      <c r="AL815" s="2"/>
      <c r="AM815" s="2"/>
      <c r="AN815" s="2"/>
      <c r="AO815" s="9"/>
      <c r="AP815" s="9"/>
      <c r="AQ815" s="9"/>
      <c r="AR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224"/>
      <c r="X816" s="224"/>
      <c r="Y816" s="224"/>
      <c r="Z816" s="868"/>
      <c r="AA816" s="865"/>
      <c r="AB816" s="2"/>
      <c r="AC816" s="2"/>
      <c r="AD816" s="2"/>
      <c r="AE816" s="2"/>
      <c r="AF816" s="2"/>
      <c r="AG816" s="2"/>
      <c r="AH816" s="2"/>
      <c r="AI816" s="2"/>
      <c r="AJ816" s="2"/>
      <c r="AK816" s="2"/>
      <c r="AL816" s="2"/>
      <c r="AM816" s="2"/>
      <c r="AN816" s="2"/>
      <c r="AO816" s="9"/>
      <c r="AP816" s="9"/>
      <c r="AQ816" s="9"/>
      <c r="AR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224"/>
      <c r="X817" s="224"/>
      <c r="Y817" s="224"/>
      <c r="Z817" s="868"/>
      <c r="AA817" s="865"/>
      <c r="AB817" s="2"/>
      <c r="AC817" s="2"/>
      <c r="AD817" s="2"/>
      <c r="AE817" s="2"/>
      <c r="AF817" s="2"/>
      <c r="AG817" s="2"/>
      <c r="AH817" s="2"/>
      <c r="AI817" s="2"/>
      <c r="AJ817" s="2"/>
      <c r="AK817" s="2"/>
      <c r="AL817" s="2"/>
      <c r="AM817" s="2"/>
      <c r="AN817" s="2"/>
      <c r="AO817" s="9"/>
      <c r="AP817" s="9"/>
      <c r="AQ817" s="9"/>
      <c r="AR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224"/>
      <c r="X818" s="224"/>
      <c r="Y818" s="224"/>
      <c r="Z818" s="868"/>
      <c r="AA818" s="865"/>
      <c r="AB818" s="2"/>
      <c r="AC818" s="2"/>
      <c r="AD818" s="2"/>
      <c r="AE818" s="2"/>
      <c r="AF818" s="2"/>
      <c r="AG818" s="2"/>
      <c r="AH818" s="2"/>
      <c r="AI818" s="2"/>
      <c r="AJ818" s="2"/>
      <c r="AK818" s="2"/>
      <c r="AL818" s="2"/>
      <c r="AM818" s="2"/>
      <c r="AN818" s="2"/>
      <c r="AO818" s="9"/>
      <c r="AP818" s="9"/>
      <c r="AQ818" s="9"/>
      <c r="AR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224"/>
      <c r="X819" s="224"/>
      <c r="Y819" s="224"/>
      <c r="Z819" s="868"/>
      <c r="AA819" s="865"/>
      <c r="AB819" s="2"/>
      <c r="AC819" s="2"/>
      <c r="AD819" s="2"/>
      <c r="AE819" s="2"/>
      <c r="AF819" s="2"/>
      <c r="AG819" s="2"/>
      <c r="AH819" s="2"/>
      <c r="AI819" s="2"/>
      <c r="AJ819" s="2"/>
      <c r="AK819" s="2"/>
      <c r="AL819" s="2"/>
      <c r="AM819" s="2"/>
      <c r="AN819" s="2"/>
      <c r="AO819" s="9"/>
      <c r="AP819" s="9"/>
      <c r="AQ819" s="9"/>
      <c r="AR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224"/>
      <c r="X820" s="224"/>
      <c r="Y820" s="224"/>
      <c r="Z820" s="868"/>
      <c r="AA820" s="865"/>
      <c r="AB820" s="2"/>
      <c r="AC820" s="2"/>
      <c r="AD820" s="2"/>
      <c r="AE820" s="2"/>
      <c r="AF820" s="2"/>
      <c r="AG820" s="2"/>
      <c r="AH820" s="2"/>
      <c r="AI820" s="2"/>
      <c r="AJ820" s="2"/>
      <c r="AK820" s="2"/>
      <c r="AL820" s="2"/>
      <c r="AM820" s="2"/>
      <c r="AN820" s="2"/>
      <c r="AO820" s="9"/>
      <c r="AP820" s="9"/>
      <c r="AQ820" s="9"/>
      <c r="AR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224"/>
      <c r="X821" s="224"/>
      <c r="Y821" s="224"/>
      <c r="Z821" s="868"/>
      <c r="AA821" s="865"/>
      <c r="AB821" s="2"/>
      <c r="AC821" s="2"/>
      <c r="AD821" s="2"/>
      <c r="AE821" s="2"/>
      <c r="AF821" s="2"/>
      <c r="AG821" s="2"/>
      <c r="AH821" s="2"/>
      <c r="AI821" s="2"/>
      <c r="AJ821" s="2"/>
      <c r="AK821" s="2"/>
      <c r="AL821" s="2"/>
      <c r="AM821" s="2"/>
      <c r="AN821" s="2"/>
      <c r="AO821" s="9"/>
      <c r="AP821" s="9"/>
      <c r="AQ821" s="9"/>
      <c r="AR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224"/>
      <c r="X822" s="224"/>
      <c r="Y822" s="224"/>
      <c r="Z822" s="868"/>
      <c r="AA822" s="865"/>
      <c r="AB822" s="2"/>
      <c r="AC822" s="2"/>
      <c r="AD822" s="2"/>
      <c r="AE822" s="2"/>
      <c r="AF822" s="2"/>
      <c r="AG822" s="2"/>
      <c r="AH822" s="2"/>
      <c r="AI822" s="2"/>
      <c r="AJ822" s="2"/>
      <c r="AK822" s="2"/>
      <c r="AL822" s="2"/>
      <c r="AM822" s="2"/>
      <c r="AN822" s="2"/>
      <c r="AO822" s="9"/>
      <c r="AP822" s="9"/>
      <c r="AQ822" s="9"/>
      <c r="AR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224"/>
      <c r="X823" s="224"/>
      <c r="Y823" s="224"/>
      <c r="Z823" s="868"/>
      <c r="AA823" s="865"/>
      <c r="AB823" s="2"/>
      <c r="AC823" s="2"/>
      <c r="AD823" s="2"/>
      <c r="AE823" s="2"/>
      <c r="AF823" s="2"/>
      <c r="AG823" s="2"/>
      <c r="AH823" s="2"/>
      <c r="AI823" s="2"/>
      <c r="AJ823" s="2"/>
      <c r="AK823" s="2"/>
      <c r="AL823" s="2"/>
      <c r="AM823" s="2"/>
      <c r="AN823" s="2"/>
      <c r="AO823" s="9"/>
      <c r="AP823" s="9"/>
      <c r="AQ823" s="9"/>
      <c r="AR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224"/>
      <c r="X824" s="224"/>
      <c r="Y824" s="224"/>
      <c r="Z824" s="868"/>
      <c r="AA824" s="865"/>
      <c r="AB824" s="2"/>
      <c r="AC824" s="2"/>
      <c r="AD824" s="2"/>
      <c r="AE824" s="2"/>
      <c r="AF824" s="2"/>
      <c r="AG824" s="2"/>
      <c r="AH824" s="2"/>
      <c r="AI824" s="2"/>
      <c r="AJ824" s="2"/>
      <c r="AK824" s="2"/>
      <c r="AL824" s="2"/>
      <c r="AM824" s="2"/>
      <c r="AN824" s="2"/>
      <c r="AO824" s="9"/>
      <c r="AP824" s="9"/>
      <c r="AQ824" s="9"/>
      <c r="AR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224"/>
      <c r="X825" s="224"/>
      <c r="Y825" s="224"/>
      <c r="Z825" s="868"/>
      <c r="AA825" s="865"/>
      <c r="AB825" s="2"/>
      <c r="AC825" s="2"/>
      <c r="AD825" s="2"/>
      <c r="AE825" s="2"/>
      <c r="AF825" s="2"/>
      <c r="AG825" s="2"/>
      <c r="AH825" s="2"/>
      <c r="AI825" s="2"/>
      <c r="AJ825" s="2"/>
      <c r="AK825" s="2"/>
      <c r="AL825" s="2"/>
      <c r="AM825" s="2"/>
      <c r="AN825" s="2"/>
      <c r="AO825" s="9"/>
      <c r="AP825" s="9"/>
      <c r="AQ825" s="9"/>
      <c r="AR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224"/>
      <c r="X826" s="224"/>
      <c r="Y826" s="224"/>
      <c r="Z826" s="868"/>
      <c r="AA826" s="865"/>
      <c r="AB826" s="2"/>
      <c r="AC826" s="2"/>
      <c r="AD826" s="2"/>
      <c r="AE826" s="2"/>
      <c r="AF826" s="2"/>
      <c r="AG826" s="2"/>
      <c r="AH826" s="2"/>
      <c r="AI826" s="2"/>
      <c r="AJ826" s="2"/>
      <c r="AK826" s="2"/>
      <c r="AL826" s="2"/>
      <c r="AM826" s="2"/>
      <c r="AN826" s="2"/>
      <c r="AO826" s="9"/>
      <c r="AP826" s="9"/>
      <c r="AQ826" s="9"/>
      <c r="AR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224"/>
      <c r="X827" s="224"/>
      <c r="Y827" s="224"/>
      <c r="Z827" s="868"/>
      <c r="AA827" s="865"/>
      <c r="AB827" s="2"/>
      <c r="AC827" s="2"/>
      <c r="AD827" s="2"/>
      <c r="AE827" s="2"/>
      <c r="AF827" s="2"/>
      <c r="AG827" s="2"/>
      <c r="AH827" s="2"/>
      <c r="AI827" s="2"/>
      <c r="AJ827" s="2"/>
      <c r="AK827" s="2"/>
      <c r="AL827" s="2"/>
      <c r="AM827" s="2"/>
      <c r="AN827" s="2"/>
      <c r="AO827" s="9"/>
      <c r="AP827" s="9"/>
      <c r="AQ827" s="9"/>
      <c r="AR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224"/>
      <c r="X828" s="224"/>
      <c r="Y828" s="224"/>
      <c r="Z828" s="868"/>
      <c r="AA828" s="865"/>
      <c r="AB828" s="2"/>
      <c r="AC828" s="2"/>
      <c r="AD828" s="2"/>
      <c r="AE828" s="2"/>
      <c r="AF828" s="2"/>
      <c r="AG828" s="2"/>
      <c r="AH828" s="2"/>
      <c r="AI828" s="2"/>
      <c r="AJ828" s="2"/>
      <c r="AK828" s="2"/>
      <c r="AL828" s="2"/>
      <c r="AM828" s="2"/>
      <c r="AN828" s="2"/>
      <c r="AO828" s="9"/>
      <c r="AP828" s="9"/>
      <c r="AQ828" s="9"/>
      <c r="AR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224"/>
      <c r="X829" s="224"/>
      <c r="Y829" s="224"/>
      <c r="Z829" s="868"/>
      <c r="AA829" s="865"/>
      <c r="AB829" s="2"/>
      <c r="AC829" s="2"/>
      <c r="AD829" s="2"/>
      <c r="AE829" s="2"/>
      <c r="AF829" s="2"/>
      <c r="AG829" s="2"/>
      <c r="AH829" s="2"/>
      <c r="AI829" s="2"/>
      <c r="AJ829" s="2"/>
      <c r="AK829" s="2"/>
      <c r="AL829" s="2"/>
      <c r="AM829" s="2"/>
      <c r="AN829" s="2"/>
      <c r="AO829" s="9"/>
      <c r="AP829" s="9"/>
      <c r="AQ829" s="9"/>
      <c r="AR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224"/>
      <c r="X830" s="224"/>
      <c r="Y830" s="224"/>
      <c r="Z830" s="868"/>
      <c r="AA830" s="865"/>
      <c r="AB830" s="2"/>
      <c r="AC830" s="2"/>
      <c r="AD830" s="2"/>
      <c r="AE830" s="2"/>
      <c r="AF830" s="2"/>
      <c r="AG830" s="2"/>
      <c r="AH830" s="2"/>
      <c r="AI830" s="2"/>
      <c r="AJ830" s="2"/>
      <c r="AK830" s="2"/>
      <c r="AL830" s="2"/>
      <c r="AM830" s="2"/>
      <c r="AN830" s="2"/>
      <c r="AO830" s="9"/>
      <c r="AP830" s="9"/>
      <c r="AQ830" s="9"/>
      <c r="AR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224"/>
      <c r="X831" s="224"/>
      <c r="Y831" s="224"/>
      <c r="Z831" s="868"/>
      <c r="AA831" s="865"/>
      <c r="AB831" s="2"/>
      <c r="AC831" s="2"/>
      <c r="AD831" s="2"/>
      <c r="AE831" s="2"/>
      <c r="AF831" s="2"/>
      <c r="AG831" s="2"/>
      <c r="AH831" s="2"/>
      <c r="AI831" s="2"/>
      <c r="AJ831" s="2"/>
      <c r="AK831" s="2"/>
      <c r="AL831" s="2"/>
      <c r="AM831" s="2"/>
      <c r="AN831" s="2"/>
      <c r="AO831" s="9"/>
      <c r="AP831" s="9"/>
      <c r="AQ831" s="9"/>
      <c r="AR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224"/>
      <c r="X832" s="224"/>
      <c r="Y832" s="224"/>
      <c r="Z832" s="868"/>
      <c r="AA832" s="865"/>
      <c r="AB832" s="2"/>
      <c r="AC832" s="2"/>
      <c r="AD832" s="2"/>
      <c r="AE832" s="2"/>
      <c r="AF832" s="2"/>
      <c r="AG832" s="2"/>
      <c r="AH832" s="2"/>
      <c r="AI832" s="2"/>
      <c r="AJ832" s="2"/>
      <c r="AK832" s="2"/>
      <c r="AL832" s="2"/>
      <c r="AM832" s="2"/>
      <c r="AN832" s="2"/>
      <c r="AO832" s="9"/>
      <c r="AP832" s="9"/>
      <c r="AQ832" s="9"/>
      <c r="AR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224"/>
      <c r="X833" s="224"/>
      <c r="Y833" s="224"/>
      <c r="Z833" s="868"/>
      <c r="AA833" s="865"/>
      <c r="AB833" s="2"/>
      <c r="AC833" s="2"/>
      <c r="AD833" s="2"/>
      <c r="AE833" s="2"/>
      <c r="AF833" s="2"/>
      <c r="AG833" s="2"/>
      <c r="AH833" s="2"/>
      <c r="AI833" s="2"/>
      <c r="AJ833" s="2"/>
      <c r="AK833" s="2"/>
      <c r="AL833" s="2"/>
      <c r="AM833" s="2"/>
      <c r="AN833" s="2"/>
      <c r="AO833" s="9"/>
      <c r="AP833" s="9"/>
      <c r="AQ833" s="9"/>
      <c r="AR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224"/>
      <c r="X834" s="224"/>
      <c r="Y834" s="224"/>
      <c r="Z834" s="868"/>
      <c r="AA834" s="865"/>
      <c r="AB834" s="2"/>
      <c r="AC834" s="2"/>
      <c r="AD834" s="2"/>
      <c r="AE834" s="2"/>
      <c r="AF834" s="2"/>
      <c r="AG834" s="2"/>
      <c r="AH834" s="2"/>
      <c r="AI834" s="2"/>
      <c r="AJ834" s="2"/>
      <c r="AK834" s="2"/>
      <c r="AL834" s="2"/>
      <c r="AM834" s="2"/>
      <c r="AN834" s="2"/>
      <c r="AO834" s="9"/>
      <c r="AP834" s="9"/>
      <c r="AQ834" s="9"/>
      <c r="AR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224"/>
      <c r="X835" s="224"/>
      <c r="Y835" s="224"/>
      <c r="Z835" s="868"/>
      <c r="AA835" s="865"/>
      <c r="AB835" s="2"/>
      <c r="AC835" s="2"/>
      <c r="AD835" s="2"/>
      <c r="AE835" s="2"/>
      <c r="AF835" s="2"/>
      <c r="AG835" s="2"/>
      <c r="AH835" s="2"/>
      <c r="AI835" s="2"/>
      <c r="AJ835" s="2"/>
      <c r="AK835" s="2"/>
      <c r="AL835" s="2"/>
      <c r="AM835" s="2"/>
      <c r="AN835" s="2"/>
      <c r="AO835" s="9"/>
      <c r="AP835" s="9"/>
      <c r="AQ835" s="9"/>
      <c r="AR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224"/>
      <c r="X836" s="224"/>
      <c r="Y836" s="224"/>
      <c r="Z836" s="868"/>
      <c r="AA836" s="865"/>
      <c r="AB836" s="2"/>
      <c r="AC836" s="2"/>
      <c r="AD836" s="2"/>
      <c r="AE836" s="2"/>
      <c r="AF836" s="2"/>
      <c r="AG836" s="2"/>
      <c r="AH836" s="2"/>
      <c r="AI836" s="2"/>
      <c r="AJ836" s="2"/>
      <c r="AK836" s="2"/>
      <c r="AL836" s="2"/>
      <c r="AM836" s="2"/>
      <c r="AN836" s="2"/>
      <c r="AO836" s="9"/>
      <c r="AP836" s="9"/>
      <c r="AQ836" s="9"/>
      <c r="AR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224"/>
      <c r="X837" s="224"/>
      <c r="Y837" s="224"/>
      <c r="Z837" s="868"/>
      <c r="AA837" s="865"/>
      <c r="AB837" s="2"/>
      <c r="AC837" s="2"/>
      <c r="AD837" s="2"/>
      <c r="AE837" s="2"/>
      <c r="AF837" s="2"/>
      <c r="AG837" s="2"/>
      <c r="AH837" s="2"/>
      <c r="AI837" s="2"/>
      <c r="AJ837" s="2"/>
      <c r="AK837" s="2"/>
      <c r="AL837" s="2"/>
      <c r="AM837" s="2"/>
      <c r="AN837" s="2"/>
      <c r="AO837" s="9"/>
      <c r="AP837" s="9"/>
      <c r="AQ837" s="9"/>
      <c r="AR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224"/>
      <c r="X838" s="224"/>
      <c r="Y838" s="224"/>
      <c r="Z838" s="868"/>
      <c r="AA838" s="865"/>
      <c r="AB838" s="2"/>
      <c r="AC838" s="2"/>
      <c r="AD838" s="2"/>
      <c r="AE838" s="2"/>
      <c r="AF838" s="2"/>
      <c r="AG838" s="2"/>
      <c r="AH838" s="2"/>
      <c r="AI838" s="2"/>
      <c r="AJ838" s="2"/>
      <c r="AK838" s="2"/>
      <c r="AL838" s="2"/>
      <c r="AM838" s="2"/>
      <c r="AN838" s="2"/>
      <c r="AO838" s="9"/>
      <c r="AP838" s="9"/>
      <c r="AQ838" s="9"/>
      <c r="AR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224"/>
      <c r="X839" s="224"/>
      <c r="Y839" s="224"/>
      <c r="Z839" s="868"/>
      <c r="AA839" s="865"/>
      <c r="AB839" s="2"/>
      <c r="AC839" s="2"/>
      <c r="AD839" s="2"/>
      <c r="AE839" s="2"/>
      <c r="AF839" s="2"/>
      <c r="AG839" s="2"/>
      <c r="AH839" s="2"/>
      <c r="AI839" s="2"/>
      <c r="AJ839" s="2"/>
      <c r="AK839" s="2"/>
      <c r="AL839" s="2"/>
      <c r="AM839" s="2"/>
      <c r="AN839" s="2"/>
      <c r="AO839" s="9"/>
      <c r="AP839" s="9"/>
      <c r="AQ839" s="9"/>
      <c r="AR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224"/>
      <c r="X840" s="224"/>
      <c r="Y840" s="224"/>
      <c r="Z840" s="868"/>
      <c r="AA840" s="865"/>
      <c r="AB840" s="2"/>
      <c r="AC840" s="2"/>
      <c r="AD840" s="2"/>
      <c r="AE840" s="2"/>
      <c r="AF840" s="2"/>
      <c r="AG840" s="2"/>
      <c r="AH840" s="2"/>
      <c r="AI840" s="2"/>
      <c r="AJ840" s="2"/>
      <c r="AK840" s="2"/>
      <c r="AL840" s="2"/>
      <c r="AM840" s="2"/>
      <c r="AN840" s="2"/>
      <c r="AO840" s="9"/>
      <c r="AP840" s="9"/>
      <c r="AQ840" s="9"/>
      <c r="AR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224"/>
      <c r="X841" s="224"/>
      <c r="Y841" s="224"/>
      <c r="Z841" s="868"/>
      <c r="AA841" s="865"/>
      <c r="AB841" s="2"/>
      <c r="AC841" s="2"/>
      <c r="AD841" s="2"/>
      <c r="AE841" s="2"/>
      <c r="AF841" s="2"/>
      <c r="AG841" s="2"/>
      <c r="AH841" s="2"/>
      <c r="AI841" s="2"/>
      <c r="AJ841" s="2"/>
      <c r="AK841" s="2"/>
      <c r="AL841" s="2"/>
      <c r="AM841" s="2"/>
      <c r="AN841" s="2"/>
      <c r="AO841" s="9"/>
      <c r="AP841" s="9"/>
      <c r="AQ841" s="9"/>
      <c r="AR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224"/>
      <c r="X842" s="224"/>
      <c r="Y842" s="224"/>
      <c r="Z842" s="868"/>
      <c r="AA842" s="865"/>
      <c r="AB842" s="2"/>
      <c r="AC842" s="2"/>
      <c r="AD842" s="2"/>
      <c r="AE842" s="2"/>
      <c r="AF842" s="2"/>
      <c r="AG842" s="2"/>
      <c r="AH842" s="2"/>
      <c r="AI842" s="2"/>
      <c r="AJ842" s="2"/>
      <c r="AK842" s="2"/>
      <c r="AL842" s="2"/>
      <c r="AM842" s="2"/>
      <c r="AN842" s="2"/>
      <c r="AO842" s="9"/>
      <c r="AP842" s="9"/>
      <c r="AQ842" s="9"/>
      <c r="AR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224"/>
      <c r="X843" s="224"/>
      <c r="Y843" s="224"/>
      <c r="Z843" s="868"/>
      <c r="AA843" s="865"/>
      <c r="AB843" s="2"/>
      <c r="AC843" s="2"/>
      <c r="AD843" s="2"/>
      <c r="AE843" s="2"/>
      <c r="AF843" s="2"/>
      <c r="AG843" s="2"/>
      <c r="AH843" s="2"/>
      <c r="AI843" s="2"/>
      <c r="AJ843" s="2"/>
      <c r="AK843" s="2"/>
      <c r="AL843" s="2"/>
      <c r="AM843" s="2"/>
      <c r="AN843" s="2"/>
      <c r="AO843" s="9"/>
      <c r="AP843" s="9"/>
      <c r="AQ843" s="9"/>
      <c r="AR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224"/>
      <c r="X844" s="224"/>
      <c r="Y844" s="224"/>
      <c r="Z844" s="868"/>
      <c r="AA844" s="865"/>
      <c r="AB844" s="2"/>
      <c r="AC844" s="2"/>
      <c r="AD844" s="2"/>
      <c r="AE844" s="2"/>
      <c r="AF844" s="2"/>
      <c r="AG844" s="2"/>
      <c r="AH844" s="2"/>
      <c r="AI844" s="2"/>
      <c r="AJ844" s="2"/>
      <c r="AK844" s="2"/>
      <c r="AL844" s="2"/>
      <c r="AM844" s="2"/>
      <c r="AN844" s="2"/>
      <c r="AO844" s="9"/>
      <c r="AP844" s="9"/>
      <c r="AQ844" s="9"/>
      <c r="AR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224"/>
      <c r="X845" s="224"/>
      <c r="Y845" s="224"/>
      <c r="Z845" s="868"/>
      <c r="AA845" s="865"/>
      <c r="AB845" s="2"/>
      <c r="AC845" s="2"/>
      <c r="AD845" s="2"/>
      <c r="AE845" s="2"/>
      <c r="AF845" s="2"/>
      <c r="AG845" s="2"/>
      <c r="AH845" s="2"/>
      <c r="AI845" s="2"/>
      <c r="AJ845" s="2"/>
      <c r="AK845" s="2"/>
      <c r="AL845" s="2"/>
      <c r="AM845" s="2"/>
      <c r="AN845" s="2"/>
      <c r="AO845" s="9"/>
      <c r="AP845" s="9"/>
      <c r="AQ845" s="9"/>
      <c r="AR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224"/>
      <c r="X846" s="224"/>
      <c r="Y846" s="224"/>
      <c r="Z846" s="868"/>
      <c r="AA846" s="865"/>
      <c r="AB846" s="2"/>
      <c r="AC846" s="2"/>
      <c r="AD846" s="2"/>
      <c r="AE846" s="2"/>
      <c r="AF846" s="2"/>
      <c r="AG846" s="2"/>
      <c r="AH846" s="2"/>
      <c r="AI846" s="2"/>
      <c r="AJ846" s="2"/>
      <c r="AK846" s="2"/>
      <c r="AL846" s="2"/>
      <c r="AM846" s="2"/>
      <c r="AN846" s="2"/>
      <c r="AO846" s="9"/>
      <c r="AP846" s="9"/>
      <c r="AQ846" s="9"/>
      <c r="AR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224"/>
      <c r="X847" s="224"/>
      <c r="Y847" s="224"/>
      <c r="Z847" s="868"/>
      <c r="AA847" s="865"/>
      <c r="AB847" s="2"/>
      <c r="AC847" s="2"/>
      <c r="AD847" s="2"/>
      <c r="AE847" s="2"/>
      <c r="AF847" s="2"/>
      <c r="AG847" s="2"/>
      <c r="AH847" s="2"/>
      <c r="AI847" s="2"/>
      <c r="AJ847" s="2"/>
      <c r="AK847" s="2"/>
      <c r="AL847" s="2"/>
      <c r="AM847" s="2"/>
      <c r="AN847" s="2"/>
      <c r="AO847" s="9"/>
      <c r="AP847" s="9"/>
      <c r="AQ847" s="9"/>
      <c r="AR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224"/>
      <c r="X848" s="224"/>
      <c r="Y848" s="224"/>
      <c r="Z848" s="868"/>
      <c r="AA848" s="865"/>
      <c r="AB848" s="2"/>
      <c r="AC848" s="2"/>
      <c r="AD848" s="2"/>
      <c r="AE848" s="2"/>
      <c r="AF848" s="2"/>
      <c r="AG848" s="2"/>
      <c r="AH848" s="2"/>
      <c r="AI848" s="2"/>
      <c r="AJ848" s="2"/>
      <c r="AK848" s="2"/>
      <c r="AL848" s="2"/>
      <c r="AM848" s="2"/>
      <c r="AN848" s="2"/>
      <c r="AO848" s="9"/>
      <c r="AP848" s="9"/>
      <c r="AQ848" s="9"/>
      <c r="AR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224"/>
      <c r="X849" s="224"/>
      <c r="Y849" s="224"/>
      <c r="Z849" s="868"/>
      <c r="AA849" s="865"/>
      <c r="AB849" s="2"/>
      <c r="AC849" s="2"/>
      <c r="AD849" s="2"/>
      <c r="AE849" s="2"/>
      <c r="AF849" s="2"/>
      <c r="AG849" s="2"/>
      <c r="AH849" s="2"/>
      <c r="AI849" s="2"/>
      <c r="AJ849" s="2"/>
      <c r="AK849" s="2"/>
      <c r="AL849" s="2"/>
      <c r="AM849" s="2"/>
      <c r="AN849" s="2"/>
      <c r="AO849" s="9"/>
      <c r="AP849" s="9"/>
      <c r="AQ849" s="9"/>
      <c r="AR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224"/>
      <c r="X850" s="224"/>
      <c r="Y850" s="224"/>
      <c r="Z850" s="868"/>
      <c r="AA850" s="865"/>
      <c r="AB850" s="2"/>
      <c r="AC850" s="2"/>
      <c r="AD850" s="2"/>
      <c r="AE850" s="2"/>
      <c r="AF850" s="2"/>
      <c r="AG850" s="2"/>
      <c r="AH850" s="2"/>
      <c r="AI850" s="2"/>
      <c r="AJ850" s="2"/>
      <c r="AK850" s="2"/>
      <c r="AL850" s="2"/>
      <c r="AM850" s="2"/>
      <c r="AN850" s="2"/>
      <c r="AO850" s="9"/>
      <c r="AP850" s="9"/>
      <c r="AQ850" s="9"/>
      <c r="AR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224"/>
      <c r="X851" s="224"/>
      <c r="Y851" s="224"/>
      <c r="Z851" s="868"/>
      <c r="AA851" s="865"/>
      <c r="AB851" s="2"/>
      <c r="AC851" s="2"/>
      <c r="AD851" s="2"/>
      <c r="AE851" s="2"/>
      <c r="AF851" s="2"/>
      <c r="AG851" s="2"/>
      <c r="AH851" s="2"/>
      <c r="AI851" s="2"/>
      <c r="AJ851" s="2"/>
      <c r="AK851" s="2"/>
      <c r="AL851" s="2"/>
      <c r="AM851" s="2"/>
      <c r="AN851" s="2"/>
      <c r="AO851" s="9"/>
      <c r="AP851" s="9"/>
      <c r="AQ851" s="9"/>
      <c r="AR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224"/>
      <c r="X852" s="224"/>
      <c r="Y852" s="224"/>
      <c r="Z852" s="868"/>
      <c r="AA852" s="865"/>
      <c r="AB852" s="2"/>
      <c r="AC852" s="2"/>
      <c r="AD852" s="2"/>
      <c r="AE852" s="2"/>
      <c r="AF852" s="2"/>
      <c r="AG852" s="2"/>
      <c r="AH852" s="2"/>
      <c r="AI852" s="2"/>
      <c r="AJ852" s="2"/>
      <c r="AK852" s="2"/>
      <c r="AL852" s="2"/>
      <c r="AM852" s="2"/>
      <c r="AN852" s="2"/>
      <c r="AO852" s="9"/>
      <c r="AP852" s="9"/>
      <c r="AQ852" s="9"/>
      <c r="AR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224"/>
      <c r="X853" s="224"/>
      <c r="Y853" s="224"/>
      <c r="Z853" s="868"/>
      <c r="AA853" s="865"/>
      <c r="AB853" s="2"/>
      <c r="AC853" s="2"/>
      <c r="AD853" s="2"/>
      <c r="AE853" s="2"/>
      <c r="AF853" s="2"/>
      <c r="AG853" s="2"/>
      <c r="AH853" s="2"/>
      <c r="AI853" s="2"/>
      <c r="AJ853" s="2"/>
      <c r="AK853" s="2"/>
      <c r="AL853" s="2"/>
      <c r="AM853" s="2"/>
      <c r="AN853" s="2"/>
      <c r="AO853" s="9"/>
      <c r="AP853" s="9"/>
      <c r="AQ853" s="9"/>
      <c r="AR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224"/>
      <c r="X854" s="224"/>
      <c r="Y854" s="224"/>
      <c r="Z854" s="868"/>
      <c r="AA854" s="865"/>
      <c r="AB854" s="2"/>
      <c r="AC854" s="2"/>
      <c r="AD854" s="2"/>
      <c r="AE854" s="2"/>
      <c r="AF854" s="2"/>
      <c r="AG854" s="2"/>
      <c r="AH854" s="2"/>
      <c r="AI854" s="2"/>
      <c r="AJ854" s="2"/>
      <c r="AK854" s="2"/>
      <c r="AL854" s="2"/>
      <c r="AM854" s="2"/>
      <c r="AN854" s="2"/>
      <c r="AO854" s="9"/>
      <c r="AP854" s="9"/>
      <c r="AQ854" s="9"/>
      <c r="AR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224"/>
      <c r="X855" s="224"/>
      <c r="Y855" s="224"/>
      <c r="Z855" s="868"/>
      <c r="AA855" s="865"/>
      <c r="AB855" s="2"/>
      <c r="AC855" s="2"/>
      <c r="AD855" s="2"/>
      <c r="AE855" s="2"/>
      <c r="AF855" s="2"/>
      <c r="AG855" s="2"/>
      <c r="AH855" s="2"/>
      <c r="AI855" s="2"/>
      <c r="AJ855" s="2"/>
      <c r="AK855" s="2"/>
      <c r="AL855" s="2"/>
      <c r="AM855" s="2"/>
      <c r="AN855" s="2"/>
      <c r="AO855" s="9"/>
      <c r="AP855" s="9"/>
      <c r="AQ855" s="9"/>
      <c r="AR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224"/>
      <c r="X856" s="224"/>
      <c r="Y856" s="224"/>
      <c r="Z856" s="868"/>
      <c r="AA856" s="865"/>
      <c r="AB856" s="2"/>
      <c r="AC856" s="2"/>
      <c r="AD856" s="2"/>
      <c r="AE856" s="2"/>
      <c r="AF856" s="2"/>
      <c r="AG856" s="2"/>
      <c r="AH856" s="2"/>
      <c r="AI856" s="2"/>
      <c r="AJ856" s="2"/>
      <c r="AK856" s="2"/>
      <c r="AL856" s="2"/>
      <c r="AM856" s="2"/>
      <c r="AN856" s="2"/>
      <c r="AO856" s="9"/>
      <c r="AP856" s="9"/>
      <c r="AQ856" s="9"/>
      <c r="AR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224"/>
      <c r="X857" s="224"/>
      <c r="Y857" s="224"/>
      <c r="Z857" s="868"/>
      <c r="AA857" s="865"/>
      <c r="AB857" s="2"/>
      <c r="AC857" s="2"/>
      <c r="AD857" s="2"/>
      <c r="AE857" s="2"/>
      <c r="AF857" s="2"/>
      <c r="AG857" s="2"/>
      <c r="AH857" s="2"/>
      <c r="AI857" s="2"/>
      <c r="AJ857" s="2"/>
      <c r="AK857" s="2"/>
      <c r="AL857" s="2"/>
      <c r="AM857" s="2"/>
      <c r="AN857" s="2"/>
      <c r="AO857" s="9"/>
      <c r="AP857" s="9"/>
      <c r="AQ857" s="9"/>
      <c r="AR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224"/>
      <c r="X858" s="224"/>
      <c r="Y858" s="224"/>
      <c r="Z858" s="868"/>
      <c r="AA858" s="865"/>
      <c r="AB858" s="2"/>
      <c r="AC858" s="2"/>
      <c r="AD858" s="2"/>
      <c r="AE858" s="2"/>
      <c r="AF858" s="2"/>
      <c r="AG858" s="2"/>
      <c r="AH858" s="2"/>
      <c r="AI858" s="2"/>
      <c r="AJ858" s="2"/>
      <c r="AK858" s="2"/>
      <c r="AL858" s="2"/>
      <c r="AM858" s="2"/>
      <c r="AN858" s="2"/>
      <c r="AO858" s="9"/>
      <c r="AP858" s="9"/>
      <c r="AQ858" s="9"/>
      <c r="AR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224"/>
      <c r="X859" s="224"/>
      <c r="Y859" s="224"/>
      <c r="Z859" s="868"/>
      <c r="AA859" s="865"/>
      <c r="AB859" s="2"/>
      <c r="AC859" s="2"/>
      <c r="AD859" s="2"/>
      <c r="AE859" s="2"/>
      <c r="AF859" s="2"/>
      <c r="AG859" s="2"/>
      <c r="AH859" s="2"/>
      <c r="AI859" s="2"/>
      <c r="AJ859" s="2"/>
      <c r="AK859" s="2"/>
      <c r="AL859" s="2"/>
      <c r="AM859" s="2"/>
      <c r="AN859" s="2"/>
      <c r="AO859" s="9"/>
      <c r="AP859" s="9"/>
      <c r="AQ859" s="9"/>
      <c r="AR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224"/>
      <c r="X860" s="224"/>
      <c r="Y860" s="224"/>
      <c r="Z860" s="868"/>
      <c r="AA860" s="865"/>
      <c r="AB860" s="2"/>
      <c r="AC860" s="2"/>
      <c r="AD860" s="2"/>
      <c r="AE860" s="2"/>
      <c r="AF860" s="2"/>
      <c r="AG860" s="2"/>
      <c r="AH860" s="2"/>
      <c r="AI860" s="2"/>
      <c r="AJ860" s="2"/>
      <c r="AK860" s="2"/>
      <c r="AL860" s="2"/>
      <c r="AM860" s="2"/>
      <c r="AN860" s="2"/>
      <c r="AO860" s="9"/>
      <c r="AP860" s="9"/>
      <c r="AQ860" s="9"/>
      <c r="AR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224"/>
      <c r="X861" s="224"/>
      <c r="Y861" s="224"/>
      <c r="Z861" s="868"/>
      <c r="AA861" s="865"/>
      <c r="AB861" s="2"/>
      <c r="AC861" s="2"/>
      <c r="AD861" s="2"/>
      <c r="AE861" s="2"/>
      <c r="AF861" s="2"/>
      <c r="AG861" s="2"/>
      <c r="AH861" s="2"/>
      <c r="AI861" s="2"/>
      <c r="AJ861" s="2"/>
      <c r="AK861" s="2"/>
      <c r="AL861" s="2"/>
      <c r="AM861" s="2"/>
      <c r="AN861" s="2"/>
      <c r="AO861" s="9"/>
      <c r="AP861" s="9"/>
      <c r="AQ861" s="9"/>
      <c r="AR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224"/>
      <c r="X862" s="224"/>
      <c r="Y862" s="224"/>
      <c r="Z862" s="868"/>
      <c r="AA862" s="865"/>
      <c r="AB862" s="2"/>
      <c r="AC862" s="2"/>
      <c r="AD862" s="2"/>
      <c r="AE862" s="2"/>
      <c r="AF862" s="2"/>
      <c r="AG862" s="2"/>
      <c r="AH862" s="2"/>
      <c r="AI862" s="2"/>
      <c r="AJ862" s="2"/>
      <c r="AK862" s="2"/>
      <c r="AL862" s="2"/>
      <c r="AM862" s="2"/>
      <c r="AN862" s="2"/>
      <c r="AO862" s="9"/>
      <c r="AP862" s="9"/>
      <c r="AQ862" s="9"/>
      <c r="AR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224"/>
      <c r="X863" s="224"/>
      <c r="Y863" s="224"/>
      <c r="Z863" s="868"/>
      <c r="AA863" s="865"/>
      <c r="AB863" s="2"/>
      <c r="AC863" s="2"/>
      <c r="AD863" s="2"/>
      <c r="AE863" s="2"/>
      <c r="AF863" s="2"/>
      <c r="AG863" s="2"/>
      <c r="AH863" s="2"/>
      <c r="AI863" s="2"/>
      <c r="AJ863" s="2"/>
      <c r="AK863" s="2"/>
      <c r="AL863" s="2"/>
      <c r="AM863" s="2"/>
      <c r="AN863" s="2"/>
      <c r="AO863" s="9"/>
      <c r="AP863" s="9"/>
      <c r="AQ863" s="9"/>
      <c r="AR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224"/>
      <c r="X864" s="224"/>
      <c r="Y864" s="224"/>
      <c r="Z864" s="868"/>
      <c r="AA864" s="865"/>
      <c r="AB864" s="2"/>
      <c r="AC864" s="2"/>
      <c r="AD864" s="2"/>
      <c r="AE864" s="2"/>
      <c r="AF864" s="2"/>
      <c r="AG864" s="2"/>
      <c r="AH864" s="2"/>
      <c r="AI864" s="2"/>
      <c r="AJ864" s="2"/>
      <c r="AK864" s="2"/>
      <c r="AL864" s="2"/>
      <c r="AM864" s="2"/>
      <c r="AN864" s="2"/>
      <c r="AO864" s="9"/>
      <c r="AP864" s="9"/>
      <c r="AQ864" s="9"/>
      <c r="AR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224"/>
      <c r="X865" s="224"/>
      <c r="Y865" s="224"/>
      <c r="Z865" s="868"/>
      <c r="AA865" s="865"/>
      <c r="AB865" s="2"/>
      <c r="AC865" s="2"/>
      <c r="AD865" s="2"/>
      <c r="AE865" s="2"/>
      <c r="AF865" s="2"/>
      <c r="AG865" s="2"/>
      <c r="AH865" s="2"/>
      <c r="AI865" s="2"/>
      <c r="AJ865" s="2"/>
      <c r="AK865" s="2"/>
      <c r="AL865" s="2"/>
      <c r="AM865" s="2"/>
      <c r="AN865" s="2"/>
      <c r="AO865" s="9"/>
      <c r="AP865" s="9"/>
      <c r="AQ865" s="9"/>
      <c r="AR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224"/>
      <c r="X866" s="224"/>
      <c r="Y866" s="224"/>
      <c r="Z866" s="868"/>
      <c r="AA866" s="865"/>
      <c r="AB866" s="2"/>
      <c r="AC866" s="2"/>
      <c r="AD866" s="2"/>
      <c r="AE866" s="2"/>
      <c r="AF866" s="2"/>
      <c r="AG866" s="2"/>
      <c r="AH866" s="2"/>
      <c r="AI866" s="2"/>
      <c r="AJ866" s="2"/>
      <c r="AK866" s="2"/>
      <c r="AL866" s="2"/>
      <c r="AM866" s="2"/>
      <c r="AN866" s="2"/>
      <c r="AO866" s="9"/>
      <c r="AP866" s="9"/>
      <c r="AQ866" s="9"/>
      <c r="AR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224"/>
      <c r="X867" s="224"/>
      <c r="Y867" s="224"/>
      <c r="Z867" s="868"/>
      <c r="AA867" s="865"/>
      <c r="AB867" s="2"/>
      <c r="AC867" s="2"/>
      <c r="AD867" s="2"/>
      <c r="AE867" s="2"/>
      <c r="AF867" s="2"/>
      <c r="AG867" s="2"/>
      <c r="AH867" s="2"/>
      <c r="AI867" s="2"/>
      <c r="AJ867" s="2"/>
      <c r="AK867" s="2"/>
      <c r="AL867" s="2"/>
      <c r="AM867" s="2"/>
      <c r="AN867" s="2"/>
      <c r="AO867" s="9"/>
      <c r="AP867" s="9"/>
      <c r="AQ867" s="9"/>
      <c r="AR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224"/>
      <c r="X868" s="224"/>
      <c r="Y868" s="224"/>
      <c r="Z868" s="868"/>
      <c r="AA868" s="865"/>
      <c r="AB868" s="2"/>
      <c r="AC868" s="2"/>
      <c r="AD868" s="2"/>
      <c r="AE868" s="2"/>
      <c r="AF868" s="2"/>
      <c r="AG868" s="2"/>
      <c r="AH868" s="2"/>
      <c r="AI868" s="2"/>
      <c r="AJ868" s="2"/>
      <c r="AK868" s="2"/>
      <c r="AL868" s="2"/>
      <c r="AM868" s="2"/>
      <c r="AN868" s="2"/>
      <c r="AO868" s="9"/>
      <c r="AP868" s="9"/>
      <c r="AQ868" s="9"/>
      <c r="AR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224"/>
      <c r="X869" s="224"/>
      <c r="Y869" s="224"/>
      <c r="Z869" s="868"/>
      <c r="AA869" s="865"/>
      <c r="AB869" s="2"/>
      <c r="AC869" s="2"/>
      <c r="AD869" s="2"/>
      <c r="AE869" s="2"/>
      <c r="AF869" s="2"/>
      <c r="AG869" s="2"/>
      <c r="AH869" s="2"/>
      <c r="AI869" s="2"/>
      <c r="AJ869" s="2"/>
      <c r="AK869" s="2"/>
      <c r="AL869" s="2"/>
      <c r="AM869" s="2"/>
      <c r="AN869" s="2"/>
      <c r="AO869" s="9"/>
      <c r="AP869" s="9"/>
      <c r="AQ869" s="9"/>
      <c r="AR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224"/>
      <c r="X870" s="224"/>
      <c r="Y870" s="224"/>
      <c r="Z870" s="868"/>
      <c r="AA870" s="865"/>
      <c r="AB870" s="2"/>
      <c r="AC870" s="2"/>
      <c r="AD870" s="2"/>
      <c r="AE870" s="2"/>
      <c r="AF870" s="2"/>
      <c r="AG870" s="2"/>
      <c r="AH870" s="2"/>
      <c r="AI870" s="2"/>
      <c r="AJ870" s="2"/>
      <c r="AK870" s="2"/>
      <c r="AL870" s="2"/>
      <c r="AM870" s="2"/>
      <c r="AN870" s="2"/>
      <c r="AO870" s="9"/>
      <c r="AP870" s="9"/>
      <c r="AQ870" s="9"/>
      <c r="AR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224"/>
      <c r="X871" s="224"/>
      <c r="Y871" s="224"/>
      <c r="Z871" s="868"/>
      <c r="AA871" s="865"/>
      <c r="AB871" s="2"/>
      <c r="AC871" s="2"/>
      <c r="AD871" s="2"/>
      <c r="AE871" s="2"/>
      <c r="AF871" s="2"/>
      <c r="AG871" s="2"/>
      <c r="AH871" s="2"/>
      <c r="AI871" s="2"/>
      <c r="AJ871" s="2"/>
      <c r="AK871" s="2"/>
      <c r="AL871" s="2"/>
      <c r="AM871" s="2"/>
      <c r="AN871" s="2"/>
      <c r="AO871" s="9"/>
      <c r="AP871" s="9"/>
      <c r="AQ871" s="9"/>
      <c r="AR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224"/>
      <c r="X872" s="224"/>
      <c r="Y872" s="224"/>
      <c r="Z872" s="868"/>
      <c r="AA872" s="865"/>
      <c r="AB872" s="2"/>
      <c r="AC872" s="2"/>
      <c r="AD872" s="2"/>
      <c r="AE872" s="2"/>
      <c r="AF872" s="2"/>
      <c r="AG872" s="2"/>
      <c r="AH872" s="2"/>
      <c r="AI872" s="2"/>
      <c r="AJ872" s="2"/>
      <c r="AK872" s="2"/>
      <c r="AL872" s="2"/>
      <c r="AM872" s="2"/>
      <c r="AN872" s="2"/>
      <c r="AO872" s="9"/>
      <c r="AP872" s="9"/>
      <c r="AQ872" s="9"/>
      <c r="AR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224"/>
      <c r="X873" s="224"/>
      <c r="Y873" s="224"/>
      <c r="Z873" s="868"/>
      <c r="AA873" s="865"/>
      <c r="AB873" s="2"/>
      <c r="AC873" s="2"/>
      <c r="AD873" s="2"/>
      <c r="AE873" s="2"/>
      <c r="AF873" s="2"/>
      <c r="AG873" s="2"/>
      <c r="AH873" s="2"/>
      <c r="AI873" s="2"/>
      <c r="AJ873" s="2"/>
      <c r="AK873" s="2"/>
      <c r="AL873" s="2"/>
      <c r="AM873" s="2"/>
      <c r="AN873" s="2"/>
      <c r="AO873" s="9"/>
      <c r="AP873" s="9"/>
      <c r="AQ873" s="9"/>
      <c r="AR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224"/>
      <c r="X874" s="224"/>
      <c r="Y874" s="224"/>
      <c r="Z874" s="868"/>
      <c r="AA874" s="865"/>
      <c r="AB874" s="2"/>
      <c r="AC874" s="2"/>
      <c r="AD874" s="2"/>
      <c r="AE874" s="2"/>
      <c r="AF874" s="2"/>
      <c r="AG874" s="2"/>
      <c r="AH874" s="2"/>
      <c r="AI874" s="2"/>
      <c r="AJ874" s="2"/>
      <c r="AK874" s="2"/>
      <c r="AL874" s="2"/>
      <c r="AM874" s="2"/>
      <c r="AN874" s="2"/>
      <c r="AO874" s="9"/>
      <c r="AP874" s="9"/>
      <c r="AQ874" s="9"/>
      <c r="AR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224"/>
      <c r="X875" s="224"/>
      <c r="Y875" s="224"/>
      <c r="Z875" s="868"/>
      <c r="AA875" s="865"/>
      <c r="AB875" s="2"/>
      <c r="AC875" s="2"/>
      <c r="AD875" s="2"/>
      <c r="AE875" s="2"/>
      <c r="AF875" s="2"/>
      <c r="AG875" s="2"/>
      <c r="AH875" s="2"/>
      <c r="AI875" s="2"/>
      <c r="AJ875" s="2"/>
      <c r="AK875" s="2"/>
      <c r="AL875" s="2"/>
      <c r="AM875" s="2"/>
      <c r="AN875" s="2"/>
      <c r="AO875" s="9"/>
      <c r="AP875" s="9"/>
      <c r="AQ875" s="9"/>
      <c r="AR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224"/>
      <c r="X876" s="224"/>
      <c r="Y876" s="224"/>
      <c r="Z876" s="868"/>
      <c r="AA876" s="865"/>
      <c r="AB876" s="2"/>
      <c r="AC876" s="2"/>
      <c r="AD876" s="2"/>
      <c r="AE876" s="2"/>
      <c r="AF876" s="2"/>
      <c r="AG876" s="2"/>
      <c r="AH876" s="2"/>
      <c r="AI876" s="2"/>
      <c r="AJ876" s="2"/>
      <c r="AK876" s="2"/>
      <c r="AL876" s="2"/>
      <c r="AM876" s="2"/>
      <c r="AN876" s="2"/>
      <c r="AO876" s="9"/>
      <c r="AP876" s="9"/>
      <c r="AQ876" s="9"/>
      <c r="AR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224"/>
      <c r="X877" s="224"/>
      <c r="Y877" s="224"/>
      <c r="Z877" s="868"/>
      <c r="AA877" s="865"/>
      <c r="AB877" s="2"/>
      <c r="AC877" s="2"/>
      <c r="AD877" s="2"/>
      <c r="AE877" s="2"/>
      <c r="AF877" s="2"/>
      <c r="AG877" s="2"/>
      <c r="AH877" s="2"/>
      <c r="AI877" s="2"/>
      <c r="AJ877" s="2"/>
      <c r="AK877" s="2"/>
      <c r="AL877" s="2"/>
      <c r="AM877" s="2"/>
      <c r="AN877" s="2"/>
      <c r="AO877" s="9"/>
      <c r="AP877" s="9"/>
      <c r="AQ877" s="9"/>
      <c r="AR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224"/>
      <c r="X878" s="224"/>
      <c r="Y878" s="224"/>
      <c r="Z878" s="868"/>
      <c r="AA878" s="865"/>
      <c r="AB878" s="2"/>
      <c r="AC878" s="2"/>
      <c r="AD878" s="2"/>
      <c r="AE878" s="2"/>
      <c r="AF878" s="2"/>
      <c r="AG878" s="2"/>
      <c r="AH878" s="2"/>
      <c r="AI878" s="2"/>
      <c r="AJ878" s="2"/>
      <c r="AK878" s="2"/>
      <c r="AL878" s="2"/>
      <c r="AM878" s="2"/>
      <c r="AN878" s="2"/>
      <c r="AO878" s="9"/>
      <c r="AP878" s="9"/>
      <c r="AQ878" s="9"/>
      <c r="AR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224"/>
      <c r="X879" s="224"/>
      <c r="Y879" s="224"/>
      <c r="Z879" s="868"/>
      <c r="AA879" s="865"/>
      <c r="AB879" s="2"/>
      <c r="AC879" s="2"/>
      <c r="AD879" s="2"/>
      <c r="AE879" s="2"/>
      <c r="AF879" s="2"/>
      <c r="AG879" s="2"/>
      <c r="AH879" s="2"/>
      <c r="AI879" s="2"/>
      <c r="AJ879" s="2"/>
      <c r="AK879" s="2"/>
      <c r="AL879" s="2"/>
      <c r="AM879" s="2"/>
      <c r="AN879" s="2"/>
      <c r="AO879" s="9"/>
      <c r="AP879" s="9"/>
      <c r="AQ879" s="9"/>
      <c r="AR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224"/>
      <c r="X880" s="224"/>
      <c r="Y880" s="224"/>
      <c r="Z880" s="868"/>
      <c r="AA880" s="865"/>
      <c r="AB880" s="2"/>
      <c r="AC880" s="2"/>
      <c r="AD880" s="2"/>
      <c r="AE880" s="2"/>
      <c r="AF880" s="2"/>
      <c r="AG880" s="2"/>
      <c r="AH880" s="2"/>
      <c r="AI880" s="2"/>
      <c r="AJ880" s="2"/>
      <c r="AK880" s="2"/>
      <c r="AL880" s="2"/>
      <c r="AM880" s="2"/>
      <c r="AN880" s="2"/>
      <c r="AO880" s="9"/>
      <c r="AP880" s="9"/>
      <c r="AQ880" s="9"/>
      <c r="AR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224"/>
      <c r="X881" s="224"/>
      <c r="Y881" s="224"/>
      <c r="Z881" s="868"/>
      <c r="AA881" s="865"/>
      <c r="AB881" s="2"/>
      <c r="AC881" s="2"/>
      <c r="AD881" s="2"/>
      <c r="AE881" s="2"/>
      <c r="AF881" s="2"/>
      <c r="AG881" s="2"/>
      <c r="AH881" s="2"/>
      <c r="AI881" s="2"/>
      <c r="AJ881" s="2"/>
      <c r="AK881" s="2"/>
      <c r="AL881" s="2"/>
      <c r="AM881" s="2"/>
      <c r="AN881" s="2"/>
      <c r="AO881" s="9"/>
      <c r="AP881" s="9"/>
      <c r="AQ881" s="9"/>
      <c r="AR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224"/>
      <c r="X882" s="224"/>
      <c r="Y882" s="224"/>
      <c r="Z882" s="868"/>
      <c r="AA882" s="865"/>
      <c r="AB882" s="2"/>
      <c r="AC882" s="2"/>
      <c r="AD882" s="2"/>
      <c r="AE882" s="2"/>
      <c r="AF882" s="2"/>
      <c r="AG882" s="2"/>
      <c r="AH882" s="2"/>
      <c r="AI882" s="2"/>
      <c r="AJ882" s="2"/>
      <c r="AK882" s="2"/>
      <c r="AL882" s="2"/>
      <c r="AM882" s="2"/>
      <c r="AN882" s="2"/>
      <c r="AO882" s="9"/>
      <c r="AP882" s="9"/>
      <c r="AQ882" s="9"/>
      <c r="AR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224"/>
      <c r="X883" s="224"/>
      <c r="Y883" s="224"/>
      <c r="Z883" s="868"/>
      <c r="AA883" s="865"/>
      <c r="AB883" s="2"/>
      <c r="AC883" s="2"/>
      <c r="AD883" s="2"/>
      <c r="AE883" s="2"/>
      <c r="AF883" s="2"/>
      <c r="AG883" s="2"/>
      <c r="AH883" s="2"/>
      <c r="AI883" s="2"/>
      <c r="AJ883" s="2"/>
      <c r="AK883" s="2"/>
      <c r="AL883" s="2"/>
      <c r="AM883" s="2"/>
      <c r="AN883" s="2"/>
      <c r="AO883" s="9"/>
      <c r="AP883" s="9"/>
      <c r="AQ883" s="9"/>
      <c r="AR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224"/>
      <c r="X884" s="224"/>
      <c r="Y884" s="224"/>
      <c r="Z884" s="868"/>
      <c r="AA884" s="865"/>
      <c r="AB884" s="2"/>
      <c r="AC884" s="2"/>
      <c r="AD884" s="2"/>
      <c r="AE884" s="2"/>
      <c r="AF884" s="2"/>
      <c r="AG884" s="2"/>
      <c r="AH884" s="2"/>
      <c r="AI884" s="2"/>
      <c r="AJ884" s="2"/>
      <c r="AK884" s="2"/>
      <c r="AL884" s="2"/>
      <c r="AM884" s="2"/>
      <c r="AN884" s="2"/>
      <c r="AO884" s="9"/>
      <c r="AP884" s="9"/>
      <c r="AQ884" s="9"/>
      <c r="AR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224"/>
      <c r="X885" s="224"/>
      <c r="Y885" s="224"/>
      <c r="Z885" s="868"/>
      <c r="AA885" s="865"/>
      <c r="AB885" s="2"/>
      <c r="AC885" s="2"/>
      <c r="AD885" s="2"/>
      <c r="AE885" s="2"/>
      <c r="AF885" s="2"/>
      <c r="AG885" s="2"/>
      <c r="AH885" s="2"/>
      <c r="AI885" s="2"/>
      <c r="AJ885" s="2"/>
      <c r="AK885" s="2"/>
      <c r="AL885" s="2"/>
      <c r="AM885" s="2"/>
      <c r="AN885" s="2"/>
      <c r="AO885" s="9"/>
      <c r="AP885" s="9"/>
      <c r="AQ885" s="9"/>
      <c r="AR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224"/>
      <c r="X886" s="224"/>
      <c r="Y886" s="224"/>
      <c r="Z886" s="868"/>
      <c r="AA886" s="865"/>
      <c r="AB886" s="2"/>
      <c r="AC886" s="2"/>
      <c r="AD886" s="2"/>
      <c r="AE886" s="2"/>
      <c r="AF886" s="2"/>
      <c r="AG886" s="2"/>
      <c r="AH886" s="2"/>
      <c r="AI886" s="2"/>
      <c r="AJ886" s="2"/>
      <c r="AK886" s="2"/>
      <c r="AL886" s="2"/>
      <c r="AM886" s="2"/>
      <c r="AN886" s="2"/>
      <c r="AO886" s="9"/>
      <c r="AP886" s="9"/>
      <c r="AQ886" s="9"/>
      <c r="AR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224"/>
      <c r="X887" s="224"/>
      <c r="Y887" s="224"/>
      <c r="Z887" s="868"/>
      <c r="AA887" s="865"/>
      <c r="AB887" s="2"/>
      <c r="AC887" s="2"/>
      <c r="AD887" s="2"/>
      <c r="AE887" s="2"/>
      <c r="AF887" s="2"/>
      <c r="AG887" s="2"/>
      <c r="AH887" s="2"/>
      <c r="AI887" s="2"/>
      <c r="AJ887" s="2"/>
      <c r="AK887" s="2"/>
      <c r="AL887" s="2"/>
      <c r="AM887" s="2"/>
      <c r="AN887" s="2"/>
      <c r="AO887" s="9"/>
      <c r="AP887" s="9"/>
      <c r="AQ887" s="9"/>
      <c r="AR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224"/>
      <c r="X888" s="224"/>
      <c r="Y888" s="224"/>
      <c r="Z888" s="868"/>
      <c r="AA888" s="865"/>
      <c r="AB888" s="2"/>
      <c r="AC888" s="2"/>
      <c r="AD888" s="2"/>
      <c r="AE888" s="2"/>
      <c r="AF888" s="2"/>
      <c r="AG888" s="2"/>
      <c r="AH888" s="2"/>
      <c r="AI888" s="2"/>
      <c r="AJ888" s="2"/>
      <c r="AK888" s="2"/>
      <c r="AL888" s="2"/>
      <c r="AM888" s="2"/>
      <c r="AN888" s="2"/>
      <c r="AO888" s="9"/>
      <c r="AP888" s="9"/>
      <c r="AQ888" s="9"/>
      <c r="AR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224"/>
      <c r="X889" s="224"/>
      <c r="Y889" s="224"/>
      <c r="Z889" s="868"/>
      <c r="AA889" s="865"/>
      <c r="AB889" s="2"/>
      <c r="AC889" s="2"/>
      <c r="AD889" s="2"/>
      <c r="AE889" s="2"/>
      <c r="AF889" s="2"/>
      <c r="AG889" s="2"/>
      <c r="AH889" s="2"/>
      <c r="AI889" s="2"/>
      <c r="AJ889" s="2"/>
      <c r="AK889" s="2"/>
      <c r="AL889" s="2"/>
      <c r="AM889" s="2"/>
      <c r="AN889" s="2"/>
      <c r="AO889" s="9"/>
      <c r="AP889" s="9"/>
      <c r="AQ889" s="9"/>
      <c r="AR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224"/>
      <c r="X890" s="224"/>
      <c r="Y890" s="224"/>
      <c r="Z890" s="868"/>
      <c r="AA890" s="865"/>
      <c r="AB890" s="2"/>
      <c r="AC890" s="2"/>
      <c r="AD890" s="2"/>
      <c r="AE890" s="2"/>
      <c r="AF890" s="2"/>
      <c r="AG890" s="2"/>
      <c r="AH890" s="2"/>
      <c r="AI890" s="2"/>
      <c r="AJ890" s="2"/>
      <c r="AK890" s="2"/>
      <c r="AL890" s="2"/>
      <c r="AM890" s="2"/>
      <c r="AN890" s="2"/>
      <c r="AO890" s="9"/>
      <c r="AP890" s="9"/>
      <c r="AQ890" s="9"/>
      <c r="AR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224"/>
      <c r="X891" s="224"/>
      <c r="Y891" s="224"/>
      <c r="Z891" s="868"/>
      <c r="AA891" s="865"/>
      <c r="AB891" s="2"/>
      <c r="AC891" s="2"/>
      <c r="AD891" s="2"/>
      <c r="AE891" s="2"/>
      <c r="AF891" s="2"/>
      <c r="AG891" s="2"/>
      <c r="AH891" s="2"/>
      <c r="AI891" s="2"/>
      <c r="AJ891" s="2"/>
      <c r="AK891" s="2"/>
      <c r="AL891" s="2"/>
      <c r="AM891" s="2"/>
      <c r="AN891" s="2"/>
      <c r="AO891" s="9"/>
      <c r="AP891" s="9"/>
      <c r="AQ891" s="9"/>
      <c r="AR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224"/>
      <c r="X892" s="224"/>
      <c r="Y892" s="224"/>
      <c r="Z892" s="868"/>
      <c r="AA892" s="865"/>
      <c r="AB892" s="2"/>
      <c r="AC892" s="2"/>
      <c r="AD892" s="2"/>
      <c r="AE892" s="2"/>
      <c r="AF892" s="2"/>
      <c r="AG892" s="2"/>
      <c r="AH892" s="2"/>
      <c r="AI892" s="2"/>
      <c r="AJ892" s="2"/>
      <c r="AK892" s="2"/>
      <c r="AL892" s="2"/>
      <c r="AM892" s="2"/>
      <c r="AN892" s="2"/>
      <c r="AO892" s="9"/>
      <c r="AP892" s="9"/>
      <c r="AQ892" s="9"/>
      <c r="AR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224"/>
      <c r="X893" s="224"/>
      <c r="Y893" s="224"/>
      <c r="Z893" s="868"/>
      <c r="AA893" s="865"/>
      <c r="AB893" s="2"/>
      <c r="AC893" s="2"/>
      <c r="AD893" s="2"/>
      <c r="AE893" s="2"/>
      <c r="AF893" s="2"/>
      <c r="AG893" s="2"/>
      <c r="AH893" s="2"/>
      <c r="AI893" s="2"/>
      <c r="AJ893" s="2"/>
      <c r="AK893" s="2"/>
      <c r="AL893" s="2"/>
      <c r="AM893" s="2"/>
      <c r="AN893" s="2"/>
      <c r="AO893" s="9"/>
      <c r="AP893" s="9"/>
      <c r="AQ893" s="9"/>
      <c r="AR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224"/>
      <c r="X894" s="224"/>
      <c r="Y894" s="224"/>
      <c r="Z894" s="868"/>
      <c r="AA894" s="865"/>
      <c r="AB894" s="2"/>
      <c r="AC894" s="2"/>
      <c r="AD894" s="2"/>
      <c r="AE894" s="2"/>
      <c r="AF894" s="2"/>
      <c r="AG894" s="2"/>
      <c r="AH894" s="2"/>
      <c r="AI894" s="2"/>
      <c r="AJ894" s="2"/>
      <c r="AK894" s="2"/>
      <c r="AL894" s="2"/>
      <c r="AM894" s="2"/>
      <c r="AN894" s="2"/>
      <c r="AO894" s="9"/>
      <c r="AP894" s="9"/>
      <c r="AQ894" s="9"/>
      <c r="AR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224"/>
      <c r="X895" s="224"/>
      <c r="Y895" s="224"/>
      <c r="Z895" s="868"/>
      <c r="AA895" s="865"/>
      <c r="AB895" s="2"/>
      <c r="AC895" s="2"/>
      <c r="AD895" s="2"/>
      <c r="AE895" s="2"/>
      <c r="AF895" s="2"/>
      <c r="AG895" s="2"/>
      <c r="AH895" s="2"/>
      <c r="AI895" s="2"/>
      <c r="AJ895" s="2"/>
      <c r="AK895" s="2"/>
      <c r="AL895" s="2"/>
      <c r="AM895" s="2"/>
      <c r="AN895" s="2"/>
      <c r="AO895" s="9"/>
      <c r="AP895" s="9"/>
      <c r="AQ895" s="9"/>
      <c r="AR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224"/>
      <c r="X896" s="224"/>
      <c r="Y896" s="224"/>
      <c r="Z896" s="868"/>
      <c r="AA896" s="865"/>
      <c r="AB896" s="2"/>
      <c r="AC896" s="2"/>
      <c r="AD896" s="2"/>
      <c r="AE896" s="2"/>
      <c r="AF896" s="2"/>
      <c r="AG896" s="2"/>
      <c r="AH896" s="2"/>
      <c r="AI896" s="2"/>
      <c r="AJ896" s="2"/>
      <c r="AK896" s="2"/>
      <c r="AL896" s="2"/>
      <c r="AM896" s="2"/>
      <c r="AN896" s="2"/>
      <c r="AO896" s="9"/>
      <c r="AP896" s="9"/>
      <c r="AQ896" s="9"/>
      <c r="AR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224"/>
      <c r="X897" s="224"/>
      <c r="Y897" s="224"/>
      <c r="Z897" s="868"/>
      <c r="AA897" s="865"/>
      <c r="AB897" s="2"/>
      <c r="AC897" s="2"/>
      <c r="AD897" s="2"/>
      <c r="AE897" s="2"/>
      <c r="AF897" s="2"/>
      <c r="AG897" s="2"/>
      <c r="AH897" s="2"/>
      <c r="AI897" s="2"/>
      <c r="AJ897" s="2"/>
      <c r="AK897" s="2"/>
      <c r="AL897" s="2"/>
      <c r="AM897" s="2"/>
      <c r="AN897" s="2"/>
      <c r="AO897" s="9"/>
      <c r="AP897" s="9"/>
      <c r="AQ897" s="9"/>
      <c r="AR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224"/>
      <c r="X898" s="224"/>
      <c r="Y898" s="224"/>
      <c r="Z898" s="868"/>
      <c r="AA898" s="865"/>
      <c r="AB898" s="2"/>
      <c r="AC898" s="2"/>
      <c r="AD898" s="2"/>
      <c r="AE898" s="2"/>
      <c r="AF898" s="2"/>
      <c r="AG898" s="2"/>
      <c r="AH898" s="2"/>
      <c r="AI898" s="2"/>
      <c r="AJ898" s="2"/>
      <c r="AK898" s="2"/>
      <c r="AL898" s="2"/>
      <c r="AM898" s="2"/>
      <c r="AN898" s="2"/>
      <c r="AO898" s="9"/>
      <c r="AP898" s="9"/>
      <c r="AQ898" s="9"/>
      <c r="AR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224"/>
      <c r="X899" s="224"/>
      <c r="Y899" s="224"/>
      <c r="Z899" s="868"/>
      <c r="AA899" s="865"/>
      <c r="AB899" s="2"/>
      <c r="AC899" s="2"/>
      <c r="AD899" s="2"/>
      <c r="AE899" s="2"/>
      <c r="AF899" s="2"/>
      <c r="AG899" s="2"/>
      <c r="AH899" s="2"/>
      <c r="AI899" s="2"/>
      <c r="AJ899" s="2"/>
      <c r="AK899" s="2"/>
      <c r="AL899" s="2"/>
      <c r="AM899" s="2"/>
      <c r="AN899" s="2"/>
      <c r="AO899" s="9"/>
      <c r="AP899" s="9"/>
      <c r="AQ899" s="9"/>
      <c r="AR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224"/>
      <c r="X900" s="224"/>
      <c r="Y900" s="224"/>
      <c r="Z900" s="868"/>
      <c r="AA900" s="865"/>
      <c r="AB900" s="2"/>
      <c r="AC900" s="2"/>
      <c r="AD900" s="2"/>
      <c r="AE900" s="2"/>
      <c r="AF900" s="2"/>
      <c r="AG900" s="2"/>
      <c r="AH900" s="2"/>
      <c r="AI900" s="2"/>
      <c r="AJ900" s="2"/>
      <c r="AK900" s="2"/>
      <c r="AL900" s="2"/>
      <c r="AM900" s="2"/>
      <c r="AN900" s="2"/>
      <c r="AO900" s="9"/>
      <c r="AP900" s="9"/>
      <c r="AQ900" s="9"/>
      <c r="AR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224"/>
      <c r="X901" s="224"/>
      <c r="Y901" s="224"/>
      <c r="Z901" s="868"/>
      <c r="AA901" s="865"/>
      <c r="AB901" s="2"/>
      <c r="AC901" s="2"/>
      <c r="AD901" s="2"/>
      <c r="AE901" s="2"/>
      <c r="AF901" s="2"/>
      <c r="AG901" s="2"/>
      <c r="AH901" s="2"/>
      <c r="AI901" s="2"/>
      <c r="AJ901" s="2"/>
      <c r="AK901" s="2"/>
      <c r="AL901" s="2"/>
      <c r="AM901" s="2"/>
      <c r="AN901" s="2"/>
      <c r="AO901" s="9"/>
      <c r="AP901" s="9"/>
      <c r="AQ901" s="9"/>
      <c r="AR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224"/>
      <c r="X902" s="224"/>
      <c r="Y902" s="224"/>
      <c r="Z902" s="868"/>
      <c r="AA902" s="865"/>
      <c r="AB902" s="2"/>
      <c r="AC902" s="2"/>
      <c r="AD902" s="2"/>
      <c r="AE902" s="2"/>
      <c r="AF902" s="2"/>
      <c r="AG902" s="2"/>
      <c r="AH902" s="2"/>
      <c r="AI902" s="2"/>
      <c r="AJ902" s="2"/>
      <c r="AK902" s="2"/>
      <c r="AL902" s="2"/>
      <c r="AM902" s="2"/>
      <c r="AN902" s="2"/>
      <c r="AO902" s="9"/>
      <c r="AP902" s="9"/>
      <c r="AQ902" s="9"/>
      <c r="AR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224"/>
      <c r="X903" s="224"/>
      <c r="Y903" s="224"/>
      <c r="Z903" s="868"/>
      <c r="AA903" s="865"/>
      <c r="AB903" s="2"/>
      <c r="AC903" s="2"/>
      <c r="AD903" s="2"/>
      <c r="AE903" s="2"/>
      <c r="AF903" s="2"/>
      <c r="AG903" s="2"/>
      <c r="AH903" s="2"/>
      <c r="AI903" s="2"/>
      <c r="AJ903" s="2"/>
      <c r="AK903" s="2"/>
      <c r="AL903" s="2"/>
      <c r="AM903" s="2"/>
      <c r="AN903" s="2"/>
      <c r="AO903" s="9"/>
      <c r="AP903" s="9"/>
      <c r="AQ903" s="9"/>
      <c r="AR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224"/>
      <c r="X904" s="224"/>
      <c r="Y904" s="224"/>
      <c r="Z904" s="868"/>
      <c r="AA904" s="865"/>
      <c r="AB904" s="2"/>
      <c r="AC904" s="2"/>
      <c r="AD904" s="2"/>
      <c r="AE904" s="2"/>
      <c r="AF904" s="2"/>
      <c r="AG904" s="2"/>
      <c r="AH904" s="2"/>
      <c r="AI904" s="2"/>
      <c r="AJ904" s="2"/>
      <c r="AK904" s="2"/>
      <c r="AL904" s="2"/>
      <c r="AM904" s="2"/>
      <c r="AN904" s="2"/>
      <c r="AO904" s="9"/>
      <c r="AP904" s="9"/>
      <c r="AQ904" s="9"/>
      <c r="AR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224"/>
      <c r="X905" s="224"/>
      <c r="Y905" s="224"/>
      <c r="Z905" s="868"/>
      <c r="AA905" s="865"/>
      <c r="AB905" s="2"/>
      <c r="AC905" s="2"/>
      <c r="AD905" s="2"/>
      <c r="AE905" s="2"/>
      <c r="AF905" s="2"/>
      <c r="AG905" s="2"/>
      <c r="AH905" s="2"/>
      <c r="AI905" s="2"/>
      <c r="AJ905" s="2"/>
      <c r="AK905" s="2"/>
      <c r="AL905" s="2"/>
      <c r="AM905" s="2"/>
      <c r="AN905" s="2"/>
      <c r="AO905" s="9"/>
      <c r="AP905" s="9"/>
      <c r="AQ905" s="9"/>
      <c r="AR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224"/>
      <c r="X906" s="224"/>
      <c r="Y906" s="224"/>
      <c r="Z906" s="868"/>
      <c r="AA906" s="865"/>
      <c r="AB906" s="2"/>
      <c r="AC906" s="2"/>
      <c r="AD906" s="2"/>
      <c r="AE906" s="2"/>
      <c r="AF906" s="2"/>
      <c r="AG906" s="2"/>
      <c r="AH906" s="2"/>
      <c r="AI906" s="2"/>
      <c r="AJ906" s="2"/>
      <c r="AK906" s="2"/>
      <c r="AL906" s="2"/>
      <c r="AM906" s="2"/>
      <c r="AN906" s="2"/>
      <c r="AO906" s="9"/>
      <c r="AP906" s="9"/>
      <c r="AQ906" s="9"/>
      <c r="AR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224"/>
      <c r="X907" s="224"/>
      <c r="Y907" s="224"/>
      <c r="Z907" s="868"/>
      <c r="AA907" s="865"/>
      <c r="AB907" s="2"/>
      <c r="AC907" s="2"/>
      <c r="AD907" s="2"/>
      <c r="AE907" s="2"/>
      <c r="AF907" s="2"/>
      <c r="AG907" s="2"/>
      <c r="AH907" s="2"/>
      <c r="AI907" s="2"/>
      <c r="AJ907" s="2"/>
      <c r="AK907" s="2"/>
      <c r="AL907" s="2"/>
      <c r="AM907" s="2"/>
      <c r="AN907" s="2"/>
      <c r="AO907" s="9"/>
      <c r="AP907" s="9"/>
      <c r="AQ907" s="9"/>
      <c r="AR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224"/>
      <c r="X908" s="224"/>
      <c r="Y908" s="224"/>
      <c r="Z908" s="868"/>
      <c r="AA908" s="865"/>
      <c r="AB908" s="2"/>
      <c r="AC908" s="2"/>
      <c r="AD908" s="2"/>
      <c r="AE908" s="2"/>
      <c r="AF908" s="2"/>
      <c r="AG908" s="2"/>
      <c r="AH908" s="2"/>
      <c r="AI908" s="2"/>
      <c r="AJ908" s="2"/>
      <c r="AK908" s="2"/>
      <c r="AL908" s="2"/>
      <c r="AM908" s="2"/>
      <c r="AN908" s="2"/>
      <c r="AO908" s="9"/>
      <c r="AP908" s="9"/>
      <c r="AQ908" s="9"/>
      <c r="AR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224"/>
      <c r="X909" s="224"/>
      <c r="Y909" s="224"/>
      <c r="Z909" s="868"/>
      <c r="AA909" s="865"/>
      <c r="AB909" s="2"/>
      <c r="AC909" s="2"/>
      <c r="AD909" s="2"/>
      <c r="AE909" s="2"/>
      <c r="AF909" s="2"/>
      <c r="AG909" s="2"/>
      <c r="AH909" s="2"/>
      <c r="AI909" s="2"/>
      <c r="AJ909" s="2"/>
      <c r="AK909" s="2"/>
      <c r="AL909" s="2"/>
      <c r="AM909" s="2"/>
      <c r="AN909" s="2"/>
      <c r="AO909" s="9"/>
      <c r="AP909" s="9"/>
      <c r="AQ909" s="9"/>
      <c r="AR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224"/>
      <c r="X910" s="224"/>
      <c r="Y910" s="224"/>
      <c r="Z910" s="868"/>
      <c r="AA910" s="865"/>
      <c r="AB910" s="2"/>
      <c r="AC910" s="2"/>
      <c r="AD910" s="2"/>
      <c r="AE910" s="2"/>
      <c r="AF910" s="2"/>
      <c r="AG910" s="2"/>
      <c r="AH910" s="2"/>
      <c r="AI910" s="2"/>
      <c r="AJ910" s="2"/>
      <c r="AK910" s="2"/>
      <c r="AL910" s="2"/>
      <c r="AM910" s="2"/>
      <c r="AN910" s="2"/>
      <c r="AO910" s="9"/>
      <c r="AP910" s="9"/>
      <c r="AQ910" s="9"/>
      <c r="AR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224"/>
      <c r="X911" s="224"/>
      <c r="Y911" s="224"/>
      <c r="Z911" s="868"/>
      <c r="AA911" s="865"/>
      <c r="AB911" s="2"/>
      <c r="AC911" s="2"/>
      <c r="AD911" s="2"/>
      <c r="AE911" s="2"/>
      <c r="AF911" s="2"/>
      <c r="AG911" s="2"/>
      <c r="AH911" s="2"/>
      <c r="AI911" s="2"/>
      <c r="AJ911" s="2"/>
      <c r="AK911" s="2"/>
      <c r="AL911" s="2"/>
      <c r="AM911" s="2"/>
      <c r="AN911" s="2"/>
      <c r="AO911" s="9"/>
      <c r="AP911" s="9"/>
      <c r="AQ911" s="9"/>
      <c r="AR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224"/>
      <c r="X912" s="224"/>
      <c r="Y912" s="224"/>
      <c r="Z912" s="868"/>
      <c r="AA912" s="865"/>
      <c r="AB912" s="2"/>
      <c r="AC912" s="2"/>
      <c r="AD912" s="2"/>
      <c r="AE912" s="2"/>
      <c r="AF912" s="2"/>
      <c r="AG912" s="2"/>
      <c r="AH912" s="2"/>
      <c r="AI912" s="2"/>
      <c r="AJ912" s="2"/>
      <c r="AK912" s="2"/>
      <c r="AL912" s="2"/>
      <c r="AM912" s="2"/>
      <c r="AN912" s="2"/>
      <c r="AO912" s="9"/>
      <c r="AP912" s="9"/>
      <c r="AQ912" s="9"/>
      <c r="AR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224"/>
      <c r="X913" s="224"/>
      <c r="Y913" s="224"/>
      <c r="Z913" s="868"/>
      <c r="AA913" s="865"/>
      <c r="AB913" s="2"/>
      <c r="AC913" s="2"/>
      <c r="AD913" s="2"/>
      <c r="AE913" s="2"/>
      <c r="AF913" s="2"/>
      <c r="AG913" s="2"/>
      <c r="AH913" s="2"/>
      <c r="AI913" s="2"/>
      <c r="AJ913" s="2"/>
      <c r="AK913" s="2"/>
      <c r="AL913" s="2"/>
      <c r="AM913" s="2"/>
      <c r="AN913" s="2"/>
      <c r="AO913" s="9"/>
      <c r="AP913" s="9"/>
      <c r="AQ913" s="9"/>
      <c r="AR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224"/>
      <c r="X914" s="224"/>
      <c r="Y914" s="224"/>
      <c r="Z914" s="868"/>
      <c r="AA914" s="865"/>
      <c r="AB914" s="2"/>
      <c r="AC914" s="2"/>
      <c r="AD914" s="2"/>
      <c r="AE914" s="2"/>
      <c r="AF914" s="2"/>
      <c r="AG914" s="2"/>
      <c r="AH914" s="2"/>
      <c r="AI914" s="2"/>
      <c r="AJ914" s="2"/>
      <c r="AK914" s="2"/>
      <c r="AL914" s="2"/>
      <c r="AM914" s="2"/>
      <c r="AN914" s="2"/>
      <c r="AO914" s="9"/>
      <c r="AP914" s="9"/>
      <c r="AQ914" s="9"/>
      <c r="AR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224"/>
      <c r="X915" s="224"/>
      <c r="Y915" s="224"/>
      <c r="Z915" s="868"/>
      <c r="AA915" s="865"/>
      <c r="AB915" s="2"/>
      <c r="AC915" s="2"/>
      <c r="AD915" s="2"/>
      <c r="AE915" s="2"/>
      <c r="AF915" s="2"/>
      <c r="AG915" s="2"/>
      <c r="AH915" s="2"/>
      <c r="AI915" s="2"/>
      <c r="AJ915" s="2"/>
      <c r="AK915" s="2"/>
      <c r="AL915" s="2"/>
      <c r="AM915" s="2"/>
      <c r="AN915" s="2"/>
      <c r="AO915" s="9"/>
      <c r="AP915" s="9"/>
      <c r="AQ915" s="9"/>
      <c r="AR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224"/>
      <c r="X916" s="224"/>
      <c r="Y916" s="224"/>
      <c r="Z916" s="868"/>
      <c r="AA916" s="865"/>
      <c r="AB916" s="2"/>
      <c r="AC916" s="2"/>
      <c r="AD916" s="2"/>
      <c r="AE916" s="2"/>
      <c r="AF916" s="2"/>
      <c r="AG916" s="2"/>
      <c r="AH916" s="2"/>
      <c r="AI916" s="2"/>
      <c r="AJ916" s="2"/>
      <c r="AK916" s="2"/>
      <c r="AL916" s="2"/>
      <c r="AM916" s="2"/>
      <c r="AN916" s="2"/>
      <c r="AO916" s="9"/>
      <c r="AP916" s="9"/>
      <c r="AQ916" s="9"/>
      <c r="AR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224"/>
      <c r="X917" s="224"/>
      <c r="Y917" s="224"/>
      <c r="Z917" s="868"/>
      <c r="AA917" s="865"/>
      <c r="AB917" s="2"/>
      <c r="AC917" s="2"/>
      <c r="AD917" s="2"/>
      <c r="AE917" s="2"/>
      <c r="AF917" s="2"/>
      <c r="AG917" s="2"/>
      <c r="AH917" s="2"/>
      <c r="AI917" s="2"/>
      <c r="AJ917" s="2"/>
      <c r="AK917" s="2"/>
      <c r="AL917" s="2"/>
      <c r="AM917" s="2"/>
      <c r="AN917" s="2"/>
      <c r="AO917" s="9"/>
      <c r="AP917" s="9"/>
      <c r="AQ917" s="9"/>
      <c r="AR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224"/>
      <c r="X918" s="224"/>
      <c r="Y918" s="224"/>
      <c r="Z918" s="868"/>
      <c r="AA918" s="865"/>
      <c r="AB918" s="2"/>
      <c r="AC918" s="2"/>
      <c r="AD918" s="2"/>
      <c r="AE918" s="2"/>
      <c r="AF918" s="2"/>
      <c r="AG918" s="2"/>
      <c r="AH918" s="2"/>
      <c r="AI918" s="2"/>
      <c r="AJ918" s="2"/>
      <c r="AK918" s="2"/>
      <c r="AL918" s="2"/>
      <c r="AM918" s="2"/>
      <c r="AN918" s="2"/>
      <c r="AO918" s="9"/>
      <c r="AP918" s="9"/>
      <c r="AQ918" s="9"/>
      <c r="AR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224"/>
      <c r="X919" s="224"/>
      <c r="Y919" s="224"/>
      <c r="Z919" s="868"/>
      <c r="AA919" s="865"/>
      <c r="AB919" s="2"/>
      <c r="AC919" s="2"/>
      <c r="AD919" s="2"/>
      <c r="AE919" s="2"/>
      <c r="AF919" s="2"/>
      <c r="AG919" s="2"/>
      <c r="AH919" s="2"/>
      <c r="AI919" s="2"/>
      <c r="AJ919" s="2"/>
      <c r="AK919" s="2"/>
      <c r="AL919" s="2"/>
      <c r="AM919" s="2"/>
      <c r="AN919" s="2"/>
      <c r="AO919" s="9"/>
      <c r="AP919" s="9"/>
      <c r="AQ919" s="9"/>
      <c r="AR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224"/>
      <c r="X920" s="224"/>
      <c r="Y920" s="224"/>
      <c r="Z920" s="868"/>
      <c r="AA920" s="865"/>
      <c r="AB920" s="2"/>
      <c r="AC920" s="2"/>
      <c r="AD920" s="2"/>
      <c r="AE920" s="2"/>
      <c r="AF920" s="2"/>
      <c r="AG920" s="2"/>
      <c r="AH920" s="2"/>
      <c r="AI920" s="2"/>
      <c r="AJ920" s="2"/>
      <c r="AK920" s="2"/>
      <c r="AL920" s="2"/>
      <c r="AM920" s="2"/>
      <c r="AN920" s="2"/>
      <c r="AO920" s="9"/>
      <c r="AP920" s="9"/>
      <c r="AQ920" s="9"/>
      <c r="AR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224"/>
      <c r="X921" s="224"/>
      <c r="Y921" s="224"/>
      <c r="Z921" s="868"/>
      <c r="AA921" s="865"/>
      <c r="AB921" s="2"/>
      <c r="AC921" s="2"/>
      <c r="AD921" s="2"/>
      <c r="AE921" s="2"/>
      <c r="AF921" s="2"/>
      <c r="AG921" s="2"/>
      <c r="AH921" s="2"/>
      <c r="AI921" s="2"/>
      <c r="AJ921" s="2"/>
      <c r="AK921" s="2"/>
      <c r="AL921" s="2"/>
      <c r="AM921" s="2"/>
      <c r="AN921" s="2"/>
      <c r="AO921" s="9"/>
      <c r="AP921" s="9"/>
      <c r="AQ921" s="9"/>
      <c r="AR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224"/>
      <c r="X922" s="224"/>
      <c r="Y922" s="224"/>
      <c r="Z922" s="868"/>
      <c r="AA922" s="865"/>
      <c r="AB922" s="2"/>
      <c r="AC922" s="2"/>
      <c r="AD922" s="2"/>
      <c r="AE922" s="2"/>
      <c r="AF922" s="2"/>
      <c r="AG922" s="2"/>
      <c r="AH922" s="2"/>
      <c r="AI922" s="2"/>
      <c r="AJ922" s="2"/>
      <c r="AK922" s="2"/>
      <c r="AL922" s="2"/>
      <c r="AM922" s="2"/>
      <c r="AN922" s="2"/>
      <c r="AO922" s="9"/>
      <c r="AP922" s="9"/>
      <c r="AQ922" s="9"/>
      <c r="AR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224"/>
      <c r="X923" s="224"/>
      <c r="Y923" s="224"/>
      <c r="Z923" s="868"/>
      <c r="AA923" s="865"/>
      <c r="AB923" s="2"/>
      <c r="AC923" s="2"/>
      <c r="AD923" s="2"/>
      <c r="AE923" s="2"/>
      <c r="AF923" s="2"/>
      <c r="AG923" s="2"/>
      <c r="AH923" s="2"/>
      <c r="AI923" s="2"/>
      <c r="AJ923" s="2"/>
      <c r="AK923" s="2"/>
      <c r="AL923" s="2"/>
      <c r="AM923" s="2"/>
      <c r="AN923" s="2"/>
      <c r="AO923" s="9"/>
      <c r="AP923" s="9"/>
      <c r="AQ923" s="9"/>
      <c r="AR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224"/>
      <c r="X924" s="224"/>
      <c r="Y924" s="224"/>
      <c r="Z924" s="868"/>
      <c r="AA924" s="865"/>
      <c r="AB924" s="2"/>
      <c r="AC924" s="2"/>
      <c r="AD924" s="2"/>
      <c r="AE924" s="2"/>
      <c r="AF924" s="2"/>
      <c r="AG924" s="2"/>
      <c r="AH924" s="2"/>
      <c r="AI924" s="2"/>
      <c r="AJ924" s="2"/>
      <c r="AK924" s="2"/>
      <c r="AL924" s="2"/>
      <c r="AM924" s="2"/>
      <c r="AN924" s="2"/>
      <c r="AO924" s="9"/>
      <c r="AP924" s="9"/>
      <c r="AQ924" s="9"/>
      <c r="AR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224"/>
      <c r="X925" s="224"/>
      <c r="Y925" s="224"/>
      <c r="Z925" s="868"/>
      <c r="AA925" s="865"/>
      <c r="AB925" s="2"/>
      <c r="AC925" s="2"/>
      <c r="AD925" s="2"/>
      <c r="AE925" s="2"/>
      <c r="AF925" s="2"/>
      <c r="AG925" s="2"/>
      <c r="AH925" s="2"/>
      <c r="AI925" s="2"/>
      <c r="AJ925" s="2"/>
      <c r="AK925" s="2"/>
      <c r="AL925" s="2"/>
      <c r="AM925" s="2"/>
      <c r="AN925" s="2"/>
      <c r="AO925" s="9"/>
      <c r="AP925" s="9"/>
      <c r="AQ925" s="9"/>
      <c r="AR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224"/>
      <c r="X926" s="224"/>
      <c r="Y926" s="224"/>
      <c r="Z926" s="868"/>
      <c r="AA926" s="865"/>
      <c r="AB926" s="2"/>
      <c r="AC926" s="2"/>
      <c r="AD926" s="2"/>
      <c r="AE926" s="2"/>
      <c r="AF926" s="2"/>
      <c r="AG926" s="2"/>
      <c r="AH926" s="2"/>
      <c r="AI926" s="2"/>
      <c r="AJ926" s="2"/>
      <c r="AK926" s="2"/>
      <c r="AL926" s="2"/>
      <c r="AM926" s="2"/>
      <c r="AN926" s="2"/>
      <c r="AO926" s="9"/>
      <c r="AP926" s="9"/>
      <c r="AQ926" s="9"/>
      <c r="AR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224"/>
      <c r="X927" s="224"/>
      <c r="Y927" s="224"/>
      <c r="Z927" s="868"/>
      <c r="AA927" s="865"/>
      <c r="AB927" s="2"/>
      <c r="AC927" s="2"/>
      <c r="AD927" s="2"/>
      <c r="AE927" s="2"/>
      <c r="AF927" s="2"/>
      <c r="AG927" s="2"/>
      <c r="AH927" s="2"/>
      <c r="AI927" s="2"/>
      <c r="AJ927" s="2"/>
      <c r="AK927" s="2"/>
      <c r="AL927" s="2"/>
      <c r="AM927" s="2"/>
      <c r="AN927" s="2"/>
      <c r="AO927" s="9"/>
      <c r="AP927" s="9"/>
      <c r="AQ927" s="9"/>
      <c r="AR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224"/>
      <c r="X928" s="224"/>
      <c r="Y928" s="224"/>
      <c r="Z928" s="868"/>
      <c r="AA928" s="865"/>
      <c r="AB928" s="2"/>
      <c r="AC928" s="2"/>
      <c r="AD928" s="2"/>
      <c r="AE928" s="2"/>
      <c r="AF928" s="2"/>
      <c r="AG928" s="2"/>
      <c r="AH928" s="2"/>
      <c r="AI928" s="2"/>
      <c r="AJ928" s="2"/>
      <c r="AK928" s="2"/>
      <c r="AL928" s="2"/>
      <c r="AM928" s="2"/>
      <c r="AN928" s="2"/>
      <c r="AO928" s="9"/>
      <c r="AP928" s="9"/>
      <c r="AQ928" s="9"/>
      <c r="AR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224"/>
      <c r="X929" s="224"/>
      <c r="Y929" s="224"/>
      <c r="Z929" s="868"/>
      <c r="AA929" s="865"/>
      <c r="AB929" s="2"/>
      <c r="AC929" s="2"/>
      <c r="AD929" s="2"/>
      <c r="AE929" s="2"/>
      <c r="AF929" s="2"/>
      <c r="AG929" s="2"/>
      <c r="AH929" s="2"/>
      <c r="AI929" s="2"/>
      <c r="AJ929" s="2"/>
      <c r="AK929" s="2"/>
      <c r="AL929" s="2"/>
      <c r="AM929" s="2"/>
      <c r="AN929" s="2"/>
      <c r="AO929" s="9"/>
      <c r="AP929" s="9"/>
      <c r="AQ929" s="9"/>
      <c r="AR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224"/>
      <c r="X930" s="224"/>
      <c r="Y930" s="224"/>
      <c r="Z930" s="868"/>
      <c r="AA930" s="865"/>
      <c r="AB930" s="2"/>
      <c r="AC930" s="2"/>
      <c r="AD930" s="2"/>
      <c r="AE930" s="2"/>
      <c r="AF930" s="2"/>
      <c r="AG930" s="2"/>
      <c r="AH930" s="2"/>
      <c r="AI930" s="2"/>
      <c r="AJ930" s="2"/>
      <c r="AK930" s="2"/>
      <c r="AL930" s="2"/>
      <c r="AM930" s="2"/>
      <c r="AN930" s="2"/>
      <c r="AO930" s="9"/>
      <c r="AP930" s="9"/>
      <c r="AQ930" s="9"/>
      <c r="AR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224"/>
      <c r="X931" s="224"/>
      <c r="Y931" s="224"/>
      <c r="Z931" s="868"/>
      <c r="AA931" s="865"/>
      <c r="AB931" s="2"/>
      <c r="AC931" s="2"/>
      <c r="AD931" s="2"/>
      <c r="AE931" s="2"/>
      <c r="AF931" s="2"/>
      <c r="AG931" s="2"/>
      <c r="AH931" s="2"/>
      <c r="AI931" s="2"/>
      <c r="AJ931" s="2"/>
      <c r="AK931" s="2"/>
      <c r="AL931" s="2"/>
      <c r="AM931" s="2"/>
      <c r="AN931" s="2"/>
      <c r="AO931" s="9"/>
      <c r="AP931" s="9"/>
      <c r="AQ931" s="9"/>
      <c r="AR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224"/>
      <c r="X932" s="224"/>
      <c r="Y932" s="224"/>
      <c r="Z932" s="868"/>
      <c r="AA932" s="865"/>
      <c r="AB932" s="2"/>
      <c r="AC932" s="2"/>
      <c r="AD932" s="2"/>
      <c r="AE932" s="2"/>
      <c r="AF932" s="2"/>
      <c r="AG932" s="2"/>
      <c r="AH932" s="2"/>
      <c r="AI932" s="2"/>
      <c r="AJ932" s="2"/>
      <c r="AK932" s="2"/>
      <c r="AL932" s="2"/>
      <c r="AM932" s="2"/>
      <c r="AN932" s="2"/>
      <c r="AO932" s="9"/>
      <c r="AP932" s="9"/>
      <c r="AQ932" s="9"/>
      <c r="AR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224"/>
      <c r="X933" s="224"/>
      <c r="Y933" s="224"/>
      <c r="Z933" s="868"/>
      <c r="AA933" s="865"/>
      <c r="AB933" s="2"/>
      <c r="AC933" s="2"/>
      <c r="AD933" s="2"/>
      <c r="AE933" s="2"/>
      <c r="AF933" s="2"/>
      <c r="AG933" s="2"/>
      <c r="AH933" s="2"/>
      <c r="AI933" s="2"/>
      <c r="AJ933" s="2"/>
      <c r="AK933" s="2"/>
      <c r="AL933" s="2"/>
      <c r="AM933" s="2"/>
      <c r="AN933" s="2"/>
      <c r="AO933" s="9"/>
      <c r="AP933" s="9"/>
      <c r="AQ933" s="9"/>
      <c r="AR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224"/>
      <c r="X934" s="224"/>
      <c r="Y934" s="224"/>
      <c r="Z934" s="868"/>
      <c r="AA934" s="865"/>
      <c r="AB934" s="2"/>
      <c r="AC934" s="2"/>
      <c r="AD934" s="2"/>
      <c r="AE934" s="2"/>
      <c r="AF934" s="2"/>
      <c r="AG934" s="2"/>
      <c r="AH934" s="2"/>
      <c r="AI934" s="2"/>
      <c r="AJ934" s="2"/>
      <c r="AK934" s="2"/>
      <c r="AL934" s="2"/>
      <c r="AM934" s="2"/>
      <c r="AN934" s="2"/>
      <c r="AO934" s="9"/>
      <c r="AP934" s="9"/>
      <c r="AQ934" s="9"/>
      <c r="AR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224"/>
      <c r="X935" s="224"/>
      <c r="Y935" s="224"/>
      <c r="Z935" s="868"/>
      <c r="AA935" s="865"/>
      <c r="AB935" s="2"/>
      <c r="AC935" s="2"/>
      <c r="AD935" s="2"/>
      <c r="AE935" s="2"/>
      <c r="AF935" s="2"/>
      <c r="AG935" s="2"/>
      <c r="AH935" s="2"/>
      <c r="AI935" s="2"/>
      <c r="AJ935" s="2"/>
      <c r="AK935" s="2"/>
      <c r="AL935" s="2"/>
      <c r="AM935" s="2"/>
      <c r="AN935" s="2"/>
      <c r="AO935" s="9"/>
      <c r="AP935" s="9"/>
      <c r="AQ935" s="9"/>
      <c r="AR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224"/>
      <c r="X936" s="224"/>
      <c r="Y936" s="224"/>
      <c r="Z936" s="868"/>
      <c r="AA936" s="865"/>
      <c r="AB936" s="2"/>
      <c r="AC936" s="2"/>
      <c r="AD936" s="2"/>
      <c r="AE936" s="2"/>
      <c r="AF936" s="2"/>
      <c r="AG936" s="2"/>
      <c r="AH936" s="2"/>
      <c r="AI936" s="2"/>
      <c r="AJ936" s="2"/>
      <c r="AK936" s="2"/>
      <c r="AL936" s="2"/>
      <c r="AM936" s="2"/>
      <c r="AN936" s="2"/>
      <c r="AO936" s="9"/>
      <c r="AP936" s="9"/>
      <c r="AQ936" s="9"/>
      <c r="AR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224"/>
      <c r="X937" s="224"/>
      <c r="Y937" s="224"/>
      <c r="Z937" s="868"/>
      <c r="AA937" s="865"/>
      <c r="AB937" s="2"/>
      <c r="AC937" s="2"/>
      <c r="AD937" s="2"/>
      <c r="AE937" s="2"/>
      <c r="AF937" s="2"/>
      <c r="AG937" s="2"/>
      <c r="AH937" s="2"/>
      <c r="AI937" s="2"/>
      <c r="AJ937" s="2"/>
      <c r="AK937" s="2"/>
      <c r="AL937" s="2"/>
      <c r="AM937" s="2"/>
      <c r="AN937" s="2"/>
      <c r="AO937" s="9"/>
      <c r="AP937" s="9"/>
      <c r="AQ937" s="9"/>
      <c r="AR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224"/>
      <c r="X938" s="224"/>
      <c r="Y938" s="224"/>
      <c r="Z938" s="868"/>
      <c r="AA938" s="865"/>
      <c r="AB938" s="2"/>
      <c r="AC938" s="2"/>
      <c r="AD938" s="2"/>
      <c r="AE938" s="2"/>
      <c r="AF938" s="2"/>
      <c r="AG938" s="2"/>
      <c r="AH938" s="2"/>
      <c r="AI938" s="2"/>
      <c r="AJ938" s="2"/>
      <c r="AK938" s="2"/>
      <c r="AL938" s="2"/>
      <c r="AM938" s="2"/>
      <c r="AN938" s="2"/>
      <c r="AO938" s="9"/>
      <c r="AP938" s="9"/>
      <c r="AQ938" s="9"/>
      <c r="AR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224"/>
      <c r="X939" s="224"/>
      <c r="Y939" s="224"/>
      <c r="Z939" s="868"/>
      <c r="AA939" s="865"/>
      <c r="AB939" s="2"/>
      <c r="AC939" s="2"/>
      <c r="AD939" s="2"/>
      <c r="AE939" s="2"/>
      <c r="AF939" s="2"/>
      <c r="AG939" s="2"/>
      <c r="AH939" s="2"/>
      <c r="AI939" s="2"/>
      <c r="AJ939" s="2"/>
      <c r="AK939" s="2"/>
      <c r="AL939" s="2"/>
      <c r="AM939" s="2"/>
      <c r="AN939" s="2"/>
      <c r="AO939" s="9"/>
      <c r="AP939" s="9"/>
      <c r="AQ939" s="9"/>
      <c r="AR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224"/>
      <c r="X940" s="224"/>
      <c r="Y940" s="224"/>
      <c r="Z940" s="868"/>
      <c r="AA940" s="865"/>
      <c r="AB940" s="2"/>
      <c r="AC940" s="2"/>
      <c r="AD940" s="2"/>
      <c r="AE940" s="2"/>
      <c r="AF940" s="2"/>
      <c r="AG940" s="2"/>
      <c r="AH940" s="2"/>
      <c r="AI940" s="2"/>
      <c r="AJ940" s="2"/>
      <c r="AK940" s="2"/>
      <c r="AL940" s="2"/>
      <c r="AM940" s="2"/>
      <c r="AN940" s="2"/>
      <c r="AO940" s="9"/>
      <c r="AP940" s="9"/>
      <c r="AQ940" s="9"/>
      <c r="AR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224"/>
      <c r="X941" s="224"/>
      <c r="Y941" s="224"/>
      <c r="Z941" s="868"/>
      <c r="AA941" s="865"/>
      <c r="AB941" s="2"/>
      <c r="AC941" s="2"/>
      <c r="AD941" s="2"/>
      <c r="AE941" s="2"/>
      <c r="AF941" s="2"/>
      <c r="AG941" s="2"/>
      <c r="AH941" s="2"/>
      <c r="AI941" s="2"/>
      <c r="AJ941" s="2"/>
      <c r="AK941" s="2"/>
      <c r="AL941" s="2"/>
      <c r="AM941" s="2"/>
      <c r="AN941" s="2"/>
      <c r="AO941" s="9"/>
      <c r="AP941" s="9"/>
      <c r="AQ941" s="9"/>
      <c r="AR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224"/>
      <c r="X942" s="224"/>
      <c r="Y942" s="224"/>
      <c r="Z942" s="868"/>
      <c r="AA942" s="865"/>
      <c r="AB942" s="2"/>
      <c r="AC942" s="2"/>
      <c r="AD942" s="2"/>
      <c r="AE942" s="2"/>
      <c r="AF942" s="2"/>
      <c r="AG942" s="2"/>
      <c r="AH942" s="2"/>
      <c r="AI942" s="2"/>
      <c r="AJ942" s="2"/>
      <c r="AK942" s="2"/>
      <c r="AL942" s="2"/>
      <c r="AM942" s="2"/>
      <c r="AN942" s="2"/>
      <c r="AO942" s="9"/>
      <c r="AP942" s="9"/>
      <c r="AQ942" s="9"/>
      <c r="AR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224"/>
      <c r="X943" s="224"/>
      <c r="Y943" s="224"/>
      <c r="Z943" s="868"/>
      <c r="AA943" s="865"/>
      <c r="AB943" s="2"/>
      <c r="AC943" s="2"/>
      <c r="AD943" s="2"/>
      <c r="AE943" s="2"/>
      <c r="AF943" s="2"/>
      <c r="AG943" s="2"/>
      <c r="AH943" s="2"/>
      <c r="AI943" s="2"/>
      <c r="AJ943" s="2"/>
      <c r="AK943" s="2"/>
      <c r="AL943" s="2"/>
      <c r="AM943" s="2"/>
      <c r="AN943" s="2"/>
      <c r="AO943" s="9"/>
      <c r="AP943" s="9"/>
      <c r="AQ943" s="9"/>
      <c r="AR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224"/>
      <c r="X944" s="224"/>
      <c r="Y944" s="224"/>
      <c r="Z944" s="868"/>
      <c r="AA944" s="865"/>
      <c r="AB944" s="2"/>
      <c r="AC944" s="2"/>
      <c r="AD944" s="2"/>
      <c r="AE944" s="2"/>
      <c r="AF944" s="2"/>
      <c r="AG944" s="2"/>
      <c r="AH944" s="2"/>
      <c r="AI944" s="2"/>
      <c r="AJ944" s="2"/>
      <c r="AK944" s="2"/>
      <c r="AL944" s="2"/>
      <c r="AM944" s="2"/>
      <c r="AN944" s="2"/>
      <c r="AO944" s="9"/>
      <c r="AP944" s="9"/>
      <c r="AQ944" s="9"/>
      <c r="AR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224"/>
      <c r="X945" s="224"/>
      <c r="Y945" s="224"/>
      <c r="Z945" s="868"/>
      <c r="AA945" s="865"/>
      <c r="AB945" s="2"/>
      <c r="AC945" s="2"/>
      <c r="AD945" s="2"/>
      <c r="AE945" s="2"/>
      <c r="AF945" s="2"/>
      <c r="AG945" s="2"/>
      <c r="AH945" s="2"/>
      <c r="AI945" s="2"/>
      <c r="AJ945" s="2"/>
      <c r="AK945" s="2"/>
      <c r="AL945" s="2"/>
      <c r="AM945" s="2"/>
      <c r="AN945" s="2"/>
      <c r="AO945" s="9"/>
      <c r="AP945" s="9"/>
      <c r="AQ945" s="9"/>
      <c r="AR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224"/>
      <c r="X946" s="224"/>
      <c r="Y946" s="224"/>
      <c r="Z946" s="868"/>
      <c r="AA946" s="865"/>
      <c r="AB946" s="2"/>
      <c r="AC946" s="2"/>
      <c r="AD946" s="2"/>
      <c r="AE946" s="2"/>
      <c r="AF946" s="2"/>
      <c r="AG946" s="2"/>
      <c r="AH946" s="2"/>
      <c r="AI946" s="2"/>
      <c r="AJ946" s="2"/>
      <c r="AK946" s="2"/>
      <c r="AL946" s="2"/>
      <c r="AM946" s="2"/>
      <c r="AN946" s="2"/>
      <c r="AO946" s="9"/>
      <c r="AP946" s="9"/>
      <c r="AQ946" s="9"/>
      <c r="AR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224"/>
      <c r="X947" s="224"/>
      <c r="Y947" s="224"/>
      <c r="Z947" s="868"/>
      <c r="AA947" s="865"/>
      <c r="AB947" s="2"/>
      <c r="AC947" s="2"/>
      <c r="AD947" s="2"/>
      <c r="AE947" s="2"/>
      <c r="AF947" s="2"/>
      <c r="AG947" s="2"/>
      <c r="AH947" s="2"/>
      <c r="AI947" s="2"/>
      <c r="AJ947" s="2"/>
      <c r="AK947" s="2"/>
      <c r="AL947" s="2"/>
      <c r="AM947" s="2"/>
      <c r="AN947" s="2"/>
      <c r="AO947" s="9"/>
      <c r="AP947" s="9"/>
      <c r="AQ947" s="9"/>
      <c r="AR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224"/>
      <c r="X948" s="224"/>
      <c r="Y948" s="224"/>
      <c r="Z948" s="868"/>
      <c r="AA948" s="865"/>
      <c r="AB948" s="2"/>
      <c r="AC948" s="2"/>
      <c r="AD948" s="2"/>
      <c r="AE948" s="2"/>
      <c r="AF948" s="2"/>
      <c r="AG948" s="2"/>
      <c r="AH948" s="2"/>
      <c r="AI948" s="2"/>
      <c r="AJ948" s="2"/>
      <c r="AK948" s="2"/>
      <c r="AL948" s="2"/>
      <c r="AM948" s="2"/>
      <c r="AN948" s="2"/>
      <c r="AO948" s="9"/>
      <c r="AP948" s="9"/>
      <c r="AQ948" s="9"/>
      <c r="AR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224"/>
      <c r="X949" s="224"/>
      <c r="Y949" s="224"/>
      <c r="Z949" s="868"/>
      <c r="AA949" s="865"/>
      <c r="AB949" s="2"/>
      <c r="AC949" s="2"/>
      <c r="AD949" s="2"/>
      <c r="AE949" s="2"/>
      <c r="AF949" s="2"/>
      <c r="AG949" s="2"/>
      <c r="AH949" s="2"/>
      <c r="AI949" s="2"/>
      <c r="AJ949" s="2"/>
      <c r="AK949" s="2"/>
      <c r="AL949" s="2"/>
      <c r="AM949" s="2"/>
      <c r="AN949" s="2"/>
      <c r="AO949" s="9"/>
      <c r="AP949" s="9"/>
      <c r="AQ949" s="9"/>
      <c r="AR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224"/>
      <c r="X950" s="224"/>
      <c r="Y950" s="224"/>
      <c r="Z950" s="868"/>
      <c r="AA950" s="865"/>
      <c r="AB950" s="2"/>
      <c r="AC950" s="2"/>
      <c r="AD950" s="2"/>
      <c r="AE950" s="2"/>
      <c r="AF950" s="2"/>
      <c r="AG950" s="2"/>
      <c r="AH950" s="2"/>
      <c r="AI950" s="2"/>
      <c r="AJ950" s="2"/>
      <c r="AK950" s="2"/>
      <c r="AL950" s="2"/>
      <c r="AM950" s="2"/>
      <c r="AN950" s="2"/>
      <c r="AO950" s="9"/>
      <c r="AP950" s="9"/>
      <c r="AQ950" s="9"/>
      <c r="AR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224"/>
      <c r="X951" s="224"/>
      <c r="Y951" s="224"/>
      <c r="Z951" s="868"/>
      <c r="AA951" s="865"/>
      <c r="AB951" s="2"/>
      <c r="AC951" s="2"/>
      <c r="AD951" s="2"/>
      <c r="AE951" s="2"/>
      <c r="AF951" s="2"/>
      <c r="AG951" s="2"/>
      <c r="AH951" s="2"/>
      <c r="AI951" s="2"/>
      <c r="AJ951" s="2"/>
      <c r="AK951" s="2"/>
      <c r="AL951" s="2"/>
      <c r="AM951" s="2"/>
      <c r="AN951" s="2"/>
      <c r="AO951" s="9"/>
      <c r="AP951" s="9"/>
      <c r="AQ951" s="9"/>
      <c r="AR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224"/>
      <c r="X952" s="224"/>
      <c r="Y952" s="224"/>
      <c r="Z952" s="868"/>
      <c r="AA952" s="865"/>
      <c r="AB952" s="2"/>
      <c r="AC952" s="2"/>
      <c r="AD952" s="2"/>
      <c r="AE952" s="2"/>
      <c r="AF952" s="2"/>
      <c r="AG952" s="2"/>
      <c r="AH952" s="2"/>
      <c r="AI952" s="2"/>
      <c r="AJ952" s="2"/>
      <c r="AK952" s="2"/>
      <c r="AL952" s="2"/>
      <c r="AM952" s="2"/>
      <c r="AN952" s="2"/>
      <c r="AO952" s="9"/>
      <c r="AP952" s="9"/>
      <c r="AQ952" s="9"/>
      <c r="AR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224"/>
      <c r="X953" s="224"/>
      <c r="Y953" s="224"/>
      <c r="Z953" s="868"/>
      <c r="AA953" s="865"/>
      <c r="AB953" s="2"/>
      <c r="AC953" s="2"/>
      <c r="AD953" s="2"/>
      <c r="AE953" s="2"/>
      <c r="AF953" s="2"/>
      <c r="AG953" s="2"/>
      <c r="AH953" s="2"/>
      <c r="AI953" s="2"/>
      <c r="AJ953" s="2"/>
      <c r="AK953" s="2"/>
      <c r="AL953" s="2"/>
      <c r="AM953" s="2"/>
      <c r="AN953" s="2"/>
      <c r="AO953" s="9"/>
      <c r="AP953" s="9"/>
      <c r="AQ953" s="9"/>
      <c r="AR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224"/>
      <c r="X954" s="224"/>
      <c r="Y954" s="224"/>
      <c r="Z954" s="868"/>
      <c r="AA954" s="865"/>
      <c r="AB954" s="2"/>
      <c r="AC954" s="2"/>
      <c r="AD954" s="2"/>
      <c r="AE954" s="2"/>
      <c r="AF954" s="2"/>
      <c r="AG954" s="2"/>
      <c r="AH954" s="2"/>
      <c r="AI954" s="2"/>
      <c r="AJ954" s="2"/>
      <c r="AK954" s="2"/>
      <c r="AL954" s="2"/>
      <c r="AM954" s="2"/>
      <c r="AN954" s="2"/>
      <c r="AO954" s="9"/>
      <c r="AP954" s="9"/>
      <c r="AQ954" s="9"/>
      <c r="AR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224"/>
      <c r="X955" s="224"/>
      <c r="Y955" s="224"/>
      <c r="Z955" s="868"/>
      <c r="AA955" s="865"/>
      <c r="AB955" s="2"/>
      <c r="AC955" s="2"/>
      <c r="AD955" s="2"/>
      <c r="AE955" s="2"/>
      <c r="AF955" s="2"/>
      <c r="AG955" s="2"/>
      <c r="AH955" s="2"/>
      <c r="AI955" s="2"/>
      <c r="AJ955" s="2"/>
      <c r="AK955" s="2"/>
      <c r="AL955" s="2"/>
      <c r="AM955" s="2"/>
      <c r="AN955" s="2"/>
      <c r="AO955" s="9"/>
      <c r="AP955" s="9"/>
      <c r="AQ955" s="9"/>
      <c r="AR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224"/>
      <c r="X956" s="224"/>
      <c r="Y956" s="224"/>
      <c r="Z956" s="868"/>
      <c r="AA956" s="865"/>
      <c r="AB956" s="2"/>
      <c r="AC956" s="2"/>
      <c r="AD956" s="2"/>
      <c r="AE956" s="2"/>
      <c r="AF956" s="2"/>
      <c r="AG956" s="2"/>
      <c r="AH956" s="2"/>
      <c r="AI956" s="2"/>
      <c r="AJ956" s="2"/>
      <c r="AK956" s="2"/>
      <c r="AL956" s="2"/>
      <c r="AM956" s="2"/>
      <c r="AN956" s="2"/>
      <c r="AO956" s="9"/>
      <c r="AP956" s="9"/>
      <c r="AQ956" s="9"/>
      <c r="AR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224"/>
      <c r="X957" s="224"/>
      <c r="Y957" s="224"/>
      <c r="Z957" s="868"/>
      <c r="AA957" s="865"/>
      <c r="AB957" s="2"/>
      <c r="AC957" s="2"/>
      <c r="AD957" s="2"/>
      <c r="AE957" s="2"/>
      <c r="AF957" s="2"/>
      <c r="AG957" s="2"/>
      <c r="AH957" s="2"/>
      <c r="AI957" s="2"/>
      <c r="AJ957" s="2"/>
      <c r="AK957" s="2"/>
      <c r="AL957" s="2"/>
      <c r="AM957" s="2"/>
      <c r="AN957" s="2"/>
      <c r="AO957" s="9"/>
      <c r="AP957" s="9"/>
      <c r="AQ957" s="9"/>
      <c r="AR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224"/>
      <c r="X958" s="224"/>
      <c r="Y958" s="224"/>
      <c r="Z958" s="868"/>
      <c r="AA958" s="865"/>
      <c r="AB958" s="2"/>
      <c r="AC958" s="2"/>
      <c r="AD958" s="2"/>
      <c r="AE958" s="2"/>
      <c r="AF958" s="2"/>
      <c r="AG958" s="2"/>
      <c r="AH958" s="2"/>
      <c r="AI958" s="2"/>
      <c r="AJ958" s="2"/>
      <c r="AK958" s="2"/>
      <c r="AL958" s="2"/>
      <c r="AM958" s="2"/>
      <c r="AN958" s="2"/>
      <c r="AO958" s="9"/>
      <c r="AP958" s="9"/>
      <c r="AQ958" s="9"/>
      <c r="AR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224"/>
      <c r="X959" s="224"/>
      <c r="Y959" s="224"/>
      <c r="Z959" s="868"/>
      <c r="AA959" s="865"/>
      <c r="AB959" s="2"/>
      <c r="AC959" s="2"/>
      <c r="AD959" s="2"/>
      <c r="AE959" s="2"/>
      <c r="AF959" s="2"/>
      <c r="AG959" s="2"/>
      <c r="AH959" s="2"/>
      <c r="AI959" s="2"/>
      <c r="AJ959" s="2"/>
      <c r="AK959" s="2"/>
      <c r="AL959" s="2"/>
      <c r="AM959" s="2"/>
      <c r="AN959" s="2"/>
      <c r="AO959" s="9"/>
      <c r="AP959" s="9"/>
      <c r="AQ959" s="9"/>
      <c r="AR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224"/>
      <c r="X960" s="224"/>
      <c r="Y960" s="224"/>
      <c r="Z960" s="868"/>
      <c r="AA960" s="865"/>
      <c r="AB960" s="2"/>
      <c r="AC960" s="2"/>
      <c r="AD960" s="2"/>
      <c r="AE960" s="2"/>
      <c r="AF960" s="2"/>
      <c r="AG960" s="2"/>
      <c r="AH960" s="2"/>
      <c r="AI960" s="2"/>
      <c r="AJ960" s="2"/>
      <c r="AK960" s="2"/>
      <c r="AL960" s="2"/>
      <c r="AM960" s="2"/>
      <c r="AN960" s="2"/>
      <c r="AO960" s="9"/>
      <c r="AP960" s="9"/>
      <c r="AQ960" s="9"/>
      <c r="AR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224"/>
      <c r="X961" s="224"/>
      <c r="Y961" s="224"/>
      <c r="Z961" s="868"/>
      <c r="AA961" s="865"/>
      <c r="AB961" s="2"/>
      <c r="AC961" s="2"/>
      <c r="AD961" s="2"/>
      <c r="AE961" s="2"/>
      <c r="AF961" s="2"/>
      <c r="AG961" s="2"/>
      <c r="AH961" s="2"/>
      <c r="AI961" s="2"/>
      <c r="AJ961" s="2"/>
      <c r="AK961" s="2"/>
      <c r="AL961" s="2"/>
      <c r="AM961" s="2"/>
      <c r="AN961" s="2"/>
      <c r="AO961" s="9"/>
      <c r="AP961" s="9"/>
      <c r="AQ961" s="9"/>
      <c r="AR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224"/>
      <c r="X962" s="224"/>
      <c r="Y962" s="224"/>
      <c r="Z962" s="868"/>
      <c r="AA962" s="865"/>
      <c r="AB962" s="2"/>
      <c r="AC962" s="2"/>
      <c r="AD962" s="2"/>
      <c r="AE962" s="2"/>
      <c r="AF962" s="2"/>
      <c r="AG962" s="2"/>
      <c r="AH962" s="2"/>
      <c r="AI962" s="2"/>
      <c r="AJ962" s="2"/>
      <c r="AK962" s="2"/>
      <c r="AL962" s="2"/>
      <c r="AM962" s="2"/>
      <c r="AN962" s="2"/>
      <c r="AO962" s="9"/>
      <c r="AP962" s="9"/>
      <c r="AQ962" s="9"/>
      <c r="AR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224"/>
      <c r="X963" s="224"/>
      <c r="Y963" s="224"/>
      <c r="Z963" s="868"/>
      <c r="AA963" s="865"/>
      <c r="AB963" s="2"/>
      <c r="AC963" s="2"/>
      <c r="AD963" s="2"/>
      <c r="AE963" s="2"/>
      <c r="AF963" s="2"/>
      <c r="AG963" s="2"/>
      <c r="AH963" s="2"/>
      <c r="AI963" s="2"/>
      <c r="AJ963" s="2"/>
      <c r="AK963" s="2"/>
      <c r="AL963" s="2"/>
      <c r="AM963" s="2"/>
      <c r="AN963" s="2"/>
      <c r="AO963" s="9"/>
      <c r="AP963" s="9"/>
      <c r="AQ963" s="9"/>
      <c r="AR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224"/>
      <c r="X964" s="224"/>
      <c r="Y964" s="224"/>
      <c r="Z964" s="868"/>
      <c r="AA964" s="865"/>
      <c r="AB964" s="2"/>
      <c r="AC964" s="2"/>
      <c r="AD964" s="2"/>
      <c r="AE964" s="2"/>
      <c r="AF964" s="2"/>
      <c r="AG964" s="2"/>
      <c r="AH964" s="2"/>
      <c r="AI964" s="2"/>
      <c r="AJ964" s="2"/>
      <c r="AK964" s="2"/>
      <c r="AL964" s="2"/>
      <c r="AM964" s="2"/>
      <c r="AN964" s="2"/>
      <c r="AO964" s="9"/>
      <c r="AP964" s="9"/>
      <c r="AQ964" s="9"/>
      <c r="AR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224"/>
      <c r="X965" s="224"/>
      <c r="Y965" s="224"/>
      <c r="Z965" s="868"/>
      <c r="AA965" s="865"/>
      <c r="AB965" s="2"/>
      <c r="AC965" s="2"/>
      <c r="AD965" s="2"/>
      <c r="AE965" s="2"/>
      <c r="AF965" s="2"/>
      <c r="AG965" s="2"/>
      <c r="AH965" s="2"/>
      <c r="AI965" s="2"/>
      <c r="AJ965" s="2"/>
      <c r="AK965" s="2"/>
      <c r="AL965" s="2"/>
      <c r="AM965" s="2"/>
      <c r="AN965" s="2"/>
      <c r="AO965" s="9"/>
      <c r="AP965" s="9"/>
      <c r="AQ965" s="9"/>
      <c r="AR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224"/>
      <c r="X966" s="224"/>
      <c r="Y966" s="224"/>
      <c r="Z966" s="868"/>
      <c r="AA966" s="865"/>
      <c r="AB966" s="2"/>
      <c r="AC966" s="2"/>
      <c r="AD966" s="2"/>
      <c r="AE966" s="2"/>
      <c r="AF966" s="2"/>
      <c r="AG966" s="2"/>
      <c r="AH966" s="2"/>
      <c r="AI966" s="2"/>
      <c r="AJ966" s="2"/>
      <c r="AK966" s="2"/>
      <c r="AL966" s="2"/>
      <c r="AM966" s="2"/>
      <c r="AN966" s="2"/>
      <c r="AO966" s="9"/>
      <c r="AP966" s="9"/>
      <c r="AQ966" s="9"/>
      <c r="AR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224"/>
      <c r="X967" s="224"/>
      <c r="Y967" s="224"/>
      <c r="Z967" s="868"/>
      <c r="AA967" s="865"/>
      <c r="AB967" s="2"/>
      <c r="AC967" s="2"/>
      <c r="AD967" s="2"/>
      <c r="AE967" s="2"/>
      <c r="AF967" s="2"/>
      <c r="AG967" s="2"/>
      <c r="AH967" s="2"/>
      <c r="AI967" s="2"/>
      <c r="AJ967" s="2"/>
      <c r="AK967" s="2"/>
      <c r="AL967" s="2"/>
      <c r="AM967" s="2"/>
      <c r="AN967" s="2"/>
      <c r="AO967" s="9"/>
      <c r="AP967" s="9"/>
      <c r="AQ967" s="9"/>
      <c r="AR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224"/>
      <c r="X968" s="224"/>
      <c r="Y968" s="224"/>
      <c r="Z968" s="868"/>
      <c r="AA968" s="865"/>
      <c r="AB968" s="2"/>
      <c r="AC968" s="2"/>
      <c r="AD968" s="2"/>
      <c r="AE968" s="2"/>
      <c r="AF968" s="2"/>
      <c r="AG968" s="2"/>
      <c r="AH968" s="2"/>
      <c r="AI968" s="2"/>
      <c r="AJ968" s="2"/>
      <c r="AK968" s="2"/>
      <c r="AL968" s="2"/>
      <c r="AM968" s="2"/>
      <c r="AN968" s="2"/>
      <c r="AO968" s="9"/>
      <c r="AP968" s="9"/>
      <c r="AQ968" s="9"/>
      <c r="AR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224"/>
      <c r="X969" s="224"/>
      <c r="Y969" s="224"/>
      <c r="Z969" s="868"/>
      <c r="AA969" s="865"/>
      <c r="AB969" s="2"/>
      <c r="AC969" s="2"/>
      <c r="AD969" s="2"/>
      <c r="AE969" s="2"/>
      <c r="AF969" s="2"/>
      <c r="AG969" s="2"/>
      <c r="AH969" s="2"/>
      <c r="AI969" s="2"/>
      <c r="AJ969" s="2"/>
      <c r="AK969" s="2"/>
      <c r="AL969" s="2"/>
      <c r="AM969" s="2"/>
      <c r="AN969" s="2"/>
      <c r="AO969" s="9"/>
      <c r="AP969" s="9"/>
      <c r="AQ969" s="9"/>
      <c r="AR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224"/>
      <c r="X970" s="224"/>
      <c r="Y970" s="224"/>
      <c r="Z970" s="868"/>
      <c r="AA970" s="865"/>
      <c r="AB970" s="2"/>
      <c r="AC970" s="2"/>
      <c r="AD970" s="2"/>
      <c r="AE970" s="2"/>
      <c r="AF970" s="2"/>
      <c r="AG970" s="2"/>
      <c r="AH970" s="2"/>
      <c r="AI970" s="2"/>
      <c r="AJ970" s="2"/>
      <c r="AK970" s="2"/>
      <c r="AL970" s="2"/>
      <c r="AM970" s="2"/>
      <c r="AN970" s="2"/>
      <c r="AO970" s="9"/>
      <c r="AP970" s="9"/>
      <c r="AQ970" s="9"/>
      <c r="AR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224"/>
      <c r="X971" s="224"/>
      <c r="Y971" s="224"/>
      <c r="Z971" s="868"/>
      <c r="AA971" s="865"/>
      <c r="AB971" s="2"/>
      <c r="AC971" s="2"/>
      <c r="AD971" s="2"/>
      <c r="AE971" s="2"/>
      <c r="AF971" s="2"/>
      <c r="AG971" s="2"/>
      <c r="AH971" s="2"/>
      <c r="AI971" s="2"/>
      <c r="AJ971" s="2"/>
      <c r="AK971" s="2"/>
      <c r="AL971" s="2"/>
      <c r="AM971" s="2"/>
      <c r="AN971" s="2"/>
      <c r="AO971" s="9"/>
      <c r="AP971" s="9"/>
      <c r="AQ971" s="9"/>
      <c r="AR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224"/>
      <c r="X972" s="224"/>
      <c r="Y972" s="224"/>
      <c r="Z972" s="868"/>
      <c r="AA972" s="865"/>
      <c r="AB972" s="2"/>
      <c r="AC972" s="2"/>
      <c r="AD972" s="2"/>
      <c r="AE972" s="2"/>
      <c r="AF972" s="2"/>
      <c r="AG972" s="2"/>
      <c r="AH972" s="2"/>
      <c r="AI972" s="2"/>
      <c r="AJ972" s="2"/>
      <c r="AK972" s="2"/>
      <c r="AL972" s="2"/>
      <c r="AM972" s="2"/>
      <c r="AN972" s="2"/>
      <c r="AO972" s="9"/>
      <c r="AP972" s="9"/>
      <c r="AQ972" s="9"/>
      <c r="AR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224"/>
      <c r="X973" s="224"/>
      <c r="Y973" s="224"/>
      <c r="Z973" s="868"/>
      <c r="AA973" s="865"/>
      <c r="AB973" s="2"/>
      <c r="AC973" s="2"/>
      <c r="AD973" s="2"/>
      <c r="AE973" s="2"/>
      <c r="AF973" s="2"/>
      <c r="AG973" s="2"/>
      <c r="AH973" s="2"/>
      <c r="AI973" s="2"/>
      <c r="AJ973" s="2"/>
      <c r="AK973" s="2"/>
      <c r="AL973" s="2"/>
      <c r="AM973" s="2"/>
      <c r="AN973" s="2"/>
      <c r="AO973" s="9"/>
      <c r="AP973" s="9"/>
      <c r="AQ973" s="9"/>
      <c r="AR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224"/>
      <c r="X974" s="224"/>
      <c r="Y974" s="224"/>
      <c r="Z974" s="868"/>
      <c r="AA974" s="865"/>
      <c r="AB974" s="2"/>
      <c r="AC974" s="2"/>
      <c r="AD974" s="2"/>
      <c r="AE974" s="2"/>
      <c r="AF974" s="2"/>
      <c r="AG974" s="2"/>
      <c r="AH974" s="2"/>
      <c r="AI974" s="2"/>
      <c r="AJ974" s="2"/>
      <c r="AK974" s="2"/>
      <c r="AL974" s="2"/>
      <c r="AM974" s="2"/>
      <c r="AN974" s="2"/>
      <c r="AO974" s="9"/>
      <c r="AP974" s="9"/>
      <c r="AQ974" s="9"/>
      <c r="AR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224"/>
      <c r="X975" s="224"/>
      <c r="Y975" s="224"/>
      <c r="Z975" s="868"/>
      <c r="AA975" s="865"/>
      <c r="AB975" s="2"/>
      <c r="AC975" s="2"/>
      <c r="AD975" s="2"/>
      <c r="AE975" s="2"/>
      <c r="AF975" s="2"/>
      <c r="AG975" s="2"/>
      <c r="AH975" s="2"/>
      <c r="AI975" s="2"/>
      <c r="AJ975" s="2"/>
      <c r="AK975" s="2"/>
      <c r="AL975" s="2"/>
      <c r="AM975" s="2"/>
      <c r="AN975" s="2"/>
      <c r="AO975" s="9"/>
      <c r="AP975" s="9"/>
      <c r="AQ975" s="9"/>
      <c r="AR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224"/>
      <c r="X976" s="224"/>
      <c r="Y976" s="224"/>
      <c r="Z976" s="868"/>
      <c r="AA976" s="865"/>
      <c r="AB976" s="2"/>
      <c r="AC976" s="2"/>
      <c r="AD976" s="2"/>
      <c r="AE976" s="2"/>
      <c r="AF976" s="2"/>
      <c r="AG976" s="2"/>
      <c r="AH976" s="2"/>
      <c r="AI976" s="2"/>
      <c r="AJ976" s="2"/>
      <c r="AK976" s="2"/>
      <c r="AL976" s="2"/>
      <c r="AM976" s="2"/>
      <c r="AN976" s="2"/>
      <c r="AO976" s="9"/>
      <c r="AP976" s="9"/>
      <c r="AQ976" s="9"/>
      <c r="AR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224"/>
      <c r="X977" s="224"/>
      <c r="Y977" s="224"/>
      <c r="Z977" s="868"/>
      <c r="AA977" s="865"/>
      <c r="AB977" s="2"/>
      <c r="AC977" s="2"/>
      <c r="AD977" s="2"/>
      <c r="AE977" s="2"/>
      <c r="AF977" s="2"/>
      <c r="AG977" s="2"/>
      <c r="AH977" s="2"/>
      <c r="AI977" s="2"/>
      <c r="AJ977" s="2"/>
      <c r="AK977" s="2"/>
      <c r="AL977" s="2"/>
      <c r="AM977" s="2"/>
      <c r="AN977" s="2"/>
      <c r="AO977" s="9"/>
      <c r="AP977" s="9"/>
      <c r="AQ977" s="9"/>
      <c r="AR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224"/>
      <c r="X978" s="224"/>
      <c r="Y978" s="224"/>
      <c r="Z978" s="868"/>
      <c r="AA978" s="865"/>
      <c r="AB978" s="2"/>
      <c r="AC978" s="2"/>
      <c r="AD978" s="2"/>
      <c r="AE978" s="2"/>
      <c r="AF978" s="2"/>
      <c r="AG978" s="2"/>
      <c r="AH978" s="2"/>
      <c r="AI978" s="2"/>
      <c r="AJ978" s="2"/>
      <c r="AK978" s="2"/>
      <c r="AL978" s="2"/>
      <c r="AM978" s="2"/>
      <c r="AN978" s="2"/>
      <c r="AO978" s="9"/>
      <c r="AP978" s="9"/>
      <c r="AQ978" s="9"/>
      <c r="AR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224"/>
      <c r="X979" s="224"/>
      <c r="Y979" s="224"/>
      <c r="Z979" s="868"/>
      <c r="AA979" s="865"/>
      <c r="AB979" s="2"/>
      <c r="AC979" s="2"/>
      <c r="AD979" s="2"/>
      <c r="AE979" s="2"/>
      <c r="AF979" s="2"/>
      <c r="AG979" s="2"/>
      <c r="AH979" s="2"/>
      <c r="AI979" s="2"/>
      <c r="AJ979" s="2"/>
      <c r="AK979" s="2"/>
      <c r="AL979" s="2"/>
      <c r="AM979" s="2"/>
      <c r="AN979" s="2"/>
      <c r="AO979" s="9"/>
      <c r="AP979" s="9"/>
      <c r="AQ979" s="9"/>
      <c r="AR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224"/>
      <c r="X980" s="224"/>
      <c r="Y980" s="224"/>
      <c r="Z980" s="868"/>
      <c r="AA980" s="865"/>
      <c r="AB980" s="2"/>
      <c r="AC980" s="2"/>
      <c r="AD980" s="2"/>
      <c r="AE980" s="2"/>
      <c r="AF980" s="2"/>
      <c r="AG980" s="2"/>
      <c r="AH980" s="2"/>
      <c r="AI980" s="2"/>
      <c r="AJ980" s="2"/>
      <c r="AK980" s="2"/>
      <c r="AL980" s="2"/>
      <c r="AM980" s="2"/>
      <c r="AN980" s="2"/>
      <c r="AO980" s="9"/>
      <c r="AP980" s="9"/>
      <c r="AQ980" s="9"/>
      <c r="AR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224"/>
      <c r="X981" s="224"/>
      <c r="Y981" s="224"/>
      <c r="Z981" s="868"/>
      <c r="AA981" s="865"/>
      <c r="AB981" s="2"/>
      <c r="AC981" s="2"/>
      <c r="AD981" s="2"/>
      <c r="AE981" s="2"/>
      <c r="AF981" s="2"/>
      <c r="AG981" s="2"/>
      <c r="AH981" s="2"/>
      <c r="AI981" s="2"/>
      <c r="AJ981" s="2"/>
      <c r="AK981" s="2"/>
      <c r="AL981" s="2"/>
      <c r="AM981" s="2"/>
      <c r="AN981" s="2"/>
      <c r="AO981" s="9"/>
      <c r="AP981" s="9"/>
      <c r="AQ981" s="9"/>
      <c r="AR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224"/>
      <c r="X982" s="224"/>
      <c r="Y982" s="224"/>
      <c r="Z982" s="868"/>
      <c r="AA982" s="865"/>
      <c r="AB982" s="2"/>
      <c r="AC982" s="2"/>
      <c r="AD982" s="2"/>
      <c r="AE982" s="2"/>
      <c r="AF982" s="2"/>
      <c r="AG982" s="2"/>
      <c r="AH982" s="2"/>
      <c r="AI982" s="2"/>
      <c r="AJ982" s="2"/>
      <c r="AK982" s="2"/>
      <c r="AL982" s="2"/>
      <c r="AM982" s="2"/>
      <c r="AN982" s="2"/>
      <c r="AO982" s="9"/>
      <c r="AP982" s="9"/>
      <c r="AQ982" s="9"/>
      <c r="AR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224"/>
      <c r="X983" s="224"/>
      <c r="Y983" s="224"/>
      <c r="Z983" s="868"/>
      <c r="AA983" s="865"/>
      <c r="AB983" s="2"/>
      <c r="AC983" s="2"/>
      <c r="AD983" s="2"/>
      <c r="AE983" s="2"/>
      <c r="AF983" s="2"/>
      <c r="AG983" s="2"/>
      <c r="AH983" s="2"/>
      <c r="AI983" s="2"/>
      <c r="AJ983" s="2"/>
      <c r="AK983" s="2"/>
      <c r="AL983" s="2"/>
      <c r="AM983" s="2"/>
      <c r="AN983" s="2"/>
      <c r="AO983" s="9"/>
      <c r="AP983" s="9"/>
      <c r="AQ983" s="9"/>
      <c r="AR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224"/>
      <c r="X984" s="224"/>
      <c r="Y984" s="224"/>
      <c r="Z984" s="868"/>
      <c r="AA984" s="865"/>
      <c r="AB984" s="2"/>
      <c r="AC984" s="2"/>
      <c r="AD984" s="2"/>
      <c r="AE984" s="2"/>
      <c r="AF984" s="2"/>
      <c r="AG984" s="2"/>
      <c r="AH984" s="2"/>
      <c r="AI984" s="2"/>
      <c r="AJ984" s="2"/>
      <c r="AK984" s="2"/>
      <c r="AL984" s="2"/>
      <c r="AM984" s="2"/>
      <c r="AN984" s="2"/>
      <c r="AO984" s="9"/>
      <c r="AP984" s="9"/>
      <c r="AQ984" s="9"/>
      <c r="AR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224"/>
      <c r="X985" s="224"/>
      <c r="Y985" s="224"/>
      <c r="Z985" s="868"/>
      <c r="AA985" s="865"/>
      <c r="AB985" s="2"/>
      <c r="AC985" s="2"/>
      <c r="AD985" s="2"/>
      <c r="AE985" s="2"/>
      <c r="AF985" s="2"/>
      <c r="AG985" s="2"/>
      <c r="AH985" s="2"/>
      <c r="AI985" s="2"/>
      <c r="AJ985" s="2"/>
      <c r="AK985" s="2"/>
      <c r="AL985" s="2"/>
      <c r="AM985" s="2"/>
      <c r="AN985" s="2"/>
      <c r="AO985" s="9"/>
      <c r="AP985" s="9"/>
      <c r="AQ985" s="9"/>
      <c r="AR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224"/>
      <c r="X986" s="224"/>
      <c r="Y986" s="224"/>
      <c r="Z986" s="868"/>
      <c r="AA986" s="865"/>
      <c r="AB986" s="2"/>
      <c r="AC986" s="2"/>
      <c r="AD986" s="2"/>
      <c r="AE986" s="2"/>
      <c r="AF986" s="2"/>
      <c r="AG986" s="2"/>
      <c r="AH986" s="2"/>
      <c r="AI986" s="2"/>
      <c r="AJ986" s="2"/>
      <c r="AK986" s="2"/>
      <c r="AL986" s="2"/>
      <c r="AM986" s="2"/>
      <c r="AN986" s="2"/>
      <c r="AO986" s="9"/>
      <c r="AP986" s="9"/>
      <c r="AQ986" s="9"/>
      <c r="AR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224"/>
      <c r="X987" s="224"/>
      <c r="Y987" s="224"/>
      <c r="Z987" s="868"/>
      <c r="AA987" s="865"/>
      <c r="AB987" s="2"/>
      <c r="AC987" s="2"/>
      <c r="AD987" s="2"/>
      <c r="AE987" s="2"/>
      <c r="AF987" s="2"/>
      <c r="AG987" s="2"/>
      <c r="AH987" s="2"/>
      <c r="AI987" s="2"/>
      <c r="AJ987" s="2"/>
      <c r="AK987" s="2"/>
      <c r="AL987" s="2"/>
      <c r="AM987" s="2"/>
      <c r="AN987" s="2"/>
      <c r="AO987" s="9"/>
      <c r="AP987" s="9"/>
      <c r="AQ987" s="9"/>
      <c r="AR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224"/>
      <c r="X988" s="224"/>
      <c r="Y988" s="224"/>
      <c r="Z988" s="868"/>
      <c r="AA988" s="865"/>
      <c r="AB988" s="2"/>
      <c r="AC988" s="2"/>
      <c r="AD988" s="2"/>
      <c r="AE988" s="2"/>
      <c r="AF988" s="2"/>
      <c r="AG988" s="2"/>
      <c r="AH988" s="2"/>
      <c r="AI988" s="2"/>
      <c r="AJ988" s="2"/>
      <c r="AK988" s="2"/>
      <c r="AL988" s="2"/>
      <c r="AM988" s="2"/>
      <c r="AN988" s="2"/>
      <c r="AO988" s="9"/>
      <c r="AP988" s="9"/>
      <c r="AQ988" s="9"/>
      <c r="AR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224"/>
      <c r="X989" s="224"/>
      <c r="Y989" s="224"/>
      <c r="Z989" s="868"/>
      <c r="AA989" s="865"/>
      <c r="AB989" s="2"/>
      <c r="AC989" s="2"/>
      <c r="AD989" s="2"/>
      <c r="AE989" s="2"/>
      <c r="AF989" s="2"/>
      <c r="AG989" s="2"/>
      <c r="AH989" s="2"/>
      <c r="AI989" s="2"/>
      <c r="AJ989" s="2"/>
      <c r="AK989" s="2"/>
      <c r="AL989" s="2"/>
      <c r="AM989" s="2"/>
      <c r="AN989" s="2"/>
      <c r="AO989" s="9"/>
      <c r="AP989" s="9"/>
      <c r="AQ989" s="9"/>
      <c r="AR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224"/>
      <c r="X990" s="224"/>
      <c r="Y990" s="224"/>
      <c r="Z990" s="868"/>
      <c r="AA990" s="865"/>
      <c r="AB990" s="2"/>
      <c r="AC990" s="2"/>
      <c r="AD990" s="2"/>
      <c r="AE990" s="2"/>
      <c r="AF990" s="2"/>
      <c r="AG990" s="2"/>
      <c r="AH990" s="2"/>
      <c r="AI990" s="2"/>
      <c r="AJ990" s="2"/>
      <c r="AK990" s="2"/>
      <c r="AL990" s="2"/>
      <c r="AM990" s="2"/>
      <c r="AN990" s="2"/>
      <c r="AO990" s="9"/>
      <c r="AP990" s="9"/>
      <c r="AQ990" s="9"/>
      <c r="AR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224"/>
      <c r="X991" s="224"/>
      <c r="Y991" s="224"/>
      <c r="Z991" s="868"/>
      <c r="AA991" s="865"/>
      <c r="AB991" s="2"/>
      <c r="AC991" s="2"/>
      <c r="AD991" s="2"/>
      <c r="AE991" s="2"/>
      <c r="AF991" s="2"/>
      <c r="AG991" s="2"/>
      <c r="AH991" s="2"/>
      <c r="AI991" s="2"/>
      <c r="AJ991" s="2"/>
      <c r="AK991" s="2"/>
      <c r="AL991" s="2"/>
      <c r="AM991" s="2"/>
      <c r="AN991" s="2"/>
      <c r="AO991" s="9"/>
      <c r="AP991" s="9"/>
      <c r="AQ991" s="9"/>
      <c r="AR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224"/>
      <c r="X992" s="224"/>
      <c r="Y992" s="224"/>
      <c r="Z992" s="868"/>
      <c r="AA992" s="865"/>
      <c r="AB992" s="2"/>
      <c r="AC992" s="2"/>
      <c r="AD992" s="2"/>
      <c r="AE992" s="2"/>
      <c r="AF992" s="2"/>
      <c r="AG992" s="2"/>
      <c r="AH992" s="2"/>
      <c r="AI992" s="2"/>
      <c r="AJ992" s="2"/>
      <c r="AK992" s="2"/>
      <c r="AL992" s="2"/>
      <c r="AM992" s="2"/>
      <c r="AN992" s="2"/>
      <c r="AO992" s="9"/>
      <c r="AP992" s="9"/>
      <c r="AQ992" s="9"/>
      <c r="AR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224"/>
      <c r="X993" s="224"/>
      <c r="Y993" s="224"/>
      <c r="Z993" s="868"/>
      <c r="AA993" s="865"/>
      <c r="AB993" s="2"/>
      <c r="AC993" s="2"/>
      <c r="AD993" s="2"/>
      <c r="AE993" s="2"/>
      <c r="AF993" s="2"/>
      <c r="AG993" s="2"/>
      <c r="AH993" s="2"/>
      <c r="AI993" s="2"/>
      <c r="AJ993" s="2"/>
      <c r="AK993" s="2"/>
      <c r="AL993" s="2"/>
      <c r="AM993" s="2"/>
      <c r="AN993" s="2"/>
      <c r="AO993" s="9"/>
      <c r="AP993" s="9"/>
      <c r="AQ993" s="9"/>
      <c r="AR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224"/>
      <c r="X994" s="224"/>
      <c r="Y994" s="224"/>
      <c r="Z994" s="868"/>
      <c r="AA994" s="865"/>
      <c r="AB994" s="2"/>
      <c r="AC994" s="2"/>
      <c r="AD994" s="2"/>
      <c r="AE994" s="2"/>
      <c r="AF994" s="2"/>
      <c r="AG994" s="2"/>
      <c r="AH994" s="2"/>
      <c r="AI994" s="2"/>
      <c r="AJ994" s="2"/>
      <c r="AK994" s="2"/>
      <c r="AL994" s="2"/>
      <c r="AM994" s="2"/>
      <c r="AN994" s="2"/>
      <c r="AO994" s="9"/>
      <c r="AP994" s="9"/>
      <c r="AQ994" s="9"/>
      <c r="AR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224"/>
      <c r="X995" s="224"/>
      <c r="Y995" s="224"/>
      <c r="Z995" s="868"/>
      <c r="AA995" s="865"/>
      <c r="AB995" s="2"/>
      <c r="AC995" s="2"/>
      <c r="AD995" s="2"/>
      <c r="AE995" s="2"/>
      <c r="AF995" s="2"/>
      <c r="AG995" s="2"/>
      <c r="AH995" s="2"/>
      <c r="AI995" s="2"/>
      <c r="AJ995" s="2"/>
      <c r="AK995" s="2"/>
      <c r="AL995" s="2"/>
      <c r="AM995" s="2"/>
      <c r="AN995" s="2"/>
      <c r="AO995" s="9"/>
      <c r="AP995" s="9"/>
      <c r="AQ995" s="9"/>
      <c r="AR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224"/>
      <c r="X996" s="224"/>
      <c r="Y996" s="224"/>
      <c r="Z996" s="868"/>
      <c r="AA996" s="865"/>
      <c r="AB996" s="2"/>
      <c r="AC996" s="2"/>
      <c r="AD996" s="2"/>
      <c r="AE996" s="2"/>
      <c r="AF996" s="2"/>
      <c r="AG996" s="2"/>
      <c r="AH996" s="2"/>
      <c r="AI996" s="2"/>
      <c r="AJ996" s="2"/>
      <c r="AK996" s="2"/>
      <c r="AL996" s="2"/>
      <c r="AM996" s="2"/>
      <c r="AN996" s="2"/>
      <c r="AO996" s="9"/>
      <c r="AP996" s="9"/>
      <c r="AQ996" s="9"/>
      <c r="AR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224"/>
      <c r="X997" s="224"/>
      <c r="Y997" s="224"/>
      <c r="Z997" s="868"/>
      <c r="AA997" s="865"/>
      <c r="AB997" s="2"/>
      <c r="AC997" s="2"/>
      <c r="AD997" s="2"/>
      <c r="AE997" s="2"/>
      <c r="AF997" s="2"/>
      <c r="AG997" s="2"/>
      <c r="AH997" s="2"/>
      <c r="AI997" s="2"/>
      <c r="AJ997" s="2"/>
      <c r="AK997" s="2"/>
      <c r="AL997" s="2"/>
      <c r="AM997" s="2"/>
      <c r="AN997" s="2"/>
      <c r="AO997" s="9"/>
      <c r="AP997" s="9"/>
      <c r="AQ997" s="9"/>
      <c r="AR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224"/>
      <c r="X998" s="224"/>
      <c r="Y998" s="224"/>
      <c r="Z998" s="868"/>
      <c r="AA998" s="865"/>
      <c r="AB998" s="2"/>
      <c r="AC998" s="2"/>
      <c r="AD998" s="2"/>
      <c r="AE998" s="2"/>
      <c r="AF998" s="2"/>
      <c r="AG998" s="2"/>
      <c r="AH998" s="2"/>
      <c r="AI998" s="2"/>
      <c r="AJ998" s="2"/>
      <c r="AK998" s="2"/>
      <c r="AL998" s="2"/>
      <c r="AM998" s="2"/>
      <c r="AN998" s="2"/>
      <c r="AO998" s="9"/>
      <c r="AP998" s="9"/>
      <c r="AQ998" s="9"/>
      <c r="AR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224"/>
      <c r="X999" s="224"/>
      <c r="Y999" s="224"/>
      <c r="Z999" s="868"/>
      <c r="AA999" s="865"/>
      <c r="AB999" s="2"/>
      <c r="AC999" s="2"/>
      <c r="AD999" s="2"/>
      <c r="AE999" s="2"/>
      <c r="AF999" s="2"/>
      <c r="AG999" s="2"/>
      <c r="AH999" s="2"/>
      <c r="AI999" s="2"/>
      <c r="AJ999" s="2"/>
      <c r="AK999" s="2"/>
      <c r="AL999" s="2"/>
      <c r="AM999" s="2"/>
      <c r="AN999" s="2"/>
      <c r="AO999" s="9"/>
      <c r="AP999" s="9"/>
      <c r="AQ999" s="9"/>
      <c r="AR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224"/>
      <c r="X1000" s="224"/>
      <c r="Y1000" s="224"/>
      <c r="Z1000" s="868"/>
      <c r="AA1000" s="865"/>
      <c r="AB1000" s="2"/>
      <c r="AC1000" s="2"/>
      <c r="AD1000" s="2"/>
      <c r="AE1000" s="2"/>
      <c r="AF1000" s="2"/>
      <c r="AG1000" s="2"/>
      <c r="AH1000" s="2"/>
      <c r="AI1000" s="2"/>
      <c r="AJ1000" s="2"/>
      <c r="AK1000" s="2"/>
      <c r="AL1000" s="2"/>
      <c r="AM1000" s="2"/>
      <c r="AN1000" s="2"/>
      <c r="AO1000" s="9"/>
      <c r="AP1000" s="9"/>
      <c r="AQ1000" s="9"/>
      <c r="AR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224"/>
      <c r="X1001" s="224"/>
      <c r="Y1001" s="224"/>
      <c r="Z1001" s="868"/>
      <c r="AA1001" s="865"/>
      <c r="AB1001" s="2"/>
      <c r="AC1001" s="2"/>
      <c r="AD1001" s="2"/>
      <c r="AE1001" s="2"/>
      <c r="AF1001" s="2"/>
      <c r="AG1001" s="2"/>
      <c r="AH1001" s="2"/>
      <c r="AI1001" s="2"/>
      <c r="AJ1001" s="2"/>
      <c r="AK1001" s="2"/>
      <c r="AL1001" s="2"/>
      <c r="AM1001" s="2"/>
      <c r="AN1001" s="2"/>
      <c r="AO1001" s="9"/>
      <c r="AP1001" s="9"/>
      <c r="AQ1001" s="9"/>
      <c r="AR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224"/>
      <c r="X1002" s="224"/>
      <c r="Y1002" s="224"/>
      <c r="Z1002" s="868"/>
      <c r="AA1002" s="865"/>
      <c r="AB1002" s="2"/>
      <c r="AC1002" s="2"/>
      <c r="AD1002" s="2"/>
      <c r="AE1002" s="2"/>
      <c r="AF1002" s="2"/>
      <c r="AG1002" s="2"/>
      <c r="AH1002" s="2"/>
      <c r="AI1002" s="2"/>
      <c r="AJ1002" s="2"/>
      <c r="AK1002" s="2"/>
      <c r="AL1002" s="2"/>
      <c r="AM1002" s="2"/>
      <c r="AN1002" s="2"/>
      <c r="AO1002" s="9"/>
      <c r="AP1002" s="9"/>
      <c r="AQ1002" s="9"/>
      <c r="AR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224"/>
      <c r="X1003" s="224"/>
      <c r="Y1003" s="224"/>
      <c r="Z1003" s="868"/>
      <c r="AA1003" s="865"/>
      <c r="AB1003" s="2"/>
      <c r="AC1003" s="2"/>
      <c r="AD1003" s="2"/>
      <c r="AE1003" s="2"/>
      <c r="AF1003" s="2"/>
      <c r="AG1003" s="2"/>
      <c r="AH1003" s="2"/>
      <c r="AI1003" s="2"/>
      <c r="AJ1003" s="2"/>
      <c r="AK1003" s="2"/>
      <c r="AL1003" s="2"/>
      <c r="AM1003" s="2"/>
      <c r="AN1003" s="2"/>
      <c r="AO1003" s="9"/>
      <c r="AP1003" s="9"/>
      <c r="AQ1003" s="9"/>
      <c r="AR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224"/>
      <c r="X1004" s="224"/>
      <c r="Y1004" s="224"/>
      <c r="Z1004" s="868"/>
      <c r="AA1004" s="865"/>
      <c r="AB1004" s="2"/>
      <c r="AC1004" s="2"/>
      <c r="AD1004" s="2"/>
      <c r="AE1004" s="2"/>
      <c r="AF1004" s="2"/>
      <c r="AG1004" s="2"/>
      <c r="AH1004" s="2"/>
      <c r="AI1004" s="2"/>
      <c r="AJ1004" s="2"/>
      <c r="AK1004" s="2"/>
      <c r="AL1004" s="2"/>
      <c r="AM1004" s="2"/>
      <c r="AN1004" s="2"/>
      <c r="AO1004" s="9"/>
      <c r="AP1004" s="9"/>
      <c r="AQ1004" s="9"/>
      <c r="AR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224"/>
      <c r="X1005" s="224"/>
      <c r="Y1005" s="224"/>
      <c r="Z1005" s="868"/>
      <c r="AA1005" s="865"/>
      <c r="AB1005" s="2"/>
      <c r="AC1005" s="2"/>
      <c r="AD1005" s="2"/>
      <c r="AE1005" s="2"/>
      <c r="AF1005" s="2"/>
      <c r="AG1005" s="2"/>
      <c r="AH1005" s="2"/>
      <c r="AI1005" s="2"/>
      <c r="AJ1005" s="2"/>
      <c r="AK1005" s="2"/>
      <c r="AL1005" s="2"/>
      <c r="AM1005" s="2"/>
      <c r="AN1005" s="2"/>
      <c r="AO1005" s="9"/>
      <c r="AP1005" s="9"/>
      <c r="AQ1005" s="9"/>
      <c r="AR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224"/>
      <c r="X1006" s="224"/>
      <c r="Y1006" s="224"/>
      <c r="Z1006" s="868"/>
      <c r="AA1006" s="865"/>
      <c r="AB1006" s="2"/>
      <c r="AC1006" s="2"/>
      <c r="AD1006" s="2"/>
      <c r="AE1006" s="2"/>
      <c r="AF1006" s="2"/>
      <c r="AG1006" s="2"/>
      <c r="AH1006" s="2"/>
      <c r="AI1006" s="2"/>
      <c r="AJ1006" s="2"/>
      <c r="AK1006" s="2"/>
      <c r="AL1006" s="2"/>
      <c r="AM1006" s="2"/>
      <c r="AN1006" s="2"/>
      <c r="AO1006" s="9"/>
      <c r="AP1006" s="9"/>
      <c r="AQ1006" s="9"/>
      <c r="AR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224"/>
      <c r="X1007" s="224"/>
      <c r="Y1007" s="224"/>
      <c r="Z1007" s="868"/>
      <c r="AA1007" s="865"/>
      <c r="AB1007" s="2"/>
      <c r="AC1007" s="2"/>
      <c r="AD1007" s="2"/>
      <c r="AE1007" s="2"/>
      <c r="AF1007" s="2"/>
      <c r="AG1007" s="2"/>
      <c r="AH1007" s="2"/>
      <c r="AI1007" s="2"/>
      <c r="AJ1007" s="2"/>
      <c r="AK1007" s="2"/>
      <c r="AL1007" s="2"/>
      <c r="AM1007" s="2"/>
      <c r="AN1007" s="2"/>
      <c r="AO1007" s="9"/>
      <c r="AP1007" s="9"/>
      <c r="AQ1007" s="9"/>
      <c r="AR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224"/>
      <c r="X1008" s="224"/>
      <c r="Y1008" s="224"/>
      <c r="Z1008" s="868"/>
      <c r="AA1008" s="865"/>
      <c r="AB1008" s="2"/>
      <c r="AC1008" s="2"/>
      <c r="AD1008" s="2"/>
      <c r="AE1008" s="2"/>
      <c r="AF1008" s="2"/>
      <c r="AG1008" s="2"/>
      <c r="AH1008" s="2"/>
      <c r="AI1008" s="2"/>
      <c r="AJ1008" s="2"/>
      <c r="AK1008" s="2"/>
      <c r="AL1008" s="2"/>
      <c r="AM1008" s="2"/>
      <c r="AN1008" s="2"/>
      <c r="AO1008" s="9"/>
      <c r="AP1008" s="9"/>
      <c r="AQ1008" s="9"/>
      <c r="AR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224"/>
      <c r="X1009" s="224"/>
      <c r="Y1009" s="224"/>
      <c r="Z1009" s="868"/>
      <c r="AA1009" s="865"/>
      <c r="AB1009" s="2"/>
      <c r="AC1009" s="2"/>
      <c r="AD1009" s="2"/>
      <c r="AE1009" s="2"/>
      <c r="AF1009" s="2"/>
      <c r="AG1009" s="2"/>
      <c r="AH1009" s="2"/>
      <c r="AI1009" s="2"/>
      <c r="AJ1009" s="2"/>
      <c r="AK1009" s="2"/>
      <c r="AL1009" s="2"/>
      <c r="AM1009" s="2"/>
      <c r="AN1009" s="2"/>
      <c r="AO1009" s="9"/>
      <c r="AP1009" s="9"/>
      <c r="AQ1009" s="9"/>
      <c r="AR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224"/>
      <c r="X1010" s="224"/>
      <c r="Y1010" s="224"/>
      <c r="Z1010" s="868"/>
      <c r="AA1010" s="865"/>
      <c r="AB1010" s="2"/>
      <c r="AC1010" s="2"/>
      <c r="AD1010" s="2"/>
      <c r="AE1010" s="2"/>
      <c r="AF1010" s="2"/>
      <c r="AG1010" s="2"/>
      <c r="AH1010" s="2"/>
      <c r="AI1010" s="2"/>
      <c r="AJ1010" s="2"/>
      <c r="AK1010" s="2"/>
      <c r="AL1010" s="2"/>
      <c r="AM1010" s="2"/>
      <c r="AN1010" s="2"/>
      <c r="AO1010" s="9"/>
      <c r="AP1010" s="9"/>
      <c r="AQ1010" s="9"/>
      <c r="AR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224"/>
      <c r="X1011" s="224"/>
      <c r="Y1011" s="224"/>
      <c r="Z1011" s="868"/>
      <c r="AA1011" s="865"/>
      <c r="AB1011" s="2"/>
      <c r="AC1011" s="2"/>
      <c r="AD1011" s="2"/>
      <c r="AE1011" s="2"/>
      <c r="AF1011" s="2"/>
      <c r="AG1011" s="2"/>
      <c r="AH1011" s="2"/>
      <c r="AI1011" s="2"/>
      <c r="AJ1011" s="2"/>
      <c r="AK1011" s="2"/>
      <c r="AL1011" s="2"/>
      <c r="AM1011" s="2"/>
      <c r="AN1011" s="2"/>
      <c r="AO1011" s="9"/>
      <c r="AP1011" s="9"/>
      <c r="AQ1011" s="9"/>
      <c r="AR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224"/>
      <c r="X1012" s="224"/>
      <c r="Y1012" s="224"/>
      <c r="Z1012" s="868"/>
      <c r="AA1012" s="865"/>
      <c r="AB1012" s="2"/>
      <c r="AC1012" s="2"/>
      <c r="AD1012" s="2"/>
      <c r="AE1012" s="2"/>
      <c r="AF1012" s="2"/>
      <c r="AG1012" s="2"/>
      <c r="AH1012" s="2"/>
      <c r="AI1012" s="2"/>
      <c r="AJ1012" s="2"/>
      <c r="AK1012" s="2"/>
      <c r="AL1012" s="2"/>
      <c r="AM1012" s="2"/>
      <c r="AN1012" s="2"/>
      <c r="AO1012" s="9"/>
      <c r="AP1012" s="9"/>
      <c r="AQ1012" s="9"/>
      <c r="AR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224"/>
      <c r="X1013" s="224"/>
      <c r="Y1013" s="224"/>
      <c r="Z1013" s="868"/>
      <c r="AA1013" s="865"/>
      <c r="AB1013" s="2"/>
      <c r="AC1013" s="2"/>
      <c r="AD1013" s="2"/>
      <c r="AE1013" s="2"/>
      <c r="AF1013" s="2"/>
      <c r="AG1013" s="2"/>
      <c r="AH1013" s="2"/>
      <c r="AI1013" s="2"/>
      <c r="AJ1013" s="2"/>
      <c r="AK1013" s="2"/>
      <c r="AL1013" s="2"/>
      <c r="AM1013" s="2"/>
      <c r="AN1013" s="2"/>
      <c r="AO1013" s="9"/>
      <c r="AP1013" s="9"/>
      <c r="AQ1013" s="9"/>
      <c r="AR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224"/>
      <c r="X1014" s="224"/>
      <c r="Y1014" s="224"/>
      <c r="Z1014" s="868"/>
      <c r="AA1014" s="865"/>
      <c r="AB1014" s="2"/>
      <c r="AC1014" s="2"/>
      <c r="AD1014" s="2"/>
      <c r="AE1014" s="2"/>
      <c r="AF1014" s="2"/>
      <c r="AG1014" s="2"/>
      <c r="AH1014" s="2"/>
      <c r="AI1014" s="2"/>
      <c r="AJ1014" s="2"/>
      <c r="AK1014" s="2"/>
      <c r="AL1014" s="2"/>
      <c r="AM1014" s="2"/>
      <c r="AN1014" s="2"/>
      <c r="AO1014" s="9"/>
      <c r="AP1014" s="9"/>
      <c r="AQ1014" s="9"/>
      <c r="AR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224"/>
      <c r="X1015" s="224"/>
      <c r="Y1015" s="224"/>
      <c r="Z1015" s="868"/>
      <c r="AA1015" s="865"/>
      <c r="AB1015" s="2"/>
      <c r="AC1015" s="2"/>
      <c r="AD1015" s="2"/>
      <c r="AE1015" s="2"/>
      <c r="AF1015" s="2"/>
      <c r="AG1015" s="2"/>
      <c r="AH1015" s="2"/>
      <c r="AI1015" s="2"/>
      <c r="AJ1015" s="2"/>
      <c r="AK1015" s="2"/>
      <c r="AL1015" s="2"/>
      <c r="AM1015" s="2"/>
      <c r="AN1015" s="2"/>
      <c r="AO1015" s="9"/>
      <c r="AP1015" s="9"/>
      <c r="AQ1015" s="9"/>
      <c r="AR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224"/>
      <c r="X1016" s="224"/>
      <c r="Y1016" s="224"/>
      <c r="Z1016" s="868"/>
      <c r="AA1016" s="865"/>
      <c r="AB1016" s="2"/>
      <c r="AC1016" s="2"/>
      <c r="AD1016" s="2"/>
      <c r="AE1016" s="2"/>
      <c r="AF1016" s="2"/>
      <c r="AG1016" s="2"/>
      <c r="AH1016" s="2"/>
      <c r="AI1016" s="2"/>
      <c r="AJ1016" s="2"/>
      <c r="AK1016" s="2"/>
      <c r="AL1016" s="2"/>
      <c r="AM1016" s="2"/>
      <c r="AN1016" s="2"/>
      <c r="AO1016" s="9"/>
      <c r="AP1016" s="9"/>
      <c r="AQ1016" s="9"/>
      <c r="AR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224"/>
      <c r="X1017" s="224"/>
      <c r="Y1017" s="224"/>
      <c r="Z1017" s="868"/>
      <c r="AA1017" s="865"/>
      <c r="AB1017" s="2"/>
      <c r="AC1017" s="2"/>
      <c r="AD1017" s="2"/>
      <c r="AE1017" s="2"/>
      <c r="AF1017" s="2"/>
      <c r="AG1017" s="2"/>
      <c r="AH1017" s="2"/>
      <c r="AI1017" s="2"/>
      <c r="AJ1017" s="2"/>
      <c r="AK1017" s="2"/>
      <c r="AL1017" s="2"/>
      <c r="AM1017" s="2"/>
      <c r="AN1017" s="2"/>
      <c r="AO1017" s="9"/>
      <c r="AP1017" s="9"/>
      <c r="AQ1017" s="9"/>
      <c r="AR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224"/>
      <c r="X1018" s="224"/>
      <c r="Y1018" s="224"/>
      <c r="Z1018" s="868"/>
      <c r="AA1018" s="865"/>
      <c r="AB1018" s="2"/>
      <c r="AC1018" s="2"/>
      <c r="AD1018" s="2"/>
      <c r="AE1018" s="2"/>
      <c r="AF1018" s="2"/>
      <c r="AG1018" s="2"/>
      <c r="AH1018" s="2"/>
      <c r="AI1018" s="2"/>
      <c r="AJ1018" s="2"/>
      <c r="AK1018" s="2"/>
      <c r="AL1018" s="2"/>
      <c r="AM1018" s="2"/>
      <c r="AN1018" s="2"/>
      <c r="AO1018" s="9"/>
      <c r="AP1018" s="9"/>
      <c r="AQ1018" s="9"/>
      <c r="AR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224"/>
      <c r="X1019" s="224"/>
      <c r="Y1019" s="224"/>
      <c r="Z1019" s="868"/>
      <c r="AA1019" s="865"/>
      <c r="AB1019" s="2"/>
      <c r="AC1019" s="2"/>
      <c r="AD1019" s="2"/>
      <c r="AE1019" s="2"/>
      <c r="AF1019" s="2"/>
      <c r="AG1019" s="2"/>
      <c r="AH1019" s="2"/>
      <c r="AI1019" s="2"/>
      <c r="AJ1019" s="2"/>
      <c r="AK1019" s="2"/>
      <c r="AL1019" s="2"/>
      <c r="AM1019" s="2"/>
      <c r="AN1019" s="2"/>
      <c r="AO1019" s="9"/>
      <c r="AP1019" s="9"/>
      <c r="AQ1019" s="9"/>
      <c r="AR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224"/>
      <c r="X1020" s="224"/>
      <c r="Y1020" s="224"/>
      <c r="Z1020" s="868"/>
      <c r="AA1020" s="865"/>
      <c r="AB1020" s="2"/>
      <c r="AC1020" s="2"/>
      <c r="AD1020" s="2"/>
      <c r="AE1020" s="2"/>
      <c r="AF1020" s="2"/>
      <c r="AG1020" s="2"/>
      <c r="AH1020" s="2"/>
      <c r="AI1020" s="2"/>
      <c r="AJ1020" s="2"/>
      <c r="AK1020" s="2"/>
      <c r="AL1020" s="2"/>
      <c r="AM1020" s="2"/>
      <c r="AN1020" s="2"/>
      <c r="AO1020" s="9"/>
      <c r="AP1020" s="9"/>
      <c r="AQ1020" s="9"/>
      <c r="AR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224"/>
      <c r="X1021" s="224"/>
      <c r="Y1021" s="224"/>
      <c r="Z1021" s="868"/>
      <c r="AA1021" s="865"/>
      <c r="AB1021" s="2"/>
      <c r="AC1021" s="2"/>
      <c r="AD1021" s="2"/>
      <c r="AE1021" s="2"/>
      <c r="AF1021" s="2"/>
      <c r="AG1021" s="2"/>
      <c r="AH1021" s="2"/>
      <c r="AI1021" s="2"/>
      <c r="AJ1021" s="2"/>
      <c r="AK1021" s="2"/>
      <c r="AL1021" s="2"/>
      <c r="AM1021" s="2"/>
      <c r="AN1021" s="2"/>
      <c r="AO1021" s="9"/>
      <c r="AP1021" s="9"/>
      <c r="AQ1021" s="9"/>
      <c r="AR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224"/>
      <c r="X1022" s="224"/>
      <c r="Y1022" s="224"/>
      <c r="Z1022" s="868"/>
      <c r="AA1022" s="865"/>
      <c r="AB1022" s="2"/>
      <c r="AC1022" s="2"/>
      <c r="AD1022" s="2"/>
      <c r="AE1022" s="2"/>
      <c r="AF1022" s="2"/>
      <c r="AG1022" s="2"/>
      <c r="AH1022" s="2"/>
      <c r="AI1022" s="2"/>
      <c r="AJ1022" s="2"/>
      <c r="AK1022" s="2"/>
      <c r="AL1022" s="2"/>
      <c r="AM1022" s="2"/>
      <c r="AN1022" s="2"/>
      <c r="AO1022" s="9"/>
      <c r="AP1022" s="9"/>
      <c r="AQ1022" s="9"/>
      <c r="AR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224"/>
      <c r="X1023" s="224"/>
      <c r="Y1023" s="224"/>
      <c r="Z1023" s="868"/>
      <c r="AA1023" s="865"/>
      <c r="AB1023" s="2"/>
      <c r="AC1023" s="2"/>
      <c r="AD1023" s="2"/>
      <c r="AE1023" s="2"/>
      <c r="AF1023" s="2"/>
      <c r="AG1023" s="2"/>
      <c r="AH1023" s="2"/>
      <c r="AI1023" s="2"/>
      <c r="AJ1023" s="2"/>
      <c r="AK1023" s="2"/>
      <c r="AL1023" s="2"/>
      <c r="AM1023" s="2"/>
      <c r="AN1023" s="2"/>
      <c r="AO1023" s="9"/>
      <c r="AP1023" s="9"/>
      <c r="AQ1023" s="9"/>
      <c r="AR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224"/>
      <c r="X1024" s="224"/>
      <c r="Y1024" s="224"/>
      <c r="Z1024" s="868"/>
      <c r="AA1024" s="865"/>
      <c r="AB1024" s="2"/>
      <c r="AC1024" s="2"/>
      <c r="AD1024" s="2"/>
      <c r="AE1024" s="2"/>
      <c r="AF1024" s="2"/>
      <c r="AG1024" s="2"/>
      <c r="AH1024" s="2"/>
      <c r="AI1024" s="2"/>
      <c r="AJ1024" s="2"/>
      <c r="AK1024" s="2"/>
      <c r="AL1024" s="2"/>
      <c r="AM1024" s="2"/>
      <c r="AN1024" s="2"/>
      <c r="AO1024" s="9"/>
      <c r="AP1024" s="9"/>
      <c r="AQ1024" s="9"/>
      <c r="AR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224"/>
      <c r="X1025" s="224"/>
      <c r="Y1025" s="224"/>
      <c r="Z1025" s="868"/>
      <c r="AA1025" s="865"/>
      <c r="AB1025" s="2"/>
      <c r="AC1025" s="2"/>
      <c r="AD1025" s="2"/>
      <c r="AE1025" s="2"/>
      <c r="AF1025" s="2"/>
      <c r="AG1025" s="2"/>
      <c r="AH1025" s="2"/>
      <c r="AI1025" s="2"/>
      <c r="AJ1025" s="2"/>
      <c r="AK1025" s="2"/>
      <c r="AL1025" s="2"/>
      <c r="AM1025" s="2"/>
      <c r="AN1025" s="2"/>
      <c r="AO1025" s="9"/>
      <c r="AP1025" s="9"/>
      <c r="AQ1025" s="9"/>
      <c r="AR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224"/>
      <c r="X1026" s="224"/>
      <c r="Y1026" s="224"/>
      <c r="Z1026" s="868"/>
      <c r="AA1026" s="865"/>
      <c r="AB1026" s="2"/>
      <c r="AC1026" s="2"/>
      <c r="AD1026" s="2"/>
      <c r="AE1026" s="2"/>
      <c r="AF1026" s="2"/>
      <c r="AG1026" s="2"/>
      <c r="AH1026" s="2"/>
      <c r="AI1026" s="2"/>
      <c r="AJ1026" s="2"/>
      <c r="AK1026" s="2"/>
      <c r="AL1026" s="2"/>
      <c r="AM1026" s="2"/>
      <c r="AN1026" s="2"/>
      <c r="AO1026" s="9"/>
      <c r="AP1026" s="9"/>
      <c r="AQ1026" s="9"/>
      <c r="AR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224"/>
      <c r="X1027" s="224"/>
      <c r="Y1027" s="224"/>
      <c r="Z1027" s="868"/>
      <c r="AA1027" s="865"/>
      <c r="AB1027" s="2"/>
      <c r="AC1027" s="2"/>
      <c r="AD1027" s="2"/>
      <c r="AE1027" s="2"/>
      <c r="AF1027" s="2"/>
      <c r="AG1027" s="2"/>
      <c r="AH1027" s="2"/>
      <c r="AI1027" s="2"/>
      <c r="AJ1027" s="2"/>
      <c r="AK1027" s="2"/>
      <c r="AL1027" s="2"/>
      <c r="AM1027" s="2"/>
      <c r="AN1027" s="2"/>
      <c r="AO1027" s="9"/>
      <c r="AP1027" s="9"/>
      <c r="AQ1027" s="9"/>
      <c r="AR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224"/>
      <c r="X1028" s="224"/>
      <c r="Y1028" s="224"/>
      <c r="Z1028" s="868"/>
      <c r="AA1028" s="865"/>
      <c r="AB1028" s="2"/>
      <c r="AC1028" s="2"/>
      <c r="AD1028" s="2"/>
      <c r="AE1028" s="2"/>
      <c r="AF1028" s="2"/>
      <c r="AG1028" s="2"/>
      <c r="AH1028" s="2"/>
      <c r="AI1028" s="2"/>
      <c r="AJ1028" s="2"/>
      <c r="AK1028" s="2"/>
      <c r="AL1028" s="2"/>
      <c r="AM1028" s="2"/>
      <c r="AN1028" s="2"/>
      <c r="AO1028" s="9"/>
      <c r="AP1028" s="9"/>
      <c r="AQ1028" s="9"/>
      <c r="AR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224"/>
      <c r="X1029" s="224"/>
      <c r="Y1029" s="224"/>
      <c r="Z1029" s="868"/>
      <c r="AA1029" s="865"/>
      <c r="AB1029" s="2"/>
      <c r="AC1029" s="2"/>
      <c r="AD1029" s="2"/>
      <c r="AE1029" s="2"/>
      <c r="AF1029" s="2"/>
      <c r="AG1029" s="2"/>
      <c r="AH1029" s="2"/>
      <c r="AI1029" s="2"/>
      <c r="AJ1029" s="2"/>
      <c r="AK1029" s="2"/>
      <c r="AL1029" s="2"/>
      <c r="AM1029" s="2"/>
      <c r="AN1029" s="2"/>
      <c r="AO1029" s="9"/>
      <c r="AP1029" s="9"/>
      <c r="AQ1029" s="9"/>
      <c r="AR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224"/>
      <c r="X1030" s="224"/>
      <c r="Y1030" s="224"/>
      <c r="Z1030" s="868"/>
      <c r="AA1030" s="865"/>
      <c r="AB1030" s="2"/>
      <c r="AC1030" s="2"/>
      <c r="AD1030" s="2"/>
      <c r="AE1030" s="2"/>
      <c r="AF1030" s="2"/>
      <c r="AG1030" s="2"/>
      <c r="AH1030" s="2"/>
      <c r="AI1030" s="2"/>
      <c r="AJ1030" s="2"/>
      <c r="AK1030" s="2"/>
      <c r="AL1030" s="2"/>
      <c r="AM1030" s="2"/>
      <c r="AN1030" s="2"/>
      <c r="AO1030" s="9"/>
      <c r="AP1030" s="9"/>
      <c r="AQ1030" s="9"/>
      <c r="AR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224"/>
      <c r="X1031" s="224"/>
      <c r="Y1031" s="224"/>
      <c r="Z1031" s="868"/>
      <c r="AA1031" s="865"/>
      <c r="AB1031" s="2"/>
      <c r="AC1031" s="2"/>
      <c r="AD1031" s="2"/>
      <c r="AE1031" s="2"/>
      <c r="AF1031" s="2"/>
      <c r="AG1031" s="2"/>
      <c r="AH1031" s="2"/>
      <c r="AI1031" s="2"/>
      <c r="AJ1031" s="2"/>
      <c r="AK1031" s="2"/>
      <c r="AL1031" s="2"/>
      <c r="AM1031" s="2"/>
      <c r="AN1031" s="2"/>
      <c r="AO1031" s="9"/>
      <c r="AP1031" s="9"/>
      <c r="AQ1031" s="9"/>
      <c r="AR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224"/>
      <c r="X1032" s="224"/>
      <c r="Y1032" s="224"/>
      <c r="Z1032" s="868"/>
      <c r="AA1032" s="865"/>
      <c r="AB1032" s="2"/>
      <c r="AC1032" s="2"/>
      <c r="AD1032" s="2"/>
      <c r="AE1032" s="2"/>
      <c r="AF1032" s="2"/>
      <c r="AG1032" s="2"/>
      <c r="AH1032" s="2"/>
      <c r="AI1032" s="2"/>
      <c r="AJ1032" s="2"/>
      <c r="AK1032" s="2"/>
      <c r="AL1032" s="2"/>
      <c r="AM1032" s="2"/>
      <c r="AN1032" s="2"/>
      <c r="AO1032" s="9"/>
      <c r="AP1032" s="9"/>
      <c r="AQ1032" s="9"/>
      <c r="AR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224"/>
      <c r="X1033" s="224"/>
      <c r="Y1033" s="224"/>
      <c r="Z1033" s="868"/>
      <c r="AA1033" s="865"/>
      <c r="AB1033" s="2"/>
      <c r="AC1033" s="2"/>
      <c r="AD1033" s="2"/>
      <c r="AE1033" s="2"/>
      <c r="AF1033" s="2"/>
      <c r="AG1033" s="2"/>
      <c r="AH1033" s="2"/>
      <c r="AI1033" s="2"/>
      <c r="AJ1033" s="2"/>
      <c r="AK1033" s="2"/>
      <c r="AL1033" s="2"/>
      <c r="AM1033" s="2"/>
      <c r="AN1033" s="2"/>
      <c r="AO1033" s="9"/>
      <c r="AP1033" s="9"/>
      <c r="AQ1033" s="9"/>
      <c r="AR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224"/>
      <c r="X1034" s="224"/>
      <c r="Y1034" s="224"/>
      <c r="Z1034" s="868"/>
      <c r="AA1034" s="865"/>
      <c r="AB1034" s="2"/>
      <c r="AC1034" s="2"/>
      <c r="AD1034" s="2"/>
      <c r="AE1034" s="2"/>
      <c r="AF1034" s="2"/>
      <c r="AG1034" s="2"/>
      <c r="AH1034" s="2"/>
      <c r="AI1034" s="2"/>
      <c r="AJ1034" s="2"/>
      <c r="AK1034" s="2"/>
      <c r="AL1034" s="2"/>
      <c r="AM1034" s="2"/>
      <c r="AN1034" s="2"/>
      <c r="AO1034" s="9"/>
      <c r="AP1034" s="9"/>
      <c r="AQ1034" s="9"/>
      <c r="AR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224"/>
      <c r="X1035" s="224"/>
      <c r="Y1035" s="224"/>
      <c r="Z1035" s="868"/>
      <c r="AA1035" s="865"/>
      <c r="AB1035" s="2"/>
      <c r="AC1035" s="2"/>
      <c r="AD1035" s="2"/>
      <c r="AE1035" s="2"/>
      <c r="AF1035" s="2"/>
      <c r="AG1035" s="2"/>
      <c r="AH1035" s="2"/>
      <c r="AI1035" s="2"/>
      <c r="AJ1035" s="2"/>
      <c r="AK1035" s="2"/>
      <c r="AL1035" s="2"/>
      <c r="AM1035" s="2"/>
      <c r="AN1035" s="2"/>
      <c r="AO1035" s="9"/>
      <c r="AP1035" s="9"/>
      <c r="AQ1035" s="9"/>
      <c r="AR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224"/>
      <c r="X1036" s="224"/>
      <c r="Y1036" s="224"/>
      <c r="Z1036" s="868"/>
      <c r="AA1036" s="865"/>
      <c r="AB1036" s="2"/>
      <c r="AC1036" s="2"/>
      <c r="AD1036" s="2"/>
      <c r="AE1036" s="2"/>
      <c r="AF1036" s="2"/>
      <c r="AG1036" s="2"/>
      <c r="AH1036" s="2"/>
      <c r="AI1036" s="2"/>
      <c r="AJ1036" s="2"/>
      <c r="AK1036" s="2"/>
      <c r="AL1036" s="2"/>
      <c r="AM1036" s="2"/>
      <c r="AN1036" s="2"/>
      <c r="AO1036" s="9"/>
      <c r="AP1036" s="9"/>
      <c r="AQ1036" s="9"/>
      <c r="AR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224"/>
      <c r="X1037" s="224"/>
      <c r="Y1037" s="224"/>
      <c r="Z1037" s="868"/>
      <c r="AA1037" s="865"/>
      <c r="AB1037" s="2"/>
      <c r="AC1037" s="2"/>
      <c r="AD1037" s="2"/>
      <c r="AE1037" s="2"/>
      <c r="AF1037" s="2"/>
      <c r="AG1037" s="2"/>
      <c r="AH1037" s="2"/>
      <c r="AI1037" s="2"/>
      <c r="AJ1037" s="2"/>
      <c r="AK1037" s="2"/>
      <c r="AL1037" s="2"/>
      <c r="AM1037" s="2"/>
      <c r="AN1037" s="2"/>
      <c r="AO1037" s="9"/>
      <c r="AP1037" s="9"/>
      <c r="AQ1037" s="9"/>
      <c r="AR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224"/>
      <c r="X1038" s="224"/>
      <c r="Y1038" s="224"/>
      <c r="Z1038" s="868"/>
      <c r="AA1038" s="865"/>
      <c r="AB1038" s="2"/>
      <c r="AC1038" s="2"/>
      <c r="AD1038" s="2"/>
      <c r="AE1038" s="2"/>
      <c r="AF1038" s="2"/>
      <c r="AG1038" s="2"/>
      <c r="AH1038" s="2"/>
      <c r="AI1038" s="2"/>
      <c r="AJ1038" s="2"/>
      <c r="AK1038" s="2"/>
      <c r="AL1038" s="2"/>
      <c r="AM1038" s="2"/>
      <c r="AN1038" s="2"/>
      <c r="AO1038" s="9"/>
      <c r="AP1038" s="9"/>
      <c r="AQ1038" s="9"/>
      <c r="AR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224"/>
      <c r="X1039" s="224"/>
      <c r="Y1039" s="224"/>
      <c r="Z1039" s="868"/>
      <c r="AA1039" s="865"/>
      <c r="AB1039" s="2"/>
      <c r="AC1039" s="2"/>
      <c r="AD1039" s="2"/>
      <c r="AE1039" s="2"/>
      <c r="AF1039" s="2"/>
      <c r="AG1039" s="2"/>
      <c r="AH1039" s="2"/>
      <c r="AI1039" s="2"/>
      <c r="AJ1039" s="2"/>
      <c r="AK1039" s="2"/>
      <c r="AL1039" s="2"/>
      <c r="AM1039" s="2"/>
      <c r="AN1039" s="2"/>
      <c r="AO1039" s="9"/>
      <c r="AP1039" s="9"/>
      <c r="AQ1039" s="9"/>
      <c r="AR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224"/>
      <c r="X1040" s="224"/>
      <c r="Y1040" s="224"/>
      <c r="Z1040" s="868"/>
      <c r="AA1040" s="865"/>
      <c r="AB1040" s="2"/>
      <c r="AC1040" s="2"/>
      <c r="AD1040" s="2"/>
      <c r="AE1040" s="2"/>
      <c r="AF1040" s="2"/>
      <c r="AG1040" s="2"/>
      <c r="AH1040" s="2"/>
      <c r="AI1040" s="2"/>
      <c r="AJ1040" s="2"/>
      <c r="AK1040" s="2"/>
      <c r="AL1040" s="2"/>
      <c r="AM1040" s="2"/>
      <c r="AN1040" s="2"/>
      <c r="AO1040" s="9"/>
      <c r="AP1040" s="9"/>
      <c r="AQ1040" s="9"/>
      <c r="AR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224"/>
      <c r="X1041" s="224"/>
      <c r="Y1041" s="224"/>
      <c r="Z1041" s="868"/>
      <c r="AA1041" s="865"/>
      <c r="AB1041" s="2"/>
      <c r="AC1041" s="2"/>
      <c r="AD1041" s="2"/>
      <c r="AE1041" s="2"/>
      <c r="AF1041" s="2"/>
      <c r="AG1041" s="2"/>
      <c r="AH1041" s="2"/>
      <c r="AI1041" s="2"/>
      <c r="AJ1041" s="2"/>
      <c r="AK1041" s="2"/>
      <c r="AL1041" s="2"/>
      <c r="AM1041" s="2"/>
      <c r="AN1041" s="2"/>
      <c r="AO1041" s="9"/>
      <c r="AP1041" s="9"/>
      <c r="AQ1041" s="9"/>
      <c r="AR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224"/>
      <c r="X1042" s="224"/>
      <c r="Y1042" s="224"/>
      <c r="Z1042" s="868"/>
      <c r="AA1042" s="865"/>
      <c r="AB1042" s="2"/>
      <c r="AC1042" s="2"/>
      <c r="AD1042" s="2"/>
      <c r="AE1042" s="2"/>
      <c r="AF1042" s="2"/>
      <c r="AG1042" s="2"/>
      <c r="AH1042" s="2"/>
      <c r="AI1042" s="2"/>
      <c r="AJ1042" s="2"/>
      <c r="AK1042" s="2"/>
      <c r="AL1042" s="2"/>
      <c r="AM1042" s="2"/>
      <c r="AN1042" s="2"/>
      <c r="AO1042" s="9"/>
      <c r="AP1042" s="9"/>
      <c r="AQ1042" s="9"/>
      <c r="AR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224"/>
      <c r="X1043" s="224"/>
      <c r="Y1043" s="224"/>
      <c r="Z1043" s="868"/>
      <c r="AA1043" s="865"/>
      <c r="AB1043" s="2"/>
      <c r="AC1043" s="2"/>
      <c r="AD1043" s="2"/>
      <c r="AE1043" s="2"/>
      <c r="AF1043" s="2"/>
      <c r="AG1043" s="2"/>
      <c r="AH1043" s="2"/>
      <c r="AI1043" s="2"/>
      <c r="AJ1043" s="2"/>
      <c r="AK1043" s="2"/>
      <c r="AL1043" s="2"/>
      <c r="AM1043" s="2"/>
      <c r="AN1043" s="2"/>
      <c r="AO1043" s="9"/>
      <c r="AP1043" s="9"/>
      <c r="AQ1043" s="9"/>
      <c r="AR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224"/>
      <c r="X1044" s="224"/>
      <c r="Y1044" s="224"/>
      <c r="Z1044" s="868"/>
      <c r="AA1044" s="865"/>
      <c r="AB1044" s="2"/>
      <c r="AC1044" s="2"/>
      <c r="AD1044" s="2"/>
      <c r="AE1044" s="2"/>
      <c r="AF1044" s="2"/>
      <c r="AG1044" s="2"/>
      <c r="AH1044" s="2"/>
      <c r="AI1044" s="2"/>
      <c r="AJ1044" s="2"/>
      <c r="AK1044" s="2"/>
      <c r="AL1044" s="2"/>
      <c r="AM1044" s="2"/>
      <c r="AN1044" s="2"/>
      <c r="AO1044" s="9"/>
      <c r="AP1044" s="9"/>
      <c r="AQ1044" s="9"/>
      <c r="AR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224"/>
      <c r="X1045" s="224"/>
      <c r="Y1045" s="224"/>
      <c r="Z1045" s="868"/>
      <c r="AA1045" s="865"/>
      <c r="AB1045" s="2"/>
      <c r="AC1045" s="2"/>
      <c r="AD1045" s="2"/>
      <c r="AE1045" s="2"/>
      <c r="AF1045" s="2"/>
      <c r="AG1045" s="2"/>
      <c r="AH1045" s="2"/>
      <c r="AI1045" s="2"/>
      <c r="AJ1045" s="2"/>
      <c r="AK1045" s="2"/>
      <c r="AL1045" s="2"/>
      <c r="AM1045" s="2"/>
      <c r="AN1045" s="2"/>
      <c r="AO1045" s="9"/>
      <c r="AP1045" s="9"/>
      <c r="AQ1045" s="9"/>
      <c r="AR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224"/>
      <c r="X1046" s="224"/>
      <c r="Y1046" s="224"/>
      <c r="Z1046" s="868"/>
      <c r="AA1046" s="865"/>
      <c r="AB1046" s="2"/>
      <c r="AC1046" s="2"/>
      <c r="AD1046" s="2"/>
      <c r="AE1046" s="2"/>
      <c r="AF1046" s="2"/>
      <c r="AG1046" s="2"/>
      <c r="AH1046" s="2"/>
      <c r="AI1046" s="2"/>
      <c r="AJ1046" s="2"/>
      <c r="AK1046" s="2"/>
      <c r="AL1046" s="2"/>
      <c r="AM1046" s="2"/>
      <c r="AN1046" s="2"/>
      <c r="AO1046" s="9"/>
      <c r="AP1046" s="9"/>
      <c r="AQ1046" s="9"/>
      <c r="AR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224"/>
      <c r="X1047" s="224"/>
      <c r="Y1047" s="224"/>
      <c r="Z1047" s="868"/>
      <c r="AA1047" s="865"/>
      <c r="AB1047" s="2"/>
      <c r="AC1047" s="2"/>
      <c r="AD1047" s="2"/>
      <c r="AE1047" s="2"/>
      <c r="AF1047" s="2"/>
      <c r="AG1047" s="2"/>
      <c r="AH1047" s="2"/>
      <c r="AI1047" s="2"/>
      <c r="AJ1047" s="2"/>
      <c r="AK1047" s="2"/>
      <c r="AL1047" s="2"/>
      <c r="AM1047" s="2"/>
      <c r="AN1047" s="2"/>
      <c r="AO1047" s="9"/>
      <c r="AP1047" s="9"/>
      <c r="AQ1047" s="9"/>
      <c r="AR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224"/>
      <c r="X1048" s="224"/>
      <c r="Y1048" s="224"/>
      <c r="Z1048" s="868"/>
      <c r="AA1048" s="865"/>
      <c r="AB1048" s="2"/>
      <c r="AC1048" s="2"/>
      <c r="AD1048" s="2"/>
      <c r="AE1048" s="2"/>
      <c r="AF1048" s="2"/>
      <c r="AG1048" s="2"/>
      <c r="AH1048" s="2"/>
      <c r="AI1048" s="2"/>
      <c r="AJ1048" s="2"/>
      <c r="AK1048" s="2"/>
      <c r="AL1048" s="2"/>
      <c r="AM1048" s="2"/>
      <c r="AN1048" s="2"/>
      <c r="AO1048" s="9"/>
      <c r="AP1048" s="9"/>
      <c r="AQ1048" s="9"/>
      <c r="AR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224"/>
      <c r="X1049" s="224"/>
      <c r="Y1049" s="224"/>
      <c r="Z1049" s="868"/>
      <c r="AA1049" s="865"/>
      <c r="AB1049" s="2"/>
      <c r="AC1049" s="2"/>
      <c r="AD1049" s="2"/>
      <c r="AE1049" s="2"/>
      <c r="AF1049" s="2"/>
      <c r="AG1049" s="2"/>
      <c r="AH1049" s="2"/>
      <c r="AI1049" s="2"/>
      <c r="AJ1049" s="2"/>
      <c r="AK1049" s="2"/>
      <c r="AL1049" s="2"/>
      <c r="AM1049" s="2"/>
      <c r="AN1049" s="2"/>
      <c r="AO1049" s="9"/>
      <c r="AP1049" s="9"/>
      <c r="AQ1049" s="9"/>
      <c r="AR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224"/>
      <c r="X1050" s="224"/>
      <c r="Y1050" s="224"/>
      <c r="Z1050" s="868"/>
      <c r="AA1050" s="865"/>
      <c r="AB1050" s="2"/>
      <c r="AC1050" s="2"/>
      <c r="AD1050" s="2"/>
      <c r="AE1050" s="2"/>
      <c r="AF1050" s="2"/>
      <c r="AG1050" s="2"/>
      <c r="AH1050" s="2"/>
      <c r="AI1050" s="2"/>
      <c r="AJ1050" s="2"/>
      <c r="AK1050" s="2"/>
      <c r="AL1050" s="2"/>
      <c r="AM1050" s="2"/>
      <c r="AN1050" s="2"/>
      <c r="AO1050" s="9"/>
      <c r="AP1050" s="9"/>
      <c r="AQ1050" s="9"/>
      <c r="AR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224"/>
      <c r="X1051" s="224"/>
      <c r="Y1051" s="224"/>
      <c r="Z1051" s="868"/>
      <c r="AA1051" s="865"/>
      <c r="AB1051" s="2"/>
      <c r="AC1051" s="2"/>
      <c r="AD1051" s="2"/>
      <c r="AE1051" s="2"/>
      <c r="AF1051" s="2"/>
      <c r="AG1051" s="2"/>
      <c r="AH1051" s="2"/>
      <c r="AI1051" s="2"/>
      <c r="AJ1051" s="2"/>
      <c r="AK1051" s="2"/>
      <c r="AL1051" s="2"/>
      <c r="AM1051" s="2"/>
      <c r="AN1051" s="2"/>
      <c r="AO1051" s="9"/>
      <c r="AP1051" s="9"/>
      <c r="AQ1051" s="9"/>
      <c r="AR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224"/>
      <c r="X1052" s="224"/>
      <c r="Y1052" s="224"/>
      <c r="Z1052" s="868"/>
      <c r="AA1052" s="865"/>
      <c r="AB1052" s="2"/>
      <c r="AC1052" s="2"/>
      <c r="AD1052" s="2"/>
      <c r="AE1052" s="2"/>
      <c r="AF1052" s="2"/>
      <c r="AG1052" s="2"/>
      <c r="AH1052" s="2"/>
      <c r="AI1052" s="2"/>
      <c r="AJ1052" s="2"/>
      <c r="AK1052" s="2"/>
      <c r="AL1052" s="2"/>
      <c r="AM1052" s="2"/>
      <c r="AN1052" s="2"/>
      <c r="AO1052" s="9"/>
      <c r="AP1052" s="9"/>
      <c r="AQ1052" s="9"/>
      <c r="AR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224"/>
      <c r="X1053" s="224"/>
      <c r="Y1053" s="224"/>
      <c r="Z1053" s="868"/>
      <c r="AA1053" s="865"/>
      <c r="AB1053" s="2"/>
      <c r="AC1053" s="2"/>
      <c r="AD1053" s="2"/>
      <c r="AE1053" s="2"/>
      <c r="AF1053" s="2"/>
      <c r="AG1053" s="2"/>
      <c r="AH1053" s="2"/>
      <c r="AI1053" s="2"/>
      <c r="AJ1053" s="2"/>
      <c r="AK1053" s="2"/>
      <c r="AL1053" s="2"/>
      <c r="AM1053" s="2"/>
      <c r="AN1053" s="2"/>
      <c r="AO1053" s="9"/>
      <c r="AP1053" s="9"/>
      <c r="AQ1053" s="9"/>
      <c r="AR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224"/>
      <c r="X1054" s="224"/>
      <c r="Y1054" s="224"/>
      <c r="Z1054" s="868"/>
      <c r="AA1054" s="865"/>
      <c r="AB1054" s="2"/>
      <c r="AC1054" s="2"/>
      <c r="AD1054" s="2"/>
      <c r="AE1054" s="2"/>
      <c r="AF1054" s="2"/>
      <c r="AG1054" s="2"/>
      <c r="AH1054" s="2"/>
      <c r="AI1054" s="2"/>
      <c r="AJ1054" s="2"/>
      <c r="AK1054" s="2"/>
      <c r="AL1054" s="2"/>
      <c r="AM1054" s="2"/>
      <c r="AN1054" s="2"/>
      <c r="AO1054" s="9"/>
      <c r="AP1054" s="9"/>
      <c r="AQ1054" s="9"/>
      <c r="AR1054" s="9"/>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c r="W1055" s="224"/>
      <c r="X1055" s="224"/>
      <c r="Y1055" s="224"/>
      <c r="Z1055" s="868"/>
      <c r="AA1055" s="865"/>
      <c r="AB1055" s="2"/>
      <c r="AC1055" s="2"/>
      <c r="AD1055" s="2"/>
      <c r="AE1055" s="2"/>
      <c r="AF1055" s="2"/>
      <c r="AG1055" s="2"/>
      <c r="AH1055" s="2"/>
      <c r="AI1055" s="2"/>
      <c r="AJ1055" s="2"/>
      <c r="AK1055" s="2"/>
      <c r="AL1055" s="2"/>
      <c r="AM1055" s="2"/>
      <c r="AN1055" s="2"/>
      <c r="AO1055" s="9"/>
      <c r="AP1055" s="9"/>
      <c r="AQ1055" s="9"/>
      <c r="AR1055" s="9"/>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c r="W1056" s="224"/>
      <c r="X1056" s="224"/>
      <c r="Y1056" s="224"/>
      <c r="Z1056" s="868"/>
      <c r="AA1056" s="865"/>
      <c r="AB1056" s="2"/>
      <c r="AC1056" s="2"/>
      <c r="AD1056" s="2"/>
      <c r="AE1056" s="2"/>
      <c r="AF1056" s="2"/>
      <c r="AG1056" s="2"/>
      <c r="AH1056" s="2"/>
      <c r="AI1056" s="2"/>
      <c r="AJ1056" s="2"/>
      <c r="AK1056" s="2"/>
      <c r="AL1056" s="2"/>
      <c r="AM1056" s="2"/>
      <c r="AN1056" s="2"/>
      <c r="AO1056" s="9"/>
      <c r="AP1056" s="9"/>
      <c r="AQ1056" s="9"/>
      <c r="AR1056" s="9"/>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c r="W1057" s="224"/>
      <c r="X1057" s="224"/>
      <c r="Y1057" s="224"/>
      <c r="Z1057" s="868"/>
      <c r="AA1057" s="865"/>
      <c r="AB1057" s="2"/>
      <c r="AC1057" s="2"/>
      <c r="AD1057" s="2"/>
      <c r="AE1057" s="2"/>
      <c r="AF1057" s="2"/>
      <c r="AG1057" s="2"/>
      <c r="AH1057" s="2"/>
      <c r="AI1057" s="2"/>
      <c r="AJ1057" s="2"/>
      <c r="AK1057" s="2"/>
      <c r="AL1057" s="2"/>
      <c r="AM1057" s="2"/>
      <c r="AN1057" s="2"/>
      <c r="AO1057" s="9"/>
      <c r="AP1057" s="9"/>
      <c r="AQ1057" s="9"/>
      <c r="AR1057" s="9"/>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c r="W1058" s="224"/>
      <c r="X1058" s="224"/>
      <c r="Y1058" s="224"/>
      <c r="Z1058" s="868"/>
      <c r="AA1058" s="865"/>
      <c r="AB1058" s="2"/>
      <c r="AC1058" s="2"/>
      <c r="AD1058" s="2"/>
      <c r="AE1058" s="2"/>
      <c r="AF1058" s="2"/>
      <c r="AG1058" s="2"/>
      <c r="AH1058" s="2"/>
      <c r="AI1058" s="2"/>
      <c r="AJ1058" s="2"/>
      <c r="AK1058" s="2"/>
      <c r="AL1058" s="2"/>
      <c r="AM1058" s="2"/>
      <c r="AN1058" s="2"/>
      <c r="AO1058" s="9"/>
      <c r="AP1058" s="9"/>
      <c r="AQ1058" s="9"/>
      <c r="AR1058" s="9"/>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c r="W1059" s="224"/>
      <c r="X1059" s="224"/>
      <c r="Y1059" s="224"/>
      <c r="Z1059" s="868"/>
      <c r="AA1059" s="865"/>
      <c r="AB1059" s="2"/>
      <c r="AC1059" s="2"/>
      <c r="AD1059" s="2"/>
      <c r="AE1059" s="2"/>
      <c r="AF1059" s="2"/>
      <c r="AG1059" s="2"/>
      <c r="AH1059" s="2"/>
      <c r="AI1059" s="2"/>
      <c r="AJ1059" s="2"/>
      <c r="AK1059" s="2"/>
      <c r="AL1059" s="2"/>
      <c r="AM1059" s="2"/>
      <c r="AN1059" s="2"/>
      <c r="AO1059" s="9"/>
      <c r="AP1059" s="9"/>
      <c r="AQ1059" s="9"/>
      <c r="AR1059" s="9"/>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c r="W1060" s="224"/>
      <c r="X1060" s="224"/>
      <c r="Y1060" s="224"/>
      <c r="Z1060" s="868"/>
      <c r="AA1060" s="865"/>
      <c r="AB1060" s="2"/>
      <c r="AC1060" s="2"/>
      <c r="AD1060" s="2"/>
      <c r="AE1060" s="2"/>
      <c r="AF1060" s="2"/>
      <c r="AG1060" s="2"/>
      <c r="AH1060" s="2"/>
      <c r="AI1060" s="2"/>
      <c r="AJ1060" s="2"/>
      <c r="AK1060" s="2"/>
      <c r="AL1060" s="2"/>
      <c r="AM1060" s="2"/>
      <c r="AN1060" s="2"/>
      <c r="AO1060" s="9"/>
      <c r="AP1060" s="9"/>
      <c r="AQ1060" s="9"/>
      <c r="AR1060" s="9"/>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c r="W1061" s="224"/>
      <c r="X1061" s="224"/>
      <c r="Y1061" s="224"/>
      <c r="Z1061" s="868"/>
      <c r="AA1061" s="865"/>
      <c r="AB1061" s="2"/>
      <c r="AC1061" s="2"/>
      <c r="AD1061" s="2"/>
      <c r="AE1061" s="2"/>
      <c r="AF1061" s="2"/>
      <c r="AG1061" s="2"/>
      <c r="AH1061" s="2"/>
      <c r="AI1061" s="2"/>
      <c r="AJ1061" s="2"/>
      <c r="AK1061" s="2"/>
      <c r="AL1061" s="2"/>
      <c r="AM1061" s="2"/>
      <c r="AN1061" s="2"/>
      <c r="AO1061" s="9"/>
      <c r="AP1061" s="9"/>
      <c r="AQ1061" s="9"/>
      <c r="AR1061" s="9"/>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c r="W1062" s="224"/>
      <c r="X1062" s="224"/>
      <c r="Y1062" s="224"/>
      <c r="Z1062" s="868"/>
      <c r="AA1062" s="865"/>
      <c r="AB1062" s="2"/>
      <c r="AC1062" s="2"/>
      <c r="AD1062" s="2"/>
      <c r="AE1062" s="2"/>
      <c r="AF1062" s="2"/>
      <c r="AG1062" s="2"/>
      <c r="AH1062" s="2"/>
      <c r="AI1062" s="2"/>
      <c r="AJ1062" s="2"/>
      <c r="AK1062" s="2"/>
      <c r="AL1062" s="2"/>
      <c r="AM1062" s="2"/>
      <c r="AN1062" s="2"/>
      <c r="AO1062" s="9"/>
      <c r="AP1062" s="9"/>
      <c r="AQ1062" s="9"/>
      <c r="AR1062" s="9"/>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c r="W1063" s="224"/>
      <c r="X1063" s="224"/>
      <c r="Y1063" s="224"/>
      <c r="Z1063" s="868"/>
      <c r="AA1063" s="865"/>
      <c r="AB1063" s="2"/>
      <c r="AC1063" s="2"/>
      <c r="AD1063" s="2"/>
      <c r="AE1063" s="2"/>
      <c r="AF1063" s="2"/>
      <c r="AG1063" s="2"/>
      <c r="AH1063" s="2"/>
      <c r="AI1063" s="2"/>
      <c r="AJ1063" s="2"/>
      <c r="AK1063" s="2"/>
      <c r="AL1063" s="2"/>
      <c r="AM1063" s="2"/>
      <c r="AN1063" s="2"/>
      <c r="AO1063" s="9"/>
      <c r="AP1063" s="9"/>
      <c r="AQ1063" s="9"/>
      <c r="AR1063" s="9"/>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c r="W1064" s="224"/>
      <c r="X1064" s="224"/>
      <c r="Y1064" s="224"/>
      <c r="Z1064" s="868"/>
      <c r="AA1064" s="865"/>
      <c r="AB1064" s="2"/>
      <c r="AC1064" s="2"/>
      <c r="AD1064" s="2"/>
      <c r="AE1064" s="2"/>
      <c r="AF1064" s="2"/>
      <c r="AG1064" s="2"/>
      <c r="AH1064" s="2"/>
      <c r="AI1064" s="2"/>
      <c r="AJ1064" s="2"/>
      <c r="AK1064" s="2"/>
      <c r="AL1064" s="2"/>
      <c r="AM1064" s="2"/>
      <c r="AN1064" s="2"/>
      <c r="AO1064" s="9"/>
      <c r="AP1064" s="9"/>
      <c r="AQ1064" s="9"/>
      <c r="AR1064" s="9"/>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c r="W1065" s="224"/>
      <c r="X1065" s="224"/>
      <c r="Y1065" s="224"/>
      <c r="Z1065" s="868"/>
      <c r="AA1065" s="865"/>
      <c r="AB1065" s="2"/>
      <c r="AC1065" s="2"/>
      <c r="AD1065" s="2"/>
      <c r="AE1065" s="2"/>
      <c r="AF1065" s="2"/>
      <c r="AG1065" s="2"/>
      <c r="AH1065" s="2"/>
      <c r="AI1065" s="2"/>
      <c r="AJ1065" s="2"/>
      <c r="AK1065" s="2"/>
      <c r="AL1065" s="2"/>
      <c r="AM1065" s="2"/>
      <c r="AN1065" s="2"/>
      <c r="AO1065" s="9"/>
      <c r="AP1065" s="9"/>
      <c r="AQ1065" s="9"/>
      <c r="AR1065" s="9"/>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c r="W1066" s="224"/>
      <c r="X1066" s="224"/>
      <c r="Y1066" s="224"/>
      <c r="Z1066" s="868"/>
      <c r="AA1066" s="865"/>
      <c r="AB1066" s="2"/>
      <c r="AC1066" s="2"/>
      <c r="AD1066" s="2"/>
      <c r="AE1066" s="2"/>
      <c r="AF1066" s="2"/>
      <c r="AG1066" s="2"/>
      <c r="AH1066" s="2"/>
      <c r="AI1066" s="2"/>
      <c r="AJ1066" s="2"/>
      <c r="AK1066" s="2"/>
      <c r="AL1066" s="2"/>
      <c r="AM1066" s="2"/>
      <c r="AN1066" s="2"/>
      <c r="AO1066" s="9"/>
      <c r="AP1066" s="9"/>
      <c r="AQ1066" s="9"/>
      <c r="AR1066" s="9"/>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c r="W1067" s="224"/>
      <c r="X1067" s="224"/>
      <c r="Y1067" s="224"/>
      <c r="Z1067" s="868"/>
      <c r="AA1067" s="865"/>
      <c r="AB1067" s="2"/>
      <c r="AC1067" s="2"/>
      <c r="AD1067" s="2"/>
      <c r="AE1067" s="2"/>
      <c r="AF1067" s="2"/>
      <c r="AG1067" s="2"/>
      <c r="AH1067" s="2"/>
      <c r="AI1067" s="2"/>
      <c r="AJ1067" s="2"/>
      <c r="AK1067" s="2"/>
      <c r="AL1067" s="2"/>
      <c r="AM1067" s="2"/>
      <c r="AN1067" s="2"/>
      <c r="AO1067" s="9"/>
      <c r="AP1067" s="9"/>
      <c r="AQ1067" s="9"/>
      <c r="AR1067" s="9"/>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c r="W1068" s="224"/>
      <c r="X1068" s="224"/>
      <c r="Y1068" s="224"/>
      <c r="Z1068" s="868"/>
      <c r="AA1068" s="865"/>
      <c r="AB1068" s="2"/>
      <c r="AC1068" s="2"/>
      <c r="AD1068" s="2"/>
      <c r="AE1068" s="2"/>
      <c r="AF1068" s="2"/>
      <c r="AG1068" s="2"/>
      <c r="AH1068" s="2"/>
      <c r="AI1068" s="2"/>
      <c r="AJ1068" s="2"/>
      <c r="AK1068" s="2"/>
      <c r="AL1068" s="2"/>
      <c r="AM1068" s="2"/>
      <c r="AN1068" s="2"/>
      <c r="AO1068" s="9"/>
      <c r="AP1068" s="9"/>
      <c r="AQ1068" s="9"/>
      <c r="AR1068" s="9"/>
    </row>
    <row r="1069">
      <c r="A1069" s="33"/>
      <c r="B1069" s="2"/>
      <c r="C1069" s="2"/>
      <c r="D1069" s="2"/>
      <c r="E1069" s="2"/>
      <c r="F1069" s="4"/>
      <c r="G1069" s="2"/>
      <c r="H1069" s="2"/>
      <c r="I1069" s="2"/>
      <c r="J1069" s="2"/>
      <c r="K1069" s="5"/>
      <c r="L1069" s="2"/>
      <c r="M1069" s="2"/>
      <c r="N1069" s="2"/>
      <c r="O1069" s="2"/>
      <c r="P1069" s="2"/>
      <c r="Q1069" s="2"/>
      <c r="R1069" s="7"/>
      <c r="S1069" s="224"/>
      <c r="T1069" s="224"/>
      <c r="U1069" s="224"/>
      <c r="V1069" s="224"/>
      <c r="W1069" s="224"/>
      <c r="X1069" s="224"/>
      <c r="Y1069" s="224"/>
      <c r="Z1069" s="868"/>
      <c r="AA1069" s="865"/>
      <c r="AB1069" s="2"/>
      <c r="AC1069" s="2"/>
      <c r="AD1069" s="2"/>
      <c r="AE1069" s="2"/>
      <c r="AF1069" s="2"/>
      <c r="AG1069" s="2"/>
      <c r="AH1069" s="2"/>
      <c r="AI1069" s="2"/>
      <c r="AJ1069" s="2"/>
      <c r="AK1069" s="2"/>
      <c r="AL1069" s="2"/>
      <c r="AM1069" s="2"/>
      <c r="AN1069" s="2"/>
      <c r="AO1069" s="9"/>
      <c r="AP1069" s="9"/>
      <c r="AQ1069" s="9"/>
      <c r="AR1069" s="9"/>
    </row>
    <row r="1070">
      <c r="A1070" s="33"/>
      <c r="B1070" s="2"/>
      <c r="C1070" s="2"/>
      <c r="D1070" s="2"/>
      <c r="E1070" s="2"/>
      <c r="F1070" s="4"/>
      <c r="G1070" s="2"/>
      <c r="H1070" s="2"/>
      <c r="I1070" s="2"/>
      <c r="J1070" s="2"/>
      <c r="K1070" s="5"/>
      <c r="L1070" s="2"/>
      <c r="M1070" s="2"/>
      <c r="N1070" s="2"/>
      <c r="O1070" s="2"/>
      <c r="P1070" s="2"/>
      <c r="Q1070" s="2"/>
      <c r="R1070" s="7"/>
      <c r="S1070" s="224"/>
      <c r="T1070" s="224"/>
      <c r="U1070" s="224"/>
      <c r="V1070" s="224"/>
      <c r="W1070" s="224"/>
      <c r="X1070" s="224"/>
      <c r="Y1070" s="224"/>
      <c r="Z1070" s="868"/>
      <c r="AA1070" s="865"/>
      <c r="AB1070" s="2"/>
      <c r="AC1070" s="2"/>
      <c r="AD1070" s="2"/>
      <c r="AE1070" s="2"/>
      <c r="AF1070" s="2"/>
      <c r="AG1070" s="2"/>
      <c r="AH1070" s="2"/>
      <c r="AI1070" s="2"/>
      <c r="AJ1070" s="2"/>
      <c r="AK1070" s="2"/>
      <c r="AL1070" s="2"/>
      <c r="AM1070" s="2"/>
      <c r="AN1070" s="2"/>
      <c r="AO1070" s="9"/>
      <c r="AP1070" s="9"/>
      <c r="AQ1070" s="9"/>
      <c r="AR1070" s="9"/>
    </row>
    <row r="1071">
      <c r="A1071" s="33"/>
      <c r="B1071" s="2"/>
      <c r="C1071" s="2"/>
      <c r="D1071" s="2"/>
      <c r="E1071" s="2"/>
      <c r="F1071" s="4"/>
      <c r="G1071" s="2"/>
      <c r="H1071" s="2"/>
      <c r="I1071" s="2"/>
      <c r="J1071" s="2"/>
      <c r="K1071" s="5"/>
      <c r="L1071" s="2"/>
      <c r="M1071" s="2"/>
      <c r="N1071" s="2"/>
      <c r="O1071" s="2"/>
      <c r="P1071" s="2"/>
      <c r="Q1071" s="2"/>
      <c r="R1071" s="7"/>
      <c r="S1071" s="224"/>
      <c r="T1071" s="224"/>
      <c r="U1071" s="224"/>
      <c r="V1071" s="224"/>
      <c r="W1071" s="224"/>
      <c r="X1071" s="224"/>
      <c r="Y1071" s="224"/>
      <c r="Z1071" s="868"/>
      <c r="AA1071" s="865"/>
      <c r="AB1071" s="2"/>
      <c r="AC1071" s="2"/>
      <c r="AD1071" s="2"/>
      <c r="AE1071" s="2"/>
      <c r="AF1071" s="2"/>
      <c r="AG1071" s="2"/>
      <c r="AH1071" s="2"/>
      <c r="AI1071" s="2"/>
      <c r="AJ1071" s="2"/>
      <c r="AK1071" s="2"/>
      <c r="AL1071" s="2"/>
      <c r="AM1071" s="2"/>
      <c r="AN1071" s="2"/>
      <c r="AO1071" s="9"/>
      <c r="AP1071" s="9"/>
      <c r="AQ1071" s="9"/>
      <c r="AR1071" s="9"/>
    </row>
    <row r="1072">
      <c r="A1072" s="33"/>
      <c r="B1072" s="2"/>
      <c r="C1072" s="2"/>
      <c r="D1072" s="2"/>
      <c r="E1072" s="2"/>
      <c r="F1072" s="4"/>
      <c r="G1072" s="2"/>
      <c r="H1072" s="2"/>
      <c r="I1072" s="2"/>
      <c r="J1072" s="2"/>
      <c r="K1072" s="5"/>
      <c r="L1072" s="2"/>
      <c r="M1072" s="2"/>
      <c r="N1072" s="2"/>
      <c r="O1072" s="2"/>
      <c r="P1072" s="2"/>
      <c r="Q1072" s="2"/>
      <c r="R1072" s="7"/>
      <c r="S1072" s="224"/>
      <c r="T1072" s="224"/>
      <c r="U1072" s="224"/>
      <c r="V1072" s="224"/>
      <c r="W1072" s="224"/>
      <c r="X1072" s="224"/>
      <c r="Y1072" s="224"/>
      <c r="Z1072" s="868"/>
      <c r="AA1072" s="865"/>
      <c r="AB1072" s="2"/>
      <c r="AC1072" s="2"/>
      <c r="AD1072" s="2"/>
      <c r="AE1072" s="2"/>
      <c r="AF1072" s="2"/>
      <c r="AG1072" s="2"/>
      <c r="AH1072" s="2"/>
      <c r="AI1072" s="2"/>
      <c r="AJ1072" s="2"/>
      <c r="AK1072" s="2"/>
      <c r="AL1072" s="2"/>
      <c r="AM1072" s="2"/>
      <c r="AN1072" s="2"/>
      <c r="AO1072" s="9"/>
      <c r="AP1072" s="9"/>
      <c r="AQ1072" s="9"/>
      <c r="AR1072" s="9"/>
    </row>
    <row r="1073">
      <c r="A1073" s="33"/>
      <c r="B1073" s="2"/>
      <c r="C1073" s="2"/>
      <c r="D1073" s="2"/>
      <c r="E1073" s="2"/>
      <c r="F1073" s="4"/>
      <c r="G1073" s="2"/>
      <c r="H1073" s="2"/>
      <c r="I1073" s="2"/>
      <c r="J1073" s="2"/>
      <c r="K1073" s="5"/>
      <c r="L1073" s="2"/>
      <c r="M1073" s="2"/>
      <c r="N1073" s="2"/>
      <c r="O1073" s="2"/>
      <c r="P1073" s="2"/>
      <c r="Q1073" s="2"/>
      <c r="R1073" s="7"/>
      <c r="S1073" s="224"/>
      <c r="T1073" s="224"/>
      <c r="U1073" s="224"/>
      <c r="V1073" s="224"/>
      <c r="W1073" s="224"/>
      <c r="X1073" s="224"/>
      <c r="Y1073" s="224"/>
      <c r="Z1073" s="868"/>
      <c r="AA1073" s="865"/>
      <c r="AB1073" s="2"/>
      <c r="AC1073" s="2"/>
      <c r="AD1073" s="2"/>
      <c r="AE1073" s="2"/>
      <c r="AF1073" s="2"/>
      <c r="AG1073" s="2"/>
      <c r="AH1073" s="2"/>
      <c r="AI1073" s="2"/>
      <c r="AJ1073" s="2"/>
      <c r="AK1073" s="2"/>
      <c r="AL1073" s="2"/>
      <c r="AM1073" s="2"/>
      <c r="AN1073" s="2"/>
      <c r="AO1073" s="9"/>
      <c r="AP1073" s="9"/>
      <c r="AQ1073" s="9"/>
      <c r="AR1073" s="9"/>
    </row>
    <row r="1074">
      <c r="A1074" s="33"/>
      <c r="B1074" s="2"/>
      <c r="C1074" s="2"/>
      <c r="D1074" s="2"/>
      <c r="E1074" s="2"/>
      <c r="F1074" s="4"/>
      <c r="G1074" s="2"/>
      <c r="H1074" s="2"/>
      <c r="I1074" s="2"/>
      <c r="J1074" s="2"/>
      <c r="K1074" s="5"/>
      <c r="L1074" s="2"/>
      <c r="M1074" s="2"/>
      <c r="N1074" s="2"/>
      <c r="O1074" s="2"/>
      <c r="P1074" s="2"/>
      <c r="Q1074" s="2"/>
      <c r="R1074" s="7"/>
      <c r="S1074" s="224"/>
      <c r="T1074" s="224"/>
      <c r="U1074" s="224"/>
      <c r="V1074" s="224"/>
      <c r="W1074" s="224"/>
      <c r="X1074" s="224"/>
      <c r="Y1074" s="224"/>
      <c r="Z1074" s="868"/>
      <c r="AA1074" s="865"/>
      <c r="AB1074" s="2"/>
      <c r="AC1074" s="2"/>
      <c r="AD1074" s="2"/>
      <c r="AE1074" s="2"/>
      <c r="AF1074" s="2"/>
      <c r="AG1074" s="2"/>
      <c r="AH1074" s="2"/>
      <c r="AI1074" s="2"/>
      <c r="AJ1074" s="2"/>
      <c r="AK1074" s="2"/>
      <c r="AL1074" s="2"/>
      <c r="AM1074" s="2"/>
      <c r="AN1074" s="2"/>
      <c r="AO1074" s="9"/>
      <c r="AP1074" s="9"/>
      <c r="AQ1074" s="9"/>
      <c r="AR1074" s="9"/>
    </row>
    <row r="1075">
      <c r="A1075" s="33"/>
      <c r="B1075" s="2"/>
      <c r="C1075" s="2"/>
      <c r="D1075" s="2"/>
      <c r="E1075" s="2"/>
      <c r="F1075" s="4"/>
      <c r="G1075" s="2"/>
      <c r="H1075" s="2"/>
      <c r="I1075" s="2"/>
      <c r="J1075" s="2"/>
      <c r="K1075" s="5"/>
      <c r="L1075" s="2"/>
      <c r="M1075" s="2"/>
      <c r="N1075" s="2"/>
      <c r="O1075" s="2"/>
      <c r="P1075" s="2"/>
      <c r="Q1075" s="2"/>
      <c r="R1075" s="7"/>
      <c r="S1075" s="224"/>
      <c r="T1075" s="224"/>
      <c r="U1075" s="224"/>
      <c r="V1075" s="224"/>
      <c r="W1075" s="224"/>
      <c r="X1075" s="224"/>
      <c r="Y1075" s="224"/>
      <c r="Z1075" s="868"/>
      <c r="AA1075" s="865"/>
      <c r="AB1075" s="2"/>
      <c r="AC1075" s="2"/>
      <c r="AD1075" s="2"/>
      <c r="AE1075" s="2"/>
      <c r="AF1075" s="2"/>
      <c r="AG1075" s="2"/>
      <c r="AH1075" s="2"/>
      <c r="AI1075" s="2"/>
      <c r="AJ1075" s="2"/>
      <c r="AK1075" s="2"/>
      <c r="AL1075" s="2"/>
      <c r="AM1075" s="2"/>
      <c r="AN1075" s="2"/>
      <c r="AO1075" s="9"/>
      <c r="AP1075" s="9"/>
      <c r="AQ1075" s="9"/>
      <c r="AR1075" s="9"/>
    </row>
    <row r="1076">
      <c r="A1076" s="33"/>
      <c r="B1076" s="2"/>
      <c r="C1076" s="2"/>
      <c r="D1076" s="2"/>
      <c r="E1076" s="2"/>
      <c r="F1076" s="4"/>
      <c r="G1076" s="2"/>
      <c r="H1076" s="2"/>
      <c r="I1076" s="2"/>
      <c r="J1076" s="2"/>
      <c r="K1076" s="5"/>
      <c r="L1076" s="2"/>
      <c r="M1076" s="2"/>
      <c r="N1076" s="2"/>
      <c r="O1076" s="2"/>
      <c r="P1076" s="2"/>
      <c r="Q1076" s="2"/>
      <c r="R1076" s="7"/>
      <c r="S1076" s="224"/>
      <c r="T1076" s="224"/>
      <c r="U1076" s="224"/>
      <c r="V1076" s="224"/>
      <c r="W1076" s="224"/>
      <c r="X1076" s="224"/>
      <c r="Y1076" s="224"/>
      <c r="Z1076" s="868"/>
      <c r="AA1076" s="865"/>
      <c r="AB1076" s="2"/>
      <c r="AC1076" s="2"/>
      <c r="AD1076" s="2"/>
      <c r="AE1076" s="2"/>
      <c r="AF1076" s="2"/>
      <c r="AG1076" s="2"/>
      <c r="AH1076" s="2"/>
      <c r="AI1076" s="2"/>
      <c r="AJ1076" s="2"/>
      <c r="AK1076" s="2"/>
      <c r="AL1076" s="2"/>
      <c r="AM1076" s="2"/>
      <c r="AN1076" s="2"/>
      <c r="AO1076" s="9"/>
      <c r="AP1076" s="9"/>
      <c r="AQ1076" s="9"/>
      <c r="AR1076" s="9"/>
    </row>
    <row r="1077">
      <c r="A1077" s="33"/>
      <c r="B1077" s="2"/>
      <c r="C1077" s="2"/>
      <c r="D1077" s="2"/>
      <c r="E1077" s="2"/>
      <c r="F1077" s="4"/>
      <c r="G1077" s="2"/>
      <c r="H1077" s="2"/>
      <c r="I1077" s="2"/>
      <c r="J1077" s="2"/>
      <c r="K1077" s="5"/>
      <c r="L1077" s="2"/>
      <c r="M1077" s="2"/>
      <c r="N1077" s="2"/>
      <c r="O1077" s="2"/>
      <c r="P1077" s="2"/>
      <c r="Q1077" s="2"/>
      <c r="R1077" s="7"/>
      <c r="S1077" s="224"/>
      <c r="T1077" s="224"/>
      <c r="U1077" s="224"/>
      <c r="V1077" s="224"/>
      <c r="W1077" s="224"/>
      <c r="X1077" s="224"/>
      <c r="Y1077" s="224"/>
      <c r="Z1077" s="868"/>
      <c r="AA1077" s="865"/>
      <c r="AB1077" s="2"/>
      <c r="AC1077" s="2"/>
      <c r="AD1077" s="2"/>
      <c r="AE1077" s="2"/>
      <c r="AF1077" s="2"/>
      <c r="AG1077" s="2"/>
      <c r="AH1077" s="2"/>
      <c r="AI1077" s="2"/>
      <c r="AJ1077" s="2"/>
      <c r="AK1077" s="2"/>
      <c r="AL1077" s="2"/>
      <c r="AM1077" s="2"/>
      <c r="AN1077" s="2"/>
      <c r="AO1077" s="9"/>
      <c r="AP1077" s="9"/>
      <c r="AQ1077" s="9"/>
      <c r="AR1077" s="9"/>
    </row>
    <row r="1078">
      <c r="A1078" s="33"/>
      <c r="B1078" s="2"/>
      <c r="C1078" s="2"/>
      <c r="D1078" s="2"/>
      <c r="E1078" s="2"/>
      <c r="F1078" s="4"/>
      <c r="G1078" s="2"/>
      <c r="H1078" s="2"/>
      <c r="I1078" s="2"/>
      <c r="J1078" s="2"/>
      <c r="K1078" s="5"/>
      <c r="L1078" s="2"/>
      <c r="M1078" s="2"/>
      <c r="N1078" s="2"/>
      <c r="O1078" s="2"/>
      <c r="P1078" s="2"/>
      <c r="Q1078" s="2"/>
      <c r="R1078" s="7"/>
      <c r="S1078" s="224"/>
      <c r="T1078" s="224"/>
      <c r="U1078" s="224"/>
      <c r="V1078" s="224"/>
      <c r="W1078" s="224"/>
      <c r="X1078" s="224"/>
      <c r="Y1078" s="224"/>
      <c r="Z1078" s="868"/>
      <c r="AA1078" s="865"/>
      <c r="AB1078" s="2"/>
      <c r="AC1078" s="2"/>
      <c r="AD1078" s="2"/>
      <c r="AE1078" s="2"/>
      <c r="AF1078" s="2"/>
      <c r="AG1078" s="2"/>
      <c r="AH1078" s="2"/>
      <c r="AI1078" s="2"/>
      <c r="AJ1078" s="2"/>
      <c r="AK1078" s="2"/>
      <c r="AL1078" s="2"/>
      <c r="AM1078" s="2"/>
      <c r="AN1078" s="2"/>
      <c r="AO1078" s="9"/>
      <c r="AP1078" s="9"/>
      <c r="AQ1078" s="9"/>
      <c r="AR1078" s="9"/>
    </row>
    <row r="1079">
      <c r="A1079" s="33"/>
      <c r="B1079" s="2"/>
      <c r="C1079" s="2"/>
      <c r="D1079" s="2"/>
      <c r="E1079" s="2"/>
      <c r="F1079" s="4"/>
      <c r="G1079" s="2"/>
      <c r="H1079" s="2"/>
      <c r="I1079" s="2"/>
      <c r="J1079" s="2"/>
      <c r="K1079" s="5"/>
      <c r="L1079" s="2"/>
      <c r="M1079" s="2"/>
      <c r="N1079" s="2"/>
      <c r="O1079" s="2"/>
      <c r="P1079" s="2"/>
      <c r="Q1079" s="2"/>
      <c r="R1079" s="7"/>
      <c r="S1079" s="224"/>
      <c r="T1079" s="224"/>
      <c r="U1079" s="224"/>
      <c r="V1079" s="224"/>
      <c r="W1079" s="224"/>
      <c r="X1079" s="224"/>
      <c r="Y1079" s="224"/>
      <c r="Z1079" s="868"/>
      <c r="AA1079" s="865"/>
      <c r="AB1079" s="2"/>
      <c r="AC1079" s="2"/>
      <c r="AD1079" s="2"/>
      <c r="AE1079" s="2"/>
      <c r="AF1079" s="2"/>
      <c r="AG1079" s="2"/>
      <c r="AH1079" s="2"/>
      <c r="AI1079" s="2"/>
      <c r="AJ1079" s="2"/>
      <c r="AK1079" s="2"/>
      <c r="AL1079" s="2"/>
      <c r="AM1079" s="2"/>
      <c r="AN1079" s="2"/>
      <c r="AO1079" s="9"/>
      <c r="AP1079" s="9"/>
      <c r="AQ1079" s="9"/>
      <c r="AR1079" s="9"/>
    </row>
    <row r="1080">
      <c r="A1080" s="33"/>
      <c r="B1080" s="2"/>
      <c r="C1080" s="2"/>
      <c r="D1080" s="2"/>
      <c r="E1080" s="2"/>
      <c r="F1080" s="4"/>
      <c r="G1080" s="2"/>
      <c r="H1080" s="2"/>
      <c r="I1080" s="2"/>
      <c r="J1080" s="2"/>
      <c r="K1080" s="5"/>
      <c r="L1080" s="2"/>
      <c r="M1080" s="2"/>
      <c r="N1080" s="2"/>
      <c r="O1080" s="2"/>
      <c r="P1080" s="2"/>
      <c r="Q1080" s="2"/>
      <c r="R1080" s="7"/>
      <c r="S1080" s="224"/>
      <c r="T1080" s="224"/>
      <c r="U1080" s="224"/>
      <c r="V1080" s="224"/>
      <c r="W1080" s="224"/>
      <c r="X1080" s="224"/>
      <c r="Y1080" s="224"/>
      <c r="Z1080" s="868"/>
      <c r="AA1080" s="865"/>
      <c r="AB1080" s="2"/>
      <c r="AC1080" s="2"/>
      <c r="AD1080" s="2"/>
      <c r="AE1080" s="2"/>
      <c r="AF1080" s="2"/>
      <c r="AG1080" s="2"/>
      <c r="AH1080" s="2"/>
      <c r="AI1080" s="2"/>
      <c r="AJ1080" s="2"/>
      <c r="AK1080" s="2"/>
      <c r="AL1080" s="2"/>
      <c r="AM1080" s="2"/>
      <c r="AN1080" s="2"/>
      <c r="AO1080" s="9"/>
      <c r="AP1080" s="9"/>
      <c r="AQ1080" s="9"/>
      <c r="AR1080" s="9"/>
    </row>
    <row r="1081">
      <c r="A1081" s="33"/>
      <c r="B1081" s="2"/>
      <c r="C1081" s="2"/>
      <c r="D1081" s="2"/>
      <c r="E1081" s="2"/>
      <c r="F1081" s="4"/>
      <c r="G1081" s="2"/>
      <c r="H1081" s="2"/>
      <c r="I1081" s="2"/>
      <c r="J1081" s="2"/>
      <c r="K1081" s="5"/>
      <c r="L1081" s="2"/>
      <c r="M1081" s="2"/>
      <c r="N1081" s="2"/>
      <c r="O1081" s="2"/>
      <c r="P1081" s="2"/>
      <c r="Q1081" s="2"/>
      <c r="R1081" s="7"/>
      <c r="S1081" s="224"/>
      <c r="T1081" s="224"/>
      <c r="U1081" s="224"/>
      <c r="V1081" s="224"/>
      <c r="W1081" s="224"/>
      <c r="X1081" s="224"/>
      <c r="Y1081" s="224"/>
      <c r="Z1081" s="868"/>
      <c r="AA1081" s="865"/>
      <c r="AB1081" s="2"/>
      <c r="AC1081" s="2"/>
      <c r="AD1081" s="2"/>
      <c r="AE1081" s="2"/>
      <c r="AF1081" s="2"/>
      <c r="AG1081" s="2"/>
      <c r="AH1081" s="2"/>
      <c r="AI1081" s="2"/>
      <c r="AJ1081" s="2"/>
      <c r="AK1081" s="2"/>
      <c r="AL1081" s="2"/>
      <c r="AM1081" s="2"/>
      <c r="AN1081" s="2"/>
      <c r="AO1081" s="9"/>
      <c r="AP1081" s="9"/>
      <c r="AQ1081" s="9"/>
      <c r="AR1081" s="9"/>
    </row>
    <row r="1082">
      <c r="A1082" s="33"/>
      <c r="B1082" s="2"/>
      <c r="C1082" s="2"/>
      <c r="D1082" s="2"/>
      <c r="E1082" s="2"/>
      <c r="F1082" s="4"/>
      <c r="G1082" s="2"/>
      <c r="H1082" s="2"/>
      <c r="I1082" s="2"/>
      <c r="J1082" s="2"/>
      <c r="K1082" s="5"/>
      <c r="L1082" s="2"/>
      <c r="M1082" s="2"/>
      <c r="N1082" s="2"/>
      <c r="O1082" s="2"/>
      <c r="P1082" s="2"/>
      <c r="Q1082" s="2"/>
      <c r="R1082" s="7"/>
      <c r="S1082" s="224"/>
      <c r="T1082" s="224"/>
      <c r="U1082" s="224"/>
      <c r="V1082" s="224"/>
      <c r="W1082" s="224"/>
      <c r="X1082" s="224"/>
      <c r="Y1082" s="224"/>
      <c r="Z1082" s="868"/>
      <c r="AA1082" s="865"/>
      <c r="AB1082" s="2"/>
      <c r="AC1082" s="2"/>
      <c r="AD1082" s="2"/>
      <c r="AE1082" s="2"/>
      <c r="AF1082" s="2"/>
      <c r="AG1082" s="2"/>
      <c r="AH1082" s="2"/>
      <c r="AI1082" s="2"/>
      <c r="AJ1082" s="2"/>
      <c r="AK1082" s="2"/>
      <c r="AL1082" s="2"/>
      <c r="AM1082" s="2"/>
      <c r="AN1082" s="2"/>
      <c r="AO1082" s="9"/>
      <c r="AP1082" s="9"/>
      <c r="AQ1082" s="9"/>
      <c r="AR1082" s="9"/>
    </row>
    <row r="1083">
      <c r="A1083" s="33"/>
      <c r="B1083" s="2"/>
      <c r="C1083" s="2"/>
      <c r="D1083" s="2"/>
      <c r="E1083" s="2"/>
      <c r="F1083" s="4"/>
      <c r="G1083" s="2"/>
      <c r="H1083" s="2"/>
      <c r="I1083" s="2"/>
      <c r="J1083" s="2"/>
      <c r="K1083" s="5"/>
      <c r="L1083" s="2"/>
      <c r="M1083" s="2"/>
      <c r="N1083" s="2"/>
      <c r="O1083" s="2"/>
      <c r="P1083" s="2"/>
      <c r="Q1083" s="2"/>
      <c r="R1083" s="7"/>
      <c r="S1083" s="224"/>
      <c r="T1083" s="224"/>
      <c r="U1083" s="224"/>
      <c r="V1083" s="224"/>
      <c r="W1083" s="224"/>
      <c r="X1083" s="224"/>
      <c r="Y1083" s="224"/>
      <c r="Z1083" s="868"/>
      <c r="AA1083" s="865"/>
      <c r="AB1083" s="2"/>
      <c r="AC1083" s="2"/>
      <c r="AD1083" s="2"/>
      <c r="AE1083" s="2"/>
      <c r="AF1083" s="2"/>
      <c r="AG1083" s="2"/>
      <c r="AH1083" s="2"/>
      <c r="AI1083" s="2"/>
      <c r="AJ1083" s="2"/>
      <c r="AK1083" s="2"/>
      <c r="AL1083" s="2"/>
      <c r="AM1083" s="2"/>
      <c r="AN1083" s="2"/>
      <c r="AO1083" s="9"/>
      <c r="AP1083" s="9"/>
      <c r="AQ1083" s="9"/>
      <c r="AR1083" s="9"/>
    </row>
    <row r="1084">
      <c r="A1084" s="33"/>
      <c r="B1084" s="2"/>
      <c r="C1084" s="2"/>
      <c r="D1084" s="2"/>
      <c r="E1084" s="2"/>
      <c r="F1084" s="4"/>
      <c r="G1084" s="2"/>
      <c r="H1084" s="2"/>
      <c r="I1084" s="2"/>
      <c r="J1084" s="2"/>
      <c r="K1084" s="5"/>
      <c r="L1084" s="2"/>
      <c r="M1084" s="2"/>
      <c r="N1084" s="2"/>
      <c r="O1084" s="2"/>
      <c r="P1084" s="2"/>
      <c r="Q1084" s="2"/>
      <c r="R1084" s="7"/>
      <c r="S1084" s="224"/>
      <c r="T1084" s="224"/>
      <c r="U1084" s="224"/>
      <c r="V1084" s="224"/>
      <c r="W1084" s="224"/>
      <c r="X1084" s="224"/>
      <c r="Y1084" s="224"/>
      <c r="Z1084" s="868"/>
      <c r="AA1084" s="865"/>
      <c r="AB1084" s="2"/>
      <c r="AC1084" s="2"/>
      <c r="AD1084" s="2"/>
      <c r="AE1084" s="2"/>
      <c r="AF1084" s="2"/>
      <c r="AG1084" s="2"/>
      <c r="AH1084" s="2"/>
      <c r="AI1084" s="2"/>
      <c r="AJ1084" s="2"/>
      <c r="AK1084" s="2"/>
      <c r="AL1084" s="2"/>
      <c r="AM1084" s="2"/>
      <c r="AN1084" s="2"/>
      <c r="AO1084" s="9"/>
      <c r="AP1084" s="9"/>
      <c r="AQ1084" s="9"/>
      <c r="AR1084" s="9"/>
    </row>
    <row r="1085">
      <c r="A1085" s="33"/>
      <c r="B1085" s="2"/>
      <c r="C1085" s="2"/>
      <c r="D1085" s="2"/>
      <c r="E1085" s="2"/>
      <c r="F1085" s="4"/>
      <c r="G1085" s="2"/>
      <c r="H1085" s="2"/>
      <c r="I1085" s="2"/>
      <c r="J1085" s="2"/>
      <c r="K1085" s="5"/>
      <c r="L1085" s="2"/>
      <c r="M1085" s="2"/>
      <c r="N1085" s="2"/>
      <c r="O1085" s="2"/>
      <c r="P1085" s="2"/>
      <c r="Q1085" s="2"/>
      <c r="R1085" s="7"/>
      <c r="S1085" s="224"/>
      <c r="T1085" s="224"/>
      <c r="U1085" s="224"/>
      <c r="V1085" s="224"/>
      <c r="W1085" s="224"/>
      <c r="X1085" s="224"/>
      <c r="Y1085" s="224"/>
      <c r="Z1085" s="868"/>
      <c r="AA1085" s="865"/>
      <c r="AB1085" s="2"/>
      <c r="AC1085" s="2"/>
      <c r="AD1085" s="2"/>
      <c r="AE1085" s="2"/>
      <c r="AF1085" s="2"/>
      <c r="AG1085" s="2"/>
      <c r="AH1085" s="2"/>
      <c r="AI1085" s="2"/>
      <c r="AJ1085" s="2"/>
      <c r="AK1085" s="2"/>
      <c r="AL1085" s="2"/>
      <c r="AM1085" s="2"/>
      <c r="AN1085" s="2"/>
      <c r="AO1085" s="9"/>
      <c r="AP1085" s="9"/>
      <c r="AQ1085" s="9"/>
      <c r="AR1085" s="9"/>
    </row>
    <row r="1086">
      <c r="A1086" s="33"/>
      <c r="B1086" s="2"/>
      <c r="C1086" s="2"/>
      <c r="D1086" s="2"/>
      <c r="E1086" s="2"/>
      <c r="F1086" s="4"/>
      <c r="G1086" s="2"/>
      <c r="H1086" s="2"/>
      <c r="I1086" s="2"/>
      <c r="J1086" s="2"/>
      <c r="K1086" s="5"/>
      <c r="L1086" s="2"/>
      <c r="M1086" s="2"/>
      <c r="N1086" s="2"/>
      <c r="O1086" s="2"/>
      <c r="P1086" s="2"/>
      <c r="Q1086" s="2"/>
      <c r="R1086" s="7"/>
      <c r="S1086" s="224"/>
      <c r="T1086" s="224"/>
      <c r="U1086" s="224"/>
      <c r="V1086" s="224"/>
      <c r="W1086" s="224"/>
      <c r="X1086" s="224"/>
      <c r="Y1086" s="224"/>
      <c r="Z1086" s="868"/>
      <c r="AA1086" s="865"/>
      <c r="AB1086" s="2"/>
      <c r="AC1086" s="2"/>
      <c r="AD1086" s="2"/>
      <c r="AE1086" s="2"/>
      <c r="AF1086" s="2"/>
      <c r="AG1086" s="2"/>
      <c r="AH1086" s="2"/>
      <c r="AI1086" s="2"/>
      <c r="AJ1086" s="2"/>
      <c r="AK1086" s="2"/>
      <c r="AL1086" s="2"/>
      <c r="AM1086" s="2"/>
      <c r="AN1086" s="2"/>
      <c r="AO1086" s="9"/>
      <c r="AP1086" s="9"/>
      <c r="AQ1086" s="9"/>
      <c r="AR1086" s="9"/>
    </row>
  </sheetData>
  <mergeCells count="593">
    <mergeCell ref="R38:R39"/>
    <mergeCell ref="S38:S39"/>
    <mergeCell ref="T38:T39"/>
    <mergeCell ref="U38:U39"/>
    <mergeCell ref="S40:S41"/>
    <mergeCell ref="T40:T41"/>
    <mergeCell ref="U40:U41"/>
    <mergeCell ref="R40:R41"/>
    <mergeCell ref="R42:R43"/>
    <mergeCell ref="S42:S43"/>
    <mergeCell ref="T42:T43"/>
    <mergeCell ref="U42:U43"/>
    <mergeCell ref="R44:R45"/>
    <mergeCell ref="S44:S45"/>
    <mergeCell ref="R46:R47"/>
    <mergeCell ref="S46:S47"/>
    <mergeCell ref="T46:T47"/>
    <mergeCell ref="U46:U47"/>
    <mergeCell ref="S48:S49"/>
    <mergeCell ref="T48:T49"/>
    <mergeCell ref="U48:U49"/>
    <mergeCell ref="R48:R49"/>
    <mergeCell ref="M50:M51"/>
    <mergeCell ref="N50:N51"/>
    <mergeCell ref="Q50:Q51"/>
    <mergeCell ref="S53:S54"/>
    <mergeCell ref="T53:T54"/>
    <mergeCell ref="U53:U54"/>
    <mergeCell ref="T57:T58"/>
    <mergeCell ref="U57:U58"/>
    <mergeCell ref="R53:R54"/>
    <mergeCell ref="R55:R56"/>
    <mergeCell ref="S55:S56"/>
    <mergeCell ref="T55:T56"/>
    <mergeCell ref="U55:U56"/>
    <mergeCell ref="R57:R58"/>
    <mergeCell ref="S57:S58"/>
    <mergeCell ref="R69:R70"/>
    <mergeCell ref="R71:R72"/>
    <mergeCell ref="S71:S72"/>
    <mergeCell ref="T71:T72"/>
    <mergeCell ref="U71:U72"/>
    <mergeCell ref="R86:R87"/>
    <mergeCell ref="S86:S87"/>
    <mergeCell ref="T86:T87"/>
    <mergeCell ref="U86:U87"/>
    <mergeCell ref="S88:S89"/>
    <mergeCell ref="T88:T89"/>
    <mergeCell ref="U88:U89"/>
    <mergeCell ref="R88:R89"/>
    <mergeCell ref="R90:R91"/>
    <mergeCell ref="S90:S91"/>
    <mergeCell ref="T90:T91"/>
    <mergeCell ref="U90:U91"/>
    <mergeCell ref="R92:R93"/>
    <mergeCell ref="S92:S93"/>
    <mergeCell ref="T92:T93"/>
    <mergeCell ref="U92:U93"/>
    <mergeCell ref="R94:R95"/>
    <mergeCell ref="S94:S95"/>
    <mergeCell ref="T94:T95"/>
    <mergeCell ref="U94:U95"/>
    <mergeCell ref="R96:R97"/>
    <mergeCell ref="U96:U97"/>
    <mergeCell ref="S103:S104"/>
    <mergeCell ref="T103:T104"/>
    <mergeCell ref="T105:T106"/>
    <mergeCell ref="U105:U106"/>
    <mergeCell ref="T108:T109"/>
    <mergeCell ref="U108:U109"/>
    <mergeCell ref="T110:T111"/>
    <mergeCell ref="U110:U111"/>
    <mergeCell ref="T112:T113"/>
    <mergeCell ref="U112:U113"/>
    <mergeCell ref="S96:S97"/>
    <mergeCell ref="T96:T97"/>
    <mergeCell ref="R99:R106"/>
    <mergeCell ref="S99:S100"/>
    <mergeCell ref="T99:T100"/>
    <mergeCell ref="U99:U100"/>
    <mergeCell ref="U103:U104"/>
    <mergeCell ref="N114:N115"/>
    <mergeCell ref="Q114:Q115"/>
    <mergeCell ref="S101:S102"/>
    <mergeCell ref="S105:S106"/>
    <mergeCell ref="R108:R113"/>
    <mergeCell ref="S108:S109"/>
    <mergeCell ref="S110:S111"/>
    <mergeCell ref="S112:S113"/>
    <mergeCell ref="M114:M115"/>
    <mergeCell ref="T65:T66"/>
    <mergeCell ref="U65:U66"/>
    <mergeCell ref="R67:R68"/>
    <mergeCell ref="S67:S68"/>
    <mergeCell ref="T67:T68"/>
    <mergeCell ref="U67:U68"/>
    <mergeCell ref="U69:U70"/>
    <mergeCell ref="S76:S77"/>
    <mergeCell ref="T76:T77"/>
    <mergeCell ref="S69:S70"/>
    <mergeCell ref="T69:T70"/>
    <mergeCell ref="R73:R74"/>
    <mergeCell ref="S73:S74"/>
    <mergeCell ref="T73:T74"/>
    <mergeCell ref="U73:U74"/>
    <mergeCell ref="U76:U77"/>
    <mergeCell ref="R76:R79"/>
    <mergeCell ref="S78:S79"/>
    <mergeCell ref="T78:T79"/>
    <mergeCell ref="U78:U79"/>
    <mergeCell ref="S80:S81"/>
    <mergeCell ref="T80:T81"/>
    <mergeCell ref="U80:U81"/>
    <mergeCell ref="T84:T85"/>
    <mergeCell ref="U84:U85"/>
    <mergeCell ref="R80:R81"/>
    <mergeCell ref="R82:R83"/>
    <mergeCell ref="S82:S83"/>
    <mergeCell ref="T82:T83"/>
    <mergeCell ref="U82:U83"/>
    <mergeCell ref="R84:R85"/>
    <mergeCell ref="S84:S85"/>
    <mergeCell ref="T101:T102"/>
    <mergeCell ref="U101:U102"/>
    <mergeCell ref="E7:E8"/>
    <mergeCell ref="E9:E10"/>
    <mergeCell ref="AC17:AJ17"/>
    <mergeCell ref="AC18:AF18"/>
    <mergeCell ref="AG18:AJ18"/>
    <mergeCell ref="T19:T21"/>
    <mergeCell ref="U19:U21"/>
    <mergeCell ref="A5:A6"/>
    <mergeCell ref="B5:B6"/>
    <mergeCell ref="E5:E6"/>
    <mergeCell ref="A7:A8"/>
    <mergeCell ref="B7:B8"/>
    <mergeCell ref="A9:A10"/>
    <mergeCell ref="B9:B10"/>
    <mergeCell ref="U22:U23"/>
    <mergeCell ref="X22:X23"/>
    <mergeCell ref="Y22:Y23"/>
    <mergeCell ref="A20:B21"/>
    <mergeCell ref="B22:B23"/>
    <mergeCell ref="C22:C23"/>
    <mergeCell ref="D22:D23"/>
    <mergeCell ref="E22:E23"/>
    <mergeCell ref="F22:F23"/>
    <mergeCell ref="G22:G23"/>
    <mergeCell ref="S19:S21"/>
    <mergeCell ref="M20:M21"/>
    <mergeCell ref="N20:N21"/>
    <mergeCell ref="Q20:Q21"/>
    <mergeCell ref="R22:R23"/>
    <mergeCell ref="S22:S23"/>
    <mergeCell ref="T22:T23"/>
    <mergeCell ref="A22:A23"/>
    <mergeCell ref="B24:B25"/>
    <mergeCell ref="C24:C25"/>
    <mergeCell ref="D24:D25"/>
    <mergeCell ref="E24:E25"/>
    <mergeCell ref="F24:F25"/>
    <mergeCell ref="G24:G25"/>
    <mergeCell ref="G28:G29"/>
    <mergeCell ref="R28:R29"/>
    <mergeCell ref="S28:S29"/>
    <mergeCell ref="T28:T29"/>
    <mergeCell ref="U28:U29"/>
    <mergeCell ref="X28:X29"/>
    <mergeCell ref="Y28:Y29"/>
    <mergeCell ref="A38:A39"/>
    <mergeCell ref="B38:B39"/>
    <mergeCell ref="C38:C39"/>
    <mergeCell ref="D38:D39"/>
    <mergeCell ref="E38:E39"/>
    <mergeCell ref="F38:F39"/>
    <mergeCell ref="G38:G39"/>
    <mergeCell ref="A40:A41"/>
    <mergeCell ref="B40:B41"/>
    <mergeCell ref="C40:C41"/>
    <mergeCell ref="D40:D41"/>
    <mergeCell ref="E40:E41"/>
    <mergeCell ref="F40:F41"/>
    <mergeCell ref="G40:G41"/>
    <mergeCell ref="R24:R25"/>
    <mergeCell ref="S24:S25"/>
    <mergeCell ref="T24:T25"/>
    <mergeCell ref="U24:U25"/>
    <mergeCell ref="Y24:Y25"/>
    <mergeCell ref="R26:R27"/>
    <mergeCell ref="U26:U27"/>
    <mergeCell ref="Y26:Y27"/>
    <mergeCell ref="S32:S33"/>
    <mergeCell ref="T32:T33"/>
    <mergeCell ref="S26:S27"/>
    <mergeCell ref="T26:T27"/>
    <mergeCell ref="R30:R31"/>
    <mergeCell ref="S30:S31"/>
    <mergeCell ref="T30:T31"/>
    <mergeCell ref="U30:U31"/>
    <mergeCell ref="U32:U33"/>
    <mergeCell ref="T36:T37"/>
    <mergeCell ref="U36:U37"/>
    <mergeCell ref="R32:R33"/>
    <mergeCell ref="R34:R35"/>
    <mergeCell ref="S34:S35"/>
    <mergeCell ref="T34:T35"/>
    <mergeCell ref="U34:U35"/>
    <mergeCell ref="R36:R37"/>
    <mergeCell ref="S36:S37"/>
    <mergeCell ref="T44:T45"/>
    <mergeCell ref="U44:U45"/>
    <mergeCell ref="X44:X45"/>
    <mergeCell ref="Y44:Y45"/>
    <mergeCell ref="Z44:Z45"/>
    <mergeCell ref="Z42:Z43"/>
    <mergeCell ref="Z46:Z47"/>
    <mergeCell ref="Z48:Z49"/>
    <mergeCell ref="Y36:Y37"/>
    <mergeCell ref="Y38:Y39"/>
    <mergeCell ref="X40:X41"/>
    <mergeCell ref="Y40:Y41"/>
    <mergeCell ref="Z40:Z41"/>
    <mergeCell ref="X42:X43"/>
    <mergeCell ref="Y42:Y43"/>
    <mergeCell ref="A42:A43"/>
    <mergeCell ref="B42:B43"/>
    <mergeCell ref="C42:C43"/>
    <mergeCell ref="D42:D43"/>
    <mergeCell ref="E42:E43"/>
    <mergeCell ref="F42:F43"/>
    <mergeCell ref="G42:G43"/>
    <mergeCell ref="A44:A45"/>
    <mergeCell ref="B44:B45"/>
    <mergeCell ref="C44:C45"/>
    <mergeCell ref="D44:D45"/>
    <mergeCell ref="E44:E45"/>
    <mergeCell ref="F44:F45"/>
    <mergeCell ref="G44:G45"/>
    <mergeCell ref="A46:A47"/>
    <mergeCell ref="B46:B47"/>
    <mergeCell ref="C46:C47"/>
    <mergeCell ref="D46:D47"/>
    <mergeCell ref="E46:E47"/>
    <mergeCell ref="F46:F47"/>
    <mergeCell ref="G46:G47"/>
    <mergeCell ref="B48:B49"/>
    <mergeCell ref="C48:C49"/>
    <mergeCell ref="D48:D49"/>
    <mergeCell ref="E48:E49"/>
    <mergeCell ref="F48:F49"/>
    <mergeCell ref="G48:G49"/>
    <mergeCell ref="A50:B51"/>
    <mergeCell ref="R59:R60"/>
    <mergeCell ref="S59:S60"/>
    <mergeCell ref="T59:T60"/>
    <mergeCell ref="U59:U60"/>
    <mergeCell ref="S61:S62"/>
    <mergeCell ref="T61:T62"/>
    <mergeCell ref="U61:U62"/>
    <mergeCell ref="Z65:Z66"/>
    <mergeCell ref="Z67:Z68"/>
    <mergeCell ref="R61:R62"/>
    <mergeCell ref="R63:R64"/>
    <mergeCell ref="S63:S64"/>
    <mergeCell ref="T63:T64"/>
    <mergeCell ref="U63:U64"/>
    <mergeCell ref="R65:R66"/>
    <mergeCell ref="S65:S66"/>
    <mergeCell ref="X73:X74"/>
    <mergeCell ref="X76:X77"/>
    <mergeCell ref="X78:X79"/>
    <mergeCell ref="X80:X81"/>
    <mergeCell ref="X82:X83"/>
    <mergeCell ref="X84:X85"/>
    <mergeCell ref="X86:X87"/>
    <mergeCell ref="X103:X104"/>
    <mergeCell ref="X105:X106"/>
    <mergeCell ref="X108:X109"/>
    <mergeCell ref="X110:X111"/>
    <mergeCell ref="X112:X113"/>
    <mergeCell ref="AK129:AL129"/>
    <mergeCell ref="X88:X89"/>
    <mergeCell ref="X90:X91"/>
    <mergeCell ref="X92:X93"/>
    <mergeCell ref="X94:X95"/>
    <mergeCell ref="X96:X97"/>
    <mergeCell ref="X99:X100"/>
    <mergeCell ref="X101:X102"/>
    <mergeCell ref="X24:X25"/>
    <mergeCell ref="X26:X27"/>
    <mergeCell ref="X30:X31"/>
    <mergeCell ref="Y30:Y31"/>
    <mergeCell ref="X32:X33"/>
    <mergeCell ref="Y32:Y33"/>
    <mergeCell ref="Y34:Y35"/>
    <mergeCell ref="X34:X35"/>
    <mergeCell ref="X36:X37"/>
    <mergeCell ref="X38:X39"/>
    <mergeCell ref="X46:X47"/>
    <mergeCell ref="Y46:Y47"/>
    <mergeCell ref="X48:X49"/>
    <mergeCell ref="Y48:Y49"/>
    <mergeCell ref="X53:X54"/>
    <mergeCell ref="Y53:Y54"/>
    <mergeCell ref="X55:X56"/>
    <mergeCell ref="Y55:Y56"/>
    <mergeCell ref="X57:X58"/>
    <mergeCell ref="Y57:Y58"/>
    <mergeCell ref="Y59:Y60"/>
    <mergeCell ref="X59:X60"/>
    <mergeCell ref="X61:X62"/>
    <mergeCell ref="X63:X64"/>
    <mergeCell ref="X65:X66"/>
    <mergeCell ref="X67:X68"/>
    <mergeCell ref="X69:X70"/>
    <mergeCell ref="X71:X72"/>
    <mergeCell ref="Y61:Y62"/>
    <mergeCell ref="Y63:Y64"/>
    <mergeCell ref="Y65:Y66"/>
    <mergeCell ref="Y67:Y68"/>
    <mergeCell ref="Y69:Y70"/>
    <mergeCell ref="Y71:Y72"/>
    <mergeCell ref="Y73:Y74"/>
    <mergeCell ref="Y76:Y77"/>
    <mergeCell ref="Y78:Y79"/>
    <mergeCell ref="Y80:Y81"/>
    <mergeCell ref="Y82:Y83"/>
    <mergeCell ref="Y84:Y85"/>
    <mergeCell ref="Y86:Y87"/>
    <mergeCell ref="Z86:Z87"/>
    <mergeCell ref="Y96:Y97"/>
    <mergeCell ref="Y99:Y100"/>
    <mergeCell ref="Y101:Y102"/>
    <mergeCell ref="Y103:Y104"/>
    <mergeCell ref="Y105:Y106"/>
    <mergeCell ref="Y108:Y109"/>
    <mergeCell ref="Y110:Y111"/>
    <mergeCell ref="Y112:Y113"/>
    <mergeCell ref="Y88:Y89"/>
    <mergeCell ref="Z88:Z89"/>
    <mergeCell ref="Y90:Y91"/>
    <mergeCell ref="Z90:Z91"/>
    <mergeCell ref="Y92:Y93"/>
    <mergeCell ref="Z92:Z93"/>
    <mergeCell ref="Y94:Y95"/>
    <mergeCell ref="A48:A49"/>
    <mergeCell ref="B53:B54"/>
    <mergeCell ref="C53:C54"/>
    <mergeCell ref="D53:D54"/>
    <mergeCell ref="E53:E54"/>
    <mergeCell ref="F53:F54"/>
    <mergeCell ref="G53:G54"/>
    <mergeCell ref="A53:A54"/>
    <mergeCell ref="B55:B56"/>
    <mergeCell ref="C55:C56"/>
    <mergeCell ref="D55:D56"/>
    <mergeCell ref="E55:E56"/>
    <mergeCell ref="F55:F56"/>
    <mergeCell ref="G55:G56"/>
    <mergeCell ref="A84:A85"/>
    <mergeCell ref="B86:B87"/>
    <mergeCell ref="C86:C87"/>
    <mergeCell ref="D86:D87"/>
    <mergeCell ref="E86:E87"/>
    <mergeCell ref="F86:F87"/>
    <mergeCell ref="G86:G87"/>
    <mergeCell ref="A86:A87"/>
    <mergeCell ref="B88:B89"/>
    <mergeCell ref="C88:C89"/>
    <mergeCell ref="D88:D89"/>
    <mergeCell ref="E88:E89"/>
    <mergeCell ref="F88:F89"/>
    <mergeCell ref="G88:G89"/>
    <mergeCell ref="A88:A89"/>
    <mergeCell ref="B90:B91"/>
    <mergeCell ref="C90:C91"/>
    <mergeCell ref="D90:D91"/>
    <mergeCell ref="E90:E91"/>
    <mergeCell ref="F90:F91"/>
    <mergeCell ref="G90:G91"/>
    <mergeCell ref="A90:A91"/>
    <mergeCell ref="B92:B93"/>
    <mergeCell ref="C92:C93"/>
    <mergeCell ref="D92:D93"/>
    <mergeCell ref="E92:E93"/>
    <mergeCell ref="F92:F93"/>
    <mergeCell ref="G92:G93"/>
    <mergeCell ref="A92:A93"/>
    <mergeCell ref="B94:B95"/>
    <mergeCell ref="C94:C95"/>
    <mergeCell ref="D94:D95"/>
    <mergeCell ref="E94:E95"/>
    <mergeCell ref="F94:F95"/>
    <mergeCell ref="G94:G95"/>
    <mergeCell ref="A94:A95"/>
    <mergeCell ref="B96:B97"/>
    <mergeCell ref="C96:C97"/>
    <mergeCell ref="D96:D97"/>
    <mergeCell ref="E96:E97"/>
    <mergeCell ref="F96:F97"/>
    <mergeCell ref="G96:G97"/>
    <mergeCell ref="A96:A97"/>
    <mergeCell ref="B99:B100"/>
    <mergeCell ref="C99:C100"/>
    <mergeCell ref="D99:D100"/>
    <mergeCell ref="E99:E100"/>
    <mergeCell ref="F99:F100"/>
    <mergeCell ref="G99:G100"/>
    <mergeCell ref="A99:A100"/>
    <mergeCell ref="B101:B102"/>
    <mergeCell ref="C101:C102"/>
    <mergeCell ref="D101:D102"/>
    <mergeCell ref="E101:E102"/>
    <mergeCell ref="F101:F102"/>
    <mergeCell ref="G101:G102"/>
    <mergeCell ref="A101:A102"/>
    <mergeCell ref="B103:B104"/>
    <mergeCell ref="C103:C104"/>
    <mergeCell ref="D103:D104"/>
    <mergeCell ref="E103:E104"/>
    <mergeCell ref="F103:F104"/>
    <mergeCell ref="G103:G104"/>
    <mergeCell ref="A103:A104"/>
    <mergeCell ref="B105:B106"/>
    <mergeCell ref="C105:C106"/>
    <mergeCell ref="D105:D106"/>
    <mergeCell ref="E105:E106"/>
    <mergeCell ref="F105:F106"/>
    <mergeCell ref="G105:G106"/>
    <mergeCell ref="A105:A106"/>
    <mergeCell ref="B108:B109"/>
    <mergeCell ref="C108:C109"/>
    <mergeCell ref="D108:D109"/>
    <mergeCell ref="E108:E109"/>
    <mergeCell ref="F108:F109"/>
    <mergeCell ref="G108:G109"/>
    <mergeCell ref="A108:A109"/>
    <mergeCell ref="B110:B111"/>
    <mergeCell ref="C110:C111"/>
    <mergeCell ref="D110:D111"/>
    <mergeCell ref="E110:E111"/>
    <mergeCell ref="F110:F111"/>
    <mergeCell ref="G110:G111"/>
    <mergeCell ref="C127:H127"/>
    <mergeCell ref="A24:A25"/>
    <mergeCell ref="B26:B27"/>
    <mergeCell ref="C26:C27"/>
    <mergeCell ref="D26:D27"/>
    <mergeCell ref="E26:E27"/>
    <mergeCell ref="F26:F27"/>
    <mergeCell ref="G26:G27"/>
    <mergeCell ref="A26:A27"/>
    <mergeCell ref="A28:A29"/>
    <mergeCell ref="B28:B29"/>
    <mergeCell ref="C28:C29"/>
    <mergeCell ref="D28:D29"/>
    <mergeCell ref="E28:E29"/>
    <mergeCell ref="F28:F29"/>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112:B113"/>
    <mergeCell ref="A114:B115"/>
    <mergeCell ref="A110:A111"/>
    <mergeCell ref="A112:A113"/>
    <mergeCell ref="C112:C113"/>
    <mergeCell ref="D112:D113"/>
    <mergeCell ref="E112:E113"/>
    <mergeCell ref="F112:F113"/>
    <mergeCell ref="G112:G113"/>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 ref="A63:A64"/>
    <mergeCell ref="B65:B66"/>
    <mergeCell ref="C65:C66"/>
    <mergeCell ref="D65:D66"/>
    <mergeCell ref="E65:E66"/>
    <mergeCell ref="F65:F66"/>
    <mergeCell ref="G65:G66"/>
    <mergeCell ref="A65:A66"/>
    <mergeCell ref="B67:B68"/>
    <mergeCell ref="C67:C68"/>
    <mergeCell ref="D67:D68"/>
    <mergeCell ref="E67:E68"/>
    <mergeCell ref="F67:F68"/>
    <mergeCell ref="G67:G68"/>
    <mergeCell ref="A67:A68"/>
    <mergeCell ref="B69:B70"/>
    <mergeCell ref="C69:C70"/>
    <mergeCell ref="D69:D70"/>
    <mergeCell ref="E69:E70"/>
    <mergeCell ref="F69:F70"/>
    <mergeCell ref="G69:G70"/>
    <mergeCell ref="A69:A70"/>
    <mergeCell ref="B71:B72"/>
    <mergeCell ref="C71:C72"/>
    <mergeCell ref="D71:D72"/>
    <mergeCell ref="E71:E72"/>
    <mergeCell ref="F71:F72"/>
    <mergeCell ref="G71:G72"/>
    <mergeCell ref="A71:A72"/>
    <mergeCell ref="B73:B74"/>
    <mergeCell ref="C73:C74"/>
    <mergeCell ref="D73:D74"/>
    <mergeCell ref="E73:E74"/>
    <mergeCell ref="F73:F74"/>
    <mergeCell ref="G73:G74"/>
    <mergeCell ref="A73:A74"/>
    <mergeCell ref="B76:B77"/>
    <mergeCell ref="C76:C77"/>
    <mergeCell ref="D76:D77"/>
    <mergeCell ref="E76:E77"/>
    <mergeCell ref="F76:F77"/>
    <mergeCell ref="G76:G77"/>
    <mergeCell ref="A76:A77"/>
    <mergeCell ref="B78:B79"/>
    <mergeCell ref="C78:C79"/>
    <mergeCell ref="D78:D79"/>
    <mergeCell ref="E78:E79"/>
    <mergeCell ref="F78:F79"/>
    <mergeCell ref="G78:G79"/>
    <mergeCell ref="A78:A79"/>
    <mergeCell ref="B80:B81"/>
    <mergeCell ref="C80:C81"/>
    <mergeCell ref="D80:D81"/>
    <mergeCell ref="E80:E81"/>
    <mergeCell ref="F80:F81"/>
    <mergeCell ref="G80:G81"/>
    <mergeCell ref="A80:A81"/>
    <mergeCell ref="B82:B83"/>
    <mergeCell ref="C82:C83"/>
    <mergeCell ref="D82:D83"/>
    <mergeCell ref="E82:E83"/>
    <mergeCell ref="F82:F83"/>
    <mergeCell ref="G82:G83"/>
    <mergeCell ref="A82:A83"/>
    <mergeCell ref="B84:B85"/>
    <mergeCell ref="C84:C85"/>
    <mergeCell ref="D84:D85"/>
    <mergeCell ref="E84:E85"/>
    <mergeCell ref="F84:F85"/>
    <mergeCell ref="G84:G85"/>
  </mergeCells>
  <conditionalFormatting sqref="D22:D39 D50:D104 D107:D113">
    <cfRule type="expression" dxfId="0" priority="1">
      <formula>#REF!=TRUE</formula>
    </cfRule>
  </conditionalFormatting>
  <conditionalFormatting sqref="D22:D39 D50:D104 D107:D113">
    <cfRule type="expression" dxfId="1" priority="2">
      <formula>#REF!=TRUE</formula>
    </cfRule>
  </conditionalFormatting>
  <conditionalFormatting sqref="D22:D23 D38:D39 D59:D64 D75:D77 D80:D81 D88:D95 D98 D103:D104 D107 D117:D118 D122 D126">
    <cfRule type="expression" dxfId="0" priority="3">
      <formula>AG22=TRUE</formula>
    </cfRule>
  </conditionalFormatting>
  <conditionalFormatting sqref="D22:D23 D38:D39 D59:D64 D75:D77 D80:D81 D88:D95 D98 D103:D104 D107 D117:D118 D122 D126">
    <cfRule type="expression" dxfId="1" priority="4">
      <formula>P22=TRUE</formula>
    </cfRule>
  </conditionalFormatting>
  <dataValidations>
    <dataValidation type="list" allowBlank="1" showErrorMessage="1" sqref="G22 G24 G26 G28 G30 G32 G34 G36 G38 G40 G42 G44 G46 G48 G52:G53 G55 G57 G59 G61 G63 G65 G67 G69 G71 G73 G76 G78 G80 G82 G84 G86 G88 G90 G92 G94 G96 G99 G101 G103 G105 G107:G108 G110 G112 G116:G125">
      <formula1>"Hồ Chí Minh,Đồng Nai,Bình Dương,Hải Dương,Hà Nội ,Hải Phòng,Sóc Trăng,Cần Thơ,Mass,Đồng Tháp"</formula1>
    </dataValidation>
    <dataValidation type="list" allowBlank="1" showErrorMessage="1" sqref="U22 U24 U26 U28 U30 U32 U34 U36 U38 U40 U42 U44 U46 U48 U52:U53 U55 U57 U59 U61 U63 U65 U67 U69 U71 U73 U75:U76 U78 U80 U82 U84 U86 U88 U90 U92 U94 U96 U98:U99 U101 U103 U105 U107:U108 U110 U112 U116:U125">
      <formula1>"Confirm,Không phù hợp,Đề xuất thêm"</formula1>
    </dataValidation>
    <dataValidation type="list" allowBlank="1" showErrorMessage="1" sqref="X22 X24 X26 X28 X30 X32 X34 X36 X38 X40 X42 X44 X46 X48 X52:X53 X55 X57 X59 X61 X63 X65 X67 X69 X71 X73 X75:X76 X78 X80 X82 X84 X86 X88 X90 X92 X94 X96 X98:X99 X101 X103 X105 X107:X108 X110 X112 X116:X127">
      <formula1>"Ký Cá Nhân,Ký Công ty (VAT 8%),Ký HKD (6-7%),Chưa phản hồi"</formula1>
    </dataValidation>
    <dataValidation type="list" allowBlank="1" showErrorMessage="1" sqref="E22 E24 E26 E28 E30 E32 E34 E36 E38 E40 E42 E44 E46 E48 E52:E53 E55 E57 E59 E61 E63 E65 E67 E69 E71 E73 E76 E78 E80 E82 E84 E86 E88 E90 E92 E94 E96 E99 E101 E103 E105 E107:E108 E110 E112 E116:E125">
      <formula1>"Nano,Macro,Micro"</formula1>
    </dataValidation>
    <dataValidation type="list" allowBlank="1" showErrorMessage="1" sqref="C22 C24 C26 C28 C30 C32 C34 C36 C38 C40 C42 C44 C46 C48 C52:C53 C55 C57 C59 C61 C63 C65 C67 C69 C71 C73 C76 C78 C80 C82 C84 C86 C88 C90 C92 C94 C96 C99 C101 C103 C105 C107:C108 C110 C112 C116:C125">
      <formula1>"Tiktok,Facebook,Instagram,TikTok &amp; Facebook"</formula1>
    </dataValidation>
    <dataValidation type="list" allowBlank="1" showErrorMessage="1" sqref="Y22 Y24 Y26 Y28 Y30 Y32 Y34 Y36 Y38 Y40 Y42 Y44 Y46 Y48 Y52:Y53 Y55 Y57 Y59 Y61 Y63 Y65 Y67 Y69 Y71 Y73 Y75:Y76 Y78 Y80 Y82 Y84 Y86 Y88 Y90 Y92 Y94 Y96 Y98:Y99 Y101 Y103 Y105 Y107:Y108 Y110 Y112 Y116:Y127">
      <formula1>"Thanh Toán sau 100%, 30 ngày,Thanh Toán sau 100%, 14 ngày,Thanh toán 50/50, 14 ngày,Thanh toán 50/50, 30 ngày,Thanh toán trước 100%,Thanh toán 50/50, 7 ngày,Chưa phản hồi,Thanh toán 30/70, 14 ngày"</formula1>
    </dataValidation>
  </dataValidations>
  <hyperlinks>
    <hyperlink r:id="rId1" ref="F22"/>
    <hyperlink r:id="rId2" ref="H22"/>
    <hyperlink r:id="rId3" location="gid=1826739190" ref="Z22"/>
    <hyperlink r:id="rId4" ref="F24"/>
    <hyperlink r:id="rId5" ref="H24"/>
    <hyperlink r:id="rId6" ref="F26"/>
    <hyperlink r:id="rId7" ref="H26"/>
    <hyperlink r:id="rId8" location="gid=0" ref="Z26"/>
    <hyperlink r:id="rId9" ref="F28"/>
    <hyperlink r:id="rId10" ref="H28"/>
    <hyperlink r:id="rId11" ref="F30"/>
    <hyperlink r:id="rId12" ref="H30"/>
    <hyperlink r:id="rId13" ref="F32"/>
    <hyperlink r:id="rId14" ref="H32"/>
    <hyperlink r:id="rId15" ref="S32"/>
    <hyperlink r:id="rId16" location="gid=0" ref="Z32"/>
    <hyperlink r:id="rId17" ref="F34"/>
    <hyperlink r:id="rId18" ref="H34"/>
    <hyperlink r:id="rId19" location="gid=0" ref="Z34"/>
    <hyperlink r:id="rId20" ref="F36"/>
    <hyperlink r:id="rId21" ref="H36"/>
    <hyperlink r:id="rId22" location="gid=1826739190" ref="Z36"/>
    <hyperlink r:id="rId23" ref="F38"/>
    <hyperlink r:id="rId24" ref="H38"/>
    <hyperlink r:id="rId25" location="gid=0" ref="Z38"/>
    <hyperlink r:id="rId26" ref="F40"/>
    <hyperlink r:id="rId27" ref="H40"/>
    <hyperlink r:id="rId28" location="gid=86066825" ref="Z40"/>
    <hyperlink r:id="rId29" ref="F42"/>
    <hyperlink r:id="rId30" ref="H42"/>
    <hyperlink r:id="rId31" location="gid=86066825" ref="Z42"/>
    <hyperlink r:id="rId32" ref="F44"/>
    <hyperlink r:id="rId33" ref="H44"/>
    <hyperlink r:id="rId34" ref="F46"/>
    <hyperlink r:id="rId35" ref="H46"/>
    <hyperlink r:id="rId36" ref="F48"/>
    <hyperlink r:id="rId37" ref="H48"/>
    <hyperlink r:id="rId38" ref="F53"/>
    <hyperlink r:id="rId39" ref="H53"/>
    <hyperlink r:id="rId40" location="gid=1826739190" ref="Z53"/>
    <hyperlink r:id="rId41" ref="F55"/>
    <hyperlink r:id="rId42" ref="H55"/>
    <hyperlink r:id="rId43" location="gid=1826739190" ref="Z55"/>
    <hyperlink r:id="rId44" ref="F57"/>
    <hyperlink r:id="rId45" ref="H57"/>
    <hyperlink r:id="rId46" location="gid=1826739190" ref="Z57"/>
    <hyperlink r:id="rId47" ref="F59"/>
    <hyperlink r:id="rId48" ref="H59"/>
    <hyperlink r:id="rId49" location="gid=1826739190" ref="Z59"/>
    <hyperlink r:id="rId50" ref="F61"/>
    <hyperlink r:id="rId51" ref="H61"/>
    <hyperlink r:id="rId52" location="gid=1826739190" ref="Z61"/>
    <hyperlink r:id="rId53" ref="F63"/>
    <hyperlink r:id="rId54" ref="H63"/>
    <hyperlink r:id="rId55" location="gid=1826739190" ref="Z63"/>
    <hyperlink r:id="rId56" ref="F65"/>
    <hyperlink r:id="rId57" ref="H65"/>
    <hyperlink r:id="rId58" location="gid=86066825" ref="Z65"/>
    <hyperlink r:id="rId59" ref="F67"/>
    <hyperlink r:id="rId60" ref="H67"/>
    <hyperlink r:id="rId61" ref="F69"/>
    <hyperlink r:id="rId62" ref="H69"/>
    <hyperlink r:id="rId63" location="gid=1826739190" ref="Z69"/>
    <hyperlink r:id="rId64" ref="F71"/>
    <hyperlink r:id="rId65" ref="H71"/>
    <hyperlink r:id="rId66" location="gid=1826739190" ref="Z71"/>
    <hyperlink r:id="rId67" ref="F73"/>
    <hyperlink r:id="rId68" ref="H73"/>
    <hyperlink r:id="rId69" location="gid=0" ref="Z73"/>
    <hyperlink r:id="rId70" ref="F76"/>
    <hyperlink r:id="rId71" ref="H76"/>
    <hyperlink r:id="rId72" location="gid=317397432" ref="Z76"/>
    <hyperlink r:id="rId73" location="gid=317397432" ref="Z77"/>
    <hyperlink r:id="rId74" ref="F78"/>
    <hyperlink r:id="rId75" ref="H78"/>
    <hyperlink r:id="rId76" location="gid=317397432" ref="Z78"/>
    <hyperlink r:id="rId77" location="gid=317397432" ref="Z79"/>
    <hyperlink r:id="rId78" ref="F80"/>
    <hyperlink r:id="rId79" ref="H80"/>
    <hyperlink r:id="rId80" location="gid=317397432" ref="Z80"/>
    <hyperlink r:id="rId81" location="gid=317397432" ref="Z81"/>
    <hyperlink r:id="rId82" ref="F82"/>
    <hyperlink r:id="rId83" ref="H82"/>
    <hyperlink r:id="rId84" location="gid=317397432" ref="Z82"/>
    <hyperlink r:id="rId85" location="gid=317397432" ref="Z83"/>
    <hyperlink r:id="rId86" ref="F84"/>
    <hyperlink r:id="rId87" ref="H84"/>
    <hyperlink r:id="rId88" location="gid=317397432" ref="Z84"/>
    <hyperlink r:id="rId89" location="gid=317397432" ref="Z85"/>
    <hyperlink r:id="rId90" ref="F86"/>
    <hyperlink r:id="rId91" ref="H86"/>
    <hyperlink r:id="rId92" location="gid=86066825" ref="Z86"/>
    <hyperlink r:id="rId93" ref="F88"/>
    <hyperlink r:id="rId94" ref="H88"/>
    <hyperlink r:id="rId95" location="gid=86066825" ref="Z88"/>
    <hyperlink r:id="rId96" ref="F90"/>
    <hyperlink r:id="rId97" ref="H90"/>
    <hyperlink r:id="rId98" location="gid=86066825" ref="Z90"/>
    <hyperlink r:id="rId99" ref="F92"/>
    <hyperlink r:id="rId100" ref="H92"/>
    <hyperlink r:id="rId101" location="gid=86066825" ref="Z92"/>
    <hyperlink r:id="rId102" ref="F94"/>
    <hyperlink r:id="rId103" ref="H94"/>
    <hyperlink r:id="rId104" location="gid=317397432" ref="Z94"/>
    <hyperlink r:id="rId105" location="gid=317397432" ref="Z95"/>
    <hyperlink r:id="rId106" ref="F96"/>
    <hyperlink r:id="rId107" ref="H96"/>
    <hyperlink r:id="rId108" location="gid=317397432" ref="Z96"/>
    <hyperlink r:id="rId109" location="gid=317397432" ref="Z97"/>
    <hyperlink r:id="rId110" ref="F99"/>
    <hyperlink r:id="rId111" ref="H99"/>
    <hyperlink r:id="rId112" location="gid=317397432" ref="Z99"/>
    <hyperlink r:id="rId113" location="gid=317397432" ref="Z100"/>
    <hyperlink r:id="rId114" ref="F101"/>
    <hyperlink r:id="rId115" ref="H101"/>
    <hyperlink r:id="rId116" location="gid=317397432" ref="Z101"/>
    <hyperlink r:id="rId117" location="gid=317397432" ref="Z102"/>
    <hyperlink r:id="rId118" ref="F103"/>
    <hyperlink r:id="rId119" ref="H103"/>
    <hyperlink r:id="rId120" location="gid=317397432" ref="Z103"/>
    <hyperlink r:id="rId121" location="gid=317397432" ref="Z104"/>
    <hyperlink r:id="rId122" ref="F105"/>
    <hyperlink r:id="rId123" ref="H105"/>
    <hyperlink r:id="rId124" location="gid=317397432" ref="Z105"/>
    <hyperlink r:id="rId125" location="gid=317397432" ref="Z106"/>
    <hyperlink r:id="rId126" ref="F108"/>
    <hyperlink r:id="rId127" ref="H108"/>
    <hyperlink r:id="rId128" location="gid=317397432" ref="Z108"/>
    <hyperlink r:id="rId129" location="gid=317397432" ref="Z109"/>
    <hyperlink r:id="rId130" ref="F110"/>
    <hyperlink r:id="rId131" ref="H110"/>
    <hyperlink r:id="rId132" location="gid=317397432" ref="Z110"/>
    <hyperlink r:id="rId133" location="gid=317397432" ref="Z111"/>
    <hyperlink r:id="rId134" ref="F112"/>
    <hyperlink r:id="rId135" ref="H112"/>
    <hyperlink r:id="rId136" location="gid=317397432" ref="Z112"/>
    <hyperlink r:id="rId137" location="gid=317397432" ref="Z113"/>
    <hyperlink r:id="rId138" ref="F116"/>
    <hyperlink r:id="rId139" location="gid=1537112938" ref="Z116"/>
    <hyperlink r:id="rId140" ref="F117"/>
    <hyperlink r:id="rId141" location="gid=1537112938" ref="Z117"/>
    <hyperlink r:id="rId142" ref="F118"/>
    <hyperlink r:id="rId143" location="gid=1537112938" ref="Z118"/>
    <hyperlink r:id="rId144" ref="F119"/>
    <hyperlink r:id="rId145" location="gid=1537112938" ref="Z119"/>
    <hyperlink r:id="rId146" ref="F120"/>
    <hyperlink r:id="rId147" location="gid=1537112938" ref="Z120"/>
    <hyperlink r:id="rId148" ref="F121"/>
    <hyperlink r:id="rId149" location="gid=1537112938" ref="Z121"/>
    <hyperlink r:id="rId150" ref="F122"/>
    <hyperlink r:id="rId151" ref="F123"/>
    <hyperlink r:id="rId152" location="gid=1537112938" ref="Z123"/>
    <hyperlink r:id="rId153" ref="F124"/>
    <hyperlink r:id="rId154" ref="F125"/>
    <hyperlink r:id="rId155" location="gid=1537112938" ref="Z125"/>
  </hyperlinks>
  <drawing r:id="rId15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2" width="13.25"/>
    <col customWidth="1" min="23" max="23" width="7.25"/>
  </cols>
  <sheetData>
    <row r="1" hidden="1" outlineLevel="1">
      <c r="A1" s="1" t="s">
        <v>1736</v>
      </c>
      <c r="B1" s="2"/>
      <c r="C1" s="2"/>
      <c r="D1" s="3"/>
      <c r="E1" s="2"/>
      <c r="F1" s="4"/>
      <c r="G1" s="2"/>
      <c r="H1" s="2"/>
      <c r="I1" s="2"/>
      <c r="J1" s="2"/>
      <c r="K1" s="5"/>
      <c r="L1" s="6"/>
      <c r="M1" s="6"/>
      <c r="N1" s="6"/>
      <c r="O1" s="6"/>
      <c r="P1" s="6"/>
      <c r="Q1" s="6"/>
      <c r="R1" s="7"/>
      <c r="S1" s="8"/>
      <c r="T1" s="8"/>
      <c r="U1" s="8"/>
      <c r="V1" s="8"/>
      <c r="W1" s="9"/>
    </row>
    <row r="2" hidden="1" outlineLevel="1">
      <c r="A2" s="10"/>
      <c r="B2" s="11"/>
      <c r="C2" s="11"/>
      <c r="D2" s="11"/>
      <c r="E2" s="2"/>
      <c r="F2" s="4"/>
      <c r="G2" s="2"/>
      <c r="H2" s="2"/>
      <c r="I2" s="2"/>
      <c r="J2" s="2"/>
      <c r="K2" s="5"/>
      <c r="L2" s="6"/>
      <c r="M2" s="6"/>
      <c r="N2" s="6"/>
      <c r="O2" s="6"/>
      <c r="P2" s="6"/>
      <c r="Q2" s="6"/>
      <c r="R2" s="7"/>
      <c r="S2" s="8"/>
      <c r="T2" s="8"/>
      <c r="U2" s="8"/>
      <c r="V2" s="8"/>
      <c r="W2" s="9"/>
    </row>
    <row r="3" ht="27.0" hidden="1" customHeight="1" outlineLevel="1">
      <c r="A3" s="12" t="s">
        <v>1</v>
      </c>
      <c r="B3" s="13" t="s">
        <v>2</v>
      </c>
      <c r="C3" s="14" t="s">
        <v>3</v>
      </c>
      <c r="D3" s="14" t="s">
        <v>4</v>
      </c>
      <c r="E3" s="15" t="s">
        <v>5</v>
      </c>
      <c r="J3" s="6"/>
      <c r="K3" s="2"/>
      <c r="L3" s="5"/>
      <c r="M3" s="6"/>
      <c r="N3" s="6"/>
      <c r="O3" s="6"/>
      <c r="P3" s="6"/>
      <c r="Q3" s="6"/>
      <c r="R3" s="16"/>
      <c r="S3" s="7"/>
      <c r="T3" s="7"/>
      <c r="U3" s="7"/>
      <c r="V3" s="7"/>
      <c r="W3" s="9"/>
    </row>
    <row r="4" ht="27.0" hidden="1" customHeight="1" outlineLevel="1">
      <c r="A4" s="17"/>
      <c r="B4" s="18"/>
      <c r="C4" s="19" t="s">
        <v>6</v>
      </c>
      <c r="D4" s="20">
        <f>sum(D5,D7,D9:D10)</f>
        <v>39</v>
      </c>
      <c r="E4" s="20">
        <f>Sum(E5:E11)</f>
        <v>600000000</v>
      </c>
      <c r="J4" s="2"/>
      <c r="K4" s="2"/>
      <c r="L4" s="5"/>
      <c r="M4" s="6"/>
      <c r="N4" s="6"/>
      <c r="O4" s="6"/>
      <c r="P4" s="6"/>
      <c r="Q4" s="6"/>
      <c r="R4" s="16"/>
      <c r="S4" s="7"/>
      <c r="T4" s="7"/>
      <c r="U4" s="7"/>
      <c r="V4" s="7"/>
      <c r="W4" s="9"/>
    </row>
    <row r="5" ht="27.0" hidden="1" customHeight="1" outlineLevel="1">
      <c r="A5" s="675">
        <v>1.0</v>
      </c>
      <c r="B5" s="22" t="str">
        <f>A20</f>
        <v>FOODY REVIEWER</v>
      </c>
      <c r="C5" s="23" t="s">
        <v>7</v>
      </c>
      <c r="D5" s="24">
        <f t="shared" ref="D5:D6" si="1">K20</f>
        <v>10</v>
      </c>
      <c r="E5" s="25">
        <f>Q20</f>
        <v>205000000</v>
      </c>
      <c r="J5" s="2"/>
      <c r="K5" s="2"/>
      <c r="L5" s="5"/>
      <c r="M5" s="6"/>
      <c r="N5" s="6"/>
      <c r="O5" s="6"/>
      <c r="P5" s="6"/>
      <c r="Q5" s="6"/>
      <c r="R5" s="16"/>
      <c r="S5" s="7"/>
      <c r="T5" s="7"/>
      <c r="U5" s="7"/>
      <c r="V5" s="7"/>
      <c r="W5" s="9"/>
    </row>
    <row r="6" ht="27.0" hidden="1" customHeight="1" outlineLevel="1">
      <c r="A6" s="26"/>
      <c r="B6" s="26"/>
      <c r="C6" s="23" t="s">
        <v>8</v>
      </c>
      <c r="D6" s="24">
        <f t="shared" si="1"/>
        <v>5</v>
      </c>
      <c r="E6" s="26"/>
      <c r="J6" s="2"/>
      <c r="K6" s="2"/>
      <c r="L6" s="5"/>
      <c r="M6" s="6"/>
      <c r="N6" s="6"/>
      <c r="O6" s="6"/>
      <c r="P6" s="6"/>
      <c r="Q6" s="6"/>
      <c r="R6" s="16"/>
      <c r="S6" s="7"/>
      <c r="T6" s="7"/>
      <c r="U6" s="7"/>
      <c r="V6" s="7"/>
      <c r="W6" s="9"/>
    </row>
    <row r="7" ht="27.0" hidden="1" customHeight="1" outlineLevel="1">
      <c r="A7" s="676">
        <v>2.0</v>
      </c>
      <c r="B7" s="22" t="str">
        <f>A50</f>
        <v>FOODY UGC</v>
      </c>
      <c r="C7" s="23" t="s">
        <v>7</v>
      </c>
      <c r="D7" s="24">
        <f t="shared" ref="D7:D8" si="2">K50</f>
        <v>19</v>
      </c>
      <c r="E7" s="25">
        <f>Q50</f>
        <v>159000000</v>
      </c>
      <c r="J7" s="2"/>
      <c r="K7" s="2"/>
      <c r="L7" s="5"/>
      <c r="M7" s="6"/>
      <c r="N7" s="6"/>
      <c r="O7" s="6"/>
      <c r="P7" s="6"/>
      <c r="Q7" s="6"/>
      <c r="R7" s="16"/>
      <c r="S7" s="7"/>
      <c r="T7" s="7"/>
      <c r="U7" s="7"/>
      <c r="V7" s="7"/>
      <c r="W7" s="9"/>
    </row>
    <row r="8" ht="27.0" hidden="1" customHeight="1" outlineLevel="1">
      <c r="A8" s="26"/>
      <c r="B8" s="26"/>
      <c r="C8" s="23" t="s">
        <v>8</v>
      </c>
      <c r="D8" s="28">
        <f t="shared" si="2"/>
        <v>19</v>
      </c>
      <c r="E8" s="26"/>
      <c r="J8" s="2"/>
      <c r="K8" s="2"/>
      <c r="L8" s="5"/>
      <c r="M8" s="6"/>
      <c r="N8" s="6"/>
      <c r="O8" s="6"/>
      <c r="P8" s="6"/>
      <c r="Q8" s="6"/>
      <c r="R8" s="16"/>
      <c r="S8" s="7"/>
      <c r="T8" s="7"/>
      <c r="U8" s="7"/>
      <c r="V8" s="7"/>
      <c r="W8" s="9"/>
    </row>
    <row r="9" ht="27.0" hidden="1" customHeight="1" outlineLevel="1">
      <c r="A9" s="676">
        <v>3.0</v>
      </c>
      <c r="B9" s="22" t="str">
        <f>A114</f>
        <v>FOODY COMMUNITY</v>
      </c>
      <c r="C9" s="23" t="s">
        <v>9</v>
      </c>
      <c r="D9" s="28">
        <f>K115</f>
        <v>5</v>
      </c>
      <c r="E9" s="25">
        <f>Q114</f>
        <v>216000000</v>
      </c>
      <c r="J9" s="2"/>
      <c r="K9" s="2"/>
      <c r="L9" s="5"/>
      <c r="M9" s="6"/>
      <c r="N9" s="6"/>
      <c r="O9" s="6"/>
      <c r="P9" s="6"/>
      <c r="Q9" s="6"/>
      <c r="R9" s="16"/>
      <c r="S9" s="7"/>
      <c r="T9" s="7"/>
      <c r="U9" s="7"/>
      <c r="V9" s="7"/>
      <c r="W9" s="9"/>
    </row>
    <row r="10" ht="27.0" hidden="1" customHeight="1" outlineLevel="1">
      <c r="A10" s="26"/>
      <c r="B10" s="26"/>
      <c r="C10" s="29" t="s">
        <v>10</v>
      </c>
      <c r="D10" s="28">
        <f>K114</f>
        <v>5</v>
      </c>
      <c r="E10" s="26"/>
      <c r="J10" s="2"/>
      <c r="K10" s="2"/>
      <c r="L10" s="5"/>
      <c r="M10" s="6"/>
      <c r="N10" s="6"/>
      <c r="O10" s="6"/>
      <c r="P10" s="6"/>
      <c r="Q10" s="6"/>
      <c r="R10" s="16"/>
      <c r="S10" s="7"/>
      <c r="T10" s="7"/>
      <c r="U10" s="7"/>
      <c r="V10" s="7"/>
      <c r="W10" s="9"/>
    </row>
    <row r="11" ht="27.0" hidden="1" customHeight="1" outlineLevel="1">
      <c r="A11" s="677">
        <v>4.0</v>
      </c>
      <c r="B11" s="31" t="str">
        <f>A126</f>
        <v>SEEDING PACKAGE</v>
      </c>
      <c r="C11" s="29" t="s">
        <v>11</v>
      </c>
      <c r="D11" s="28">
        <f>K127</f>
        <v>2000</v>
      </c>
      <c r="E11" s="32">
        <f>Q126</f>
        <v>20000000</v>
      </c>
      <c r="J11" s="2"/>
      <c r="K11" s="2"/>
      <c r="L11" s="5"/>
      <c r="M11" s="6"/>
      <c r="N11" s="6"/>
      <c r="O11" s="6"/>
      <c r="P11" s="6"/>
      <c r="Q11" s="6"/>
      <c r="R11" s="16"/>
      <c r="S11" s="7"/>
      <c r="T11" s="7"/>
      <c r="U11" s="7"/>
      <c r="V11" s="7"/>
      <c r="W11" s="9"/>
    </row>
    <row r="12" ht="27.0" hidden="1" customHeight="1" outlineLevel="1">
      <c r="A12" s="33"/>
      <c r="B12" s="34" t="s">
        <v>12</v>
      </c>
      <c r="C12" s="35"/>
      <c r="D12" s="35"/>
      <c r="E12" s="36">
        <f>E4</f>
        <v>600000000</v>
      </c>
      <c r="K12" s="2"/>
      <c r="L12" s="5"/>
      <c r="M12" s="6"/>
      <c r="N12" s="6"/>
      <c r="O12" s="6"/>
      <c r="P12" s="6"/>
      <c r="Q12" s="6"/>
      <c r="R12" s="37"/>
      <c r="S12" s="7"/>
      <c r="T12" s="7"/>
      <c r="U12" s="7"/>
      <c r="V12" s="7"/>
      <c r="W12" s="9"/>
    </row>
    <row r="13" ht="27.0" hidden="1" customHeight="1" outlineLevel="1">
      <c r="A13" s="38"/>
      <c r="B13" s="34" t="s">
        <v>13</v>
      </c>
      <c r="C13" s="39"/>
      <c r="D13" s="40">
        <v>0.12</v>
      </c>
      <c r="E13" s="41">
        <f>E12*D13</f>
        <v>72000000</v>
      </c>
      <c r="J13" s="42"/>
      <c r="K13" s="42"/>
      <c r="L13" s="43"/>
      <c r="M13" s="43"/>
      <c r="N13" s="43"/>
      <c r="O13" s="43"/>
      <c r="P13" s="43"/>
      <c r="Q13" s="43"/>
      <c r="R13" s="7"/>
      <c r="S13" s="8"/>
      <c r="T13" s="8"/>
      <c r="U13" s="8"/>
      <c r="V13" s="8"/>
      <c r="W13" s="9"/>
    </row>
    <row r="14" ht="27.0" hidden="1" customHeight="1" outlineLevel="1">
      <c r="A14" s="38"/>
      <c r="B14" s="34" t="s">
        <v>14</v>
      </c>
      <c r="C14" s="39"/>
      <c r="D14" s="39"/>
      <c r="E14" s="41">
        <f>sum(E12:E13)</f>
        <v>672000000</v>
      </c>
      <c r="J14" s="42"/>
      <c r="K14" s="42"/>
      <c r="L14" s="43"/>
      <c r="M14" s="43"/>
      <c r="N14" s="43"/>
      <c r="O14" s="43"/>
      <c r="P14" s="43"/>
      <c r="Q14" s="43"/>
      <c r="R14" s="7"/>
      <c r="S14" s="8"/>
      <c r="T14" s="8"/>
      <c r="U14" s="8"/>
      <c r="V14" s="8"/>
      <c r="W14" s="9"/>
    </row>
    <row r="15" ht="27.0" hidden="1" customHeight="1" outlineLevel="1">
      <c r="A15" s="38"/>
      <c r="B15" s="34" t="s">
        <v>15</v>
      </c>
      <c r="C15" s="39"/>
      <c r="D15" s="39"/>
      <c r="E15" s="41">
        <f>E14*1.08</f>
        <v>725760000</v>
      </c>
      <c r="J15" s="42"/>
      <c r="K15" s="42"/>
      <c r="L15" s="43"/>
      <c r="M15" s="43"/>
      <c r="N15" s="43"/>
      <c r="O15" s="43"/>
      <c r="P15" s="43"/>
      <c r="Q15" s="43"/>
      <c r="R15" s="7"/>
      <c r="S15" s="8"/>
      <c r="T15" s="8"/>
      <c r="U15" s="8"/>
      <c r="V15" s="8"/>
      <c r="W15" s="9"/>
    </row>
    <row r="16" hidden="1" outlineLevel="1">
      <c r="A16" s="38"/>
      <c r="B16" s="44"/>
      <c r="C16" s="42"/>
      <c r="D16" s="42"/>
      <c r="E16" s="42"/>
      <c r="J16" s="42"/>
      <c r="K16" s="42"/>
      <c r="L16" s="43"/>
      <c r="M16" s="43"/>
      <c r="N16" s="43"/>
      <c r="O16" s="43"/>
      <c r="P16" s="43"/>
      <c r="Q16" s="43"/>
      <c r="R16" s="7"/>
      <c r="S16" s="8"/>
      <c r="T16" s="8"/>
      <c r="U16" s="8"/>
      <c r="V16" s="8"/>
      <c r="W16" s="9"/>
    </row>
    <row r="17" hidden="1" outlineLevel="1">
      <c r="R17" s="45"/>
      <c r="S17" s="8"/>
      <c r="T17" s="8"/>
      <c r="U17" s="8"/>
      <c r="V17" s="8"/>
      <c r="W17" s="9"/>
    </row>
    <row r="18" ht="44.25" hidden="1" customHeight="1" outlineLevel="1">
      <c r="A18" s="43"/>
      <c r="B18" s="43"/>
      <c r="C18" s="43"/>
      <c r="D18" s="43"/>
      <c r="E18" s="43"/>
      <c r="G18" s="43"/>
      <c r="H18" s="43"/>
      <c r="K18" s="43"/>
      <c r="L18" s="43"/>
      <c r="M18" s="43"/>
      <c r="N18" s="43"/>
      <c r="O18" s="43"/>
      <c r="P18" s="43"/>
      <c r="Q18" s="43"/>
      <c r="R18" s="46"/>
      <c r="S18" s="47"/>
      <c r="T18" s="47"/>
      <c r="U18" s="47"/>
      <c r="V18" s="47"/>
      <c r="W18" s="9"/>
    </row>
    <row r="19" ht="30.75" customHeight="1" collapsed="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33</v>
      </c>
      <c r="U19" s="53" t="s">
        <v>34</v>
      </c>
      <c r="V19" s="54"/>
      <c r="W19" s="9"/>
    </row>
    <row r="20" ht="30.0" customHeight="1">
      <c r="A20" s="55" t="s">
        <v>35</v>
      </c>
      <c r="B20" s="56"/>
      <c r="C20" s="57"/>
      <c r="D20" s="58"/>
      <c r="E20" s="59"/>
      <c r="F20" s="60"/>
      <c r="G20" s="61"/>
      <c r="H20" s="61"/>
      <c r="I20" s="62"/>
      <c r="J20" s="63" t="s">
        <v>7</v>
      </c>
      <c r="K20" s="64">
        <f>SUMIFS(K22:K49,J22:J49,"Video Post")</f>
        <v>10</v>
      </c>
      <c r="L20" s="65"/>
      <c r="M20" s="66">
        <f t="shared" ref="M20:N20" si="3">sumif($I$22:$I$49,"TRUE",M22:M49)</f>
        <v>805000</v>
      </c>
      <c r="N20" s="66">
        <f t="shared" si="3"/>
        <v>31700</v>
      </c>
      <c r="O20" s="65"/>
      <c r="P20" s="65"/>
      <c r="Q20" s="66">
        <f>sum(Q22:Q49)</f>
        <v>205000000</v>
      </c>
      <c r="R20" s="67"/>
      <c r="S20" s="68"/>
      <c r="T20" s="68"/>
      <c r="U20" s="68"/>
      <c r="V20" s="69"/>
      <c r="W20" s="9"/>
    </row>
    <row r="21" ht="30.0" customHeight="1">
      <c r="A21" s="70"/>
      <c r="B21" s="71"/>
      <c r="C21" s="57"/>
      <c r="D21" s="58"/>
      <c r="E21" s="59"/>
      <c r="F21" s="60"/>
      <c r="G21" s="61"/>
      <c r="H21" s="61"/>
      <c r="I21" s="62"/>
      <c r="J21" s="63" t="s">
        <v>8</v>
      </c>
      <c r="K21" s="64">
        <f>SUMIFS(K22:K49,J22:J49,"Tháng")</f>
        <v>5</v>
      </c>
      <c r="L21" s="65"/>
      <c r="M21" s="72"/>
      <c r="N21" s="72"/>
      <c r="O21" s="65"/>
      <c r="P21" s="65"/>
      <c r="Q21" s="72"/>
      <c r="R21" s="67"/>
      <c r="S21" s="72"/>
      <c r="T21" s="72"/>
      <c r="U21" s="72"/>
      <c r="V21" s="69"/>
      <c r="W21" s="9"/>
    </row>
    <row r="22" ht="96.75" customHeight="1" outlineLevel="1">
      <c r="A22" s="73" t="s">
        <v>36</v>
      </c>
      <c r="B22" s="74" t="s">
        <v>37</v>
      </c>
      <c r="C22" s="75" t="s">
        <v>38</v>
      </c>
      <c r="D22" s="76" t="s">
        <v>39</v>
      </c>
      <c r="E22" s="77" t="s">
        <v>40</v>
      </c>
      <c r="F22" s="78" t="s">
        <v>21</v>
      </c>
      <c r="G22" s="79" t="s">
        <v>41</v>
      </c>
      <c r="H22" s="80" t="s">
        <v>1737</v>
      </c>
      <c r="I22" s="81" t="b">
        <v>1</v>
      </c>
      <c r="J22" s="82" t="s">
        <v>7</v>
      </c>
      <c r="K22" s="83">
        <f t="shared" ref="K22:K49" si="4">if(I22=True,1,if(I22=False,0))</f>
        <v>1</v>
      </c>
      <c r="L22" s="84">
        <v>1.6E7</v>
      </c>
      <c r="M22" s="84">
        <v>50000.0</v>
      </c>
      <c r="N22" s="84">
        <v>3000.0</v>
      </c>
      <c r="O22" s="84">
        <f t="shared" ref="O22:O32" si="5">IFERROR(Q22/M22,"-")</f>
        <v>320</v>
      </c>
      <c r="P22" s="84">
        <f t="shared" ref="P22:P32" si="6">IFERROR(Q22/N22,"-")</f>
        <v>5333.333333</v>
      </c>
      <c r="Q22" s="84">
        <f t="shared" ref="Q22:Q49" si="7">iferror(L22*K22,"-")</f>
        <v>16000000</v>
      </c>
      <c r="R22" s="75" t="s">
        <v>1738</v>
      </c>
      <c r="S22" s="85" t="s">
        <v>44</v>
      </c>
      <c r="T22" s="85"/>
      <c r="U22" s="86" t="s">
        <v>45</v>
      </c>
      <c r="V22" s="87"/>
      <c r="W22" s="9"/>
    </row>
    <row r="23" ht="96.75" customHeight="1" outlineLevel="1">
      <c r="A23" s="72"/>
      <c r="B23" s="72"/>
      <c r="C23" s="72"/>
      <c r="D23" s="72"/>
      <c r="E23" s="72"/>
      <c r="F23" s="72"/>
      <c r="G23" s="72"/>
      <c r="H23" s="88" t="s">
        <v>1739</v>
      </c>
      <c r="I23" s="81" t="b">
        <v>1</v>
      </c>
      <c r="J23" s="82" t="s">
        <v>47</v>
      </c>
      <c r="K23" s="83">
        <f t="shared" si="4"/>
        <v>1</v>
      </c>
      <c r="L23" s="84">
        <v>8000000.0</v>
      </c>
      <c r="M23" s="84">
        <v>0.0</v>
      </c>
      <c r="N23" s="84">
        <v>0.0</v>
      </c>
      <c r="O23" s="84" t="str">
        <f t="shared" si="5"/>
        <v>-</v>
      </c>
      <c r="P23" s="84" t="str">
        <f t="shared" si="6"/>
        <v>-</v>
      </c>
      <c r="Q23" s="84">
        <f t="shared" si="7"/>
        <v>8000000</v>
      </c>
      <c r="R23" s="72"/>
      <c r="S23" s="72"/>
      <c r="T23" s="72"/>
      <c r="U23" s="72"/>
      <c r="V23" s="87"/>
      <c r="W23" s="9"/>
    </row>
    <row r="24" ht="96.75" customHeight="1" outlineLevel="1">
      <c r="A24" s="73" t="s">
        <v>36</v>
      </c>
      <c r="B24" s="89" t="s">
        <v>48</v>
      </c>
      <c r="C24" s="75" t="s">
        <v>38</v>
      </c>
      <c r="D24" s="76" t="s">
        <v>49</v>
      </c>
      <c r="E24" s="77" t="s">
        <v>40</v>
      </c>
      <c r="F24" s="78" t="s">
        <v>21</v>
      </c>
      <c r="G24" s="79" t="s">
        <v>50</v>
      </c>
      <c r="H24" s="80" t="s">
        <v>1740</v>
      </c>
      <c r="I24" s="81" t="b">
        <v>1</v>
      </c>
      <c r="J24" s="82" t="s">
        <v>7</v>
      </c>
      <c r="K24" s="83">
        <f t="shared" si="4"/>
        <v>1</v>
      </c>
      <c r="L24" s="84">
        <v>1.2E7</v>
      </c>
      <c r="M24" s="84">
        <v>100000.0</v>
      </c>
      <c r="N24" s="84">
        <v>3000.0</v>
      </c>
      <c r="O24" s="84">
        <f t="shared" si="5"/>
        <v>120</v>
      </c>
      <c r="P24" s="84">
        <f t="shared" si="6"/>
        <v>4000</v>
      </c>
      <c r="Q24" s="84">
        <f t="shared" si="7"/>
        <v>12000000</v>
      </c>
      <c r="R24" s="75" t="s">
        <v>1741</v>
      </c>
      <c r="S24" s="85" t="s">
        <v>53</v>
      </c>
      <c r="T24" s="85"/>
      <c r="U24" s="86" t="s">
        <v>45</v>
      </c>
      <c r="V24" s="87"/>
      <c r="W24" s="9"/>
    </row>
    <row r="25" ht="96.75" customHeight="1" outlineLevel="1">
      <c r="A25" s="72"/>
      <c r="B25" s="72"/>
      <c r="C25" s="72"/>
      <c r="D25" s="72"/>
      <c r="E25" s="72"/>
      <c r="F25" s="72"/>
      <c r="G25" s="72"/>
      <c r="H25" s="88" t="s">
        <v>1742</v>
      </c>
      <c r="I25" s="81" t="b">
        <v>1</v>
      </c>
      <c r="J25" s="82" t="s">
        <v>47</v>
      </c>
      <c r="K25" s="83">
        <f t="shared" si="4"/>
        <v>1</v>
      </c>
      <c r="L25" s="90">
        <v>6000000.0</v>
      </c>
      <c r="M25" s="84">
        <v>0.0</v>
      </c>
      <c r="N25" s="84">
        <v>0.0</v>
      </c>
      <c r="O25" s="84" t="str">
        <f t="shared" si="5"/>
        <v>-</v>
      </c>
      <c r="P25" s="84" t="str">
        <f t="shared" si="6"/>
        <v>-</v>
      </c>
      <c r="Q25" s="84">
        <f t="shared" si="7"/>
        <v>6000000</v>
      </c>
      <c r="R25" s="72"/>
      <c r="S25" s="72"/>
      <c r="T25" s="72"/>
      <c r="U25" s="72"/>
      <c r="V25" s="9"/>
      <c r="W25" s="9"/>
    </row>
    <row r="26" ht="96.75" customHeight="1" outlineLevel="1">
      <c r="A26" s="73" t="s">
        <v>36</v>
      </c>
      <c r="B26" s="89" t="s">
        <v>55</v>
      </c>
      <c r="C26" s="75" t="s">
        <v>38</v>
      </c>
      <c r="D26" s="76" t="s">
        <v>56</v>
      </c>
      <c r="E26" s="77" t="s">
        <v>40</v>
      </c>
      <c r="F26" s="78" t="s">
        <v>21</v>
      </c>
      <c r="G26" s="79" t="s">
        <v>50</v>
      </c>
      <c r="H26" s="80" t="s">
        <v>1743</v>
      </c>
      <c r="I26" s="81" t="b">
        <v>1</v>
      </c>
      <c r="J26" s="82" t="s">
        <v>7</v>
      </c>
      <c r="K26" s="83">
        <f t="shared" si="4"/>
        <v>1</v>
      </c>
      <c r="L26" s="84">
        <v>2.0E7</v>
      </c>
      <c r="M26" s="84">
        <v>130000.0</v>
      </c>
      <c r="N26" s="84">
        <v>4000.0</v>
      </c>
      <c r="O26" s="84">
        <f t="shared" si="5"/>
        <v>153.8461538</v>
      </c>
      <c r="P26" s="84">
        <f t="shared" si="6"/>
        <v>5000</v>
      </c>
      <c r="Q26" s="84">
        <f t="shared" si="7"/>
        <v>20000000</v>
      </c>
      <c r="R26" s="75" t="s">
        <v>1744</v>
      </c>
      <c r="S26" s="85" t="s">
        <v>59</v>
      </c>
      <c r="T26" s="85"/>
      <c r="U26" s="86" t="s">
        <v>45</v>
      </c>
      <c r="V26" s="87"/>
      <c r="W26" s="9"/>
    </row>
    <row r="27" ht="96.75" customHeight="1" outlineLevel="1">
      <c r="A27" s="72"/>
      <c r="B27" s="72"/>
      <c r="C27" s="72"/>
      <c r="D27" s="72"/>
      <c r="E27" s="72"/>
      <c r="F27" s="72"/>
      <c r="G27" s="72"/>
      <c r="H27" s="88" t="s">
        <v>1745</v>
      </c>
      <c r="I27" s="81" t="b">
        <v>1</v>
      </c>
      <c r="J27" s="82" t="s">
        <v>47</v>
      </c>
      <c r="K27" s="83">
        <f t="shared" si="4"/>
        <v>1</v>
      </c>
      <c r="L27" s="84">
        <v>1.3E7</v>
      </c>
      <c r="M27" s="84">
        <v>0.0</v>
      </c>
      <c r="N27" s="84">
        <v>0.0</v>
      </c>
      <c r="O27" s="84" t="str">
        <f t="shared" si="5"/>
        <v>-</v>
      </c>
      <c r="P27" s="84" t="str">
        <f t="shared" si="6"/>
        <v>-</v>
      </c>
      <c r="Q27" s="84">
        <f t="shared" si="7"/>
        <v>13000000</v>
      </c>
      <c r="R27" s="72"/>
      <c r="S27" s="72"/>
      <c r="T27" s="72"/>
      <c r="U27" s="72"/>
      <c r="V27" s="9"/>
      <c r="W27" s="9"/>
    </row>
    <row r="28" ht="96.75" customHeight="1" outlineLevel="1">
      <c r="A28" s="73" t="s">
        <v>36</v>
      </c>
      <c r="B28" s="89" t="s">
        <v>61</v>
      </c>
      <c r="C28" s="75" t="s">
        <v>38</v>
      </c>
      <c r="D28" s="76" t="s">
        <v>62</v>
      </c>
      <c r="E28" s="77" t="s">
        <v>40</v>
      </c>
      <c r="F28" s="78" t="s">
        <v>21</v>
      </c>
      <c r="G28" s="79" t="s">
        <v>50</v>
      </c>
      <c r="H28" s="80" t="s">
        <v>1746</v>
      </c>
      <c r="I28" s="81" t="b">
        <v>1</v>
      </c>
      <c r="J28" s="82" t="s">
        <v>7</v>
      </c>
      <c r="K28" s="83">
        <f t="shared" si="4"/>
        <v>1</v>
      </c>
      <c r="L28" s="84">
        <v>8000000.0</v>
      </c>
      <c r="M28" s="84">
        <v>30000.0</v>
      </c>
      <c r="N28" s="84">
        <v>1200.0</v>
      </c>
      <c r="O28" s="84">
        <f t="shared" si="5"/>
        <v>266.6666667</v>
      </c>
      <c r="P28" s="84">
        <f t="shared" si="6"/>
        <v>6666.666667</v>
      </c>
      <c r="Q28" s="84">
        <f t="shared" si="7"/>
        <v>8000000</v>
      </c>
      <c r="R28" s="75" t="s">
        <v>1747</v>
      </c>
      <c r="S28" s="85" t="s">
        <v>65</v>
      </c>
      <c r="T28" s="85"/>
      <c r="U28" s="86" t="s">
        <v>45</v>
      </c>
      <c r="V28" s="87"/>
      <c r="W28" s="9"/>
    </row>
    <row r="29" ht="96.75" customHeight="1" outlineLevel="1">
      <c r="A29" s="72"/>
      <c r="B29" s="72"/>
      <c r="C29" s="72"/>
      <c r="D29" s="72"/>
      <c r="E29" s="72"/>
      <c r="F29" s="72"/>
      <c r="G29" s="72"/>
      <c r="H29" s="88" t="s">
        <v>1748</v>
      </c>
      <c r="I29" s="81" t="b">
        <v>1</v>
      </c>
      <c r="J29" s="82" t="s">
        <v>47</v>
      </c>
      <c r="K29" s="83">
        <f t="shared" si="4"/>
        <v>1</v>
      </c>
      <c r="L29" s="90">
        <v>4000000.0</v>
      </c>
      <c r="M29" s="84">
        <v>0.0</v>
      </c>
      <c r="N29" s="84">
        <v>0.0</v>
      </c>
      <c r="O29" s="84" t="str">
        <f t="shared" si="5"/>
        <v>-</v>
      </c>
      <c r="P29" s="84" t="str">
        <f t="shared" si="6"/>
        <v>-</v>
      </c>
      <c r="Q29" s="84">
        <f t="shared" si="7"/>
        <v>4000000</v>
      </c>
      <c r="R29" s="72"/>
      <c r="S29" s="72"/>
      <c r="T29" s="72"/>
      <c r="U29" s="72"/>
      <c r="V29" s="9"/>
      <c r="W29" s="9"/>
    </row>
    <row r="30" ht="96.75" customHeight="1" outlineLevel="1">
      <c r="A30" s="73" t="s">
        <v>36</v>
      </c>
      <c r="B30" s="89" t="s">
        <v>67</v>
      </c>
      <c r="C30" s="75" t="s">
        <v>38</v>
      </c>
      <c r="D30" s="76" t="s">
        <v>68</v>
      </c>
      <c r="E30" s="77" t="s">
        <v>40</v>
      </c>
      <c r="F30" s="78" t="s">
        <v>21</v>
      </c>
      <c r="G30" s="79" t="s">
        <v>50</v>
      </c>
      <c r="H30" s="80" t="s">
        <v>1749</v>
      </c>
      <c r="I30" s="81" t="b">
        <v>1</v>
      </c>
      <c r="J30" s="82" t="s">
        <v>7</v>
      </c>
      <c r="K30" s="83">
        <f t="shared" si="4"/>
        <v>1</v>
      </c>
      <c r="L30" s="84">
        <v>1.0E7</v>
      </c>
      <c r="M30" s="84">
        <v>50000.0</v>
      </c>
      <c r="N30" s="84">
        <v>3000.0</v>
      </c>
      <c r="O30" s="84">
        <f t="shared" si="5"/>
        <v>200</v>
      </c>
      <c r="P30" s="84">
        <f t="shared" si="6"/>
        <v>3333.333333</v>
      </c>
      <c r="Q30" s="84">
        <f t="shared" si="7"/>
        <v>10000000</v>
      </c>
      <c r="R30" s="75" t="s">
        <v>1750</v>
      </c>
      <c r="S30" s="85" t="s">
        <v>71</v>
      </c>
      <c r="T30" s="85"/>
      <c r="U30" s="86" t="s">
        <v>45</v>
      </c>
      <c r="V30" s="87"/>
      <c r="W30" s="9"/>
    </row>
    <row r="31" ht="96.75" customHeight="1" outlineLevel="1">
      <c r="A31" s="72"/>
      <c r="B31" s="72"/>
      <c r="C31" s="72"/>
      <c r="D31" s="72"/>
      <c r="E31" s="72"/>
      <c r="F31" s="72"/>
      <c r="G31" s="72"/>
      <c r="H31" s="88" t="s">
        <v>1751</v>
      </c>
      <c r="I31" s="81" t="b">
        <v>1</v>
      </c>
      <c r="J31" s="82" t="s">
        <v>47</v>
      </c>
      <c r="K31" s="83">
        <f t="shared" si="4"/>
        <v>1</v>
      </c>
      <c r="L31" s="90">
        <v>5000000.0</v>
      </c>
      <c r="M31" s="84">
        <v>0.0</v>
      </c>
      <c r="N31" s="84">
        <v>0.0</v>
      </c>
      <c r="O31" s="84" t="str">
        <f t="shared" si="5"/>
        <v>-</v>
      </c>
      <c r="P31" s="84" t="str">
        <f t="shared" si="6"/>
        <v>-</v>
      </c>
      <c r="Q31" s="84">
        <f t="shared" si="7"/>
        <v>5000000</v>
      </c>
      <c r="R31" s="72"/>
      <c r="S31" s="72"/>
      <c r="T31" s="72"/>
      <c r="U31" s="72"/>
      <c r="V31" s="9"/>
      <c r="W31" s="9"/>
    </row>
    <row r="32" ht="96.75" customHeight="1" outlineLevel="1">
      <c r="A32" s="73" t="s">
        <v>73</v>
      </c>
      <c r="B32" s="91" t="s">
        <v>74</v>
      </c>
      <c r="C32" s="75" t="s">
        <v>38</v>
      </c>
      <c r="D32" s="76" t="s">
        <v>75</v>
      </c>
      <c r="E32" s="77" t="s">
        <v>40</v>
      </c>
      <c r="F32" s="78" t="s">
        <v>21</v>
      </c>
      <c r="G32" s="79" t="s">
        <v>50</v>
      </c>
      <c r="H32" s="80" t="s">
        <v>1752</v>
      </c>
      <c r="I32" s="81" t="b">
        <v>1</v>
      </c>
      <c r="J32" s="82" t="s">
        <v>7</v>
      </c>
      <c r="K32" s="83">
        <f t="shared" si="4"/>
        <v>1</v>
      </c>
      <c r="L32" s="84">
        <v>3.0E7</v>
      </c>
      <c r="M32" s="84">
        <v>120000.0</v>
      </c>
      <c r="N32" s="84">
        <v>4500.0</v>
      </c>
      <c r="O32" s="84">
        <f t="shared" si="5"/>
        <v>250</v>
      </c>
      <c r="P32" s="84">
        <f t="shared" si="6"/>
        <v>6666.666667</v>
      </c>
      <c r="Q32" s="84">
        <f t="shared" si="7"/>
        <v>30000000</v>
      </c>
      <c r="R32" s="75" t="s">
        <v>1753</v>
      </c>
      <c r="S32" s="92" t="s">
        <v>78</v>
      </c>
      <c r="T32" s="93" t="s">
        <v>79</v>
      </c>
      <c r="U32" s="153" t="s">
        <v>222</v>
      </c>
      <c r="V32" s="9"/>
      <c r="W32" s="9"/>
    </row>
    <row r="33" ht="96.75" customHeight="1" outlineLevel="1">
      <c r="A33" s="72"/>
      <c r="B33" s="72"/>
      <c r="C33" s="72"/>
      <c r="D33" s="72"/>
      <c r="E33" s="72"/>
      <c r="F33" s="72"/>
      <c r="G33" s="72"/>
      <c r="H33" s="88" t="s">
        <v>1754</v>
      </c>
      <c r="I33" s="81" t="b">
        <v>0</v>
      </c>
      <c r="J33" s="82" t="s">
        <v>47</v>
      </c>
      <c r="K33" s="83">
        <f t="shared" si="4"/>
        <v>0</v>
      </c>
      <c r="L33" s="84">
        <v>1.7E7</v>
      </c>
      <c r="M33" s="84">
        <v>0.0</v>
      </c>
      <c r="N33" s="84">
        <v>0.0</v>
      </c>
      <c r="O33" s="84" t="s">
        <v>81</v>
      </c>
      <c r="P33" s="84" t="s">
        <v>81</v>
      </c>
      <c r="Q33" s="84">
        <f t="shared" si="7"/>
        <v>0</v>
      </c>
      <c r="R33" s="72"/>
      <c r="S33" s="72"/>
      <c r="T33" s="72"/>
      <c r="U33" s="72"/>
      <c r="V33" s="9"/>
      <c r="W33" s="9"/>
    </row>
    <row r="34" ht="96.75" customHeight="1" outlineLevel="1">
      <c r="A34" s="73" t="s">
        <v>73</v>
      </c>
      <c r="B34" s="95" t="s">
        <v>82</v>
      </c>
      <c r="C34" s="75" t="s">
        <v>38</v>
      </c>
      <c r="D34" s="76" t="s">
        <v>83</v>
      </c>
      <c r="E34" s="77" t="s">
        <v>40</v>
      </c>
      <c r="F34" s="78" t="s">
        <v>21</v>
      </c>
      <c r="G34" s="79" t="s">
        <v>50</v>
      </c>
      <c r="H34" s="80" t="s">
        <v>1755</v>
      </c>
      <c r="I34" s="81" t="b">
        <v>1</v>
      </c>
      <c r="J34" s="82" t="s">
        <v>7</v>
      </c>
      <c r="K34" s="83">
        <f t="shared" si="4"/>
        <v>1</v>
      </c>
      <c r="L34" s="84">
        <v>2.2E7</v>
      </c>
      <c r="M34" s="84">
        <v>100000.0</v>
      </c>
      <c r="N34" s="84">
        <v>3500.0</v>
      </c>
      <c r="O34" s="84">
        <f t="shared" ref="O34:O49" si="8">IFERROR(Q34/M34,"-")</f>
        <v>220</v>
      </c>
      <c r="P34" s="84">
        <f t="shared" ref="P34:P49" si="9">IFERROR(Q34/N34,"-")</f>
        <v>6285.714286</v>
      </c>
      <c r="Q34" s="84">
        <f t="shared" si="7"/>
        <v>22000000</v>
      </c>
      <c r="R34" s="75" t="s">
        <v>1756</v>
      </c>
      <c r="S34" s="85" t="s">
        <v>86</v>
      </c>
      <c r="T34" s="93" t="s">
        <v>79</v>
      </c>
      <c r="U34" s="153" t="s">
        <v>222</v>
      </c>
      <c r="V34" s="87"/>
      <c r="W34" s="9"/>
    </row>
    <row r="35" ht="96.75" customHeight="1" outlineLevel="1">
      <c r="A35" s="72"/>
      <c r="B35" s="72"/>
      <c r="C35" s="72"/>
      <c r="D35" s="72"/>
      <c r="E35" s="72"/>
      <c r="F35" s="72"/>
      <c r="G35" s="72"/>
      <c r="H35" s="88" t="s">
        <v>1757</v>
      </c>
      <c r="I35" s="81" t="b">
        <v>0</v>
      </c>
      <c r="J35" s="82" t="s">
        <v>47</v>
      </c>
      <c r="K35" s="83">
        <f t="shared" si="4"/>
        <v>0</v>
      </c>
      <c r="L35" s="84">
        <v>1.3E7</v>
      </c>
      <c r="M35" s="84">
        <v>0.0</v>
      </c>
      <c r="N35" s="84">
        <v>0.0</v>
      </c>
      <c r="O35" s="84" t="str">
        <f t="shared" si="8"/>
        <v>-</v>
      </c>
      <c r="P35" s="84" t="str">
        <f t="shared" si="9"/>
        <v>-</v>
      </c>
      <c r="Q35" s="84">
        <f t="shared" si="7"/>
        <v>0</v>
      </c>
      <c r="R35" s="72"/>
      <c r="S35" s="72"/>
      <c r="T35" s="72"/>
      <c r="U35" s="72"/>
      <c r="V35" s="9"/>
      <c r="W35" s="9"/>
    </row>
    <row r="36" ht="96.75" customHeight="1" outlineLevel="1">
      <c r="A36" s="73" t="s">
        <v>73</v>
      </c>
      <c r="B36" s="91" t="s">
        <v>89</v>
      </c>
      <c r="C36" s="75" t="s">
        <v>38</v>
      </c>
      <c r="D36" s="76" t="s">
        <v>90</v>
      </c>
      <c r="E36" s="77" t="s">
        <v>40</v>
      </c>
      <c r="F36" s="78" t="s">
        <v>21</v>
      </c>
      <c r="G36" s="79" t="s">
        <v>50</v>
      </c>
      <c r="H36" s="80" t="s">
        <v>1758</v>
      </c>
      <c r="I36" s="81" t="b">
        <v>1</v>
      </c>
      <c r="J36" s="82" t="s">
        <v>7</v>
      </c>
      <c r="K36" s="83">
        <f t="shared" si="4"/>
        <v>1</v>
      </c>
      <c r="L36" s="84">
        <v>1.7E7</v>
      </c>
      <c r="M36" s="84">
        <v>100000.0</v>
      </c>
      <c r="N36" s="84">
        <v>4000.0</v>
      </c>
      <c r="O36" s="84">
        <f t="shared" si="8"/>
        <v>170</v>
      </c>
      <c r="P36" s="84">
        <f t="shared" si="9"/>
        <v>4250</v>
      </c>
      <c r="Q36" s="84">
        <f t="shared" si="7"/>
        <v>17000000</v>
      </c>
      <c r="R36" s="75" t="s">
        <v>1759</v>
      </c>
      <c r="S36" s="85" t="s">
        <v>93</v>
      </c>
      <c r="T36" s="93" t="s">
        <v>79</v>
      </c>
      <c r="U36" s="153" t="s">
        <v>222</v>
      </c>
      <c r="V36" s="9"/>
      <c r="W36" s="9"/>
    </row>
    <row r="37" ht="96.75" customHeight="1" outlineLevel="1">
      <c r="A37" s="72"/>
      <c r="B37" s="72"/>
      <c r="C37" s="72"/>
      <c r="D37" s="72"/>
      <c r="E37" s="72"/>
      <c r="F37" s="72"/>
      <c r="G37" s="72"/>
      <c r="H37" s="88" t="s">
        <v>1760</v>
      </c>
      <c r="I37" s="81" t="b">
        <v>0</v>
      </c>
      <c r="J37" s="82" t="s">
        <v>47</v>
      </c>
      <c r="K37" s="83">
        <f t="shared" si="4"/>
        <v>0</v>
      </c>
      <c r="L37" s="84">
        <v>7000000.0</v>
      </c>
      <c r="M37" s="84">
        <v>0.0</v>
      </c>
      <c r="N37" s="84">
        <v>0.0</v>
      </c>
      <c r="O37" s="84" t="str">
        <f t="shared" si="8"/>
        <v>-</v>
      </c>
      <c r="P37" s="84" t="str">
        <f t="shared" si="9"/>
        <v>-</v>
      </c>
      <c r="Q37" s="84">
        <f t="shared" si="7"/>
        <v>0</v>
      </c>
      <c r="R37" s="72"/>
      <c r="S37" s="72"/>
      <c r="T37" s="72"/>
      <c r="U37" s="72"/>
      <c r="V37" s="9"/>
      <c r="W37" s="9"/>
    </row>
    <row r="38" ht="96.75" customHeight="1" outlineLevel="1">
      <c r="A38" s="73" t="s">
        <v>73</v>
      </c>
      <c r="B38" s="96" t="s">
        <v>95</v>
      </c>
      <c r="C38" s="75" t="s">
        <v>38</v>
      </c>
      <c r="D38" s="76" t="s">
        <v>96</v>
      </c>
      <c r="E38" s="77" t="s">
        <v>40</v>
      </c>
      <c r="F38" s="78" t="s">
        <v>21</v>
      </c>
      <c r="G38" s="79" t="s">
        <v>50</v>
      </c>
      <c r="H38" s="80" t="s">
        <v>1761</v>
      </c>
      <c r="I38" s="97" t="b">
        <v>0</v>
      </c>
      <c r="J38" s="82" t="s">
        <v>7</v>
      </c>
      <c r="K38" s="83">
        <f t="shared" si="4"/>
        <v>0</v>
      </c>
      <c r="L38" s="84">
        <v>1.7E7</v>
      </c>
      <c r="M38" s="84">
        <v>60000.0</v>
      </c>
      <c r="N38" s="84">
        <v>2500.0</v>
      </c>
      <c r="O38" s="84">
        <f t="shared" si="8"/>
        <v>0</v>
      </c>
      <c r="P38" s="84">
        <f t="shared" si="9"/>
        <v>0</v>
      </c>
      <c r="Q38" s="84">
        <f t="shared" si="7"/>
        <v>0</v>
      </c>
      <c r="R38" s="75" t="s">
        <v>1762</v>
      </c>
      <c r="S38" s="85" t="s">
        <v>99</v>
      </c>
      <c r="T38" s="93" t="s">
        <v>79</v>
      </c>
      <c r="U38" s="153" t="s">
        <v>222</v>
      </c>
      <c r="V38" s="9"/>
      <c r="W38" s="9"/>
    </row>
    <row r="39" ht="96.75" customHeight="1" outlineLevel="1">
      <c r="A39" s="72"/>
      <c r="B39" s="72"/>
      <c r="C39" s="72"/>
      <c r="D39" s="72"/>
      <c r="E39" s="72"/>
      <c r="F39" s="72"/>
      <c r="G39" s="72"/>
      <c r="H39" s="88" t="s">
        <v>1763</v>
      </c>
      <c r="I39" s="97" t="b">
        <v>0</v>
      </c>
      <c r="J39" s="98" t="s">
        <v>47</v>
      </c>
      <c r="K39" s="99">
        <f t="shared" si="4"/>
        <v>0</v>
      </c>
      <c r="L39" s="84">
        <v>1.0E7</v>
      </c>
      <c r="M39" s="100">
        <v>0.0</v>
      </c>
      <c r="N39" s="100">
        <v>0.0</v>
      </c>
      <c r="O39" s="100" t="str">
        <f t="shared" si="8"/>
        <v>-</v>
      </c>
      <c r="P39" s="100" t="str">
        <f t="shared" si="9"/>
        <v>-</v>
      </c>
      <c r="Q39" s="84">
        <f t="shared" si="7"/>
        <v>0</v>
      </c>
      <c r="R39" s="72"/>
      <c r="S39" s="72"/>
      <c r="T39" s="72"/>
      <c r="U39" s="72"/>
      <c r="V39" s="9"/>
      <c r="W39" s="9"/>
    </row>
    <row r="40" ht="96.75" customHeight="1" outlineLevel="1">
      <c r="A40" s="73" t="s">
        <v>109</v>
      </c>
      <c r="B40" s="116" t="s">
        <v>1172</v>
      </c>
      <c r="C40" s="75" t="s">
        <v>38</v>
      </c>
      <c r="D40" s="79" t="s">
        <v>1173</v>
      </c>
      <c r="E40" s="77" t="s">
        <v>40</v>
      </c>
      <c r="F40" s="117" t="s">
        <v>1174</v>
      </c>
      <c r="G40" s="79" t="s">
        <v>105</v>
      </c>
      <c r="H40" s="80" t="s">
        <v>1764</v>
      </c>
      <c r="I40" s="97" t="b">
        <v>1</v>
      </c>
      <c r="J40" s="82" t="s">
        <v>7</v>
      </c>
      <c r="K40" s="99">
        <f t="shared" si="4"/>
        <v>1</v>
      </c>
      <c r="L40" s="84">
        <v>1.5E7</v>
      </c>
      <c r="M40" s="100">
        <v>60000.0</v>
      </c>
      <c r="N40" s="100">
        <v>2500.0</v>
      </c>
      <c r="O40" s="100">
        <f t="shared" si="8"/>
        <v>250</v>
      </c>
      <c r="P40" s="100">
        <f t="shared" si="9"/>
        <v>6000</v>
      </c>
      <c r="Q40" s="84">
        <f t="shared" si="7"/>
        <v>15000000</v>
      </c>
      <c r="R40" s="75" t="s">
        <v>1765</v>
      </c>
      <c r="S40" s="85"/>
      <c r="T40" s="85"/>
      <c r="U40" s="94" t="s">
        <v>122</v>
      </c>
      <c r="V40" s="9"/>
      <c r="W40" s="9"/>
    </row>
    <row r="41" ht="96.75" customHeight="1" outlineLevel="1">
      <c r="A41" s="72"/>
      <c r="B41" s="72"/>
      <c r="C41" s="72"/>
      <c r="D41" s="72"/>
      <c r="E41" s="72"/>
      <c r="F41" s="72"/>
      <c r="G41" s="72"/>
      <c r="H41" s="88" t="s">
        <v>1766</v>
      </c>
      <c r="I41" s="97" t="b">
        <v>0</v>
      </c>
      <c r="J41" s="98" t="s">
        <v>47</v>
      </c>
      <c r="K41" s="99">
        <f t="shared" si="4"/>
        <v>0</v>
      </c>
      <c r="L41" s="84">
        <v>4000000.0</v>
      </c>
      <c r="M41" s="100">
        <v>0.0</v>
      </c>
      <c r="N41" s="100">
        <v>0.0</v>
      </c>
      <c r="O41" s="100" t="str">
        <f t="shared" si="8"/>
        <v>-</v>
      </c>
      <c r="P41" s="100" t="str">
        <f t="shared" si="9"/>
        <v>-</v>
      </c>
      <c r="Q41" s="84">
        <f t="shared" si="7"/>
        <v>0</v>
      </c>
      <c r="R41" s="72"/>
      <c r="S41" s="72"/>
      <c r="T41" s="72"/>
      <c r="U41" s="72"/>
      <c r="V41" s="9"/>
      <c r="W41" s="9"/>
    </row>
    <row r="42" ht="96.75" customHeight="1" outlineLevel="1">
      <c r="A42" s="73" t="s">
        <v>109</v>
      </c>
      <c r="B42" s="116" t="s">
        <v>110</v>
      </c>
      <c r="C42" s="75" t="s">
        <v>38</v>
      </c>
      <c r="D42" s="79" t="s">
        <v>111</v>
      </c>
      <c r="E42" s="77" t="s">
        <v>40</v>
      </c>
      <c r="F42" s="117" t="s">
        <v>112</v>
      </c>
      <c r="G42" s="79" t="s">
        <v>105</v>
      </c>
      <c r="H42" s="80" t="s">
        <v>1767</v>
      </c>
      <c r="I42" s="97" t="b">
        <v>1</v>
      </c>
      <c r="J42" s="82" t="s">
        <v>7</v>
      </c>
      <c r="K42" s="99">
        <f t="shared" si="4"/>
        <v>1</v>
      </c>
      <c r="L42" s="84">
        <v>1.9E7</v>
      </c>
      <c r="M42" s="100">
        <v>65000.0</v>
      </c>
      <c r="N42" s="100">
        <v>3000.0</v>
      </c>
      <c r="O42" s="100">
        <f t="shared" si="8"/>
        <v>292.3076923</v>
      </c>
      <c r="P42" s="100">
        <f t="shared" si="9"/>
        <v>6333.333333</v>
      </c>
      <c r="Q42" s="84">
        <f t="shared" si="7"/>
        <v>19000000</v>
      </c>
      <c r="R42" s="75" t="s">
        <v>1768</v>
      </c>
      <c r="S42" s="85"/>
      <c r="T42" s="85"/>
      <c r="U42" s="94" t="s">
        <v>122</v>
      </c>
      <c r="V42" s="9"/>
      <c r="W42" s="9"/>
    </row>
    <row r="43" ht="96.75" customHeight="1" outlineLevel="1">
      <c r="A43" s="72"/>
      <c r="B43" s="72"/>
      <c r="C43" s="72"/>
      <c r="D43" s="72"/>
      <c r="E43" s="72"/>
      <c r="F43" s="72"/>
      <c r="G43" s="72"/>
      <c r="H43" s="88" t="s">
        <v>1769</v>
      </c>
      <c r="I43" s="97" t="b">
        <v>0</v>
      </c>
      <c r="J43" s="98" t="s">
        <v>47</v>
      </c>
      <c r="K43" s="99">
        <f t="shared" si="4"/>
        <v>0</v>
      </c>
      <c r="L43" s="84">
        <v>6000000.0</v>
      </c>
      <c r="M43" s="100">
        <v>0.0</v>
      </c>
      <c r="N43" s="100">
        <v>0.0</v>
      </c>
      <c r="O43" s="100" t="str">
        <f t="shared" si="8"/>
        <v>-</v>
      </c>
      <c r="P43" s="100" t="str">
        <f t="shared" si="9"/>
        <v>-</v>
      </c>
      <c r="Q43" s="84">
        <f t="shared" si="7"/>
        <v>0</v>
      </c>
      <c r="R43" s="72"/>
      <c r="S43" s="72"/>
      <c r="T43" s="72"/>
      <c r="U43" s="72"/>
      <c r="V43" s="9"/>
      <c r="W43" s="9"/>
    </row>
    <row r="44" ht="59.25" customHeight="1" outlineLevel="1">
      <c r="A44" s="118" t="s">
        <v>109</v>
      </c>
      <c r="B44" s="119" t="s">
        <v>116</v>
      </c>
      <c r="C44" s="120" t="s">
        <v>38</v>
      </c>
      <c r="D44" s="121" t="s">
        <v>117</v>
      </c>
      <c r="E44" s="122" t="s">
        <v>118</v>
      </c>
      <c r="F44" s="123" t="s">
        <v>119</v>
      </c>
      <c r="G44" s="121" t="s">
        <v>105</v>
      </c>
      <c r="H44" s="124" t="s">
        <v>1770</v>
      </c>
      <c r="I44" s="125" t="b">
        <v>0</v>
      </c>
      <c r="J44" s="126" t="s">
        <v>7</v>
      </c>
      <c r="K44" s="127">
        <f t="shared" si="4"/>
        <v>0</v>
      </c>
      <c r="L44" s="128">
        <v>0.0</v>
      </c>
      <c r="M44" s="128">
        <v>0.0</v>
      </c>
      <c r="N44" s="128">
        <v>0.0</v>
      </c>
      <c r="O44" s="128" t="str">
        <f t="shared" si="8"/>
        <v>-</v>
      </c>
      <c r="P44" s="128" t="str">
        <f t="shared" si="9"/>
        <v>-</v>
      </c>
      <c r="Q44" s="128">
        <f t="shared" si="7"/>
        <v>0</v>
      </c>
      <c r="R44" s="120"/>
      <c r="S44" s="129" t="s">
        <v>121</v>
      </c>
      <c r="T44" s="130"/>
      <c r="U44" s="122" t="s">
        <v>122</v>
      </c>
      <c r="V44" s="131"/>
      <c r="W44" s="131"/>
    </row>
    <row r="45" ht="59.25" customHeight="1" outlineLevel="1">
      <c r="A45" s="72"/>
      <c r="B45" s="72"/>
      <c r="C45" s="72"/>
      <c r="D45" s="72"/>
      <c r="E45" s="72"/>
      <c r="F45" s="72"/>
      <c r="G45" s="72"/>
      <c r="H45" s="132" t="s">
        <v>1771</v>
      </c>
      <c r="I45" s="125" t="b">
        <v>0</v>
      </c>
      <c r="J45" s="126" t="s">
        <v>47</v>
      </c>
      <c r="K45" s="127">
        <f t="shared" si="4"/>
        <v>0</v>
      </c>
      <c r="L45" s="128">
        <v>0.0</v>
      </c>
      <c r="M45" s="128">
        <v>0.0</v>
      </c>
      <c r="N45" s="128">
        <v>0.0</v>
      </c>
      <c r="O45" s="128" t="str">
        <f t="shared" si="8"/>
        <v>-</v>
      </c>
      <c r="P45" s="128" t="str">
        <f t="shared" si="9"/>
        <v>-</v>
      </c>
      <c r="Q45" s="128">
        <f t="shared" si="7"/>
        <v>0</v>
      </c>
      <c r="R45" s="72"/>
      <c r="S45" s="72"/>
      <c r="T45" s="72"/>
      <c r="U45" s="72"/>
      <c r="V45" s="131"/>
      <c r="W45" s="131"/>
    </row>
    <row r="46" ht="59.25" customHeight="1" outlineLevel="1">
      <c r="A46" s="118" t="s">
        <v>109</v>
      </c>
      <c r="B46" s="119" t="s">
        <v>124</v>
      </c>
      <c r="C46" s="120" t="s">
        <v>38</v>
      </c>
      <c r="D46" s="121" t="s">
        <v>125</v>
      </c>
      <c r="E46" s="122" t="s">
        <v>40</v>
      </c>
      <c r="F46" s="123" t="s">
        <v>126</v>
      </c>
      <c r="G46" s="121" t="s">
        <v>50</v>
      </c>
      <c r="H46" s="124" t="s">
        <v>1772</v>
      </c>
      <c r="I46" s="125" t="b">
        <v>0</v>
      </c>
      <c r="J46" s="126" t="s">
        <v>7</v>
      </c>
      <c r="K46" s="127">
        <f t="shared" si="4"/>
        <v>0</v>
      </c>
      <c r="L46" s="128">
        <v>0.0</v>
      </c>
      <c r="M46" s="128">
        <v>0.0</v>
      </c>
      <c r="N46" s="128">
        <v>0.0</v>
      </c>
      <c r="O46" s="128" t="str">
        <f t="shared" si="8"/>
        <v>-</v>
      </c>
      <c r="P46" s="128" t="str">
        <f t="shared" si="9"/>
        <v>-</v>
      </c>
      <c r="Q46" s="128">
        <f t="shared" si="7"/>
        <v>0</v>
      </c>
      <c r="R46" s="120"/>
      <c r="S46" s="129" t="s">
        <v>121</v>
      </c>
      <c r="T46" s="130"/>
      <c r="U46" s="122" t="s">
        <v>122</v>
      </c>
      <c r="V46" s="131"/>
      <c r="W46" s="131"/>
    </row>
    <row r="47" ht="59.25" customHeight="1" outlineLevel="1">
      <c r="A47" s="72"/>
      <c r="B47" s="72"/>
      <c r="C47" s="72"/>
      <c r="D47" s="72"/>
      <c r="E47" s="72"/>
      <c r="F47" s="72"/>
      <c r="G47" s="72"/>
      <c r="H47" s="132" t="s">
        <v>1773</v>
      </c>
      <c r="I47" s="125" t="b">
        <v>0</v>
      </c>
      <c r="J47" s="126" t="s">
        <v>47</v>
      </c>
      <c r="K47" s="127">
        <f t="shared" si="4"/>
        <v>0</v>
      </c>
      <c r="L47" s="128">
        <v>0.0</v>
      </c>
      <c r="M47" s="128">
        <v>0.0</v>
      </c>
      <c r="N47" s="128">
        <v>0.0</v>
      </c>
      <c r="O47" s="128" t="str">
        <f t="shared" si="8"/>
        <v>-</v>
      </c>
      <c r="P47" s="128" t="str">
        <f t="shared" si="9"/>
        <v>-</v>
      </c>
      <c r="Q47" s="128">
        <f t="shared" si="7"/>
        <v>0</v>
      </c>
      <c r="R47" s="72"/>
      <c r="S47" s="72"/>
      <c r="T47" s="72"/>
      <c r="U47" s="72"/>
      <c r="V47" s="131"/>
      <c r="W47" s="131"/>
    </row>
    <row r="48" ht="59.25" customHeight="1" outlineLevel="1">
      <c r="A48" s="118" t="s">
        <v>109</v>
      </c>
      <c r="B48" s="119" t="s">
        <v>129</v>
      </c>
      <c r="C48" s="120" t="s">
        <v>38</v>
      </c>
      <c r="D48" s="121" t="s">
        <v>130</v>
      </c>
      <c r="E48" s="122" t="s">
        <v>40</v>
      </c>
      <c r="F48" s="123" t="s">
        <v>131</v>
      </c>
      <c r="G48" s="121" t="s">
        <v>105</v>
      </c>
      <c r="H48" s="124" t="s">
        <v>1774</v>
      </c>
      <c r="I48" s="125" t="b">
        <v>0</v>
      </c>
      <c r="J48" s="126" t="s">
        <v>7</v>
      </c>
      <c r="K48" s="127">
        <f t="shared" si="4"/>
        <v>0</v>
      </c>
      <c r="L48" s="128">
        <v>0.0</v>
      </c>
      <c r="M48" s="128">
        <v>0.0</v>
      </c>
      <c r="N48" s="128">
        <v>0.0</v>
      </c>
      <c r="O48" s="128" t="str">
        <f t="shared" si="8"/>
        <v>-</v>
      </c>
      <c r="P48" s="128" t="str">
        <f t="shared" si="9"/>
        <v>-</v>
      </c>
      <c r="Q48" s="128">
        <f t="shared" si="7"/>
        <v>0</v>
      </c>
      <c r="R48" s="120"/>
      <c r="S48" s="129" t="s">
        <v>121</v>
      </c>
      <c r="T48" s="130"/>
      <c r="U48" s="122" t="s">
        <v>122</v>
      </c>
      <c r="V48" s="131"/>
      <c r="W48" s="131"/>
    </row>
    <row r="49" ht="59.25" customHeight="1" outlineLevel="1">
      <c r="A49" s="72"/>
      <c r="B49" s="72"/>
      <c r="C49" s="72"/>
      <c r="D49" s="72"/>
      <c r="E49" s="72"/>
      <c r="F49" s="72"/>
      <c r="G49" s="72"/>
      <c r="H49" s="132" t="s">
        <v>1775</v>
      </c>
      <c r="I49" s="125" t="b">
        <v>0</v>
      </c>
      <c r="J49" s="126" t="s">
        <v>47</v>
      </c>
      <c r="K49" s="127">
        <f t="shared" si="4"/>
        <v>0</v>
      </c>
      <c r="L49" s="128">
        <v>0.0</v>
      </c>
      <c r="M49" s="128">
        <v>0.0</v>
      </c>
      <c r="N49" s="128">
        <v>0.0</v>
      </c>
      <c r="O49" s="128" t="str">
        <f t="shared" si="8"/>
        <v>-</v>
      </c>
      <c r="P49" s="128" t="str">
        <f t="shared" si="9"/>
        <v>-</v>
      </c>
      <c r="Q49" s="128">
        <f t="shared" si="7"/>
        <v>0</v>
      </c>
      <c r="R49" s="72"/>
      <c r="S49" s="72"/>
      <c r="T49" s="72"/>
      <c r="U49" s="72"/>
      <c r="V49" s="131"/>
      <c r="W49" s="131"/>
    </row>
    <row r="50" ht="30.0" customHeight="1">
      <c r="A50" s="55" t="s">
        <v>134</v>
      </c>
      <c r="B50" s="56"/>
      <c r="C50" s="57"/>
      <c r="D50" s="58"/>
      <c r="E50" s="59"/>
      <c r="F50" s="59"/>
      <c r="G50" s="61"/>
      <c r="H50" s="61"/>
      <c r="I50" s="62"/>
      <c r="J50" s="63" t="s">
        <v>7</v>
      </c>
      <c r="K50" s="64">
        <f>SUMIFS(K53:K113,J53:J113,"Video Post")</f>
        <v>19</v>
      </c>
      <c r="L50" s="65"/>
      <c r="M50" s="66">
        <f t="shared" ref="M50:N50" si="10">sumif($I$53:$I$113,"TRUE",M53:M113)</f>
        <v>526500</v>
      </c>
      <c r="N50" s="66">
        <f t="shared" si="10"/>
        <v>31000</v>
      </c>
      <c r="O50" s="65"/>
      <c r="P50" s="65"/>
      <c r="Q50" s="66">
        <f>sum(Q53:Q113)</f>
        <v>159000000</v>
      </c>
      <c r="R50" s="133"/>
      <c r="S50" s="133"/>
      <c r="T50" s="133"/>
      <c r="U50" s="133"/>
      <c r="V50" s="69"/>
      <c r="W50" s="9"/>
    </row>
    <row r="51" ht="30.0" customHeight="1">
      <c r="A51" s="70"/>
      <c r="B51" s="71"/>
      <c r="C51" s="57"/>
      <c r="D51" s="58"/>
      <c r="E51" s="59"/>
      <c r="F51" s="60"/>
      <c r="G51" s="61"/>
      <c r="H51" s="61"/>
      <c r="I51" s="62"/>
      <c r="J51" s="63" t="s">
        <v>8</v>
      </c>
      <c r="K51" s="64">
        <f>SUMIFS(K53:K113,J53:J113,"Tháng")</f>
        <v>19</v>
      </c>
      <c r="L51" s="65"/>
      <c r="M51" s="72"/>
      <c r="N51" s="72"/>
      <c r="O51" s="65"/>
      <c r="P51" s="65"/>
      <c r="Q51" s="72"/>
      <c r="R51" s="133"/>
      <c r="S51" s="133"/>
      <c r="T51" s="133"/>
      <c r="U51" s="133"/>
      <c r="V51" s="69"/>
      <c r="W51" s="9"/>
    </row>
    <row r="52" outlineLevel="1">
      <c r="A52" s="134" t="s">
        <v>135</v>
      </c>
      <c r="B52" s="135" t="s">
        <v>136</v>
      </c>
      <c r="C52" s="136"/>
      <c r="D52" s="137"/>
      <c r="E52" s="138"/>
      <c r="F52" s="139"/>
      <c r="G52" s="140"/>
      <c r="H52" s="136"/>
      <c r="I52" s="141" t="b">
        <v>0</v>
      </c>
      <c r="J52" s="142"/>
      <c r="K52" s="143"/>
      <c r="L52" s="144"/>
      <c r="M52" s="144"/>
      <c r="N52" s="144"/>
      <c r="O52" s="144"/>
      <c r="P52" s="144"/>
      <c r="Q52" s="144"/>
      <c r="R52" s="136"/>
      <c r="S52" s="145"/>
      <c r="T52" s="145"/>
      <c r="U52" s="138"/>
      <c r="V52" s="146"/>
      <c r="W52" s="146"/>
    </row>
    <row r="53" ht="43.5" customHeight="1" outlineLevel="1">
      <c r="A53" s="73" t="s">
        <v>45</v>
      </c>
      <c r="B53" s="147" t="s">
        <v>137</v>
      </c>
      <c r="C53" s="75" t="s">
        <v>38</v>
      </c>
      <c r="D53" s="76" t="s">
        <v>138</v>
      </c>
      <c r="E53" s="77" t="s">
        <v>40</v>
      </c>
      <c r="F53" s="78" t="s">
        <v>139</v>
      </c>
      <c r="G53" s="79" t="s">
        <v>50</v>
      </c>
      <c r="H53" s="80" t="s">
        <v>1776</v>
      </c>
      <c r="I53" s="81" t="b">
        <v>1</v>
      </c>
      <c r="J53" s="82" t="s">
        <v>7</v>
      </c>
      <c r="K53" s="83">
        <f t="shared" ref="K53:K74" si="11">if(I53=True,1,if(I53=False,0))</f>
        <v>1</v>
      </c>
      <c r="L53" s="84">
        <v>6000000.0</v>
      </c>
      <c r="M53" s="84">
        <v>30000.0</v>
      </c>
      <c r="N53" s="84">
        <v>2000.0</v>
      </c>
      <c r="O53" s="84">
        <f>IFERROR(Q53/M53,"-")</f>
        <v>200</v>
      </c>
      <c r="P53" s="84">
        <f>IFERROR(Q53/N53,"-")</f>
        <v>3000</v>
      </c>
      <c r="Q53" s="84">
        <f t="shared" ref="Q53:Q74" si="12">iferror(L53*K53,"-")</f>
        <v>6000000</v>
      </c>
      <c r="R53" s="75" t="s">
        <v>1777</v>
      </c>
      <c r="S53" s="85" t="s">
        <v>142</v>
      </c>
      <c r="T53" s="85"/>
      <c r="U53" s="86" t="s">
        <v>45</v>
      </c>
      <c r="V53" s="9"/>
      <c r="W53" s="9"/>
    </row>
    <row r="54" ht="141.75" customHeight="1" outlineLevel="1">
      <c r="A54" s="72"/>
      <c r="B54" s="72"/>
      <c r="C54" s="72"/>
      <c r="D54" s="72"/>
      <c r="E54" s="72"/>
      <c r="F54" s="72"/>
      <c r="G54" s="72"/>
      <c r="H54" s="88" t="s">
        <v>1778</v>
      </c>
      <c r="I54" s="81" t="b">
        <v>1</v>
      </c>
      <c r="J54" s="82" t="s">
        <v>47</v>
      </c>
      <c r="K54" s="83">
        <f t="shared" si="11"/>
        <v>1</v>
      </c>
      <c r="L54" s="84">
        <v>2000000.0</v>
      </c>
      <c r="M54" s="84">
        <v>0.0</v>
      </c>
      <c r="N54" s="84">
        <v>0.0</v>
      </c>
      <c r="O54" s="84" t="s">
        <v>81</v>
      </c>
      <c r="P54" s="84" t="s">
        <v>81</v>
      </c>
      <c r="Q54" s="84">
        <f t="shared" si="12"/>
        <v>2000000</v>
      </c>
      <c r="R54" s="72"/>
      <c r="S54" s="72"/>
      <c r="T54" s="72"/>
      <c r="U54" s="72"/>
      <c r="V54" s="9"/>
      <c r="W54" s="9"/>
    </row>
    <row r="55" ht="80.25" customHeight="1" outlineLevel="1">
      <c r="A55" s="73" t="s">
        <v>45</v>
      </c>
      <c r="B55" s="89" t="s">
        <v>144</v>
      </c>
      <c r="C55" s="75" t="s">
        <v>38</v>
      </c>
      <c r="D55" s="76" t="s">
        <v>145</v>
      </c>
      <c r="E55" s="77" t="s">
        <v>146</v>
      </c>
      <c r="F55" s="78" t="s">
        <v>139</v>
      </c>
      <c r="G55" s="79" t="s">
        <v>50</v>
      </c>
      <c r="H55" s="80" t="s">
        <v>1779</v>
      </c>
      <c r="I55" s="81" t="b">
        <v>1</v>
      </c>
      <c r="J55" s="82" t="s">
        <v>7</v>
      </c>
      <c r="K55" s="83">
        <f t="shared" si="11"/>
        <v>1</v>
      </c>
      <c r="L55" s="84">
        <v>5000000.0</v>
      </c>
      <c r="M55" s="84">
        <v>20000.0</v>
      </c>
      <c r="N55" s="84">
        <v>1500.0</v>
      </c>
      <c r="O55" s="84">
        <f t="shared" ref="O55:O74" si="13">IFERROR(Q55/M55,"-")</f>
        <v>250</v>
      </c>
      <c r="P55" s="84">
        <f t="shared" ref="P55:P74" si="14">IFERROR(Q55/N55,"-")</f>
        <v>3333.333333</v>
      </c>
      <c r="Q55" s="84">
        <f t="shared" si="12"/>
        <v>5000000</v>
      </c>
      <c r="R55" s="75" t="s">
        <v>1780</v>
      </c>
      <c r="S55" s="85" t="s">
        <v>149</v>
      </c>
      <c r="T55" s="85"/>
      <c r="U55" s="86" t="s">
        <v>45</v>
      </c>
      <c r="V55" s="87"/>
      <c r="W55" s="9"/>
    </row>
    <row r="56" ht="80.25" customHeight="1" outlineLevel="1">
      <c r="A56" s="72"/>
      <c r="B56" s="72"/>
      <c r="C56" s="72"/>
      <c r="D56" s="72"/>
      <c r="E56" s="72"/>
      <c r="F56" s="72"/>
      <c r="G56" s="72"/>
      <c r="H56" s="88" t="s">
        <v>1781</v>
      </c>
      <c r="I56" s="81" t="b">
        <v>1</v>
      </c>
      <c r="J56" s="82" t="s">
        <v>47</v>
      </c>
      <c r="K56" s="83">
        <f t="shared" si="11"/>
        <v>1</v>
      </c>
      <c r="L56" s="84">
        <v>2000000.0</v>
      </c>
      <c r="M56" s="84">
        <v>0.0</v>
      </c>
      <c r="N56" s="84">
        <v>0.0</v>
      </c>
      <c r="O56" s="84" t="str">
        <f t="shared" si="13"/>
        <v>-</v>
      </c>
      <c r="P56" s="84" t="str">
        <f t="shared" si="14"/>
        <v>-</v>
      </c>
      <c r="Q56" s="84">
        <f t="shared" si="12"/>
        <v>2000000</v>
      </c>
      <c r="R56" s="72"/>
      <c r="S56" s="72"/>
      <c r="T56" s="72"/>
      <c r="U56" s="72"/>
      <c r="V56" s="9"/>
      <c r="W56" s="9"/>
    </row>
    <row r="57" ht="80.25" customHeight="1" outlineLevel="1">
      <c r="A57" s="73" t="s">
        <v>45</v>
      </c>
      <c r="B57" s="147" t="s">
        <v>151</v>
      </c>
      <c r="C57" s="75" t="s">
        <v>38</v>
      </c>
      <c r="D57" s="76" t="s">
        <v>152</v>
      </c>
      <c r="E57" s="77" t="s">
        <v>146</v>
      </c>
      <c r="F57" s="78" t="s">
        <v>139</v>
      </c>
      <c r="G57" s="79" t="s">
        <v>50</v>
      </c>
      <c r="H57" s="80" t="s">
        <v>1782</v>
      </c>
      <c r="I57" s="81" t="b">
        <v>1</v>
      </c>
      <c r="J57" s="82" t="s">
        <v>7</v>
      </c>
      <c r="K57" s="83">
        <f t="shared" si="11"/>
        <v>1</v>
      </c>
      <c r="L57" s="84">
        <v>3000000.0</v>
      </c>
      <c r="M57" s="84">
        <v>20000.0</v>
      </c>
      <c r="N57" s="84">
        <v>1500.0</v>
      </c>
      <c r="O57" s="84">
        <f t="shared" si="13"/>
        <v>150</v>
      </c>
      <c r="P57" s="84">
        <f t="shared" si="14"/>
        <v>2000</v>
      </c>
      <c r="Q57" s="84">
        <f t="shared" si="12"/>
        <v>3000000</v>
      </c>
      <c r="R57" s="75" t="s">
        <v>1783</v>
      </c>
      <c r="S57" s="85" t="s">
        <v>155</v>
      </c>
      <c r="T57" s="85"/>
      <c r="U57" s="86" t="s">
        <v>45</v>
      </c>
      <c r="V57" s="9"/>
      <c r="W57" s="9"/>
    </row>
    <row r="58" ht="80.25" customHeight="1" outlineLevel="1">
      <c r="A58" s="72"/>
      <c r="B58" s="72"/>
      <c r="C58" s="72"/>
      <c r="D58" s="72"/>
      <c r="E58" s="72"/>
      <c r="F58" s="72"/>
      <c r="G58" s="72"/>
      <c r="H58" s="88" t="s">
        <v>1784</v>
      </c>
      <c r="I58" s="81" t="b">
        <v>1</v>
      </c>
      <c r="J58" s="82" t="s">
        <v>47</v>
      </c>
      <c r="K58" s="83">
        <f t="shared" si="11"/>
        <v>1</v>
      </c>
      <c r="L58" s="84">
        <v>2000000.0</v>
      </c>
      <c r="M58" s="84">
        <v>0.0</v>
      </c>
      <c r="N58" s="84">
        <v>0.0</v>
      </c>
      <c r="O58" s="84" t="str">
        <f t="shared" si="13"/>
        <v>-</v>
      </c>
      <c r="P58" s="84" t="str">
        <f t="shared" si="14"/>
        <v>-</v>
      </c>
      <c r="Q58" s="84">
        <f t="shared" si="12"/>
        <v>2000000</v>
      </c>
      <c r="R58" s="72"/>
      <c r="S58" s="72"/>
      <c r="T58" s="72"/>
      <c r="U58" s="72"/>
      <c r="V58" s="9"/>
      <c r="W58" s="9"/>
    </row>
    <row r="59" ht="80.25" customHeight="1" outlineLevel="1">
      <c r="A59" s="73" t="s">
        <v>73</v>
      </c>
      <c r="B59" s="96" t="s">
        <v>157</v>
      </c>
      <c r="C59" s="75" t="s">
        <v>38</v>
      </c>
      <c r="D59" s="76" t="s">
        <v>158</v>
      </c>
      <c r="E59" s="77" t="s">
        <v>40</v>
      </c>
      <c r="F59" s="78" t="s">
        <v>139</v>
      </c>
      <c r="G59" s="79" t="s">
        <v>50</v>
      </c>
      <c r="H59" s="80" t="s">
        <v>1785</v>
      </c>
      <c r="I59" s="81" t="b">
        <v>1</v>
      </c>
      <c r="J59" s="82" t="s">
        <v>7</v>
      </c>
      <c r="K59" s="83">
        <f t="shared" si="11"/>
        <v>1</v>
      </c>
      <c r="L59" s="84">
        <v>6000000.0</v>
      </c>
      <c r="M59" s="84">
        <v>30000.0</v>
      </c>
      <c r="N59" s="84">
        <v>2000.0</v>
      </c>
      <c r="O59" s="84">
        <f t="shared" si="13"/>
        <v>200</v>
      </c>
      <c r="P59" s="84">
        <f t="shared" si="14"/>
        <v>3000</v>
      </c>
      <c r="Q59" s="84">
        <f t="shared" si="12"/>
        <v>6000000</v>
      </c>
      <c r="R59" s="75" t="s">
        <v>1786</v>
      </c>
      <c r="S59" s="85" t="s">
        <v>161</v>
      </c>
      <c r="T59" s="85"/>
      <c r="U59" s="153" t="s">
        <v>222</v>
      </c>
      <c r="V59" s="87"/>
      <c r="W59" s="9"/>
    </row>
    <row r="60" ht="80.25" customHeight="1" outlineLevel="1">
      <c r="A60" s="72"/>
      <c r="B60" s="72"/>
      <c r="C60" s="72"/>
      <c r="D60" s="72"/>
      <c r="E60" s="72"/>
      <c r="F60" s="72"/>
      <c r="G60" s="72"/>
      <c r="H60" s="88" t="s">
        <v>1787</v>
      </c>
      <c r="I60" s="81" t="b">
        <v>1</v>
      </c>
      <c r="J60" s="82" t="s">
        <v>47</v>
      </c>
      <c r="K60" s="83">
        <f t="shared" si="11"/>
        <v>1</v>
      </c>
      <c r="L60" s="84">
        <v>2000000.0</v>
      </c>
      <c r="M60" s="84">
        <v>0.0</v>
      </c>
      <c r="N60" s="84">
        <v>0.0</v>
      </c>
      <c r="O60" s="84" t="str">
        <f t="shared" si="13"/>
        <v>-</v>
      </c>
      <c r="P60" s="84" t="str">
        <f t="shared" si="14"/>
        <v>-</v>
      </c>
      <c r="Q60" s="84">
        <f t="shared" si="12"/>
        <v>2000000</v>
      </c>
      <c r="R60" s="72"/>
      <c r="S60" s="72"/>
      <c r="T60" s="72"/>
      <c r="U60" s="72"/>
      <c r="V60" s="87"/>
      <c r="W60" s="9"/>
    </row>
    <row r="61" ht="80.25" customHeight="1" outlineLevel="1">
      <c r="A61" s="73" t="s">
        <v>73</v>
      </c>
      <c r="B61" s="96" t="s">
        <v>163</v>
      </c>
      <c r="C61" s="75" t="s">
        <v>38</v>
      </c>
      <c r="D61" s="76" t="s">
        <v>164</v>
      </c>
      <c r="E61" s="77" t="s">
        <v>146</v>
      </c>
      <c r="F61" s="78" t="s">
        <v>21</v>
      </c>
      <c r="G61" s="79" t="s">
        <v>50</v>
      </c>
      <c r="H61" s="80" t="s">
        <v>1788</v>
      </c>
      <c r="I61" s="81" t="b">
        <v>1</v>
      </c>
      <c r="J61" s="82" t="s">
        <v>7</v>
      </c>
      <c r="K61" s="83">
        <f t="shared" si="11"/>
        <v>1</v>
      </c>
      <c r="L61" s="84">
        <v>5000000.0</v>
      </c>
      <c r="M61" s="84">
        <v>20000.0</v>
      </c>
      <c r="N61" s="84">
        <v>1500.0</v>
      </c>
      <c r="O61" s="84">
        <f t="shared" si="13"/>
        <v>250</v>
      </c>
      <c r="P61" s="84">
        <f t="shared" si="14"/>
        <v>3333.333333</v>
      </c>
      <c r="Q61" s="84">
        <f t="shared" si="12"/>
        <v>5000000</v>
      </c>
      <c r="R61" s="75" t="s">
        <v>1789</v>
      </c>
      <c r="S61" s="85" t="s">
        <v>167</v>
      </c>
      <c r="T61" s="85"/>
      <c r="U61" s="153" t="s">
        <v>222</v>
      </c>
      <c r="V61" s="87"/>
      <c r="W61" s="9"/>
    </row>
    <row r="62" ht="80.25" customHeight="1" outlineLevel="1">
      <c r="A62" s="72"/>
      <c r="B62" s="72"/>
      <c r="C62" s="72"/>
      <c r="D62" s="72"/>
      <c r="E62" s="72"/>
      <c r="F62" s="72"/>
      <c r="G62" s="72"/>
      <c r="H62" s="88" t="s">
        <v>1790</v>
      </c>
      <c r="I62" s="81" t="b">
        <v>1</v>
      </c>
      <c r="J62" s="82" t="s">
        <v>47</v>
      </c>
      <c r="K62" s="83">
        <f t="shared" si="11"/>
        <v>1</v>
      </c>
      <c r="L62" s="84">
        <v>3000000.0</v>
      </c>
      <c r="M62" s="84">
        <v>0.0</v>
      </c>
      <c r="N62" s="84">
        <v>0.0</v>
      </c>
      <c r="O62" s="84" t="str">
        <f t="shared" si="13"/>
        <v>-</v>
      </c>
      <c r="P62" s="84" t="str">
        <f t="shared" si="14"/>
        <v>-</v>
      </c>
      <c r="Q62" s="84">
        <f t="shared" si="12"/>
        <v>3000000</v>
      </c>
      <c r="R62" s="72"/>
      <c r="S62" s="72"/>
      <c r="T62" s="72"/>
      <c r="U62" s="72"/>
      <c r="V62" s="9"/>
      <c r="W62" s="9"/>
    </row>
    <row r="63" ht="80.25" customHeight="1" outlineLevel="1">
      <c r="A63" s="73" t="s">
        <v>73</v>
      </c>
      <c r="B63" s="91" t="s">
        <v>169</v>
      </c>
      <c r="C63" s="75" t="s">
        <v>38</v>
      </c>
      <c r="D63" s="76">
        <v>6489.0</v>
      </c>
      <c r="E63" s="77" t="s">
        <v>146</v>
      </c>
      <c r="F63" s="78" t="s">
        <v>139</v>
      </c>
      <c r="G63" s="79" t="s">
        <v>50</v>
      </c>
      <c r="H63" s="80" t="s">
        <v>1791</v>
      </c>
      <c r="I63" s="81" t="b">
        <v>1</v>
      </c>
      <c r="J63" s="82" t="s">
        <v>7</v>
      </c>
      <c r="K63" s="83">
        <f t="shared" si="11"/>
        <v>1</v>
      </c>
      <c r="L63" s="84">
        <v>3000000.0</v>
      </c>
      <c r="M63" s="84">
        <v>15000.0</v>
      </c>
      <c r="N63" s="84">
        <v>1000.0</v>
      </c>
      <c r="O63" s="84">
        <f t="shared" si="13"/>
        <v>200</v>
      </c>
      <c r="P63" s="84">
        <f t="shared" si="14"/>
        <v>3000</v>
      </c>
      <c r="Q63" s="84">
        <f t="shared" si="12"/>
        <v>3000000</v>
      </c>
      <c r="R63" s="75" t="s">
        <v>1792</v>
      </c>
      <c r="S63" s="85" t="s">
        <v>172</v>
      </c>
      <c r="T63" s="93" t="s">
        <v>79</v>
      </c>
      <c r="U63" s="153" t="s">
        <v>222</v>
      </c>
      <c r="V63" s="9"/>
      <c r="W63" s="9"/>
    </row>
    <row r="64" ht="80.25" customHeight="1" outlineLevel="1">
      <c r="A64" s="72"/>
      <c r="B64" s="72"/>
      <c r="C64" s="72"/>
      <c r="D64" s="72"/>
      <c r="E64" s="72"/>
      <c r="F64" s="72"/>
      <c r="G64" s="72"/>
      <c r="H64" s="88" t="s">
        <v>1793</v>
      </c>
      <c r="I64" s="81" t="b">
        <v>1</v>
      </c>
      <c r="J64" s="82" t="s">
        <v>47</v>
      </c>
      <c r="K64" s="83">
        <f t="shared" si="11"/>
        <v>1</v>
      </c>
      <c r="L64" s="84">
        <v>2000000.0</v>
      </c>
      <c r="M64" s="84">
        <v>0.0</v>
      </c>
      <c r="N64" s="84">
        <v>0.0</v>
      </c>
      <c r="O64" s="84" t="str">
        <f t="shared" si="13"/>
        <v>-</v>
      </c>
      <c r="P64" s="84" t="str">
        <f t="shared" si="14"/>
        <v>-</v>
      </c>
      <c r="Q64" s="84">
        <f t="shared" si="12"/>
        <v>2000000</v>
      </c>
      <c r="R64" s="72"/>
      <c r="S64" s="72"/>
      <c r="T64" s="72"/>
      <c r="U64" s="72"/>
      <c r="V64" s="9"/>
      <c r="W64" s="9"/>
    </row>
    <row r="65" ht="80.25" customHeight="1" outlineLevel="1">
      <c r="A65" s="73" t="s">
        <v>109</v>
      </c>
      <c r="B65" s="148" t="s">
        <v>174</v>
      </c>
      <c r="C65" s="75" t="s">
        <v>38</v>
      </c>
      <c r="D65" s="76" t="s">
        <v>175</v>
      </c>
      <c r="E65" s="77" t="s">
        <v>146</v>
      </c>
      <c r="F65" s="78" t="s">
        <v>176</v>
      </c>
      <c r="G65" s="79" t="s">
        <v>50</v>
      </c>
      <c r="H65" s="80" t="s">
        <v>1794</v>
      </c>
      <c r="I65" s="97" t="b">
        <v>1</v>
      </c>
      <c r="J65" s="82" t="s">
        <v>7</v>
      </c>
      <c r="K65" s="83">
        <f t="shared" si="11"/>
        <v>1</v>
      </c>
      <c r="L65" s="84">
        <v>1.1E7</v>
      </c>
      <c r="M65" s="84">
        <v>46000.0</v>
      </c>
      <c r="N65" s="84">
        <v>2000.0</v>
      </c>
      <c r="O65" s="84">
        <f t="shared" si="13"/>
        <v>239.1304348</v>
      </c>
      <c r="P65" s="84">
        <f t="shared" si="14"/>
        <v>5500</v>
      </c>
      <c r="Q65" s="84">
        <f t="shared" si="12"/>
        <v>11000000</v>
      </c>
      <c r="R65" s="75" t="s">
        <v>1795</v>
      </c>
      <c r="S65" s="85"/>
      <c r="T65" s="85"/>
      <c r="U65" s="149" t="s">
        <v>122</v>
      </c>
      <c r="V65" s="87"/>
      <c r="W65" s="9"/>
    </row>
    <row r="66" ht="80.25" customHeight="1" outlineLevel="1">
      <c r="A66" s="72"/>
      <c r="B66" s="72"/>
      <c r="C66" s="72"/>
      <c r="D66" s="72"/>
      <c r="E66" s="72"/>
      <c r="F66" s="72"/>
      <c r="G66" s="72"/>
      <c r="H66" s="88" t="s">
        <v>1796</v>
      </c>
      <c r="I66" s="97" t="b">
        <v>1</v>
      </c>
      <c r="J66" s="82" t="s">
        <v>47</v>
      </c>
      <c r="K66" s="83">
        <f t="shared" si="11"/>
        <v>1</v>
      </c>
      <c r="L66" s="84">
        <v>2000000.0</v>
      </c>
      <c r="M66" s="84">
        <v>0.0</v>
      </c>
      <c r="N66" s="84">
        <v>0.0</v>
      </c>
      <c r="O66" s="84" t="str">
        <f t="shared" si="13"/>
        <v>-</v>
      </c>
      <c r="P66" s="84" t="str">
        <f t="shared" si="14"/>
        <v>-</v>
      </c>
      <c r="Q66" s="84">
        <f t="shared" si="12"/>
        <v>2000000</v>
      </c>
      <c r="R66" s="72"/>
      <c r="S66" s="72"/>
      <c r="T66" s="72"/>
      <c r="U66" s="72"/>
      <c r="V66" s="9"/>
      <c r="W66" s="9"/>
    </row>
    <row r="67" ht="80.25" customHeight="1" outlineLevel="1">
      <c r="A67" s="73" t="s">
        <v>109</v>
      </c>
      <c r="B67" s="150" t="s">
        <v>180</v>
      </c>
      <c r="C67" s="75" t="s">
        <v>38</v>
      </c>
      <c r="D67" s="76" t="s">
        <v>181</v>
      </c>
      <c r="E67" s="77" t="s">
        <v>146</v>
      </c>
      <c r="F67" s="78" t="s">
        <v>182</v>
      </c>
      <c r="G67" s="79" t="s">
        <v>50</v>
      </c>
      <c r="H67" s="80" t="s">
        <v>1797</v>
      </c>
      <c r="I67" s="97" t="b">
        <v>1</v>
      </c>
      <c r="J67" s="82" t="s">
        <v>7</v>
      </c>
      <c r="K67" s="83">
        <f t="shared" si="11"/>
        <v>1</v>
      </c>
      <c r="L67" s="84">
        <v>1.0E7</v>
      </c>
      <c r="M67" s="84">
        <v>40500.0</v>
      </c>
      <c r="N67" s="84">
        <v>2000.0</v>
      </c>
      <c r="O67" s="84">
        <f t="shared" si="13"/>
        <v>246.9135802</v>
      </c>
      <c r="P67" s="84">
        <f t="shared" si="14"/>
        <v>5000</v>
      </c>
      <c r="Q67" s="84">
        <f t="shared" si="12"/>
        <v>10000000</v>
      </c>
      <c r="R67" s="75" t="s">
        <v>1798</v>
      </c>
      <c r="S67" s="85"/>
      <c r="T67" s="85"/>
      <c r="U67" s="149" t="s">
        <v>122</v>
      </c>
      <c r="V67" s="9"/>
      <c r="W67" s="9"/>
    </row>
    <row r="68" ht="80.25" customHeight="1" outlineLevel="1">
      <c r="A68" s="72"/>
      <c r="B68" s="72"/>
      <c r="C68" s="72"/>
      <c r="D68" s="72"/>
      <c r="E68" s="72"/>
      <c r="F68" s="72"/>
      <c r="G68" s="72"/>
      <c r="H68" s="88" t="s">
        <v>1799</v>
      </c>
      <c r="I68" s="97" t="b">
        <v>1</v>
      </c>
      <c r="J68" s="82" t="s">
        <v>47</v>
      </c>
      <c r="K68" s="83">
        <f t="shared" si="11"/>
        <v>1</v>
      </c>
      <c r="L68" s="84">
        <v>3000000.0</v>
      </c>
      <c r="M68" s="84">
        <v>0.0</v>
      </c>
      <c r="N68" s="84">
        <v>0.0</v>
      </c>
      <c r="O68" s="84" t="str">
        <f t="shared" si="13"/>
        <v>-</v>
      </c>
      <c r="P68" s="84" t="str">
        <f t="shared" si="14"/>
        <v>-</v>
      </c>
      <c r="Q68" s="84">
        <f t="shared" si="12"/>
        <v>3000000</v>
      </c>
      <c r="R68" s="72"/>
      <c r="S68" s="72"/>
      <c r="T68" s="72"/>
      <c r="U68" s="72"/>
      <c r="V68" s="9"/>
      <c r="W68" s="9"/>
    </row>
    <row r="69" ht="80.25" customHeight="1" outlineLevel="1">
      <c r="A69" s="73" t="s">
        <v>186</v>
      </c>
      <c r="B69" s="151" t="s">
        <v>187</v>
      </c>
      <c r="C69" s="75" t="s">
        <v>38</v>
      </c>
      <c r="D69" s="76" t="s">
        <v>188</v>
      </c>
      <c r="E69" s="77" t="s">
        <v>146</v>
      </c>
      <c r="F69" s="78" t="s">
        <v>139</v>
      </c>
      <c r="G69" s="79" t="s">
        <v>50</v>
      </c>
      <c r="H69" s="80" t="s">
        <v>1800</v>
      </c>
      <c r="I69" s="81" t="b">
        <v>0</v>
      </c>
      <c r="J69" s="82" t="s">
        <v>7</v>
      </c>
      <c r="K69" s="83">
        <f t="shared" si="11"/>
        <v>0</v>
      </c>
      <c r="L69" s="84">
        <v>1.2E7</v>
      </c>
      <c r="M69" s="84">
        <v>60000.0</v>
      </c>
      <c r="N69" s="84">
        <v>3000.0</v>
      </c>
      <c r="O69" s="84">
        <f t="shared" si="13"/>
        <v>0</v>
      </c>
      <c r="P69" s="84">
        <f t="shared" si="14"/>
        <v>0</v>
      </c>
      <c r="Q69" s="84">
        <f t="shared" si="12"/>
        <v>0</v>
      </c>
      <c r="R69" s="75" t="s">
        <v>1801</v>
      </c>
      <c r="S69" s="85"/>
      <c r="T69" s="85"/>
      <c r="U69" s="149" t="s">
        <v>122</v>
      </c>
      <c r="V69" s="87"/>
      <c r="W69" s="9"/>
    </row>
    <row r="70" ht="80.25" customHeight="1" outlineLevel="1">
      <c r="A70" s="72"/>
      <c r="B70" s="72"/>
      <c r="C70" s="72"/>
      <c r="D70" s="72"/>
      <c r="E70" s="72"/>
      <c r="F70" s="72"/>
      <c r="G70" s="72"/>
      <c r="H70" s="88" t="s">
        <v>1802</v>
      </c>
      <c r="I70" s="81" t="b">
        <v>0</v>
      </c>
      <c r="J70" s="82" t="s">
        <v>47</v>
      </c>
      <c r="K70" s="83">
        <f t="shared" si="11"/>
        <v>0</v>
      </c>
      <c r="L70" s="84">
        <v>8000000.0</v>
      </c>
      <c r="M70" s="84">
        <v>0.0</v>
      </c>
      <c r="N70" s="84">
        <v>0.0</v>
      </c>
      <c r="O70" s="84" t="str">
        <f t="shared" si="13"/>
        <v>-</v>
      </c>
      <c r="P70" s="84" t="str">
        <f t="shared" si="14"/>
        <v>-</v>
      </c>
      <c r="Q70" s="84">
        <f t="shared" si="12"/>
        <v>0</v>
      </c>
      <c r="R70" s="72"/>
      <c r="S70" s="72"/>
      <c r="T70" s="72"/>
      <c r="U70" s="72"/>
      <c r="V70" s="9"/>
      <c r="W70" s="9"/>
    </row>
    <row r="71" ht="80.25" customHeight="1" outlineLevel="1">
      <c r="A71" s="73" t="s">
        <v>186</v>
      </c>
      <c r="B71" s="151" t="s">
        <v>192</v>
      </c>
      <c r="C71" s="75" t="s">
        <v>38</v>
      </c>
      <c r="D71" s="76" t="s">
        <v>193</v>
      </c>
      <c r="E71" s="77" t="s">
        <v>146</v>
      </c>
      <c r="F71" s="78" t="s">
        <v>139</v>
      </c>
      <c r="G71" s="79" t="s">
        <v>50</v>
      </c>
      <c r="H71" s="80" t="s">
        <v>1803</v>
      </c>
      <c r="I71" s="81" t="b">
        <v>0</v>
      </c>
      <c r="J71" s="82" t="s">
        <v>7</v>
      </c>
      <c r="K71" s="83">
        <f t="shared" si="11"/>
        <v>0</v>
      </c>
      <c r="L71" s="84">
        <v>6000000.0</v>
      </c>
      <c r="M71" s="84">
        <v>25000.0</v>
      </c>
      <c r="N71" s="84">
        <v>2000.0</v>
      </c>
      <c r="O71" s="84">
        <f t="shared" si="13"/>
        <v>0</v>
      </c>
      <c r="P71" s="84">
        <f t="shared" si="14"/>
        <v>0</v>
      </c>
      <c r="Q71" s="84">
        <f t="shared" si="12"/>
        <v>0</v>
      </c>
      <c r="R71" s="75" t="s">
        <v>1804</v>
      </c>
      <c r="S71" s="85"/>
      <c r="T71" s="85"/>
      <c r="U71" s="149" t="s">
        <v>122</v>
      </c>
      <c r="V71" s="87"/>
      <c r="W71" s="9"/>
    </row>
    <row r="72" ht="80.25" customHeight="1" outlineLevel="1">
      <c r="A72" s="72"/>
      <c r="B72" s="72"/>
      <c r="C72" s="72"/>
      <c r="D72" s="72"/>
      <c r="E72" s="72"/>
      <c r="F72" s="72"/>
      <c r="G72" s="72"/>
      <c r="H72" s="88" t="s">
        <v>1805</v>
      </c>
      <c r="I72" s="81" t="b">
        <v>0</v>
      </c>
      <c r="J72" s="82" t="s">
        <v>47</v>
      </c>
      <c r="K72" s="83">
        <f t="shared" si="11"/>
        <v>0</v>
      </c>
      <c r="L72" s="84">
        <v>2000000.0</v>
      </c>
      <c r="M72" s="84">
        <v>0.0</v>
      </c>
      <c r="N72" s="84">
        <v>0.0</v>
      </c>
      <c r="O72" s="84" t="str">
        <f t="shared" si="13"/>
        <v>-</v>
      </c>
      <c r="P72" s="84" t="str">
        <f t="shared" si="14"/>
        <v>-</v>
      </c>
      <c r="Q72" s="84">
        <f t="shared" si="12"/>
        <v>0</v>
      </c>
      <c r="R72" s="72"/>
      <c r="S72" s="72"/>
      <c r="T72" s="72"/>
      <c r="U72" s="72"/>
      <c r="V72" s="9"/>
      <c r="W72" s="9"/>
    </row>
    <row r="73" ht="80.25" customHeight="1" outlineLevel="1">
      <c r="A73" s="73" t="s">
        <v>186</v>
      </c>
      <c r="B73" s="152" t="s">
        <v>197</v>
      </c>
      <c r="C73" s="75" t="s">
        <v>38</v>
      </c>
      <c r="D73" s="76" t="s">
        <v>198</v>
      </c>
      <c r="E73" s="77" t="s">
        <v>40</v>
      </c>
      <c r="F73" s="78" t="s">
        <v>139</v>
      </c>
      <c r="G73" s="79" t="s">
        <v>50</v>
      </c>
      <c r="H73" s="80" t="s">
        <v>1806</v>
      </c>
      <c r="I73" s="81" t="b">
        <v>0</v>
      </c>
      <c r="J73" s="82" t="s">
        <v>7</v>
      </c>
      <c r="K73" s="83">
        <f t="shared" si="11"/>
        <v>0</v>
      </c>
      <c r="L73" s="84">
        <v>2.2E7</v>
      </c>
      <c r="M73" s="84">
        <v>90000.0</v>
      </c>
      <c r="N73" s="84">
        <v>4000.0</v>
      </c>
      <c r="O73" s="84">
        <f t="shared" si="13"/>
        <v>0</v>
      </c>
      <c r="P73" s="84">
        <f t="shared" si="14"/>
        <v>0</v>
      </c>
      <c r="Q73" s="84">
        <f t="shared" si="12"/>
        <v>0</v>
      </c>
      <c r="R73" s="75" t="s">
        <v>1807</v>
      </c>
      <c r="S73" s="85"/>
      <c r="T73" s="85"/>
      <c r="U73" s="149" t="s">
        <v>122</v>
      </c>
      <c r="V73" s="9"/>
      <c r="W73" s="9"/>
    </row>
    <row r="74" ht="80.25" customHeight="1" outlineLevel="1">
      <c r="A74" s="72"/>
      <c r="B74" s="72"/>
      <c r="C74" s="72"/>
      <c r="D74" s="72"/>
      <c r="E74" s="72"/>
      <c r="F74" s="72"/>
      <c r="G74" s="72"/>
      <c r="H74" s="88" t="s">
        <v>1808</v>
      </c>
      <c r="I74" s="81" t="b">
        <v>0</v>
      </c>
      <c r="J74" s="82" t="s">
        <v>47</v>
      </c>
      <c r="K74" s="83">
        <f t="shared" si="11"/>
        <v>0</v>
      </c>
      <c r="L74" s="84">
        <v>6000000.0</v>
      </c>
      <c r="M74" s="84">
        <v>0.0</v>
      </c>
      <c r="N74" s="84">
        <v>0.0</v>
      </c>
      <c r="O74" s="84" t="str">
        <f t="shared" si="13"/>
        <v>-</v>
      </c>
      <c r="P74" s="84" t="str">
        <f t="shared" si="14"/>
        <v>-</v>
      </c>
      <c r="Q74" s="84">
        <f t="shared" si="12"/>
        <v>0</v>
      </c>
      <c r="R74" s="72"/>
      <c r="S74" s="72"/>
      <c r="T74" s="72"/>
      <c r="U74" s="72"/>
      <c r="V74" s="9"/>
      <c r="W74" s="9"/>
    </row>
    <row r="75" outlineLevel="1">
      <c r="A75" s="134" t="s">
        <v>202</v>
      </c>
      <c r="B75" s="135" t="s">
        <v>203</v>
      </c>
      <c r="C75" s="136"/>
      <c r="D75" s="137"/>
      <c r="E75" s="138"/>
      <c r="F75" s="139"/>
      <c r="G75" s="140"/>
      <c r="H75" s="136"/>
      <c r="I75" s="141"/>
      <c r="J75" s="142"/>
      <c r="K75" s="143"/>
      <c r="L75" s="144"/>
      <c r="M75" s="144"/>
      <c r="N75" s="144"/>
      <c r="O75" s="144"/>
      <c r="P75" s="144"/>
      <c r="Q75" s="144"/>
      <c r="R75" s="136"/>
      <c r="S75" s="145"/>
      <c r="T75" s="145"/>
      <c r="U75" s="138"/>
      <c r="V75" s="146"/>
      <c r="W75" s="146"/>
    </row>
    <row r="76" ht="42.0" customHeight="1" outlineLevel="1">
      <c r="A76" s="73" t="s">
        <v>101</v>
      </c>
      <c r="B76" s="147" t="s">
        <v>204</v>
      </c>
      <c r="C76" s="75" t="s">
        <v>38</v>
      </c>
      <c r="D76" s="76" t="s">
        <v>205</v>
      </c>
      <c r="E76" s="77" t="s">
        <v>146</v>
      </c>
      <c r="F76" s="78" t="s">
        <v>206</v>
      </c>
      <c r="G76" s="79" t="s">
        <v>105</v>
      </c>
      <c r="H76" s="80" t="s">
        <v>1809</v>
      </c>
      <c r="I76" s="81" t="b">
        <v>1</v>
      </c>
      <c r="J76" s="82" t="s">
        <v>7</v>
      </c>
      <c r="K76" s="83">
        <f t="shared" ref="K76:K97" si="15">if(I76=True,1,if(I76=False,0))</f>
        <v>1</v>
      </c>
      <c r="L76" s="84">
        <v>4000000.0</v>
      </c>
      <c r="M76" s="84">
        <v>20000.0</v>
      </c>
      <c r="N76" s="84">
        <v>1500.0</v>
      </c>
      <c r="O76" s="84">
        <f t="shared" ref="O76:O82" si="16">IFERROR(Q76/M76,"-")</f>
        <v>200</v>
      </c>
      <c r="P76" s="84">
        <f t="shared" ref="P76:P82" si="17">IFERROR(Q76/N76,"-")</f>
        <v>2666.666667</v>
      </c>
      <c r="Q76" s="84">
        <f t="shared" ref="Q76:Q97" si="18">iferror(L76*K76,"-")</f>
        <v>4000000</v>
      </c>
      <c r="R76" s="75" t="s">
        <v>1810</v>
      </c>
      <c r="S76" s="85" t="s">
        <v>209</v>
      </c>
      <c r="T76" s="85"/>
      <c r="U76" s="86" t="s">
        <v>45</v>
      </c>
      <c r="V76" s="9"/>
      <c r="W76" s="9"/>
    </row>
    <row r="77" ht="42.0" customHeight="1" outlineLevel="1">
      <c r="A77" s="72"/>
      <c r="B77" s="72"/>
      <c r="C77" s="72"/>
      <c r="D77" s="72"/>
      <c r="E77" s="72"/>
      <c r="F77" s="72"/>
      <c r="G77" s="72"/>
      <c r="H77" s="88" t="s">
        <v>1811</v>
      </c>
      <c r="I77" s="81" t="b">
        <v>1</v>
      </c>
      <c r="J77" s="82" t="s">
        <v>47</v>
      </c>
      <c r="K77" s="83">
        <f t="shared" si="15"/>
        <v>1</v>
      </c>
      <c r="L77" s="84">
        <v>2000000.0</v>
      </c>
      <c r="M77" s="84">
        <v>0.0</v>
      </c>
      <c r="N77" s="84">
        <v>0.0</v>
      </c>
      <c r="O77" s="84" t="str">
        <f t="shared" si="16"/>
        <v>-</v>
      </c>
      <c r="P77" s="84" t="str">
        <f t="shared" si="17"/>
        <v>-</v>
      </c>
      <c r="Q77" s="84">
        <f t="shared" si="18"/>
        <v>2000000</v>
      </c>
      <c r="R77" s="68"/>
      <c r="S77" s="72"/>
      <c r="T77" s="72"/>
      <c r="U77" s="72"/>
      <c r="V77" s="9"/>
      <c r="W77" s="9"/>
    </row>
    <row r="78" ht="42.0" customHeight="1" outlineLevel="1">
      <c r="A78" s="73" t="s">
        <v>101</v>
      </c>
      <c r="B78" s="89" t="s">
        <v>211</v>
      </c>
      <c r="C78" s="75" t="s">
        <v>38</v>
      </c>
      <c r="D78" s="76">
        <v>45000.0</v>
      </c>
      <c r="E78" s="77" t="s">
        <v>146</v>
      </c>
      <c r="F78" s="78" t="s">
        <v>212</v>
      </c>
      <c r="G78" s="79" t="s">
        <v>213</v>
      </c>
      <c r="H78" s="80" t="s">
        <v>1812</v>
      </c>
      <c r="I78" s="81" t="b">
        <v>1</v>
      </c>
      <c r="J78" s="82" t="s">
        <v>7</v>
      </c>
      <c r="K78" s="83">
        <f t="shared" si="15"/>
        <v>1</v>
      </c>
      <c r="L78" s="84">
        <v>5000000.0</v>
      </c>
      <c r="M78" s="84">
        <v>20000.0</v>
      </c>
      <c r="N78" s="84">
        <v>1500.0</v>
      </c>
      <c r="O78" s="84">
        <f t="shared" si="16"/>
        <v>250</v>
      </c>
      <c r="P78" s="84">
        <f t="shared" si="17"/>
        <v>3333.333333</v>
      </c>
      <c r="Q78" s="84">
        <f t="shared" si="18"/>
        <v>5000000</v>
      </c>
      <c r="R78" s="68"/>
      <c r="S78" s="85" t="s">
        <v>215</v>
      </c>
      <c r="T78" s="85"/>
      <c r="U78" s="86" t="s">
        <v>45</v>
      </c>
      <c r="V78" s="9"/>
      <c r="W78" s="9"/>
    </row>
    <row r="79" ht="81.75" customHeight="1" outlineLevel="1">
      <c r="A79" s="72"/>
      <c r="B79" s="72"/>
      <c r="C79" s="72"/>
      <c r="D79" s="72"/>
      <c r="E79" s="72"/>
      <c r="F79" s="72"/>
      <c r="G79" s="72"/>
      <c r="H79" s="88" t="s">
        <v>1813</v>
      </c>
      <c r="I79" s="81" t="b">
        <v>1</v>
      </c>
      <c r="J79" s="82" t="s">
        <v>47</v>
      </c>
      <c r="K79" s="83">
        <f t="shared" si="15"/>
        <v>1</v>
      </c>
      <c r="L79" s="84">
        <v>2000000.0</v>
      </c>
      <c r="M79" s="84">
        <v>0.0</v>
      </c>
      <c r="N79" s="84">
        <v>0.0</v>
      </c>
      <c r="O79" s="84" t="str">
        <f t="shared" si="16"/>
        <v>-</v>
      </c>
      <c r="P79" s="84" t="str">
        <f t="shared" si="17"/>
        <v>-</v>
      </c>
      <c r="Q79" s="84">
        <f t="shared" si="18"/>
        <v>2000000</v>
      </c>
      <c r="R79" s="68"/>
      <c r="S79" s="72"/>
      <c r="T79" s="72"/>
      <c r="U79" s="72"/>
      <c r="V79" s="87"/>
      <c r="W79" s="9"/>
    </row>
    <row r="80" ht="42.0" customHeight="1" outlineLevel="1">
      <c r="A80" s="73" t="s">
        <v>101</v>
      </c>
      <c r="B80" s="96" t="s">
        <v>217</v>
      </c>
      <c r="C80" s="75" t="s">
        <v>38</v>
      </c>
      <c r="D80" s="76" t="s">
        <v>218</v>
      </c>
      <c r="E80" s="77" t="s">
        <v>146</v>
      </c>
      <c r="F80" s="78" t="s">
        <v>219</v>
      </c>
      <c r="G80" s="79" t="s">
        <v>105</v>
      </c>
      <c r="H80" s="80" t="s">
        <v>1814</v>
      </c>
      <c r="I80" s="81" t="b">
        <v>0</v>
      </c>
      <c r="J80" s="82" t="s">
        <v>7</v>
      </c>
      <c r="K80" s="83">
        <f t="shared" si="15"/>
        <v>0</v>
      </c>
      <c r="L80" s="84">
        <v>4000000.0</v>
      </c>
      <c r="M80" s="84">
        <v>20000.0</v>
      </c>
      <c r="N80" s="84">
        <v>2000.0</v>
      </c>
      <c r="O80" s="84">
        <f t="shared" si="16"/>
        <v>0</v>
      </c>
      <c r="P80" s="84">
        <f t="shared" si="17"/>
        <v>0</v>
      </c>
      <c r="Q80" s="84">
        <f t="shared" si="18"/>
        <v>0</v>
      </c>
      <c r="R80" s="75"/>
      <c r="S80" s="85" t="s">
        <v>221</v>
      </c>
      <c r="T80" s="93" t="s">
        <v>79</v>
      </c>
      <c r="U80" s="153" t="s">
        <v>222</v>
      </c>
      <c r="V80" s="9"/>
      <c r="W80" s="9"/>
    </row>
    <row r="81" ht="42.0" customHeight="1" outlineLevel="1">
      <c r="A81" s="72"/>
      <c r="B81" s="72"/>
      <c r="C81" s="72"/>
      <c r="D81" s="72"/>
      <c r="E81" s="72"/>
      <c r="F81" s="72"/>
      <c r="G81" s="72"/>
      <c r="H81" s="88" t="s">
        <v>1815</v>
      </c>
      <c r="I81" s="81" t="b">
        <v>0</v>
      </c>
      <c r="J81" s="82" t="s">
        <v>47</v>
      </c>
      <c r="K81" s="83">
        <f t="shared" si="15"/>
        <v>0</v>
      </c>
      <c r="L81" s="84">
        <v>2000000.0</v>
      </c>
      <c r="M81" s="84">
        <v>0.0</v>
      </c>
      <c r="N81" s="84">
        <v>0.0</v>
      </c>
      <c r="O81" s="84" t="str">
        <f t="shared" si="16"/>
        <v>-</v>
      </c>
      <c r="P81" s="84" t="str">
        <f t="shared" si="17"/>
        <v>-</v>
      </c>
      <c r="Q81" s="84">
        <f t="shared" si="18"/>
        <v>0</v>
      </c>
      <c r="R81" s="68"/>
      <c r="S81" s="72"/>
      <c r="T81" s="72"/>
      <c r="U81" s="72"/>
      <c r="V81" s="87"/>
      <c r="W81" s="9"/>
    </row>
    <row r="82" ht="42.0" customHeight="1" outlineLevel="1">
      <c r="A82" s="73" t="s">
        <v>101</v>
      </c>
      <c r="B82" s="91" t="s">
        <v>224</v>
      </c>
      <c r="C82" s="75" t="s">
        <v>38</v>
      </c>
      <c r="D82" s="76">
        <v>76600.0</v>
      </c>
      <c r="E82" s="77" t="s">
        <v>146</v>
      </c>
      <c r="F82" s="78" t="s">
        <v>225</v>
      </c>
      <c r="G82" s="79" t="s">
        <v>226</v>
      </c>
      <c r="H82" s="80" t="s">
        <v>1816</v>
      </c>
      <c r="I82" s="81" t="b">
        <v>0</v>
      </c>
      <c r="J82" s="82" t="s">
        <v>7</v>
      </c>
      <c r="K82" s="83">
        <f t="shared" si="15"/>
        <v>0</v>
      </c>
      <c r="L82" s="84">
        <v>5000000.0</v>
      </c>
      <c r="M82" s="84">
        <v>30000.0</v>
      </c>
      <c r="N82" s="84">
        <v>2000.0</v>
      </c>
      <c r="O82" s="84">
        <f t="shared" si="16"/>
        <v>0</v>
      </c>
      <c r="P82" s="84">
        <f t="shared" si="17"/>
        <v>0</v>
      </c>
      <c r="Q82" s="84">
        <f t="shared" si="18"/>
        <v>0</v>
      </c>
      <c r="R82" s="75"/>
      <c r="S82" s="85" t="s">
        <v>228</v>
      </c>
      <c r="T82" s="85"/>
      <c r="U82" s="153" t="s">
        <v>222</v>
      </c>
      <c r="V82" s="9"/>
      <c r="W82" s="9"/>
    </row>
    <row r="83" ht="42.0" customHeight="1" outlineLevel="1">
      <c r="A83" s="72"/>
      <c r="B83" s="72"/>
      <c r="C83" s="72"/>
      <c r="D83" s="72"/>
      <c r="E83" s="72"/>
      <c r="F83" s="72"/>
      <c r="G83" s="72"/>
      <c r="H83" s="88" t="s">
        <v>1817</v>
      </c>
      <c r="I83" s="81" t="b">
        <v>0</v>
      </c>
      <c r="J83" s="82" t="s">
        <v>47</v>
      </c>
      <c r="K83" s="83">
        <f t="shared" si="15"/>
        <v>0</v>
      </c>
      <c r="L83" s="84">
        <v>2000000.0</v>
      </c>
      <c r="M83" s="84">
        <v>0.0</v>
      </c>
      <c r="N83" s="84">
        <v>0.0</v>
      </c>
      <c r="O83" s="84" t="s">
        <v>81</v>
      </c>
      <c r="P83" s="84" t="s">
        <v>81</v>
      </c>
      <c r="Q83" s="84">
        <f t="shared" si="18"/>
        <v>0</v>
      </c>
      <c r="R83" s="68"/>
      <c r="S83" s="72"/>
      <c r="T83" s="72"/>
      <c r="U83" s="72"/>
      <c r="V83" s="9"/>
      <c r="W83" s="9"/>
    </row>
    <row r="84" ht="42.0" customHeight="1" outlineLevel="1">
      <c r="A84" s="73" t="s">
        <v>101</v>
      </c>
      <c r="B84" s="91" t="s">
        <v>230</v>
      </c>
      <c r="C84" s="75" t="s">
        <v>38</v>
      </c>
      <c r="D84" s="76" t="s">
        <v>231</v>
      </c>
      <c r="E84" s="77" t="s">
        <v>146</v>
      </c>
      <c r="F84" s="78" t="s">
        <v>232</v>
      </c>
      <c r="G84" s="79" t="s">
        <v>226</v>
      </c>
      <c r="H84" s="80" t="s">
        <v>1818</v>
      </c>
      <c r="I84" s="81" t="b">
        <v>0</v>
      </c>
      <c r="J84" s="82" t="s">
        <v>7</v>
      </c>
      <c r="K84" s="83">
        <f t="shared" si="15"/>
        <v>0</v>
      </c>
      <c r="L84" s="84">
        <v>4000000.0</v>
      </c>
      <c r="M84" s="84">
        <v>30000.0</v>
      </c>
      <c r="N84" s="84">
        <v>2000.0</v>
      </c>
      <c r="O84" s="84">
        <f>IFERROR(Q84/M84,"-")</f>
        <v>0</v>
      </c>
      <c r="P84" s="84">
        <f>IFERROR(Q84/N84,"-")</f>
        <v>0</v>
      </c>
      <c r="Q84" s="84">
        <f t="shared" si="18"/>
        <v>0</v>
      </c>
      <c r="R84" s="75"/>
      <c r="S84" s="85" t="s">
        <v>234</v>
      </c>
      <c r="T84" s="85"/>
      <c r="U84" s="153" t="s">
        <v>222</v>
      </c>
      <c r="V84" s="9"/>
      <c r="W84" s="9"/>
    </row>
    <row r="85" ht="42.0" customHeight="1" outlineLevel="1">
      <c r="A85" s="72"/>
      <c r="B85" s="72"/>
      <c r="C85" s="72"/>
      <c r="D85" s="72"/>
      <c r="E85" s="72"/>
      <c r="F85" s="72"/>
      <c r="G85" s="72"/>
      <c r="H85" s="88" t="s">
        <v>1819</v>
      </c>
      <c r="I85" s="81" t="b">
        <v>0</v>
      </c>
      <c r="J85" s="82" t="s">
        <v>47</v>
      </c>
      <c r="K85" s="83">
        <f t="shared" si="15"/>
        <v>0</v>
      </c>
      <c r="L85" s="84">
        <v>2000000.0</v>
      </c>
      <c r="M85" s="84">
        <v>0.0</v>
      </c>
      <c r="N85" s="84">
        <v>0.0</v>
      </c>
      <c r="O85" s="84" t="s">
        <v>81</v>
      </c>
      <c r="P85" s="84" t="s">
        <v>81</v>
      </c>
      <c r="Q85" s="84">
        <f t="shared" si="18"/>
        <v>0</v>
      </c>
      <c r="R85" s="68"/>
      <c r="S85" s="72"/>
      <c r="T85" s="72"/>
      <c r="U85" s="72"/>
      <c r="V85" s="9"/>
      <c r="W85" s="9"/>
    </row>
    <row r="86" ht="84.75" customHeight="1" outlineLevel="1">
      <c r="A86" s="73" t="s">
        <v>236</v>
      </c>
      <c r="B86" s="148" t="s">
        <v>237</v>
      </c>
      <c r="C86" s="75" t="s">
        <v>38</v>
      </c>
      <c r="D86" s="76" t="s">
        <v>238</v>
      </c>
      <c r="E86" s="77" t="s">
        <v>146</v>
      </c>
      <c r="F86" s="78" t="s">
        <v>139</v>
      </c>
      <c r="G86" s="79" t="s">
        <v>105</v>
      </c>
      <c r="H86" s="80" t="s">
        <v>1820</v>
      </c>
      <c r="I86" s="81" t="b">
        <v>0</v>
      </c>
      <c r="J86" s="82" t="s">
        <v>7</v>
      </c>
      <c r="K86" s="83">
        <f t="shared" si="15"/>
        <v>0</v>
      </c>
      <c r="L86" s="84">
        <v>1.6E7</v>
      </c>
      <c r="M86" s="84">
        <v>70000.0</v>
      </c>
      <c r="N86" s="84">
        <v>4000.0</v>
      </c>
      <c r="O86" s="84">
        <f t="shared" ref="O86:O97" si="19">IFERROR(Q86/M86,"-")</f>
        <v>0</v>
      </c>
      <c r="P86" s="84">
        <f t="shared" ref="P86:P97" si="20">IFERROR(Q86/N86,"-")</f>
        <v>0</v>
      </c>
      <c r="Q86" s="84">
        <f t="shared" si="18"/>
        <v>0</v>
      </c>
      <c r="R86" s="75" t="s">
        <v>1821</v>
      </c>
      <c r="S86" s="85"/>
      <c r="T86" s="85"/>
      <c r="U86" s="149" t="s">
        <v>122</v>
      </c>
      <c r="V86" s="87"/>
      <c r="W86" s="9"/>
    </row>
    <row r="87" ht="84.75" customHeight="1" outlineLevel="1">
      <c r="A87" s="72"/>
      <c r="B87" s="72"/>
      <c r="C87" s="72"/>
      <c r="D87" s="72"/>
      <c r="E87" s="72"/>
      <c r="F87" s="72"/>
      <c r="G87" s="72"/>
      <c r="H87" s="88" t="s">
        <v>1822</v>
      </c>
      <c r="I87" s="81" t="b">
        <v>0</v>
      </c>
      <c r="J87" s="82" t="s">
        <v>47</v>
      </c>
      <c r="K87" s="83">
        <f t="shared" si="15"/>
        <v>0</v>
      </c>
      <c r="L87" s="84">
        <v>8000000.0</v>
      </c>
      <c r="M87" s="84">
        <v>0.0</v>
      </c>
      <c r="N87" s="84">
        <v>0.0</v>
      </c>
      <c r="O87" s="84" t="str">
        <f t="shared" si="19"/>
        <v>-</v>
      </c>
      <c r="P87" s="84" t="str">
        <f t="shared" si="20"/>
        <v>-</v>
      </c>
      <c r="Q87" s="84">
        <f t="shared" si="18"/>
        <v>0</v>
      </c>
      <c r="R87" s="72"/>
      <c r="S87" s="72"/>
      <c r="T87" s="72"/>
      <c r="U87" s="72"/>
      <c r="V87" s="9"/>
      <c r="W87" s="9"/>
    </row>
    <row r="88" ht="84.75" customHeight="1" outlineLevel="1">
      <c r="A88" s="73" t="s">
        <v>109</v>
      </c>
      <c r="B88" s="148" t="s">
        <v>242</v>
      </c>
      <c r="C88" s="75" t="s">
        <v>38</v>
      </c>
      <c r="D88" s="76" t="s">
        <v>243</v>
      </c>
      <c r="E88" s="77" t="s">
        <v>146</v>
      </c>
      <c r="F88" s="78" t="s">
        <v>244</v>
      </c>
      <c r="G88" s="79" t="s">
        <v>105</v>
      </c>
      <c r="H88" s="80" t="s">
        <v>1823</v>
      </c>
      <c r="I88" s="97" t="b">
        <v>1</v>
      </c>
      <c r="J88" s="82" t="s">
        <v>7</v>
      </c>
      <c r="K88" s="83">
        <f t="shared" si="15"/>
        <v>1</v>
      </c>
      <c r="L88" s="84">
        <v>1.0E7</v>
      </c>
      <c r="M88" s="84">
        <v>35000.0</v>
      </c>
      <c r="N88" s="84">
        <v>1500.0</v>
      </c>
      <c r="O88" s="84">
        <f t="shared" si="19"/>
        <v>285.7142857</v>
      </c>
      <c r="P88" s="84">
        <f t="shared" si="20"/>
        <v>6666.666667</v>
      </c>
      <c r="Q88" s="84">
        <f t="shared" si="18"/>
        <v>10000000</v>
      </c>
      <c r="R88" s="75" t="s">
        <v>1824</v>
      </c>
      <c r="S88" s="85"/>
      <c r="T88" s="85"/>
      <c r="U88" s="149" t="s">
        <v>122</v>
      </c>
      <c r="V88" s="9"/>
      <c r="W88" s="9"/>
    </row>
    <row r="89" ht="84.75" customHeight="1" outlineLevel="1">
      <c r="A89" s="72"/>
      <c r="B89" s="72"/>
      <c r="C89" s="72"/>
      <c r="D89" s="72"/>
      <c r="E89" s="72"/>
      <c r="F89" s="72"/>
      <c r="G89" s="72"/>
      <c r="H89" s="88" t="s">
        <v>1825</v>
      </c>
      <c r="I89" s="97" t="b">
        <v>1</v>
      </c>
      <c r="J89" s="82" t="s">
        <v>47</v>
      </c>
      <c r="K89" s="83">
        <f t="shared" si="15"/>
        <v>1</v>
      </c>
      <c r="L89" s="90">
        <v>2000000.0</v>
      </c>
      <c r="M89" s="84">
        <v>0.0</v>
      </c>
      <c r="N89" s="84">
        <v>0.0</v>
      </c>
      <c r="O89" s="84" t="str">
        <f t="shared" si="19"/>
        <v>-</v>
      </c>
      <c r="P89" s="84" t="str">
        <f t="shared" si="20"/>
        <v>-</v>
      </c>
      <c r="Q89" s="84">
        <f t="shared" si="18"/>
        <v>2000000</v>
      </c>
      <c r="R89" s="72"/>
      <c r="S89" s="72"/>
      <c r="T89" s="72"/>
      <c r="U89" s="72"/>
      <c r="V89" s="87"/>
      <c r="W89" s="9"/>
    </row>
    <row r="90" ht="84.75" customHeight="1" outlineLevel="1">
      <c r="A90" s="73" t="s">
        <v>109</v>
      </c>
      <c r="B90" s="148" t="s">
        <v>248</v>
      </c>
      <c r="C90" s="75" t="s">
        <v>38</v>
      </c>
      <c r="D90" s="76" t="s">
        <v>249</v>
      </c>
      <c r="E90" s="77" t="s">
        <v>146</v>
      </c>
      <c r="F90" s="78" t="s">
        <v>250</v>
      </c>
      <c r="G90" s="79" t="s">
        <v>105</v>
      </c>
      <c r="H90" s="80" t="s">
        <v>1826</v>
      </c>
      <c r="I90" s="97" t="b">
        <v>1</v>
      </c>
      <c r="J90" s="82" t="s">
        <v>7</v>
      </c>
      <c r="K90" s="83">
        <f t="shared" si="15"/>
        <v>1</v>
      </c>
      <c r="L90" s="84">
        <v>7000000.0</v>
      </c>
      <c r="M90" s="84">
        <v>25000.0</v>
      </c>
      <c r="N90" s="84">
        <v>1500.0</v>
      </c>
      <c r="O90" s="84">
        <f t="shared" si="19"/>
        <v>280</v>
      </c>
      <c r="P90" s="84">
        <f t="shared" si="20"/>
        <v>4666.666667</v>
      </c>
      <c r="Q90" s="84">
        <f t="shared" si="18"/>
        <v>7000000</v>
      </c>
      <c r="R90" s="75" t="s">
        <v>1827</v>
      </c>
      <c r="S90" s="85"/>
      <c r="T90" s="85"/>
      <c r="U90" s="149" t="s">
        <v>122</v>
      </c>
      <c r="V90" s="9"/>
      <c r="W90" s="9"/>
    </row>
    <row r="91" ht="84.75" customHeight="1" outlineLevel="1">
      <c r="A91" s="72"/>
      <c r="B91" s="72"/>
      <c r="C91" s="72"/>
      <c r="D91" s="72"/>
      <c r="E91" s="72"/>
      <c r="F91" s="72"/>
      <c r="G91" s="72"/>
      <c r="H91" s="88" t="s">
        <v>1828</v>
      </c>
      <c r="I91" s="97" t="b">
        <v>1</v>
      </c>
      <c r="J91" s="82" t="s">
        <v>47</v>
      </c>
      <c r="K91" s="83">
        <f t="shared" si="15"/>
        <v>1</v>
      </c>
      <c r="L91" s="84">
        <v>3000000.0</v>
      </c>
      <c r="M91" s="84">
        <v>0.0</v>
      </c>
      <c r="N91" s="84">
        <v>0.0</v>
      </c>
      <c r="O91" s="84" t="str">
        <f t="shared" si="19"/>
        <v>-</v>
      </c>
      <c r="P91" s="84" t="str">
        <f t="shared" si="20"/>
        <v>-</v>
      </c>
      <c r="Q91" s="84">
        <f t="shared" si="18"/>
        <v>3000000</v>
      </c>
      <c r="R91" s="72"/>
      <c r="S91" s="72"/>
      <c r="T91" s="72"/>
      <c r="U91" s="72"/>
      <c r="V91" s="9"/>
      <c r="W91" s="9"/>
    </row>
    <row r="92" ht="84.75" customHeight="1" outlineLevel="1">
      <c r="A92" s="73" t="s">
        <v>109</v>
      </c>
      <c r="B92" s="148" t="s">
        <v>254</v>
      </c>
      <c r="C92" s="75" t="s">
        <v>38</v>
      </c>
      <c r="D92" s="76" t="s">
        <v>255</v>
      </c>
      <c r="E92" s="77" t="s">
        <v>146</v>
      </c>
      <c r="F92" s="78" t="s">
        <v>256</v>
      </c>
      <c r="G92" s="79" t="s">
        <v>105</v>
      </c>
      <c r="H92" s="80" t="s">
        <v>1829</v>
      </c>
      <c r="I92" s="97" t="b">
        <v>1</v>
      </c>
      <c r="J92" s="82" t="s">
        <v>7</v>
      </c>
      <c r="K92" s="83">
        <f t="shared" si="15"/>
        <v>1</v>
      </c>
      <c r="L92" s="84">
        <v>9000000.0</v>
      </c>
      <c r="M92" s="84">
        <v>30000.0</v>
      </c>
      <c r="N92" s="84">
        <v>1500.0</v>
      </c>
      <c r="O92" s="84">
        <f t="shared" si="19"/>
        <v>300</v>
      </c>
      <c r="P92" s="84">
        <f t="shared" si="20"/>
        <v>6000</v>
      </c>
      <c r="Q92" s="84">
        <f t="shared" si="18"/>
        <v>9000000</v>
      </c>
      <c r="R92" s="75" t="s">
        <v>1830</v>
      </c>
      <c r="S92" s="85"/>
      <c r="T92" s="85"/>
      <c r="U92" s="149" t="s">
        <v>122</v>
      </c>
      <c r="V92" s="9"/>
      <c r="W92" s="9"/>
    </row>
    <row r="93" ht="84.75" customHeight="1" outlineLevel="1">
      <c r="A93" s="72"/>
      <c r="B93" s="72"/>
      <c r="C93" s="72"/>
      <c r="D93" s="72"/>
      <c r="E93" s="72"/>
      <c r="F93" s="72"/>
      <c r="G93" s="72"/>
      <c r="H93" s="88" t="s">
        <v>1831</v>
      </c>
      <c r="I93" s="97" t="b">
        <v>1</v>
      </c>
      <c r="J93" s="82" t="s">
        <v>47</v>
      </c>
      <c r="K93" s="83">
        <f t="shared" si="15"/>
        <v>1</v>
      </c>
      <c r="L93" s="84">
        <v>3000000.0</v>
      </c>
      <c r="M93" s="84">
        <v>0.0</v>
      </c>
      <c r="N93" s="84">
        <v>0.0</v>
      </c>
      <c r="O93" s="84" t="str">
        <f t="shared" si="19"/>
        <v>-</v>
      </c>
      <c r="P93" s="84" t="str">
        <f t="shared" si="20"/>
        <v>-</v>
      </c>
      <c r="Q93" s="84">
        <f t="shared" si="18"/>
        <v>3000000</v>
      </c>
      <c r="R93" s="72"/>
      <c r="S93" s="72"/>
      <c r="T93" s="72"/>
      <c r="U93" s="72"/>
      <c r="V93" s="9"/>
      <c r="W93" s="9"/>
    </row>
    <row r="94" ht="42.0" customHeight="1" outlineLevel="1">
      <c r="A94" s="73" t="s">
        <v>101</v>
      </c>
      <c r="B94" s="154" t="s">
        <v>260</v>
      </c>
      <c r="C94" s="75" t="s">
        <v>38</v>
      </c>
      <c r="D94" s="76" t="s">
        <v>261</v>
      </c>
      <c r="E94" s="77" t="s">
        <v>146</v>
      </c>
      <c r="F94" s="78" t="s">
        <v>262</v>
      </c>
      <c r="G94" s="79" t="s">
        <v>105</v>
      </c>
      <c r="H94" s="80" t="s">
        <v>1832</v>
      </c>
      <c r="I94" s="81" t="b">
        <v>0</v>
      </c>
      <c r="J94" s="82" t="s">
        <v>7</v>
      </c>
      <c r="K94" s="83">
        <f t="shared" si="15"/>
        <v>0</v>
      </c>
      <c r="L94" s="84">
        <v>6000000.0</v>
      </c>
      <c r="M94" s="84">
        <v>20000.0</v>
      </c>
      <c r="N94" s="84">
        <v>1000.0</v>
      </c>
      <c r="O94" s="84">
        <f t="shared" si="19"/>
        <v>0</v>
      </c>
      <c r="P94" s="84">
        <f t="shared" si="20"/>
        <v>0</v>
      </c>
      <c r="Q94" s="84">
        <f t="shared" si="18"/>
        <v>0</v>
      </c>
      <c r="R94" s="75"/>
      <c r="S94" s="85"/>
      <c r="T94" s="85"/>
      <c r="U94" s="149" t="s">
        <v>122</v>
      </c>
      <c r="V94" s="9"/>
      <c r="W94" s="9"/>
    </row>
    <row r="95" ht="42.0" customHeight="1" outlineLevel="1">
      <c r="A95" s="72"/>
      <c r="B95" s="72"/>
      <c r="C95" s="72"/>
      <c r="D95" s="72"/>
      <c r="E95" s="72"/>
      <c r="F95" s="72"/>
      <c r="G95" s="72"/>
      <c r="H95" s="88" t="s">
        <v>1833</v>
      </c>
      <c r="I95" s="81" t="b">
        <v>0</v>
      </c>
      <c r="J95" s="82" t="s">
        <v>47</v>
      </c>
      <c r="K95" s="83">
        <f t="shared" si="15"/>
        <v>0</v>
      </c>
      <c r="L95" s="84">
        <v>3000000.0</v>
      </c>
      <c r="M95" s="84">
        <v>0.0</v>
      </c>
      <c r="N95" s="84">
        <v>0.0</v>
      </c>
      <c r="O95" s="84" t="str">
        <f t="shared" si="19"/>
        <v>-</v>
      </c>
      <c r="P95" s="84" t="str">
        <f t="shared" si="20"/>
        <v>-</v>
      </c>
      <c r="Q95" s="84">
        <f t="shared" si="18"/>
        <v>0</v>
      </c>
      <c r="R95" s="68"/>
      <c r="S95" s="72"/>
      <c r="T95" s="72"/>
      <c r="U95" s="72"/>
      <c r="V95" s="87"/>
      <c r="W95" s="9"/>
    </row>
    <row r="96" ht="42.0" customHeight="1" outlineLevel="1">
      <c r="A96" s="73" t="s">
        <v>101</v>
      </c>
      <c r="B96" s="151" t="s">
        <v>265</v>
      </c>
      <c r="C96" s="75" t="s">
        <v>38</v>
      </c>
      <c r="D96" s="76" t="s">
        <v>266</v>
      </c>
      <c r="E96" s="77" t="s">
        <v>146</v>
      </c>
      <c r="F96" s="78" t="s">
        <v>267</v>
      </c>
      <c r="G96" s="79" t="s">
        <v>226</v>
      </c>
      <c r="H96" s="80" t="s">
        <v>1834</v>
      </c>
      <c r="I96" s="81" t="b">
        <v>0</v>
      </c>
      <c r="J96" s="82" t="s">
        <v>7</v>
      </c>
      <c r="K96" s="83">
        <f t="shared" si="15"/>
        <v>0</v>
      </c>
      <c r="L96" s="84">
        <v>8000000.0</v>
      </c>
      <c r="M96" s="84">
        <v>20000.0</v>
      </c>
      <c r="N96" s="84">
        <v>1500.0</v>
      </c>
      <c r="O96" s="84">
        <f t="shared" si="19"/>
        <v>0</v>
      </c>
      <c r="P96" s="84">
        <f t="shared" si="20"/>
        <v>0</v>
      </c>
      <c r="Q96" s="84">
        <f t="shared" si="18"/>
        <v>0</v>
      </c>
      <c r="R96" s="75"/>
      <c r="S96" s="85"/>
      <c r="T96" s="85"/>
      <c r="U96" s="149" t="s">
        <v>122</v>
      </c>
      <c r="V96" s="9"/>
      <c r="W96" s="9"/>
    </row>
    <row r="97" ht="42.0" customHeight="1" outlineLevel="1">
      <c r="A97" s="72"/>
      <c r="B97" s="72"/>
      <c r="C97" s="72"/>
      <c r="D97" s="72"/>
      <c r="E97" s="72"/>
      <c r="F97" s="72"/>
      <c r="G97" s="72"/>
      <c r="H97" s="88" t="s">
        <v>1835</v>
      </c>
      <c r="I97" s="81" t="b">
        <v>0</v>
      </c>
      <c r="J97" s="82" t="s">
        <v>47</v>
      </c>
      <c r="K97" s="83">
        <f t="shared" si="15"/>
        <v>0</v>
      </c>
      <c r="L97" s="84">
        <v>4000000.0</v>
      </c>
      <c r="M97" s="84">
        <v>0.0</v>
      </c>
      <c r="N97" s="84">
        <v>0.0</v>
      </c>
      <c r="O97" s="84" t="str">
        <f t="shared" si="19"/>
        <v>-</v>
      </c>
      <c r="P97" s="84" t="str">
        <f t="shared" si="20"/>
        <v>-</v>
      </c>
      <c r="Q97" s="84">
        <f t="shared" si="18"/>
        <v>0</v>
      </c>
      <c r="R97" s="68"/>
      <c r="S97" s="72"/>
      <c r="T97" s="72"/>
      <c r="U97" s="72"/>
      <c r="V97" s="9"/>
      <c r="W97" s="9"/>
    </row>
    <row r="98" outlineLevel="1">
      <c r="A98" s="134" t="s">
        <v>270</v>
      </c>
      <c r="B98" s="135" t="s">
        <v>271</v>
      </c>
      <c r="C98" s="136"/>
      <c r="D98" s="137"/>
      <c r="E98" s="138"/>
      <c r="F98" s="139"/>
      <c r="G98" s="140"/>
      <c r="H98" s="136"/>
      <c r="I98" s="141" t="b">
        <v>0</v>
      </c>
      <c r="J98" s="142"/>
      <c r="K98" s="143"/>
      <c r="L98" s="144"/>
      <c r="M98" s="144"/>
      <c r="N98" s="144"/>
      <c r="O98" s="144"/>
      <c r="P98" s="144"/>
      <c r="Q98" s="144"/>
      <c r="R98" s="136"/>
      <c r="S98" s="145"/>
      <c r="T98" s="145"/>
      <c r="U98" s="138"/>
      <c r="V98" s="146"/>
      <c r="W98" s="146"/>
    </row>
    <row r="99" ht="42.75" customHeight="1" outlineLevel="1">
      <c r="A99" s="73" t="s">
        <v>45</v>
      </c>
      <c r="B99" s="147" t="s">
        <v>272</v>
      </c>
      <c r="C99" s="75" t="s">
        <v>38</v>
      </c>
      <c r="D99" s="76" t="s">
        <v>273</v>
      </c>
      <c r="E99" s="77" t="s">
        <v>146</v>
      </c>
      <c r="F99" s="78" t="s">
        <v>274</v>
      </c>
      <c r="G99" s="79" t="s">
        <v>275</v>
      </c>
      <c r="H99" s="80" t="s">
        <v>1836</v>
      </c>
      <c r="I99" s="81" t="b">
        <v>1</v>
      </c>
      <c r="J99" s="82" t="s">
        <v>7</v>
      </c>
      <c r="K99" s="83">
        <f t="shared" ref="K99:K106" si="21">if(I99=True,1,if(I99=False,0))</f>
        <v>1</v>
      </c>
      <c r="L99" s="84">
        <v>5000000.0</v>
      </c>
      <c r="M99" s="84">
        <v>40000.0</v>
      </c>
      <c r="N99" s="84">
        <v>2000.0</v>
      </c>
      <c r="O99" s="84">
        <f t="shared" ref="O99:O106" si="22">IFERROR(Q99/M99,"-")</f>
        <v>125</v>
      </c>
      <c r="P99" s="84">
        <f t="shared" ref="P99:P106" si="23">IFERROR(Q99/N99,"-")</f>
        <v>2500</v>
      </c>
      <c r="Q99" s="84">
        <f t="shared" ref="Q99:Q106" si="24">iferror(L99*K99,"-")</f>
        <v>5000000</v>
      </c>
      <c r="R99" s="75" t="s">
        <v>1837</v>
      </c>
      <c r="S99" s="85" t="s">
        <v>278</v>
      </c>
      <c r="T99" s="85"/>
      <c r="U99" s="86" t="s">
        <v>45</v>
      </c>
      <c r="V99" s="9"/>
      <c r="W99" s="9"/>
    </row>
    <row r="100" ht="42.75" customHeight="1" outlineLevel="1">
      <c r="A100" s="72"/>
      <c r="B100" s="72"/>
      <c r="C100" s="72"/>
      <c r="D100" s="72"/>
      <c r="E100" s="72"/>
      <c r="F100" s="72"/>
      <c r="G100" s="72"/>
      <c r="H100" s="88" t="s">
        <v>1838</v>
      </c>
      <c r="I100" s="81" t="b">
        <v>1</v>
      </c>
      <c r="J100" s="82" t="s">
        <v>47</v>
      </c>
      <c r="K100" s="83">
        <f t="shared" si="21"/>
        <v>1</v>
      </c>
      <c r="L100" s="84">
        <v>2000000.0</v>
      </c>
      <c r="M100" s="84">
        <v>0.0</v>
      </c>
      <c r="N100" s="84">
        <v>0.0</v>
      </c>
      <c r="O100" s="84" t="str">
        <f t="shared" si="22"/>
        <v>-</v>
      </c>
      <c r="P100" s="84" t="str">
        <f t="shared" si="23"/>
        <v>-</v>
      </c>
      <c r="Q100" s="84">
        <f t="shared" si="24"/>
        <v>2000000</v>
      </c>
      <c r="R100" s="68"/>
      <c r="S100" s="72"/>
      <c r="T100" s="72"/>
      <c r="U100" s="72"/>
      <c r="V100" s="9"/>
      <c r="W100" s="9"/>
    </row>
    <row r="101" ht="42.75" customHeight="1" outlineLevel="1">
      <c r="A101" s="73" t="s">
        <v>73</v>
      </c>
      <c r="B101" s="91" t="s">
        <v>280</v>
      </c>
      <c r="C101" s="75" t="s">
        <v>38</v>
      </c>
      <c r="D101" s="76">
        <v>13600.0</v>
      </c>
      <c r="E101" s="77" t="s">
        <v>146</v>
      </c>
      <c r="F101" s="78" t="s">
        <v>281</v>
      </c>
      <c r="G101" s="79" t="s">
        <v>41</v>
      </c>
      <c r="H101" s="80" t="s">
        <v>1839</v>
      </c>
      <c r="I101" s="81" t="b">
        <v>1</v>
      </c>
      <c r="J101" s="82" t="s">
        <v>7</v>
      </c>
      <c r="K101" s="83">
        <f t="shared" si="21"/>
        <v>1</v>
      </c>
      <c r="L101" s="84">
        <v>5000000.0</v>
      </c>
      <c r="M101" s="84">
        <v>25000.0</v>
      </c>
      <c r="N101" s="84">
        <v>1500.0</v>
      </c>
      <c r="O101" s="84">
        <f t="shared" si="22"/>
        <v>200</v>
      </c>
      <c r="P101" s="84">
        <f t="shared" si="23"/>
        <v>3333.333333</v>
      </c>
      <c r="Q101" s="84">
        <f t="shared" si="24"/>
        <v>5000000</v>
      </c>
      <c r="R101" s="68"/>
      <c r="S101" s="85" t="s">
        <v>283</v>
      </c>
      <c r="T101" s="93" t="s">
        <v>79</v>
      </c>
      <c r="U101" s="153" t="s">
        <v>222</v>
      </c>
      <c r="V101" s="9"/>
      <c r="W101" s="9"/>
    </row>
    <row r="102" ht="42.75" customHeight="1" outlineLevel="1">
      <c r="A102" s="72"/>
      <c r="B102" s="72"/>
      <c r="C102" s="72"/>
      <c r="D102" s="72"/>
      <c r="E102" s="72"/>
      <c r="F102" s="72"/>
      <c r="G102" s="72"/>
      <c r="H102" s="88" t="s">
        <v>1840</v>
      </c>
      <c r="I102" s="81" t="b">
        <v>1</v>
      </c>
      <c r="J102" s="82" t="s">
        <v>47</v>
      </c>
      <c r="K102" s="83">
        <f t="shared" si="21"/>
        <v>1</v>
      </c>
      <c r="L102" s="84">
        <v>2000000.0</v>
      </c>
      <c r="M102" s="84">
        <v>0.0</v>
      </c>
      <c r="N102" s="84">
        <v>0.0</v>
      </c>
      <c r="O102" s="84" t="str">
        <f t="shared" si="22"/>
        <v>-</v>
      </c>
      <c r="P102" s="84" t="str">
        <f t="shared" si="23"/>
        <v>-</v>
      </c>
      <c r="Q102" s="84">
        <f t="shared" si="24"/>
        <v>2000000</v>
      </c>
      <c r="R102" s="68"/>
      <c r="S102" s="72"/>
      <c r="T102" s="72"/>
      <c r="U102" s="72"/>
      <c r="V102" s="9"/>
      <c r="W102" s="9"/>
    </row>
    <row r="103" ht="42.75" customHeight="1" outlineLevel="1">
      <c r="A103" s="73" t="s">
        <v>73</v>
      </c>
      <c r="B103" s="96" t="s">
        <v>285</v>
      </c>
      <c r="C103" s="75" t="s">
        <v>38</v>
      </c>
      <c r="D103" s="76" t="s">
        <v>286</v>
      </c>
      <c r="E103" s="77" t="s">
        <v>146</v>
      </c>
      <c r="F103" s="78" t="s">
        <v>287</v>
      </c>
      <c r="G103" s="79" t="s">
        <v>275</v>
      </c>
      <c r="H103" s="80" t="s">
        <v>1841</v>
      </c>
      <c r="I103" s="81" t="b">
        <v>1</v>
      </c>
      <c r="J103" s="82" t="s">
        <v>7</v>
      </c>
      <c r="K103" s="83">
        <f t="shared" si="21"/>
        <v>1</v>
      </c>
      <c r="L103" s="84">
        <v>5000000.0</v>
      </c>
      <c r="M103" s="84">
        <v>20000.0</v>
      </c>
      <c r="N103" s="84">
        <v>1000.0</v>
      </c>
      <c r="O103" s="84">
        <f t="shared" si="22"/>
        <v>250</v>
      </c>
      <c r="P103" s="84">
        <f t="shared" si="23"/>
        <v>5000</v>
      </c>
      <c r="Q103" s="84">
        <f t="shared" si="24"/>
        <v>5000000</v>
      </c>
      <c r="R103" s="68"/>
      <c r="S103" s="85" t="s">
        <v>289</v>
      </c>
      <c r="T103" s="93" t="s">
        <v>79</v>
      </c>
      <c r="U103" s="153" t="s">
        <v>222</v>
      </c>
      <c r="V103" s="9"/>
      <c r="W103" s="9"/>
    </row>
    <row r="104" ht="42.75" customHeight="1" outlineLevel="1">
      <c r="A104" s="72"/>
      <c r="B104" s="72"/>
      <c r="C104" s="72"/>
      <c r="D104" s="72"/>
      <c r="E104" s="72"/>
      <c r="F104" s="72"/>
      <c r="G104" s="72"/>
      <c r="H104" s="88" t="s">
        <v>1842</v>
      </c>
      <c r="I104" s="81" t="b">
        <v>1</v>
      </c>
      <c r="J104" s="82" t="s">
        <v>47</v>
      </c>
      <c r="K104" s="83">
        <f t="shared" si="21"/>
        <v>1</v>
      </c>
      <c r="L104" s="84">
        <v>2000000.0</v>
      </c>
      <c r="M104" s="84">
        <v>0.0</v>
      </c>
      <c r="N104" s="84">
        <v>0.0</v>
      </c>
      <c r="O104" s="84" t="str">
        <f t="shared" si="22"/>
        <v>-</v>
      </c>
      <c r="P104" s="84" t="str">
        <f t="shared" si="23"/>
        <v>-</v>
      </c>
      <c r="Q104" s="84">
        <f t="shared" si="24"/>
        <v>2000000</v>
      </c>
      <c r="R104" s="68"/>
      <c r="S104" s="72"/>
      <c r="T104" s="72"/>
      <c r="U104" s="72"/>
      <c r="V104" s="9"/>
      <c r="W104" s="9"/>
    </row>
    <row r="105" ht="42.75" customHeight="1" outlineLevel="1">
      <c r="A105" s="73" t="s">
        <v>101</v>
      </c>
      <c r="B105" s="151" t="s">
        <v>291</v>
      </c>
      <c r="C105" s="75" t="s">
        <v>38</v>
      </c>
      <c r="D105" s="155" t="s">
        <v>292</v>
      </c>
      <c r="E105" s="77" t="s">
        <v>146</v>
      </c>
      <c r="F105" s="78" t="s">
        <v>293</v>
      </c>
      <c r="G105" s="79" t="s">
        <v>41</v>
      </c>
      <c r="H105" s="80" t="s">
        <v>1843</v>
      </c>
      <c r="I105" s="81" t="b">
        <v>1</v>
      </c>
      <c r="J105" s="82" t="s">
        <v>7</v>
      </c>
      <c r="K105" s="83">
        <f t="shared" si="21"/>
        <v>1</v>
      </c>
      <c r="L105" s="84">
        <v>5000000.0</v>
      </c>
      <c r="M105" s="84">
        <v>20000.0</v>
      </c>
      <c r="N105" s="84">
        <v>1500.0</v>
      </c>
      <c r="O105" s="84">
        <f t="shared" si="22"/>
        <v>250</v>
      </c>
      <c r="P105" s="84">
        <f t="shared" si="23"/>
        <v>3333.333333</v>
      </c>
      <c r="Q105" s="84">
        <f t="shared" si="24"/>
        <v>5000000</v>
      </c>
      <c r="R105" s="68"/>
      <c r="S105" s="85"/>
      <c r="T105" s="85"/>
      <c r="U105" s="149" t="s">
        <v>122</v>
      </c>
      <c r="V105" s="9"/>
      <c r="W105" s="9"/>
    </row>
    <row r="106" ht="42.75" customHeight="1" outlineLevel="1">
      <c r="A106" s="72"/>
      <c r="B106" s="72"/>
      <c r="C106" s="72"/>
      <c r="D106" s="72"/>
      <c r="E106" s="72"/>
      <c r="F106" s="72"/>
      <c r="G106" s="72"/>
      <c r="H106" s="88" t="s">
        <v>1844</v>
      </c>
      <c r="I106" s="81" t="b">
        <v>1</v>
      </c>
      <c r="J106" s="82" t="s">
        <v>47</v>
      </c>
      <c r="K106" s="83">
        <f t="shared" si="21"/>
        <v>1</v>
      </c>
      <c r="L106" s="84">
        <v>3000000.0</v>
      </c>
      <c r="M106" s="84">
        <v>0.0</v>
      </c>
      <c r="N106" s="84">
        <v>0.0</v>
      </c>
      <c r="O106" s="84" t="str">
        <f t="shared" si="22"/>
        <v>-</v>
      </c>
      <c r="P106" s="84" t="str">
        <f t="shared" si="23"/>
        <v>-</v>
      </c>
      <c r="Q106" s="84">
        <f t="shared" si="24"/>
        <v>3000000</v>
      </c>
      <c r="R106" s="72"/>
      <c r="S106" s="72"/>
      <c r="T106" s="72"/>
      <c r="U106" s="72"/>
      <c r="V106" s="87"/>
      <c r="W106" s="9"/>
    </row>
    <row r="107" ht="42.75" customHeight="1" outlineLevel="1">
      <c r="A107" s="134" t="s">
        <v>296</v>
      </c>
      <c r="B107" s="135" t="s">
        <v>297</v>
      </c>
      <c r="C107" s="136"/>
      <c r="D107" s="137"/>
      <c r="E107" s="138"/>
      <c r="F107" s="139"/>
      <c r="G107" s="140"/>
      <c r="H107" s="136"/>
      <c r="I107" s="141" t="b">
        <v>0</v>
      </c>
      <c r="J107" s="142"/>
      <c r="K107" s="143"/>
      <c r="L107" s="144"/>
      <c r="M107" s="144"/>
      <c r="N107" s="144"/>
      <c r="O107" s="144"/>
      <c r="P107" s="144"/>
      <c r="Q107" s="144"/>
      <c r="R107" s="136"/>
      <c r="S107" s="145"/>
      <c r="T107" s="145"/>
      <c r="U107" s="138"/>
      <c r="V107" s="146"/>
      <c r="W107" s="146"/>
    </row>
    <row r="108" ht="42.75" customHeight="1" outlineLevel="1">
      <c r="A108" s="73" t="s">
        <v>45</v>
      </c>
      <c r="B108" s="147" t="s">
        <v>298</v>
      </c>
      <c r="C108" s="75" t="s">
        <v>38</v>
      </c>
      <c r="D108" s="76">
        <v>270000.0</v>
      </c>
      <c r="E108" s="77" t="s">
        <v>40</v>
      </c>
      <c r="F108" s="78" t="s">
        <v>299</v>
      </c>
      <c r="G108" s="79" t="s">
        <v>300</v>
      </c>
      <c r="H108" s="80" t="s">
        <v>1845</v>
      </c>
      <c r="I108" s="81" t="b">
        <v>1</v>
      </c>
      <c r="J108" s="82" t="s">
        <v>7</v>
      </c>
      <c r="K108" s="83">
        <f t="shared" ref="K108:K113" si="25">if(I108=True,1,if(I108=False,0))</f>
        <v>1</v>
      </c>
      <c r="L108" s="84">
        <v>6000000.0</v>
      </c>
      <c r="M108" s="84">
        <v>30000.0</v>
      </c>
      <c r="N108" s="84">
        <v>2000.0</v>
      </c>
      <c r="O108" s="84">
        <f>IFERROR(Q108/M108,"-")</f>
        <v>200</v>
      </c>
      <c r="P108" s="84">
        <f>IFERROR(Q108/N108,"-")</f>
        <v>3000</v>
      </c>
      <c r="Q108" s="84">
        <f t="shared" ref="Q108:Q113" si="26">iferror(L108*K108,"-")</f>
        <v>6000000</v>
      </c>
      <c r="R108" s="75" t="s">
        <v>1846</v>
      </c>
      <c r="S108" s="85" t="s">
        <v>303</v>
      </c>
      <c r="T108" s="85"/>
      <c r="U108" s="86" t="s">
        <v>45</v>
      </c>
      <c r="V108" s="9"/>
      <c r="W108" s="9"/>
    </row>
    <row r="109" ht="42.75" customHeight="1" outlineLevel="1">
      <c r="A109" s="72"/>
      <c r="B109" s="72"/>
      <c r="C109" s="72"/>
      <c r="D109" s="72"/>
      <c r="E109" s="72"/>
      <c r="F109" s="72"/>
      <c r="G109" s="72"/>
      <c r="H109" s="88" t="s">
        <v>1847</v>
      </c>
      <c r="I109" s="81" t="b">
        <v>1</v>
      </c>
      <c r="J109" s="82" t="s">
        <v>47</v>
      </c>
      <c r="K109" s="83">
        <f t="shared" si="25"/>
        <v>1</v>
      </c>
      <c r="L109" s="84">
        <v>2000000.0</v>
      </c>
      <c r="M109" s="84">
        <v>0.0</v>
      </c>
      <c r="N109" s="84">
        <v>0.0</v>
      </c>
      <c r="O109" s="84" t="s">
        <v>81</v>
      </c>
      <c r="P109" s="84" t="s">
        <v>81</v>
      </c>
      <c r="Q109" s="84">
        <f t="shared" si="26"/>
        <v>2000000</v>
      </c>
      <c r="R109" s="68"/>
      <c r="S109" s="72"/>
      <c r="T109" s="72"/>
      <c r="U109" s="72"/>
      <c r="V109" s="9"/>
      <c r="W109" s="9"/>
    </row>
    <row r="110" ht="42.75" customHeight="1" outlineLevel="1">
      <c r="A110" s="73" t="s">
        <v>73</v>
      </c>
      <c r="B110" s="91" t="s">
        <v>306</v>
      </c>
      <c r="C110" s="75" t="s">
        <v>38</v>
      </c>
      <c r="D110" s="76">
        <v>129000.0</v>
      </c>
      <c r="E110" s="77" t="s">
        <v>40</v>
      </c>
      <c r="F110" s="78" t="s">
        <v>307</v>
      </c>
      <c r="G110" s="79" t="s">
        <v>308</v>
      </c>
      <c r="H110" s="80" t="s">
        <v>1848</v>
      </c>
      <c r="I110" s="81" t="b">
        <v>1</v>
      </c>
      <c r="J110" s="82" t="s">
        <v>7</v>
      </c>
      <c r="K110" s="83">
        <f t="shared" si="25"/>
        <v>1</v>
      </c>
      <c r="L110" s="84">
        <v>6000000.0</v>
      </c>
      <c r="M110" s="84">
        <v>40000.0</v>
      </c>
      <c r="N110" s="84">
        <v>2000.0</v>
      </c>
      <c r="O110" s="84">
        <f>IFERROR(Q110/M110,"-")</f>
        <v>150</v>
      </c>
      <c r="P110" s="84">
        <f>IFERROR(Q110/N110,"-")</f>
        <v>3000</v>
      </c>
      <c r="Q110" s="84">
        <f t="shared" si="26"/>
        <v>6000000</v>
      </c>
      <c r="R110" s="68"/>
      <c r="S110" s="85" t="s">
        <v>310</v>
      </c>
      <c r="T110" s="85" t="s">
        <v>79</v>
      </c>
      <c r="U110" s="153" t="s">
        <v>222</v>
      </c>
      <c r="V110" s="9"/>
      <c r="W110" s="9"/>
    </row>
    <row r="111" ht="42.75" customHeight="1" outlineLevel="1">
      <c r="A111" s="72"/>
      <c r="B111" s="72"/>
      <c r="C111" s="72"/>
      <c r="D111" s="72"/>
      <c r="E111" s="72"/>
      <c r="F111" s="72"/>
      <c r="G111" s="72"/>
      <c r="H111" s="88" t="s">
        <v>1849</v>
      </c>
      <c r="I111" s="81" t="b">
        <v>1</v>
      </c>
      <c r="J111" s="82" t="s">
        <v>47</v>
      </c>
      <c r="K111" s="83">
        <f t="shared" si="25"/>
        <v>1</v>
      </c>
      <c r="L111" s="84">
        <v>2000000.0</v>
      </c>
      <c r="M111" s="84">
        <v>0.0</v>
      </c>
      <c r="N111" s="84">
        <v>0.0</v>
      </c>
      <c r="O111" s="84" t="s">
        <v>81</v>
      </c>
      <c r="P111" s="84" t="s">
        <v>81</v>
      </c>
      <c r="Q111" s="84">
        <f t="shared" si="26"/>
        <v>2000000</v>
      </c>
      <c r="R111" s="68"/>
      <c r="S111" s="72"/>
      <c r="T111" s="72"/>
      <c r="U111" s="72"/>
      <c r="V111" s="9"/>
      <c r="W111" s="9"/>
    </row>
    <row r="112" ht="42.75" customHeight="1" outlineLevel="1">
      <c r="A112" s="73" t="s">
        <v>101</v>
      </c>
      <c r="B112" s="152" t="s">
        <v>312</v>
      </c>
      <c r="C112" s="75" t="s">
        <v>38</v>
      </c>
      <c r="D112" s="76" t="s">
        <v>313</v>
      </c>
      <c r="E112" s="77" t="s">
        <v>40</v>
      </c>
      <c r="F112" s="78" t="s">
        <v>314</v>
      </c>
      <c r="G112" s="79" t="s">
        <v>315</v>
      </c>
      <c r="H112" s="80" t="s">
        <v>1850</v>
      </c>
      <c r="I112" s="81" t="b">
        <v>0</v>
      </c>
      <c r="J112" s="82" t="s">
        <v>7</v>
      </c>
      <c r="K112" s="83">
        <f t="shared" si="25"/>
        <v>0</v>
      </c>
      <c r="L112" s="84">
        <v>1.7E7</v>
      </c>
      <c r="M112" s="84">
        <v>70000.0</v>
      </c>
      <c r="N112" s="84">
        <v>5000.0</v>
      </c>
      <c r="O112" s="84">
        <f>IFERROR(Q112/M112,"-")</f>
        <v>0</v>
      </c>
      <c r="P112" s="84">
        <f>IFERROR(Q112/N112,"-")</f>
        <v>0</v>
      </c>
      <c r="Q112" s="84">
        <f t="shared" si="26"/>
        <v>0</v>
      </c>
      <c r="R112" s="68"/>
      <c r="S112" s="85"/>
      <c r="T112" s="85"/>
      <c r="U112" s="149" t="s">
        <v>122</v>
      </c>
      <c r="V112" s="9"/>
      <c r="W112" s="9"/>
    </row>
    <row r="113" ht="42.75" customHeight="1" outlineLevel="1">
      <c r="A113" s="72"/>
      <c r="B113" s="72"/>
      <c r="C113" s="72"/>
      <c r="D113" s="72"/>
      <c r="E113" s="72"/>
      <c r="F113" s="72"/>
      <c r="G113" s="72"/>
      <c r="H113" s="88" t="s">
        <v>1851</v>
      </c>
      <c r="I113" s="81" t="b">
        <v>0</v>
      </c>
      <c r="J113" s="82" t="s">
        <v>47</v>
      </c>
      <c r="K113" s="83">
        <f t="shared" si="25"/>
        <v>0</v>
      </c>
      <c r="L113" s="84">
        <v>7000000.0</v>
      </c>
      <c r="M113" s="84">
        <v>0.0</v>
      </c>
      <c r="N113" s="84">
        <v>0.0</v>
      </c>
      <c r="O113" s="84" t="s">
        <v>81</v>
      </c>
      <c r="P113" s="84" t="s">
        <v>81</v>
      </c>
      <c r="Q113" s="84">
        <f t="shared" si="26"/>
        <v>0</v>
      </c>
      <c r="R113" s="72"/>
      <c r="S113" s="72"/>
      <c r="T113" s="72"/>
      <c r="U113" s="72"/>
      <c r="V113" s="9"/>
      <c r="W113" s="9"/>
    </row>
    <row r="114" ht="34.5" customHeight="1" collapsed="1">
      <c r="A114" s="156" t="s">
        <v>318</v>
      </c>
      <c r="B114" s="56"/>
      <c r="C114" s="61"/>
      <c r="D114" s="61"/>
      <c r="E114" s="61"/>
      <c r="F114" s="61"/>
      <c r="G114" s="61"/>
      <c r="H114" s="61"/>
      <c r="I114" s="62"/>
      <c r="J114" s="63" t="s">
        <v>10</v>
      </c>
      <c r="K114" s="64">
        <f>SUMIFS(K116:K125,J116:J125,"Photo Post")</f>
        <v>5</v>
      </c>
      <c r="L114" s="65"/>
      <c r="M114" s="66">
        <f t="shared" ref="M114:N114" si="27">sum(M116:M125)</f>
        <v>320000</v>
      </c>
      <c r="N114" s="66">
        <f t="shared" si="27"/>
        <v>23500</v>
      </c>
      <c r="O114" s="65"/>
      <c r="P114" s="65"/>
      <c r="Q114" s="66">
        <f>sum(Q116:Q125)</f>
        <v>216000000</v>
      </c>
      <c r="R114" s="133"/>
      <c r="S114" s="133"/>
      <c r="T114" s="133"/>
      <c r="U114" s="133"/>
      <c r="V114" s="69"/>
      <c r="W114" s="9"/>
    </row>
    <row r="115" ht="34.5" customHeight="1">
      <c r="A115" s="70"/>
      <c r="B115" s="71"/>
      <c r="C115" s="61"/>
      <c r="D115" s="61"/>
      <c r="E115" s="61"/>
      <c r="F115" s="61"/>
      <c r="G115" s="61"/>
      <c r="H115" s="61"/>
      <c r="I115" s="62"/>
      <c r="J115" s="63" t="s">
        <v>7</v>
      </c>
      <c r="K115" s="64">
        <f>SUMIFS(K116:K125,J116:J125,"Video Post")</f>
        <v>5</v>
      </c>
      <c r="L115" s="65"/>
      <c r="M115" s="72"/>
      <c r="N115" s="72"/>
      <c r="O115" s="65"/>
      <c r="P115" s="65"/>
      <c r="Q115" s="72"/>
      <c r="R115" s="133"/>
      <c r="S115" s="133"/>
      <c r="T115" s="133"/>
      <c r="U115" s="133"/>
      <c r="V115" s="69"/>
      <c r="W115" s="9"/>
    </row>
    <row r="116" ht="207.75" customHeight="1" outlineLevel="1">
      <c r="A116" s="157" t="s">
        <v>45</v>
      </c>
      <c r="B116" s="158" t="s">
        <v>319</v>
      </c>
      <c r="C116" s="159" t="s">
        <v>320</v>
      </c>
      <c r="D116" s="160" t="s">
        <v>321</v>
      </c>
      <c r="E116" s="161" t="s">
        <v>118</v>
      </c>
      <c r="F116" s="162" t="s">
        <v>21</v>
      </c>
      <c r="G116" s="163" t="s">
        <v>322</v>
      </c>
      <c r="H116" s="164" t="s">
        <v>323</v>
      </c>
      <c r="I116" s="97" t="b">
        <v>1</v>
      </c>
      <c r="J116" s="98" t="s">
        <v>10</v>
      </c>
      <c r="K116" s="99">
        <f t="shared" ref="K116:K125" si="28">if(I116=True,1,if(I116=False,0))</f>
        <v>1</v>
      </c>
      <c r="L116" s="100">
        <v>3.2E7</v>
      </c>
      <c r="M116" s="100">
        <v>0.0</v>
      </c>
      <c r="N116" s="100">
        <v>3000.0</v>
      </c>
      <c r="O116" s="100" t="str">
        <f t="shared" ref="O116:O125" si="29">IFERROR(Q116/M116,"-")</f>
        <v>-</v>
      </c>
      <c r="P116" s="100">
        <f t="shared" ref="P116:P125" si="30">IFERROR(Q116/N116,"-")</f>
        <v>10666.66667</v>
      </c>
      <c r="Q116" s="100">
        <f t="shared" ref="Q116:Q125" si="31">iferror(L116*K116,"-")</f>
        <v>32000000</v>
      </c>
      <c r="R116" s="165" t="s">
        <v>1852</v>
      </c>
      <c r="S116" s="166"/>
      <c r="T116" s="166"/>
      <c r="U116" s="167" t="s">
        <v>45</v>
      </c>
      <c r="V116" s="168"/>
      <c r="W116" s="9"/>
    </row>
    <row r="117" ht="207.75" customHeight="1" outlineLevel="1">
      <c r="A117" s="157" t="s">
        <v>45</v>
      </c>
      <c r="B117" s="158" t="s">
        <v>325</v>
      </c>
      <c r="C117" s="159" t="s">
        <v>320</v>
      </c>
      <c r="D117" s="160" t="s">
        <v>326</v>
      </c>
      <c r="E117" s="161" t="s">
        <v>118</v>
      </c>
      <c r="F117" s="162" t="s">
        <v>139</v>
      </c>
      <c r="G117" s="163" t="s">
        <v>322</v>
      </c>
      <c r="H117" s="164" t="s">
        <v>323</v>
      </c>
      <c r="I117" s="97" t="b">
        <v>1</v>
      </c>
      <c r="J117" s="98" t="s">
        <v>10</v>
      </c>
      <c r="K117" s="99">
        <f t="shared" si="28"/>
        <v>1</v>
      </c>
      <c r="L117" s="100">
        <v>2.6E7</v>
      </c>
      <c r="M117" s="100">
        <v>0.0</v>
      </c>
      <c r="N117" s="100">
        <v>3000.0</v>
      </c>
      <c r="O117" s="100" t="str">
        <f t="shared" si="29"/>
        <v>-</v>
      </c>
      <c r="P117" s="100">
        <f t="shared" si="30"/>
        <v>8666.666667</v>
      </c>
      <c r="Q117" s="100">
        <f t="shared" si="31"/>
        <v>26000000</v>
      </c>
      <c r="R117" s="165" t="s">
        <v>1853</v>
      </c>
      <c r="S117" s="169"/>
      <c r="T117" s="169"/>
      <c r="U117" s="167" t="s">
        <v>45</v>
      </c>
      <c r="V117" s="170"/>
      <c r="W117" s="9"/>
    </row>
    <row r="118" ht="207.75" customHeight="1" outlineLevel="1">
      <c r="A118" s="157" t="s">
        <v>45</v>
      </c>
      <c r="B118" s="158" t="s">
        <v>328</v>
      </c>
      <c r="C118" s="159" t="s">
        <v>320</v>
      </c>
      <c r="D118" s="160" t="s">
        <v>329</v>
      </c>
      <c r="E118" s="161" t="s">
        <v>118</v>
      </c>
      <c r="F118" s="162" t="s">
        <v>21</v>
      </c>
      <c r="G118" s="163" t="s">
        <v>322</v>
      </c>
      <c r="H118" s="164" t="s">
        <v>323</v>
      </c>
      <c r="I118" s="97" t="b">
        <v>1</v>
      </c>
      <c r="J118" s="98" t="s">
        <v>10</v>
      </c>
      <c r="K118" s="99">
        <f t="shared" si="28"/>
        <v>1</v>
      </c>
      <c r="L118" s="100">
        <v>2.6E7</v>
      </c>
      <c r="M118" s="100">
        <v>0.0</v>
      </c>
      <c r="N118" s="100">
        <v>3000.0</v>
      </c>
      <c r="O118" s="100" t="str">
        <f t="shared" si="29"/>
        <v>-</v>
      </c>
      <c r="P118" s="100">
        <f t="shared" si="30"/>
        <v>8666.666667</v>
      </c>
      <c r="Q118" s="100">
        <f t="shared" si="31"/>
        <v>26000000</v>
      </c>
      <c r="R118" s="165" t="s">
        <v>1854</v>
      </c>
      <c r="S118" s="169"/>
      <c r="T118" s="169"/>
      <c r="U118" s="167" t="s">
        <v>45</v>
      </c>
      <c r="V118" s="170"/>
      <c r="W118" s="9"/>
    </row>
    <row r="119" ht="207.75" customHeight="1" outlineLevel="1">
      <c r="A119" s="157" t="s">
        <v>45</v>
      </c>
      <c r="B119" s="171" t="s">
        <v>331</v>
      </c>
      <c r="C119" s="159" t="s">
        <v>320</v>
      </c>
      <c r="D119" s="160" t="s">
        <v>332</v>
      </c>
      <c r="E119" s="161" t="s">
        <v>40</v>
      </c>
      <c r="F119" s="162" t="s">
        <v>21</v>
      </c>
      <c r="G119" s="163" t="s">
        <v>50</v>
      </c>
      <c r="H119" s="164" t="s">
        <v>323</v>
      </c>
      <c r="I119" s="97" t="b">
        <v>1</v>
      </c>
      <c r="J119" s="98" t="s">
        <v>10</v>
      </c>
      <c r="K119" s="99">
        <f t="shared" si="28"/>
        <v>1</v>
      </c>
      <c r="L119" s="100">
        <v>2.5E7</v>
      </c>
      <c r="M119" s="100">
        <v>0.0</v>
      </c>
      <c r="N119" s="100">
        <v>3000.0</v>
      </c>
      <c r="O119" s="100" t="str">
        <f t="shared" si="29"/>
        <v>-</v>
      </c>
      <c r="P119" s="100">
        <f t="shared" si="30"/>
        <v>8333.333333</v>
      </c>
      <c r="Q119" s="100">
        <f t="shared" si="31"/>
        <v>25000000</v>
      </c>
      <c r="R119" s="165" t="s">
        <v>1855</v>
      </c>
      <c r="S119" s="169"/>
      <c r="T119" s="169"/>
      <c r="U119" s="167" t="s">
        <v>45</v>
      </c>
      <c r="V119" s="170"/>
      <c r="W119" s="9"/>
    </row>
    <row r="120" ht="207.75" customHeight="1" outlineLevel="1">
      <c r="A120" s="157" t="s">
        <v>45</v>
      </c>
      <c r="B120" s="158" t="s">
        <v>334</v>
      </c>
      <c r="C120" s="159" t="s">
        <v>320</v>
      </c>
      <c r="D120" s="160" t="s">
        <v>335</v>
      </c>
      <c r="E120" s="161" t="s">
        <v>40</v>
      </c>
      <c r="F120" s="162" t="s">
        <v>21</v>
      </c>
      <c r="G120" s="163" t="s">
        <v>322</v>
      </c>
      <c r="H120" s="164" t="s">
        <v>336</v>
      </c>
      <c r="I120" s="97" t="b">
        <v>1</v>
      </c>
      <c r="J120" s="98" t="s">
        <v>10</v>
      </c>
      <c r="K120" s="99">
        <f t="shared" si="28"/>
        <v>1</v>
      </c>
      <c r="L120" s="100">
        <v>1.7E7</v>
      </c>
      <c r="M120" s="100">
        <v>0.0</v>
      </c>
      <c r="N120" s="100">
        <v>3000.0</v>
      </c>
      <c r="O120" s="100" t="str">
        <f t="shared" si="29"/>
        <v>-</v>
      </c>
      <c r="P120" s="100">
        <f t="shared" si="30"/>
        <v>5666.666667</v>
      </c>
      <c r="Q120" s="100">
        <f t="shared" si="31"/>
        <v>17000000</v>
      </c>
      <c r="R120" s="165" t="s">
        <v>1856</v>
      </c>
      <c r="S120" s="169"/>
      <c r="T120" s="169"/>
      <c r="U120" s="167" t="s">
        <v>45</v>
      </c>
      <c r="V120" s="170"/>
      <c r="W120" s="9"/>
    </row>
    <row r="121" ht="207.75" customHeight="1" outlineLevel="1">
      <c r="A121" s="157" t="s">
        <v>45</v>
      </c>
      <c r="B121" s="171" t="s">
        <v>338</v>
      </c>
      <c r="C121" s="159" t="s">
        <v>38</v>
      </c>
      <c r="D121" s="160" t="s">
        <v>339</v>
      </c>
      <c r="E121" s="161" t="s">
        <v>118</v>
      </c>
      <c r="F121" s="162" t="s">
        <v>21</v>
      </c>
      <c r="G121" s="163" t="s">
        <v>105</v>
      </c>
      <c r="H121" s="164" t="s">
        <v>340</v>
      </c>
      <c r="I121" s="97" t="b">
        <v>1</v>
      </c>
      <c r="J121" s="98" t="s">
        <v>7</v>
      </c>
      <c r="K121" s="99">
        <f t="shared" si="28"/>
        <v>1</v>
      </c>
      <c r="L121" s="100">
        <v>2.5E7</v>
      </c>
      <c r="M121" s="100">
        <v>80000.0</v>
      </c>
      <c r="N121" s="100">
        <v>2000.0</v>
      </c>
      <c r="O121" s="100">
        <f t="shared" si="29"/>
        <v>312.5</v>
      </c>
      <c r="P121" s="100">
        <f t="shared" si="30"/>
        <v>12500</v>
      </c>
      <c r="Q121" s="100">
        <f t="shared" si="31"/>
        <v>25000000</v>
      </c>
      <c r="R121" s="165" t="s">
        <v>1857</v>
      </c>
      <c r="S121" s="169"/>
      <c r="T121" s="169"/>
      <c r="U121" s="167" t="s">
        <v>45</v>
      </c>
      <c r="V121" s="170"/>
      <c r="W121" s="9"/>
    </row>
    <row r="122" ht="207.75" customHeight="1" outlineLevel="1">
      <c r="A122" s="157" t="s">
        <v>45</v>
      </c>
      <c r="B122" s="158" t="s">
        <v>342</v>
      </c>
      <c r="C122" s="159" t="s">
        <v>38</v>
      </c>
      <c r="D122" s="160" t="s">
        <v>343</v>
      </c>
      <c r="E122" s="161" t="s">
        <v>40</v>
      </c>
      <c r="F122" s="162" t="s">
        <v>21</v>
      </c>
      <c r="G122" s="163" t="s">
        <v>50</v>
      </c>
      <c r="H122" s="164" t="s">
        <v>340</v>
      </c>
      <c r="I122" s="97" t="b">
        <v>1</v>
      </c>
      <c r="J122" s="98" t="s">
        <v>7</v>
      </c>
      <c r="K122" s="99">
        <f t="shared" si="28"/>
        <v>1</v>
      </c>
      <c r="L122" s="100">
        <v>1.5E7</v>
      </c>
      <c r="M122" s="100">
        <v>30000.0</v>
      </c>
      <c r="N122" s="100">
        <v>1500.0</v>
      </c>
      <c r="O122" s="100">
        <f t="shared" si="29"/>
        <v>500</v>
      </c>
      <c r="P122" s="100">
        <f t="shared" si="30"/>
        <v>10000</v>
      </c>
      <c r="Q122" s="100">
        <f t="shared" si="31"/>
        <v>15000000</v>
      </c>
      <c r="R122" s="165" t="s">
        <v>1858</v>
      </c>
      <c r="S122" s="169"/>
      <c r="T122" s="169"/>
      <c r="U122" s="167" t="s">
        <v>45</v>
      </c>
      <c r="V122" s="170"/>
      <c r="W122" s="9"/>
    </row>
    <row r="123" ht="207.75" customHeight="1" outlineLevel="1">
      <c r="A123" s="157" t="s">
        <v>45</v>
      </c>
      <c r="B123" s="158" t="s">
        <v>345</v>
      </c>
      <c r="C123" s="159" t="s">
        <v>38</v>
      </c>
      <c r="D123" s="160" t="s">
        <v>346</v>
      </c>
      <c r="E123" s="161" t="s">
        <v>40</v>
      </c>
      <c r="F123" s="162" t="s">
        <v>21</v>
      </c>
      <c r="G123" s="163" t="s">
        <v>322</v>
      </c>
      <c r="H123" s="164" t="s">
        <v>340</v>
      </c>
      <c r="I123" s="97" t="b">
        <v>1</v>
      </c>
      <c r="J123" s="98" t="s">
        <v>7</v>
      </c>
      <c r="K123" s="99">
        <f t="shared" si="28"/>
        <v>1</v>
      </c>
      <c r="L123" s="100">
        <v>1.8E7</v>
      </c>
      <c r="M123" s="100">
        <v>80000.0</v>
      </c>
      <c r="N123" s="100">
        <v>1500.0</v>
      </c>
      <c r="O123" s="100">
        <f t="shared" si="29"/>
        <v>225</v>
      </c>
      <c r="P123" s="100">
        <f t="shared" si="30"/>
        <v>12000</v>
      </c>
      <c r="Q123" s="100">
        <f t="shared" si="31"/>
        <v>18000000</v>
      </c>
      <c r="R123" s="165" t="s">
        <v>1859</v>
      </c>
      <c r="S123" s="169"/>
      <c r="T123" s="169"/>
      <c r="U123" s="167" t="s">
        <v>45</v>
      </c>
      <c r="V123" s="170"/>
      <c r="W123" s="9"/>
    </row>
    <row r="124" ht="207.75" customHeight="1" outlineLevel="1">
      <c r="A124" s="157" t="s">
        <v>45</v>
      </c>
      <c r="B124" s="158" t="s">
        <v>348</v>
      </c>
      <c r="C124" s="159" t="s">
        <v>38</v>
      </c>
      <c r="D124" s="160" t="s">
        <v>349</v>
      </c>
      <c r="E124" s="161" t="s">
        <v>40</v>
      </c>
      <c r="F124" s="162" t="s">
        <v>21</v>
      </c>
      <c r="G124" s="163" t="s">
        <v>50</v>
      </c>
      <c r="H124" s="164" t="s">
        <v>340</v>
      </c>
      <c r="I124" s="97" t="b">
        <v>1</v>
      </c>
      <c r="J124" s="98" t="s">
        <v>7</v>
      </c>
      <c r="K124" s="99">
        <f t="shared" si="28"/>
        <v>1</v>
      </c>
      <c r="L124" s="100">
        <v>1.2E7</v>
      </c>
      <c r="M124" s="100">
        <v>50000.0</v>
      </c>
      <c r="N124" s="100">
        <v>1500.0</v>
      </c>
      <c r="O124" s="100">
        <f t="shared" si="29"/>
        <v>240</v>
      </c>
      <c r="P124" s="100">
        <f t="shared" si="30"/>
        <v>8000</v>
      </c>
      <c r="Q124" s="100">
        <f t="shared" si="31"/>
        <v>12000000</v>
      </c>
      <c r="R124" s="165" t="s">
        <v>1860</v>
      </c>
      <c r="S124" s="169"/>
      <c r="T124" s="169"/>
      <c r="U124" s="167" t="s">
        <v>45</v>
      </c>
      <c r="V124" s="170"/>
      <c r="W124" s="9"/>
    </row>
    <row r="125" ht="207.75" customHeight="1" outlineLevel="1">
      <c r="A125" s="157" t="s">
        <v>45</v>
      </c>
      <c r="B125" s="158" t="s">
        <v>351</v>
      </c>
      <c r="C125" s="159" t="s">
        <v>38</v>
      </c>
      <c r="D125" s="160" t="s">
        <v>352</v>
      </c>
      <c r="E125" s="161" t="s">
        <v>40</v>
      </c>
      <c r="F125" s="162" t="s">
        <v>21</v>
      </c>
      <c r="G125" s="163" t="s">
        <v>105</v>
      </c>
      <c r="H125" s="164" t="s">
        <v>340</v>
      </c>
      <c r="I125" s="97" t="b">
        <v>1</v>
      </c>
      <c r="J125" s="98" t="s">
        <v>7</v>
      </c>
      <c r="K125" s="99">
        <f t="shared" si="28"/>
        <v>1</v>
      </c>
      <c r="L125" s="100">
        <v>2.0E7</v>
      </c>
      <c r="M125" s="100">
        <v>80000.0</v>
      </c>
      <c r="N125" s="100">
        <v>2000.0</v>
      </c>
      <c r="O125" s="100">
        <f t="shared" si="29"/>
        <v>250</v>
      </c>
      <c r="P125" s="100">
        <f t="shared" si="30"/>
        <v>10000</v>
      </c>
      <c r="Q125" s="100">
        <f t="shared" si="31"/>
        <v>20000000</v>
      </c>
      <c r="R125" s="165" t="s">
        <v>1861</v>
      </c>
      <c r="S125" s="166"/>
      <c r="T125" s="166"/>
      <c r="U125" s="167" t="s">
        <v>45</v>
      </c>
      <c r="V125" s="168"/>
      <c r="W125" s="9"/>
    </row>
    <row r="126" ht="54.0" customHeight="1">
      <c r="A126" s="172" t="s">
        <v>354</v>
      </c>
      <c r="B126" s="173"/>
      <c r="C126" s="174"/>
      <c r="D126" s="175"/>
      <c r="E126" s="174"/>
      <c r="F126" s="174"/>
      <c r="G126" s="174"/>
      <c r="H126" s="174"/>
      <c r="I126" s="176"/>
      <c r="J126" s="177"/>
      <c r="K126" s="178"/>
      <c r="L126" s="177"/>
      <c r="M126" s="177"/>
      <c r="N126" s="179">
        <f>K127</f>
        <v>2000</v>
      </c>
      <c r="O126" s="177"/>
      <c r="P126" s="177"/>
      <c r="Q126" s="179">
        <f>Q127</f>
        <v>20000000</v>
      </c>
      <c r="R126" s="180"/>
      <c r="S126" s="181"/>
      <c r="T126" s="181"/>
      <c r="U126" s="181"/>
      <c r="V126" s="181"/>
      <c r="W126" s="9"/>
    </row>
    <row r="127" ht="67.5" customHeight="1" outlineLevel="1">
      <c r="A127" s="182">
        <v>1.0</v>
      </c>
      <c r="B127" s="183" t="s">
        <v>355</v>
      </c>
      <c r="C127" s="184" t="s">
        <v>356</v>
      </c>
      <c r="D127" s="185"/>
      <c r="E127" s="185"/>
      <c r="F127" s="185"/>
      <c r="G127" s="185"/>
      <c r="H127" s="186"/>
      <c r="I127" s="187" t="b">
        <v>1</v>
      </c>
      <c r="J127" s="188" t="s">
        <v>11</v>
      </c>
      <c r="K127" s="189">
        <v>2000.0</v>
      </c>
      <c r="L127" s="189">
        <v>10000.0</v>
      </c>
      <c r="M127" s="190"/>
      <c r="N127" s="191">
        <f>L127</f>
        <v>10000</v>
      </c>
      <c r="O127" s="190"/>
      <c r="P127" s="190"/>
      <c r="Q127" s="192">
        <f>iferror(L127*K127,"-")</f>
        <v>20000000</v>
      </c>
      <c r="R127" s="193"/>
      <c r="S127" s="181"/>
      <c r="T127" s="181"/>
      <c r="U127" s="181"/>
      <c r="V127" s="181"/>
      <c r="W127" s="9"/>
    </row>
    <row r="128" ht="23.25" customHeight="1">
      <c r="A128" s="194"/>
      <c r="B128" s="195"/>
      <c r="C128" s="195"/>
      <c r="D128" s="195"/>
      <c r="E128" s="195"/>
      <c r="F128" s="196"/>
      <c r="G128" s="195"/>
      <c r="H128" s="195"/>
      <c r="I128" s="197" t="s">
        <v>357</v>
      </c>
      <c r="J128" s="195"/>
      <c r="K128" s="195"/>
      <c r="L128" s="195"/>
      <c r="M128" s="198">
        <f t="shared" ref="M128:N128" si="32">sum(M126,M114,M50,M20)</f>
        <v>1651500</v>
      </c>
      <c r="N128" s="198">
        <f t="shared" si="32"/>
        <v>88200</v>
      </c>
      <c r="O128" s="199"/>
      <c r="P128" s="199"/>
      <c r="Q128" s="198">
        <f>sum(Q126,Q114,Q50,Q20)</f>
        <v>600000000</v>
      </c>
      <c r="R128" s="200"/>
      <c r="S128" s="8"/>
      <c r="T128" s="8"/>
      <c r="U128" s="8"/>
      <c r="V128" s="8"/>
      <c r="W128" s="9"/>
    </row>
    <row r="129" ht="25.5" customHeight="1">
      <c r="A129" s="194"/>
      <c r="B129" s="195"/>
      <c r="C129" s="195"/>
      <c r="D129" s="195"/>
      <c r="E129" s="195"/>
      <c r="F129" s="196"/>
      <c r="G129" s="195"/>
      <c r="H129" s="195"/>
      <c r="I129" s="197" t="s">
        <v>358</v>
      </c>
      <c r="J129" s="195"/>
      <c r="K129" s="195"/>
      <c r="L129" s="195"/>
      <c r="M129" s="195"/>
      <c r="N129" s="195"/>
      <c r="O129" s="195"/>
      <c r="P129" s="201">
        <v>0.12</v>
      </c>
      <c r="Q129" s="198">
        <f>Q128*P129</f>
        <v>72000000</v>
      </c>
      <c r="R129" s="200"/>
      <c r="S129" s="8"/>
      <c r="T129" s="8"/>
      <c r="U129" s="8"/>
      <c r="V129" s="8"/>
      <c r="W129" s="9"/>
    </row>
    <row r="130" ht="25.5" customHeight="1">
      <c r="A130" s="202"/>
      <c r="B130" s="203"/>
      <c r="C130" s="203"/>
      <c r="D130" s="203"/>
      <c r="E130" s="203"/>
      <c r="F130" s="204"/>
      <c r="G130" s="203"/>
      <c r="H130" s="203"/>
      <c r="I130" s="205" t="s">
        <v>359</v>
      </c>
      <c r="J130" s="203"/>
      <c r="K130" s="203"/>
      <c r="L130" s="203"/>
      <c r="M130" s="203"/>
      <c r="N130" s="203"/>
      <c r="O130" s="203"/>
      <c r="P130" s="206"/>
      <c r="Q130" s="207">
        <f>SUM(Q128:Q129)</f>
        <v>672000000</v>
      </c>
      <c r="R130" s="208"/>
      <c r="S130" s="8"/>
      <c r="T130" s="8"/>
      <c r="U130" s="8"/>
      <c r="V130" s="8"/>
      <c r="W130" s="9"/>
    </row>
    <row r="131" ht="25.5" customHeight="1">
      <c r="A131" s="209"/>
      <c r="B131" s="210"/>
      <c r="C131" s="210"/>
      <c r="D131" s="210"/>
      <c r="E131" s="210"/>
      <c r="F131" s="211"/>
      <c r="G131" s="210"/>
      <c r="H131" s="210"/>
      <c r="I131" s="212" t="s">
        <v>360</v>
      </c>
      <c r="J131" s="210"/>
      <c r="K131" s="210"/>
      <c r="L131" s="210"/>
      <c r="M131" s="210"/>
      <c r="N131" s="210"/>
      <c r="O131" s="210"/>
      <c r="P131" s="213"/>
      <c r="Q131" s="214">
        <f>Q130*1.08</f>
        <v>725760000</v>
      </c>
      <c r="R131" s="215"/>
      <c r="S131" s="8"/>
      <c r="T131" s="8"/>
      <c r="U131" s="8"/>
      <c r="V131" s="8"/>
      <c r="W131" s="9"/>
    </row>
    <row r="132" ht="25.5" customHeight="1">
      <c r="R132" s="216"/>
      <c r="S132" s="8"/>
      <c r="T132" s="8"/>
      <c r="U132" s="8"/>
      <c r="V132" s="8"/>
      <c r="W132" s="9"/>
    </row>
    <row r="133" ht="25.5" customHeight="1">
      <c r="A133" s="217"/>
      <c r="B133" s="218"/>
      <c r="C133" s="218"/>
      <c r="D133" s="219"/>
      <c r="E133" s="218"/>
      <c r="F133" s="220"/>
      <c r="G133" s="218"/>
      <c r="H133" s="218"/>
      <c r="I133" s="218"/>
      <c r="J133" s="221"/>
      <c r="K133" s="222"/>
      <c r="L133" s="221"/>
      <c r="M133" s="221"/>
      <c r="N133" s="221"/>
      <c r="O133" s="221"/>
      <c r="P133" s="221"/>
      <c r="Q133" s="221"/>
      <c r="R133" s="223"/>
      <c r="S133" s="8"/>
      <c r="T133" s="8"/>
      <c r="U133" s="8"/>
      <c r="V133" s="8"/>
      <c r="W133" s="9"/>
    </row>
    <row r="134" ht="29.25" customHeight="1">
      <c r="A134" s="33"/>
      <c r="B134" s="2"/>
      <c r="C134" s="2"/>
      <c r="D134" s="2"/>
      <c r="E134" s="2"/>
      <c r="F134" s="4"/>
      <c r="G134" s="2"/>
      <c r="H134" s="2"/>
      <c r="I134" s="2"/>
      <c r="J134" s="2"/>
      <c r="K134" s="5"/>
      <c r="L134" s="2"/>
      <c r="M134" s="2"/>
      <c r="N134" s="2"/>
      <c r="O134" s="2"/>
      <c r="P134" s="2"/>
      <c r="Q134" s="2"/>
      <c r="R134" s="7"/>
      <c r="S134" s="224"/>
      <c r="T134" s="224"/>
      <c r="U134" s="224"/>
      <c r="V134" s="224"/>
      <c r="W134" s="9"/>
    </row>
    <row r="135">
      <c r="A135" s="33"/>
      <c r="B135" s="2"/>
      <c r="C135" s="2"/>
      <c r="D135" s="2"/>
      <c r="E135" s="2"/>
      <c r="F135" s="4"/>
      <c r="G135" s="2"/>
      <c r="H135" s="2"/>
      <c r="I135" s="2"/>
      <c r="J135" s="2"/>
      <c r="K135" s="5"/>
      <c r="L135" s="2"/>
      <c r="M135" s="2"/>
      <c r="N135" s="2"/>
      <c r="O135" s="2"/>
      <c r="P135" s="2"/>
      <c r="Q135" s="2"/>
      <c r="R135" s="7"/>
      <c r="S135" s="224"/>
      <c r="T135" s="224"/>
      <c r="U135" s="224"/>
      <c r="V135" s="224"/>
      <c r="W135" s="9"/>
    </row>
    <row r="136">
      <c r="A136" s="33"/>
      <c r="B136" s="2"/>
      <c r="C136" s="225"/>
      <c r="D136" s="2"/>
      <c r="E136" s="2"/>
      <c r="F136" s="4"/>
      <c r="G136" s="2"/>
      <c r="H136" s="2"/>
      <c r="I136" s="2"/>
      <c r="J136" s="2"/>
      <c r="K136" s="5"/>
      <c r="L136" s="2"/>
      <c r="M136" s="2"/>
      <c r="N136" s="2"/>
      <c r="O136" s="2"/>
      <c r="P136" s="2"/>
      <c r="Q136" s="2"/>
      <c r="R136" s="7"/>
      <c r="S136" s="224"/>
      <c r="T136" s="224"/>
      <c r="U136" s="224"/>
      <c r="V136" s="224"/>
      <c r="W136" s="9"/>
    </row>
    <row r="137">
      <c r="A137" s="33"/>
      <c r="B137" s="2"/>
      <c r="C137" s="2"/>
      <c r="D137" s="2"/>
      <c r="E137" s="2"/>
      <c r="F137" s="4"/>
      <c r="G137" s="2"/>
      <c r="H137" s="2"/>
      <c r="I137" s="2"/>
      <c r="J137" s="2"/>
      <c r="K137" s="5"/>
      <c r="L137" s="2"/>
      <c r="M137" s="2"/>
      <c r="N137" s="2"/>
      <c r="O137" s="2"/>
      <c r="P137" s="2"/>
      <c r="Q137" s="2"/>
      <c r="R137" s="7"/>
      <c r="S137" s="224"/>
      <c r="T137" s="224"/>
      <c r="U137" s="224"/>
      <c r="V137" s="224"/>
      <c r="W137" s="9"/>
    </row>
    <row r="138">
      <c r="A138" s="33"/>
      <c r="B138" s="2"/>
      <c r="C138" s="2"/>
      <c r="D138" s="2"/>
      <c r="E138" s="2"/>
      <c r="F138" s="4"/>
      <c r="G138" s="2"/>
      <c r="H138" s="2"/>
      <c r="I138" s="2"/>
      <c r="J138" s="2"/>
      <c r="K138" s="5"/>
      <c r="L138" s="2"/>
      <c r="M138" s="2"/>
      <c r="N138" s="2"/>
      <c r="O138" s="2"/>
      <c r="P138" s="2"/>
      <c r="Q138" s="2"/>
      <c r="R138" s="7"/>
      <c r="S138" s="224"/>
      <c r="T138" s="224"/>
      <c r="U138" s="224"/>
      <c r="V138" s="224"/>
      <c r="W138" s="9"/>
    </row>
    <row r="139">
      <c r="A139" s="33"/>
      <c r="B139" s="2"/>
      <c r="C139" s="2"/>
      <c r="D139" s="2"/>
      <c r="E139" s="2"/>
      <c r="F139" s="4"/>
      <c r="G139" s="2"/>
      <c r="H139" s="2"/>
      <c r="I139" s="2"/>
      <c r="J139" s="2"/>
      <c r="K139" s="5"/>
      <c r="L139" s="2"/>
      <c r="M139" s="2"/>
      <c r="N139" s="2"/>
      <c r="O139" s="2"/>
      <c r="P139" s="2"/>
      <c r="Q139" s="2"/>
      <c r="R139" s="7"/>
      <c r="S139" s="224"/>
      <c r="T139" s="224"/>
      <c r="U139" s="224"/>
      <c r="V139" s="224"/>
      <c r="W139" s="9"/>
    </row>
    <row r="140">
      <c r="A140" s="33"/>
      <c r="B140" s="2"/>
      <c r="C140" s="2"/>
      <c r="D140" s="2"/>
      <c r="E140" s="2"/>
      <c r="F140" s="4"/>
      <c r="G140" s="2"/>
      <c r="H140" s="2"/>
      <c r="I140" s="2"/>
      <c r="J140" s="2"/>
      <c r="K140" s="5"/>
      <c r="L140" s="2"/>
      <c r="M140" s="2"/>
      <c r="N140" s="2"/>
      <c r="O140" s="2"/>
      <c r="P140" s="2"/>
      <c r="Q140" s="2"/>
      <c r="R140" s="7"/>
      <c r="S140" s="224"/>
      <c r="T140" s="224"/>
      <c r="U140" s="224"/>
      <c r="V140" s="224"/>
      <c r="W140" s="9"/>
    </row>
    <row r="141">
      <c r="A141" s="33"/>
      <c r="B141" s="2"/>
      <c r="C141" s="2"/>
      <c r="D141" s="2"/>
      <c r="E141" s="2"/>
      <c r="F141" s="4"/>
      <c r="G141" s="2"/>
      <c r="H141" s="2"/>
      <c r="I141" s="2"/>
      <c r="J141" s="2"/>
      <c r="K141" s="5"/>
      <c r="L141" s="2"/>
      <c r="M141" s="2"/>
      <c r="N141" s="2"/>
      <c r="O141" s="2"/>
      <c r="P141" s="2"/>
      <c r="Q141" s="2"/>
      <c r="R141" s="7"/>
      <c r="S141" s="224"/>
      <c r="T141" s="224"/>
      <c r="U141" s="224"/>
      <c r="V141" s="224"/>
      <c r="W141" s="9"/>
    </row>
    <row r="142">
      <c r="A142" s="33"/>
      <c r="B142" s="2"/>
      <c r="C142" s="2"/>
      <c r="D142" s="2"/>
      <c r="E142" s="2"/>
      <c r="F142" s="4"/>
      <c r="G142" s="2"/>
      <c r="H142" s="2"/>
      <c r="I142" s="2"/>
      <c r="J142" s="2"/>
      <c r="K142" s="5"/>
      <c r="L142" s="2"/>
      <c r="M142" s="2"/>
      <c r="N142" s="2"/>
      <c r="O142" s="2"/>
      <c r="P142" s="2"/>
      <c r="Q142" s="2"/>
      <c r="R142" s="7"/>
      <c r="S142" s="224"/>
      <c r="T142" s="224"/>
      <c r="U142" s="224"/>
      <c r="V142" s="224"/>
      <c r="W142" s="9"/>
    </row>
    <row r="143">
      <c r="A143" s="33"/>
      <c r="B143" s="2"/>
      <c r="C143" s="2"/>
      <c r="D143" s="2"/>
      <c r="E143" s="2"/>
      <c r="F143" s="4"/>
      <c r="G143" s="2"/>
      <c r="H143" s="2"/>
      <c r="I143" s="2"/>
      <c r="J143" s="2"/>
      <c r="K143" s="5"/>
      <c r="L143" s="2"/>
      <c r="M143" s="2"/>
      <c r="N143" s="2"/>
      <c r="O143" s="2"/>
      <c r="P143" s="2"/>
      <c r="Q143" s="2"/>
      <c r="R143" s="7"/>
      <c r="S143" s="224"/>
      <c r="T143" s="224"/>
      <c r="U143" s="224"/>
      <c r="V143" s="224"/>
      <c r="W143" s="9"/>
    </row>
    <row r="144">
      <c r="A144" s="33"/>
      <c r="B144" s="2"/>
      <c r="C144" s="2"/>
      <c r="D144" s="2"/>
      <c r="E144" s="2"/>
      <c r="F144" s="4"/>
      <c r="G144" s="2"/>
      <c r="H144" s="2"/>
      <c r="I144" s="2"/>
      <c r="J144" s="2"/>
      <c r="K144" s="5"/>
      <c r="L144" s="2"/>
      <c r="M144" s="2"/>
      <c r="N144" s="2"/>
      <c r="O144" s="2"/>
      <c r="P144" s="2"/>
      <c r="Q144" s="2"/>
      <c r="R144" s="7"/>
      <c r="S144" s="224"/>
      <c r="T144" s="224"/>
      <c r="U144" s="224"/>
      <c r="V144" s="224"/>
      <c r="W144" s="9"/>
    </row>
    <row r="145">
      <c r="A145" s="33"/>
      <c r="B145" s="2"/>
      <c r="C145" s="2"/>
      <c r="D145" s="2"/>
      <c r="E145" s="2"/>
      <c r="F145" s="4"/>
      <c r="G145" s="2"/>
      <c r="H145" s="2"/>
      <c r="I145" s="2"/>
      <c r="J145" s="2"/>
      <c r="K145" s="5"/>
      <c r="L145" s="2"/>
      <c r="M145" s="2"/>
      <c r="N145" s="2"/>
      <c r="O145" s="2"/>
      <c r="P145" s="2"/>
      <c r="Q145" s="2"/>
      <c r="R145" s="7"/>
      <c r="S145" s="224"/>
      <c r="T145" s="224"/>
      <c r="U145" s="224"/>
      <c r="V145" s="224"/>
      <c r="W145" s="9"/>
    </row>
    <row r="146">
      <c r="A146" s="33"/>
      <c r="B146" s="2"/>
      <c r="C146" s="2"/>
      <c r="D146" s="2"/>
      <c r="E146" s="2"/>
      <c r="F146" s="4"/>
      <c r="G146" s="2"/>
      <c r="H146" s="2"/>
      <c r="I146" s="2"/>
      <c r="J146" s="2"/>
      <c r="K146" s="5"/>
      <c r="L146" s="2"/>
      <c r="M146" s="2"/>
      <c r="N146" s="2"/>
      <c r="O146" s="2"/>
      <c r="P146" s="2"/>
      <c r="Q146" s="2"/>
      <c r="R146" s="7"/>
      <c r="S146" s="224"/>
      <c r="T146" s="224"/>
      <c r="U146" s="224"/>
      <c r="V146" s="224"/>
      <c r="W146" s="9"/>
    </row>
    <row r="147">
      <c r="A147" s="33"/>
      <c r="B147" s="2"/>
      <c r="C147" s="2"/>
      <c r="D147" s="2"/>
      <c r="E147" s="2"/>
      <c r="F147" s="4"/>
      <c r="G147" s="2"/>
      <c r="H147" s="2"/>
      <c r="I147" s="2"/>
      <c r="J147" s="2"/>
      <c r="K147" s="5"/>
      <c r="L147" s="2"/>
      <c r="M147" s="2"/>
      <c r="N147" s="2"/>
      <c r="O147" s="2"/>
      <c r="P147" s="2"/>
      <c r="Q147" s="2"/>
      <c r="R147" s="7"/>
      <c r="S147" s="224"/>
      <c r="T147" s="224"/>
      <c r="U147" s="224"/>
      <c r="V147" s="224"/>
      <c r="W147" s="9"/>
    </row>
    <row r="148">
      <c r="A148" s="33"/>
      <c r="B148" s="2"/>
      <c r="C148" s="2"/>
      <c r="D148" s="2"/>
      <c r="E148" s="2"/>
      <c r="F148" s="4"/>
      <c r="G148" s="2"/>
      <c r="H148" s="2"/>
      <c r="I148" s="2"/>
      <c r="J148" s="2"/>
      <c r="K148" s="5"/>
      <c r="L148" s="2"/>
      <c r="M148" s="2"/>
      <c r="N148" s="2"/>
      <c r="O148" s="2"/>
      <c r="P148" s="2"/>
      <c r="Q148" s="2"/>
      <c r="R148" s="7"/>
      <c r="S148" s="224"/>
      <c r="T148" s="224"/>
      <c r="U148" s="224"/>
      <c r="V148" s="224"/>
      <c r="W148" s="9"/>
    </row>
    <row r="149">
      <c r="A149" s="33"/>
      <c r="B149" s="2"/>
      <c r="C149" s="2"/>
      <c r="D149" s="2"/>
      <c r="E149" s="2"/>
      <c r="F149" s="4"/>
      <c r="G149" s="2"/>
      <c r="H149" s="2"/>
      <c r="I149" s="2"/>
      <c r="J149" s="2"/>
      <c r="K149" s="5"/>
      <c r="L149" s="2"/>
      <c r="M149" s="2"/>
      <c r="N149" s="2"/>
      <c r="O149" s="2"/>
      <c r="P149" s="2"/>
      <c r="Q149" s="2"/>
      <c r="R149" s="7"/>
      <c r="S149" s="224"/>
      <c r="T149" s="224"/>
      <c r="U149" s="224"/>
      <c r="V149" s="224"/>
      <c r="W149" s="9"/>
    </row>
    <row r="150">
      <c r="A150" s="33"/>
      <c r="B150" s="2"/>
      <c r="C150" s="2"/>
      <c r="D150" s="2"/>
      <c r="E150" s="2"/>
      <c r="F150" s="4"/>
      <c r="G150" s="2"/>
      <c r="H150" s="2"/>
      <c r="I150" s="2"/>
      <c r="J150" s="2"/>
      <c r="K150" s="5"/>
      <c r="L150" s="2"/>
      <c r="M150" s="2"/>
      <c r="N150" s="2"/>
      <c r="O150" s="2"/>
      <c r="P150" s="2"/>
      <c r="Q150" s="2"/>
      <c r="R150" s="7"/>
      <c r="S150" s="224"/>
      <c r="T150" s="224"/>
      <c r="U150" s="224"/>
      <c r="V150" s="224"/>
      <c r="W150" s="9"/>
    </row>
    <row r="151">
      <c r="A151" s="33"/>
      <c r="B151" s="2"/>
      <c r="C151" s="2"/>
      <c r="D151" s="2"/>
      <c r="E151" s="2"/>
      <c r="F151" s="4"/>
      <c r="G151" s="2"/>
      <c r="H151" s="2"/>
      <c r="I151" s="2"/>
      <c r="J151" s="2"/>
      <c r="K151" s="5"/>
      <c r="L151" s="2"/>
      <c r="M151" s="2"/>
      <c r="N151" s="2"/>
      <c r="O151" s="2"/>
      <c r="P151" s="2"/>
      <c r="Q151" s="2"/>
      <c r="R151" s="7"/>
      <c r="S151" s="224"/>
      <c r="T151" s="224"/>
      <c r="U151" s="224"/>
      <c r="V151" s="224"/>
      <c r="W151" s="9"/>
    </row>
    <row r="152">
      <c r="A152" s="33"/>
      <c r="B152" s="2"/>
      <c r="C152" s="2"/>
      <c r="D152" s="2"/>
      <c r="E152" s="2"/>
      <c r="F152" s="4"/>
      <c r="G152" s="2"/>
      <c r="H152" s="2"/>
      <c r="I152" s="2"/>
      <c r="J152" s="2"/>
      <c r="K152" s="5"/>
      <c r="L152" s="2"/>
      <c r="M152" s="2"/>
      <c r="N152" s="2"/>
      <c r="O152" s="2"/>
      <c r="P152" s="2"/>
      <c r="Q152" s="2"/>
      <c r="R152" s="7"/>
      <c r="S152" s="224"/>
      <c r="T152" s="224"/>
      <c r="U152" s="224"/>
      <c r="V152" s="224"/>
      <c r="W152" s="9"/>
    </row>
    <row r="153">
      <c r="A153" s="33"/>
      <c r="B153" s="2"/>
      <c r="C153" s="2"/>
      <c r="D153" s="2"/>
      <c r="E153" s="2"/>
      <c r="F153" s="4"/>
      <c r="G153" s="2"/>
      <c r="H153" s="2"/>
      <c r="I153" s="2"/>
      <c r="J153" s="2"/>
      <c r="K153" s="5"/>
      <c r="L153" s="2"/>
      <c r="M153" s="2"/>
      <c r="N153" s="2"/>
      <c r="O153" s="2"/>
      <c r="P153" s="2"/>
      <c r="Q153" s="2"/>
      <c r="R153" s="7"/>
      <c r="S153" s="224"/>
      <c r="T153" s="224"/>
      <c r="U153" s="224"/>
      <c r="V153" s="224"/>
      <c r="W153" s="9"/>
    </row>
    <row r="154">
      <c r="A154" s="33"/>
      <c r="B154" s="2"/>
      <c r="C154" s="2"/>
      <c r="D154" s="2"/>
      <c r="E154" s="2"/>
      <c r="F154" s="4"/>
      <c r="G154" s="2"/>
      <c r="H154" s="2"/>
      <c r="I154" s="2"/>
      <c r="J154" s="2"/>
      <c r="K154" s="5"/>
      <c r="L154" s="2"/>
      <c r="M154" s="2"/>
      <c r="N154" s="2"/>
      <c r="O154" s="2"/>
      <c r="P154" s="2"/>
      <c r="Q154" s="2"/>
      <c r="R154" s="7"/>
      <c r="S154" s="224"/>
      <c r="T154" s="224"/>
      <c r="U154" s="224"/>
      <c r="V154" s="224"/>
      <c r="W154" s="9"/>
    </row>
    <row r="155">
      <c r="A155" s="33"/>
      <c r="B155" s="2"/>
      <c r="C155" s="2"/>
      <c r="D155" s="2"/>
      <c r="E155" s="2"/>
      <c r="F155" s="4"/>
      <c r="G155" s="2"/>
      <c r="H155" s="2"/>
      <c r="I155" s="2"/>
      <c r="J155" s="2"/>
      <c r="K155" s="5"/>
      <c r="L155" s="2"/>
      <c r="M155" s="2"/>
      <c r="N155" s="2"/>
      <c r="O155" s="2"/>
      <c r="P155" s="2"/>
      <c r="Q155" s="2"/>
      <c r="R155" s="7"/>
      <c r="S155" s="224"/>
      <c r="T155" s="224"/>
      <c r="U155" s="224"/>
      <c r="V155" s="224"/>
      <c r="W155" s="9"/>
    </row>
    <row r="156">
      <c r="A156" s="33"/>
      <c r="B156" s="2"/>
      <c r="C156" s="2"/>
      <c r="D156" s="2"/>
      <c r="E156" s="2"/>
      <c r="F156" s="4"/>
      <c r="G156" s="2"/>
      <c r="H156" s="2"/>
      <c r="I156" s="2"/>
      <c r="J156" s="2"/>
      <c r="K156" s="5"/>
      <c r="L156" s="2"/>
      <c r="M156" s="2"/>
      <c r="N156" s="2"/>
      <c r="O156" s="2"/>
      <c r="P156" s="2"/>
      <c r="Q156" s="2"/>
      <c r="R156" s="7"/>
      <c r="S156" s="224"/>
      <c r="T156" s="224"/>
      <c r="U156" s="224"/>
      <c r="V156" s="224"/>
      <c r="W156" s="9"/>
    </row>
    <row r="157">
      <c r="A157" s="33"/>
      <c r="B157" s="2"/>
      <c r="C157" s="2"/>
      <c r="D157" s="2"/>
      <c r="E157" s="2"/>
      <c r="F157" s="4"/>
      <c r="G157" s="2"/>
      <c r="H157" s="2"/>
      <c r="I157" s="2"/>
      <c r="J157" s="2"/>
      <c r="K157" s="5"/>
      <c r="L157" s="2"/>
      <c r="M157" s="2"/>
      <c r="N157" s="2"/>
      <c r="O157" s="2"/>
      <c r="P157" s="2"/>
      <c r="Q157" s="2"/>
      <c r="R157" s="7"/>
      <c r="S157" s="224"/>
      <c r="T157" s="224"/>
      <c r="U157" s="224"/>
      <c r="V157" s="224"/>
      <c r="W157" s="9"/>
    </row>
    <row r="158">
      <c r="A158" s="33"/>
      <c r="B158" s="2"/>
      <c r="C158" s="2"/>
      <c r="D158" s="2"/>
      <c r="E158" s="2"/>
      <c r="F158" s="4"/>
      <c r="G158" s="2"/>
      <c r="H158" s="2"/>
      <c r="I158" s="2"/>
      <c r="J158" s="2"/>
      <c r="K158" s="5"/>
      <c r="L158" s="2"/>
      <c r="M158" s="2"/>
      <c r="N158" s="2"/>
      <c r="O158" s="2"/>
      <c r="P158" s="2"/>
      <c r="Q158" s="2"/>
      <c r="R158" s="7"/>
      <c r="S158" s="224"/>
      <c r="T158" s="224"/>
      <c r="U158" s="224"/>
      <c r="V158" s="224"/>
      <c r="W158" s="9"/>
    </row>
    <row r="159">
      <c r="A159" s="33"/>
      <c r="B159" s="2"/>
      <c r="C159" s="2"/>
      <c r="D159" s="2"/>
      <c r="E159" s="2"/>
      <c r="F159" s="4"/>
      <c r="G159" s="2"/>
      <c r="H159" s="2"/>
      <c r="I159" s="2"/>
      <c r="J159" s="2"/>
      <c r="K159" s="5"/>
      <c r="L159" s="2"/>
      <c r="M159" s="2"/>
      <c r="N159" s="2"/>
      <c r="O159" s="2"/>
      <c r="P159" s="2"/>
      <c r="Q159" s="2"/>
      <c r="R159" s="7"/>
      <c r="S159" s="224"/>
      <c r="T159" s="224"/>
      <c r="U159" s="224"/>
      <c r="V159" s="224"/>
      <c r="W159" s="9"/>
    </row>
    <row r="160">
      <c r="A160" s="33"/>
      <c r="B160" s="2"/>
      <c r="C160" s="2"/>
      <c r="D160" s="2"/>
      <c r="E160" s="2"/>
      <c r="F160" s="4"/>
      <c r="G160" s="2"/>
      <c r="H160" s="2"/>
      <c r="I160" s="2"/>
      <c r="J160" s="2"/>
      <c r="K160" s="5"/>
      <c r="L160" s="2"/>
      <c r="M160" s="2"/>
      <c r="N160" s="2"/>
      <c r="O160" s="2"/>
      <c r="P160" s="2"/>
      <c r="Q160" s="2"/>
      <c r="R160" s="7"/>
      <c r="S160" s="224"/>
      <c r="T160" s="224"/>
      <c r="U160" s="224"/>
      <c r="V160" s="224"/>
      <c r="W160" s="9"/>
    </row>
    <row r="161">
      <c r="A161" s="33"/>
      <c r="B161" s="2"/>
      <c r="C161" s="2"/>
      <c r="D161" s="2"/>
      <c r="E161" s="2"/>
      <c r="F161" s="4"/>
      <c r="G161" s="2"/>
      <c r="H161" s="2"/>
      <c r="I161" s="2"/>
      <c r="J161" s="2"/>
      <c r="K161" s="5"/>
      <c r="L161" s="2"/>
      <c r="M161" s="2"/>
      <c r="N161" s="2"/>
      <c r="O161" s="2"/>
      <c r="P161" s="2"/>
      <c r="Q161" s="2"/>
      <c r="R161" s="7"/>
      <c r="S161" s="224"/>
      <c r="T161" s="224"/>
      <c r="U161" s="224"/>
      <c r="V161" s="224"/>
      <c r="W161" s="9"/>
    </row>
    <row r="162">
      <c r="A162" s="33"/>
      <c r="B162" s="2"/>
      <c r="C162" s="2"/>
      <c r="D162" s="2"/>
      <c r="E162" s="2"/>
      <c r="F162" s="4"/>
      <c r="G162" s="2"/>
      <c r="H162" s="2"/>
      <c r="I162" s="2"/>
      <c r="J162" s="2"/>
      <c r="K162" s="5"/>
      <c r="L162" s="2"/>
      <c r="M162" s="2"/>
      <c r="N162" s="2"/>
      <c r="O162" s="2"/>
      <c r="P162" s="2"/>
      <c r="Q162" s="2"/>
      <c r="R162" s="7"/>
      <c r="S162" s="224"/>
      <c r="T162" s="224"/>
      <c r="U162" s="224"/>
      <c r="V162" s="224"/>
      <c r="W162" s="9"/>
    </row>
    <row r="163">
      <c r="A163" s="33"/>
      <c r="B163" s="2"/>
      <c r="C163" s="2"/>
      <c r="D163" s="2"/>
      <c r="E163" s="2"/>
      <c r="F163" s="4"/>
      <c r="G163" s="2"/>
      <c r="H163" s="2"/>
      <c r="I163" s="2"/>
      <c r="J163" s="2"/>
      <c r="K163" s="5"/>
      <c r="L163" s="2"/>
      <c r="M163" s="2"/>
      <c r="N163" s="2"/>
      <c r="O163" s="2"/>
      <c r="P163" s="2"/>
      <c r="Q163" s="2"/>
      <c r="R163" s="7"/>
      <c r="S163" s="224"/>
      <c r="T163" s="224"/>
      <c r="U163" s="224"/>
      <c r="V163" s="224"/>
      <c r="W163" s="9"/>
    </row>
    <row r="164">
      <c r="A164" s="33"/>
      <c r="B164" s="2"/>
      <c r="C164" s="2"/>
      <c r="D164" s="2"/>
      <c r="E164" s="2"/>
      <c r="F164" s="4"/>
      <c r="G164" s="2"/>
      <c r="H164" s="2"/>
      <c r="I164" s="2"/>
      <c r="J164" s="2"/>
      <c r="K164" s="5"/>
      <c r="L164" s="2"/>
      <c r="M164" s="2"/>
      <c r="N164" s="2"/>
      <c r="O164" s="2"/>
      <c r="P164" s="2"/>
      <c r="Q164" s="2"/>
      <c r="R164" s="7"/>
      <c r="S164" s="226"/>
      <c r="T164" s="226"/>
      <c r="U164" s="226"/>
      <c r="V164" s="226"/>
      <c r="W164" s="9"/>
    </row>
    <row r="165">
      <c r="A165" s="33"/>
      <c r="B165" s="2"/>
      <c r="C165" s="2"/>
      <c r="D165" s="2"/>
      <c r="E165" s="2"/>
      <c r="F165" s="4"/>
      <c r="G165" s="2"/>
      <c r="H165" s="2"/>
      <c r="I165" s="2"/>
      <c r="J165" s="2"/>
      <c r="K165" s="5"/>
      <c r="L165" s="2"/>
      <c r="M165" s="2"/>
      <c r="N165" s="2"/>
      <c r="O165" s="2"/>
      <c r="P165" s="2"/>
      <c r="Q165" s="2"/>
      <c r="R165" s="7"/>
      <c r="S165" s="224"/>
      <c r="T165" s="224"/>
      <c r="U165" s="224"/>
      <c r="V165" s="224"/>
      <c r="W165" s="9"/>
    </row>
    <row r="166">
      <c r="A166" s="33"/>
      <c r="B166" s="2"/>
      <c r="C166" s="2"/>
      <c r="D166" s="2"/>
      <c r="E166" s="2"/>
      <c r="F166" s="4"/>
      <c r="G166" s="2"/>
      <c r="H166" s="2"/>
      <c r="I166" s="2"/>
      <c r="J166" s="2"/>
      <c r="K166" s="5"/>
      <c r="L166" s="2"/>
      <c r="M166" s="2"/>
      <c r="N166" s="2"/>
      <c r="O166" s="2"/>
      <c r="P166" s="2"/>
      <c r="Q166" s="2"/>
      <c r="R166" s="7"/>
      <c r="S166" s="224"/>
      <c r="T166" s="224"/>
      <c r="U166" s="224"/>
      <c r="V166" s="224"/>
      <c r="W166" s="9"/>
    </row>
    <row r="167">
      <c r="A167" s="33"/>
      <c r="B167" s="2"/>
      <c r="C167" s="2"/>
      <c r="D167" s="2"/>
      <c r="E167" s="2"/>
      <c r="F167" s="4"/>
      <c r="G167" s="2"/>
      <c r="H167" s="2"/>
      <c r="I167" s="2"/>
      <c r="J167" s="2"/>
      <c r="K167" s="5"/>
      <c r="L167" s="2"/>
      <c r="M167" s="2"/>
      <c r="N167" s="2"/>
      <c r="O167" s="2"/>
      <c r="P167" s="2"/>
      <c r="Q167" s="2"/>
      <c r="R167" s="7"/>
      <c r="S167" s="224"/>
      <c r="T167" s="224"/>
      <c r="U167" s="224"/>
      <c r="V167" s="224"/>
      <c r="W167" s="9"/>
    </row>
    <row r="168">
      <c r="A168" s="33"/>
      <c r="B168" s="2"/>
      <c r="C168" s="2"/>
      <c r="D168" s="2"/>
      <c r="E168" s="2"/>
      <c r="F168" s="4"/>
      <c r="G168" s="2"/>
      <c r="H168" s="2"/>
      <c r="I168" s="2"/>
      <c r="J168" s="2"/>
      <c r="K168" s="5"/>
      <c r="L168" s="2"/>
      <c r="M168" s="2"/>
      <c r="N168" s="2"/>
      <c r="O168" s="2"/>
      <c r="P168" s="2"/>
      <c r="Q168" s="2"/>
      <c r="R168" s="7"/>
      <c r="S168" s="224"/>
      <c r="T168" s="224"/>
      <c r="U168" s="224"/>
      <c r="V168" s="224"/>
      <c r="W168" s="9"/>
    </row>
    <row r="169">
      <c r="A169" s="33"/>
      <c r="B169" s="2"/>
      <c r="C169" s="2"/>
      <c r="D169" s="2"/>
      <c r="E169" s="2"/>
      <c r="F169" s="4"/>
      <c r="G169" s="2"/>
      <c r="H169" s="2"/>
      <c r="I169" s="2"/>
      <c r="J169" s="2"/>
      <c r="K169" s="5"/>
      <c r="L169" s="2"/>
      <c r="M169" s="2"/>
      <c r="N169" s="2"/>
      <c r="O169" s="2"/>
      <c r="P169" s="2"/>
      <c r="Q169" s="2"/>
      <c r="R169" s="7"/>
      <c r="S169" s="224"/>
      <c r="T169" s="224"/>
      <c r="U169" s="224"/>
      <c r="V169" s="224"/>
      <c r="W169" s="9"/>
    </row>
    <row r="170">
      <c r="A170" s="33"/>
      <c r="B170" s="2"/>
      <c r="C170" s="2"/>
      <c r="D170" s="2"/>
      <c r="E170" s="2"/>
      <c r="F170" s="4"/>
      <c r="G170" s="2"/>
      <c r="H170" s="2"/>
      <c r="I170" s="2"/>
      <c r="J170" s="2"/>
      <c r="K170" s="5"/>
      <c r="L170" s="2"/>
      <c r="M170" s="2"/>
      <c r="N170" s="2"/>
      <c r="O170" s="2"/>
      <c r="P170" s="2"/>
      <c r="Q170" s="2"/>
      <c r="R170" s="7"/>
      <c r="S170" s="224"/>
      <c r="T170" s="224"/>
      <c r="U170" s="224"/>
      <c r="V170" s="224"/>
      <c r="W170" s="9"/>
    </row>
    <row r="171">
      <c r="A171" s="33"/>
      <c r="B171" s="2"/>
      <c r="C171" s="2"/>
      <c r="D171" s="2"/>
      <c r="E171" s="2"/>
      <c r="F171" s="4"/>
      <c r="G171" s="2"/>
      <c r="H171" s="2"/>
      <c r="I171" s="2"/>
      <c r="J171" s="2"/>
      <c r="K171" s="5"/>
      <c r="L171" s="2"/>
      <c r="M171" s="2"/>
      <c r="N171" s="2"/>
      <c r="O171" s="2"/>
      <c r="P171" s="2"/>
      <c r="Q171" s="2"/>
      <c r="R171" s="7"/>
      <c r="S171" s="224"/>
      <c r="T171" s="224"/>
      <c r="U171" s="224"/>
      <c r="V171" s="224"/>
      <c r="W171" s="9"/>
    </row>
    <row r="172">
      <c r="A172" s="33"/>
      <c r="B172" s="2"/>
      <c r="C172" s="2"/>
      <c r="D172" s="2"/>
      <c r="E172" s="2"/>
      <c r="F172" s="4"/>
      <c r="G172" s="2"/>
      <c r="H172" s="2"/>
      <c r="I172" s="2"/>
      <c r="J172" s="2"/>
      <c r="K172" s="5"/>
      <c r="L172" s="2"/>
      <c r="M172" s="2"/>
      <c r="N172" s="2"/>
      <c r="O172" s="2"/>
      <c r="P172" s="2"/>
      <c r="Q172" s="2"/>
      <c r="R172" s="7"/>
      <c r="S172" s="224"/>
      <c r="T172" s="224"/>
      <c r="U172" s="224"/>
      <c r="V172" s="224"/>
      <c r="W172" s="9"/>
    </row>
    <row r="173">
      <c r="A173" s="33"/>
      <c r="B173" s="2"/>
      <c r="C173" s="2"/>
      <c r="D173" s="2"/>
      <c r="E173" s="2"/>
      <c r="F173" s="4"/>
      <c r="G173" s="2"/>
      <c r="H173" s="2"/>
      <c r="I173" s="2"/>
      <c r="J173" s="2"/>
      <c r="K173" s="5"/>
      <c r="L173" s="2"/>
      <c r="M173" s="2"/>
      <c r="N173" s="2"/>
      <c r="O173" s="2"/>
      <c r="P173" s="2"/>
      <c r="Q173" s="2"/>
      <c r="R173" s="7"/>
      <c r="S173" s="224"/>
      <c r="T173" s="224"/>
      <c r="U173" s="224"/>
      <c r="V173" s="224"/>
      <c r="W173" s="9"/>
    </row>
    <row r="174">
      <c r="A174" s="33"/>
      <c r="B174" s="2"/>
      <c r="C174" s="2"/>
      <c r="D174" s="2"/>
      <c r="E174" s="2"/>
      <c r="F174" s="4"/>
      <c r="G174" s="2"/>
      <c r="H174" s="2"/>
      <c r="I174" s="2"/>
      <c r="J174" s="2"/>
      <c r="K174" s="5"/>
      <c r="L174" s="2"/>
      <c r="M174" s="2"/>
      <c r="N174" s="2"/>
      <c r="O174" s="2"/>
      <c r="P174" s="2"/>
      <c r="Q174" s="2"/>
      <c r="R174" s="7"/>
      <c r="S174" s="224"/>
      <c r="T174" s="224"/>
      <c r="U174" s="224"/>
      <c r="V174" s="224"/>
      <c r="W174" s="9"/>
    </row>
    <row r="175">
      <c r="A175" s="33"/>
      <c r="B175" s="2"/>
      <c r="C175" s="2"/>
      <c r="D175" s="2"/>
      <c r="E175" s="2"/>
      <c r="F175" s="4"/>
      <c r="G175" s="2"/>
      <c r="H175" s="2"/>
      <c r="I175" s="2"/>
      <c r="J175" s="2"/>
      <c r="K175" s="5"/>
      <c r="L175" s="2"/>
      <c r="M175" s="2"/>
      <c r="N175" s="2"/>
      <c r="O175" s="2"/>
      <c r="P175" s="2"/>
      <c r="Q175" s="2"/>
      <c r="R175" s="7"/>
      <c r="S175" s="224"/>
      <c r="T175" s="224"/>
      <c r="U175" s="224"/>
      <c r="V175" s="224"/>
      <c r="W175" s="9"/>
    </row>
    <row r="176">
      <c r="A176" s="33"/>
      <c r="B176" s="2"/>
      <c r="C176" s="2"/>
      <c r="D176" s="2"/>
      <c r="E176" s="2"/>
      <c r="F176" s="4"/>
      <c r="G176" s="2"/>
      <c r="H176" s="2"/>
      <c r="I176" s="2"/>
      <c r="J176" s="2"/>
      <c r="K176" s="5"/>
      <c r="L176" s="2"/>
      <c r="M176" s="2"/>
      <c r="N176" s="2"/>
      <c r="O176" s="2"/>
      <c r="P176" s="2"/>
      <c r="Q176" s="2"/>
      <c r="R176" s="7"/>
      <c r="S176" s="224"/>
      <c r="T176" s="224"/>
      <c r="U176" s="224"/>
      <c r="V176" s="224"/>
      <c r="W176" s="9"/>
    </row>
    <row r="177">
      <c r="A177" s="33"/>
      <c r="B177" s="2"/>
      <c r="C177" s="2"/>
      <c r="D177" s="2"/>
      <c r="E177" s="2"/>
      <c r="F177" s="4"/>
      <c r="G177" s="2"/>
      <c r="H177" s="2"/>
      <c r="I177" s="2"/>
      <c r="J177" s="2"/>
      <c r="K177" s="5"/>
      <c r="L177" s="2"/>
      <c r="M177" s="2"/>
      <c r="N177" s="2"/>
      <c r="O177" s="2"/>
      <c r="P177" s="2"/>
      <c r="Q177" s="2"/>
      <c r="R177" s="7"/>
      <c r="S177" s="224"/>
      <c r="T177" s="224"/>
      <c r="U177" s="224"/>
      <c r="V177" s="224"/>
      <c r="W177" s="9"/>
    </row>
    <row r="178">
      <c r="A178" s="33"/>
      <c r="B178" s="2"/>
      <c r="C178" s="2"/>
      <c r="D178" s="2"/>
      <c r="E178" s="2"/>
      <c r="F178" s="4"/>
      <c r="G178" s="2"/>
      <c r="H178" s="2"/>
      <c r="I178" s="2"/>
      <c r="J178" s="2"/>
      <c r="K178" s="5"/>
      <c r="L178" s="2"/>
      <c r="M178" s="2"/>
      <c r="N178" s="2"/>
      <c r="O178" s="2"/>
      <c r="P178" s="2"/>
      <c r="Q178" s="2"/>
      <c r="R178" s="7"/>
      <c r="S178" s="224"/>
      <c r="T178" s="224"/>
      <c r="U178" s="224"/>
      <c r="V178" s="224"/>
      <c r="W178" s="9"/>
    </row>
    <row r="179">
      <c r="A179" s="33"/>
      <c r="B179" s="2"/>
      <c r="C179" s="2"/>
      <c r="D179" s="2"/>
      <c r="E179" s="2"/>
      <c r="F179" s="4"/>
      <c r="G179" s="2"/>
      <c r="H179" s="2"/>
      <c r="I179" s="2"/>
      <c r="J179" s="2"/>
      <c r="K179" s="5"/>
      <c r="L179" s="2"/>
      <c r="M179" s="2"/>
      <c r="N179" s="2"/>
      <c r="O179" s="2"/>
      <c r="P179" s="2"/>
      <c r="Q179" s="2"/>
      <c r="R179" s="7"/>
      <c r="S179" s="224"/>
      <c r="T179" s="224"/>
      <c r="U179" s="224"/>
      <c r="V179" s="224"/>
      <c r="W179" s="9"/>
    </row>
    <row r="180">
      <c r="A180" s="33"/>
      <c r="B180" s="2"/>
      <c r="C180" s="2"/>
      <c r="D180" s="2"/>
      <c r="E180" s="2"/>
      <c r="F180" s="4"/>
      <c r="G180" s="2"/>
      <c r="H180" s="2"/>
      <c r="I180" s="2"/>
      <c r="J180" s="2"/>
      <c r="K180" s="5"/>
      <c r="L180" s="2"/>
      <c r="M180" s="2"/>
      <c r="N180" s="2"/>
      <c r="O180" s="2"/>
      <c r="P180" s="2"/>
      <c r="Q180" s="2"/>
      <c r="R180" s="7"/>
      <c r="S180" s="224"/>
      <c r="T180" s="224"/>
      <c r="U180" s="224"/>
      <c r="V180" s="224"/>
      <c r="W180" s="9"/>
    </row>
    <row r="181">
      <c r="A181" s="33"/>
      <c r="B181" s="2"/>
      <c r="C181" s="2"/>
      <c r="D181" s="2"/>
      <c r="E181" s="2"/>
      <c r="F181" s="4"/>
      <c r="G181" s="2"/>
      <c r="H181" s="2"/>
      <c r="I181" s="2"/>
      <c r="J181" s="2"/>
      <c r="K181" s="5"/>
      <c r="L181" s="2"/>
      <c r="M181" s="2"/>
      <c r="N181" s="2"/>
      <c r="O181" s="2"/>
      <c r="P181" s="2"/>
      <c r="Q181" s="2"/>
      <c r="R181" s="7"/>
      <c r="S181" s="224"/>
      <c r="T181" s="224"/>
      <c r="U181" s="224"/>
      <c r="V181" s="224"/>
      <c r="W181" s="9"/>
    </row>
    <row r="182">
      <c r="A182" s="33"/>
      <c r="B182" s="2"/>
      <c r="C182" s="2"/>
      <c r="D182" s="2"/>
      <c r="E182" s="2"/>
      <c r="F182" s="4"/>
      <c r="G182" s="2"/>
      <c r="H182" s="2"/>
      <c r="I182" s="2"/>
      <c r="J182" s="2"/>
      <c r="K182" s="5"/>
      <c r="L182" s="2"/>
      <c r="M182" s="2"/>
      <c r="N182" s="2"/>
      <c r="O182" s="2"/>
      <c r="P182" s="2"/>
      <c r="Q182" s="2"/>
      <c r="R182" s="7"/>
      <c r="S182" s="224"/>
      <c r="T182" s="224"/>
      <c r="U182" s="224"/>
      <c r="V182" s="224"/>
      <c r="W182" s="9"/>
    </row>
    <row r="183">
      <c r="A183" s="33"/>
      <c r="B183" s="2"/>
      <c r="C183" s="2"/>
      <c r="D183" s="2"/>
      <c r="E183" s="2"/>
      <c r="F183" s="4"/>
      <c r="G183" s="2"/>
      <c r="H183" s="2"/>
      <c r="I183" s="2"/>
      <c r="J183" s="2"/>
      <c r="K183" s="5"/>
      <c r="L183" s="2"/>
      <c r="M183" s="2"/>
      <c r="N183" s="2"/>
      <c r="O183" s="2"/>
      <c r="P183" s="2"/>
      <c r="Q183" s="2"/>
      <c r="R183" s="7"/>
      <c r="S183" s="224"/>
      <c r="T183" s="224"/>
      <c r="U183" s="224"/>
      <c r="V183" s="224"/>
      <c r="W183" s="9"/>
    </row>
    <row r="184">
      <c r="A184" s="33"/>
      <c r="B184" s="2"/>
      <c r="C184" s="2"/>
      <c r="D184" s="2"/>
      <c r="E184" s="2"/>
      <c r="F184" s="4"/>
      <c r="G184" s="2"/>
      <c r="H184" s="2"/>
      <c r="I184" s="2"/>
      <c r="J184" s="2"/>
      <c r="K184" s="5"/>
      <c r="L184" s="2"/>
      <c r="M184" s="2"/>
      <c r="N184" s="2"/>
      <c r="O184" s="2"/>
      <c r="P184" s="2"/>
      <c r="Q184" s="2"/>
      <c r="R184" s="7"/>
      <c r="S184" s="224"/>
      <c r="T184" s="224"/>
      <c r="U184" s="224"/>
      <c r="V184" s="224"/>
      <c r="W184" s="9"/>
    </row>
    <row r="185">
      <c r="A185" s="33"/>
      <c r="B185" s="2"/>
      <c r="C185" s="2"/>
      <c r="D185" s="2"/>
      <c r="E185" s="2"/>
      <c r="F185" s="4"/>
      <c r="G185" s="2"/>
      <c r="H185" s="2"/>
      <c r="I185" s="2"/>
      <c r="J185" s="2"/>
      <c r="K185" s="5"/>
      <c r="L185" s="2"/>
      <c r="M185" s="2"/>
      <c r="N185" s="2"/>
      <c r="O185" s="2"/>
      <c r="P185" s="2"/>
      <c r="Q185" s="2"/>
      <c r="R185" s="7"/>
      <c r="S185" s="224"/>
      <c r="T185" s="224"/>
      <c r="U185" s="224"/>
      <c r="V185" s="224"/>
      <c r="W185" s="9"/>
    </row>
    <row r="186">
      <c r="A186" s="33"/>
      <c r="B186" s="2"/>
      <c r="C186" s="2"/>
      <c r="D186" s="2"/>
      <c r="E186" s="2"/>
      <c r="F186" s="4"/>
      <c r="G186" s="2"/>
      <c r="H186" s="2"/>
      <c r="I186" s="2"/>
      <c r="J186" s="2"/>
      <c r="K186" s="5"/>
      <c r="L186" s="2"/>
      <c r="M186" s="2"/>
      <c r="N186" s="2"/>
      <c r="O186" s="2"/>
      <c r="P186" s="2"/>
      <c r="Q186" s="2"/>
      <c r="R186" s="7"/>
      <c r="S186" s="224"/>
      <c r="T186" s="224"/>
      <c r="U186" s="224"/>
      <c r="V186" s="224"/>
      <c r="W186" s="9"/>
    </row>
    <row r="187">
      <c r="A187" s="33"/>
      <c r="B187" s="2"/>
      <c r="C187" s="2"/>
      <c r="D187" s="2"/>
      <c r="E187" s="2"/>
      <c r="F187" s="4"/>
      <c r="G187" s="2"/>
      <c r="H187" s="2"/>
      <c r="I187" s="2"/>
      <c r="J187" s="2"/>
      <c r="K187" s="5"/>
      <c r="L187" s="2"/>
      <c r="M187" s="2"/>
      <c r="N187" s="2"/>
      <c r="O187" s="2"/>
      <c r="P187" s="2"/>
      <c r="Q187" s="2"/>
      <c r="R187" s="7"/>
      <c r="S187" s="224"/>
      <c r="T187" s="224"/>
      <c r="U187" s="224"/>
      <c r="V187" s="224"/>
      <c r="W187" s="9"/>
    </row>
    <row r="188">
      <c r="A188" s="33"/>
      <c r="B188" s="2"/>
      <c r="C188" s="2"/>
      <c r="D188" s="2"/>
      <c r="E188" s="2"/>
      <c r="F188" s="4"/>
      <c r="G188" s="2"/>
      <c r="H188" s="2"/>
      <c r="I188" s="2"/>
      <c r="J188" s="2"/>
      <c r="K188" s="5"/>
      <c r="L188" s="2"/>
      <c r="M188" s="2"/>
      <c r="N188" s="2"/>
      <c r="O188" s="2"/>
      <c r="P188" s="2"/>
      <c r="Q188" s="2"/>
      <c r="R188" s="7"/>
      <c r="S188" s="224"/>
      <c r="T188" s="224"/>
      <c r="U188" s="224"/>
      <c r="V188" s="224"/>
      <c r="W188" s="9"/>
    </row>
    <row r="189">
      <c r="A189" s="33"/>
      <c r="B189" s="2"/>
      <c r="C189" s="2"/>
      <c r="D189" s="2"/>
      <c r="E189" s="2"/>
      <c r="F189" s="4"/>
      <c r="G189" s="2"/>
      <c r="H189" s="2"/>
      <c r="I189" s="2"/>
      <c r="J189" s="2"/>
      <c r="K189" s="5"/>
      <c r="L189" s="2"/>
      <c r="M189" s="2"/>
      <c r="N189" s="2"/>
      <c r="O189" s="2"/>
      <c r="P189" s="2"/>
      <c r="Q189" s="2"/>
      <c r="R189" s="7"/>
      <c r="S189" s="224"/>
      <c r="T189" s="224"/>
      <c r="U189" s="224"/>
      <c r="V189" s="224"/>
      <c r="W189" s="9"/>
    </row>
    <row r="190">
      <c r="A190" s="33"/>
      <c r="B190" s="2"/>
      <c r="C190" s="2"/>
      <c r="D190" s="2"/>
      <c r="E190" s="2"/>
      <c r="F190" s="4"/>
      <c r="G190" s="2"/>
      <c r="H190" s="2"/>
      <c r="I190" s="2"/>
      <c r="J190" s="2"/>
      <c r="K190" s="5"/>
      <c r="L190" s="2"/>
      <c r="M190" s="2"/>
      <c r="N190" s="2"/>
      <c r="O190" s="2"/>
      <c r="P190" s="2"/>
      <c r="Q190" s="2"/>
      <c r="R190" s="7"/>
      <c r="S190" s="224"/>
      <c r="T190" s="224"/>
      <c r="U190" s="224"/>
      <c r="V190" s="224"/>
      <c r="W190" s="9"/>
    </row>
    <row r="191">
      <c r="A191" s="33"/>
      <c r="B191" s="2"/>
      <c r="C191" s="2"/>
      <c r="D191" s="2"/>
      <c r="E191" s="2"/>
      <c r="F191" s="4"/>
      <c r="G191" s="2"/>
      <c r="H191" s="2"/>
      <c r="I191" s="2"/>
      <c r="J191" s="2"/>
      <c r="K191" s="5"/>
      <c r="L191" s="2"/>
      <c r="M191" s="2"/>
      <c r="N191" s="2"/>
      <c r="O191" s="2"/>
      <c r="P191" s="2"/>
      <c r="Q191" s="2"/>
      <c r="R191" s="7"/>
      <c r="S191" s="224"/>
      <c r="T191" s="224"/>
      <c r="U191" s="224"/>
      <c r="V191" s="224"/>
      <c r="W191" s="9"/>
    </row>
    <row r="192">
      <c r="A192" s="33"/>
      <c r="B192" s="2"/>
      <c r="C192" s="2"/>
      <c r="D192" s="2"/>
      <c r="E192" s="2"/>
      <c r="F192" s="4"/>
      <c r="G192" s="2"/>
      <c r="H192" s="2"/>
      <c r="I192" s="2"/>
      <c r="J192" s="2"/>
      <c r="K192" s="5"/>
      <c r="L192" s="2"/>
      <c r="M192" s="2"/>
      <c r="N192" s="2"/>
      <c r="O192" s="2"/>
      <c r="P192" s="2"/>
      <c r="Q192" s="2"/>
      <c r="R192" s="7"/>
      <c r="S192" s="224"/>
      <c r="T192" s="224"/>
      <c r="U192" s="224"/>
      <c r="V192" s="224"/>
      <c r="W192" s="9"/>
    </row>
    <row r="193">
      <c r="A193" s="33"/>
      <c r="B193" s="2"/>
      <c r="C193" s="2"/>
      <c r="D193" s="2"/>
      <c r="E193" s="2"/>
      <c r="F193" s="4"/>
      <c r="G193" s="2"/>
      <c r="H193" s="2"/>
      <c r="I193" s="2"/>
      <c r="J193" s="2"/>
      <c r="K193" s="5"/>
      <c r="L193" s="2"/>
      <c r="M193" s="2"/>
      <c r="N193" s="2"/>
      <c r="O193" s="2"/>
      <c r="P193" s="2"/>
      <c r="Q193" s="2"/>
      <c r="R193" s="7"/>
      <c r="S193" s="224"/>
      <c r="T193" s="224"/>
      <c r="U193" s="224"/>
      <c r="V193" s="224"/>
      <c r="W193" s="9"/>
    </row>
    <row r="194">
      <c r="A194" s="33"/>
      <c r="B194" s="2"/>
      <c r="C194" s="2"/>
      <c r="D194" s="2"/>
      <c r="E194" s="2"/>
      <c r="F194" s="4"/>
      <c r="G194" s="2"/>
      <c r="H194" s="2"/>
      <c r="I194" s="2"/>
      <c r="J194" s="2"/>
      <c r="K194" s="5"/>
      <c r="L194" s="2"/>
      <c r="M194" s="2"/>
      <c r="N194" s="2"/>
      <c r="O194" s="2"/>
      <c r="P194" s="2"/>
      <c r="Q194" s="2"/>
      <c r="R194" s="7"/>
      <c r="S194" s="224"/>
      <c r="T194" s="224"/>
      <c r="U194" s="224"/>
      <c r="V194" s="224"/>
      <c r="W194" s="9"/>
    </row>
    <row r="195">
      <c r="A195" s="33"/>
      <c r="B195" s="2"/>
      <c r="C195" s="2"/>
      <c r="D195" s="2"/>
      <c r="E195" s="2"/>
      <c r="F195" s="4"/>
      <c r="G195" s="2"/>
      <c r="H195" s="2"/>
      <c r="I195" s="2"/>
      <c r="J195" s="2"/>
      <c r="K195" s="5"/>
      <c r="L195" s="2"/>
      <c r="M195" s="2"/>
      <c r="N195" s="2"/>
      <c r="O195" s="2"/>
      <c r="P195" s="2"/>
      <c r="Q195" s="2"/>
      <c r="R195" s="7"/>
      <c r="S195" s="224"/>
      <c r="T195" s="224"/>
      <c r="U195" s="224"/>
      <c r="V195" s="224"/>
      <c r="W195" s="9"/>
    </row>
    <row r="196">
      <c r="A196" s="33"/>
      <c r="B196" s="2"/>
      <c r="C196" s="2"/>
      <c r="D196" s="2"/>
      <c r="E196" s="2"/>
      <c r="F196" s="4"/>
      <c r="G196" s="2"/>
      <c r="H196" s="2"/>
      <c r="I196" s="2"/>
      <c r="J196" s="2"/>
      <c r="K196" s="5"/>
      <c r="L196" s="2"/>
      <c r="M196" s="2"/>
      <c r="N196" s="2"/>
      <c r="O196" s="2"/>
      <c r="P196" s="2"/>
      <c r="Q196" s="2"/>
      <c r="R196" s="7"/>
      <c r="S196" s="224"/>
      <c r="T196" s="224"/>
      <c r="U196" s="224"/>
      <c r="V196" s="224"/>
      <c r="W196" s="9"/>
    </row>
    <row r="197">
      <c r="A197" s="33"/>
      <c r="B197" s="2"/>
      <c r="C197" s="2"/>
      <c r="D197" s="2"/>
      <c r="E197" s="2"/>
      <c r="F197" s="4"/>
      <c r="G197" s="2"/>
      <c r="H197" s="2"/>
      <c r="I197" s="2"/>
      <c r="J197" s="2"/>
      <c r="K197" s="5"/>
      <c r="L197" s="2"/>
      <c r="M197" s="2"/>
      <c r="N197" s="2"/>
      <c r="O197" s="2"/>
      <c r="P197" s="2"/>
      <c r="Q197" s="2"/>
      <c r="R197" s="7"/>
      <c r="S197" s="224"/>
      <c r="T197" s="224"/>
      <c r="U197" s="224"/>
      <c r="V197" s="224"/>
      <c r="W197" s="9"/>
    </row>
    <row r="198">
      <c r="A198" s="33"/>
      <c r="B198" s="2"/>
      <c r="C198" s="2"/>
      <c r="D198" s="2"/>
      <c r="E198" s="2"/>
      <c r="F198" s="4"/>
      <c r="G198" s="2"/>
      <c r="H198" s="2"/>
      <c r="I198" s="2"/>
      <c r="J198" s="2"/>
      <c r="K198" s="5"/>
      <c r="L198" s="2"/>
      <c r="M198" s="2"/>
      <c r="N198" s="2"/>
      <c r="O198" s="2"/>
      <c r="P198" s="2"/>
      <c r="Q198" s="2"/>
      <c r="R198" s="7"/>
      <c r="S198" s="224"/>
      <c r="T198" s="224"/>
      <c r="U198" s="224"/>
      <c r="V198" s="224"/>
      <c r="W198" s="9"/>
    </row>
    <row r="199">
      <c r="A199" s="33"/>
      <c r="B199" s="2"/>
      <c r="C199" s="2"/>
      <c r="D199" s="2"/>
      <c r="E199" s="2"/>
      <c r="F199" s="4"/>
      <c r="G199" s="2"/>
      <c r="H199" s="2"/>
      <c r="I199" s="2"/>
      <c r="J199" s="2"/>
      <c r="K199" s="5"/>
      <c r="L199" s="2"/>
      <c r="M199" s="2"/>
      <c r="N199" s="2"/>
      <c r="O199" s="2"/>
      <c r="P199" s="2"/>
      <c r="Q199" s="2"/>
      <c r="R199" s="7"/>
      <c r="S199" s="224"/>
      <c r="T199" s="224"/>
      <c r="U199" s="224"/>
      <c r="V199" s="224"/>
      <c r="W199" s="9"/>
    </row>
    <row r="200">
      <c r="A200" s="33"/>
      <c r="B200" s="2"/>
      <c r="C200" s="2"/>
      <c r="D200" s="2"/>
      <c r="E200" s="2"/>
      <c r="F200" s="4"/>
      <c r="G200" s="2"/>
      <c r="H200" s="2"/>
      <c r="I200" s="2"/>
      <c r="J200" s="2"/>
      <c r="K200" s="5"/>
      <c r="L200" s="2"/>
      <c r="M200" s="2"/>
      <c r="N200" s="2"/>
      <c r="O200" s="2"/>
      <c r="P200" s="2"/>
      <c r="Q200" s="2"/>
      <c r="R200" s="7"/>
      <c r="S200" s="224"/>
      <c r="T200" s="224"/>
      <c r="U200" s="224"/>
      <c r="V200" s="224"/>
      <c r="W200" s="9"/>
    </row>
    <row r="201">
      <c r="A201" s="33"/>
      <c r="B201" s="2"/>
      <c r="C201" s="2"/>
      <c r="D201" s="2"/>
      <c r="E201" s="2"/>
      <c r="F201" s="4"/>
      <c r="G201" s="2"/>
      <c r="H201" s="2"/>
      <c r="I201" s="2"/>
      <c r="J201" s="2"/>
      <c r="K201" s="5"/>
      <c r="L201" s="2"/>
      <c r="M201" s="2"/>
      <c r="N201" s="2"/>
      <c r="O201" s="2"/>
      <c r="P201" s="2"/>
      <c r="Q201" s="2"/>
      <c r="R201" s="7"/>
      <c r="S201" s="224"/>
      <c r="T201" s="224"/>
      <c r="U201" s="224"/>
      <c r="V201" s="224"/>
      <c r="W201" s="9"/>
    </row>
    <row r="202">
      <c r="A202" s="33"/>
      <c r="B202" s="2"/>
      <c r="C202" s="2"/>
      <c r="D202" s="2"/>
      <c r="E202" s="2"/>
      <c r="F202" s="4"/>
      <c r="G202" s="2"/>
      <c r="H202" s="2"/>
      <c r="I202" s="2"/>
      <c r="J202" s="2"/>
      <c r="K202" s="5"/>
      <c r="L202" s="2"/>
      <c r="M202" s="2"/>
      <c r="N202" s="2"/>
      <c r="O202" s="2"/>
      <c r="P202" s="2"/>
      <c r="Q202" s="2"/>
      <c r="R202" s="7"/>
      <c r="S202" s="224"/>
      <c r="T202" s="224"/>
      <c r="U202" s="224"/>
      <c r="V202" s="224"/>
      <c r="W202" s="9"/>
    </row>
    <row r="203">
      <c r="A203" s="33"/>
      <c r="B203" s="2"/>
      <c r="C203" s="2"/>
      <c r="D203" s="2"/>
      <c r="E203" s="2"/>
      <c r="F203" s="4"/>
      <c r="G203" s="2"/>
      <c r="H203" s="2"/>
      <c r="I203" s="2"/>
      <c r="J203" s="2"/>
      <c r="K203" s="5"/>
      <c r="L203" s="2"/>
      <c r="M203" s="2"/>
      <c r="N203" s="2"/>
      <c r="O203" s="2"/>
      <c r="P203" s="2"/>
      <c r="Q203" s="2"/>
      <c r="R203" s="7"/>
      <c r="S203" s="224"/>
      <c r="T203" s="224"/>
      <c r="U203" s="224"/>
      <c r="V203" s="224"/>
      <c r="W203" s="9"/>
    </row>
    <row r="204">
      <c r="A204" s="33"/>
      <c r="B204" s="2"/>
      <c r="C204" s="2"/>
      <c r="D204" s="2"/>
      <c r="E204" s="2"/>
      <c r="F204" s="4"/>
      <c r="G204" s="2"/>
      <c r="H204" s="2"/>
      <c r="I204" s="2"/>
      <c r="J204" s="2"/>
      <c r="K204" s="5"/>
      <c r="L204" s="2"/>
      <c r="M204" s="2"/>
      <c r="N204" s="2"/>
      <c r="O204" s="2"/>
      <c r="P204" s="2"/>
      <c r="Q204" s="2"/>
      <c r="R204" s="7"/>
      <c r="S204" s="224"/>
      <c r="T204" s="224"/>
      <c r="U204" s="224"/>
      <c r="V204" s="224"/>
      <c r="W204" s="9"/>
    </row>
    <row r="205">
      <c r="A205" s="33"/>
      <c r="B205" s="2"/>
      <c r="C205" s="2"/>
      <c r="D205" s="2"/>
      <c r="E205" s="2"/>
      <c r="F205" s="4"/>
      <c r="G205" s="2"/>
      <c r="H205" s="2"/>
      <c r="I205" s="2"/>
      <c r="J205" s="2"/>
      <c r="K205" s="5"/>
      <c r="L205" s="2"/>
      <c r="M205" s="2"/>
      <c r="N205" s="2"/>
      <c r="O205" s="2"/>
      <c r="P205" s="2"/>
      <c r="Q205" s="2"/>
      <c r="R205" s="7"/>
      <c r="S205" s="224"/>
      <c r="T205" s="224"/>
      <c r="U205" s="224"/>
      <c r="V205" s="224"/>
      <c r="W205" s="9"/>
    </row>
    <row r="206">
      <c r="A206" s="33"/>
      <c r="B206" s="2"/>
      <c r="C206" s="2"/>
      <c r="D206" s="2"/>
      <c r="E206" s="2"/>
      <c r="F206" s="4"/>
      <c r="G206" s="2"/>
      <c r="H206" s="2"/>
      <c r="I206" s="2"/>
      <c r="J206" s="2"/>
      <c r="K206" s="5"/>
      <c r="L206" s="2"/>
      <c r="M206" s="2"/>
      <c r="N206" s="2"/>
      <c r="O206" s="2"/>
      <c r="P206" s="2"/>
      <c r="Q206" s="2"/>
      <c r="R206" s="7"/>
      <c r="S206" s="224"/>
      <c r="T206" s="224"/>
      <c r="U206" s="224"/>
      <c r="V206" s="224"/>
      <c r="W206" s="9"/>
    </row>
    <row r="207">
      <c r="A207" s="33"/>
      <c r="B207" s="2"/>
      <c r="C207" s="2"/>
      <c r="D207" s="2"/>
      <c r="E207" s="2"/>
      <c r="F207" s="4"/>
      <c r="G207" s="2"/>
      <c r="H207" s="2"/>
      <c r="I207" s="2"/>
      <c r="J207" s="2"/>
      <c r="K207" s="5"/>
      <c r="L207" s="2"/>
      <c r="M207" s="2"/>
      <c r="N207" s="2"/>
      <c r="O207" s="2"/>
      <c r="P207" s="2"/>
      <c r="Q207" s="2"/>
      <c r="R207" s="7"/>
      <c r="S207" s="224"/>
      <c r="T207" s="224"/>
      <c r="U207" s="224"/>
      <c r="V207" s="224"/>
      <c r="W207" s="9"/>
    </row>
    <row r="208">
      <c r="A208" s="33"/>
      <c r="B208" s="2"/>
      <c r="C208" s="2"/>
      <c r="D208" s="2"/>
      <c r="E208" s="2"/>
      <c r="F208" s="4"/>
      <c r="G208" s="2"/>
      <c r="H208" s="2"/>
      <c r="I208" s="2"/>
      <c r="J208" s="2"/>
      <c r="K208" s="5"/>
      <c r="L208" s="2"/>
      <c r="M208" s="2"/>
      <c r="N208" s="2"/>
      <c r="O208" s="2"/>
      <c r="P208" s="2"/>
      <c r="Q208" s="2"/>
      <c r="R208" s="7"/>
      <c r="S208" s="224"/>
      <c r="T208" s="224"/>
      <c r="U208" s="224"/>
      <c r="V208" s="224"/>
      <c r="W208" s="9"/>
    </row>
    <row r="209">
      <c r="A209" s="33"/>
      <c r="B209" s="2"/>
      <c r="C209" s="2"/>
      <c r="D209" s="2"/>
      <c r="E209" s="2"/>
      <c r="F209" s="4"/>
      <c r="G209" s="2"/>
      <c r="H209" s="2"/>
      <c r="I209" s="2"/>
      <c r="J209" s="2"/>
      <c r="K209" s="5"/>
      <c r="L209" s="2"/>
      <c r="M209" s="2"/>
      <c r="N209" s="2"/>
      <c r="O209" s="2"/>
      <c r="P209" s="2"/>
      <c r="Q209" s="2"/>
      <c r="R209" s="7"/>
      <c r="S209" s="224"/>
      <c r="T209" s="224"/>
      <c r="U209" s="224"/>
      <c r="V209" s="224"/>
      <c r="W209" s="9"/>
    </row>
    <row r="210">
      <c r="A210" s="33"/>
      <c r="B210" s="2"/>
      <c r="C210" s="2"/>
      <c r="D210" s="2"/>
      <c r="E210" s="2"/>
      <c r="F210" s="4"/>
      <c r="G210" s="2"/>
      <c r="H210" s="2"/>
      <c r="I210" s="2"/>
      <c r="J210" s="2"/>
      <c r="K210" s="5"/>
      <c r="L210" s="2"/>
      <c r="M210" s="2"/>
      <c r="N210" s="2"/>
      <c r="O210" s="2"/>
      <c r="P210" s="2"/>
      <c r="Q210" s="2"/>
      <c r="R210" s="7"/>
      <c r="S210" s="224"/>
      <c r="T210" s="224"/>
      <c r="U210" s="224"/>
      <c r="V210" s="224"/>
      <c r="W210" s="9"/>
    </row>
    <row r="211">
      <c r="A211" s="33"/>
      <c r="B211" s="2"/>
      <c r="C211" s="2"/>
      <c r="D211" s="2"/>
      <c r="E211" s="2"/>
      <c r="F211" s="4"/>
      <c r="G211" s="2"/>
      <c r="H211" s="2"/>
      <c r="I211" s="2"/>
      <c r="J211" s="2"/>
      <c r="K211" s="5"/>
      <c r="L211" s="2"/>
      <c r="M211" s="2"/>
      <c r="N211" s="2"/>
      <c r="O211" s="2"/>
      <c r="P211" s="2"/>
      <c r="Q211" s="2"/>
      <c r="R211" s="7"/>
      <c r="S211" s="224"/>
      <c r="T211" s="224"/>
      <c r="U211" s="224"/>
      <c r="V211" s="224"/>
      <c r="W211" s="9"/>
    </row>
    <row r="212">
      <c r="A212" s="33"/>
      <c r="B212" s="2"/>
      <c r="C212" s="2"/>
      <c r="D212" s="2"/>
      <c r="E212" s="2"/>
      <c r="F212" s="4"/>
      <c r="G212" s="2"/>
      <c r="H212" s="2"/>
      <c r="I212" s="2"/>
      <c r="J212" s="2"/>
      <c r="K212" s="5"/>
      <c r="L212" s="2"/>
      <c r="M212" s="2"/>
      <c r="N212" s="2"/>
      <c r="O212" s="2"/>
      <c r="P212" s="2"/>
      <c r="Q212" s="2"/>
      <c r="R212" s="7"/>
      <c r="S212" s="224"/>
      <c r="T212" s="224"/>
      <c r="U212" s="224"/>
      <c r="V212" s="224"/>
      <c r="W212" s="9"/>
    </row>
    <row r="213">
      <c r="A213" s="33"/>
      <c r="B213" s="2"/>
      <c r="C213" s="2"/>
      <c r="D213" s="2"/>
      <c r="E213" s="2"/>
      <c r="F213" s="4"/>
      <c r="G213" s="2"/>
      <c r="H213" s="2"/>
      <c r="I213" s="2"/>
      <c r="J213" s="2"/>
      <c r="K213" s="5"/>
      <c r="L213" s="2"/>
      <c r="M213" s="2"/>
      <c r="N213" s="2"/>
      <c r="O213" s="2"/>
      <c r="P213" s="2"/>
      <c r="Q213" s="2"/>
      <c r="R213" s="7"/>
      <c r="S213" s="224"/>
      <c r="T213" s="224"/>
      <c r="U213" s="224"/>
      <c r="V213" s="224"/>
      <c r="W213" s="9"/>
    </row>
    <row r="214">
      <c r="A214" s="33"/>
      <c r="B214" s="2"/>
      <c r="C214" s="2"/>
      <c r="D214" s="2"/>
      <c r="E214" s="2"/>
      <c r="F214" s="4"/>
      <c r="G214" s="2"/>
      <c r="H214" s="2"/>
      <c r="I214" s="2"/>
      <c r="J214" s="2"/>
      <c r="K214" s="5"/>
      <c r="L214" s="2"/>
      <c r="M214" s="2"/>
      <c r="N214" s="2"/>
      <c r="O214" s="2"/>
      <c r="P214" s="2"/>
      <c r="Q214" s="2"/>
      <c r="R214" s="7"/>
      <c r="S214" s="224"/>
      <c r="T214" s="224"/>
      <c r="U214" s="224"/>
      <c r="V214" s="224"/>
      <c r="W214" s="9"/>
    </row>
    <row r="215">
      <c r="A215" s="33"/>
      <c r="B215" s="2"/>
      <c r="C215" s="2"/>
      <c r="D215" s="2"/>
      <c r="E215" s="2"/>
      <c r="F215" s="4"/>
      <c r="G215" s="2"/>
      <c r="H215" s="2"/>
      <c r="I215" s="2"/>
      <c r="J215" s="2"/>
      <c r="K215" s="5"/>
      <c r="L215" s="2"/>
      <c r="M215" s="2"/>
      <c r="N215" s="2"/>
      <c r="O215" s="2"/>
      <c r="P215" s="2"/>
      <c r="Q215" s="2"/>
      <c r="R215" s="7"/>
      <c r="S215" s="224"/>
      <c r="T215" s="224"/>
      <c r="U215" s="224"/>
      <c r="V215" s="224"/>
      <c r="W215" s="9"/>
    </row>
    <row r="216">
      <c r="A216" s="33"/>
      <c r="B216" s="2"/>
      <c r="C216" s="2"/>
      <c r="D216" s="2"/>
      <c r="E216" s="2"/>
      <c r="F216" s="4"/>
      <c r="G216" s="2"/>
      <c r="H216" s="2"/>
      <c r="I216" s="2"/>
      <c r="J216" s="2"/>
      <c r="K216" s="5"/>
      <c r="L216" s="2"/>
      <c r="M216" s="2"/>
      <c r="N216" s="2"/>
      <c r="O216" s="2"/>
      <c r="P216" s="2"/>
      <c r="Q216" s="2"/>
      <c r="R216" s="7"/>
      <c r="S216" s="224"/>
      <c r="T216" s="224"/>
      <c r="U216" s="224"/>
      <c r="V216" s="224"/>
      <c r="W216" s="9"/>
    </row>
    <row r="217">
      <c r="A217" s="33"/>
      <c r="B217" s="2"/>
      <c r="C217" s="2"/>
      <c r="D217" s="2"/>
      <c r="E217" s="2"/>
      <c r="F217" s="4"/>
      <c r="G217" s="2"/>
      <c r="H217" s="2"/>
      <c r="I217" s="2"/>
      <c r="J217" s="2"/>
      <c r="K217" s="5"/>
      <c r="L217" s="2"/>
      <c r="M217" s="2"/>
      <c r="N217" s="2"/>
      <c r="O217" s="2"/>
      <c r="P217" s="2"/>
      <c r="Q217" s="2"/>
      <c r="R217" s="7"/>
      <c r="S217" s="224"/>
      <c r="T217" s="224"/>
      <c r="U217" s="224"/>
      <c r="V217" s="224"/>
      <c r="W217" s="9"/>
    </row>
    <row r="218">
      <c r="A218" s="33"/>
      <c r="B218" s="2"/>
      <c r="C218" s="2"/>
      <c r="D218" s="2"/>
      <c r="E218" s="2"/>
      <c r="F218" s="4"/>
      <c r="G218" s="2"/>
      <c r="H218" s="2"/>
      <c r="I218" s="2"/>
      <c r="J218" s="2"/>
      <c r="K218" s="5"/>
      <c r="L218" s="2"/>
      <c r="M218" s="2"/>
      <c r="N218" s="2"/>
      <c r="O218" s="2"/>
      <c r="P218" s="2"/>
      <c r="Q218" s="2"/>
      <c r="R218" s="7"/>
      <c r="S218" s="224"/>
      <c r="T218" s="224"/>
      <c r="U218" s="224"/>
      <c r="V218" s="224"/>
      <c r="W218" s="9"/>
    </row>
    <row r="219">
      <c r="A219" s="33"/>
      <c r="B219" s="2"/>
      <c r="C219" s="2"/>
      <c r="D219" s="2"/>
      <c r="E219" s="2"/>
      <c r="F219" s="4"/>
      <c r="G219" s="2"/>
      <c r="H219" s="2"/>
      <c r="I219" s="2"/>
      <c r="J219" s="2"/>
      <c r="K219" s="5"/>
      <c r="L219" s="2"/>
      <c r="M219" s="2"/>
      <c r="N219" s="2"/>
      <c r="O219" s="2"/>
      <c r="P219" s="2"/>
      <c r="Q219" s="2"/>
      <c r="R219" s="7"/>
      <c r="S219" s="224"/>
      <c r="T219" s="224"/>
      <c r="U219" s="224"/>
      <c r="V219" s="224"/>
      <c r="W219" s="9"/>
    </row>
    <row r="220">
      <c r="A220" s="33"/>
      <c r="B220" s="2"/>
      <c r="C220" s="2"/>
      <c r="D220" s="2"/>
      <c r="E220" s="2"/>
      <c r="F220" s="4"/>
      <c r="G220" s="2"/>
      <c r="H220" s="2"/>
      <c r="I220" s="2"/>
      <c r="J220" s="2"/>
      <c r="K220" s="5"/>
      <c r="L220" s="2"/>
      <c r="M220" s="2"/>
      <c r="N220" s="2"/>
      <c r="O220" s="2"/>
      <c r="P220" s="2"/>
      <c r="Q220" s="2"/>
      <c r="R220" s="7"/>
      <c r="S220" s="224"/>
      <c r="T220" s="224"/>
      <c r="U220" s="224"/>
      <c r="V220" s="224"/>
      <c r="W220" s="9"/>
    </row>
    <row r="221">
      <c r="A221" s="33"/>
      <c r="B221" s="2"/>
      <c r="C221" s="2"/>
      <c r="D221" s="2"/>
      <c r="E221" s="2"/>
      <c r="F221" s="4"/>
      <c r="G221" s="2"/>
      <c r="H221" s="2"/>
      <c r="I221" s="2"/>
      <c r="J221" s="2"/>
      <c r="K221" s="5"/>
      <c r="L221" s="2"/>
      <c r="M221" s="2"/>
      <c r="N221" s="2"/>
      <c r="O221" s="2"/>
      <c r="P221" s="2"/>
      <c r="Q221" s="2"/>
      <c r="R221" s="7"/>
      <c r="S221" s="224"/>
      <c r="T221" s="224"/>
      <c r="U221" s="224"/>
      <c r="V221" s="224"/>
      <c r="W221" s="9"/>
    </row>
    <row r="222">
      <c r="A222" s="33"/>
      <c r="B222" s="2"/>
      <c r="C222" s="2"/>
      <c r="D222" s="2"/>
      <c r="E222" s="2"/>
      <c r="F222" s="4"/>
      <c r="G222" s="2"/>
      <c r="H222" s="2"/>
      <c r="I222" s="2"/>
      <c r="J222" s="2"/>
      <c r="K222" s="5"/>
      <c r="L222" s="2"/>
      <c r="M222" s="2"/>
      <c r="N222" s="2"/>
      <c r="O222" s="2"/>
      <c r="P222" s="2"/>
      <c r="Q222" s="2"/>
      <c r="R222" s="7"/>
      <c r="S222" s="224"/>
      <c r="T222" s="224"/>
      <c r="U222" s="224"/>
      <c r="V222" s="224"/>
      <c r="W222" s="9"/>
    </row>
    <row r="223">
      <c r="A223" s="33"/>
      <c r="B223" s="2"/>
      <c r="C223" s="2"/>
      <c r="D223" s="2"/>
      <c r="E223" s="2"/>
      <c r="F223" s="4"/>
      <c r="G223" s="2"/>
      <c r="H223" s="2"/>
      <c r="I223" s="2"/>
      <c r="J223" s="2"/>
      <c r="K223" s="5"/>
      <c r="L223" s="2"/>
      <c r="M223" s="2"/>
      <c r="N223" s="2"/>
      <c r="O223" s="2"/>
      <c r="P223" s="2"/>
      <c r="Q223" s="2"/>
      <c r="R223" s="7"/>
      <c r="S223" s="224"/>
      <c r="T223" s="224"/>
      <c r="U223" s="224"/>
      <c r="V223" s="224"/>
      <c r="W223" s="9"/>
    </row>
    <row r="224">
      <c r="A224" s="33"/>
      <c r="B224" s="2"/>
      <c r="C224" s="2"/>
      <c r="D224" s="2"/>
      <c r="E224" s="2"/>
      <c r="F224" s="4"/>
      <c r="G224" s="2"/>
      <c r="H224" s="2"/>
      <c r="I224" s="2"/>
      <c r="J224" s="2"/>
      <c r="K224" s="5"/>
      <c r="L224" s="2"/>
      <c r="M224" s="2"/>
      <c r="N224" s="2"/>
      <c r="O224" s="2"/>
      <c r="P224" s="2"/>
      <c r="Q224" s="2"/>
      <c r="R224" s="7"/>
      <c r="S224" s="224"/>
      <c r="T224" s="224"/>
      <c r="U224" s="224"/>
      <c r="V224" s="224"/>
      <c r="W224" s="9"/>
    </row>
    <row r="225">
      <c r="A225" s="33"/>
      <c r="B225" s="2"/>
      <c r="C225" s="2"/>
      <c r="D225" s="2"/>
      <c r="E225" s="2"/>
      <c r="F225" s="4"/>
      <c r="G225" s="2"/>
      <c r="H225" s="2"/>
      <c r="I225" s="2"/>
      <c r="J225" s="2"/>
      <c r="K225" s="5"/>
      <c r="L225" s="2"/>
      <c r="M225" s="2"/>
      <c r="N225" s="2"/>
      <c r="O225" s="2"/>
      <c r="P225" s="2"/>
      <c r="Q225" s="2"/>
      <c r="R225" s="7"/>
      <c r="S225" s="224"/>
      <c r="T225" s="224"/>
      <c r="U225" s="224"/>
      <c r="V225" s="224"/>
      <c r="W225" s="9"/>
    </row>
    <row r="226">
      <c r="A226" s="33"/>
      <c r="B226" s="2"/>
      <c r="C226" s="2"/>
      <c r="D226" s="2"/>
      <c r="E226" s="2"/>
      <c r="F226" s="4"/>
      <c r="G226" s="2"/>
      <c r="H226" s="2"/>
      <c r="I226" s="2"/>
      <c r="J226" s="2"/>
      <c r="K226" s="5"/>
      <c r="L226" s="2"/>
      <c r="M226" s="2"/>
      <c r="N226" s="2"/>
      <c r="O226" s="2"/>
      <c r="P226" s="2"/>
      <c r="Q226" s="2"/>
      <c r="R226" s="7"/>
      <c r="S226" s="224"/>
      <c r="T226" s="224"/>
      <c r="U226" s="224"/>
      <c r="V226" s="224"/>
      <c r="W226" s="9"/>
    </row>
    <row r="227">
      <c r="A227" s="33"/>
      <c r="B227" s="2"/>
      <c r="C227" s="2"/>
      <c r="D227" s="2"/>
      <c r="E227" s="2"/>
      <c r="F227" s="4"/>
      <c r="G227" s="2"/>
      <c r="H227" s="2"/>
      <c r="I227" s="2"/>
      <c r="J227" s="2"/>
      <c r="K227" s="5"/>
      <c r="L227" s="2"/>
      <c r="M227" s="2"/>
      <c r="N227" s="2"/>
      <c r="O227" s="2"/>
      <c r="P227" s="2"/>
      <c r="Q227" s="2"/>
      <c r="R227" s="7"/>
      <c r="S227" s="224"/>
      <c r="T227" s="224"/>
      <c r="U227" s="224"/>
      <c r="V227" s="224"/>
      <c r="W227" s="9"/>
    </row>
    <row r="228">
      <c r="A228" s="33"/>
      <c r="B228" s="2"/>
      <c r="C228" s="2"/>
      <c r="D228" s="2"/>
      <c r="E228" s="2"/>
      <c r="F228" s="4"/>
      <c r="G228" s="2"/>
      <c r="H228" s="2"/>
      <c r="I228" s="2"/>
      <c r="J228" s="2"/>
      <c r="K228" s="5"/>
      <c r="L228" s="2"/>
      <c r="M228" s="2"/>
      <c r="N228" s="2"/>
      <c r="O228" s="2"/>
      <c r="P228" s="2"/>
      <c r="Q228" s="2"/>
      <c r="R228" s="7"/>
      <c r="S228" s="224"/>
      <c r="T228" s="224"/>
      <c r="U228" s="224"/>
      <c r="V228" s="224"/>
      <c r="W228" s="9"/>
    </row>
    <row r="229">
      <c r="A229" s="33"/>
      <c r="B229" s="2"/>
      <c r="C229" s="2"/>
      <c r="D229" s="2"/>
      <c r="E229" s="2"/>
      <c r="F229" s="4"/>
      <c r="G229" s="2"/>
      <c r="H229" s="2"/>
      <c r="I229" s="2"/>
      <c r="J229" s="2"/>
      <c r="K229" s="5"/>
      <c r="L229" s="2"/>
      <c r="M229" s="2"/>
      <c r="N229" s="2"/>
      <c r="O229" s="2"/>
      <c r="P229" s="2"/>
      <c r="Q229" s="2"/>
      <c r="R229" s="7"/>
      <c r="S229" s="224"/>
      <c r="T229" s="224"/>
      <c r="U229" s="224"/>
      <c r="V229" s="224"/>
      <c r="W229" s="9"/>
    </row>
    <row r="230">
      <c r="A230" s="33"/>
      <c r="B230" s="2"/>
      <c r="C230" s="2"/>
      <c r="D230" s="2"/>
      <c r="E230" s="2"/>
      <c r="F230" s="4"/>
      <c r="G230" s="2"/>
      <c r="H230" s="2"/>
      <c r="I230" s="2"/>
      <c r="J230" s="2"/>
      <c r="K230" s="5"/>
      <c r="L230" s="2"/>
      <c r="M230" s="2"/>
      <c r="N230" s="2"/>
      <c r="O230" s="2"/>
      <c r="P230" s="2"/>
      <c r="Q230" s="2"/>
      <c r="R230" s="7"/>
      <c r="S230" s="224"/>
      <c r="T230" s="224"/>
      <c r="U230" s="224"/>
      <c r="V230" s="224"/>
      <c r="W230" s="9"/>
    </row>
    <row r="231">
      <c r="A231" s="33"/>
      <c r="B231" s="2"/>
      <c r="C231" s="2"/>
      <c r="D231" s="2"/>
      <c r="E231" s="2"/>
      <c r="F231" s="4"/>
      <c r="G231" s="2"/>
      <c r="H231" s="2"/>
      <c r="I231" s="2"/>
      <c r="J231" s="2"/>
      <c r="K231" s="5"/>
      <c r="L231" s="2"/>
      <c r="M231" s="2"/>
      <c r="N231" s="2"/>
      <c r="O231" s="2"/>
      <c r="P231" s="2"/>
      <c r="Q231" s="2"/>
      <c r="R231" s="7"/>
      <c r="S231" s="224"/>
      <c r="T231" s="224"/>
      <c r="U231" s="224"/>
      <c r="V231" s="224"/>
      <c r="W231" s="9"/>
    </row>
    <row r="232">
      <c r="A232" s="33"/>
      <c r="B232" s="2"/>
      <c r="C232" s="2"/>
      <c r="D232" s="2"/>
      <c r="E232" s="2"/>
      <c r="F232" s="4"/>
      <c r="G232" s="2"/>
      <c r="H232" s="2"/>
      <c r="I232" s="2"/>
      <c r="J232" s="2"/>
      <c r="K232" s="5"/>
      <c r="L232" s="2"/>
      <c r="M232" s="2"/>
      <c r="N232" s="2"/>
      <c r="O232" s="2"/>
      <c r="P232" s="2"/>
      <c r="Q232" s="2"/>
      <c r="R232" s="7"/>
      <c r="S232" s="224"/>
      <c r="T232" s="224"/>
      <c r="U232" s="224"/>
      <c r="V232" s="224"/>
      <c r="W232" s="9"/>
    </row>
    <row r="233">
      <c r="A233" s="33"/>
      <c r="B233" s="2"/>
      <c r="C233" s="2"/>
      <c r="D233" s="2"/>
      <c r="E233" s="2"/>
      <c r="F233" s="4"/>
      <c r="G233" s="2"/>
      <c r="H233" s="2"/>
      <c r="I233" s="2"/>
      <c r="J233" s="2"/>
      <c r="K233" s="5"/>
      <c r="L233" s="2"/>
      <c r="M233" s="2"/>
      <c r="N233" s="2"/>
      <c r="O233" s="2"/>
      <c r="P233" s="2"/>
      <c r="Q233" s="2"/>
      <c r="R233" s="7"/>
      <c r="S233" s="224"/>
      <c r="T233" s="224"/>
      <c r="U233" s="224"/>
      <c r="V233" s="224"/>
      <c r="W233" s="9"/>
    </row>
    <row r="234">
      <c r="A234" s="33"/>
      <c r="B234" s="2"/>
      <c r="C234" s="2"/>
      <c r="D234" s="2"/>
      <c r="E234" s="2"/>
      <c r="F234" s="4"/>
      <c r="G234" s="2"/>
      <c r="H234" s="2"/>
      <c r="I234" s="2"/>
      <c r="J234" s="2"/>
      <c r="K234" s="5"/>
      <c r="L234" s="2"/>
      <c r="M234" s="2"/>
      <c r="N234" s="2"/>
      <c r="O234" s="2"/>
      <c r="P234" s="2"/>
      <c r="Q234" s="2"/>
      <c r="R234" s="7"/>
      <c r="S234" s="224"/>
      <c r="T234" s="224"/>
      <c r="U234" s="224"/>
      <c r="V234" s="224"/>
      <c r="W234" s="9"/>
    </row>
    <row r="235">
      <c r="A235" s="33"/>
      <c r="B235" s="2"/>
      <c r="C235" s="2"/>
      <c r="D235" s="2"/>
      <c r="E235" s="2"/>
      <c r="F235" s="4"/>
      <c r="G235" s="2"/>
      <c r="H235" s="2"/>
      <c r="I235" s="2"/>
      <c r="J235" s="2"/>
      <c r="K235" s="5"/>
      <c r="L235" s="2"/>
      <c r="M235" s="2"/>
      <c r="N235" s="2"/>
      <c r="O235" s="2"/>
      <c r="P235" s="2"/>
      <c r="Q235" s="2"/>
      <c r="R235" s="7"/>
      <c r="S235" s="224"/>
      <c r="T235" s="224"/>
      <c r="U235" s="224"/>
      <c r="V235" s="224"/>
      <c r="W235" s="9"/>
    </row>
    <row r="236">
      <c r="A236" s="33"/>
      <c r="B236" s="2"/>
      <c r="C236" s="2"/>
      <c r="D236" s="2"/>
      <c r="E236" s="2"/>
      <c r="F236" s="4"/>
      <c r="G236" s="2"/>
      <c r="H236" s="2"/>
      <c r="I236" s="2"/>
      <c r="J236" s="2"/>
      <c r="K236" s="5"/>
      <c r="L236" s="2"/>
      <c r="M236" s="2"/>
      <c r="N236" s="2"/>
      <c r="O236" s="2"/>
      <c r="P236" s="2"/>
      <c r="Q236" s="2"/>
      <c r="R236" s="7"/>
      <c r="S236" s="224"/>
      <c r="T236" s="224"/>
      <c r="U236" s="224"/>
      <c r="V236" s="224"/>
      <c r="W236" s="9"/>
    </row>
    <row r="237">
      <c r="A237" s="33"/>
      <c r="B237" s="2"/>
      <c r="C237" s="2"/>
      <c r="D237" s="2"/>
      <c r="E237" s="2"/>
      <c r="F237" s="4"/>
      <c r="G237" s="2"/>
      <c r="H237" s="2"/>
      <c r="I237" s="2"/>
      <c r="J237" s="2"/>
      <c r="K237" s="5"/>
      <c r="L237" s="2"/>
      <c r="M237" s="2"/>
      <c r="N237" s="2"/>
      <c r="O237" s="2"/>
      <c r="P237" s="2"/>
      <c r="Q237" s="2"/>
      <c r="R237" s="7"/>
      <c r="S237" s="224"/>
      <c r="T237" s="224"/>
      <c r="U237" s="224"/>
      <c r="V237" s="224"/>
      <c r="W237" s="9"/>
    </row>
    <row r="238">
      <c r="A238" s="33"/>
      <c r="B238" s="2"/>
      <c r="C238" s="2"/>
      <c r="D238" s="2"/>
      <c r="E238" s="2"/>
      <c r="F238" s="4"/>
      <c r="G238" s="2"/>
      <c r="H238" s="2"/>
      <c r="I238" s="2"/>
      <c r="J238" s="2"/>
      <c r="K238" s="5"/>
      <c r="L238" s="2"/>
      <c r="M238" s="2"/>
      <c r="N238" s="2"/>
      <c r="O238" s="2"/>
      <c r="P238" s="2"/>
      <c r="Q238" s="2"/>
      <c r="R238" s="7"/>
      <c r="S238" s="224"/>
      <c r="T238" s="224"/>
      <c r="U238" s="224"/>
      <c r="V238" s="224"/>
      <c r="W238" s="9"/>
    </row>
    <row r="239">
      <c r="A239" s="33"/>
      <c r="B239" s="2"/>
      <c r="C239" s="2"/>
      <c r="D239" s="2"/>
      <c r="E239" s="2"/>
      <c r="F239" s="4"/>
      <c r="G239" s="2"/>
      <c r="H239" s="2"/>
      <c r="I239" s="2"/>
      <c r="J239" s="2"/>
      <c r="K239" s="5"/>
      <c r="L239" s="2"/>
      <c r="M239" s="2"/>
      <c r="N239" s="2"/>
      <c r="O239" s="2"/>
      <c r="P239" s="2"/>
      <c r="Q239" s="2"/>
      <c r="R239" s="7"/>
      <c r="S239" s="224"/>
      <c r="T239" s="224"/>
      <c r="U239" s="224"/>
      <c r="V239" s="224"/>
      <c r="W239" s="9"/>
    </row>
    <row r="240">
      <c r="A240" s="33"/>
      <c r="B240" s="2"/>
      <c r="C240" s="2"/>
      <c r="D240" s="2"/>
      <c r="E240" s="2"/>
      <c r="F240" s="4"/>
      <c r="G240" s="2"/>
      <c r="H240" s="2"/>
      <c r="I240" s="2"/>
      <c r="J240" s="2"/>
      <c r="K240" s="5"/>
      <c r="L240" s="2"/>
      <c r="M240" s="2"/>
      <c r="N240" s="2"/>
      <c r="O240" s="2"/>
      <c r="P240" s="2"/>
      <c r="Q240" s="2"/>
      <c r="R240" s="7"/>
      <c r="S240" s="224"/>
      <c r="T240" s="224"/>
      <c r="U240" s="224"/>
      <c r="V240" s="224"/>
      <c r="W240" s="9"/>
    </row>
    <row r="241">
      <c r="A241" s="33"/>
      <c r="B241" s="2"/>
      <c r="C241" s="2"/>
      <c r="D241" s="2"/>
      <c r="E241" s="2"/>
      <c r="F241" s="4"/>
      <c r="G241" s="2"/>
      <c r="H241" s="2"/>
      <c r="I241" s="2"/>
      <c r="J241" s="2"/>
      <c r="K241" s="5"/>
      <c r="L241" s="2"/>
      <c r="M241" s="2"/>
      <c r="N241" s="2"/>
      <c r="O241" s="2"/>
      <c r="P241" s="2"/>
      <c r="Q241" s="2"/>
      <c r="R241" s="7"/>
      <c r="S241" s="224"/>
      <c r="T241" s="224"/>
      <c r="U241" s="224"/>
      <c r="V241" s="224"/>
      <c r="W241" s="9"/>
    </row>
    <row r="242">
      <c r="A242" s="33"/>
      <c r="B242" s="2"/>
      <c r="C242" s="2"/>
      <c r="D242" s="2"/>
      <c r="E242" s="2"/>
      <c r="F242" s="4"/>
      <c r="G242" s="2"/>
      <c r="H242" s="2"/>
      <c r="I242" s="2"/>
      <c r="J242" s="2"/>
      <c r="K242" s="5"/>
      <c r="L242" s="2"/>
      <c r="M242" s="2"/>
      <c r="N242" s="2"/>
      <c r="O242" s="2"/>
      <c r="P242" s="2"/>
      <c r="Q242" s="2"/>
      <c r="R242" s="7"/>
      <c r="S242" s="224"/>
      <c r="T242" s="224"/>
      <c r="U242" s="224"/>
      <c r="V242" s="224"/>
      <c r="W242" s="9"/>
    </row>
    <row r="243">
      <c r="A243" s="33"/>
      <c r="B243" s="2"/>
      <c r="C243" s="2"/>
      <c r="D243" s="2"/>
      <c r="E243" s="2"/>
      <c r="F243" s="4"/>
      <c r="G243" s="2"/>
      <c r="H243" s="2"/>
      <c r="I243" s="2"/>
      <c r="J243" s="2"/>
      <c r="K243" s="5"/>
      <c r="L243" s="2"/>
      <c r="M243" s="2"/>
      <c r="N243" s="2"/>
      <c r="O243" s="2"/>
      <c r="P243" s="2"/>
      <c r="Q243" s="2"/>
      <c r="R243" s="7"/>
      <c r="S243" s="224"/>
      <c r="T243" s="224"/>
      <c r="U243" s="224"/>
      <c r="V243" s="224"/>
      <c r="W243" s="9"/>
    </row>
    <row r="244">
      <c r="A244" s="33"/>
      <c r="B244" s="2"/>
      <c r="C244" s="2"/>
      <c r="D244" s="2"/>
      <c r="E244" s="2"/>
      <c r="F244" s="4"/>
      <c r="G244" s="2"/>
      <c r="H244" s="2"/>
      <c r="I244" s="2"/>
      <c r="J244" s="2"/>
      <c r="K244" s="5"/>
      <c r="L244" s="2"/>
      <c r="M244" s="2"/>
      <c r="N244" s="2"/>
      <c r="O244" s="2"/>
      <c r="P244" s="2"/>
      <c r="Q244" s="2"/>
      <c r="R244" s="7"/>
      <c r="S244" s="224"/>
      <c r="T244" s="224"/>
      <c r="U244" s="224"/>
      <c r="V244" s="224"/>
      <c r="W244" s="9"/>
    </row>
    <row r="245">
      <c r="A245" s="33"/>
      <c r="B245" s="2"/>
      <c r="C245" s="2"/>
      <c r="D245" s="2"/>
      <c r="E245" s="2"/>
      <c r="F245" s="4"/>
      <c r="G245" s="2"/>
      <c r="H245" s="2"/>
      <c r="I245" s="2"/>
      <c r="J245" s="2"/>
      <c r="K245" s="5"/>
      <c r="L245" s="2"/>
      <c r="M245" s="2"/>
      <c r="N245" s="2"/>
      <c r="O245" s="2"/>
      <c r="P245" s="2"/>
      <c r="Q245" s="2"/>
      <c r="R245" s="7"/>
      <c r="S245" s="224"/>
      <c r="T245" s="224"/>
      <c r="U245" s="224"/>
      <c r="V245" s="224"/>
      <c r="W245" s="9"/>
    </row>
    <row r="246">
      <c r="A246" s="33"/>
      <c r="B246" s="2"/>
      <c r="C246" s="2"/>
      <c r="D246" s="2"/>
      <c r="E246" s="2"/>
      <c r="F246" s="4"/>
      <c r="G246" s="2"/>
      <c r="H246" s="2"/>
      <c r="I246" s="2"/>
      <c r="J246" s="2"/>
      <c r="K246" s="5"/>
      <c r="L246" s="2"/>
      <c r="M246" s="2"/>
      <c r="N246" s="2"/>
      <c r="O246" s="2"/>
      <c r="P246" s="2"/>
      <c r="Q246" s="2"/>
      <c r="R246" s="7"/>
      <c r="S246" s="224"/>
      <c r="T246" s="224"/>
      <c r="U246" s="224"/>
      <c r="V246" s="224"/>
      <c r="W246" s="9"/>
    </row>
    <row r="247">
      <c r="A247" s="33"/>
      <c r="B247" s="2"/>
      <c r="C247" s="2"/>
      <c r="D247" s="2"/>
      <c r="E247" s="2"/>
      <c r="F247" s="4"/>
      <c r="G247" s="2"/>
      <c r="H247" s="2"/>
      <c r="I247" s="2"/>
      <c r="J247" s="2"/>
      <c r="K247" s="5"/>
      <c r="L247" s="2"/>
      <c r="M247" s="2"/>
      <c r="N247" s="2"/>
      <c r="O247" s="2"/>
      <c r="P247" s="2"/>
      <c r="Q247" s="2"/>
      <c r="R247" s="7"/>
      <c r="S247" s="224"/>
      <c r="T247" s="224"/>
      <c r="U247" s="224"/>
      <c r="V247" s="224"/>
      <c r="W247" s="9"/>
    </row>
    <row r="248">
      <c r="A248" s="33"/>
      <c r="B248" s="2"/>
      <c r="C248" s="2"/>
      <c r="D248" s="2"/>
      <c r="E248" s="2"/>
      <c r="F248" s="4"/>
      <c r="G248" s="2"/>
      <c r="H248" s="2"/>
      <c r="I248" s="2"/>
      <c r="J248" s="2"/>
      <c r="K248" s="5"/>
      <c r="L248" s="2"/>
      <c r="M248" s="2"/>
      <c r="N248" s="2"/>
      <c r="O248" s="2"/>
      <c r="P248" s="2"/>
      <c r="Q248" s="2"/>
      <c r="R248" s="7"/>
      <c r="S248" s="224"/>
      <c r="T248" s="224"/>
      <c r="U248" s="224"/>
      <c r="V248" s="224"/>
      <c r="W248" s="9"/>
    </row>
    <row r="249">
      <c r="A249" s="33"/>
      <c r="B249" s="2"/>
      <c r="C249" s="2"/>
      <c r="D249" s="2"/>
      <c r="E249" s="2"/>
      <c r="F249" s="4"/>
      <c r="G249" s="2"/>
      <c r="H249" s="2"/>
      <c r="I249" s="2"/>
      <c r="J249" s="2"/>
      <c r="K249" s="5"/>
      <c r="L249" s="2"/>
      <c r="M249" s="2"/>
      <c r="N249" s="2"/>
      <c r="O249" s="2"/>
      <c r="P249" s="2"/>
      <c r="Q249" s="2"/>
      <c r="R249" s="7"/>
      <c r="S249" s="224"/>
      <c r="T249" s="224"/>
      <c r="U249" s="224"/>
      <c r="V249" s="224"/>
      <c r="W249" s="9"/>
    </row>
    <row r="250">
      <c r="A250" s="33"/>
      <c r="B250" s="2"/>
      <c r="C250" s="2"/>
      <c r="D250" s="2"/>
      <c r="E250" s="2"/>
      <c r="F250" s="4"/>
      <c r="G250" s="2"/>
      <c r="H250" s="2"/>
      <c r="I250" s="2"/>
      <c r="J250" s="2"/>
      <c r="K250" s="5"/>
      <c r="L250" s="2"/>
      <c r="M250" s="2"/>
      <c r="N250" s="2"/>
      <c r="O250" s="2"/>
      <c r="P250" s="2"/>
      <c r="Q250" s="2"/>
      <c r="R250" s="7"/>
      <c r="S250" s="224"/>
      <c r="T250" s="224"/>
      <c r="U250" s="224"/>
      <c r="V250" s="224"/>
      <c r="W250" s="9"/>
    </row>
    <row r="251">
      <c r="A251" s="33"/>
      <c r="B251" s="2"/>
      <c r="C251" s="2"/>
      <c r="D251" s="2"/>
      <c r="E251" s="2"/>
      <c r="F251" s="4"/>
      <c r="G251" s="2"/>
      <c r="H251" s="2"/>
      <c r="I251" s="2"/>
      <c r="J251" s="2"/>
      <c r="K251" s="5"/>
      <c r="L251" s="2"/>
      <c r="M251" s="2"/>
      <c r="N251" s="2"/>
      <c r="O251" s="2"/>
      <c r="P251" s="2"/>
      <c r="Q251" s="2"/>
      <c r="R251" s="7"/>
      <c r="S251" s="224"/>
      <c r="T251" s="224"/>
      <c r="U251" s="224"/>
      <c r="V251" s="224"/>
      <c r="W251" s="9"/>
    </row>
    <row r="252">
      <c r="A252" s="33"/>
      <c r="B252" s="2"/>
      <c r="C252" s="2"/>
      <c r="D252" s="2"/>
      <c r="E252" s="2"/>
      <c r="F252" s="4"/>
      <c r="G252" s="2"/>
      <c r="H252" s="2"/>
      <c r="I252" s="2"/>
      <c r="J252" s="2"/>
      <c r="K252" s="5"/>
      <c r="L252" s="2"/>
      <c r="M252" s="2"/>
      <c r="N252" s="2"/>
      <c r="O252" s="2"/>
      <c r="P252" s="2"/>
      <c r="Q252" s="2"/>
      <c r="R252" s="7"/>
      <c r="S252" s="224"/>
      <c r="T252" s="224"/>
      <c r="U252" s="224"/>
      <c r="V252" s="224"/>
      <c r="W252" s="9"/>
    </row>
    <row r="253">
      <c r="A253" s="33"/>
      <c r="B253" s="2"/>
      <c r="C253" s="2"/>
      <c r="D253" s="2"/>
      <c r="E253" s="2"/>
      <c r="F253" s="4"/>
      <c r="G253" s="2"/>
      <c r="H253" s="2"/>
      <c r="I253" s="2"/>
      <c r="J253" s="2"/>
      <c r="K253" s="5"/>
      <c r="L253" s="2"/>
      <c r="M253" s="2"/>
      <c r="N253" s="2"/>
      <c r="O253" s="2"/>
      <c r="P253" s="2"/>
      <c r="Q253" s="2"/>
      <c r="R253" s="7"/>
      <c r="S253" s="224"/>
      <c r="T253" s="224"/>
      <c r="U253" s="224"/>
      <c r="V253" s="224"/>
      <c r="W253" s="9"/>
    </row>
    <row r="254">
      <c r="A254" s="33"/>
      <c r="B254" s="2"/>
      <c r="C254" s="2"/>
      <c r="D254" s="2"/>
      <c r="E254" s="2"/>
      <c r="F254" s="4"/>
      <c r="G254" s="2"/>
      <c r="H254" s="2"/>
      <c r="I254" s="2"/>
      <c r="J254" s="2"/>
      <c r="K254" s="5"/>
      <c r="L254" s="2"/>
      <c r="M254" s="2"/>
      <c r="N254" s="2"/>
      <c r="O254" s="2"/>
      <c r="P254" s="2"/>
      <c r="Q254" s="2"/>
      <c r="R254" s="7"/>
      <c r="S254" s="224"/>
      <c r="T254" s="224"/>
      <c r="U254" s="224"/>
      <c r="V254" s="224"/>
      <c r="W254" s="9"/>
    </row>
    <row r="255">
      <c r="A255" s="33"/>
      <c r="B255" s="2"/>
      <c r="C255" s="2"/>
      <c r="D255" s="2"/>
      <c r="E255" s="2"/>
      <c r="F255" s="4"/>
      <c r="G255" s="2"/>
      <c r="H255" s="2"/>
      <c r="I255" s="2"/>
      <c r="J255" s="2"/>
      <c r="K255" s="5"/>
      <c r="L255" s="2"/>
      <c r="M255" s="2"/>
      <c r="N255" s="2"/>
      <c r="O255" s="2"/>
      <c r="P255" s="2"/>
      <c r="Q255" s="2"/>
      <c r="R255" s="7"/>
      <c r="S255" s="224"/>
      <c r="T255" s="224"/>
      <c r="U255" s="224"/>
      <c r="V255" s="224"/>
      <c r="W255" s="9"/>
    </row>
    <row r="256">
      <c r="A256" s="33"/>
      <c r="B256" s="2"/>
      <c r="C256" s="2"/>
      <c r="D256" s="2"/>
      <c r="E256" s="2"/>
      <c r="F256" s="4"/>
      <c r="G256" s="2"/>
      <c r="H256" s="2"/>
      <c r="I256" s="2"/>
      <c r="J256" s="2"/>
      <c r="K256" s="5"/>
      <c r="L256" s="2"/>
      <c r="M256" s="2"/>
      <c r="N256" s="2"/>
      <c r="O256" s="2"/>
      <c r="P256" s="2"/>
      <c r="Q256" s="2"/>
      <c r="R256" s="7"/>
      <c r="S256" s="224"/>
      <c r="T256" s="224"/>
      <c r="U256" s="224"/>
      <c r="V256" s="224"/>
      <c r="W256" s="9"/>
    </row>
    <row r="257">
      <c r="A257" s="33"/>
      <c r="B257" s="2"/>
      <c r="C257" s="2"/>
      <c r="D257" s="2"/>
      <c r="E257" s="2"/>
      <c r="F257" s="4"/>
      <c r="G257" s="2"/>
      <c r="H257" s="2"/>
      <c r="I257" s="2"/>
      <c r="J257" s="2"/>
      <c r="K257" s="5"/>
      <c r="L257" s="2"/>
      <c r="M257" s="2"/>
      <c r="N257" s="2"/>
      <c r="O257" s="2"/>
      <c r="P257" s="2"/>
      <c r="Q257" s="2"/>
      <c r="R257" s="7"/>
      <c r="S257" s="224"/>
      <c r="T257" s="224"/>
      <c r="U257" s="224"/>
      <c r="V257" s="224"/>
      <c r="W257" s="9"/>
    </row>
    <row r="258">
      <c r="A258" s="33"/>
      <c r="B258" s="2"/>
      <c r="C258" s="2"/>
      <c r="D258" s="2"/>
      <c r="E258" s="2"/>
      <c r="F258" s="4"/>
      <c r="G258" s="2"/>
      <c r="H258" s="2"/>
      <c r="I258" s="2"/>
      <c r="J258" s="2"/>
      <c r="K258" s="5"/>
      <c r="L258" s="2"/>
      <c r="M258" s="2"/>
      <c r="N258" s="2"/>
      <c r="O258" s="2"/>
      <c r="P258" s="2"/>
      <c r="Q258" s="2"/>
      <c r="R258" s="7"/>
      <c r="S258" s="224"/>
      <c r="T258" s="224"/>
      <c r="U258" s="224"/>
      <c r="V258" s="224"/>
      <c r="W258" s="9"/>
    </row>
    <row r="259">
      <c r="A259" s="33"/>
      <c r="B259" s="2"/>
      <c r="C259" s="2"/>
      <c r="D259" s="2"/>
      <c r="E259" s="2"/>
      <c r="F259" s="4"/>
      <c r="G259" s="2"/>
      <c r="H259" s="2"/>
      <c r="I259" s="2"/>
      <c r="J259" s="2"/>
      <c r="K259" s="5"/>
      <c r="L259" s="2"/>
      <c r="M259" s="2"/>
      <c r="N259" s="2"/>
      <c r="O259" s="2"/>
      <c r="P259" s="2"/>
      <c r="Q259" s="2"/>
      <c r="R259" s="7"/>
      <c r="S259" s="224"/>
      <c r="T259" s="224"/>
      <c r="U259" s="224"/>
      <c r="V259" s="224"/>
      <c r="W259" s="9"/>
    </row>
    <row r="260">
      <c r="A260" s="33"/>
      <c r="B260" s="2"/>
      <c r="C260" s="2"/>
      <c r="D260" s="2"/>
      <c r="E260" s="2"/>
      <c r="F260" s="4"/>
      <c r="G260" s="2"/>
      <c r="H260" s="2"/>
      <c r="I260" s="2"/>
      <c r="J260" s="2"/>
      <c r="K260" s="5"/>
      <c r="L260" s="2"/>
      <c r="M260" s="2"/>
      <c r="N260" s="2"/>
      <c r="O260" s="2"/>
      <c r="P260" s="2"/>
      <c r="Q260" s="2"/>
      <c r="R260" s="7"/>
      <c r="S260" s="224"/>
      <c r="T260" s="224"/>
      <c r="U260" s="224"/>
      <c r="V260" s="224"/>
      <c r="W260" s="9"/>
    </row>
    <row r="261">
      <c r="A261" s="33"/>
      <c r="B261" s="2"/>
      <c r="C261" s="2"/>
      <c r="D261" s="2"/>
      <c r="E261" s="2"/>
      <c r="F261" s="4"/>
      <c r="G261" s="2"/>
      <c r="H261" s="2"/>
      <c r="I261" s="2"/>
      <c r="J261" s="2"/>
      <c r="K261" s="5"/>
      <c r="L261" s="2"/>
      <c r="M261" s="2"/>
      <c r="N261" s="2"/>
      <c r="O261" s="2"/>
      <c r="P261" s="2"/>
      <c r="Q261" s="2"/>
      <c r="R261" s="7"/>
      <c r="S261" s="224"/>
      <c r="T261" s="224"/>
      <c r="U261" s="224"/>
      <c r="V261" s="224"/>
      <c r="W261" s="9"/>
    </row>
    <row r="262">
      <c r="A262" s="33"/>
      <c r="B262" s="2"/>
      <c r="C262" s="2"/>
      <c r="D262" s="2"/>
      <c r="E262" s="2"/>
      <c r="F262" s="4"/>
      <c r="G262" s="2"/>
      <c r="H262" s="2"/>
      <c r="I262" s="2"/>
      <c r="J262" s="2"/>
      <c r="K262" s="5"/>
      <c r="L262" s="2"/>
      <c r="M262" s="2"/>
      <c r="N262" s="2"/>
      <c r="O262" s="2"/>
      <c r="P262" s="2"/>
      <c r="Q262" s="2"/>
      <c r="R262" s="7"/>
      <c r="S262" s="224"/>
      <c r="T262" s="224"/>
      <c r="U262" s="224"/>
      <c r="V262" s="224"/>
      <c r="W262" s="9"/>
    </row>
    <row r="263">
      <c r="A263" s="33"/>
      <c r="B263" s="2"/>
      <c r="C263" s="2"/>
      <c r="D263" s="2"/>
      <c r="E263" s="2"/>
      <c r="F263" s="4"/>
      <c r="G263" s="2"/>
      <c r="H263" s="2"/>
      <c r="I263" s="2"/>
      <c r="J263" s="2"/>
      <c r="K263" s="5"/>
      <c r="L263" s="2"/>
      <c r="M263" s="2"/>
      <c r="N263" s="2"/>
      <c r="O263" s="2"/>
      <c r="P263" s="2"/>
      <c r="Q263" s="2"/>
      <c r="R263" s="7"/>
      <c r="S263" s="224"/>
      <c r="T263" s="224"/>
      <c r="U263" s="224"/>
      <c r="V263" s="224"/>
      <c r="W263" s="9"/>
    </row>
    <row r="264">
      <c r="A264" s="33"/>
      <c r="B264" s="2"/>
      <c r="C264" s="2"/>
      <c r="D264" s="2"/>
      <c r="E264" s="2"/>
      <c r="F264" s="4"/>
      <c r="G264" s="2"/>
      <c r="H264" s="2"/>
      <c r="I264" s="2"/>
      <c r="J264" s="2"/>
      <c r="K264" s="5"/>
      <c r="L264" s="2"/>
      <c r="M264" s="2"/>
      <c r="N264" s="2"/>
      <c r="O264" s="2"/>
      <c r="P264" s="2"/>
      <c r="Q264" s="2"/>
      <c r="R264" s="7"/>
      <c r="S264" s="224"/>
      <c r="T264" s="224"/>
      <c r="U264" s="224"/>
      <c r="V264" s="224"/>
      <c r="W264" s="9"/>
    </row>
    <row r="265">
      <c r="A265" s="33"/>
      <c r="B265" s="2"/>
      <c r="C265" s="2"/>
      <c r="D265" s="2"/>
      <c r="E265" s="2"/>
      <c r="F265" s="4"/>
      <c r="G265" s="2"/>
      <c r="H265" s="2"/>
      <c r="I265" s="2"/>
      <c r="J265" s="2"/>
      <c r="K265" s="5"/>
      <c r="L265" s="2"/>
      <c r="M265" s="2"/>
      <c r="N265" s="2"/>
      <c r="O265" s="2"/>
      <c r="P265" s="2"/>
      <c r="Q265" s="2"/>
      <c r="R265" s="7"/>
      <c r="S265" s="224"/>
      <c r="T265" s="224"/>
      <c r="U265" s="224"/>
      <c r="V265" s="224"/>
      <c r="W265" s="9"/>
    </row>
    <row r="266">
      <c r="A266" s="33"/>
      <c r="B266" s="2"/>
      <c r="C266" s="2"/>
      <c r="D266" s="2"/>
      <c r="E266" s="2"/>
      <c r="F266" s="4"/>
      <c r="G266" s="2"/>
      <c r="H266" s="2"/>
      <c r="I266" s="2"/>
      <c r="J266" s="2"/>
      <c r="K266" s="5"/>
      <c r="L266" s="2"/>
      <c r="M266" s="2"/>
      <c r="N266" s="2"/>
      <c r="O266" s="2"/>
      <c r="P266" s="2"/>
      <c r="Q266" s="2"/>
      <c r="R266" s="7"/>
      <c r="S266" s="224"/>
      <c r="T266" s="224"/>
      <c r="U266" s="224"/>
      <c r="V266" s="224"/>
      <c r="W266" s="9"/>
    </row>
    <row r="267">
      <c r="A267" s="33"/>
      <c r="B267" s="2"/>
      <c r="C267" s="2"/>
      <c r="D267" s="2"/>
      <c r="E267" s="2"/>
      <c r="F267" s="4"/>
      <c r="G267" s="2"/>
      <c r="H267" s="2"/>
      <c r="I267" s="2"/>
      <c r="J267" s="2"/>
      <c r="K267" s="5"/>
      <c r="L267" s="2"/>
      <c r="M267" s="2"/>
      <c r="N267" s="2"/>
      <c r="O267" s="2"/>
      <c r="P267" s="2"/>
      <c r="Q267" s="2"/>
      <c r="R267" s="7"/>
      <c r="S267" s="224"/>
      <c r="T267" s="224"/>
      <c r="U267" s="224"/>
      <c r="V267" s="224"/>
      <c r="W267" s="9"/>
    </row>
    <row r="268">
      <c r="A268" s="33"/>
      <c r="B268" s="2"/>
      <c r="C268" s="2"/>
      <c r="D268" s="2"/>
      <c r="E268" s="2"/>
      <c r="F268" s="4"/>
      <c r="G268" s="2"/>
      <c r="H268" s="2"/>
      <c r="I268" s="2"/>
      <c r="J268" s="2"/>
      <c r="K268" s="5"/>
      <c r="L268" s="2"/>
      <c r="M268" s="2"/>
      <c r="N268" s="2"/>
      <c r="O268" s="2"/>
      <c r="P268" s="2"/>
      <c r="Q268" s="2"/>
      <c r="R268" s="7"/>
      <c r="S268" s="224"/>
      <c r="T268" s="224"/>
      <c r="U268" s="224"/>
      <c r="V268" s="224"/>
      <c r="W268" s="9"/>
    </row>
    <row r="269">
      <c r="A269" s="33"/>
      <c r="B269" s="2"/>
      <c r="C269" s="2"/>
      <c r="D269" s="2"/>
      <c r="E269" s="2"/>
      <c r="F269" s="4"/>
      <c r="G269" s="2"/>
      <c r="H269" s="2"/>
      <c r="I269" s="2"/>
      <c r="J269" s="2"/>
      <c r="K269" s="5"/>
      <c r="L269" s="2"/>
      <c r="M269" s="2"/>
      <c r="N269" s="2"/>
      <c r="O269" s="2"/>
      <c r="P269" s="2"/>
      <c r="Q269" s="2"/>
      <c r="R269" s="7"/>
      <c r="S269" s="224"/>
      <c r="T269" s="224"/>
      <c r="U269" s="224"/>
      <c r="V269" s="224"/>
      <c r="W269" s="9"/>
    </row>
    <row r="270">
      <c r="A270" s="33"/>
      <c r="B270" s="2"/>
      <c r="C270" s="2"/>
      <c r="D270" s="2"/>
      <c r="E270" s="2"/>
      <c r="F270" s="4"/>
      <c r="G270" s="2"/>
      <c r="H270" s="2"/>
      <c r="I270" s="2"/>
      <c r="J270" s="2"/>
      <c r="K270" s="5"/>
      <c r="L270" s="2"/>
      <c r="M270" s="2"/>
      <c r="N270" s="2"/>
      <c r="O270" s="2"/>
      <c r="P270" s="2"/>
      <c r="Q270" s="2"/>
      <c r="R270" s="7"/>
      <c r="S270" s="224"/>
      <c r="T270" s="224"/>
      <c r="U270" s="224"/>
      <c r="V270" s="224"/>
      <c r="W270" s="9"/>
    </row>
    <row r="271">
      <c r="A271" s="33"/>
      <c r="B271" s="2"/>
      <c r="C271" s="2"/>
      <c r="D271" s="2"/>
      <c r="E271" s="2"/>
      <c r="F271" s="4"/>
      <c r="G271" s="2"/>
      <c r="H271" s="2"/>
      <c r="I271" s="2"/>
      <c r="J271" s="2"/>
      <c r="K271" s="5"/>
      <c r="L271" s="2"/>
      <c r="M271" s="2"/>
      <c r="N271" s="2"/>
      <c r="O271" s="2"/>
      <c r="P271" s="2"/>
      <c r="Q271" s="2"/>
      <c r="R271" s="7"/>
      <c r="S271" s="224"/>
      <c r="T271" s="224"/>
      <c r="U271" s="224"/>
      <c r="V271" s="224"/>
      <c r="W271" s="9"/>
    </row>
    <row r="272">
      <c r="A272" s="33"/>
      <c r="B272" s="2"/>
      <c r="C272" s="2"/>
      <c r="D272" s="2"/>
      <c r="E272" s="2"/>
      <c r="F272" s="4"/>
      <c r="G272" s="2"/>
      <c r="H272" s="2"/>
      <c r="I272" s="2"/>
      <c r="J272" s="2"/>
      <c r="K272" s="5"/>
      <c r="L272" s="2"/>
      <c r="M272" s="2"/>
      <c r="N272" s="2"/>
      <c r="O272" s="2"/>
      <c r="P272" s="2"/>
      <c r="Q272" s="2"/>
      <c r="R272" s="7"/>
      <c r="S272" s="224"/>
      <c r="T272" s="224"/>
      <c r="U272" s="224"/>
      <c r="V272" s="224"/>
      <c r="W272" s="9"/>
    </row>
    <row r="273">
      <c r="A273" s="33"/>
      <c r="B273" s="2"/>
      <c r="C273" s="2"/>
      <c r="D273" s="2"/>
      <c r="E273" s="2"/>
      <c r="F273" s="4"/>
      <c r="G273" s="2"/>
      <c r="H273" s="2"/>
      <c r="I273" s="2"/>
      <c r="J273" s="2"/>
      <c r="K273" s="5"/>
      <c r="L273" s="2"/>
      <c r="M273" s="2"/>
      <c r="N273" s="2"/>
      <c r="O273" s="2"/>
      <c r="P273" s="2"/>
      <c r="Q273" s="2"/>
      <c r="R273" s="7"/>
      <c r="S273" s="224"/>
      <c r="T273" s="224"/>
      <c r="U273" s="224"/>
      <c r="V273" s="224"/>
      <c r="W273" s="9"/>
    </row>
    <row r="274">
      <c r="A274" s="33"/>
      <c r="B274" s="2"/>
      <c r="C274" s="2"/>
      <c r="D274" s="2"/>
      <c r="E274" s="2"/>
      <c r="F274" s="4"/>
      <c r="G274" s="2"/>
      <c r="H274" s="2"/>
      <c r="I274" s="2"/>
      <c r="J274" s="2"/>
      <c r="K274" s="5"/>
      <c r="L274" s="2"/>
      <c r="M274" s="2"/>
      <c r="N274" s="2"/>
      <c r="O274" s="2"/>
      <c r="P274" s="2"/>
      <c r="Q274" s="2"/>
      <c r="R274" s="7"/>
      <c r="S274" s="224"/>
      <c r="T274" s="224"/>
      <c r="U274" s="224"/>
      <c r="V274" s="224"/>
      <c r="W274" s="9"/>
    </row>
    <row r="275">
      <c r="A275" s="33"/>
      <c r="B275" s="2"/>
      <c r="C275" s="2"/>
      <c r="D275" s="2"/>
      <c r="E275" s="2"/>
      <c r="F275" s="4"/>
      <c r="G275" s="2"/>
      <c r="H275" s="2"/>
      <c r="I275" s="2"/>
      <c r="J275" s="2"/>
      <c r="K275" s="5"/>
      <c r="L275" s="2"/>
      <c r="M275" s="2"/>
      <c r="N275" s="2"/>
      <c r="O275" s="2"/>
      <c r="P275" s="2"/>
      <c r="Q275" s="2"/>
      <c r="R275" s="7"/>
      <c r="S275" s="224"/>
      <c r="T275" s="224"/>
      <c r="U275" s="224"/>
      <c r="V275" s="224"/>
      <c r="W275" s="9"/>
    </row>
    <row r="276">
      <c r="A276" s="33"/>
      <c r="B276" s="2"/>
      <c r="C276" s="2"/>
      <c r="D276" s="2"/>
      <c r="E276" s="2"/>
      <c r="F276" s="4"/>
      <c r="G276" s="2"/>
      <c r="H276" s="2"/>
      <c r="I276" s="2"/>
      <c r="J276" s="2"/>
      <c r="K276" s="5"/>
      <c r="L276" s="2"/>
      <c r="M276" s="2"/>
      <c r="N276" s="2"/>
      <c r="O276" s="2"/>
      <c r="P276" s="2"/>
      <c r="Q276" s="2"/>
      <c r="R276" s="7"/>
      <c r="S276" s="224"/>
      <c r="T276" s="224"/>
      <c r="U276" s="224"/>
      <c r="V276" s="224"/>
      <c r="W276" s="9"/>
    </row>
    <row r="277">
      <c r="A277" s="33"/>
      <c r="B277" s="2"/>
      <c r="C277" s="2"/>
      <c r="D277" s="2"/>
      <c r="E277" s="2"/>
      <c r="F277" s="4"/>
      <c r="G277" s="2"/>
      <c r="H277" s="2"/>
      <c r="I277" s="2"/>
      <c r="J277" s="2"/>
      <c r="K277" s="5"/>
      <c r="L277" s="2"/>
      <c r="M277" s="2"/>
      <c r="N277" s="2"/>
      <c r="O277" s="2"/>
      <c r="P277" s="2"/>
      <c r="Q277" s="2"/>
      <c r="R277" s="7"/>
      <c r="S277" s="224"/>
      <c r="T277" s="224"/>
      <c r="U277" s="224"/>
      <c r="V277" s="224"/>
      <c r="W277" s="9"/>
    </row>
    <row r="278">
      <c r="A278" s="33"/>
      <c r="B278" s="2"/>
      <c r="C278" s="2"/>
      <c r="D278" s="2"/>
      <c r="E278" s="2"/>
      <c r="F278" s="4"/>
      <c r="G278" s="2"/>
      <c r="H278" s="2"/>
      <c r="I278" s="2"/>
      <c r="J278" s="2"/>
      <c r="K278" s="5"/>
      <c r="L278" s="2"/>
      <c r="M278" s="2"/>
      <c r="N278" s="2"/>
      <c r="O278" s="2"/>
      <c r="P278" s="2"/>
      <c r="Q278" s="2"/>
      <c r="R278" s="7"/>
      <c r="S278" s="224"/>
      <c r="T278" s="224"/>
      <c r="U278" s="224"/>
      <c r="V278" s="224"/>
      <c r="W278" s="9"/>
    </row>
    <row r="279">
      <c r="A279" s="33"/>
      <c r="B279" s="2"/>
      <c r="C279" s="2"/>
      <c r="D279" s="2"/>
      <c r="E279" s="2"/>
      <c r="F279" s="4"/>
      <c r="G279" s="2"/>
      <c r="H279" s="2"/>
      <c r="I279" s="2"/>
      <c r="J279" s="2"/>
      <c r="K279" s="5"/>
      <c r="L279" s="2"/>
      <c r="M279" s="2"/>
      <c r="N279" s="2"/>
      <c r="O279" s="2"/>
      <c r="P279" s="2"/>
      <c r="Q279" s="2"/>
      <c r="R279" s="7"/>
      <c r="S279" s="224"/>
      <c r="T279" s="224"/>
      <c r="U279" s="224"/>
      <c r="V279" s="224"/>
      <c r="W279" s="9"/>
    </row>
    <row r="280">
      <c r="A280" s="33"/>
      <c r="B280" s="2"/>
      <c r="C280" s="2"/>
      <c r="D280" s="2"/>
      <c r="E280" s="2"/>
      <c r="F280" s="4"/>
      <c r="G280" s="2"/>
      <c r="H280" s="2"/>
      <c r="I280" s="2"/>
      <c r="J280" s="2"/>
      <c r="K280" s="5"/>
      <c r="L280" s="2"/>
      <c r="M280" s="2"/>
      <c r="N280" s="2"/>
      <c r="O280" s="2"/>
      <c r="P280" s="2"/>
      <c r="Q280" s="2"/>
      <c r="R280" s="7"/>
      <c r="S280" s="224"/>
      <c r="T280" s="224"/>
      <c r="U280" s="224"/>
      <c r="V280" s="224"/>
      <c r="W280" s="9"/>
    </row>
    <row r="281">
      <c r="A281" s="33"/>
      <c r="B281" s="2"/>
      <c r="C281" s="2"/>
      <c r="D281" s="2"/>
      <c r="E281" s="2"/>
      <c r="F281" s="4"/>
      <c r="G281" s="2"/>
      <c r="H281" s="2"/>
      <c r="I281" s="2"/>
      <c r="J281" s="2"/>
      <c r="K281" s="5"/>
      <c r="L281" s="2"/>
      <c r="M281" s="2"/>
      <c r="N281" s="2"/>
      <c r="O281" s="2"/>
      <c r="P281" s="2"/>
      <c r="Q281" s="2"/>
      <c r="R281" s="7"/>
      <c r="S281" s="224"/>
      <c r="T281" s="224"/>
      <c r="U281" s="224"/>
      <c r="V281" s="224"/>
      <c r="W281" s="9"/>
    </row>
    <row r="282">
      <c r="A282" s="33"/>
      <c r="B282" s="2"/>
      <c r="C282" s="2"/>
      <c r="D282" s="2"/>
      <c r="E282" s="2"/>
      <c r="F282" s="4"/>
      <c r="G282" s="2"/>
      <c r="H282" s="2"/>
      <c r="I282" s="2"/>
      <c r="J282" s="2"/>
      <c r="K282" s="5"/>
      <c r="L282" s="2"/>
      <c r="M282" s="2"/>
      <c r="N282" s="2"/>
      <c r="O282" s="2"/>
      <c r="P282" s="2"/>
      <c r="Q282" s="2"/>
      <c r="R282" s="7"/>
      <c r="S282" s="224"/>
      <c r="T282" s="224"/>
      <c r="U282" s="224"/>
      <c r="V282" s="224"/>
      <c r="W282" s="9"/>
    </row>
    <row r="283">
      <c r="A283" s="33"/>
      <c r="B283" s="2"/>
      <c r="C283" s="2"/>
      <c r="D283" s="2"/>
      <c r="E283" s="2"/>
      <c r="F283" s="4"/>
      <c r="G283" s="2"/>
      <c r="H283" s="2"/>
      <c r="I283" s="2"/>
      <c r="J283" s="2"/>
      <c r="K283" s="5"/>
      <c r="L283" s="2"/>
      <c r="M283" s="2"/>
      <c r="N283" s="2"/>
      <c r="O283" s="2"/>
      <c r="P283" s="2"/>
      <c r="Q283" s="2"/>
      <c r="R283" s="7"/>
      <c r="S283" s="224"/>
      <c r="T283" s="224"/>
      <c r="U283" s="224"/>
      <c r="V283" s="224"/>
      <c r="W283" s="9"/>
    </row>
    <row r="284">
      <c r="A284" s="33"/>
      <c r="B284" s="2"/>
      <c r="C284" s="2"/>
      <c r="D284" s="2"/>
      <c r="E284" s="2"/>
      <c r="F284" s="4"/>
      <c r="G284" s="2"/>
      <c r="H284" s="2"/>
      <c r="I284" s="2"/>
      <c r="J284" s="2"/>
      <c r="K284" s="5"/>
      <c r="L284" s="2"/>
      <c r="M284" s="2"/>
      <c r="N284" s="2"/>
      <c r="O284" s="2"/>
      <c r="P284" s="2"/>
      <c r="Q284" s="2"/>
      <c r="R284" s="7"/>
      <c r="S284" s="224"/>
      <c r="T284" s="224"/>
      <c r="U284" s="224"/>
      <c r="V284" s="224"/>
      <c r="W284" s="9"/>
    </row>
    <row r="285">
      <c r="A285" s="33"/>
      <c r="B285" s="2"/>
      <c r="C285" s="2"/>
      <c r="D285" s="2"/>
      <c r="E285" s="2"/>
      <c r="F285" s="4"/>
      <c r="G285" s="2"/>
      <c r="H285" s="2"/>
      <c r="I285" s="2"/>
      <c r="J285" s="2"/>
      <c r="K285" s="5"/>
      <c r="L285" s="2"/>
      <c r="M285" s="2"/>
      <c r="N285" s="2"/>
      <c r="O285" s="2"/>
      <c r="P285" s="2"/>
      <c r="Q285" s="2"/>
      <c r="R285" s="7"/>
      <c r="S285" s="224"/>
      <c r="T285" s="224"/>
      <c r="U285" s="224"/>
      <c r="V285" s="224"/>
      <c r="W285" s="9"/>
    </row>
    <row r="286">
      <c r="A286" s="33"/>
      <c r="B286" s="2"/>
      <c r="C286" s="2"/>
      <c r="D286" s="2"/>
      <c r="E286" s="2"/>
      <c r="F286" s="4"/>
      <c r="G286" s="2"/>
      <c r="H286" s="2"/>
      <c r="I286" s="2"/>
      <c r="J286" s="2"/>
      <c r="K286" s="5"/>
      <c r="L286" s="2"/>
      <c r="M286" s="2"/>
      <c r="N286" s="2"/>
      <c r="O286" s="2"/>
      <c r="P286" s="2"/>
      <c r="Q286" s="2"/>
      <c r="R286" s="7"/>
      <c r="S286" s="224"/>
      <c r="T286" s="224"/>
      <c r="U286" s="224"/>
      <c r="V286" s="224"/>
      <c r="W286" s="9"/>
    </row>
    <row r="287">
      <c r="A287" s="33"/>
      <c r="B287" s="2"/>
      <c r="C287" s="2"/>
      <c r="D287" s="2"/>
      <c r="E287" s="2"/>
      <c r="F287" s="4"/>
      <c r="G287" s="2"/>
      <c r="H287" s="2"/>
      <c r="I287" s="2"/>
      <c r="J287" s="2"/>
      <c r="K287" s="5"/>
      <c r="L287" s="2"/>
      <c r="M287" s="2"/>
      <c r="N287" s="2"/>
      <c r="O287" s="2"/>
      <c r="P287" s="2"/>
      <c r="Q287" s="2"/>
      <c r="R287" s="7"/>
      <c r="S287" s="224"/>
      <c r="T287" s="224"/>
      <c r="U287" s="224"/>
      <c r="V287" s="224"/>
      <c r="W287" s="9"/>
    </row>
    <row r="288">
      <c r="A288" s="33"/>
      <c r="B288" s="2"/>
      <c r="C288" s="2"/>
      <c r="D288" s="2"/>
      <c r="E288" s="2"/>
      <c r="F288" s="4"/>
      <c r="G288" s="2"/>
      <c r="H288" s="2"/>
      <c r="I288" s="2"/>
      <c r="J288" s="2"/>
      <c r="K288" s="5"/>
      <c r="L288" s="2"/>
      <c r="M288" s="2"/>
      <c r="N288" s="2"/>
      <c r="O288" s="2"/>
      <c r="P288" s="2"/>
      <c r="Q288" s="2"/>
      <c r="R288" s="7"/>
      <c r="S288" s="224"/>
      <c r="T288" s="224"/>
      <c r="U288" s="224"/>
      <c r="V288" s="224"/>
      <c r="W288" s="9"/>
    </row>
    <row r="289">
      <c r="A289" s="33"/>
      <c r="B289" s="2"/>
      <c r="C289" s="2"/>
      <c r="D289" s="2"/>
      <c r="E289" s="2"/>
      <c r="F289" s="4"/>
      <c r="G289" s="2"/>
      <c r="H289" s="2"/>
      <c r="I289" s="2"/>
      <c r="J289" s="2"/>
      <c r="K289" s="5"/>
      <c r="L289" s="2"/>
      <c r="M289" s="2"/>
      <c r="N289" s="2"/>
      <c r="O289" s="2"/>
      <c r="P289" s="2"/>
      <c r="Q289" s="2"/>
      <c r="R289" s="7"/>
      <c r="S289" s="224"/>
      <c r="T289" s="224"/>
      <c r="U289" s="224"/>
      <c r="V289" s="224"/>
      <c r="W289" s="9"/>
    </row>
    <row r="290">
      <c r="A290" s="33"/>
      <c r="B290" s="2"/>
      <c r="C290" s="2"/>
      <c r="D290" s="2"/>
      <c r="E290" s="2"/>
      <c r="F290" s="4"/>
      <c r="G290" s="2"/>
      <c r="H290" s="2"/>
      <c r="I290" s="2"/>
      <c r="J290" s="2"/>
      <c r="K290" s="5"/>
      <c r="L290" s="2"/>
      <c r="M290" s="2"/>
      <c r="N290" s="2"/>
      <c r="O290" s="2"/>
      <c r="P290" s="2"/>
      <c r="Q290" s="2"/>
      <c r="R290" s="7"/>
      <c r="S290" s="224"/>
      <c r="T290" s="224"/>
      <c r="U290" s="224"/>
      <c r="V290" s="224"/>
      <c r="W290" s="9"/>
    </row>
    <row r="291">
      <c r="A291" s="33"/>
      <c r="B291" s="2"/>
      <c r="C291" s="2"/>
      <c r="D291" s="2"/>
      <c r="E291" s="2"/>
      <c r="F291" s="4"/>
      <c r="G291" s="2"/>
      <c r="H291" s="2"/>
      <c r="I291" s="2"/>
      <c r="J291" s="2"/>
      <c r="K291" s="5"/>
      <c r="L291" s="2"/>
      <c r="M291" s="2"/>
      <c r="N291" s="2"/>
      <c r="O291" s="2"/>
      <c r="P291" s="2"/>
      <c r="Q291" s="2"/>
      <c r="R291" s="7"/>
      <c r="S291" s="224"/>
      <c r="T291" s="224"/>
      <c r="U291" s="224"/>
      <c r="V291" s="224"/>
      <c r="W291" s="9"/>
    </row>
    <row r="292">
      <c r="A292" s="33"/>
      <c r="B292" s="2"/>
      <c r="C292" s="2"/>
      <c r="D292" s="2"/>
      <c r="E292" s="2"/>
      <c r="F292" s="4"/>
      <c r="G292" s="2"/>
      <c r="H292" s="2"/>
      <c r="I292" s="2"/>
      <c r="J292" s="2"/>
      <c r="K292" s="5"/>
      <c r="L292" s="2"/>
      <c r="M292" s="2"/>
      <c r="N292" s="2"/>
      <c r="O292" s="2"/>
      <c r="P292" s="2"/>
      <c r="Q292" s="2"/>
      <c r="R292" s="7"/>
      <c r="S292" s="224"/>
      <c r="T292" s="224"/>
      <c r="U292" s="224"/>
      <c r="V292" s="224"/>
      <c r="W292" s="9"/>
    </row>
    <row r="293">
      <c r="A293" s="33"/>
      <c r="B293" s="2"/>
      <c r="C293" s="2"/>
      <c r="D293" s="2"/>
      <c r="E293" s="2"/>
      <c r="F293" s="4"/>
      <c r="G293" s="2"/>
      <c r="H293" s="2"/>
      <c r="I293" s="2"/>
      <c r="J293" s="2"/>
      <c r="K293" s="5"/>
      <c r="L293" s="2"/>
      <c r="M293" s="2"/>
      <c r="N293" s="2"/>
      <c r="O293" s="2"/>
      <c r="P293" s="2"/>
      <c r="Q293" s="2"/>
      <c r="R293" s="7"/>
      <c r="S293" s="224"/>
      <c r="T293" s="224"/>
      <c r="U293" s="224"/>
      <c r="V293" s="224"/>
      <c r="W293" s="9"/>
    </row>
    <row r="294">
      <c r="A294" s="33"/>
      <c r="B294" s="2"/>
      <c r="C294" s="2"/>
      <c r="D294" s="2"/>
      <c r="E294" s="2"/>
      <c r="F294" s="4"/>
      <c r="G294" s="2"/>
      <c r="H294" s="2"/>
      <c r="I294" s="2"/>
      <c r="J294" s="2"/>
      <c r="K294" s="5"/>
      <c r="L294" s="2"/>
      <c r="M294" s="2"/>
      <c r="N294" s="2"/>
      <c r="O294" s="2"/>
      <c r="P294" s="2"/>
      <c r="Q294" s="2"/>
      <c r="R294" s="7"/>
      <c r="S294" s="224"/>
      <c r="T294" s="224"/>
      <c r="U294" s="224"/>
      <c r="V294" s="224"/>
      <c r="W294" s="9"/>
    </row>
    <row r="295">
      <c r="A295" s="33"/>
      <c r="B295" s="2"/>
      <c r="C295" s="2"/>
      <c r="D295" s="2"/>
      <c r="E295" s="2"/>
      <c r="F295" s="4"/>
      <c r="G295" s="2"/>
      <c r="H295" s="2"/>
      <c r="I295" s="2"/>
      <c r="J295" s="2"/>
      <c r="K295" s="5"/>
      <c r="L295" s="2"/>
      <c r="M295" s="2"/>
      <c r="N295" s="2"/>
      <c r="O295" s="2"/>
      <c r="P295" s="2"/>
      <c r="Q295" s="2"/>
      <c r="R295" s="7"/>
      <c r="S295" s="224"/>
      <c r="T295" s="224"/>
      <c r="U295" s="224"/>
      <c r="V295" s="224"/>
      <c r="W295" s="9"/>
    </row>
    <row r="296">
      <c r="A296" s="33"/>
      <c r="B296" s="2"/>
      <c r="C296" s="2"/>
      <c r="D296" s="2"/>
      <c r="E296" s="2"/>
      <c r="F296" s="4"/>
      <c r="G296" s="2"/>
      <c r="H296" s="2"/>
      <c r="I296" s="2"/>
      <c r="J296" s="2"/>
      <c r="K296" s="5"/>
      <c r="L296" s="2"/>
      <c r="M296" s="2"/>
      <c r="N296" s="2"/>
      <c r="O296" s="2"/>
      <c r="P296" s="2"/>
      <c r="Q296" s="2"/>
      <c r="R296" s="7"/>
      <c r="S296" s="224"/>
      <c r="T296" s="224"/>
      <c r="U296" s="224"/>
      <c r="V296" s="224"/>
      <c r="W296" s="9"/>
    </row>
    <row r="297">
      <c r="A297" s="33"/>
      <c r="B297" s="2"/>
      <c r="C297" s="2"/>
      <c r="D297" s="2"/>
      <c r="E297" s="2"/>
      <c r="F297" s="4"/>
      <c r="G297" s="2"/>
      <c r="H297" s="2"/>
      <c r="I297" s="2"/>
      <c r="J297" s="2"/>
      <c r="K297" s="5"/>
      <c r="L297" s="2"/>
      <c r="M297" s="2"/>
      <c r="N297" s="2"/>
      <c r="O297" s="2"/>
      <c r="P297" s="2"/>
      <c r="Q297" s="2"/>
      <c r="R297" s="7"/>
      <c r="S297" s="224"/>
      <c r="T297" s="224"/>
      <c r="U297" s="224"/>
      <c r="V297" s="224"/>
      <c r="W297" s="9"/>
    </row>
    <row r="298">
      <c r="A298" s="33"/>
      <c r="B298" s="2"/>
      <c r="C298" s="2"/>
      <c r="D298" s="2"/>
      <c r="E298" s="2"/>
      <c r="F298" s="4"/>
      <c r="G298" s="2"/>
      <c r="H298" s="2"/>
      <c r="I298" s="2"/>
      <c r="J298" s="2"/>
      <c r="K298" s="5"/>
      <c r="L298" s="2"/>
      <c r="M298" s="2"/>
      <c r="N298" s="2"/>
      <c r="O298" s="2"/>
      <c r="P298" s="2"/>
      <c r="Q298" s="2"/>
      <c r="R298" s="7"/>
      <c r="S298" s="224"/>
      <c r="T298" s="224"/>
      <c r="U298" s="224"/>
      <c r="V298" s="224"/>
      <c r="W298" s="9"/>
    </row>
    <row r="299">
      <c r="A299" s="33"/>
      <c r="B299" s="2"/>
      <c r="C299" s="2"/>
      <c r="D299" s="2"/>
      <c r="E299" s="2"/>
      <c r="F299" s="4"/>
      <c r="G299" s="2"/>
      <c r="H299" s="2"/>
      <c r="I299" s="2"/>
      <c r="J299" s="2"/>
      <c r="K299" s="5"/>
      <c r="L299" s="2"/>
      <c r="M299" s="2"/>
      <c r="N299" s="2"/>
      <c r="O299" s="2"/>
      <c r="P299" s="2"/>
      <c r="Q299" s="2"/>
      <c r="R299" s="7"/>
      <c r="S299" s="224"/>
      <c r="T299" s="224"/>
      <c r="U299" s="224"/>
      <c r="V299" s="224"/>
      <c r="W299" s="9"/>
    </row>
    <row r="300">
      <c r="A300" s="33"/>
      <c r="B300" s="2"/>
      <c r="C300" s="2"/>
      <c r="D300" s="2"/>
      <c r="E300" s="2"/>
      <c r="F300" s="4"/>
      <c r="G300" s="2"/>
      <c r="H300" s="2"/>
      <c r="I300" s="2"/>
      <c r="J300" s="2"/>
      <c r="K300" s="5"/>
      <c r="L300" s="2"/>
      <c r="M300" s="2"/>
      <c r="N300" s="2"/>
      <c r="O300" s="2"/>
      <c r="P300" s="2"/>
      <c r="Q300" s="2"/>
      <c r="R300" s="7"/>
      <c r="S300" s="224"/>
      <c r="T300" s="224"/>
      <c r="U300" s="224"/>
      <c r="V300" s="224"/>
      <c r="W300" s="9"/>
    </row>
    <row r="301">
      <c r="A301" s="33"/>
      <c r="B301" s="2"/>
      <c r="C301" s="2"/>
      <c r="D301" s="2"/>
      <c r="E301" s="2"/>
      <c r="F301" s="4"/>
      <c r="G301" s="2"/>
      <c r="H301" s="2"/>
      <c r="I301" s="2"/>
      <c r="J301" s="2"/>
      <c r="K301" s="5"/>
      <c r="L301" s="2"/>
      <c r="M301" s="2"/>
      <c r="N301" s="2"/>
      <c r="O301" s="2"/>
      <c r="P301" s="2"/>
      <c r="Q301" s="2"/>
      <c r="R301" s="7"/>
      <c r="S301" s="224"/>
      <c r="T301" s="224"/>
      <c r="U301" s="224"/>
      <c r="V301" s="224"/>
      <c r="W301" s="9"/>
    </row>
    <row r="302">
      <c r="A302" s="33"/>
      <c r="B302" s="2"/>
      <c r="C302" s="2"/>
      <c r="D302" s="2"/>
      <c r="E302" s="2"/>
      <c r="F302" s="4"/>
      <c r="G302" s="2"/>
      <c r="H302" s="2"/>
      <c r="I302" s="2"/>
      <c r="J302" s="2"/>
      <c r="K302" s="5"/>
      <c r="L302" s="2"/>
      <c r="M302" s="2"/>
      <c r="N302" s="2"/>
      <c r="O302" s="2"/>
      <c r="P302" s="2"/>
      <c r="Q302" s="2"/>
      <c r="R302" s="7"/>
      <c r="S302" s="224"/>
      <c r="T302" s="224"/>
      <c r="U302" s="224"/>
      <c r="V302" s="224"/>
      <c r="W302" s="9"/>
    </row>
    <row r="303">
      <c r="A303" s="33"/>
      <c r="B303" s="2"/>
      <c r="C303" s="2"/>
      <c r="D303" s="2"/>
      <c r="E303" s="2"/>
      <c r="F303" s="4"/>
      <c r="G303" s="2"/>
      <c r="H303" s="2"/>
      <c r="I303" s="2"/>
      <c r="J303" s="2"/>
      <c r="K303" s="5"/>
      <c r="L303" s="2"/>
      <c r="M303" s="2"/>
      <c r="N303" s="2"/>
      <c r="O303" s="2"/>
      <c r="P303" s="2"/>
      <c r="Q303" s="2"/>
      <c r="R303" s="7"/>
      <c r="S303" s="224"/>
      <c r="T303" s="224"/>
      <c r="U303" s="224"/>
      <c r="V303" s="224"/>
      <c r="W303" s="9"/>
    </row>
    <row r="304">
      <c r="A304" s="33"/>
      <c r="B304" s="2"/>
      <c r="C304" s="2"/>
      <c r="D304" s="2"/>
      <c r="E304" s="2"/>
      <c r="F304" s="4"/>
      <c r="G304" s="2"/>
      <c r="H304" s="2"/>
      <c r="I304" s="2"/>
      <c r="J304" s="2"/>
      <c r="K304" s="5"/>
      <c r="L304" s="2"/>
      <c r="M304" s="2"/>
      <c r="N304" s="2"/>
      <c r="O304" s="2"/>
      <c r="P304" s="2"/>
      <c r="Q304" s="2"/>
      <c r="R304" s="7"/>
      <c r="S304" s="224"/>
      <c r="T304" s="224"/>
      <c r="U304" s="224"/>
      <c r="V304" s="224"/>
      <c r="W304" s="9"/>
    </row>
    <row r="305">
      <c r="A305" s="33"/>
      <c r="B305" s="2"/>
      <c r="C305" s="2"/>
      <c r="D305" s="2"/>
      <c r="E305" s="2"/>
      <c r="F305" s="4"/>
      <c r="G305" s="2"/>
      <c r="H305" s="2"/>
      <c r="I305" s="2"/>
      <c r="J305" s="2"/>
      <c r="K305" s="5"/>
      <c r="L305" s="2"/>
      <c r="M305" s="2"/>
      <c r="N305" s="2"/>
      <c r="O305" s="2"/>
      <c r="P305" s="2"/>
      <c r="Q305" s="2"/>
      <c r="R305" s="7"/>
      <c r="S305" s="224"/>
      <c r="T305" s="224"/>
      <c r="U305" s="224"/>
      <c r="V305" s="224"/>
      <c r="W305" s="9"/>
    </row>
    <row r="306">
      <c r="A306" s="33"/>
      <c r="B306" s="2"/>
      <c r="C306" s="2"/>
      <c r="D306" s="2"/>
      <c r="E306" s="2"/>
      <c r="F306" s="4"/>
      <c r="G306" s="2"/>
      <c r="H306" s="2"/>
      <c r="I306" s="2"/>
      <c r="J306" s="2"/>
      <c r="K306" s="5"/>
      <c r="L306" s="2"/>
      <c r="M306" s="2"/>
      <c r="N306" s="2"/>
      <c r="O306" s="2"/>
      <c r="P306" s="2"/>
      <c r="Q306" s="2"/>
      <c r="R306" s="7"/>
      <c r="S306" s="224"/>
      <c r="T306" s="224"/>
      <c r="U306" s="224"/>
      <c r="V306" s="224"/>
      <c r="W306" s="9"/>
    </row>
    <row r="307">
      <c r="A307" s="33"/>
      <c r="B307" s="2"/>
      <c r="C307" s="2"/>
      <c r="D307" s="2"/>
      <c r="E307" s="2"/>
      <c r="F307" s="4"/>
      <c r="G307" s="2"/>
      <c r="H307" s="2"/>
      <c r="I307" s="2"/>
      <c r="J307" s="2"/>
      <c r="K307" s="5"/>
      <c r="L307" s="2"/>
      <c r="M307" s="2"/>
      <c r="N307" s="2"/>
      <c r="O307" s="2"/>
      <c r="P307" s="2"/>
      <c r="Q307" s="2"/>
      <c r="R307" s="7"/>
      <c r="S307" s="224"/>
      <c r="T307" s="224"/>
      <c r="U307" s="224"/>
      <c r="V307" s="224"/>
      <c r="W307" s="9"/>
    </row>
    <row r="308">
      <c r="A308" s="33"/>
      <c r="B308" s="2"/>
      <c r="C308" s="2"/>
      <c r="D308" s="2"/>
      <c r="E308" s="2"/>
      <c r="F308" s="4"/>
      <c r="G308" s="2"/>
      <c r="H308" s="2"/>
      <c r="I308" s="2"/>
      <c r="J308" s="2"/>
      <c r="K308" s="5"/>
      <c r="L308" s="2"/>
      <c r="M308" s="2"/>
      <c r="N308" s="2"/>
      <c r="O308" s="2"/>
      <c r="P308" s="2"/>
      <c r="Q308" s="2"/>
      <c r="R308" s="7"/>
      <c r="S308" s="224"/>
      <c r="T308" s="224"/>
      <c r="U308" s="224"/>
      <c r="V308" s="224"/>
      <c r="W308" s="9"/>
    </row>
    <row r="309">
      <c r="A309" s="33"/>
      <c r="B309" s="2"/>
      <c r="C309" s="2"/>
      <c r="D309" s="2"/>
      <c r="E309" s="2"/>
      <c r="F309" s="4"/>
      <c r="G309" s="2"/>
      <c r="H309" s="2"/>
      <c r="I309" s="2"/>
      <c r="J309" s="2"/>
      <c r="K309" s="5"/>
      <c r="L309" s="2"/>
      <c r="M309" s="2"/>
      <c r="N309" s="2"/>
      <c r="O309" s="2"/>
      <c r="P309" s="2"/>
      <c r="Q309" s="2"/>
      <c r="R309" s="7"/>
      <c r="S309" s="224"/>
      <c r="T309" s="224"/>
      <c r="U309" s="224"/>
      <c r="V309" s="224"/>
      <c r="W309" s="9"/>
    </row>
    <row r="310">
      <c r="A310" s="33"/>
      <c r="B310" s="2"/>
      <c r="C310" s="2"/>
      <c r="D310" s="2"/>
      <c r="E310" s="2"/>
      <c r="F310" s="4"/>
      <c r="G310" s="2"/>
      <c r="H310" s="2"/>
      <c r="I310" s="2"/>
      <c r="J310" s="2"/>
      <c r="K310" s="5"/>
      <c r="L310" s="2"/>
      <c r="M310" s="2"/>
      <c r="N310" s="2"/>
      <c r="O310" s="2"/>
      <c r="P310" s="2"/>
      <c r="Q310" s="2"/>
      <c r="R310" s="7"/>
      <c r="S310" s="224"/>
      <c r="T310" s="224"/>
      <c r="U310" s="224"/>
      <c r="V310" s="224"/>
      <c r="W310" s="9"/>
    </row>
    <row r="311">
      <c r="A311" s="33"/>
      <c r="B311" s="2"/>
      <c r="C311" s="2"/>
      <c r="D311" s="2"/>
      <c r="E311" s="2"/>
      <c r="F311" s="4"/>
      <c r="G311" s="2"/>
      <c r="H311" s="2"/>
      <c r="I311" s="2"/>
      <c r="J311" s="2"/>
      <c r="K311" s="5"/>
      <c r="L311" s="2"/>
      <c r="M311" s="2"/>
      <c r="N311" s="2"/>
      <c r="O311" s="2"/>
      <c r="P311" s="2"/>
      <c r="Q311" s="2"/>
      <c r="R311" s="7"/>
      <c r="S311" s="224"/>
      <c r="T311" s="224"/>
      <c r="U311" s="224"/>
      <c r="V311" s="224"/>
      <c r="W311" s="9"/>
    </row>
    <row r="312">
      <c r="A312" s="33"/>
      <c r="B312" s="2"/>
      <c r="C312" s="2"/>
      <c r="D312" s="2"/>
      <c r="E312" s="2"/>
      <c r="F312" s="4"/>
      <c r="G312" s="2"/>
      <c r="H312" s="2"/>
      <c r="I312" s="2"/>
      <c r="J312" s="2"/>
      <c r="K312" s="5"/>
      <c r="L312" s="2"/>
      <c r="M312" s="2"/>
      <c r="N312" s="2"/>
      <c r="O312" s="2"/>
      <c r="P312" s="2"/>
      <c r="Q312" s="2"/>
      <c r="R312" s="7"/>
      <c r="S312" s="224"/>
      <c r="T312" s="224"/>
      <c r="U312" s="224"/>
      <c r="V312" s="224"/>
      <c r="W312" s="9"/>
    </row>
    <row r="313">
      <c r="A313" s="33"/>
      <c r="B313" s="2"/>
      <c r="C313" s="2"/>
      <c r="D313" s="2"/>
      <c r="E313" s="2"/>
      <c r="F313" s="4"/>
      <c r="G313" s="2"/>
      <c r="H313" s="2"/>
      <c r="I313" s="2"/>
      <c r="J313" s="2"/>
      <c r="K313" s="5"/>
      <c r="L313" s="2"/>
      <c r="M313" s="2"/>
      <c r="N313" s="2"/>
      <c r="O313" s="2"/>
      <c r="P313" s="2"/>
      <c r="Q313" s="2"/>
      <c r="R313" s="7"/>
      <c r="S313" s="224"/>
      <c r="T313" s="224"/>
      <c r="U313" s="224"/>
      <c r="V313" s="224"/>
      <c r="W313" s="9"/>
    </row>
    <row r="314">
      <c r="A314" s="33"/>
      <c r="B314" s="2"/>
      <c r="C314" s="2"/>
      <c r="D314" s="2"/>
      <c r="E314" s="2"/>
      <c r="F314" s="4"/>
      <c r="G314" s="2"/>
      <c r="H314" s="2"/>
      <c r="I314" s="2"/>
      <c r="J314" s="2"/>
      <c r="K314" s="5"/>
      <c r="L314" s="2"/>
      <c r="M314" s="2"/>
      <c r="N314" s="2"/>
      <c r="O314" s="2"/>
      <c r="P314" s="2"/>
      <c r="Q314" s="2"/>
      <c r="R314" s="7"/>
      <c r="S314" s="224"/>
      <c r="T314" s="224"/>
      <c r="U314" s="224"/>
      <c r="V314" s="224"/>
      <c r="W314" s="9"/>
    </row>
    <row r="315">
      <c r="A315" s="33"/>
      <c r="B315" s="2"/>
      <c r="C315" s="2"/>
      <c r="D315" s="2"/>
      <c r="E315" s="2"/>
      <c r="F315" s="4"/>
      <c r="G315" s="2"/>
      <c r="H315" s="2"/>
      <c r="I315" s="2"/>
      <c r="J315" s="2"/>
      <c r="K315" s="5"/>
      <c r="L315" s="2"/>
      <c r="M315" s="2"/>
      <c r="N315" s="2"/>
      <c r="O315" s="2"/>
      <c r="P315" s="2"/>
      <c r="Q315" s="2"/>
      <c r="R315" s="7"/>
      <c r="S315" s="224"/>
      <c r="T315" s="224"/>
      <c r="U315" s="224"/>
      <c r="V315" s="224"/>
      <c r="W315" s="9"/>
    </row>
    <row r="316">
      <c r="A316" s="33"/>
      <c r="B316" s="2"/>
      <c r="C316" s="2"/>
      <c r="D316" s="2"/>
      <c r="E316" s="2"/>
      <c r="F316" s="4"/>
      <c r="G316" s="2"/>
      <c r="H316" s="2"/>
      <c r="I316" s="2"/>
      <c r="J316" s="2"/>
      <c r="K316" s="5"/>
      <c r="L316" s="2"/>
      <c r="M316" s="2"/>
      <c r="N316" s="2"/>
      <c r="O316" s="2"/>
      <c r="P316" s="2"/>
      <c r="Q316" s="2"/>
      <c r="R316" s="7"/>
      <c r="S316" s="224"/>
      <c r="T316" s="224"/>
      <c r="U316" s="224"/>
      <c r="V316" s="224"/>
      <c r="W316" s="9"/>
    </row>
    <row r="317">
      <c r="A317" s="33"/>
      <c r="B317" s="2"/>
      <c r="C317" s="2"/>
      <c r="D317" s="2"/>
      <c r="E317" s="2"/>
      <c r="F317" s="4"/>
      <c r="G317" s="2"/>
      <c r="H317" s="2"/>
      <c r="I317" s="2"/>
      <c r="J317" s="2"/>
      <c r="K317" s="5"/>
      <c r="L317" s="2"/>
      <c r="M317" s="2"/>
      <c r="N317" s="2"/>
      <c r="O317" s="2"/>
      <c r="P317" s="2"/>
      <c r="Q317" s="2"/>
      <c r="R317" s="7"/>
      <c r="S317" s="224"/>
      <c r="T317" s="224"/>
      <c r="U317" s="224"/>
      <c r="V317" s="224"/>
      <c r="W317" s="9"/>
    </row>
    <row r="318">
      <c r="A318" s="33"/>
      <c r="B318" s="2"/>
      <c r="C318" s="2"/>
      <c r="D318" s="2"/>
      <c r="E318" s="2"/>
      <c r="F318" s="4"/>
      <c r="G318" s="2"/>
      <c r="H318" s="2"/>
      <c r="I318" s="2"/>
      <c r="J318" s="2"/>
      <c r="K318" s="5"/>
      <c r="L318" s="2"/>
      <c r="M318" s="2"/>
      <c r="N318" s="2"/>
      <c r="O318" s="2"/>
      <c r="P318" s="2"/>
      <c r="Q318" s="2"/>
      <c r="R318" s="7"/>
      <c r="S318" s="224"/>
      <c r="T318" s="224"/>
      <c r="U318" s="224"/>
      <c r="V318" s="224"/>
      <c r="W318" s="9"/>
    </row>
    <row r="319">
      <c r="A319" s="33"/>
      <c r="B319" s="2"/>
      <c r="C319" s="2"/>
      <c r="D319" s="2"/>
      <c r="E319" s="2"/>
      <c r="F319" s="4"/>
      <c r="G319" s="2"/>
      <c r="H319" s="2"/>
      <c r="I319" s="2"/>
      <c r="J319" s="2"/>
      <c r="K319" s="5"/>
      <c r="L319" s="2"/>
      <c r="M319" s="2"/>
      <c r="N319" s="2"/>
      <c r="O319" s="2"/>
      <c r="P319" s="2"/>
      <c r="Q319" s="2"/>
      <c r="R319" s="7"/>
      <c r="S319" s="224"/>
      <c r="T319" s="224"/>
      <c r="U319" s="224"/>
      <c r="V319" s="224"/>
      <c r="W319" s="9"/>
    </row>
    <row r="320">
      <c r="A320" s="33"/>
      <c r="B320" s="2"/>
      <c r="C320" s="2"/>
      <c r="D320" s="2"/>
      <c r="E320" s="2"/>
      <c r="F320" s="4"/>
      <c r="G320" s="2"/>
      <c r="H320" s="2"/>
      <c r="I320" s="2"/>
      <c r="J320" s="2"/>
      <c r="K320" s="5"/>
      <c r="L320" s="2"/>
      <c r="M320" s="2"/>
      <c r="N320" s="2"/>
      <c r="O320" s="2"/>
      <c r="P320" s="2"/>
      <c r="Q320" s="2"/>
      <c r="R320" s="7"/>
      <c r="S320" s="224"/>
      <c r="T320" s="224"/>
      <c r="U320" s="224"/>
      <c r="V320" s="224"/>
      <c r="W320" s="9"/>
    </row>
    <row r="321">
      <c r="A321" s="33"/>
      <c r="B321" s="2"/>
      <c r="C321" s="2"/>
      <c r="D321" s="2"/>
      <c r="E321" s="2"/>
      <c r="F321" s="4"/>
      <c r="G321" s="2"/>
      <c r="H321" s="2"/>
      <c r="I321" s="2"/>
      <c r="J321" s="2"/>
      <c r="K321" s="5"/>
      <c r="L321" s="2"/>
      <c r="M321" s="2"/>
      <c r="N321" s="2"/>
      <c r="O321" s="2"/>
      <c r="P321" s="2"/>
      <c r="Q321" s="2"/>
      <c r="R321" s="7"/>
      <c r="S321" s="224"/>
      <c r="T321" s="224"/>
      <c r="U321" s="224"/>
      <c r="V321" s="224"/>
      <c r="W321" s="9"/>
    </row>
    <row r="322">
      <c r="A322" s="33"/>
      <c r="B322" s="2"/>
      <c r="C322" s="2"/>
      <c r="D322" s="2"/>
      <c r="E322" s="2"/>
      <c r="F322" s="4"/>
      <c r="G322" s="2"/>
      <c r="H322" s="2"/>
      <c r="I322" s="2"/>
      <c r="J322" s="2"/>
      <c r="K322" s="5"/>
      <c r="L322" s="2"/>
      <c r="M322" s="2"/>
      <c r="N322" s="2"/>
      <c r="O322" s="2"/>
      <c r="P322" s="2"/>
      <c r="Q322" s="2"/>
      <c r="R322" s="7"/>
      <c r="S322" s="224"/>
      <c r="T322" s="224"/>
      <c r="U322" s="224"/>
      <c r="V322" s="224"/>
      <c r="W322" s="9"/>
    </row>
    <row r="323">
      <c r="A323" s="33"/>
      <c r="B323" s="2"/>
      <c r="C323" s="2"/>
      <c r="D323" s="2"/>
      <c r="E323" s="2"/>
      <c r="F323" s="4"/>
      <c r="G323" s="2"/>
      <c r="H323" s="2"/>
      <c r="I323" s="2"/>
      <c r="J323" s="2"/>
      <c r="K323" s="5"/>
      <c r="L323" s="2"/>
      <c r="M323" s="2"/>
      <c r="N323" s="2"/>
      <c r="O323" s="2"/>
      <c r="P323" s="2"/>
      <c r="Q323" s="2"/>
      <c r="R323" s="7"/>
      <c r="S323" s="224"/>
      <c r="T323" s="224"/>
      <c r="U323" s="224"/>
      <c r="V323" s="224"/>
      <c r="W323" s="9"/>
    </row>
    <row r="324">
      <c r="A324" s="33"/>
      <c r="B324" s="2"/>
      <c r="C324" s="2"/>
      <c r="D324" s="2"/>
      <c r="E324" s="2"/>
      <c r="F324" s="4"/>
      <c r="G324" s="2"/>
      <c r="H324" s="2"/>
      <c r="I324" s="2"/>
      <c r="J324" s="2"/>
      <c r="K324" s="5"/>
      <c r="L324" s="2"/>
      <c r="M324" s="2"/>
      <c r="N324" s="2"/>
      <c r="O324" s="2"/>
      <c r="P324" s="2"/>
      <c r="Q324" s="2"/>
      <c r="R324" s="7"/>
      <c r="S324" s="224"/>
      <c r="T324" s="224"/>
      <c r="U324" s="224"/>
      <c r="V324" s="224"/>
      <c r="W324" s="9"/>
    </row>
    <row r="325">
      <c r="A325" s="33"/>
      <c r="B325" s="2"/>
      <c r="C325" s="2"/>
      <c r="D325" s="2"/>
      <c r="E325" s="2"/>
      <c r="F325" s="4"/>
      <c r="G325" s="2"/>
      <c r="H325" s="2"/>
      <c r="I325" s="2"/>
      <c r="J325" s="2"/>
      <c r="K325" s="5"/>
      <c r="L325" s="2"/>
      <c r="M325" s="2"/>
      <c r="N325" s="2"/>
      <c r="O325" s="2"/>
      <c r="P325" s="2"/>
      <c r="Q325" s="2"/>
      <c r="R325" s="7"/>
      <c r="S325" s="224"/>
      <c r="T325" s="224"/>
      <c r="U325" s="224"/>
      <c r="V325" s="224"/>
      <c r="W325" s="9"/>
    </row>
    <row r="326">
      <c r="A326" s="33"/>
      <c r="B326" s="2"/>
      <c r="C326" s="2"/>
      <c r="D326" s="2"/>
      <c r="E326" s="2"/>
      <c r="F326" s="4"/>
      <c r="G326" s="2"/>
      <c r="H326" s="2"/>
      <c r="I326" s="2"/>
      <c r="J326" s="2"/>
      <c r="K326" s="5"/>
      <c r="L326" s="2"/>
      <c r="M326" s="2"/>
      <c r="N326" s="2"/>
      <c r="O326" s="2"/>
      <c r="P326" s="2"/>
      <c r="Q326" s="2"/>
      <c r="R326" s="7"/>
      <c r="S326" s="224"/>
      <c r="T326" s="224"/>
      <c r="U326" s="224"/>
      <c r="V326" s="224"/>
      <c r="W326" s="9"/>
    </row>
    <row r="327">
      <c r="A327" s="33"/>
      <c r="B327" s="2"/>
      <c r="C327" s="2"/>
      <c r="D327" s="2"/>
      <c r="E327" s="2"/>
      <c r="F327" s="4"/>
      <c r="G327" s="2"/>
      <c r="H327" s="2"/>
      <c r="I327" s="2"/>
      <c r="J327" s="2"/>
      <c r="K327" s="5"/>
      <c r="L327" s="2"/>
      <c r="M327" s="2"/>
      <c r="N327" s="2"/>
      <c r="O327" s="2"/>
      <c r="P327" s="2"/>
      <c r="Q327" s="2"/>
      <c r="R327" s="7"/>
      <c r="S327" s="224"/>
      <c r="T327" s="224"/>
      <c r="U327" s="224"/>
      <c r="V327" s="224"/>
      <c r="W327" s="9"/>
    </row>
    <row r="328">
      <c r="A328" s="33"/>
      <c r="B328" s="2"/>
      <c r="C328" s="2"/>
      <c r="D328" s="2"/>
      <c r="E328" s="2"/>
      <c r="F328" s="4"/>
      <c r="G328" s="2"/>
      <c r="H328" s="2"/>
      <c r="I328" s="2"/>
      <c r="J328" s="2"/>
      <c r="K328" s="5"/>
      <c r="L328" s="2"/>
      <c r="M328" s="2"/>
      <c r="N328" s="2"/>
      <c r="O328" s="2"/>
      <c r="P328" s="2"/>
      <c r="Q328" s="2"/>
      <c r="R328" s="7"/>
      <c r="S328" s="224"/>
      <c r="T328" s="224"/>
      <c r="U328" s="224"/>
      <c r="V328" s="224"/>
      <c r="W328" s="9"/>
    </row>
    <row r="329">
      <c r="A329" s="33"/>
      <c r="B329" s="2"/>
      <c r="C329" s="2"/>
      <c r="D329" s="2"/>
      <c r="E329" s="2"/>
      <c r="F329" s="4"/>
      <c r="G329" s="2"/>
      <c r="H329" s="2"/>
      <c r="I329" s="2"/>
      <c r="J329" s="2"/>
      <c r="K329" s="5"/>
      <c r="L329" s="2"/>
      <c r="M329" s="2"/>
      <c r="N329" s="2"/>
      <c r="O329" s="2"/>
      <c r="P329" s="2"/>
      <c r="Q329" s="2"/>
      <c r="R329" s="7"/>
      <c r="S329" s="224"/>
      <c r="T329" s="224"/>
      <c r="U329" s="224"/>
      <c r="V329" s="224"/>
      <c r="W329" s="9"/>
    </row>
    <row r="330">
      <c r="A330" s="33"/>
      <c r="B330" s="2"/>
      <c r="C330" s="2"/>
      <c r="D330" s="2"/>
      <c r="E330" s="2"/>
      <c r="F330" s="4"/>
      <c r="G330" s="2"/>
      <c r="H330" s="2"/>
      <c r="I330" s="2"/>
      <c r="J330" s="2"/>
      <c r="K330" s="5"/>
      <c r="L330" s="2"/>
      <c r="M330" s="2"/>
      <c r="N330" s="2"/>
      <c r="O330" s="2"/>
      <c r="P330" s="2"/>
      <c r="Q330" s="2"/>
      <c r="R330" s="7"/>
      <c r="S330" s="224"/>
      <c r="T330" s="224"/>
      <c r="U330" s="224"/>
      <c r="V330" s="224"/>
      <c r="W330" s="9"/>
    </row>
    <row r="331">
      <c r="A331" s="33"/>
      <c r="B331" s="2"/>
      <c r="C331" s="2"/>
      <c r="D331" s="2"/>
      <c r="E331" s="2"/>
      <c r="F331" s="4"/>
      <c r="G331" s="2"/>
      <c r="H331" s="2"/>
      <c r="I331" s="2"/>
      <c r="J331" s="2"/>
      <c r="K331" s="5"/>
      <c r="L331" s="2"/>
      <c r="M331" s="2"/>
      <c r="N331" s="2"/>
      <c r="O331" s="2"/>
      <c r="P331" s="2"/>
      <c r="Q331" s="2"/>
      <c r="R331" s="7"/>
      <c r="S331" s="224"/>
      <c r="T331" s="224"/>
      <c r="U331" s="224"/>
      <c r="V331" s="224"/>
      <c r="W331" s="9"/>
    </row>
    <row r="332">
      <c r="A332" s="33"/>
      <c r="B332" s="2"/>
      <c r="C332" s="2"/>
      <c r="D332" s="2"/>
      <c r="E332" s="2"/>
      <c r="F332" s="4"/>
      <c r="G332" s="2"/>
      <c r="H332" s="2"/>
      <c r="I332" s="2"/>
      <c r="J332" s="2"/>
      <c r="K332" s="5"/>
      <c r="L332" s="2"/>
      <c r="M332" s="2"/>
      <c r="N332" s="2"/>
      <c r="O332" s="2"/>
      <c r="P332" s="2"/>
      <c r="Q332" s="2"/>
      <c r="R332" s="7"/>
      <c r="S332" s="224"/>
      <c r="T332" s="224"/>
      <c r="U332" s="224"/>
      <c r="V332" s="224"/>
      <c r="W332" s="9"/>
    </row>
    <row r="333">
      <c r="A333" s="33"/>
      <c r="B333" s="2"/>
      <c r="C333" s="2"/>
      <c r="D333" s="2"/>
      <c r="E333" s="2"/>
      <c r="F333" s="4"/>
      <c r="G333" s="2"/>
      <c r="H333" s="2"/>
      <c r="I333" s="2"/>
      <c r="J333" s="2"/>
      <c r="K333" s="5"/>
      <c r="L333" s="2"/>
      <c r="M333" s="2"/>
      <c r="N333" s="2"/>
      <c r="O333" s="2"/>
      <c r="P333" s="2"/>
      <c r="Q333" s="2"/>
      <c r="R333" s="7"/>
      <c r="S333" s="224"/>
      <c r="T333" s="224"/>
      <c r="U333" s="224"/>
      <c r="V333" s="224"/>
      <c r="W333" s="9"/>
    </row>
    <row r="334">
      <c r="A334" s="33"/>
      <c r="B334" s="2"/>
      <c r="C334" s="2"/>
      <c r="D334" s="2"/>
      <c r="E334" s="2"/>
      <c r="F334" s="4"/>
      <c r="G334" s="2"/>
      <c r="H334" s="2"/>
      <c r="I334" s="2"/>
      <c r="J334" s="2"/>
      <c r="K334" s="5"/>
      <c r="L334" s="2"/>
      <c r="M334" s="2"/>
      <c r="N334" s="2"/>
      <c r="O334" s="2"/>
      <c r="P334" s="2"/>
      <c r="Q334" s="2"/>
      <c r="R334" s="7"/>
      <c r="S334" s="224"/>
      <c r="T334" s="224"/>
      <c r="U334" s="224"/>
      <c r="V334" s="224"/>
      <c r="W334" s="9"/>
    </row>
    <row r="335">
      <c r="A335" s="33"/>
      <c r="B335" s="2"/>
      <c r="C335" s="2"/>
      <c r="D335" s="2"/>
      <c r="E335" s="2"/>
      <c r="F335" s="4"/>
      <c r="G335" s="2"/>
      <c r="H335" s="2"/>
      <c r="I335" s="2"/>
      <c r="J335" s="2"/>
      <c r="K335" s="5"/>
      <c r="L335" s="2"/>
      <c r="M335" s="2"/>
      <c r="N335" s="2"/>
      <c r="O335" s="2"/>
      <c r="P335" s="2"/>
      <c r="Q335" s="2"/>
      <c r="R335" s="7"/>
      <c r="S335" s="224"/>
      <c r="T335" s="224"/>
      <c r="U335" s="224"/>
      <c r="V335" s="224"/>
      <c r="W335" s="9"/>
    </row>
    <row r="336">
      <c r="A336" s="33"/>
      <c r="B336" s="2"/>
      <c r="C336" s="2"/>
      <c r="D336" s="2"/>
      <c r="E336" s="2"/>
      <c r="F336" s="4"/>
      <c r="G336" s="2"/>
      <c r="H336" s="2"/>
      <c r="I336" s="2"/>
      <c r="J336" s="2"/>
      <c r="K336" s="5"/>
      <c r="L336" s="2"/>
      <c r="M336" s="2"/>
      <c r="N336" s="2"/>
      <c r="O336" s="2"/>
      <c r="P336" s="2"/>
      <c r="Q336" s="2"/>
      <c r="R336" s="7"/>
      <c r="S336" s="224"/>
      <c r="T336" s="224"/>
      <c r="U336" s="224"/>
      <c r="V336" s="224"/>
      <c r="W336" s="9"/>
    </row>
    <row r="337">
      <c r="A337" s="33"/>
      <c r="B337" s="2"/>
      <c r="C337" s="2"/>
      <c r="D337" s="2"/>
      <c r="E337" s="2"/>
      <c r="F337" s="4"/>
      <c r="G337" s="2"/>
      <c r="H337" s="2"/>
      <c r="I337" s="2"/>
      <c r="J337" s="2"/>
      <c r="K337" s="5"/>
      <c r="L337" s="2"/>
      <c r="M337" s="2"/>
      <c r="N337" s="2"/>
      <c r="O337" s="2"/>
      <c r="P337" s="2"/>
      <c r="Q337" s="2"/>
      <c r="R337" s="7"/>
      <c r="S337" s="224"/>
      <c r="T337" s="224"/>
      <c r="U337" s="224"/>
      <c r="V337" s="224"/>
      <c r="W337" s="9"/>
    </row>
    <row r="338">
      <c r="A338" s="33"/>
      <c r="B338" s="2"/>
      <c r="C338" s="2"/>
      <c r="D338" s="2"/>
      <c r="E338" s="2"/>
      <c r="F338" s="4"/>
      <c r="G338" s="2"/>
      <c r="H338" s="2"/>
      <c r="I338" s="2"/>
      <c r="J338" s="2"/>
      <c r="K338" s="5"/>
      <c r="L338" s="2"/>
      <c r="M338" s="2"/>
      <c r="N338" s="2"/>
      <c r="O338" s="2"/>
      <c r="P338" s="2"/>
      <c r="Q338" s="2"/>
      <c r="R338" s="7"/>
      <c r="S338" s="224"/>
      <c r="T338" s="224"/>
      <c r="U338" s="224"/>
      <c r="V338" s="224"/>
      <c r="W338" s="9"/>
    </row>
    <row r="339">
      <c r="A339" s="33"/>
      <c r="B339" s="2"/>
      <c r="C339" s="2"/>
      <c r="D339" s="2"/>
      <c r="E339" s="2"/>
      <c r="F339" s="4"/>
      <c r="G339" s="2"/>
      <c r="H339" s="2"/>
      <c r="I339" s="2"/>
      <c r="J339" s="2"/>
      <c r="K339" s="5"/>
      <c r="L339" s="2"/>
      <c r="M339" s="2"/>
      <c r="N339" s="2"/>
      <c r="O339" s="2"/>
      <c r="P339" s="2"/>
      <c r="Q339" s="2"/>
      <c r="R339" s="7"/>
      <c r="S339" s="224"/>
      <c r="T339" s="224"/>
      <c r="U339" s="224"/>
      <c r="V339" s="224"/>
      <c r="W339" s="9"/>
    </row>
    <row r="340">
      <c r="A340" s="33"/>
      <c r="B340" s="2"/>
      <c r="C340" s="2"/>
      <c r="D340" s="2"/>
      <c r="E340" s="2"/>
      <c r="F340" s="4"/>
      <c r="G340" s="2"/>
      <c r="H340" s="2"/>
      <c r="I340" s="2"/>
      <c r="J340" s="2"/>
      <c r="K340" s="5"/>
      <c r="L340" s="2"/>
      <c r="M340" s="2"/>
      <c r="N340" s="2"/>
      <c r="O340" s="2"/>
      <c r="P340" s="2"/>
      <c r="Q340" s="2"/>
      <c r="R340" s="7"/>
      <c r="S340" s="224"/>
      <c r="T340" s="224"/>
      <c r="U340" s="224"/>
      <c r="V340" s="224"/>
      <c r="W340" s="9"/>
    </row>
    <row r="341">
      <c r="A341" s="33"/>
      <c r="B341" s="2"/>
      <c r="C341" s="2"/>
      <c r="D341" s="2"/>
      <c r="E341" s="2"/>
      <c r="F341" s="4"/>
      <c r="G341" s="2"/>
      <c r="H341" s="2"/>
      <c r="I341" s="2"/>
      <c r="J341" s="2"/>
      <c r="K341" s="5"/>
      <c r="L341" s="2"/>
      <c r="M341" s="2"/>
      <c r="N341" s="2"/>
      <c r="O341" s="2"/>
      <c r="P341" s="2"/>
      <c r="Q341" s="2"/>
      <c r="R341" s="7"/>
      <c r="S341" s="224"/>
      <c r="T341" s="224"/>
      <c r="U341" s="224"/>
      <c r="V341" s="224"/>
      <c r="W341" s="9"/>
    </row>
    <row r="342">
      <c r="A342" s="33"/>
      <c r="B342" s="2"/>
      <c r="C342" s="2"/>
      <c r="D342" s="2"/>
      <c r="E342" s="2"/>
      <c r="F342" s="4"/>
      <c r="G342" s="2"/>
      <c r="H342" s="2"/>
      <c r="I342" s="2"/>
      <c r="J342" s="2"/>
      <c r="K342" s="5"/>
      <c r="L342" s="2"/>
      <c r="M342" s="2"/>
      <c r="N342" s="2"/>
      <c r="O342" s="2"/>
      <c r="P342" s="2"/>
      <c r="Q342" s="2"/>
      <c r="R342" s="7"/>
      <c r="S342" s="224"/>
      <c r="T342" s="224"/>
      <c r="U342" s="224"/>
      <c r="V342" s="224"/>
      <c r="W342" s="9"/>
    </row>
    <row r="343">
      <c r="A343" s="33"/>
      <c r="B343" s="2"/>
      <c r="C343" s="2"/>
      <c r="D343" s="2"/>
      <c r="E343" s="2"/>
      <c r="F343" s="4"/>
      <c r="G343" s="2"/>
      <c r="H343" s="2"/>
      <c r="I343" s="2"/>
      <c r="J343" s="2"/>
      <c r="K343" s="5"/>
      <c r="L343" s="2"/>
      <c r="M343" s="2"/>
      <c r="N343" s="2"/>
      <c r="O343" s="2"/>
      <c r="P343" s="2"/>
      <c r="Q343" s="2"/>
      <c r="R343" s="7"/>
      <c r="S343" s="224"/>
      <c r="T343" s="224"/>
      <c r="U343" s="224"/>
      <c r="V343" s="224"/>
      <c r="W343" s="9"/>
    </row>
    <row r="344">
      <c r="A344" s="33"/>
      <c r="B344" s="2"/>
      <c r="C344" s="2"/>
      <c r="D344" s="2"/>
      <c r="E344" s="2"/>
      <c r="F344" s="4"/>
      <c r="G344" s="2"/>
      <c r="H344" s="2"/>
      <c r="I344" s="2"/>
      <c r="J344" s="2"/>
      <c r="K344" s="5"/>
      <c r="L344" s="2"/>
      <c r="M344" s="2"/>
      <c r="N344" s="2"/>
      <c r="O344" s="2"/>
      <c r="P344" s="2"/>
      <c r="Q344" s="2"/>
      <c r="R344" s="7"/>
      <c r="S344" s="224"/>
      <c r="T344" s="224"/>
      <c r="U344" s="224"/>
      <c r="V344" s="224"/>
      <c r="W344" s="9"/>
    </row>
    <row r="345">
      <c r="A345" s="33"/>
      <c r="B345" s="2"/>
      <c r="C345" s="2"/>
      <c r="D345" s="2"/>
      <c r="E345" s="2"/>
      <c r="F345" s="4"/>
      <c r="G345" s="2"/>
      <c r="H345" s="2"/>
      <c r="I345" s="2"/>
      <c r="J345" s="2"/>
      <c r="K345" s="5"/>
      <c r="L345" s="2"/>
      <c r="M345" s="2"/>
      <c r="N345" s="2"/>
      <c r="O345" s="2"/>
      <c r="P345" s="2"/>
      <c r="Q345" s="2"/>
      <c r="R345" s="7"/>
      <c r="S345" s="224"/>
      <c r="T345" s="224"/>
      <c r="U345" s="224"/>
      <c r="V345" s="224"/>
      <c r="W345" s="9"/>
    </row>
    <row r="346">
      <c r="A346" s="33"/>
      <c r="B346" s="2"/>
      <c r="C346" s="2"/>
      <c r="D346" s="2"/>
      <c r="E346" s="2"/>
      <c r="F346" s="4"/>
      <c r="G346" s="2"/>
      <c r="H346" s="2"/>
      <c r="I346" s="2"/>
      <c r="J346" s="2"/>
      <c r="K346" s="5"/>
      <c r="L346" s="2"/>
      <c r="M346" s="2"/>
      <c r="N346" s="2"/>
      <c r="O346" s="2"/>
      <c r="P346" s="2"/>
      <c r="Q346" s="2"/>
      <c r="R346" s="7"/>
      <c r="S346" s="224"/>
      <c r="T346" s="224"/>
      <c r="U346" s="224"/>
      <c r="V346" s="224"/>
      <c r="W346" s="9"/>
    </row>
    <row r="347">
      <c r="A347" s="33"/>
      <c r="B347" s="2"/>
      <c r="C347" s="2"/>
      <c r="D347" s="2"/>
      <c r="E347" s="2"/>
      <c r="F347" s="4"/>
      <c r="G347" s="2"/>
      <c r="H347" s="2"/>
      <c r="I347" s="2"/>
      <c r="J347" s="2"/>
      <c r="K347" s="5"/>
      <c r="L347" s="2"/>
      <c r="M347" s="2"/>
      <c r="N347" s="2"/>
      <c r="O347" s="2"/>
      <c r="P347" s="2"/>
      <c r="Q347" s="2"/>
      <c r="R347" s="7"/>
      <c r="S347" s="224"/>
      <c r="T347" s="224"/>
      <c r="U347" s="224"/>
      <c r="V347" s="224"/>
      <c r="W347" s="9"/>
    </row>
    <row r="348">
      <c r="A348" s="33"/>
      <c r="B348" s="2"/>
      <c r="C348" s="2"/>
      <c r="D348" s="2"/>
      <c r="E348" s="2"/>
      <c r="F348" s="4"/>
      <c r="G348" s="2"/>
      <c r="H348" s="2"/>
      <c r="I348" s="2"/>
      <c r="J348" s="2"/>
      <c r="K348" s="5"/>
      <c r="L348" s="2"/>
      <c r="M348" s="2"/>
      <c r="N348" s="2"/>
      <c r="O348" s="2"/>
      <c r="P348" s="2"/>
      <c r="Q348" s="2"/>
      <c r="R348" s="7"/>
      <c r="S348" s="224"/>
      <c r="T348" s="224"/>
      <c r="U348" s="224"/>
      <c r="V348" s="224"/>
      <c r="W348" s="9"/>
    </row>
    <row r="349">
      <c r="A349" s="33"/>
      <c r="B349" s="2"/>
      <c r="C349" s="2"/>
      <c r="D349" s="2"/>
      <c r="E349" s="2"/>
      <c r="F349" s="4"/>
      <c r="G349" s="2"/>
      <c r="H349" s="2"/>
      <c r="I349" s="2"/>
      <c r="J349" s="2"/>
      <c r="K349" s="5"/>
      <c r="L349" s="2"/>
      <c r="M349" s="2"/>
      <c r="N349" s="2"/>
      <c r="O349" s="2"/>
      <c r="P349" s="2"/>
      <c r="Q349" s="2"/>
      <c r="R349" s="7"/>
      <c r="S349" s="224"/>
      <c r="T349" s="224"/>
      <c r="U349" s="224"/>
      <c r="V349" s="224"/>
      <c r="W349" s="9"/>
    </row>
    <row r="350">
      <c r="A350" s="33"/>
      <c r="B350" s="2"/>
      <c r="C350" s="2"/>
      <c r="D350" s="2"/>
      <c r="E350" s="2"/>
      <c r="F350" s="4"/>
      <c r="G350" s="2"/>
      <c r="H350" s="2"/>
      <c r="I350" s="2"/>
      <c r="J350" s="2"/>
      <c r="K350" s="5"/>
      <c r="L350" s="2"/>
      <c r="M350" s="2"/>
      <c r="N350" s="2"/>
      <c r="O350" s="2"/>
      <c r="P350" s="2"/>
      <c r="Q350" s="2"/>
      <c r="R350" s="7"/>
      <c r="S350" s="224"/>
      <c r="T350" s="224"/>
      <c r="U350" s="224"/>
      <c r="V350" s="224"/>
      <c r="W350" s="9"/>
    </row>
    <row r="351">
      <c r="A351" s="33"/>
      <c r="B351" s="2"/>
      <c r="C351" s="2"/>
      <c r="D351" s="2"/>
      <c r="E351" s="2"/>
      <c r="F351" s="4"/>
      <c r="G351" s="2"/>
      <c r="H351" s="2"/>
      <c r="I351" s="2"/>
      <c r="J351" s="2"/>
      <c r="K351" s="5"/>
      <c r="L351" s="2"/>
      <c r="M351" s="2"/>
      <c r="N351" s="2"/>
      <c r="O351" s="2"/>
      <c r="P351" s="2"/>
      <c r="Q351" s="2"/>
      <c r="R351" s="7"/>
      <c r="S351" s="224"/>
      <c r="T351" s="224"/>
      <c r="U351" s="224"/>
      <c r="V351" s="224"/>
      <c r="W351" s="9"/>
    </row>
    <row r="352">
      <c r="A352" s="33"/>
      <c r="B352" s="2"/>
      <c r="C352" s="2"/>
      <c r="D352" s="2"/>
      <c r="E352" s="2"/>
      <c r="F352" s="4"/>
      <c r="G352" s="2"/>
      <c r="H352" s="2"/>
      <c r="I352" s="2"/>
      <c r="J352" s="2"/>
      <c r="K352" s="5"/>
      <c r="L352" s="2"/>
      <c r="M352" s="2"/>
      <c r="N352" s="2"/>
      <c r="O352" s="2"/>
      <c r="P352" s="2"/>
      <c r="Q352" s="2"/>
      <c r="R352" s="7"/>
      <c r="S352" s="224"/>
      <c r="T352" s="224"/>
      <c r="U352" s="224"/>
      <c r="V352" s="224"/>
      <c r="W352" s="9"/>
    </row>
    <row r="353">
      <c r="A353" s="33"/>
      <c r="B353" s="2"/>
      <c r="C353" s="2"/>
      <c r="D353" s="2"/>
      <c r="E353" s="2"/>
      <c r="F353" s="4"/>
      <c r="G353" s="2"/>
      <c r="H353" s="2"/>
      <c r="I353" s="2"/>
      <c r="J353" s="2"/>
      <c r="K353" s="5"/>
      <c r="L353" s="2"/>
      <c r="M353" s="2"/>
      <c r="N353" s="2"/>
      <c r="O353" s="2"/>
      <c r="P353" s="2"/>
      <c r="Q353" s="2"/>
      <c r="R353" s="7"/>
      <c r="S353" s="224"/>
      <c r="T353" s="224"/>
      <c r="U353" s="224"/>
      <c r="V353" s="224"/>
      <c r="W353" s="9"/>
    </row>
    <row r="354">
      <c r="A354" s="33"/>
      <c r="B354" s="2"/>
      <c r="C354" s="2"/>
      <c r="D354" s="2"/>
      <c r="E354" s="2"/>
      <c r="F354" s="4"/>
      <c r="G354" s="2"/>
      <c r="H354" s="2"/>
      <c r="I354" s="2"/>
      <c r="J354" s="2"/>
      <c r="K354" s="5"/>
      <c r="L354" s="2"/>
      <c r="M354" s="2"/>
      <c r="N354" s="2"/>
      <c r="O354" s="2"/>
      <c r="P354" s="2"/>
      <c r="Q354" s="2"/>
      <c r="R354" s="7"/>
      <c r="S354" s="224"/>
      <c r="T354" s="224"/>
      <c r="U354" s="224"/>
      <c r="V354" s="224"/>
      <c r="W354" s="9"/>
    </row>
    <row r="355">
      <c r="A355" s="33"/>
      <c r="B355" s="2"/>
      <c r="C355" s="2"/>
      <c r="D355" s="2"/>
      <c r="E355" s="2"/>
      <c r="F355" s="4"/>
      <c r="G355" s="2"/>
      <c r="H355" s="2"/>
      <c r="I355" s="2"/>
      <c r="J355" s="2"/>
      <c r="K355" s="5"/>
      <c r="L355" s="2"/>
      <c r="M355" s="2"/>
      <c r="N355" s="2"/>
      <c r="O355" s="2"/>
      <c r="P355" s="2"/>
      <c r="Q355" s="2"/>
      <c r="R355" s="7"/>
      <c r="S355" s="224"/>
      <c r="T355" s="224"/>
      <c r="U355" s="224"/>
      <c r="V355" s="224"/>
      <c r="W355" s="9"/>
    </row>
    <row r="356">
      <c r="A356" s="33"/>
      <c r="B356" s="2"/>
      <c r="C356" s="2"/>
      <c r="D356" s="2"/>
      <c r="E356" s="2"/>
      <c r="F356" s="4"/>
      <c r="G356" s="2"/>
      <c r="H356" s="2"/>
      <c r="I356" s="2"/>
      <c r="J356" s="2"/>
      <c r="K356" s="5"/>
      <c r="L356" s="2"/>
      <c r="M356" s="2"/>
      <c r="N356" s="2"/>
      <c r="O356" s="2"/>
      <c r="P356" s="2"/>
      <c r="Q356" s="2"/>
      <c r="R356" s="7"/>
      <c r="S356" s="224"/>
      <c r="T356" s="224"/>
      <c r="U356" s="224"/>
      <c r="V356" s="224"/>
      <c r="W356" s="9"/>
    </row>
    <row r="357">
      <c r="A357" s="33"/>
      <c r="B357" s="2"/>
      <c r="C357" s="2"/>
      <c r="D357" s="2"/>
      <c r="E357" s="2"/>
      <c r="F357" s="4"/>
      <c r="G357" s="2"/>
      <c r="H357" s="2"/>
      <c r="I357" s="2"/>
      <c r="J357" s="2"/>
      <c r="K357" s="5"/>
      <c r="L357" s="2"/>
      <c r="M357" s="2"/>
      <c r="N357" s="2"/>
      <c r="O357" s="2"/>
      <c r="P357" s="2"/>
      <c r="Q357" s="2"/>
      <c r="R357" s="7"/>
      <c r="S357" s="224"/>
      <c r="T357" s="224"/>
      <c r="U357" s="224"/>
      <c r="V357" s="224"/>
      <c r="W357" s="9"/>
    </row>
    <row r="358">
      <c r="A358" s="33"/>
      <c r="B358" s="2"/>
      <c r="C358" s="2"/>
      <c r="D358" s="2"/>
      <c r="E358" s="2"/>
      <c r="F358" s="4"/>
      <c r="G358" s="2"/>
      <c r="H358" s="2"/>
      <c r="I358" s="2"/>
      <c r="J358" s="2"/>
      <c r="K358" s="5"/>
      <c r="L358" s="2"/>
      <c r="M358" s="2"/>
      <c r="N358" s="2"/>
      <c r="O358" s="2"/>
      <c r="P358" s="2"/>
      <c r="Q358" s="2"/>
      <c r="R358" s="7"/>
      <c r="S358" s="224"/>
      <c r="T358" s="224"/>
      <c r="U358" s="224"/>
      <c r="V358" s="224"/>
      <c r="W358" s="9"/>
    </row>
    <row r="359">
      <c r="A359" s="33"/>
      <c r="B359" s="2"/>
      <c r="C359" s="2"/>
      <c r="D359" s="2"/>
      <c r="E359" s="2"/>
      <c r="F359" s="4"/>
      <c r="G359" s="2"/>
      <c r="H359" s="2"/>
      <c r="I359" s="2"/>
      <c r="J359" s="2"/>
      <c r="K359" s="5"/>
      <c r="L359" s="2"/>
      <c r="M359" s="2"/>
      <c r="N359" s="2"/>
      <c r="O359" s="2"/>
      <c r="P359" s="2"/>
      <c r="Q359" s="2"/>
      <c r="R359" s="7"/>
      <c r="S359" s="224"/>
      <c r="T359" s="224"/>
      <c r="U359" s="224"/>
      <c r="V359" s="224"/>
      <c r="W359" s="9"/>
    </row>
    <row r="360">
      <c r="A360" s="33"/>
      <c r="B360" s="2"/>
      <c r="C360" s="2"/>
      <c r="D360" s="2"/>
      <c r="E360" s="2"/>
      <c r="F360" s="4"/>
      <c r="G360" s="2"/>
      <c r="H360" s="2"/>
      <c r="I360" s="2"/>
      <c r="J360" s="2"/>
      <c r="K360" s="5"/>
      <c r="L360" s="2"/>
      <c r="M360" s="2"/>
      <c r="N360" s="2"/>
      <c r="O360" s="2"/>
      <c r="P360" s="2"/>
      <c r="Q360" s="2"/>
      <c r="R360" s="7"/>
      <c r="S360" s="224"/>
      <c r="T360" s="224"/>
      <c r="U360" s="224"/>
      <c r="V360" s="224"/>
      <c r="W360" s="9"/>
    </row>
    <row r="361">
      <c r="A361" s="33"/>
      <c r="B361" s="2"/>
      <c r="C361" s="2"/>
      <c r="D361" s="2"/>
      <c r="E361" s="2"/>
      <c r="F361" s="4"/>
      <c r="G361" s="2"/>
      <c r="H361" s="2"/>
      <c r="I361" s="2"/>
      <c r="J361" s="2"/>
      <c r="K361" s="5"/>
      <c r="L361" s="2"/>
      <c r="M361" s="2"/>
      <c r="N361" s="2"/>
      <c r="O361" s="2"/>
      <c r="P361" s="2"/>
      <c r="Q361" s="2"/>
      <c r="R361" s="7"/>
      <c r="S361" s="224"/>
      <c r="T361" s="224"/>
      <c r="U361" s="224"/>
      <c r="V361" s="224"/>
      <c r="W361" s="9"/>
    </row>
    <row r="362">
      <c r="A362" s="33"/>
      <c r="B362" s="2"/>
      <c r="C362" s="2"/>
      <c r="D362" s="2"/>
      <c r="E362" s="2"/>
      <c r="F362" s="4"/>
      <c r="G362" s="2"/>
      <c r="H362" s="2"/>
      <c r="I362" s="2"/>
      <c r="J362" s="2"/>
      <c r="K362" s="5"/>
      <c r="L362" s="2"/>
      <c r="M362" s="2"/>
      <c r="N362" s="2"/>
      <c r="O362" s="2"/>
      <c r="P362" s="2"/>
      <c r="Q362" s="2"/>
      <c r="R362" s="7"/>
      <c r="S362" s="224"/>
      <c r="T362" s="224"/>
      <c r="U362" s="224"/>
      <c r="V362" s="224"/>
      <c r="W362" s="9"/>
    </row>
    <row r="363">
      <c r="A363" s="33"/>
      <c r="B363" s="2"/>
      <c r="C363" s="2"/>
      <c r="D363" s="2"/>
      <c r="E363" s="2"/>
      <c r="F363" s="4"/>
      <c r="G363" s="2"/>
      <c r="H363" s="2"/>
      <c r="I363" s="2"/>
      <c r="J363" s="2"/>
      <c r="K363" s="5"/>
      <c r="L363" s="2"/>
      <c r="M363" s="2"/>
      <c r="N363" s="2"/>
      <c r="O363" s="2"/>
      <c r="P363" s="2"/>
      <c r="Q363" s="2"/>
      <c r="R363" s="7"/>
      <c r="S363" s="224"/>
      <c r="T363" s="224"/>
      <c r="U363" s="224"/>
      <c r="V363" s="224"/>
      <c r="W363" s="9"/>
    </row>
    <row r="364">
      <c r="A364" s="33"/>
      <c r="B364" s="2"/>
      <c r="C364" s="2"/>
      <c r="D364" s="2"/>
      <c r="E364" s="2"/>
      <c r="F364" s="4"/>
      <c r="G364" s="2"/>
      <c r="H364" s="2"/>
      <c r="I364" s="2"/>
      <c r="J364" s="2"/>
      <c r="K364" s="5"/>
      <c r="L364" s="2"/>
      <c r="M364" s="2"/>
      <c r="N364" s="2"/>
      <c r="O364" s="2"/>
      <c r="P364" s="2"/>
      <c r="Q364" s="2"/>
      <c r="R364" s="7"/>
      <c r="S364" s="224"/>
      <c r="T364" s="224"/>
      <c r="U364" s="224"/>
      <c r="V364" s="224"/>
      <c r="W364" s="9"/>
    </row>
    <row r="365">
      <c r="A365" s="33"/>
      <c r="B365" s="2"/>
      <c r="C365" s="2"/>
      <c r="D365" s="2"/>
      <c r="E365" s="2"/>
      <c r="F365" s="4"/>
      <c r="G365" s="2"/>
      <c r="H365" s="2"/>
      <c r="I365" s="2"/>
      <c r="J365" s="2"/>
      <c r="K365" s="5"/>
      <c r="L365" s="2"/>
      <c r="M365" s="2"/>
      <c r="N365" s="2"/>
      <c r="O365" s="2"/>
      <c r="P365" s="2"/>
      <c r="Q365" s="2"/>
      <c r="R365" s="7"/>
      <c r="S365" s="224"/>
      <c r="T365" s="224"/>
      <c r="U365" s="224"/>
      <c r="V365" s="224"/>
      <c r="W365" s="9"/>
    </row>
    <row r="366">
      <c r="A366" s="33"/>
      <c r="B366" s="2"/>
      <c r="C366" s="2"/>
      <c r="D366" s="2"/>
      <c r="E366" s="2"/>
      <c r="F366" s="4"/>
      <c r="G366" s="2"/>
      <c r="H366" s="2"/>
      <c r="I366" s="2"/>
      <c r="J366" s="2"/>
      <c r="K366" s="5"/>
      <c r="L366" s="2"/>
      <c r="M366" s="2"/>
      <c r="N366" s="2"/>
      <c r="O366" s="2"/>
      <c r="P366" s="2"/>
      <c r="Q366" s="2"/>
      <c r="R366" s="7"/>
      <c r="S366" s="224"/>
      <c r="T366" s="224"/>
      <c r="U366" s="224"/>
      <c r="V366" s="224"/>
      <c r="W366" s="9"/>
    </row>
    <row r="367">
      <c r="A367" s="33"/>
      <c r="B367" s="2"/>
      <c r="C367" s="2"/>
      <c r="D367" s="2"/>
      <c r="E367" s="2"/>
      <c r="F367" s="4"/>
      <c r="G367" s="2"/>
      <c r="H367" s="2"/>
      <c r="I367" s="2"/>
      <c r="J367" s="2"/>
      <c r="K367" s="5"/>
      <c r="L367" s="2"/>
      <c r="M367" s="2"/>
      <c r="N367" s="2"/>
      <c r="O367" s="2"/>
      <c r="P367" s="2"/>
      <c r="Q367" s="2"/>
      <c r="R367" s="7"/>
      <c r="S367" s="224"/>
      <c r="T367" s="224"/>
      <c r="U367" s="224"/>
      <c r="V367" s="224"/>
      <c r="W367" s="9"/>
    </row>
    <row r="368">
      <c r="A368" s="33"/>
      <c r="B368" s="2"/>
      <c r="C368" s="2"/>
      <c r="D368" s="2"/>
      <c r="E368" s="2"/>
      <c r="F368" s="4"/>
      <c r="G368" s="2"/>
      <c r="H368" s="2"/>
      <c r="I368" s="2"/>
      <c r="J368" s="2"/>
      <c r="K368" s="5"/>
      <c r="L368" s="2"/>
      <c r="M368" s="2"/>
      <c r="N368" s="2"/>
      <c r="O368" s="2"/>
      <c r="P368" s="2"/>
      <c r="Q368" s="2"/>
      <c r="R368" s="7"/>
      <c r="S368" s="224"/>
      <c r="T368" s="224"/>
      <c r="U368" s="224"/>
      <c r="V368" s="224"/>
      <c r="W368" s="9"/>
    </row>
    <row r="369">
      <c r="A369" s="33"/>
      <c r="B369" s="2"/>
      <c r="C369" s="2"/>
      <c r="D369" s="2"/>
      <c r="E369" s="2"/>
      <c r="F369" s="4"/>
      <c r="G369" s="2"/>
      <c r="H369" s="2"/>
      <c r="I369" s="2"/>
      <c r="J369" s="2"/>
      <c r="K369" s="5"/>
      <c r="L369" s="2"/>
      <c r="M369" s="2"/>
      <c r="N369" s="2"/>
      <c r="O369" s="2"/>
      <c r="P369" s="2"/>
      <c r="Q369" s="2"/>
      <c r="R369" s="7"/>
      <c r="S369" s="224"/>
      <c r="T369" s="224"/>
      <c r="U369" s="224"/>
      <c r="V369" s="224"/>
      <c r="W369" s="9"/>
    </row>
    <row r="370">
      <c r="A370" s="33"/>
      <c r="B370" s="2"/>
      <c r="C370" s="2"/>
      <c r="D370" s="2"/>
      <c r="E370" s="2"/>
      <c r="F370" s="4"/>
      <c r="G370" s="2"/>
      <c r="H370" s="2"/>
      <c r="I370" s="2"/>
      <c r="J370" s="2"/>
      <c r="K370" s="5"/>
      <c r="L370" s="2"/>
      <c r="M370" s="2"/>
      <c r="N370" s="2"/>
      <c r="O370" s="2"/>
      <c r="P370" s="2"/>
      <c r="Q370" s="2"/>
      <c r="R370" s="7"/>
      <c r="S370" s="224"/>
      <c r="T370" s="224"/>
      <c r="U370" s="224"/>
      <c r="V370" s="224"/>
      <c r="W370" s="9"/>
    </row>
    <row r="371">
      <c r="A371" s="33"/>
      <c r="B371" s="2"/>
      <c r="C371" s="2"/>
      <c r="D371" s="2"/>
      <c r="E371" s="2"/>
      <c r="F371" s="4"/>
      <c r="G371" s="2"/>
      <c r="H371" s="2"/>
      <c r="I371" s="2"/>
      <c r="J371" s="2"/>
      <c r="K371" s="5"/>
      <c r="L371" s="2"/>
      <c r="M371" s="2"/>
      <c r="N371" s="2"/>
      <c r="O371" s="2"/>
      <c r="P371" s="2"/>
      <c r="Q371" s="2"/>
      <c r="R371" s="7"/>
      <c r="S371" s="224"/>
      <c r="T371" s="224"/>
      <c r="U371" s="224"/>
      <c r="V371" s="224"/>
      <c r="W371" s="9"/>
    </row>
    <row r="372">
      <c r="A372" s="33"/>
      <c r="B372" s="2"/>
      <c r="C372" s="2"/>
      <c r="D372" s="2"/>
      <c r="E372" s="2"/>
      <c r="F372" s="4"/>
      <c r="G372" s="2"/>
      <c r="H372" s="2"/>
      <c r="I372" s="2"/>
      <c r="J372" s="2"/>
      <c r="K372" s="5"/>
      <c r="L372" s="2"/>
      <c r="M372" s="2"/>
      <c r="N372" s="2"/>
      <c r="O372" s="2"/>
      <c r="P372" s="2"/>
      <c r="Q372" s="2"/>
      <c r="R372" s="7"/>
      <c r="S372" s="224"/>
      <c r="T372" s="224"/>
      <c r="U372" s="224"/>
      <c r="V372" s="224"/>
      <c r="W372" s="9"/>
    </row>
    <row r="373">
      <c r="A373" s="33"/>
      <c r="B373" s="2"/>
      <c r="C373" s="2"/>
      <c r="D373" s="2"/>
      <c r="E373" s="2"/>
      <c r="F373" s="4"/>
      <c r="G373" s="2"/>
      <c r="H373" s="2"/>
      <c r="I373" s="2"/>
      <c r="J373" s="2"/>
      <c r="K373" s="5"/>
      <c r="L373" s="2"/>
      <c r="M373" s="2"/>
      <c r="N373" s="2"/>
      <c r="O373" s="2"/>
      <c r="P373" s="2"/>
      <c r="Q373" s="2"/>
      <c r="R373" s="7"/>
      <c r="S373" s="224"/>
      <c r="T373" s="224"/>
      <c r="U373" s="224"/>
      <c r="V373" s="224"/>
      <c r="W373" s="9"/>
    </row>
    <row r="374">
      <c r="A374" s="33"/>
      <c r="B374" s="2"/>
      <c r="C374" s="2"/>
      <c r="D374" s="2"/>
      <c r="E374" s="2"/>
      <c r="F374" s="4"/>
      <c r="G374" s="2"/>
      <c r="H374" s="2"/>
      <c r="I374" s="2"/>
      <c r="J374" s="2"/>
      <c r="K374" s="5"/>
      <c r="L374" s="2"/>
      <c r="M374" s="2"/>
      <c r="N374" s="2"/>
      <c r="O374" s="2"/>
      <c r="P374" s="2"/>
      <c r="Q374" s="2"/>
      <c r="R374" s="7"/>
      <c r="S374" s="224"/>
      <c r="T374" s="224"/>
      <c r="U374" s="224"/>
      <c r="V374" s="224"/>
      <c r="W374" s="9"/>
    </row>
    <row r="375">
      <c r="A375" s="33"/>
      <c r="B375" s="2"/>
      <c r="C375" s="2"/>
      <c r="D375" s="2"/>
      <c r="E375" s="2"/>
      <c r="F375" s="4"/>
      <c r="G375" s="2"/>
      <c r="H375" s="2"/>
      <c r="I375" s="2"/>
      <c r="J375" s="2"/>
      <c r="K375" s="5"/>
      <c r="L375" s="2"/>
      <c r="M375" s="2"/>
      <c r="N375" s="2"/>
      <c r="O375" s="2"/>
      <c r="P375" s="2"/>
      <c r="Q375" s="2"/>
      <c r="R375" s="7"/>
      <c r="S375" s="224"/>
      <c r="T375" s="224"/>
      <c r="U375" s="224"/>
      <c r="V375" s="224"/>
      <c r="W375" s="9"/>
    </row>
    <row r="376">
      <c r="A376" s="33"/>
      <c r="B376" s="2"/>
      <c r="C376" s="2"/>
      <c r="D376" s="2"/>
      <c r="E376" s="2"/>
      <c r="F376" s="4"/>
      <c r="G376" s="2"/>
      <c r="H376" s="2"/>
      <c r="I376" s="2"/>
      <c r="J376" s="2"/>
      <c r="K376" s="5"/>
      <c r="L376" s="2"/>
      <c r="M376" s="2"/>
      <c r="N376" s="2"/>
      <c r="O376" s="2"/>
      <c r="P376" s="2"/>
      <c r="Q376" s="2"/>
      <c r="R376" s="7"/>
      <c r="S376" s="224"/>
      <c r="T376" s="224"/>
      <c r="U376" s="224"/>
      <c r="V376" s="224"/>
      <c r="W376" s="9"/>
    </row>
    <row r="377">
      <c r="A377" s="33"/>
      <c r="B377" s="2"/>
      <c r="C377" s="2"/>
      <c r="D377" s="2"/>
      <c r="E377" s="2"/>
      <c r="F377" s="4"/>
      <c r="G377" s="2"/>
      <c r="H377" s="2"/>
      <c r="I377" s="2"/>
      <c r="J377" s="2"/>
      <c r="K377" s="5"/>
      <c r="L377" s="2"/>
      <c r="M377" s="2"/>
      <c r="N377" s="2"/>
      <c r="O377" s="2"/>
      <c r="P377" s="2"/>
      <c r="Q377" s="2"/>
      <c r="R377" s="7"/>
      <c r="S377" s="224"/>
      <c r="T377" s="224"/>
      <c r="U377" s="224"/>
      <c r="V377" s="224"/>
      <c r="W377" s="9"/>
    </row>
    <row r="378">
      <c r="A378" s="33"/>
      <c r="B378" s="2"/>
      <c r="C378" s="2"/>
      <c r="D378" s="2"/>
      <c r="E378" s="2"/>
      <c r="F378" s="4"/>
      <c r="G378" s="2"/>
      <c r="H378" s="2"/>
      <c r="I378" s="2"/>
      <c r="J378" s="2"/>
      <c r="K378" s="5"/>
      <c r="L378" s="2"/>
      <c r="M378" s="2"/>
      <c r="N378" s="2"/>
      <c r="O378" s="2"/>
      <c r="P378" s="2"/>
      <c r="Q378" s="2"/>
      <c r="R378" s="7"/>
      <c r="S378" s="224"/>
      <c r="T378" s="224"/>
      <c r="U378" s="224"/>
      <c r="V378" s="224"/>
      <c r="W378" s="9"/>
    </row>
    <row r="379">
      <c r="A379" s="33"/>
      <c r="B379" s="2"/>
      <c r="C379" s="2"/>
      <c r="D379" s="2"/>
      <c r="E379" s="2"/>
      <c r="F379" s="4"/>
      <c r="G379" s="2"/>
      <c r="H379" s="2"/>
      <c r="I379" s="2"/>
      <c r="J379" s="2"/>
      <c r="K379" s="5"/>
      <c r="L379" s="2"/>
      <c r="M379" s="2"/>
      <c r="N379" s="2"/>
      <c r="O379" s="2"/>
      <c r="P379" s="2"/>
      <c r="Q379" s="2"/>
      <c r="R379" s="7"/>
      <c r="S379" s="224"/>
      <c r="T379" s="224"/>
      <c r="U379" s="224"/>
      <c r="V379" s="224"/>
      <c r="W379" s="9"/>
    </row>
    <row r="380">
      <c r="A380" s="33"/>
      <c r="B380" s="2"/>
      <c r="C380" s="2"/>
      <c r="D380" s="2"/>
      <c r="E380" s="2"/>
      <c r="F380" s="4"/>
      <c r="G380" s="2"/>
      <c r="H380" s="2"/>
      <c r="I380" s="2"/>
      <c r="J380" s="2"/>
      <c r="K380" s="5"/>
      <c r="L380" s="2"/>
      <c r="M380" s="2"/>
      <c r="N380" s="2"/>
      <c r="O380" s="2"/>
      <c r="P380" s="2"/>
      <c r="Q380" s="2"/>
      <c r="R380" s="7"/>
      <c r="S380" s="224"/>
      <c r="T380" s="224"/>
      <c r="U380" s="224"/>
      <c r="V380" s="224"/>
      <c r="W380" s="9"/>
    </row>
    <row r="381">
      <c r="A381" s="33"/>
      <c r="B381" s="2"/>
      <c r="C381" s="2"/>
      <c r="D381" s="2"/>
      <c r="E381" s="2"/>
      <c r="F381" s="4"/>
      <c r="G381" s="2"/>
      <c r="H381" s="2"/>
      <c r="I381" s="2"/>
      <c r="J381" s="2"/>
      <c r="K381" s="5"/>
      <c r="L381" s="2"/>
      <c r="M381" s="2"/>
      <c r="N381" s="2"/>
      <c r="O381" s="2"/>
      <c r="P381" s="2"/>
      <c r="Q381" s="2"/>
      <c r="R381" s="7"/>
      <c r="S381" s="224"/>
      <c r="T381" s="224"/>
      <c r="U381" s="224"/>
      <c r="V381" s="224"/>
      <c r="W381" s="9"/>
    </row>
    <row r="382">
      <c r="A382" s="33"/>
      <c r="B382" s="2"/>
      <c r="C382" s="2"/>
      <c r="D382" s="2"/>
      <c r="E382" s="2"/>
      <c r="F382" s="4"/>
      <c r="G382" s="2"/>
      <c r="H382" s="2"/>
      <c r="I382" s="2"/>
      <c r="J382" s="2"/>
      <c r="K382" s="5"/>
      <c r="L382" s="2"/>
      <c r="M382" s="2"/>
      <c r="N382" s="2"/>
      <c r="O382" s="2"/>
      <c r="P382" s="2"/>
      <c r="Q382" s="2"/>
      <c r="R382" s="7"/>
      <c r="S382" s="224"/>
      <c r="T382" s="224"/>
      <c r="U382" s="224"/>
      <c r="V382" s="224"/>
      <c r="W382" s="9"/>
    </row>
    <row r="383">
      <c r="A383" s="33"/>
      <c r="B383" s="2"/>
      <c r="C383" s="2"/>
      <c r="D383" s="2"/>
      <c r="E383" s="2"/>
      <c r="F383" s="4"/>
      <c r="G383" s="2"/>
      <c r="H383" s="2"/>
      <c r="I383" s="2"/>
      <c r="J383" s="2"/>
      <c r="K383" s="5"/>
      <c r="L383" s="2"/>
      <c r="M383" s="2"/>
      <c r="N383" s="2"/>
      <c r="O383" s="2"/>
      <c r="P383" s="2"/>
      <c r="Q383" s="2"/>
      <c r="R383" s="7"/>
      <c r="S383" s="224"/>
      <c r="T383" s="224"/>
      <c r="U383" s="224"/>
      <c r="V383" s="224"/>
      <c r="W383" s="9"/>
    </row>
    <row r="384">
      <c r="A384" s="33"/>
      <c r="B384" s="2"/>
      <c r="C384" s="2"/>
      <c r="D384" s="2"/>
      <c r="E384" s="2"/>
      <c r="F384" s="4"/>
      <c r="G384" s="2"/>
      <c r="H384" s="2"/>
      <c r="I384" s="2"/>
      <c r="J384" s="2"/>
      <c r="K384" s="5"/>
      <c r="L384" s="2"/>
      <c r="M384" s="2"/>
      <c r="N384" s="2"/>
      <c r="O384" s="2"/>
      <c r="P384" s="2"/>
      <c r="Q384" s="2"/>
      <c r="R384" s="7"/>
      <c r="S384" s="224"/>
      <c r="T384" s="224"/>
      <c r="U384" s="224"/>
      <c r="V384" s="224"/>
      <c r="W384" s="9"/>
    </row>
    <row r="385">
      <c r="A385" s="33"/>
      <c r="B385" s="2"/>
      <c r="C385" s="2"/>
      <c r="D385" s="2"/>
      <c r="E385" s="2"/>
      <c r="F385" s="4"/>
      <c r="G385" s="2"/>
      <c r="H385" s="2"/>
      <c r="I385" s="2"/>
      <c r="J385" s="2"/>
      <c r="K385" s="5"/>
      <c r="L385" s="2"/>
      <c r="M385" s="2"/>
      <c r="N385" s="2"/>
      <c r="O385" s="2"/>
      <c r="P385" s="2"/>
      <c r="Q385" s="2"/>
      <c r="R385" s="7"/>
      <c r="S385" s="224"/>
      <c r="T385" s="224"/>
      <c r="U385" s="224"/>
      <c r="V385" s="224"/>
      <c r="W385" s="9"/>
    </row>
    <row r="386">
      <c r="A386" s="33"/>
      <c r="B386" s="2"/>
      <c r="C386" s="2"/>
      <c r="D386" s="2"/>
      <c r="E386" s="2"/>
      <c r="F386" s="4"/>
      <c r="G386" s="2"/>
      <c r="H386" s="2"/>
      <c r="I386" s="2"/>
      <c r="J386" s="2"/>
      <c r="K386" s="5"/>
      <c r="L386" s="2"/>
      <c r="M386" s="2"/>
      <c r="N386" s="2"/>
      <c r="O386" s="2"/>
      <c r="P386" s="2"/>
      <c r="Q386" s="2"/>
      <c r="R386" s="7"/>
      <c r="S386" s="224"/>
      <c r="T386" s="224"/>
      <c r="U386" s="224"/>
      <c r="V386" s="224"/>
      <c r="W386" s="9"/>
    </row>
    <row r="387">
      <c r="A387" s="33"/>
      <c r="B387" s="2"/>
      <c r="C387" s="2"/>
      <c r="D387" s="2"/>
      <c r="E387" s="2"/>
      <c r="F387" s="4"/>
      <c r="G387" s="2"/>
      <c r="H387" s="2"/>
      <c r="I387" s="2"/>
      <c r="J387" s="2"/>
      <c r="K387" s="5"/>
      <c r="L387" s="2"/>
      <c r="M387" s="2"/>
      <c r="N387" s="2"/>
      <c r="O387" s="2"/>
      <c r="P387" s="2"/>
      <c r="Q387" s="2"/>
      <c r="R387" s="7"/>
      <c r="S387" s="224"/>
      <c r="T387" s="224"/>
      <c r="U387" s="224"/>
      <c r="V387" s="224"/>
      <c r="W387" s="9"/>
    </row>
    <row r="388">
      <c r="A388" s="33"/>
      <c r="B388" s="2"/>
      <c r="C388" s="2"/>
      <c r="D388" s="2"/>
      <c r="E388" s="2"/>
      <c r="F388" s="4"/>
      <c r="G388" s="2"/>
      <c r="H388" s="2"/>
      <c r="I388" s="2"/>
      <c r="J388" s="2"/>
      <c r="K388" s="5"/>
      <c r="L388" s="2"/>
      <c r="M388" s="2"/>
      <c r="N388" s="2"/>
      <c r="O388" s="2"/>
      <c r="P388" s="2"/>
      <c r="Q388" s="2"/>
      <c r="R388" s="7"/>
      <c r="S388" s="224"/>
      <c r="T388" s="224"/>
      <c r="U388" s="224"/>
      <c r="V388" s="224"/>
      <c r="W388" s="9"/>
    </row>
    <row r="389">
      <c r="A389" s="33"/>
      <c r="B389" s="2"/>
      <c r="C389" s="2"/>
      <c r="D389" s="2"/>
      <c r="E389" s="2"/>
      <c r="F389" s="4"/>
      <c r="G389" s="2"/>
      <c r="H389" s="2"/>
      <c r="I389" s="2"/>
      <c r="J389" s="2"/>
      <c r="K389" s="5"/>
      <c r="L389" s="2"/>
      <c r="M389" s="2"/>
      <c r="N389" s="2"/>
      <c r="O389" s="2"/>
      <c r="P389" s="2"/>
      <c r="Q389" s="2"/>
      <c r="R389" s="7"/>
      <c r="S389" s="224"/>
      <c r="T389" s="224"/>
      <c r="U389" s="224"/>
      <c r="V389" s="224"/>
      <c r="W389" s="9"/>
    </row>
    <row r="390">
      <c r="A390" s="33"/>
      <c r="B390" s="2"/>
      <c r="C390" s="2"/>
      <c r="D390" s="2"/>
      <c r="E390" s="2"/>
      <c r="F390" s="4"/>
      <c r="G390" s="2"/>
      <c r="H390" s="2"/>
      <c r="I390" s="2"/>
      <c r="J390" s="2"/>
      <c r="K390" s="5"/>
      <c r="L390" s="2"/>
      <c r="M390" s="2"/>
      <c r="N390" s="2"/>
      <c r="O390" s="2"/>
      <c r="P390" s="2"/>
      <c r="Q390" s="2"/>
      <c r="R390" s="7"/>
      <c r="S390" s="224"/>
      <c r="T390" s="224"/>
      <c r="U390" s="224"/>
      <c r="V390" s="224"/>
      <c r="W390" s="9"/>
    </row>
    <row r="391">
      <c r="A391" s="33"/>
      <c r="B391" s="2"/>
      <c r="C391" s="2"/>
      <c r="D391" s="2"/>
      <c r="E391" s="2"/>
      <c r="F391" s="4"/>
      <c r="G391" s="2"/>
      <c r="H391" s="2"/>
      <c r="I391" s="2"/>
      <c r="J391" s="2"/>
      <c r="K391" s="5"/>
      <c r="L391" s="2"/>
      <c r="M391" s="2"/>
      <c r="N391" s="2"/>
      <c r="O391" s="2"/>
      <c r="P391" s="2"/>
      <c r="Q391" s="2"/>
      <c r="R391" s="7"/>
      <c r="S391" s="224"/>
      <c r="T391" s="224"/>
      <c r="U391" s="224"/>
      <c r="V391" s="224"/>
      <c r="W391" s="9"/>
    </row>
    <row r="392">
      <c r="A392" s="33"/>
      <c r="B392" s="2"/>
      <c r="C392" s="2"/>
      <c r="D392" s="2"/>
      <c r="E392" s="2"/>
      <c r="F392" s="4"/>
      <c r="G392" s="2"/>
      <c r="H392" s="2"/>
      <c r="I392" s="2"/>
      <c r="J392" s="2"/>
      <c r="K392" s="5"/>
      <c r="L392" s="2"/>
      <c r="M392" s="2"/>
      <c r="N392" s="2"/>
      <c r="O392" s="2"/>
      <c r="P392" s="2"/>
      <c r="Q392" s="2"/>
      <c r="R392" s="7"/>
      <c r="S392" s="224"/>
      <c r="T392" s="224"/>
      <c r="U392" s="224"/>
      <c r="V392" s="224"/>
      <c r="W392" s="9"/>
    </row>
    <row r="393">
      <c r="A393" s="33"/>
      <c r="B393" s="2"/>
      <c r="C393" s="2"/>
      <c r="D393" s="2"/>
      <c r="E393" s="2"/>
      <c r="F393" s="4"/>
      <c r="G393" s="2"/>
      <c r="H393" s="2"/>
      <c r="I393" s="2"/>
      <c r="J393" s="2"/>
      <c r="K393" s="5"/>
      <c r="L393" s="2"/>
      <c r="M393" s="2"/>
      <c r="N393" s="2"/>
      <c r="O393" s="2"/>
      <c r="P393" s="2"/>
      <c r="Q393" s="2"/>
      <c r="R393" s="7"/>
      <c r="S393" s="224"/>
      <c r="T393" s="224"/>
      <c r="U393" s="224"/>
      <c r="V393" s="224"/>
      <c r="W393" s="9"/>
    </row>
    <row r="394">
      <c r="A394" s="33"/>
      <c r="B394" s="2"/>
      <c r="C394" s="2"/>
      <c r="D394" s="2"/>
      <c r="E394" s="2"/>
      <c r="F394" s="4"/>
      <c r="G394" s="2"/>
      <c r="H394" s="2"/>
      <c r="I394" s="2"/>
      <c r="J394" s="2"/>
      <c r="K394" s="5"/>
      <c r="L394" s="2"/>
      <c r="M394" s="2"/>
      <c r="N394" s="2"/>
      <c r="O394" s="2"/>
      <c r="P394" s="2"/>
      <c r="Q394" s="2"/>
      <c r="R394" s="7"/>
      <c r="S394" s="224"/>
      <c r="T394" s="224"/>
      <c r="U394" s="224"/>
      <c r="V394" s="224"/>
      <c r="W394" s="9"/>
    </row>
    <row r="395">
      <c r="A395" s="33"/>
      <c r="B395" s="2"/>
      <c r="C395" s="2"/>
      <c r="D395" s="2"/>
      <c r="E395" s="2"/>
      <c r="F395" s="4"/>
      <c r="G395" s="2"/>
      <c r="H395" s="2"/>
      <c r="I395" s="2"/>
      <c r="J395" s="2"/>
      <c r="K395" s="5"/>
      <c r="L395" s="2"/>
      <c r="M395" s="2"/>
      <c r="N395" s="2"/>
      <c r="O395" s="2"/>
      <c r="P395" s="2"/>
      <c r="Q395" s="2"/>
      <c r="R395" s="7"/>
      <c r="S395" s="224"/>
      <c r="T395" s="224"/>
      <c r="U395" s="224"/>
      <c r="V395" s="224"/>
      <c r="W395" s="9"/>
    </row>
    <row r="396">
      <c r="A396" s="33"/>
      <c r="B396" s="2"/>
      <c r="C396" s="2"/>
      <c r="D396" s="2"/>
      <c r="E396" s="2"/>
      <c r="F396" s="4"/>
      <c r="G396" s="2"/>
      <c r="H396" s="2"/>
      <c r="I396" s="2"/>
      <c r="J396" s="2"/>
      <c r="K396" s="5"/>
      <c r="L396" s="2"/>
      <c r="M396" s="2"/>
      <c r="N396" s="2"/>
      <c r="O396" s="2"/>
      <c r="P396" s="2"/>
      <c r="Q396" s="2"/>
      <c r="R396" s="7"/>
      <c r="S396" s="224"/>
      <c r="T396" s="224"/>
      <c r="U396" s="224"/>
      <c r="V396" s="224"/>
      <c r="W396" s="9"/>
    </row>
    <row r="397">
      <c r="A397" s="33"/>
      <c r="B397" s="2"/>
      <c r="C397" s="2"/>
      <c r="D397" s="2"/>
      <c r="E397" s="2"/>
      <c r="F397" s="4"/>
      <c r="G397" s="2"/>
      <c r="H397" s="2"/>
      <c r="I397" s="2"/>
      <c r="J397" s="2"/>
      <c r="K397" s="5"/>
      <c r="L397" s="2"/>
      <c r="M397" s="2"/>
      <c r="N397" s="2"/>
      <c r="O397" s="2"/>
      <c r="P397" s="2"/>
      <c r="Q397" s="2"/>
      <c r="R397" s="7"/>
      <c r="S397" s="224"/>
      <c r="T397" s="224"/>
      <c r="U397" s="224"/>
      <c r="V397" s="224"/>
      <c r="W397" s="9"/>
    </row>
    <row r="398">
      <c r="A398" s="33"/>
      <c r="B398" s="2"/>
      <c r="C398" s="2"/>
      <c r="D398" s="2"/>
      <c r="E398" s="2"/>
      <c r="F398" s="4"/>
      <c r="G398" s="2"/>
      <c r="H398" s="2"/>
      <c r="I398" s="2"/>
      <c r="J398" s="2"/>
      <c r="K398" s="5"/>
      <c r="L398" s="2"/>
      <c r="M398" s="2"/>
      <c r="N398" s="2"/>
      <c r="O398" s="2"/>
      <c r="P398" s="2"/>
      <c r="Q398" s="2"/>
      <c r="R398" s="7"/>
      <c r="S398" s="224"/>
      <c r="T398" s="224"/>
      <c r="U398" s="224"/>
      <c r="V398" s="224"/>
      <c r="W398" s="9"/>
    </row>
    <row r="399">
      <c r="A399" s="33"/>
      <c r="B399" s="2"/>
      <c r="C399" s="2"/>
      <c r="D399" s="2"/>
      <c r="E399" s="2"/>
      <c r="F399" s="4"/>
      <c r="G399" s="2"/>
      <c r="H399" s="2"/>
      <c r="I399" s="2"/>
      <c r="J399" s="2"/>
      <c r="K399" s="5"/>
      <c r="L399" s="2"/>
      <c r="M399" s="2"/>
      <c r="N399" s="2"/>
      <c r="O399" s="2"/>
      <c r="P399" s="2"/>
      <c r="Q399" s="2"/>
      <c r="R399" s="7"/>
      <c r="S399" s="224"/>
      <c r="T399" s="224"/>
      <c r="U399" s="224"/>
      <c r="V399" s="224"/>
      <c r="W399" s="9"/>
    </row>
    <row r="400">
      <c r="A400" s="33"/>
      <c r="B400" s="2"/>
      <c r="C400" s="2"/>
      <c r="D400" s="2"/>
      <c r="E400" s="2"/>
      <c r="F400" s="4"/>
      <c r="G400" s="2"/>
      <c r="H400" s="2"/>
      <c r="I400" s="2"/>
      <c r="J400" s="2"/>
      <c r="K400" s="5"/>
      <c r="L400" s="2"/>
      <c r="M400" s="2"/>
      <c r="N400" s="2"/>
      <c r="O400" s="2"/>
      <c r="P400" s="2"/>
      <c r="Q400" s="2"/>
      <c r="R400" s="7"/>
      <c r="S400" s="224"/>
      <c r="T400" s="224"/>
      <c r="U400" s="224"/>
      <c r="V400" s="224"/>
      <c r="W400" s="9"/>
    </row>
    <row r="401">
      <c r="A401" s="33"/>
      <c r="B401" s="2"/>
      <c r="C401" s="2"/>
      <c r="D401" s="2"/>
      <c r="E401" s="2"/>
      <c r="F401" s="4"/>
      <c r="G401" s="2"/>
      <c r="H401" s="2"/>
      <c r="I401" s="2"/>
      <c r="J401" s="2"/>
      <c r="K401" s="5"/>
      <c r="L401" s="2"/>
      <c r="M401" s="2"/>
      <c r="N401" s="2"/>
      <c r="O401" s="2"/>
      <c r="P401" s="2"/>
      <c r="Q401" s="2"/>
      <c r="R401" s="7"/>
      <c r="S401" s="224"/>
      <c r="T401" s="224"/>
      <c r="U401" s="224"/>
      <c r="V401" s="224"/>
      <c r="W401" s="9"/>
    </row>
    <row r="402">
      <c r="A402" s="33"/>
      <c r="B402" s="2"/>
      <c r="C402" s="2"/>
      <c r="D402" s="2"/>
      <c r="E402" s="2"/>
      <c r="F402" s="4"/>
      <c r="G402" s="2"/>
      <c r="H402" s="2"/>
      <c r="I402" s="2"/>
      <c r="J402" s="2"/>
      <c r="K402" s="5"/>
      <c r="L402" s="2"/>
      <c r="M402" s="2"/>
      <c r="N402" s="2"/>
      <c r="O402" s="2"/>
      <c r="P402" s="2"/>
      <c r="Q402" s="2"/>
      <c r="R402" s="7"/>
      <c r="S402" s="224"/>
      <c r="T402" s="224"/>
      <c r="U402" s="224"/>
      <c r="V402" s="224"/>
      <c r="W402" s="9"/>
    </row>
    <row r="403">
      <c r="A403" s="33"/>
      <c r="B403" s="2"/>
      <c r="C403" s="2"/>
      <c r="D403" s="2"/>
      <c r="E403" s="2"/>
      <c r="F403" s="4"/>
      <c r="G403" s="2"/>
      <c r="H403" s="2"/>
      <c r="I403" s="2"/>
      <c r="J403" s="2"/>
      <c r="K403" s="5"/>
      <c r="L403" s="2"/>
      <c r="M403" s="2"/>
      <c r="N403" s="2"/>
      <c r="O403" s="2"/>
      <c r="P403" s="2"/>
      <c r="Q403" s="2"/>
      <c r="R403" s="7"/>
      <c r="S403" s="224"/>
      <c r="T403" s="224"/>
      <c r="U403" s="224"/>
      <c r="V403" s="224"/>
      <c r="W403" s="9"/>
    </row>
    <row r="404">
      <c r="A404" s="33"/>
      <c r="B404" s="2"/>
      <c r="C404" s="2"/>
      <c r="D404" s="2"/>
      <c r="E404" s="2"/>
      <c r="F404" s="4"/>
      <c r="G404" s="2"/>
      <c r="H404" s="2"/>
      <c r="I404" s="2"/>
      <c r="J404" s="2"/>
      <c r="K404" s="5"/>
      <c r="L404" s="2"/>
      <c r="M404" s="2"/>
      <c r="N404" s="2"/>
      <c r="O404" s="2"/>
      <c r="P404" s="2"/>
      <c r="Q404" s="2"/>
      <c r="R404" s="7"/>
      <c r="S404" s="224"/>
      <c r="T404" s="224"/>
      <c r="U404" s="224"/>
      <c r="V404" s="224"/>
      <c r="W404" s="9"/>
    </row>
    <row r="405">
      <c r="A405" s="33"/>
      <c r="B405" s="2"/>
      <c r="C405" s="2"/>
      <c r="D405" s="2"/>
      <c r="E405" s="2"/>
      <c r="F405" s="4"/>
      <c r="G405" s="2"/>
      <c r="H405" s="2"/>
      <c r="I405" s="2"/>
      <c r="J405" s="2"/>
      <c r="K405" s="5"/>
      <c r="L405" s="2"/>
      <c r="M405" s="2"/>
      <c r="N405" s="2"/>
      <c r="O405" s="2"/>
      <c r="P405" s="2"/>
      <c r="Q405" s="2"/>
      <c r="R405" s="7"/>
      <c r="S405" s="224"/>
      <c r="T405" s="224"/>
      <c r="U405" s="224"/>
      <c r="V405" s="224"/>
      <c r="W405" s="9"/>
    </row>
    <row r="406">
      <c r="A406" s="33"/>
      <c r="B406" s="2"/>
      <c r="C406" s="2"/>
      <c r="D406" s="2"/>
      <c r="E406" s="2"/>
      <c r="F406" s="4"/>
      <c r="G406" s="2"/>
      <c r="H406" s="2"/>
      <c r="I406" s="2"/>
      <c r="J406" s="2"/>
      <c r="K406" s="5"/>
      <c r="L406" s="2"/>
      <c r="M406" s="2"/>
      <c r="N406" s="2"/>
      <c r="O406" s="2"/>
      <c r="P406" s="2"/>
      <c r="Q406" s="2"/>
      <c r="R406" s="7"/>
      <c r="S406" s="224"/>
      <c r="T406" s="224"/>
      <c r="U406" s="224"/>
      <c r="V406" s="224"/>
      <c r="W406" s="9"/>
    </row>
    <row r="407">
      <c r="A407" s="33"/>
      <c r="B407" s="2"/>
      <c r="C407" s="2"/>
      <c r="D407" s="2"/>
      <c r="E407" s="2"/>
      <c r="F407" s="4"/>
      <c r="G407" s="2"/>
      <c r="H407" s="2"/>
      <c r="I407" s="2"/>
      <c r="J407" s="2"/>
      <c r="K407" s="5"/>
      <c r="L407" s="2"/>
      <c r="M407" s="2"/>
      <c r="N407" s="2"/>
      <c r="O407" s="2"/>
      <c r="P407" s="2"/>
      <c r="Q407" s="2"/>
      <c r="R407" s="7"/>
      <c r="S407" s="224"/>
      <c r="T407" s="224"/>
      <c r="U407" s="224"/>
      <c r="V407" s="224"/>
      <c r="W407" s="9"/>
    </row>
    <row r="408">
      <c r="A408" s="33"/>
      <c r="B408" s="2"/>
      <c r="C408" s="2"/>
      <c r="D408" s="2"/>
      <c r="E408" s="2"/>
      <c r="F408" s="4"/>
      <c r="G408" s="2"/>
      <c r="H408" s="2"/>
      <c r="I408" s="2"/>
      <c r="J408" s="2"/>
      <c r="K408" s="5"/>
      <c r="L408" s="2"/>
      <c r="M408" s="2"/>
      <c r="N408" s="2"/>
      <c r="O408" s="2"/>
      <c r="P408" s="2"/>
      <c r="Q408" s="2"/>
      <c r="R408" s="7"/>
      <c r="S408" s="224"/>
      <c r="T408" s="224"/>
      <c r="U408" s="224"/>
      <c r="V408" s="224"/>
      <c r="W408" s="9"/>
    </row>
    <row r="409">
      <c r="A409" s="33"/>
      <c r="B409" s="2"/>
      <c r="C409" s="2"/>
      <c r="D409" s="2"/>
      <c r="E409" s="2"/>
      <c r="F409" s="4"/>
      <c r="G409" s="2"/>
      <c r="H409" s="2"/>
      <c r="I409" s="2"/>
      <c r="J409" s="2"/>
      <c r="K409" s="5"/>
      <c r="L409" s="2"/>
      <c r="M409" s="2"/>
      <c r="N409" s="2"/>
      <c r="O409" s="2"/>
      <c r="P409" s="2"/>
      <c r="Q409" s="2"/>
      <c r="R409" s="7"/>
      <c r="S409" s="224"/>
      <c r="T409" s="224"/>
      <c r="U409" s="224"/>
      <c r="V409" s="224"/>
      <c r="W409" s="9"/>
    </row>
    <row r="410">
      <c r="A410" s="33"/>
      <c r="B410" s="2"/>
      <c r="C410" s="2"/>
      <c r="D410" s="2"/>
      <c r="E410" s="2"/>
      <c r="F410" s="4"/>
      <c r="G410" s="2"/>
      <c r="H410" s="2"/>
      <c r="I410" s="2"/>
      <c r="J410" s="2"/>
      <c r="K410" s="5"/>
      <c r="L410" s="2"/>
      <c r="M410" s="2"/>
      <c r="N410" s="2"/>
      <c r="O410" s="2"/>
      <c r="P410" s="2"/>
      <c r="Q410" s="2"/>
      <c r="R410" s="7"/>
      <c r="S410" s="224"/>
      <c r="T410" s="224"/>
      <c r="U410" s="224"/>
      <c r="V410" s="224"/>
      <c r="W410" s="9"/>
    </row>
    <row r="411">
      <c r="A411" s="33"/>
      <c r="B411" s="2"/>
      <c r="C411" s="2"/>
      <c r="D411" s="2"/>
      <c r="E411" s="2"/>
      <c r="F411" s="4"/>
      <c r="G411" s="2"/>
      <c r="H411" s="2"/>
      <c r="I411" s="2"/>
      <c r="J411" s="2"/>
      <c r="K411" s="5"/>
      <c r="L411" s="2"/>
      <c r="M411" s="2"/>
      <c r="N411" s="2"/>
      <c r="O411" s="2"/>
      <c r="P411" s="2"/>
      <c r="Q411" s="2"/>
      <c r="R411" s="7"/>
      <c r="S411" s="224"/>
      <c r="T411" s="224"/>
      <c r="U411" s="224"/>
      <c r="V411" s="224"/>
      <c r="W411" s="9"/>
    </row>
    <row r="412">
      <c r="A412" s="33"/>
      <c r="B412" s="2"/>
      <c r="C412" s="2"/>
      <c r="D412" s="2"/>
      <c r="E412" s="2"/>
      <c r="F412" s="4"/>
      <c r="G412" s="2"/>
      <c r="H412" s="2"/>
      <c r="I412" s="2"/>
      <c r="J412" s="2"/>
      <c r="K412" s="5"/>
      <c r="L412" s="2"/>
      <c r="M412" s="2"/>
      <c r="N412" s="2"/>
      <c r="O412" s="2"/>
      <c r="P412" s="2"/>
      <c r="Q412" s="2"/>
      <c r="R412" s="7"/>
      <c r="S412" s="224"/>
      <c r="T412" s="224"/>
      <c r="U412" s="224"/>
      <c r="V412" s="224"/>
      <c r="W412" s="9"/>
    </row>
    <row r="413">
      <c r="A413" s="33"/>
      <c r="B413" s="2"/>
      <c r="C413" s="2"/>
      <c r="D413" s="2"/>
      <c r="E413" s="2"/>
      <c r="F413" s="4"/>
      <c r="G413" s="2"/>
      <c r="H413" s="2"/>
      <c r="I413" s="2"/>
      <c r="J413" s="2"/>
      <c r="K413" s="5"/>
      <c r="L413" s="2"/>
      <c r="M413" s="2"/>
      <c r="N413" s="2"/>
      <c r="O413" s="2"/>
      <c r="P413" s="2"/>
      <c r="Q413" s="2"/>
      <c r="R413" s="7"/>
      <c r="S413" s="224"/>
      <c r="T413" s="224"/>
      <c r="U413" s="224"/>
      <c r="V413" s="224"/>
      <c r="W413" s="9"/>
    </row>
    <row r="414">
      <c r="A414" s="33"/>
      <c r="B414" s="2"/>
      <c r="C414" s="2"/>
      <c r="D414" s="2"/>
      <c r="E414" s="2"/>
      <c r="F414" s="4"/>
      <c r="G414" s="2"/>
      <c r="H414" s="2"/>
      <c r="I414" s="2"/>
      <c r="J414" s="2"/>
      <c r="K414" s="5"/>
      <c r="L414" s="2"/>
      <c r="M414" s="2"/>
      <c r="N414" s="2"/>
      <c r="O414" s="2"/>
      <c r="P414" s="2"/>
      <c r="Q414" s="2"/>
      <c r="R414" s="7"/>
      <c r="S414" s="224"/>
      <c r="T414" s="224"/>
      <c r="U414" s="224"/>
      <c r="V414" s="224"/>
      <c r="W414" s="9"/>
    </row>
    <row r="415">
      <c r="A415" s="33"/>
      <c r="B415" s="2"/>
      <c r="C415" s="2"/>
      <c r="D415" s="2"/>
      <c r="E415" s="2"/>
      <c r="F415" s="4"/>
      <c r="G415" s="2"/>
      <c r="H415" s="2"/>
      <c r="I415" s="2"/>
      <c r="J415" s="2"/>
      <c r="K415" s="5"/>
      <c r="L415" s="2"/>
      <c r="M415" s="2"/>
      <c r="N415" s="2"/>
      <c r="O415" s="2"/>
      <c r="P415" s="2"/>
      <c r="Q415" s="2"/>
      <c r="R415" s="7"/>
      <c r="S415" s="224"/>
      <c r="T415" s="224"/>
      <c r="U415" s="224"/>
      <c r="V415" s="224"/>
      <c r="W415" s="9"/>
    </row>
    <row r="416">
      <c r="A416" s="33"/>
      <c r="B416" s="2"/>
      <c r="C416" s="2"/>
      <c r="D416" s="2"/>
      <c r="E416" s="2"/>
      <c r="F416" s="4"/>
      <c r="G416" s="2"/>
      <c r="H416" s="2"/>
      <c r="I416" s="2"/>
      <c r="J416" s="2"/>
      <c r="K416" s="5"/>
      <c r="L416" s="2"/>
      <c r="M416" s="2"/>
      <c r="N416" s="2"/>
      <c r="O416" s="2"/>
      <c r="P416" s="2"/>
      <c r="Q416" s="2"/>
      <c r="R416" s="7"/>
      <c r="S416" s="224"/>
      <c r="T416" s="224"/>
      <c r="U416" s="224"/>
      <c r="V416" s="224"/>
      <c r="W416" s="9"/>
    </row>
    <row r="417">
      <c r="A417" s="33"/>
      <c r="B417" s="2"/>
      <c r="C417" s="2"/>
      <c r="D417" s="2"/>
      <c r="E417" s="2"/>
      <c r="F417" s="4"/>
      <c r="G417" s="2"/>
      <c r="H417" s="2"/>
      <c r="I417" s="2"/>
      <c r="J417" s="2"/>
      <c r="K417" s="5"/>
      <c r="L417" s="2"/>
      <c r="M417" s="2"/>
      <c r="N417" s="2"/>
      <c r="O417" s="2"/>
      <c r="P417" s="2"/>
      <c r="Q417" s="2"/>
      <c r="R417" s="7"/>
      <c r="S417" s="224"/>
      <c r="T417" s="224"/>
      <c r="U417" s="224"/>
      <c r="V417" s="224"/>
      <c r="W417" s="9"/>
    </row>
    <row r="418">
      <c r="A418" s="33"/>
      <c r="B418" s="2"/>
      <c r="C418" s="2"/>
      <c r="D418" s="2"/>
      <c r="E418" s="2"/>
      <c r="F418" s="4"/>
      <c r="G418" s="2"/>
      <c r="H418" s="2"/>
      <c r="I418" s="2"/>
      <c r="J418" s="2"/>
      <c r="K418" s="5"/>
      <c r="L418" s="2"/>
      <c r="M418" s="2"/>
      <c r="N418" s="2"/>
      <c r="O418" s="2"/>
      <c r="P418" s="2"/>
      <c r="Q418" s="2"/>
      <c r="R418" s="7"/>
      <c r="S418" s="224"/>
      <c r="T418" s="224"/>
      <c r="U418" s="224"/>
      <c r="V418" s="224"/>
      <c r="W418" s="9"/>
    </row>
    <row r="419">
      <c r="A419" s="33"/>
      <c r="B419" s="2"/>
      <c r="C419" s="2"/>
      <c r="D419" s="2"/>
      <c r="E419" s="2"/>
      <c r="F419" s="4"/>
      <c r="G419" s="2"/>
      <c r="H419" s="2"/>
      <c r="I419" s="2"/>
      <c r="J419" s="2"/>
      <c r="K419" s="5"/>
      <c r="L419" s="2"/>
      <c r="M419" s="2"/>
      <c r="N419" s="2"/>
      <c r="O419" s="2"/>
      <c r="P419" s="2"/>
      <c r="Q419" s="2"/>
      <c r="R419" s="7"/>
      <c r="S419" s="224"/>
      <c r="T419" s="224"/>
      <c r="U419" s="224"/>
      <c r="V419" s="224"/>
      <c r="W419" s="9"/>
    </row>
    <row r="420">
      <c r="A420" s="33"/>
      <c r="B420" s="2"/>
      <c r="C420" s="2"/>
      <c r="D420" s="2"/>
      <c r="E420" s="2"/>
      <c r="F420" s="4"/>
      <c r="G420" s="2"/>
      <c r="H420" s="2"/>
      <c r="I420" s="2"/>
      <c r="J420" s="2"/>
      <c r="K420" s="5"/>
      <c r="L420" s="2"/>
      <c r="M420" s="2"/>
      <c r="N420" s="2"/>
      <c r="O420" s="2"/>
      <c r="P420" s="2"/>
      <c r="Q420" s="2"/>
      <c r="R420" s="7"/>
      <c r="S420" s="224"/>
      <c r="T420" s="224"/>
      <c r="U420" s="224"/>
      <c r="V420" s="224"/>
      <c r="W420" s="9"/>
    </row>
    <row r="421">
      <c r="A421" s="33"/>
      <c r="B421" s="2"/>
      <c r="C421" s="2"/>
      <c r="D421" s="2"/>
      <c r="E421" s="2"/>
      <c r="F421" s="4"/>
      <c r="G421" s="2"/>
      <c r="H421" s="2"/>
      <c r="I421" s="2"/>
      <c r="J421" s="2"/>
      <c r="K421" s="5"/>
      <c r="L421" s="2"/>
      <c r="M421" s="2"/>
      <c r="N421" s="2"/>
      <c r="O421" s="2"/>
      <c r="P421" s="2"/>
      <c r="Q421" s="2"/>
      <c r="R421" s="7"/>
      <c r="S421" s="224"/>
      <c r="T421" s="224"/>
      <c r="U421" s="224"/>
      <c r="V421" s="224"/>
      <c r="W421" s="9"/>
    </row>
    <row r="422">
      <c r="A422" s="33"/>
      <c r="B422" s="2"/>
      <c r="C422" s="2"/>
      <c r="D422" s="2"/>
      <c r="E422" s="2"/>
      <c r="F422" s="4"/>
      <c r="G422" s="2"/>
      <c r="H422" s="2"/>
      <c r="I422" s="2"/>
      <c r="J422" s="2"/>
      <c r="K422" s="5"/>
      <c r="L422" s="2"/>
      <c r="M422" s="2"/>
      <c r="N422" s="2"/>
      <c r="O422" s="2"/>
      <c r="P422" s="2"/>
      <c r="Q422" s="2"/>
      <c r="R422" s="7"/>
      <c r="S422" s="224"/>
      <c r="T422" s="224"/>
      <c r="U422" s="224"/>
      <c r="V422" s="224"/>
      <c r="W422" s="9"/>
    </row>
    <row r="423">
      <c r="A423" s="33"/>
      <c r="B423" s="2"/>
      <c r="C423" s="2"/>
      <c r="D423" s="2"/>
      <c r="E423" s="2"/>
      <c r="F423" s="4"/>
      <c r="G423" s="2"/>
      <c r="H423" s="2"/>
      <c r="I423" s="2"/>
      <c r="J423" s="2"/>
      <c r="K423" s="5"/>
      <c r="L423" s="2"/>
      <c r="M423" s="2"/>
      <c r="N423" s="2"/>
      <c r="O423" s="2"/>
      <c r="P423" s="2"/>
      <c r="Q423" s="2"/>
      <c r="R423" s="7"/>
      <c r="S423" s="224"/>
      <c r="T423" s="224"/>
      <c r="U423" s="224"/>
      <c r="V423" s="224"/>
      <c r="W423" s="9"/>
    </row>
    <row r="424">
      <c r="A424" s="33"/>
      <c r="B424" s="2"/>
      <c r="C424" s="2"/>
      <c r="D424" s="2"/>
      <c r="E424" s="2"/>
      <c r="F424" s="4"/>
      <c r="G424" s="2"/>
      <c r="H424" s="2"/>
      <c r="I424" s="2"/>
      <c r="J424" s="2"/>
      <c r="K424" s="5"/>
      <c r="L424" s="2"/>
      <c r="M424" s="2"/>
      <c r="N424" s="2"/>
      <c r="O424" s="2"/>
      <c r="P424" s="2"/>
      <c r="Q424" s="2"/>
      <c r="R424" s="7"/>
      <c r="S424" s="224"/>
      <c r="T424" s="224"/>
      <c r="U424" s="224"/>
      <c r="V424" s="224"/>
      <c r="W424" s="9"/>
    </row>
    <row r="425">
      <c r="A425" s="33"/>
      <c r="B425" s="2"/>
      <c r="C425" s="2"/>
      <c r="D425" s="2"/>
      <c r="E425" s="2"/>
      <c r="F425" s="4"/>
      <c r="G425" s="2"/>
      <c r="H425" s="2"/>
      <c r="I425" s="2"/>
      <c r="J425" s="2"/>
      <c r="K425" s="5"/>
      <c r="L425" s="2"/>
      <c r="M425" s="2"/>
      <c r="N425" s="2"/>
      <c r="O425" s="2"/>
      <c r="P425" s="2"/>
      <c r="Q425" s="2"/>
      <c r="R425" s="7"/>
      <c r="S425" s="224"/>
      <c r="T425" s="224"/>
      <c r="U425" s="224"/>
      <c r="V425" s="224"/>
      <c r="W425" s="9"/>
    </row>
    <row r="426">
      <c r="A426" s="33"/>
      <c r="B426" s="2"/>
      <c r="C426" s="2"/>
      <c r="D426" s="2"/>
      <c r="E426" s="2"/>
      <c r="F426" s="4"/>
      <c r="G426" s="2"/>
      <c r="H426" s="2"/>
      <c r="I426" s="2"/>
      <c r="J426" s="2"/>
      <c r="K426" s="5"/>
      <c r="L426" s="2"/>
      <c r="M426" s="2"/>
      <c r="N426" s="2"/>
      <c r="O426" s="2"/>
      <c r="P426" s="2"/>
      <c r="Q426" s="2"/>
      <c r="R426" s="7"/>
      <c r="S426" s="224"/>
      <c r="T426" s="224"/>
      <c r="U426" s="224"/>
      <c r="V426" s="224"/>
      <c r="W426" s="9"/>
    </row>
    <row r="427">
      <c r="A427" s="33"/>
      <c r="B427" s="2"/>
      <c r="C427" s="2"/>
      <c r="D427" s="2"/>
      <c r="E427" s="2"/>
      <c r="F427" s="4"/>
      <c r="G427" s="2"/>
      <c r="H427" s="2"/>
      <c r="I427" s="2"/>
      <c r="J427" s="2"/>
      <c r="K427" s="5"/>
      <c r="L427" s="2"/>
      <c r="M427" s="2"/>
      <c r="N427" s="2"/>
      <c r="O427" s="2"/>
      <c r="P427" s="2"/>
      <c r="Q427" s="2"/>
      <c r="R427" s="7"/>
      <c r="S427" s="224"/>
      <c r="T427" s="224"/>
      <c r="U427" s="224"/>
      <c r="V427" s="224"/>
      <c r="W427" s="9"/>
    </row>
    <row r="428">
      <c r="A428" s="33"/>
      <c r="B428" s="2"/>
      <c r="C428" s="2"/>
      <c r="D428" s="2"/>
      <c r="E428" s="2"/>
      <c r="F428" s="4"/>
      <c r="G428" s="2"/>
      <c r="H428" s="2"/>
      <c r="I428" s="2"/>
      <c r="J428" s="2"/>
      <c r="K428" s="5"/>
      <c r="L428" s="2"/>
      <c r="M428" s="2"/>
      <c r="N428" s="2"/>
      <c r="O428" s="2"/>
      <c r="P428" s="2"/>
      <c r="Q428" s="2"/>
      <c r="R428" s="7"/>
      <c r="S428" s="224"/>
      <c r="T428" s="224"/>
      <c r="U428" s="224"/>
      <c r="V428" s="224"/>
      <c r="W428" s="9"/>
    </row>
    <row r="429">
      <c r="A429" s="33"/>
      <c r="B429" s="2"/>
      <c r="C429" s="2"/>
      <c r="D429" s="2"/>
      <c r="E429" s="2"/>
      <c r="F429" s="4"/>
      <c r="G429" s="2"/>
      <c r="H429" s="2"/>
      <c r="I429" s="2"/>
      <c r="J429" s="2"/>
      <c r="K429" s="5"/>
      <c r="L429" s="2"/>
      <c r="M429" s="2"/>
      <c r="N429" s="2"/>
      <c r="O429" s="2"/>
      <c r="P429" s="2"/>
      <c r="Q429" s="2"/>
      <c r="R429" s="7"/>
      <c r="S429" s="224"/>
      <c r="T429" s="224"/>
      <c r="U429" s="224"/>
      <c r="V429" s="224"/>
      <c r="W429" s="9"/>
    </row>
    <row r="430">
      <c r="A430" s="33"/>
      <c r="B430" s="2"/>
      <c r="C430" s="2"/>
      <c r="D430" s="2"/>
      <c r="E430" s="2"/>
      <c r="F430" s="4"/>
      <c r="G430" s="2"/>
      <c r="H430" s="2"/>
      <c r="I430" s="2"/>
      <c r="J430" s="2"/>
      <c r="K430" s="5"/>
      <c r="L430" s="2"/>
      <c r="M430" s="2"/>
      <c r="N430" s="2"/>
      <c r="O430" s="2"/>
      <c r="P430" s="2"/>
      <c r="Q430" s="2"/>
      <c r="R430" s="7"/>
      <c r="S430" s="224"/>
      <c r="T430" s="224"/>
      <c r="U430" s="224"/>
      <c r="V430" s="224"/>
      <c r="W430" s="9"/>
    </row>
    <row r="431">
      <c r="A431" s="33"/>
      <c r="B431" s="2"/>
      <c r="C431" s="2"/>
      <c r="D431" s="2"/>
      <c r="E431" s="2"/>
      <c r="F431" s="4"/>
      <c r="G431" s="2"/>
      <c r="H431" s="2"/>
      <c r="I431" s="2"/>
      <c r="J431" s="2"/>
      <c r="K431" s="5"/>
      <c r="L431" s="2"/>
      <c r="M431" s="2"/>
      <c r="N431" s="2"/>
      <c r="O431" s="2"/>
      <c r="P431" s="2"/>
      <c r="Q431" s="2"/>
      <c r="R431" s="7"/>
      <c r="S431" s="224"/>
      <c r="T431" s="224"/>
      <c r="U431" s="224"/>
      <c r="V431" s="224"/>
      <c r="W431" s="9"/>
    </row>
    <row r="432">
      <c r="A432" s="33"/>
      <c r="B432" s="2"/>
      <c r="C432" s="2"/>
      <c r="D432" s="2"/>
      <c r="E432" s="2"/>
      <c r="F432" s="4"/>
      <c r="G432" s="2"/>
      <c r="H432" s="2"/>
      <c r="I432" s="2"/>
      <c r="J432" s="2"/>
      <c r="K432" s="5"/>
      <c r="L432" s="2"/>
      <c r="M432" s="2"/>
      <c r="N432" s="2"/>
      <c r="O432" s="2"/>
      <c r="P432" s="2"/>
      <c r="Q432" s="2"/>
      <c r="R432" s="7"/>
      <c r="S432" s="224"/>
      <c r="T432" s="224"/>
      <c r="U432" s="224"/>
      <c r="V432" s="224"/>
      <c r="W432" s="9"/>
    </row>
    <row r="433">
      <c r="A433" s="33"/>
      <c r="B433" s="2"/>
      <c r="C433" s="2"/>
      <c r="D433" s="2"/>
      <c r="E433" s="2"/>
      <c r="F433" s="4"/>
      <c r="G433" s="2"/>
      <c r="H433" s="2"/>
      <c r="I433" s="2"/>
      <c r="J433" s="2"/>
      <c r="K433" s="5"/>
      <c r="L433" s="2"/>
      <c r="M433" s="2"/>
      <c r="N433" s="2"/>
      <c r="O433" s="2"/>
      <c r="P433" s="2"/>
      <c r="Q433" s="2"/>
      <c r="R433" s="7"/>
      <c r="S433" s="224"/>
      <c r="T433" s="224"/>
      <c r="U433" s="224"/>
      <c r="V433" s="224"/>
      <c r="W433" s="9"/>
    </row>
    <row r="434">
      <c r="A434" s="33"/>
      <c r="B434" s="2"/>
      <c r="C434" s="2"/>
      <c r="D434" s="2"/>
      <c r="E434" s="2"/>
      <c r="F434" s="4"/>
      <c r="G434" s="2"/>
      <c r="H434" s="2"/>
      <c r="I434" s="2"/>
      <c r="J434" s="2"/>
      <c r="K434" s="5"/>
      <c r="L434" s="2"/>
      <c r="M434" s="2"/>
      <c r="N434" s="2"/>
      <c r="O434" s="2"/>
      <c r="P434" s="2"/>
      <c r="Q434" s="2"/>
      <c r="R434" s="7"/>
      <c r="S434" s="224"/>
      <c r="T434" s="224"/>
      <c r="U434" s="224"/>
      <c r="V434" s="224"/>
      <c r="W434" s="9"/>
    </row>
    <row r="435">
      <c r="A435" s="33"/>
      <c r="B435" s="2"/>
      <c r="C435" s="2"/>
      <c r="D435" s="2"/>
      <c r="E435" s="2"/>
      <c r="F435" s="4"/>
      <c r="G435" s="2"/>
      <c r="H435" s="2"/>
      <c r="I435" s="2"/>
      <c r="J435" s="2"/>
      <c r="K435" s="5"/>
      <c r="L435" s="2"/>
      <c r="M435" s="2"/>
      <c r="N435" s="2"/>
      <c r="O435" s="2"/>
      <c r="P435" s="2"/>
      <c r="Q435" s="2"/>
      <c r="R435" s="7"/>
      <c r="S435" s="224"/>
      <c r="T435" s="224"/>
      <c r="U435" s="224"/>
      <c r="V435" s="224"/>
      <c r="W435" s="9"/>
    </row>
    <row r="436">
      <c r="A436" s="33"/>
      <c r="B436" s="2"/>
      <c r="C436" s="2"/>
      <c r="D436" s="2"/>
      <c r="E436" s="2"/>
      <c r="F436" s="4"/>
      <c r="G436" s="2"/>
      <c r="H436" s="2"/>
      <c r="I436" s="2"/>
      <c r="J436" s="2"/>
      <c r="K436" s="5"/>
      <c r="L436" s="2"/>
      <c r="M436" s="2"/>
      <c r="N436" s="2"/>
      <c r="O436" s="2"/>
      <c r="P436" s="2"/>
      <c r="Q436" s="2"/>
      <c r="R436" s="7"/>
      <c r="S436" s="224"/>
      <c r="T436" s="224"/>
      <c r="U436" s="224"/>
      <c r="V436" s="224"/>
      <c r="W436" s="9"/>
    </row>
    <row r="437">
      <c r="A437" s="33"/>
      <c r="B437" s="2"/>
      <c r="C437" s="2"/>
      <c r="D437" s="2"/>
      <c r="E437" s="2"/>
      <c r="F437" s="4"/>
      <c r="G437" s="2"/>
      <c r="H437" s="2"/>
      <c r="I437" s="2"/>
      <c r="J437" s="2"/>
      <c r="K437" s="5"/>
      <c r="L437" s="2"/>
      <c r="M437" s="2"/>
      <c r="N437" s="2"/>
      <c r="O437" s="2"/>
      <c r="P437" s="2"/>
      <c r="Q437" s="2"/>
      <c r="R437" s="7"/>
      <c r="S437" s="224"/>
      <c r="T437" s="224"/>
      <c r="U437" s="224"/>
      <c r="V437" s="224"/>
      <c r="W437" s="9"/>
    </row>
    <row r="438">
      <c r="A438" s="33"/>
      <c r="B438" s="2"/>
      <c r="C438" s="2"/>
      <c r="D438" s="2"/>
      <c r="E438" s="2"/>
      <c r="F438" s="4"/>
      <c r="G438" s="2"/>
      <c r="H438" s="2"/>
      <c r="I438" s="2"/>
      <c r="J438" s="2"/>
      <c r="K438" s="5"/>
      <c r="L438" s="2"/>
      <c r="M438" s="2"/>
      <c r="N438" s="2"/>
      <c r="O438" s="2"/>
      <c r="P438" s="2"/>
      <c r="Q438" s="2"/>
      <c r="R438" s="7"/>
      <c r="S438" s="224"/>
      <c r="T438" s="224"/>
      <c r="U438" s="224"/>
      <c r="V438" s="224"/>
      <c r="W438" s="9"/>
    </row>
    <row r="439">
      <c r="A439" s="33"/>
      <c r="B439" s="2"/>
      <c r="C439" s="2"/>
      <c r="D439" s="2"/>
      <c r="E439" s="2"/>
      <c r="F439" s="4"/>
      <c r="G439" s="2"/>
      <c r="H439" s="2"/>
      <c r="I439" s="2"/>
      <c r="J439" s="2"/>
      <c r="K439" s="5"/>
      <c r="L439" s="2"/>
      <c r="M439" s="2"/>
      <c r="N439" s="2"/>
      <c r="O439" s="2"/>
      <c r="P439" s="2"/>
      <c r="Q439" s="2"/>
      <c r="R439" s="7"/>
      <c r="S439" s="224"/>
      <c r="T439" s="224"/>
      <c r="U439" s="224"/>
      <c r="V439" s="224"/>
      <c r="W439" s="9"/>
    </row>
    <row r="440">
      <c r="A440" s="33"/>
      <c r="B440" s="2"/>
      <c r="C440" s="2"/>
      <c r="D440" s="2"/>
      <c r="E440" s="2"/>
      <c r="F440" s="4"/>
      <c r="G440" s="2"/>
      <c r="H440" s="2"/>
      <c r="I440" s="2"/>
      <c r="J440" s="2"/>
      <c r="K440" s="5"/>
      <c r="L440" s="2"/>
      <c r="M440" s="2"/>
      <c r="N440" s="2"/>
      <c r="O440" s="2"/>
      <c r="P440" s="2"/>
      <c r="Q440" s="2"/>
      <c r="R440" s="7"/>
      <c r="S440" s="224"/>
      <c r="T440" s="224"/>
      <c r="U440" s="224"/>
      <c r="V440" s="224"/>
      <c r="W440" s="9"/>
    </row>
    <row r="441">
      <c r="A441" s="33"/>
      <c r="B441" s="2"/>
      <c r="C441" s="2"/>
      <c r="D441" s="2"/>
      <c r="E441" s="2"/>
      <c r="F441" s="4"/>
      <c r="G441" s="2"/>
      <c r="H441" s="2"/>
      <c r="I441" s="2"/>
      <c r="J441" s="2"/>
      <c r="K441" s="5"/>
      <c r="L441" s="2"/>
      <c r="M441" s="2"/>
      <c r="N441" s="2"/>
      <c r="O441" s="2"/>
      <c r="P441" s="2"/>
      <c r="Q441" s="2"/>
      <c r="R441" s="7"/>
      <c r="S441" s="224"/>
      <c r="T441" s="224"/>
      <c r="U441" s="224"/>
      <c r="V441" s="224"/>
      <c r="W441" s="9"/>
    </row>
    <row r="442">
      <c r="A442" s="33"/>
      <c r="B442" s="2"/>
      <c r="C442" s="2"/>
      <c r="D442" s="2"/>
      <c r="E442" s="2"/>
      <c r="F442" s="4"/>
      <c r="G442" s="2"/>
      <c r="H442" s="2"/>
      <c r="I442" s="2"/>
      <c r="J442" s="2"/>
      <c r="K442" s="5"/>
      <c r="L442" s="2"/>
      <c r="M442" s="2"/>
      <c r="N442" s="2"/>
      <c r="O442" s="2"/>
      <c r="P442" s="2"/>
      <c r="Q442" s="2"/>
      <c r="R442" s="7"/>
      <c r="S442" s="224"/>
      <c r="T442" s="224"/>
      <c r="U442" s="224"/>
      <c r="V442" s="224"/>
      <c r="W442" s="9"/>
    </row>
    <row r="443">
      <c r="A443" s="33"/>
      <c r="B443" s="2"/>
      <c r="C443" s="2"/>
      <c r="D443" s="2"/>
      <c r="E443" s="2"/>
      <c r="F443" s="4"/>
      <c r="G443" s="2"/>
      <c r="H443" s="2"/>
      <c r="I443" s="2"/>
      <c r="J443" s="2"/>
      <c r="K443" s="5"/>
      <c r="L443" s="2"/>
      <c r="M443" s="2"/>
      <c r="N443" s="2"/>
      <c r="O443" s="2"/>
      <c r="P443" s="2"/>
      <c r="Q443" s="2"/>
      <c r="R443" s="7"/>
      <c r="S443" s="224"/>
      <c r="T443" s="224"/>
      <c r="U443" s="224"/>
      <c r="V443" s="224"/>
      <c r="W443" s="9"/>
    </row>
    <row r="444">
      <c r="A444" s="33"/>
      <c r="B444" s="2"/>
      <c r="C444" s="2"/>
      <c r="D444" s="2"/>
      <c r="E444" s="2"/>
      <c r="F444" s="4"/>
      <c r="G444" s="2"/>
      <c r="H444" s="2"/>
      <c r="I444" s="2"/>
      <c r="J444" s="2"/>
      <c r="K444" s="5"/>
      <c r="L444" s="2"/>
      <c r="M444" s="2"/>
      <c r="N444" s="2"/>
      <c r="O444" s="2"/>
      <c r="P444" s="2"/>
      <c r="Q444" s="2"/>
      <c r="R444" s="7"/>
      <c r="S444" s="224"/>
      <c r="T444" s="224"/>
      <c r="U444" s="224"/>
      <c r="V444" s="224"/>
      <c r="W444" s="9"/>
    </row>
    <row r="445">
      <c r="A445" s="33"/>
      <c r="B445" s="2"/>
      <c r="C445" s="2"/>
      <c r="D445" s="2"/>
      <c r="E445" s="2"/>
      <c r="F445" s="4"/>
      <c r="G445" s="2"/>
      <c r="H445" s="2"/>
      <c r="I445" s="2"/>
      <c r="J445" s="2"/>
      <c r="K445" s="5"/>
      <c r="L445" s="2"/>
      <c r="M445" s="2"/>
      <c r="N445" s="2"/>
      <c r="O445" s="2"/>
      <c r="P445" s="2"/>
      <c r="Q445" s="2"/>
      <c r="R445" s="7"/>
      <c r="S445" s="224"/>
      <c r="T445" s="224"/>
      <c r="U445" s="224"/>
      <c r="V445" s="224"/>
      <c r="W445" s="9"/>
    </row>
    <row r="446">
      <c r="A446" s="33"/>
      <c r="B446" s="2"/>
      <c r="C446" s="2"/>
      <c r="D446" s="2"/>
      <c r="E446" s="2"/>
      <c r="F446" s="4"/>
      <c r="G446" s="2"/>
      <c r="H446" s="2"/>
      <c r="I446" s="2"/>
      <c r="J446" s="2"/>
      <c r="K446" s="5"/>
      <c r="L446" s="2"/>
      <c r="M446" s="2"/>
      <c r="N446" s="2"/>
      <c r="O446" s="2"/>
      <c r="P446" s="2"/>
      <c r="Q446" s="2"/>
      <c r="R446" s="7"/>
      <c r="S446" s="224"/>
      <c r="T446" s="224"/>
      <c r="U446" s="224"/>
      <c r="V446" s="224"/>
      <c r="W446" s="9"/>
    </row>
    <row r="447">
      <c r="A447" s="33"/>
      <c r="B447" s="2"/>
      <c r="C447" s="2"/>
      <c r="D447" s="2"/>
      <c r="E447" s="2"/>
      <c r="F447" s="4"/>
      <c r="G447" s="2"/>
      <c r="H447" s="2"/>
      <c r="I447" s="2"/>
      <c r="J447" s="2"/>
      <c r="K447" s="5"/>
      <c r="L447" s="2"/>
      <c r="M447" s="2"/>
      <c r="N447" s="2"/>
      <c r="O447" s="2"/>
      <c r="P447" s="2"/>
      <c r="Q447" s="2"/>
      <c r="R447" s="7"/>
      <c r="S447" s="224"/>
      <c r="T447" s="224"/>
      <c r="U447" s="224"/>
      <c r="V447" s="224"/>
      <c r="W447" s="9"/>
    </row>
    <row r="448">
      <c r="A448" s="33"/>
      <c r="B448" s="2"/>
      <c r="C448" s="2"/>
      <c r="D448" s="2"/>
      <c r="E448" s="2"/>
      <c r="F448" s="4"/>
      <c r="G448" s="2"/>
      <c r="H448" s="2"/>
      <c r="I448" s="2"/>
      <c r="J448" s="2"/>
      <c r="K448" s="5"/>
      <c r="L448" s="2"/>
      <c r="M448" s="2"/>
      <c r="N448" s="2"/>
      <c r="O448" s="2"/>
      <c r="P448" s="2"/>
      <c r="Q448" s="2"/>
      <c r="R448" s="7"/>
      <c r="S448" s="224"/>
      <c r="T448" s="224"/>
      <c r="U448" s="224"/>
      <c r="V448" s="224"/>
      <c r="W448" s="9"/>
    </row>
    <row r="449">
      <c r="A449" s="33"/>
      <c r="B449" s="2"/>
      <c r="C449" s="2"/>
      <c r="D449" s="2"/>
      <c r="E449" s="2"/>
      <c r="F449" s="4"/>
      <c r="G449" s="2"/>
      <c r="H449" s="2"/>
      <c r="I449" s="2"/>
      <c r="J449" s="2"/>
      <c r="K449" s="5"/>
      <c r="L449" s="2"/>
      <c r="M449" s="2"/>
      <c r="N449" s="2"/>
      <c r="O449" s="2"/>
      <c r="P449" s="2"/>
      <c r="Q449" s="2"/>
      <c r="R449" s="7"/>
      <c r="S449" s="224"/>
      <c r="T449" s="224"/>
      <c r="U449" s="224"/>
      <c r="V449" s="224"/>
      <c r="W449" s="9"/>
    </row>
    <row r="450">
      <c r="A450" s="33"/>
      <c r="B450" s="2"/>
      <c r="C450" s="2"/>
      <c r="D450" s="2"/>
      <c r="E450" s="2"/>
      <c r="F450" s="4"/>
      <c r="G450" s="2"/>
      <c r="H450" s="2"/>
      <c r="I450" s="2"/>
      <c r="J450" s="2"/>
      <c r="K450" s="5"/>
      <c r="L450" s="2"/>
      <c r="M450" s="2"/>
      <c r="N450" s="2"/>
      <c r="O450" s="2"/>
      <c r="P450" s="2"/>
      <c r="Q450" s="2"/>
      <c r="R450" s="7"/>
      <c r="S450" s="224"/>
      <c r="T450" s="224"/>
      <c r="U450" s="224"/>
      <c r="V450" s="224"/>
      <c r="W450" s="9"/>
    </row>
    <row r="451">
      <c r="A451" s="33"/>
      <c r="B451" s="2"/>
      <c r="C451" s="2"/>
      <c r="D451" s="2"/>
      <c r="E451" s="2"/>
      <c r="F451" s="4"/>
      <c r="G451" s="2"/>
      <c r="H451" s="2"/>
      <c r="I451" s="2"/>
      <c r="J451" s="2"/>
      <c r="K451" s="5"/>
      <c r="L451" s="2"/>
      <c r="M451" s="2"/>
      <c r="N451" s="2"/>
      <c r="O451" s="2"/>
      <c r="P451" s="2"/>
      <c r="Q451" s="2"/>
      <c r="R451" s="7"/>
      <c r="S451" s="224"/>
      <c r="T451" s="224"/>
      <c r="U451" s="224"/>
      <c r="V451" s="224"/>
      <c r="W451" s="9"/>
    </row>
    <row r="452">
      <c r="A452" s="33"/>
      <c r="B452" s="2"/>
      <c r="C452" s="2"/>
      <c r="D452" s="2"/>
      <c r="E452" s="2"/>
      <c r="F452" s="4"/>
      <c r="G452" s="2"/>
      <c r="H452" s="2"/>
      <c r="I452" s="2"/>
      <c r="J452" s="2"/>
      <c r="K452" s="5"/>
      <c r="L452" s="2"/>
      <c r="M452" s="2"/>
      <c r="N452" s="2"/>
      <c r="O452" s="2"/>
      <c r="P452" s="2"/>
      <c r="Q452" s="2"/>
      <c r="R452" s="7"/>
      <c r="S452" s="224"/>
      <c r="T452" s="224"/>
      <c r="U452" s="224"/>
      <c r="V452" s="224"/>
      <c r="W452" s="9"/>
    </row>
    <row r="453">
      <c r="A453" s="33"/>
      <c r="B453" s="2"/>
      <c r="C453" s="2"/>
      <c r="D453" s="2"/>
      <c r="E453" s="2"/>
      <c r="F453" s="4"/>
      <c r="G453" s="2"/>
      <c r="H453" s="2"/>
      <c r="I453" s="2"/>
      <c r="J453" s="2"/>
      <c r="K453" s="5"/>
      <c r="L453" s="2"/>
      <c r="M453" s="2"/>
      <c r="N453" s="2"/>
      <c r="O453" s="2"/>
      <c r="P453" s="2"/>
      <c r="Q453" s="2"/>
      <c r="R453" s="7"/>
      <c r="S453" s="224"/>
      <c r="T453" s="224"/>
      <c r="U453" s="224"/>
      <c r="V453" s="224"/>
      <c r="W453" s="9"/>
    </row>
    <row r="454">
      <c r="A454" s="33"/>
      <c r="B454" s="2"/>
      <c r="C454" s="2"/>
      <c r="D454" s="2"/>
      <c r="E454" s="2"/>
      <c r="F454" s="4"/>
      <c r="G454" s="2"/>
      <c r="H454" s="2"/>
      <c r="I454" s="2"/>
      <c r="J454" s="2"/>
      <c r="K454" s="5"/>
      <c r="L454" s="2"/>
      <c r="M454" s="2"/>
      <c r="N454" s="2"/>
      <c r="O454" s="2"/>
      <c r="P454" s="2"/>
      <c r="Q454" s="2"/>
      <c r="R454" s="7"/>
      <c r="S454" s="224"/>
      <c r="T454" s="224"/>
      <c r="U454" s="224"/>
      <c r="V454" s="224"/>
      <c r="W454" s="9"/>
    </row>
    <row r="455">
      <c r="A455" s="33"/>
      <c r="B455" s="2"/>
      <c r="C455" s="2"/>
      <c r="D455" s="2"/>
      <c r="E455" s="2"/>
      <c r="F455" s="4"/>
      <c r="G455" s="2"/>
      <c r="H455" s="2"/>
      <c r="I455" s="2"/>
      <c r="J455" s="2"/>
      <c r="K455" s="5"/>
      <c r="L455" s="2"/>
      <c r="M455" s="2"/>
      <c r="N455" s="2"/>
      <c r="O455" s="2"/>
      <c r="P455" s="2"/>
      <c r="Q455" s="2"/>
      <c r="R455" s="7"/>
      <c r="S455" s="224"/>
      <c r="T455" s="224"/>
      <c r="U455" s="224"/>
      <c r="V455" s="224"/>
      <c r="W455" s="9"/>
    </row>
    <row r="456">
      <c r="A456" s="33"/>
      <c r="B456" s="2"/>
      <c r="C456" s="2"/>
      <c r="D456" s="2"/>
      <c r="E456" s="2"/>
      <c r="F456" s="4"/>
      <c r="G456" s="2"/>
      <c r="H456" s="2"/>
      <c r="I456" s="2"/>
      <c r="J456" s="2"/>
      <c r="K456" s="5"/>
      <c r="L456" s="2"/>
      <c r="M456" s="2"/>
      <c r="N456" s="2"/>
      <c r="O456" s="2"/>
      <c r="P456" s="2"/>
      <c r="Q456" s="2"/>
      <c r="R456" s="7"/>
      <c r="S456" s="224"/>
      <c r="T456" s="224"/>
      <c r="U456" s="224"/>
      <c r="V456" s="224"/>
      <c r="W456" s="9"/>
    </row>
    <row r="457">
      <c r="A457" s="33"/>
      <c r="B457" s="2"/>
      <c r="C457" s="2"/>
      <c r="D457" s="2"/>
      <c r="E457" s="2"/>
      <c r="F457" s="4"/>
      <c r="G457" s="2"/>
      <c r="H457" s="2"/>
      <c r="I457" s="2"/>
      <c r="J457" s="2"/>
      <c r="K457" s="5"/>
      <c r="L457" s="2"/>
      <c r="M457" s="2"/>
      <c r="N457" s="2"/>
      <c r="O457" s="2"/>
      <c r="P457" s="2"/>
      <c r="Q457" s="2"/>
      <c r="R457" s="7"/>
      <c r="S457" s="224"/>
      <c r="T457" s="224"/>
      <c r="U457" s="224"/>
      <c r="V457" s="224"/>
      <c r="W457" s="9"/>
    </row>
    <row r="458">
      <c r="A458" s="33"/>
      <c r="B458" s="2"/>
      <c r="C458" s="2"/>
      <c r="D458" s="2"/>
      <c r="E458" s="2"/>
      <c r="F458" s="4"/>
      <c r="G458" s="2"/>
      <c r="H458" s="2"/>
      <c r="I458" s="2"/>
      <c r="J458" s="2"/>
      <c r="K458" s="5"/>
      <c r="L458" s="2"/>
      <c r="M458" s="2"/>
      <c r="N458" s="2"/>
      <c r="O458" s="2"/>
      <c r="P458" s="2"/>
      <c r="Q458" s="2"/>
      <c r="R458" s="7"/>
      <c r="S458" s="224"/>
      <c r="T458" s="224"/>
      <c r="U458" s="224"/>
      <c r="V458" s="224"/>
      <c r="W458" s="9"/>
    </row>
    <row r="459">
      <c r="A459" s="33"/>
      <c r="B459" s="2"/>
      <c r="C459" s="2"/>
      <c r="D459" s="2"/>
      <c r="E459" s="2"/>
      <c r="F459" s="4"/>
      <c r="G459" s="2"/>
      <c r="H459" s="2"/>
      <c r="I459" s="2"/>
      <c r="J459" s="2"/>
      <c r="K459" s="5"/>
      <c r="L459" s="2"/>
      <c r="M459" s="2"/>
      <c r="N459" s="2"/>
      <c r="O459" s="2"/>
      <c r="P459" s="2"/>
      <c r="Q459" s="2"/>
      <c r="R459" s="7"/>
      <c r="S459" s="224"/>
      <c r="T459" s="224"/>
      <c r="U459" s="224"/>
      <c r="V459" s="224"/>
      <c r="W459" s="9"/>
    </row>
    <row r="460">
      <c r="A460" s="33"/>
      <c r="B460" s="2"/>
      <c r="C460" s="2"/>
      <c r="D460" s="2"/>
      <c r="E460" s="2"/>
      <c r="F460" s="4"/>
      <c r="G460" s="2"/>
      <c r="H460" s="2"/>
      <c r="I460" s="2"/>
      <c r="J460" s="2"/>
      <c r="K460" s="5"/>
      <c r="L460" s="2"/>
      <c r="M460" s="2"/>
      <c r="N460" s="2"/>
      <c r="O460" s="2"/>
      <c r="P460" s="2"/>
      <c r="Q460" s="2"/>
      <c r="R460" s="7"/>
      <c r="S460" s="224"/>
      <c r="T460" s="224"/>
      <c r="U460" s="224"/>
      <c r="V460" s="224"/>
      <c r="W460" s="9"/>
    </row>
    <row r="461">
      <c r="A461" s="33"/>
      <c r="B461" s="2"/>
      <c r="C461" s="2"/>
      <c r="D461" s="2"/>
      <c r="E461" s="2"/>
      <c r="F461" s="4"/>
      <c r="G461" s="2"/>
      <c r="H461" s="2"/>
      <c r="I461" s="2"/>
      <c r="J461" s="2"/>
      <c r="K461" s="5"/>
      <c r="L461" s="2"/>
      <c r="M461" s="2"/>
      <c r="N461" s="2"/>
      <c r="O461" s="2"/>
      <c r="P461" s="2"/>
      <c r="Q461" s="2"/>
      <c r="R461" s="7"/>
      <c r="S461" s="224"/>
      <c r="T461" s="224"/>
      <c r="U461" s="224"/>
      <c r="V461" s="224"/>
      <c r="W461" s="9"/>
    </row>
    <row r="462">
      <c r="A462" s="33"/>
      <c r="B462" s="2"/>
      <c r="C462" s="2"/>
      <c r="D462" s="2"/>
      <c r="E462" s="2"/>
      <c r="F462" s="4"/>
      <c r="G462" s="2"/>
      <c r="H462" s="2"/>
      <c r="I462" s="2"/>
      <c r="J462" s="2"/>
      <c r="K462" s="5"/>
      <c r="L462" s="2"/>
      <c r="M462" s="2"/>
      <c r="N462" s="2"/>
      <c r="O462" s="2"/>
      <c r="P462" s="2"/>
      <c r="Q462" s="2"/>
      <c r="R462" s="7"/>
      <c r="S462" s="224"/>
      <c r="T462" s="224"/>
      <c r="U462" s="224"/>
      <c r="V462" s="224"/>
      <c r="W462" s="9"/>
    </row>
    <row r="463">
      <c r="A463" s="33"/>
      <c r="B463" s="2"/>
      <c r="C463" s="2"/>
      <c r="D463" s="2"/>
      <c r="E463" s="2"/>
      <c r="F463" s="4"/>
      <c r="G463" s="2"/>
      <c r="H463" s="2"/>
      <c r="I463" s="2"/>
      <c r="J463" s="2"/>
      <c r="K463" s="5"/>
      <c r="L463" s="2"/>
      <c r="M463" s="2"/>
      <c r="N463" s="2"/>
      <c r="O463" s="2"/>
      <c r="P463" s="2"/>
      <c r="Q463" s="2"/>
      <c r="R463" s="7"/>
      <c r="S463" s="224"/>
      <c r="T463" s="224"/>
      <c r="U463" s="224"/>
      <c r="V463" s="224"/>
      <c r="W463" s="9"/>
    </row>
    <row r="464">
      <c r="A464" s="33"/>
      <c r="B464" s="2"/>
      <c r="C464" s="2"/>
      <c r="D464" s="2"/>
      <c r="E464" s="2"/>
      <c r="F464" s="4"/>
      <c r="G464" s="2"/>
      <c r="H464" s="2"/>
      <c r="I464" s="2"/>
      <c r="J464" s="2"/>
      <c r="K464" s="5"/>
      <c r="L464" s="2"/>
      <c r="M464" s="2"/>
      <c r="N464" s="2"/>
      <c r="O464" s="2"/>
      <c r="P464" s="2"/>
      <c r="Q464" s="2"/>
      <c r="R464" s="7"/>
      <c r="S464" s="224"/>
      <c r="T464" s="224"/>
      <c r="U464" s="224"/>
      <c r="V464" s="224"/>
      <c r="W464" s="9"/>
    </row>
    <row r="465">
      <c r="A465" s="33"/>
      <c r="B465" s="2"/>
      <c r="C465" s="2"/>
      <c r="D465" s="2"/>
      <c r="E465" s="2"/>
      <c r="F465" s="4"/>
      <c r="G465" s="2"/>
      <c r="H465" s="2"/>
      <c r="I465" s="2"/>
      <c r="J465" s="2"/>
      <c r="K465" s="5"/>
      <c r="L465" s="2"/>
      <c r="M465" s="2"/>
      <c r="N465" s="2"/>
      <c r="O465" s="2"/>
      <c r="P465" s="2"/>
      <c r="Q465" s="2"/>
      <c r="R465" s="7"/>
      <c r="S465" s="224"/>
      <c r="T465" s="224"/>
      <c r="U465" s="224"/>
      <c r="V465" s="224"/>
      <c r="W465" s="9"/>
    </row>
    <row r="466">
      <c r="A466" s="33"/>
      <c r="B466" s="2"/>
      <c r="C466" s="2"/>
      <c r="D466" s="2"/>
      <c r="E466" s="2"/>
      <c r="F466" s="4"/>
      <c r="G466" s="2"/>
      <c r="H466" s="2"/>
      <c r="I466" s="2"/>
      <c r="J466" s="2"/>
      <c r="K466" s="5"/>
      <c r="L466" s="2"/>
      <c r="M466" s="2"/>
      <c r="N466" s="2"/>
      <c r="O466" s="2"/>
      <c r="P466" s="2"/>
      <c r="Q466" s="2"/>
      <c r="R466" s="7"/>
      <c r="S466" s="224"/>
      <c r="T466" s="224"/>
      <c r="U466" s="224"/>
      <c r="V466" s="224"/>
      <c r="W466" s="9"/>
    </row>
    <row r="467">
      <c r="A467" s="33"/>
      <c r="B467" s="2"/>
      <c r="C467" s="2"/>
      <c r="D467" s="2"/>
      <c r="E467" s="2"/>
      <c r="F467" s="4"/>
      <c r="G467" s="2"/>
      <c r="H467" s="2"/>
      <c r="I467" s="2"/>
      <c r="J467" s="2"/>
      <c r="K467" s="5"/>
      <c r="L467" s="2"/>
      <c r="M467" s="2"/>
      <c r="N467" s="2"/>
      <c r="O467" s="2"/>
      <c r="P467" s="2"/>
      <c r="Q467" s="2"/>
      <c r="R467" s="7"/>
      <c r="S467" s="224"/>
      <c r="T467" s="224"/>
      <c r="U467" s="224"/>
      <c r="V467" s="224"/>
      <c r="W467" s="9"/>
    </row>
    <row r="468">
      <c r="A468" s="33"/>
      <c r="B468" s="2"/>
      <c r="C468" s="2"/>
      <c r="D468" s="2"/>
      <c r="E468" s="2"/>
      <c r="F468" s="4"/>
      <c r="G468" s="2"/>
      <c r="H468" s="2"/>
      <c r="I468" s="2"/>
      <c r="J468" s="2"/>
      <c r="K468" s="5"/>
      <c r="L468" s="2"/>
      <c r="M468" s="2"/>
      <c r="N468" s="2"/>
      <c r="O468" s="2"/>
      <c r="P468" s="2"/>
      <c r="Q468" s="2"/>
      <c r="R468" s="7"/>
      <c r="S468" s="224"/>
      <c r="T468" s="224"/>
      <c r="U468" s="224"/>
      <c r="V468" s="224"/>
      <c r="W468" s="9"/>
    </row>
    <row r="469">
      <c r="A469" s="33"/>
      <c r="B469" s="2"/>
      <c r="C469" s="2"/>
      <c r="D469" s="2"/>
      <c r="E469" s="2"/>
      <c r="F469" s="4"/>
      <c r="G469" s="2"/>
      <c r="H469" s="2"/>
      <c r="I469" s="2"/>
      <c r="J469" s="2"/>
      <c r="K469" s="5"/>
      <c r="L469" s="2"/>
      <c r="M469" s="2"/>
      <c r="N469" s="2"/>
      <c r="O469" s="2"/>
      <c r="P469" s="2"/>
      <c r="Q469" s="2"/>
      <c r="R469" s="7"/>
      <c r="S469" s="224"/>
      <c r="T469" s="224"/>
      <c r="U469" s="224"/>
      <c r="V469" s="224"/>
      <c r="W469" s="9"/>
    </row>
    <row r="470">
      <c r="A470" s="33"/>
      <c r="B470" s="2"/>
      <c r="C470" s="2"/>
      <c r="D470" s="2"/>
      <c r="E470" s="2"/>
      <c r="F470" s="4"/>
      <c r="G470" s="2"/>
      <c r="H470" s="2"/>
      <c r="I470" s="2"/>
      <c r="J470" s="2"/>
      <c r="K470" s="5"/>
      <c r="L470" s="2"/>
      <c r="M470" s="2"/>
      <c r="N470" s="2"/>
      <c r="O470" s="2"/>
      <c r="P470" s="2"/>
      <c r="Q470" s="2"/>
      <c r="R470" s="7"/>
      <c r="S470" s="224"/>
      <c r="T470" s="224"/>
      <c r="U470" s="224"/>
      <c r="V470" s="224"/>
      <c r="W470" s="9"/>
    </row>
    <row r="471">
      <c r="A471" s="33"/>
      <c r="B471" s="2"/>
      <c r="C471" s="2"/>
      <c r="D471" s="2"/>
      <c r="E471" s="2"/>
      <c r="F471" s="4"/>
      <c r="G471" s="2"/>
      <c r="H471" s="2"/>
      <c r="I471" s="2"/>
      <c r="J471" s="2"/>
      <c r="K471" s="5"/>
      <c r="L471" s="2"/>
      <c r="M471" s="2"/>
      <c r="N471" s="2"/>
      <c r="O471" s="2"/>
      <c r="P471" s="2"/>
      <c r="Q471" s="2"/>
      <c r="R471" s="7"/>
      <c r="S471" s="224"/>
      <c r="T471" s="224"/>
      <c r="U471" s="224"/>
      <c r="V471" s="224"/>
      <c r="W471" s="9"/>
    </row>
    <row r="472">
      <c r="A472" s="33"/>
      <c r="B472" s="2"/>
      <c r="C472" s="2"/>
      <c r="D472" s="2"/>
      <c r="E472" s="2"/>
      <c r="F472" s="4"/>
      <c r="G472" s="2"/>
      <c r="H472" s="2"/>
      <c r="I472" s="2"/>
      <c r="J472" s="2"/>
      <c r="K472" s="5"/>
      <c r="L472" s="2"/>
      <c r="M472" s="2"/>
      <c r="N472" s="2"/>
      <c r="O472" s="2"/>
      <c r="P472" s="2"/>
      <c r="Q472" s="2"/>
      <c r="R472" s="7"/>
      <c r="S472" s="224"/>
      <c r="T472" s="224"/>
      <c r="U472" s="224"/>
      <c r="V472" s="224"/>
      <c r="W472" s="9"/>
    </row>
    <row r="473">
      <c r="A473" s="33"/>
      <c r="B473" s="2"/>
      <c r="C473" s="2"/>
      <c r="D473" s="2"/>
      <c r="E473" s="2"/>
      <c r="F473" s="4"/>
      <c r="G473" s="2"/>
      <c r="H473" s="2"/>
      <c r="I473" s="2"/>
      <c r="J473" s="2"/>
      <c r="K473" s="5"/>
      <c r="L473" s="2"/>
      <c r="M473" s="2"/>
      <c r="N473" s="2"/>
      <c r="O473" s="2"/>
      <c r="P473" s="2"/>
      <c r="Q473" s="2"/>
      <c r="R473" s="7"/>
      <c r="S473" s="224"/>
      <c r="T473" s="224"/>
      <c r="U473" s="224"/>
      <c r="V473" s="224"/>
      <c r="W473" s="9"/>
    </row>
    <row r="474">
      <c r="A474" s="33"/>
      <c r="B474" s="2"/>
      <c r="C474" s="2"/>
      <c r="D474" s="2"/>
      <c r="E474" s="2"/>
      <c r="F474" s="4"/>
      <c r="G474" s="2"/>
      <c r="H474" s="2"/>
      <c r="I474" s="2"/>
      <c r="J474" s="2"/>
      <c r="K474" s="5"/>
      <c r="L474" s="2"/>
      <c r="M474" s="2"/>
      <c r="N474" s="2"/>
      <c r="O474" s="2"/>
      <c r="P474" s="2"/>
      <c r="Q474" s="2"/>
      <c r="R474" s="7"/>
      <c r="S474" s="224"/>
      <c r="T474" s="224"/>
      <c r="U474" s="224"/>
      <c r="V474" s="224"/>
      <c r="W474" s="9"/>
    </row>
    <row r="475">
      <c r="A475" s="33"/>
      <c r="B475" s="2"/>
      <c r="C475" s="2"/>
      <c r="D475" s="2"/>
      <c r="E475" s="2"/>
      <c r="F475" s="4"/>
      <c r="G475" s="2"/>
      <c r="H475" s="2"/>
      <c r="I475" s="2"/>
      <c r="J475" s="2"/>
      <c r="K475" s="5"/>
      <c r="L475" s="2"/>
      <c r="M475" s="2"/>
      <c r="N475" s="2"/>
      <c r="O475" s="2"/>
      <c r="P475" s="2"/>
      <c r="Q475" s="2"/>
      <c r="R475" s="7"/>
      <c r="S475" s="224"/>
      <c r="T475" s="224"/>
      <c r="U475" s="224"/>
      <c r="V475" s="224"/>
      <c r="W475" s="9"/>
    </row>
    <row r="476">
      <c r="A476" s="33"/>
      <c r="B476" s="2"/>
      <c r="C476" s="2"/>
      <c r="D476" s="2"/>
      <c r="E476" s="2"/>
      <c r="F476" s="4"/>
      <c r="G476" s="2"/>
      <c r="H476" s="2"/>
      <c r="I476" s="2"/>
      <c r="J476" s="2"/>
      <c r="K476" s="5"/>
      <c r="L476" s="2"/>
      <c r="M476" s="2"/>
      <c r="N476" s="2"/>
      <c r="O476" s="2"/>
      <c r="P476" s="2"/>
      <c r="Q476" s="2"/>
      <c r="R476" s="7"/>
      <c r="S476" s="224"/>
      <c r="T476" s="224"/>
      <c r="U476" s="224"/>
      <c r="V476" s="224"/>
      <c r="W476" s="9"/>
    </row>
    <row r="477">
      <c r="A477" s="33"/>
      <c r="B477" s="2"/>
      <c r="C477" s="2"/>
      <c r="D477" s="2"/>
      <c r="E477" s="2"/>
      <c r="F477" s="4"/>
      <c r="G477" s="2"/>
      <c r="H477" s="2"/>
      <c r="I477" s="2"/>
      <c r="J477" s="2"/>
      <c r="K477" s="5"/>
      <c r="L477" s="2"/>
      <c r="M477" s="2"/>
      <c r="N477" s="2"/>
      <c r="O477" s="2"/>
      <c r="P477" s="2"/>
      <c r="Q477" s="2"/>
      <c r="R477" s="7"/>
      <c r="S477" s="224"/>
      <c r="T477" s="224"/>
      <c r="U477" s="224"/>
      <c r="V477" s="224"/>
      <c r="W477" s="9"/>
    </row>
    <row r="478">
      <c r="A478" s="33"/>
      <c r="B478" s="2"/>
      <c r="C478" s="2"/>
      <c r="D478" s="2"/>
      <c r="E478" s="2"/>
      <c r="F478" s="4"/>
      <c r="G478" s="2"/>
      <c r="H478" s="2"/>
      <c r="I478" s="2"/>
      <c r="J478" s="2"/>
      <c r="K478" s="5"/>
      <c r="L478" s="2"/>
      <c r="M478" s="2"/>
      <c r="N478" s="2"/>
      <c r="O478" s="2"/>
      <c r="P478" s="2"/>
      <c r="Q478" s="2"/>
      <c r="R478" s="7"/>
      <c r="S478" s="224"/>
      <c r="T478" s="224"/>
      <c r="U478" s="224"/>
      <c r="V478" s="224"/>
      <c r="W478" s="9"/>
    </row>
    <row r="479">
      <c r="A479" s="33"/>
      <c r="B479" s="2"/>
      <c r="C479" s="2"/>
      <c r="D479" s="2"/>
      <c r="E479" s="2"/>
      <c r="F479" s="4"/>
      <c r="G479" s="2"/>
      <c r="H479" s="2"/>
      <c r="I479" s="2"/>
      <c r="J479" s="2"/>
      <c r="K479" s="5"/>
      <c r="L479" s="2"/>
      <c r="M479" s="2"/>
      <c r="N479" s="2"/>
      <c r="O479" s="2"/>
      <c r="P479" s="2"/>
      <c r="Q479" s="2"/>
      <c r="R479" s="7"/>
      <c r="S479" s="224"/>
      <c r="T479" s="224"/>
      <c r="U479" s="224"/>
      <c r="V479" s="224"/>
      <c r="W479" s="9"/>
    </row>
    <row r="480">
      <c r="A480" s="33"/>
      <c r="B480" s="2"/>
      <c r="C480" s="2"/>
      <c r="D480" s="2"/>
      <c r="E480" s="2"/>
      <c r="F480" s="4"/>
      <c r="G480" s="2"/>
      <c r="H480" s="2"/>
      <c r="I480" s="2"/>
      <c r="J480" s="2"/>
      <c r="K480" s="5"/>
      <c r="L480" s="2"/>
      <c r="M480" s="2"/>
      <c r="N480" s="2"/>
      <c r="O480" s="2"/>
      <c r="P480" s="2"/>
      <c r="Q480" s="2"/>
      <c r="R480" s="7"/>
      <c r="S480" s="224"/>
      <c r="T480" s="224"/>
      <c r="U480" s="224"/>
      <c r="V480" s="224"/>
      <c r="W480" s="9"/>
    </row>
    <row r="481">
      <c r="A481" s="33"/>
      <c r="B481" s="2"/>
      <c r="C481" s="2"/>
      <c r="D481" s="2"/>
      <c r="E481" s="2"/>
      <c r="F481" s="4"/>
      <c r="G481" s="2"/>
      <c r="H481" s="2"/>
      <c r="I481" s="2"/>
      <c r="J481" s="2"/>
      <c r="K481" s="5"/>
      <c r="L481" s="2"/>
      <c r="M481" s="2"/>
      <c r="N481" s="2"/>
      <c r="O481" s="2"/>
      <c r="P481" s="2"/>
      <c r="Q481" s="2"/>
      <c r="R481" s="7"/>
      <c r="S481" s="224"/>
      <c r="T481" s="224"/>
      <c r="U481" s="224"/>
      <c r="V481" s="224"/>
      <c r="W481" s="9"/>
    </row>
    <row r="482">
      <c r="A482" s="33"/>
      <c r="B482" s="2"/>
      <c r="C482" s="2"/>
      <c r="D482" s="2"/>
      <c r="E482" s="2"/>
      <c r="F482" s="4"/>
      <c r="G482" s="2"/>
      <c r="H482" s="2"/>
      <c r="I482" s="2"/>
      <c r="J482" s="2"/>
      <c r="K482" s="5"/>
      <c r="L482" s="2"/>
      <c r="M482" s="2"/>
      <c r="N482" s="2"/>
      <c r="O482" s="2"/>
      <c r="P482" s="2"/>
      <c r="Q482" s="2"/>
      <c r="R482" s="7"/>
      <c r="S482" s="224"/>
      <c r="T482" s="224"/>
      <c r="U482" s="224"/>
      <c r="V482" s="224"/>
      <c r="W482" s="9"/>
    </row>
    <row r="483">
      <c r="A483" s="33"/>
      <c r="B483" s="2"/>
      <c r="C483" s="2"/>
      <c r="D483" s="2"/>
      <c r="E483" s="2"/>
      <c r="F483" s="4"/>
      <c r="G483" s="2"/>
      <c r="H483" s="2"/>
      <c r="I483" s="2"/>
      <c r="J483" s="2"/>
      <c r="K483" s="5"/>
      <c r="L483" s="2"/>
      <c r="M483" s="2"/>
      <c r="N483" s="2"/>
      <c r="O483" s="2"/>
      <c r="P483" s="2"/>
      <c r="Q483" s="2"/>
      <c r="R483" s="7"/>
      <c r="S483" s="224"/>
      <c r="T483" s="224"/>
      <c r="U483" s="224"/>
      <c r="V483" s="224"/>
      <c r="W483" s="9"/>
    </row>
    <row r="484">
      <c r="A484" s="33"/>
      <c r="B484" s="2"/>
      <c r="C484" s="2"/>
      <c r="D484" s="2"/>
      <c r="E484" s="2"/>
      <c r="F484" s="4"/>
      <c r="G484" s="2"/>
      <c r="H484" s="2"/>
      <c r="I484" s="2"/>
      <c r="J484" s="2"/>
      <c r="K484" s="5"/>
      <c r="L484" s="2"/>
      <c r="M484" s="2"/>
      <c r="N484" s="2"/>
      <c r="O484" s="2"/>
      <c r="P484" s="2"/>
      <c r="Q484" s="2"/>
      <c r="R484" s="7"/>
      <c r="S484" s="224"/>
      <c r="T484" s="224"/>
      <c r="U484" s="224"/>
      <c r="V484" s="224"/>
      <c r="W484" s="9"/>
    </row>
    <row r="485">
      <c r="A485" s="33"/>
      <c r="B485" s="2"/>
      <c r="C485" s="2"/>
      <c r="D485" s="2"/>
      <c r="E485" s="2"/>
      <c r="F485" s="4"/>
      <c r="G485" s="2"/>
      <c r="H485" s="2"/>
      <c r="I485" s="2"/>
      <c r="J485" s="2"/>
      <c r="K485" s="5"/>
      <c r="L485" s="2"/>
      <c r="M485" s="2"/>
      <c r="N485" s="2"/>
      <c r="O485" s="2"/>
      <c r="P485" s="2"/>
      <c r="Q485" s="2"/>
      <c r="R485" s="7"/>
      <c r="S485" s="224"/>
      <c r="T485" s="224"/>
      <c r="U485" s="224"/>
      <c r="V485" s="224"/>
      <c r="W485" s="9"/>
    </row>
    <row r="486">
      <c r="A486" s="33"/>
      <c r="B486" s="2"/>
      <c r="C486" s="2"/>
      <c r="D486" s="2"/>
      <c r="E486" s="2"/>
      <c r="F486" s="4"/>
      <c r="G486" s="2"/>
      <c r="H486" s="2"/>
      <c r="I486" s="2"/>
      <c r="J486" s="2"/>
      <c r="K486" s="5"/>
      <c r="L486" s="2"/>
      <c r="M486" s="2"/>
      <c r="N486" s="2"/>
      <c r="O486" s="2"/>
      <c r="P486" s="2"/>
      <c r="Q486" s="2"/>
      <c r="R486" s="7"/>
      <c r="S486" s="224"/>
      <c r="T486" s="224"/>
      <c r="U486" s="224"/>
      <c r="V486" s="224"/>
      <c r="W486" s="9"/>
    </row>
    <row r="487">
      <c r="A487" s="33"/>
      <c r="B487" s="2"/>
      <c r="C487" s="2"/>
      <c r="D487" s="2"/>
      <c r="E487" s="2"/>
      <c r="F487" s="4"/>
      <c r="G487" s="2"/>
      <c r="H487" s="2"/>
      <c r="I487" s="2"/>
      <c r="J487" s="2"/>
      <c r="K487" s="5"/>
      <c r="L487" s="2"/>
      <c r="M487" s="2"/>
      <c r="N487" s="2"/>
      <c r="O487" s="2"/>
      <c r="P487" s="2"/>
      <c r="Q487" s="2"/>
      <c r="R487" s="7"/>
      <c r="S487" s="224"/>
      <c r="T487" s="224"/>
      <c r="U487" s="224"/>
      <c r="V487" s="224"/>
      <c r="W487" s="9"/>
    </row>
    <row r="488">
      <c r="A488" s="33"/>
      <c r="B488" s="2"/>
      <c r="C488" s="2"/>
      <c r="D488" s="2"/>
      <c r="E488" s="2"/>
      <c r="F488" s="4"/>
      <c r="G488" s="2"/>
      <c r="H488" s="2"/>
      <c r="I488" s="2"/>
      <c r="J488" s="2"/>
      <c r="K488" s="5"/>
      <c r="L488" s="2"/>
      <c r="M488" s="2"/>
      <c r="N488" s="2"/>
      <c r="O488" s="2"/>
      <c r="P488" s="2"/>
      <c r="Q488" s="2"/>
      <c r="R488" s="7"/>
      <c r="S488" s="224"/>
      <c r="T488" s="224"/>
      <c r="U488" s="224"/>
      <c r="V488" s="224"/>
      <c r="W488" s="9"/>
    </row>
    <row r="489">
      <c r="A489" s="33"/>
      <c r="B489" s="2"/>
      <c r="C489" s="2"/>
      <c r="D489" s="2"/>
      <c r="E489" s="2"/>
      <c r="F489" s="4"/>
      <c r="G489" s="2"/>
      <c r="H489" s="2"/>
      <c r="I489" s="2"/>
      <c r="J489" s="2"/>
      <c r="K489" s="5"/>
      <c r="L489" s="2"/>
      <c r="M489" s="2"/>
      <c r="N489" s="2"/>
      <c r="O489" s="2"/>
      <c r="P489" s="2"/>
      <c r="Q489" s="2"/>
      <c r="R489" s="7"/>
      <c r="S489" s="224"/>
      <c r="T489" s="224"/>
      <c r="U489" s="224"/>
      <c r="V489" s="224"/>
      <c r="W489" s="9"/>
    </row>
    <row r="490">
      <c r="A490" s="33"/>
      <c r="B490" s="2"/>
      <c r="C490" s="2"/>
      <c r="D490" s="2"/>
      <c r="E490" s="2"/>
      <c r="F490" s="4"/>
      <c r="G490" s="2"/>
      <c r="H490" s="2"/>
      <c r="I490" s="2"/>
      <c r="J490" s="2"/>
      <c r="K490" s="5"/>
      <c r="L490" s="2"/>
      <c r="M490" s="2"/>
      <c r="N490" s="2"/>
      <c r="O490" s="2"/>
      <c r="P490" s="2"/>
      <c r="Q490" s="2"/>
      <c r="R490" s="7"/>
      <c r="S490" s="224"/>
      <c r="T490" s="224"/>
      <c r="U490" s="224"/>
      <c r="V490" s="224"/>
      <c r="W490" s="9"/>
    </row>
    <row r="491">
      <c r="A491" s="33"/>
      <c r="B491" s="2"/>
      <c r="C491" s="2"/>
      <c r="D491" s="2"/>
      <c r="E491" s="2"/>
      <c r="F491" s="4"/>
      <c r="G491" s="2"/>
      <c r="H491" s="2"/>
      <c r="I491" s="2"/>
      <c r="J491" s="2"/>
      <c r="K491" s="5"/>
      <c r="L491" s="2"/>
      <c r="M491" s="2"/>
      <c r="N491" s="2"/>
      <c r="O491" s="2"/>
      <c r="P491" s="2"/>
      <c r="Q491" s="2"/>
      <c r="R491" s="7"/>
      <c r="S491" s="224"/>
      <c r="T491" s="224"/>
      <c r="U491" s="224"/>
      <c r="V491" s="224"/>
      <c r="W491" s="9"/>
    </row>
    <row r="492">
      <c r="A492" s="33"/>
      <c r="B492" s="2"/>
      <c r="C492" s="2"/>
      <c r="D492" s="2"/>
      <c r="E492" s="2"/>
      <c r="F492" s="4"/>
      <c r="G492" s="2"/>
      <c r="H492" s="2"/>
      <c r="I492" s="2"/>
      <c r="J492" s="2"/>
      <c r="K492" s="5"/>
      <c r="L492" s="2"/>
      <c r="M492" s="2"/>
      <c r="N492" s="2"/>
      <c r="O492" s="2"/>
      <c r="P492" s="2"/>
      <c r="Q492" s="2"/>
      <c r="R492" s="7"/>
      <c r="S492" s="224"/>
      <c r="T492" s="224"/>
      <c r="U492" s="224"/>
      <c r="V492" s="224"/>
      <c r="W492" s="9"/>
    </row>
    <row r="493">
      <c r="A493" s="33"/>
      <c r="B493" s="2"/>
      <c r="C493" s="2"/>
      <c r="D493" s="2"/>
      <c r="E493" s="2"/>
      <c r="F493" s="4"/>
      <c r="G493" s="2"/>
      <c r="H493" s="2"/>
      <c r="I493" s="2"/>
      <c r="J493" s="2"/>
      <c r="K493" s="5"/>
      <c r="L493" s="2"/>
      <c r="M493" s="2"/>
      <c r="N493" s="2"/>
      <c r="O493" s="2"/>
      <c r="P493" s="2"/>
      <c r="Q493" s="2"/>
      <c r="R493" s="7"/>
      <c r="S493" s="224"/>
      <c r="T493" s="224"/>
      <c r="U493" s="224"/>
      <c r="V493" s="224"/>
      <c r="W493" s="9"/>
    </row>
    <row r="494">
      <c r="A494" s="33"/>
      <c r="B494" s="2"/>
      <c r="C494" s="2"/>
      <c r="D494" s="2"/>
      <c r="E494" s="2"/>
      <c r="F494" s="4"/>
      <c r="G494" s="2"/>
      <c r="H494" s="2"/>
      <c r="I494" s="2"/>
      <c r="J494" s="2"/>
      <c r="K494" s="5"/>
      <c r="L494" s="2"/>
      <c r="M494" s="2"/>
      <c r="N494" s="2"/>
      <c r="O494" s="2"/>
      <c r="P494" s="2"/>
      <c r="Q494" s="2"/>
      <c r="R494" s="7"/>
      <c r="S494" s="224"/>
      <c r="T494" s="224"/>
      <c r="U494" s="224"/>
      <c r="V494" s="224"/>
      <c r="W494" s="9"/>
    </row>
    <row r="495">
      <c r="A495" s="33"/>
      <c r="B495" s="2"/>
      <c r="C495" s="2"/>
      <c r="D495" s="2"/>
      <c r="E495" s="2"/>
      <c r="F495" s="4"/>
      <c r="G495" s="2"/>
      <c r="H495" s="2"/>
      <c r="I495" s="2"/>
      <c r="J495" s="2"/>
      <c r="K495" s="5"/>
      <c r="L495" s="2"/>
      <c r="M495" s="2"/>
      <c r="N495" s="2"/>
      <c r="O495" s="2"/>
      <c r="P495" s="2"/>
      <c r="Q495" s="2"/>
      <c r="R495" s="7"/>
      <c r="S495" s="224"/>
      <c r="T495" s="224"/>
      <c r="U495" s="224"/>
      <c r="V495" s="224"/>
      <c r="W495" s="9"/>
    </row>
    <row r="496">
      <c r="A496" s="33"/>
      <c r="B496" s="2"/>
      <c r="C496" s="2"/>
      <c r="D496" s="2"/>
      <c r="E496" s="2"/>
      <c r="F496" s="4"/>
      <c r="G496" s="2"/>
      <c r="H496" s="2"/>
      <c r="I496" s="2"/>
      <c r="J496" s="2"/>
      <c r="K496" s="5"/>
      <c r="L496" s="2"/>
      <c r="M496" s="2"/>
      <c r="N496" s="2"/>
      <c r="O496" s="2"/>
      <c r="P496" s="2"/>
      <c r="Q496" s="2"/>
      <c r="R496" s="7"/>
      <c r="S496" s="224"/>
      <c r="T496" s="224"/>
      <c r="U496" s="224"/>
      <c r="V496" s="224"/>
      <c r="W496" s="9"/>
    </row>
    <row r="497">
      <c r="A497" s="33"/>
      <c r="B497" s="2"/>
      <c r="C497" s="2"/>
      <c r="D497" s="2"/>
      <c r="E497" s="2"/>
      <c r="F497" s="4"/>
      <c r="G497" s="2"/>
      <c r="H497" s="2"/>
      <c r="I497" s="2"/>
      <c r="J497" s="2"/>
      <c r="K497" s="5"/>
      <c r="L497" s="2"/>
      <c r="M497" s="2"/>
      <c r="N497" s="2"/>
      <c r="O497" s="2"/>
      <c r="P497" s="2"/>
      <c r="Q497" s="2"/>
      <c r="R497" s="7"/>
      <c r="S497" s="224"/>
      <c r="T497" s="224"/>
      <c r="U497" s="224"/>
      <c r="V497" s="224"/>
      <c r="W497" s="9"/>
    </row>
    <row r="498">
      <c r="A498" s="33"/>
      <c r="B498" s="2"/>
      <c r="C498" s="2"/>
      <c r="D498" s="2"/>
      <c r="E498" s="2"/>
      <c r="F498" s="4"/>
      <c r="G498" s="2"/>
      <c r="H498" s="2"/>
      <c r="I498" s="2"/>
      <c r="J498" s="2"/>
      <c r="K498" s="5"/>
      <c r="L498" s="2"/>
      <c r="M498" s="2"/>
      <c r="N498" s="2"/>
      <c r="O498" s="2"/>
      <c r="P498" s="2"/>
      <c r="Q498" s="2"/>
      <c r="R498" s="7"/>
      <c r="S498" s="224"/>
      <c r="T498" s="224"/>
      <c r="U498" s="224"/>
      <c r="V498" s="224"/>
      <c r="W498" s="9"/>
    </row>
    <row r="499">
      <c r="A499" s="33"/>
      <c r="B499" s="2"/>
      <c r="C499" s="2"/>
      <c r="D499" s="2"/>
      <c r="E499" s="2"/>
      <c r="F499" s="4"/>
      <c r="G499" s="2"/>
      <c r="H499" s="2"/>
      <c r="I499" s="2"/>
      <c r="J499" s="2"/>
      <c r="K499" s="5"/>
      <c r="L499" s="2"/>
      <c r="M499" s="2"/>
      <c r="N499" s="2"/>
      <c r="O499" s="2"/>
      <c r="P499" s="2"/>
      <c r="Q499" s="2"/>
      <c r="R499" s="7"/>
      <c r="S499" s="224"/>
      <c r="T499" s="224"/>
      <c r="U499" s="224"/>
      <c r="V499" s="224"/>
      <c r="W499" s="9"/>
    </row>
    <row r="500">
      <c r="A500" s="33"/>
      <c r="B500" s="2"/>
      <c r="C500" s="2"/>
      <c r="D500" s="2"/>
      <c r="E500" s="2"/>
      <c r="F500" s="4"/>
      <c r="G500" s="2"/>
      <c r="H500" s="2"/>
      <c r="I500" s="2"/>
      <c r="J500" s="2"/>
      <c r="K500" s="5"/>
      <c r="L500" s="2"/>
      <c r="M500" s="2"/>
      <c r="N500" s="2"/>
      <c r="O500" s="2"/>
      <c r="P500" s="2"/>
      <c r="Q500" s="2"/>
      <c r="R500" s="7"/>
      <c r="S500" s="224"/>
      <c r="T500" s="224"/>
      <c r="U500" s="224"/>
      <c r="V500" s="224"/>
      <c r="W500" s="9"/>
    </row>
    <row r="501">
      <c r="A501" s="33"/>
      <c r="B501" s="2"/>
      <c r="C501" s="2"/>
      <c r="D501" s="2"/>
      <c r="E501" s="2"/>
      <c r="F501" s="4"/>
      <c r="G501" s="2"/>
      <c r="H501" s="2"/>
      <c r="I501" s="2"/>
      <c r="J501" s="2"/>
      <c r="K501" s="5"/>
      <c r="L501" s="2"/>
      <c r="M501" s="2"/>
      <c r="N501" s="2"/>
      <c r="O501" s="2"/>
      <c r="P501" s="2"/>
      <c r="Q501" s="2"/>
      <c r="R501" s="7"/>
      <c r="S501" s="224"/>
      <c r="T501" s="224"/>
      <c r="U501" s="224"/>
      <c r="V501" s="224"/>
      <c r="W501" s="9"/>
    </row>
    <row r="502">
      <c r="A502" s="33"/>
      <c r="B502" s="2"/>
      <c r="C502" s="2"/>
      <c r="D502" s="2"/>
      <c r="E502" s="2"/>
      <c r="F502" s="4"/>
      <c r="G502" s="2"/>
      <c r="H502" s="2"/>
      <c r="I502" s="2"/>
      <c r="J502" s="2"/>
      <c r="K502" s="5"/>
      <c r="L502" s="2"/>
      <c r="M502" s="2"/>
      <c r="N502" s="2"/>
      <c r="O502" s="2"/>
      <c r="P502" s="2"/>
      <c r="Q502" s="2"/>
      <c r="R502" s="7"/>
      <c r="S502" s="224"/>
      <c r="T502" s="224"/>
      <c r="U502" s="224"/>
      <c r="V502" s="224"/>
      <c r="W502" s="9"/>
    </row>
    <row r="503">
      <c r="A503" s="33"/>
      <c r="B503" s="2"/>
      <c r="C503" s="2"/>
      <c r="D503" s="2"/>
      <c r="E503" s="2"/>
      <c r="F503" s="4"/>
      <c r="G503" s="2"/>
      <c r="H503" s="2"/>
      <c r="I503" s="2"/>
      <c r="J503" s="2"/>
      <c r="K503" s="5"/>
      <c r="L503" s="2"/>
      <c r="M503" s="2"/>
      <c r="N503" s="2"/>
      <c r="O503" s="2"/>
      <c r="P503" s="2"/>
      <c r="Q503" s="2"/>
      <c r="R503" s="7"/>
      <c r="S503" s="224"/>
      <c r="T503" s="224"/>
      <c r="U503" s="224"/>
      <c r="V503" s="224"/>
      <c r="W503" s="9"/>
    </row>
    <row r="504">
      <c r="A504" s="33"/>
      <c r="B504" s="2"/>
      <c r="C504" s="2"/>
      <c r="D504" s="2"/>
      <c r="E504" s="2"/>
      <c r="F504" s="4"/>
      <c r="G504" s="2"/>
      <c r="H504" s="2"/>
      <c r="I504" s="2"/>
      <c r="J504" s="2"/>
      <c r="K504" s="5"/>
      <c r="L504" s="2"/>
      <c r="M504" s="2"/>
      <c r="N504" s="2"/>
      <c r="O504" s="2"/>
      <c r="P504" s="2"/>
      <c r="Q504" s="2"/>
      <c r="R504" s="7"/>
      <c r="S504" s="224"/>
      <c r="T504" s="224"/>
      <c r="U504" s="224"/>
      <c r="V504" s="224"/>
      <c r="W504" s="9"/>
    </row>
    <row r="505">
      <c r="A505" s="33"/>
      <c r="B505" s="2"/>
      <c r="C505" s="2"/>
      <c r="D505" s="2"/>
      <c r="E505" s="2"/>
      <c r="F505" s="4"/>
      <c r="G505" s="2"/>
      <c r="H505" s="2"/>
      <c r="I505" s="2"/>
      <c r="J505" s="2"/>
      <c r="K505" s="5"/>
      <c r="L505" s="2"/>
      <c r="M505" s="2"/>
      <c r="N505" s="2"/>
      <c r="O505" s="2"/>
      <c r="P505" s="2"/>
      <c r="Q505" s="2"/>
      <c r="R505" s="7"/>
      <c r="S505" s="224"/>
      <c r="T505" s="224"/>
      <c r="U505" s="224"/>
      <c r="V505" s="224"/>
      <c r="W505" s="9"/>
    </row>
    <row r="506">
      <c r="A506" s="33"/>
      <c r="B506" s="2"/>
      <c r="C506" s="2"/>
      <c r="D506" s="2"/>
      <c r="E506" s="2"/>
      <c r="F506" s="4"/>
      <c r="G506" s="2"/>
      <c r="H506" s="2"/>
      <c r="I506" s="2"/>
      <c r="J506" s="2"/>
      <c r="K506" s="5"/>
      <c r="L506" s="2"/>
      <c r="M506" s="2"/>
      <c r="N506" s="2"/>
      <c r="O506" s="2"/>
      <c r="P506" s="2"/>
      <c r="Q506" s="2"/>
      <c r="R506" s="7"/>
      <c r="S506" s="224"/>
      <c r="T506" s="224"/>
      <c r="U506" s="224"/>
      <c r="V506" s="224"/>
      <c r="W506" s="9"/>
    </row>
    <row r="507">
      <c r="A507" s="33"/>
      <c r="B507" s="2"/>
      <c r="C507" s="2"/>
      <c r="D507" s="2"/>
      <c r="E507" s="2"/>
      <c r="F507" s="4"/>
      <c r="G507" s="2"/>
      <c r="H507" s="2"/>
      <c r="I507" s="2"/>
      <c r="J507" s="2"/>
      <c r="K507" s="5"/>
      <c r="L507" s="2"/>
      <c r="M507" s="2"/>
      <c r="N507" s="2"/>
      <c r="O507" s="2"/>
      <c r="P507" s="2"/>
      <c r="Q507" s="2"/>
      <c r="R507" s="7"/>
      <c r="S507" s="224"/>
      <c r="T507" s="224"/>
      <c r="U507" s="224"/>
      <c r="V507" s="224"/>
      <c r="W507" s="9"/>
    </row>
    <row r="508">
      <c r="A508" s="33"/>
      <c r="B508" s="2"/>
      <c r="C508" s="2"/>
      <c r="D508" s="2"/>
      <c r="E508" s="2"/>
      <c r="F508" s="4"/>
      <c r="G508" s="2"/>
      <c r="H508" s="2"/>
      <c r="I508" s="2"/>
      <c r="J508" s="2"/>
      <c r="K508" s="5"/>
      <c r="L508" s="2"/>
      <c r="M508" s="2"/>
      <c r="N508" s="2"/>
      <c r="O508" s="2"/>
      <c r="P508" s="2"/>
      <c r="Q508" s="2"/>
      <c r="R508" s="7"/>
      <c r="S508" s="224"/>
      <c r="T508" s="224"/>
      <c r="U508" s="224"/>
      <c r="V508" s="224"/>
      <c r="W508" s="9"/>
    </row>
    <row r="509">
      <c r="A509" s="33"/>
      <c r="B509" s="2"/>
      <c r="C509" s="2"/>
      <c r="D509" s="2"/>
      <c r="E509" s="2"/>
      <c r="F509" s="4"/>
      <c r="G509" s="2"/>
      <c r="H509" s="2"/>
      <c r="I509" s="2"/>
      <c r="J509" s="2"/>
      <c r="K509" s="5"/>
      <c r="L509" s="2"/>
      <c r="M509" s="2"/>
      <c r="N509" s="2"/>
      <c r="O509" s="2"/>
      <c r="P509" s="2"/>
      <c r="Q509" s="2"/>
      <c r="R509" s="7"/>
      <c r="S509" s="224"/>
      <c r="T509" s="224"/>
      <c r="U509" s="224"/>
      <c r="V509" s="224"/>
      <c r="W509" s="9"/>
    </row>
    <row r="510">
      <c r="A510" s="33"/>
      <c r="B510" s="2"/>
      <c r="C510" s="2"/>
      <c r="D510" s="2"/>
      <c r="E510" s="2"/>
      <c r="F510" s="4"/>
      <c r="G510" s="2"/>
      <c r="H510" s="2"/>
      <c r="I510" s="2"/>
      <c r="J510" s="2"/>
      <c r="K510" s="5"/>
      <c r="L510" s="2"/>
      <c r="M510" s="2"/>
      <c r="N510" s="2"/>
      <c r="O510" s="2"/>
      <c r="P510" s="2"/>
      <c r="Q510" s="2"/>
      <c r="R510" s="7"/>
      <c r="S510" s="224"/>
      <c r="T510" s="224"/>
      <c r="U510" s="224"/>
      <c r="V510" s="224"/>
      <c r="W510" s="9"/>
    </row>
    <row r="511">
      <c r="A511" s="33"/>
      <c r="B511" s="2"/>
      <c r="C511" s="2"/>
      <c r="D511" s="2"/>
      <c r="E511" s="2"/>
      <c r="F511" s="4"/>
      <c r="G511" s="2"/>
      <c r="H511" s="2"/>
      <c r="I511" s="2"/>
      <c r="J511" s="2"/>
      <c r="K511" s="5"/>
      <c r="L511" s="2"/>
      <c r="M511" s="2"/>
      <c r="N511" s="2"/>
      <c r="O511" s="2"/>
      <c r="P511" s="2"/>
      <c r="Q511" s="2"/>
      <c r="R511" s="7"/>
      <c r="S511" s="224"/>
      <c r="T511" s="224"/>
      <c r="U511" s="224"/>
      <c r="V511" s="224"/>
      <c r="W511" s="9"/>
    </row>
    <row r="512">
      <c r="A512" s="33"/>
      <c r="B512" s="2"/>
      <c r="C512" s="2"/>
      <c r="D512" s="2"/>
      <c r="E512" s="2"/>
      <c r="F512" s="4"/>
      <c r="G512" s="2"/>
      <c r="H512" s="2"/>
      <c r="I512" s="2"/>
      <c r="J512" s="2"/>
      <c r="K512" s="5"/>
      <c r="L512" s="2"/>
      <c r="M512" s="2"/>
      <c r="N512" s="2"/>
      <c r="O512" s="2"/>
      <c r="P512" s="2"/>
      <c r="Q512" s="2"/>
      <c r="R512" s="7"/>
      <c r="S512" s="224"/>
      <c r="T512" s="224"/>
      <c r="U512" s="224"/>
      <c r="V512" s="224"/>
      <c r="W512" s="9"/>
    </row>
    <row r="513">
      <c r="A513" s="33"/>
      <c r="B513" s="2"/>
      <c r="C513" s="2"/>
      <c r="D513" s="2"/>
      <c r="E513" s="2"/>
      <c r="F513" s="4"/>
      <c r="G513" s="2"/>
      <c r="H513" s="2"/>
      <c r="I513" s="2"/>
      <c r="J513" s="2"/>
      <c r="K513" s="5"/>
      <c r="L513" s="2"/>
      <c r="M513" s="2"/>
      <c r="N513" s="2"/>
      <c r="O513" s="2"/>
      <c r="P513" s="2"/>
      <c r="Q513" s="2"/>
      <c r="R513" s="7"/>
      <c r="S513" s="224"/>
      <c r="T513" s="224"/>
      <c r="U513" s="224"/>
      <c r="V513" s="224"/>
      <c r="W513" s="9"/>
    </row>
    <row r="514">
      <c r="A514" s="33"/>
      <c r="B514" s="2"/>
      <c r="C514" s="2"/>
      <c r="D514" s="2"/>
      <c r="E514" s="2"/>
      <c r="F514" s="4"/>
      <c r="G514" s="2"/>
      <c r="H514" s="2"/>
      <c r="I514" s="2"/>
      <c r="J514" s="2"/>
      <c r="K514" s="5"/>
      <c r="L514" s="2"/>
      <c r="M514" s="2"/>
      <c r="N514" s="2"/>
      <c r="O514" s="2"/>
      <c r="P514" s="2"/>
      <c r="Q514" s="2"/>
      <c r="R514" s="7"/>
      <c r="S514" s="224"/>
      <c r="T514" s="224"/>
      <c r="U514" s="224"/>
      <c r="V514" s="224"/>
      <c r="W514" s="9"/>
    </row>
    <row r="515">
      <c r="A515" s="33"/>
      <c r="B515" s="2"/>
      <c r="C515" s="2"/>
      <c r="D515" s="2"/>
      <c r="E515" s="2"/>
      <c r="F515" s="4"/>
      <c r="G515" s="2"/>
      <c r="H515" s="2"/>
      <c r="I515" s="2"/>
      <c r="J515" s="2"/>
      <c r="K515" s="5"/>
      <c r="L515" s="2"/>
      <c r="M515" s="2"/>
      <c r="N515" s="2"/>
      <c r="O515" s="2"/>
      <c r="P515" s="2"/>
      <c r="Q515" s="2"/>
      <c r="R515" s="7"/>
      <c r="S515" s="224"/>
      <c r="T515" s="224"/>
      <c r="U515" s="224"/>
      <c r="V515" s="224"/>
      <c r="W515" s="9"/>
    </row>
    <row r="516">
      <c r="A516" s="33"/>
      <c r="B516" s="2"/>
      <c r="C516" s="2"/>
      <c r="D516" s="2"/>
      <c r="E516" s="2"/>
      <c r="F516" s="4"/>
      <c r="G516" s="2"/>
      <c r="H516" s="2"/>
      <c r="I516" s="2"/>
      <c r="J516" s="2"/>
      <c r="K516" s="5"/>
      <c r="L516" s="2"/>
      <c r="M516" s="2"/>
      <c r="N516" s="2"/>
      <c r="O516" s="2"/>
      <c r="P516" s="2"/>
      <c r="Q516" s="2"/>
      <c r="R516" s="7"/>
      <c r="S516" s="224"/>
      <c r="T516" s="224"/>
      <c r="U516" s="224"/>
      <c r="V516" s="224"/>
      <c r="W516" s="9"/>
    </row>
    <row r="517">
      <c r="A517" s="33"/>
      <c r="B517" s="2"/>
      <c r="C517" s="2"/>
      <c r="D517" s="2"/>
      <c r="E517" s="2"/>
      <c r="F517" s="4"/>
      <c r="G517" s="2"/>
      <c r="H517" s="2"/>
      <c r="I517" s="2"/>
      <c r="J517" s="2"/>
      <c r="K517" s="5"/>
      <c r="L517" s="2"/>
      <c r="M517" s="2"/>
      <c r="N517" s="2"/>
      <c r="O517" s="2"/>
      <c r="P517" s="2"/>
      <c r="Q517" s="2"/>
      <c r="R517" s="7"/>
      <c r="S517" s="224"/>
      <c r="T517" s="224"/>
      <c r="U517" s="224"/>
      <c r="V517" s="224"/>
      <c r="W517" s="9"/>
    </row>
    <row r="518">
      <c r="A518" s="33"/>
      <c r="B518" s="2"/>
      <c r="C518" s="2"/>
      <c r="D518" s="2"/>
      <c r="E518" s="2"/>
      <c r="F518" s="4"/>
      <c r="G518" s="2"/>
      <c r="H518" s="2"/>
      <c r="I518" s="2"/>
      <c r="J518" s="2"/>
      <c r="K518" s="5"/>
      <c r="L518" s="2"/>
      <c r="M518" s="2"/>
      <c r="N518" s="2"/>
      <c r="O518" s="2"/>
      <c r="P518" s="2"/>
      <c r="Q518" s="2"/>
      <c r="R518" s="7"/>
      <c r="S518" s="224"/>
      <c r="T518" s="224"/>
      <c r="U518" s="224"/>
      <c r="V518" s="224"/>
      <c r="W518" s="9"/>
    </row>
    <row r="519">
      <c r="A519" s="33"/>
      <c r="B519" s="2"/>
      <c r="C519" s="2"/>
      <c r="D519" s="2"/>
      <c r="E519" s="2"/>
      <c r="F519" s="4"/>
      <c r="G519" s="2"/>
      <c r="H519" s="2"/>
      <c r="I519" s="2"/>
      <c r="J519" s="2"/>
      <c r="K519" s="5"/>
      <c r="L519" s="2"/>
      <c r="M519" s="2"/>
      <c r="N519" s="2"/>
      <c r="O519" s="2"/>
      <c r="P519" s="2"/>
      <c r="Q519" s="2"/>
      <c r="R519" s="7"/>
      <c r="S519" s="224"/>
      <c r="T519" s="224"/>
      <c r="U519" s="224"/>
      <c r="V519" s="224"/>
      <c r="W519" s="9"/>
    </row>
    <row r="520">
      <c r="A520" s="33"/>
      <c r="B520" s="2"/>
      <c r="C520" s="2"/>
      <c r="D520" s="2"/>
      <c r="E520" s="2"/>
      <c r="F520" s="4"/>
      <c r="G520" s="2"/>
      <c r="H520" s="2"/>
      <c r="I520" s="2"/>
      <c r="J520" s="2"/>
      <c r="K520" s="5"/>
      <c r="L520" s="2"/>
      <c r="M520" s="2"/>
      <c r="N520" s="2"/>
      <c r="O520" s="2"/>
      <c r="P520" s="2"/>
      <c r="Q520" s="2"/>
      <c r="R520" s="7"/>
      <c r="S520" s="224"/>
      <c r="T520" s="224"/>
      <c r="U520" s="224"/>
      <c r="V520" s="224"/>
      <c r="W520" s="9"/>
    </row>
    <row r="521">
      <c r="A521" s="33"/>
      <c r="B521" s="2"/>
      <c r="C521" s="2"/>
      <c r="D521" s="2"/>
      <c r="E521" s="2"/>
      <c r="F521" s="4"/>
      <c r="G521" s="2"/>
      <c r="H521" s="2"/>
      <c r="I521" s="2"/>
      <c r="J521" s="2"/>
      <c r="K521" s="5"/>
      <c r="L521" s="2"/>
      <c r="M521" s="2"/>
      <c r="N521" s="2"/>
      <c r="O521" s="2"/>
      <c r="P521" s="2"/>
      <c r="Q521" s="2"/>
      <c r="R521" s="7"/>
      <c r="S521" s="224"/>
      <c r="T521" s="224"/>
      <c r="U521" s="224"/>
      <c r="V521" s="224"/>
      <c r="W521" s="9"/>
    </row>
    <row r="522">
      <c r="A522" s="33"/>
      <c r="B522" s="2"/>
      <c r="C522" s="2"/>
      <c r="D522" s="2"/>
      <c r="E522" s="2"/>
      <c r="F522" s="4"/>
      <c r="G522" s="2"/>
      <c r="H522" s="2"/>
      <c r="I522" s="2"/>
      <c r="J522" s="2"/>
      <c r="K522" s="5"/>
      <c r="L522" s="2"/>
      <c r="M522" s="2"/>
      <c r="N522" s="2"/>
      <c r="O522" s="2"/>
      <c r="P522" s="2"/>
      <c r="Q522" s="2"/>
      <c r="R522" s="7"/>
      <c r="S522" s="224"/>
      <c r="T522" s="224"/>
      <c r="U522" s="224"/>
      <c r="V522" s="224"/>
      <c r="W522" s="9"/>
    </row>
    <row r="523">
      <c r="A523" s="33"/>
      <c r="B523" s="2"/>
      <c r="C523" s="2"/>
      <c r="D523" s="2"/>
      <c r="E523" s="2"/>
      <c r="F523" s="4"/>
      <c r="G523" s="2"/>
      <c r="H523" s="2"/>
      <c r="I523" s="2"/>
      <c r="J523" s="2"/>
      <c r="K523" s="5"/>
      <c r="L523" s="2"/>
      <c r="M523" s="2"/>
      <c r="N523" s="2"/>
      <c r="O523" s="2"/>
      <c r="P523" s="2"/>
      <c r="Q523" s="2"/>
      <c r="R523" s="7"/>
      <c r="S523" s="224"/>
      <c r="T523" s="224"/>
      <c r="U523" s="224"/>
      <c r="V523" s="224"/>
      <c r="W523" s="9"/>
    </row>
    <row r="524">
      <c r="A524" s="33"/>
      <c r="B524" s="2"/>
      <c r="C524" s="2"/>
      <c r="D524" s="2"/>
      <c r="E524" s="2"/>
      <c r="F524" s="4"/>
      <c r="G524" s="2"/>
      <c r="H524" s="2"/>
      <c r="I524" s="2"/>
      <c r="J524" s="2"/>
      <c r="K524" s="5"/>
      <c r="L524" s="2"/>
      <c r="M524" s="2"/>
      <c r="N524" s="2"/>
      <c r="O524" s="2"/>
      <c r="P524" s="2"/>
      <c r="Q524" s="2"/>
      <c r="R524" s="7"/>
      <c r="S524" s="224"/>
      <c r="T524" s="224"/>
      <c r="U524" s="224"/>
      <c r="V524" s="224"/>
      <c r="W524" s="9"/>
    </row>
    <row r="525">
      <c r="A525" s="33"/>
      <c r="B525" s="2"/>
      <c r="C525" s="2"/>
      <c r="D525" s="2"/>
      <c r="E525" s="2"/>
      <c r="F525" s="4"/>
      <c r="G525" s="2"/>
      <c r="H525" s="2"/>
      <c r="I525" s="2"/>
      <c r="J525" s="2"/>
      <c r="K525" s="5"/>
      <c r="L525" s="2"/>
      <c r="M525" s="2"/>
      <c r="N525" s="2"/>
      <c r="O525" s="2"/>
      <c r="P525" s="2"/>
      <c r="Q525" s="2"/>
      <c r="R525" s="7"/>
      <c r="S525" s="224"/>
      <c r="T525" s="224"/>
      <c r="U525" s="224"/>
      <c r="V525" s="224"/>
      <c r="W525" s="9"/>
    </row>
    <row r="526">
      <c r="A526" s="33"/>
      <c r="B526" s="2"/>
      <c r="C526" s="2"/>
      <c r="D526" s="2"/>
      <c r="E526" s="2"/>
      <c r="F526" s="4"/>
      <c r="G526" s="2"/>
      <c r="H526" s="2"/>
      <c r="I526" s="2"/>
      <c r="J526" s="2"/>
      <c r="K526" s="5"/>
      <c r="L526" s="2"/>
      <c r="M526" s="2"/>
      <c r="N526" s="2"/>
      <c r="O526" s="2"/>
      <c r="P526" s="2"/>
      <c r="Q526" s="2"/>
      <c r="R526" s="7"/>
      <c r="S526" s="224"/>
      <c r="T526" s="224"/>
      <c r="U526" s="224"/>
      <c r="V526" s="224"/>
      <c r="W526" s="9"/>
    </row>
    <row r="527">
      <c r="A527" s="33"/>
      <c r="B527" s="2"/>
      <c r="C527" s="2"/>
      <c r="D527" s="2"/>
      <c r="E527" s="2"/>
      <c r="F527" s="4"/>
      <c r="G527" s="2"/>
      <c r="H527" s="2"/>
      <c r="I527" s="2"/>
      <c r="J527" s="2"/>
      <c r="K527" s="5"/>
      <c r="L527" s="2"/>
      <c r="M527" s="2"/>
      <c r="N527" s="2"/>
      <c r="O527" s="2"/>
      <c r="P527" s="2"/>
      <c r="Q527" s="2"/>
      <c r="R527" s="7"/>
      <c r="S527" s="224"/>
      <c r="T527" s="224"/>
      <c r="U527" s="224"/>
      <c r="V527" s="224"/>
      <c r="W527" s="9"/>
    </row>
    <row r="528">
      <c r="A528" s="33"/>
      <c r="B528" s="2"/>
      <c r="C528" s="2"/>
      <c r="D528" s="2"/>
      <c r="E528" s="2"/>
      <c r="F528" s="4"/>
      <c r="G528" s="2"/>
      <c r="H528" s="2"/>
      <c r="I528" s="2"/>
      <c r="J528" s="2"/>
      <c r="K528" s="5"/>
      <c r="L528" s="2"/>
      <c r="M528" s="2"/>
      <c r="N528" s="2"/>
      <c r="O528" s="2"/>
      <c r="P528" s="2"/>
      <c r="Q528" s="2"/>
      <c r="R528" s="7"/>
      <c r="S528" s="224"/>
      <c r="T528" s="224"/>
      <c r="U528" s="224"/>
      <c r="V528" s="224"/>
      <c r="W528" s="9"/>
    </row>
    <row r="529">
      <c r="A529" s="33"/>
      <c r="B529" s="2"/>
      <c r="C529" s="2"/>
      <c r="D529" s="2"/>
      <c r="E529" s="2"/>
      <c r="F529" s="4"/>
      <c r="G529" s="2"/>
      <c r="H529" s="2"/>
      <c r="I529" s="2"/>
      <c r="J529" s="2"/>
      <c r="K529" s="5"/>
      <c r="L529" s="2"/>
      <c r="M529" s="2"/>
      <c r="N529" s="2"/>
      <c r="O529" s="2"/>
      <c r="P529" s="2"/>
      <c r="Q529" s="2"/>
      <c r="R529" s="7"/>
      <c r="S529" s="224"/>
      <c r="T529" s="224"/>
      <c r="U529" s="224"/>
      <c r="V529" s="224"/>
      <c r="W529" s="9"/>
    </row>
    <row r="530">
      <c r="A530" s="33"/>
      <c r="B530" s="2"/>
      <c r="C530" s="2"/>
      <c r="D530" s="2"/>
      <c r="E530" s="2"/>
      <c r="F530" s="4"/>
      <c r="G530" s="2"/>
      <c r="H530" s="2"/>
      <c r="I530" s="2"/>
      <c r="J530" s="2"/>
      <c r="K530" s="5"/>
      <c r="L530" s="2"/>
      <c r="M530" s="2"/>
      <c r="N530" s="2"/>
      <c r="O530" s="2"/>
      <c r="P530" s="2"/>
      <c r="Q530" s="2"/>
      <c r="R530" s="7"/>
      <c r="S530" s="224"/>
      <c r="T530" s="224"/>
      <c r="U530" s="224"/>
      <c r="V530" s="224"/>
      <c r="W530" s="9"/>
    </row>
    <row r="531">
      <c r="A531" s="33"/>
      <c r="B531" s="2"/>
      <c r="C531" s="2"/>
      <c r="D531" s="2"/>
      <c r="E531" s="2"/>
      <c r="F531" s="4"/>
      <c r="G531" s="2"/>
      <c r="H531" s="2"/>
      <c r="I531" s="2"/>
      <c r="J531" s="2"/>
      <c r="K531" s="5"/>
      <c r="L531" s="2"/>
      <c r="M531" s="2"/>
      <c r="N531" s="2"/>
      <c r="O531" s="2"/>
      <c r="P531" s="2"/>
      <c r="Q531" s="2"/>
      <c r="R531" s="7"/>
      <c r="S531" s="224"/>
      <c r="T531" s="224"/>
      <c r="U531" s="224"/>
      <c r="V531" s="224"/>
      <c r="W531" s="9"/>
    </row>
    <row r="532">
      <c r="A532" s="33"/>
      <c r="B532" s="2"/>
      <c r="C532" s="2"/>
      <c r="D532" s="2"/>
      <c r="E532" s="2"/>
      <c r="F532" s="4"/>
      <c r="G532" s="2"/>
      <c r="H532" s="2"/>
      <c r="I532" s="2"/>
      <c r="J532" s="2"/>
      <c r="K532" s="5"/>
      <c r="L532" s="2"/>
      <c r="M532" s="2"/>
      <c r="N532" s="2"/>
      <c r="O532" s="2"/>
      <c r="P532" s="2"/>
      <c r="Q532" s="2"/>
      <c r="R532" s="7"/>
      <c r="S532" s="224"/>
      <c r="T532" s="224"/>
      <c r="U532" s="224"/>
      <c r="V532" s="224"/>
      <c r="W532" s="9"/>
    </row>
    <row r="533">
      <c r="A533" s="33"/>
      <c r="B533" s="2"/>
      <c r="C533" s="2"/>
      <c r="D533" s="2"/>
      <c r="E533" s="2"/>
      <c r="F533" s="4"/>
      <c r="G533" s="2"/>
      <c r="H533" s="2"/>
      <c r="I533" s="2"/>
      <c r="J533" s="2"/>
      <c r="K533" s="5"/>
      <c r="L533" s="2"/>
      <c r="M533" s="2"/>
      <c r="N533" s="2"/>
      <c r="O533" s="2"/>
      <c r="P533" s="2"/>
      <c r="Q533" s="2"/>
      <c r="R533" s="7"/>
      <c r="S533" s="224"/>
      <c r="T533" s="224"/>
      <c r="U533" s="224"/>
      <c r="V533" s="224"/>
      <c r="W533" s="9"/>
    </row>
    <row r="534">
      <c r="A534" s="33"/>
      <c r="B534" s="2"/>
      <c r="C534" s="2"/>
      <c r="D534" s="2"/>
      <c r="E534" s="2"/>
      <c r="F534" s="4"/>
      <c r="G534" s="2"/>
      <c r="H534" s="2"/>
      <c r="I534" s="2"/>
      <c r="J534" s="2"/>
      <c r="K534" s="5"/>
      <c r="L534" s="2"/>
      <c r="M534" s="2"/>
      <c r="N534" s="2"/>
      <c r="O534" s="2"/>
      <c r="P534" s="2"/>
      <c r="Q534" s="2"/>
      <c r="R534" s="7"/>
      <c r="S534" s="224"/>
      <c r="T534" s="224"/>
      <c r="U534" s="224"/>
      <c r="V534" s="224"/>
      <c r="W534" s="9"/>
    </row>
    <row r="535">
      <c r="A535" s="33"/>
      <c r="B535" s="2"/>
      <c r="C535" s="2"/>
      <c r="D535" s="2"/>
      <c r="E535" s="2"/>
      <c r="F535" s="4"/>
      <c r="G535" s="2"/>
      <c r="H535" s="2"/>
      <c r="I535" s="2"/>
      <c r="J535" s="2"/>
      <c r="K535" s="5"/>
      <c r="L535" s="2"/>
      <c r="M535" s="2"/>
      <c r="N535" s="2"/>
      <c r="O535" s="2"/>
      <c r="P535" s="2"/>
      <c r="Q535" s="2"/>
      <c r="R535" s="7"/>
      <c r="S535" s="224"/>
      <c r="T535" s="224"/>
      <c r="U535" s="224"/>
      <c r="V535" s="224"/>
      <c r="W535" s="9"/>
    </row>
    <row r="536">
      <c r="A536" s="33"/>
      <c r="B536" s="2"/>
      <c r="C536" s="2"/>
      <c r="D536" s="2"/>
      <c r="E536" s="2"/>
      <c r="F536" s="4"/>
      <c r="G536" s="2"/>
      <c r="H536" s="2"/>
      <c r="I536" s="2"/>
      <c r="J536" s="2"/>
      <c r="K536" s="5"/>
      <c r="L536" s="2"/>
      <c r="M536" s="2"/>
      <c r="N536" s="2"/>
      <c r="O536" s="2"/>
      <c r="P536" s="2"/>
      <c r="Q536" s="2"/>
      <c r="R536" s="7"/>
      <c r="S536" s="224"/>
      <c r="T536" s="224"/>
      <c r="U536" s="224"/>
      <c r="V536" s="224"/>
      <c r="W536" s="9"/>
    </row>
    <row r="537">
      <c r="A537" s="33"/>
      <c r="B537" s="2"/>
      <c r="C537" s="2"/>
      <c r="D537" s="2"/>
      <c r="E537" s="2"/>
      <c r="F537" s="4"/>
      <c r="G537" s="2"/>
      <c r="H537" s="2"/>
      <c r="I537" s="2"/>
      <c r="J537" s="2"/>
      <c r="K537" s="5"/>
      <c r="L537" s="2"/>
      <c r="M537" s="2"/>
      <c r="N537" s="2"/>
      <c r="O537" s="2"/>
      <c r="P537" s="2"/>
      <c r="Q537" s="2"/>
      <c r="R537" s="7"/>
      <c r="S537" s="224"/>
      <c r="T537" s="224"/>
      <c r="U537" s="224"/>
      <c r="V537" s="224"/>
      <c r="W537" s="9"/>
    </row>
    <row r="538">
      <c r="A538" s="33"/>
      <c r="B538" s="2"/>
      <c r="C538" s="2"/>
      <c r="D538" s="2"/>
      <c r="E538" s="2"/>
      <c r="F538" s="4"/>
      <c r="G538" s="2"/>
      <c r="H538" s="2"/>
      <c r="I538" s="2"/>
      <c r="J538" s="2"/>
      <c r="K538" s="5"/>
      <c r="L538" s="2"/>
      <c r="M538" s="2"/>
      <c r="N538" s="2"/>
      <c r="O538" s="2"/>
      <c r="P538" s="2"/>
      <c r="Q538" s="2"/>
      <c r="R538" s="7"/>
      <c r="S538" s="224"/>
      <c r="T538" s="224"/>
      <c r="U538" s="224"/>
      <c r="V538" s="224"/>
      <c r="W538" s="9"/>
    </row>
    <row r="539">
      <c r="A539" s="33"/>
      <c r="B539" s="2"/>
      <c r="C539" s="2"/>
      <c r="D539" s="2"/>
      <c r="E539" s="2"/>
      <c r="F539" s="4"/>
      <c r="G539" s="2"/>
      <c r="H539" s="2"/>
      <c r="I539" s="2"/>
      <c r="J539" s="2"/>
      <c r="K539" s="5"/>
      <c r="L539" s="2"/>
      <c r="M539" s="2"/>
      <c r="N539" s="2"/>
      <c r="O539" s="2"/>
      <c r="P539" s="2"/>
      <c r="Q539" s="2"/>
      <c r="R539" s="7"/>
      <c r="S539" s="224"/>
      <c r="T539" s="224"/>
      <c r="U539" s="224"/>
      <c r="V539" s="224"/>
      <c r="W539" s="9"/>
    </row>
    <row r="540">
      <c r="A540" s="33"/>
      <c r="B540" s="2"/>
      <c r="C540" s="2"/>
      <c r="D540" s="2"/>
      <c r="E540" s="2"/>
      <c r="F540" s="4"/>
      <c r="G540" s="2"/>
      <c r="H540" s="2"/>
      <c r="I540" s="2"/>
      <c r="J540" s="2"/>
      <c r="K540" s="5"/>
      <c r="L540" s="2"/>
      <c r="M540" s="2"/>
      <c r="N540" s="2"/>
      <c r="O540" s="2"/>
      <c r="P540" s="2"/>
      <c r="Q540" s="2"/>
      <c r="R540" s="7"/>
      <c r="S540" s="224"/>
      <c r="T540" s="224"/>
      <c r="U540" s="224"/>
      <c r="V540" s="224"/>
      <c r="W540" s="9"/>
    </row>
    <row r="541">
      <c r="A541" s="33"/>
      <c r="B541" s="2"/>
      <c r="C541" s="2"/>
      <c r="D541" s="2"/>
      <c r="E541" s="2"/>
      <c r="F541" s="4"/>
      <c r="G541" s="2"/>
      <c r="H541" s="2"/>
      <c r="I541" s="2"/>
      <c r="J541" s="2"/>
      <c r="K541" s="5"/>
      <c r="L541" s="2"/>
      <c r="M541" s="2"/>
      <c r="N541" s="2"/>
      <c r="O541" s="2"/>
      <c r="P541" s="2"/>
      <c r="Q541" s="2"/>
      <c r="R541" s="7"/>
      <c r="S541" s="224"/>
      <c r="T541" s="224"/>
      <c r="U541" s="224"/>
      <c r="V541" s="224"/>
      <c r="W541" s="9"/>
    </row>
    <row r="542">
      <c r="A542" s="33"/>
      <c r="B542" s="2"/>
      <c r="C542" s="2"/>
      <c r="D542" s="2"/>
      <c r="E542" s="2"/>
      <c r="F542" s="4"/>
      <c r="G542" s="2"/>
      <c r="H542" s="2"/>
      <c r="I542" s="2"/>
      <c r="J542" s="2"/>
      <c r="K542" s="5"/>
      <c r="L542" s="2"/>
      <c r="M542" s="2"/>
      <c r="N542" s="2"/>
      <c r="O542" s="2"/>
      <c r="P542" s="2"/>
      <c r="Q542" s="2"/>
      <c r="R542" s="7"/>
      <c r="S542" s="224"/>
      <c r="T542" s="224"/>
      <c r="U542" s="224"/>
      <c r="V542" s="224"/>
      <c r="W542" s="9"/>
    </row>
    <row r="543">
      <c r="A543" s="33"/>
      <c r="B543" s="2"/>
      <c r="C543" s="2"/>
      <c r="D543" s="2"/>
      <c r="E543" s="2"/>
      <c r="F543" s="4"/>
      <c r="G543" s="2"/>
      <c r="H543" s="2"/>
      <c r="I543" s="2"/>
      <c r="J543" s="2"/>
      <c r="K543" s="5"/>
      <c r="L543" s="2"/>
      <c r="M543" s="2"/>
      <c r="N543" s="2"/>
      <c r="O543" s="2"/>
      <c r="P543" s="2"/>
      <c r="Q543" s="2"/>
      <c r="R543" s="7"/>
      <c r="S543" s="224"/>
      <c r="T543" s="224"/>
      <c r="U543" s="224"/>
      <c r="V543" s="224"/>
      <c r="W543" s="9"/>
    </row>
    <row r="544">
      <c r="A544" s="33"/>
      <c r="B544" s="2"/>
      <c r="C544" s="2"/>
      <c r="D544" s="2"/>
      <c r="E544" s="2"/>
      <c r="F544" s="4"/>
      <c r="G544" s="2"/>
      <c r="H544" s="2"/>
      <c r="I544" s="2"/>
      <c r="J544" s="2"/>
      <c r="K544" s="5"/>
      <c r="L544" s="2"/>
      <c r="M544" s="2"/>
      <c r="N544" s="2"/>
      <c r="O544" s="2"/>
      <c r="P544" s="2"/>
      <c r="Q544" s="2"/>
      <c r="R544" s="7"/>
      <c r="S544" s="224"/>
      <c r="T544" s="224"/>
      <c r="U544" s="224"/>
      <c r="V544" s="224"/>
      <c r="W544" s="9"/>
    </row>
    <row r="545">
      <c r="A545" s="33"/>
      <c r="B545" s="2"/>
      <c r="C545" s="2"/>
      <c r="D545" s="2"/>
      <c r="E545" s="2"/>
      <c r="F545" s="4"/>
      <c r="G545" s="2"/>
      <c r="H545" s="2"/>
      <c r="I545" s="2"/>
      <c r="J545" s="2"/>
      <c r="K545" s="5"/>
      <c r="L545" s="2"/>
      <c r="M545" s="2"/>
      <c r="N545" s="2"/>
      <c r="O545" s="2"/>
      <c r="P545" s="2"/>
      <c r="Q545" s="2"/>
      <c r="R545" s="7"/>
      <c r="S545" s="224"/>
      <c r="T545" s="224"/>
      <c r="U545" s="224"/>
      <c r="V545" s="224"/>
      <c r="W545" s="9"/>
    </row>
    <row r="546">
      <c r="A546" s="33"/>
      <c r="B546" s="2"/>
      <c r="C546" s="2"/>
      <c r="D546" s="2"/>
      <c r="E546" s="2"/>
      <c r="F546" s="4"/>
      <c r="G546" s="2"/>
      <c r="H546" s="2"/>
      <c r="I546" s="2"/>
      <c r="J546" s="2"/>
      <c r="K546" s="5"/>
      <c r="L546" s="2"/>
      <c r="M546" s="2"/>
      <c r="N546" s="2"/>
      <c r="O546" s="2"/>
      <c r="P546" s="2"/>
      <c r="Q546" s="2"/>
      <c r="R546" s="7"/>
      <c r="S546" s="224"/>
      <c r="T546" s="224"/>
      <c r="U546" s="224"/>
      <c r="V546" s="224"/>
      <c r="W546" s="9"/>
    </row>
    <row r="547">
      <c r="A547" s="33"/>
      <c r="B547" s="2"/>
      <c r="C547" s="2"/>
      <c r="D547" s="2"/>
      <c r="E547" s="2"/>
      <c r="F547" s="4"/>
      <c r="G547" s="2"/>
      <c r="H547" s="2"/>
      <c r="I547" s="2"/>
      <c r="J547" s="2"/>
      <c r="K547" s="5"/>
      <c r="L547" s="2"/>
      <c r="M547" s="2"/>
      <c r="N547" s="2"/>
      <c r="O547" s="2"/>
      <c r="P547" s="2"/>
      <c r="Q547" s="2"/>
      <c r="R547" s="7"/>
      <c r="S547" s="224"/>
      <c r="T547" s="224"/>
      <c r="U547" s="224"/>
      <c r="V547" s="224"/>
      <c r="W547" s="9"/>
    </row>
    <row r="548">
      <c r="A548" s="33"/>
      <c r="B548" s="2"/>
      <c r="C548" s="2"/>
      <c r="D548" s="2"/>
      <c r="E548" s="2"/>
      <c r="F548" s="4"/>
      <c r="G548" s="2"/>
      <c r="H548" s="2"/>
      <c r="I548" s="2"/>
      <c r="J548" s="2"/>
      <c r="K548" s="5"/>
      <c r="L548" s="2"/>
      <c r="M548" s="2"/>
      <c r="N548" s="2"/>
      <c r="O548" s="2"/>
      <c r="P548" s="2"/>
      <c r="Q548" s="2"/>
      <c r="R548" s="7"/>
      <c r="S548" s="224"/>
      <c r="T548" s="224"/>
      <c r="U548" s="224"/>
      <c r="V548" s="224"/>
      <c r="W548" s="9"/>
    </row>
    <row r="549">
      <c r="A549" s="33"/>
      <c r="B549" s="2"/>
      <c r="C549" s="2"/>
      <c r="D549" s="2"/>
      <c r="E549" s="2"/>
      <c r="F549" s="4"/>
      <c r="G549" s="2"/>
      <c r="H549" s="2"/>
      <c r="I549" s="2"/>
      <c r="J549" s="2"/>
      <c r="K549" s="5"/>
      <c r="L549" s="2"/>
      <c r="M549" s="2"/>
      <c r="N549" s="2"/>
      <c r="O549" s="2"/>
      <c r="P549" s="2"/>
      <c r="Q549" s="2"/>
      <c r="R549" s="7"/>
      <c r="S549" s="224"/>
      <c r="T549" s="224"/>
      <c r="U549" s="224"/>
      <c r="V549" s="224"/>
      <c r="W549" s="9"/>
    </row>
    <row r="550">
      <c r="A550" s="33"/>
      <c r="B550" s="2"/>
      <c r="C550" s="2"/>
      <c r="D550" s="2"/>
      <c r="E550" s="2"/>
      <c r="F550" s="4"/>
      <c r="G550" s="2"/>
      <c r="H550" s="2"/>
      <c r="I550" s="2"/>
      <c r="J550" s="2"/>
      <c r="K550" s="5"/>
      <c r="L550" s="2"/>
      <c r="M550" s="2"/>
      <c r="N550" s="2"/>
      <c r="O550" s="2"/>
      <c r="P550" s="2"/>
      <c r="Q550" s="2"/>
      <c r="R550" s="7"/>
      <c r="S550" s="224"/>
      <c r="T550" s="224"/>
      <c r="U550" s="224"/>
      <c r="V550" s="224"/>
      <c r="W550" s="9"/>
    </row>
    <row r="551">
      <c r="A551" s="33"/>
      <c r="B551" s="2"/>
      <c r="C551" s="2"/>
      <c r="D551" s="2"/>
      <c r="E551" s="2"/>
      <c r="F551" s="4"/>
      <c r="G551" s="2"/>
      <c r="H551" s="2"/>
      <c r="I551" s="2"/>
      <c r="J551" s="2"/>
      <c r="K551" s="5"/>
      <c r="L551" s="2"/>
      <c r="M551" s="2"/>
      <c r="N551" s="2"/>
      <c r="O551" s="2"/>
      <c r="P551" s="2"/>
      <c r="Q551" s="2"/>
      <c r="R551" s="7"/>
      <c r="S551" s="224"/>
      <c r="T551" s="224"/>
      <c r="U551" s="224"/>
      <c r="V551" s="224"/>
      <c r="W551" s="9"/>
    </row>
    <row r="552">
      <c r="A552" s="33"/>
      <c r="B552" s="2"/>
      <c r="C552" s="2"/>
      <c r="D552" s="2"/>
      <c r="E552" s="2"/>
      <c r="F552" s="4"/>
      <c r="G552" s="2"/>
      <c r="H552" s="2"/>
      <c r="I552" s="2"/>
      <c r="J552" s="2"/>
      <c r="K552" s="5"/>
      <c r="L552" s="2"/>
      <c r="M552" s="2"/>
      <c r="N552" s="2"/>
      <c r="O552" s="2"/>
      <c r="P552" s="2"/>
      <c r="Q552" s="2"/>
      <c r="R552" s="7"/>
      <c r="S552" s="224"/>
      <c r="T552" s="224"/>
      <c r="U552" s="224"/>
      <c r="V552" s="224"/>
      <c r="W552" s="9"/>
    </row>
    <row r="553">
      <c r="A553" s="33"/>
      <c r="B553" s="2"/>
      <c r="C553" s="2"/>
      <c r="D553" s="2"/>
      <c r="E553" s="2"/>
      <c r="F553" s="4"/>
      <c r="G553" s="2"/>
      <c r="H553" s="2"/>
      <c r="I553" s="2"/>
      <c r="J553" s="2"/>
      <c r="K553" s="5"/>
      <c r="L553" s="2"/>
      <c r="M553" s="2"/>
      <c r="N553" s="2"/>
      <c r="O553" s="2"/>
      <c r="P553" s="2"/>
      <c r="Q553" s="2"/>
      <c r="R553" s="7"/>
      <c r="S553" s="224"/>
      <c r="T553" s="224"/>
      <c r="U553" s="224"/>
      <c r="V553" s="224"/>
      <c r="W553" s="9"/>
    </row>
    <row r="554">
      <c r="A554" s="33"/>
      <c r="B554" s="2"/>
      <c r="C554" s="2"/>
      <c r="D554" s="2"/>
      <c r="E554" s="2"/>
      <c r="F554" s="4"/>
      <c r="G554" s="2"/>
      <c r="H554" s="2"/>
      <c r="I554" s="2"/>
      <c r="J554" s="2"/>
      <c r="K554" s="5"/>
      <c r="L554" s="2"/>
      <c r="M554" s="2"/>
      <c r="N554" s="2"/>
      <c r="O554" s="2"/>
      <c r="P554" s="2"/>
      <c r="Q554" s="2"/>
      <c r="R554" s="7"/>
      <c r="S554" s="224"/>
      <c r="T554" s="224"/>
      <c r="U554" s="224"/>
      <c r="V554" s="224"/>
      <c r="W554" s="9"/>
    </row>
    <row r="555">
      <c r="A555" s="33"/>
      <c r="B555" s="2"/>
      <c r="C555" s="2"/>
      <c r="D555" s="2"/>
      <c r="E555" s="2"/>
      <c r="F555" s="4"/>
      <c r="G555" s="2"/>
      <c r="H555" s="2"/>
      <c r="I555" s="2"/>
      <c r="J555" s="2"/>
      <c r="K555" s="5"/>
      <c r="L555" s="2"/>
      <c r="M555" s="2"/>
      <c r="N555" s="2"/>
      <c r="O555" s="2"/>
      <c r="P555" s="2"/>
      <c r="Q555" s="2"/>
      <c r="R555" s="7"/>
      <c r="S555" s="224"/>
      <c r="T555" s="224"/>
      <c r="U555" s="224"/>
      <c r="V555" s="224"/>
      <c r="W555" s="9"/>
    </row>
    <row r="556">
      <c r="A556" s="33"/>
      <c r="B556" s="2"/>
      <c r="C556" s="2"/>
      <c r="D556" s="2"/>
      <c r="E556" s="2"/>
      <c r="F556" s="4"/>
      <c r="G556" s="2"/>
      <c r="H556" s="2"/>
      <c r="I556" s="2"/>
      <c r="J556" s="2"/>
      <c r="K556" s="5"/>
      <c r="L556" s="2"/>
      <c r="M556" s="2"/>
      <c r="N556" s="2"/>
      <c r="O556" s="2"/>
      <c r="P556" s="2"/>
      <c r="Q556" s="2"/>
      <c r="R556" s="7"/>
      <c r="S556" s="224"/>
      <c r="T556" s="224"/>
      <c r="U556" s="224"/>
      <c r="V556" s="224"/>
      <c r="W556" s="9"/>
    </row>
    <row r="557">
      <c r="A557" s="33"/>
      <c r="B557" s="2"/>
      <c r="C557" s="2"/>
      <c r="D557" s="2"/>
      <c r="E557" s="2"/>
      <c r="F557" s="4"/>
      <c r="G557" s="2"/>
      <c r="H557" s="2"/>
      <c r="I557" s="2"/>
      <c r="J557" s="2"/>
      <c r="K557" s="5"/>
      <c r="L557" s="2"/>
      <c r="M557" s="2"/>
      <c r="N557" s="2"/>
      <c r="O557" s="2"/>
      <c r="P557" s="2"/>
      <c r="Q557" s="2"/>
      <c r="R557" s="7"/>
      <c r="S557" s="224"/>
      <c r="T557" s="224"/>
      <c r="U557" s="224"/>
      <c r="V557" s="224"/>
      <c r="W557" s="9"/>
    </row>
    <row r="558">
      <c r="A558" s="33"/>
      <c r="B558" s="2"/>
      <c r="C558" s="2"/>
      <c r="D558" s="2"/>
      <c r="E558" s="2"/>
      <c r="F558" s="4"/>
      <c r="G558" s="2"/>
      <c r="H558" s="2"/>
      <c r="I558" s="2"/>
      <c r="J558" s="2"/>
      <c r="K558" s="5"/>
      <c r="L558" s="2"/>
      <c r="M558" s="2"/>
      <c r="N558" s="2"/>
      <c r="O558" s="2"/>
      <c r="P558" s="2"/>
      <c r="Q558" s="2"/>
      <c r="R558" s="7"/>
      <c r="S558" s="224"/>
      <c r="T558" s="224"/>
      <c r="U558" s="224"/>
      <c r="V558" s="224"/>
      <c r="W558" s="9"/>
    </row>
    <row r="559">
      <c r="A559" s="33"/>
      <c r="B559" s="2"/>
      <c r="C559" s="2"/>
      <c r="D559" s="2"/>
      <c r="E559" s="2"/>
      <c r="F559" s="4"/>
      <c r="G559" s="2"/>
      <c r="H559" s="2"/>
      <c r="I559" s="2"/>
      <c r="J559" s="2"/>
      <c r="K559" s="5"/>
      <c r="L559" s="2"/>
      <c r="M559" s="2"/>
      <c r="N559" s="2"/>
      <c r="O559" s="2"/>
      <c r="P559" s="2"/>
      <c r="Q559" s="2"/>
      <c r="R559" s="7"/>
      <c r="S559" s="224"/>
      <c r="T559" s="224"/>
      <c r="U559" s="224"/>
      <c r="V559" s="224"/>
      <c r="W559" s="9"/>
    </row>
    <row r="560">
      <c r="A560" s="33"/>
      <c r="B560" s="2"/>
      <c r="C560" s="2"/>
      <c r="D560" s="2"/>
      <c r="E560" s="2"/>
      <c r="F560" s="4"/>
      <c r="G560" s="2"/>
      <c r="H560" s="2"/>
      <c r="I560" s="2"/>
      <c r="J560" s="2"/>
      <c r="K560" s="5"/>
      <c r="L560" s="2"/>
      <c r="M560" s="2"/>
      <c r="N560" s="2"/>
      <c r="O560" s="2"/>
      <c r="P560" s="2"/>
      <c r="Q560" s="2"/>
      <c r="R560" s="7"/>
      <c r="S560" s="224"/>
      <c r="T560" s="224"/>
      <c r="U560" s="224"/>
      <c r="V560" s="224"/>
      <c r="W560" s="9"/>
    </row>
    <row r="561">
      <c r="A561" s="33"/>
      <c r="B561" s="2"/>
      <c r="C561" s="2"/>
      <c r="D561" s="2"/>
      <c r="E561" s="2"/>
      <c r="F561" s="4"/>
      <c r="G561" s="2"/>
      <c r="H561" s="2"/>
      <c r="I561" s="2"/>
      <c r="J561" s="2"/>
      <c r="K561" s="5"/>
      <c r="L561" s="2"/>
      <c r="M561" s="2"/>
      <c r="N561" s="2"/>
      <c r="O561" s="2"/>
      <c r="P561" s="2"/>
      <c r="Q561" s="2"/>
      <c r="R561" s="7"/>
      <c r="S561" s="224"/>
      <c r="T561" s="224"/>
      <c r="U561" s="224"/>
      <c r="V561" s="224"/>
      <c r="W561" s="9"/>
    </row>
    <row r="562">
      <c r="A562" s="33"/>
      <c r="B562" s="2"/>
      <c r="C562" s="2"/>
      <c r="D562" s="2"/>
      <c r="E562" s="2"/>
      <c r="F562" s="4"/>
      <c r="G562" s="2"/>
      <c r="H562" s="2"/>
      <c r="I562" s="2"/>
      <c r="J562" s="2"/>
      <c r="K562" s="5"/>
      <c r="L562" s="2"/>
      <c r="M562" s="2"/>
      <c r="N562" s="2"/>
      <c r="O562" s="2"/>
      <c r="P562" s="2"/>
      <c r="Q562" s="2"/>
      <c r="R562" s="7"/>
      <c r="S562" s="224"/>
      <c r="T562" s="224"/>
      <c r="U562" s="224"/>
      <c r="V562" s="224"/>
      <c r="W562" s="9"/>
    </row>
    <row r="563">
      <c r="A563" s="33"/>
      <c r="B563" s="2"/>
      <c r="C563" s="2"/>
      <c r="D563" s="2"/>
      <c r="E563" s="2"/>
      <c r="F563" s="4"/>
      <c r="G563" s="2"/>
      <c r="H563" s="2"/>
      <c r="I563" s="2"/>
      <c r="J563" s="2"/>
      <c r="K563" s="5"/>
      <c r="L563" s="2"/>
      <c r="M563" s="2"/>
      <c r="N563" s="2"/>
      <c r="O563" s="2"/>
      <c r="P563" s="2"/>
      <c r="Q563" s="2"/>
      <c r="R563" s="7"/>
      <c r="S563" s="224"/>
      <c r="T563" s="224"/>
      <c r="U563" s="224"/>
      <c r="V563" s="224"/>
      <c r="W563" s="9"/>
    </row>
    <row r="564">
      <c r="A564" s="33"/>
      <c r="B564" s="2"/>
      <c r="C564" s="2"/>
      <c r="D564" s="2"/>
      <c r="E564" s="2"/>
      <c r="F564" s="4"/>
      <c r="G564" s="2"/>
      <c r="H564" s="2"/>
      <c r="I564" s="2"/>
      <c r="J564" s="2"/>
      <c r="K564" s="5"/>
      <c r="L564" s="2"/>
      <c r="M564" s="2"/>
      <c r="N564" s="2"/>
      <c r="O564" s="2"/>
      <c r="P564" s="2"/>
      <c r="Q564" s="2"/>
      <c r="R564" s="7"/>
      <c r="S564" s="224"/>
      <c r="T564" s="224"/>
      <c r="U564" s="224"/>
      <c r="V564" s="224"/>
      <c r="W564" s="9"/>
    </row>
    <row r="565">
      <c r="A565" s="33"/>
      <c r="B565" s="2"/>
      <c r="C565" s="2"/>
      <c r="D565" s="2"/>
      <c r="E565" s="2"/>
      <c r="F565" s="4"/>
      <c r="G565" s="2"/>
      <c r="H565" s="2"/>
      <c r="I565" s="2"/>
      <c r="J565" s="2"/>
      <c r="K565" s="5"/>
      <c r="L565" s="2"/>
      <c r="M565" s="2"/>
      <c r="N565" s="2"/>
      <c r="O565" s="2"/>
      <c r="P565" s="2"/>
      <c r="Q565" s="2"/>
      <c r="R565" s="7"/>
      <c r="S565" s="224"/>
      <c r="T565" s="224"/>
      <c r="U565" s="224"/>
      <c r="V565" s="224"/>
      <c r="W565" s="9"/>
    </row>
    <row r="566">
      <c r="A566" s="33"/>
      <c r="B566" s="2"/>
      <c r="C566" s="2"/>
      <c r="D566" s="2"/>
      <c r="E566" s="2"/>
      <c r="F566" s="4"/>
      <c r="G566" s="2"/>
      <c r="H566" s="2"/>
      <c r="I566" s="2"/>
      <c r="J566" s="2"/>
      <c r="K566" s="5"/>
      <c r="L566" s="2"/>
      <c r="M566" s="2"/>
      <c r="N566" s="2"/>
      <c r="O566" s="2"/>
      <c r="P566" s="2"/>
      <c r="Q566" s="2"/>
      <c r="R566" s="7"/>
      <c r="S566" s="224"/>
      <c r="T566" s="224"/>
      <c r="U566" s="224"/>
      <c r="V566" s="224"/>
      <c r="W566" s="9"/>
    </row>
    <row r="567">
      <c r="A567" s="33"/>
      <c r="B567" s="2"/>
      <c r="C567" s="2"/>
      <c r="D567" s="2"/>
      <c r="E567" s="2"/>
      <c r="F567" s="4"/>
      <c r="G567" s="2"/>
      <c r="H567" s="2"/>
      <c r="I567" s="2"/>
      <c r="J567" s="2"/>
      <c r="K567" s="5"/>
      <c r="L567" s="2"/>
      <c r="M567" s="2"/>
      <c r="N567" s="2"/>
      <c r="O567" s="2"/>
      <c r="P567" s="2"/>
      <c r="Q567" s="2"/>
      <c r="R567" s="7"/>
      <c r="S567" s="224"/>
      <c r="T567" s="224"/>
      <c r="U567" s="224"/>
      <c r="V567" s="224"/>
      <c r="W567" s="9"/>
    </row>
    <row r="568">
      <c r="A568" s="33"/>
      <c r="B568" s="2"/>
      <c r="C568" s="2"/>
      <c r="D568" s="2"/>
      <c r="E568" s="2"/>
      <c r="F568" s="4"/>
      <c r="G568" s="2"/>
      <c r="H568" s="2"/>
      <c r="I568" s="2"/>
      <c r="J568" s="2"/>
      <c r="K568" s="5"/>
      <c r="L568" s="2"/>
      <c r="M568" s="2"/>
      <c r="N568" s="2"/>
      <c r="O568" s="2"/>
      <c r="P568" s="2"/>
      <c r="Q568" s="2"/>
      <c r="R568" s="7"/>
      <c r="S568" s="224"/>
      <c r="T568" s="224"/>
      <c r="U568" s="224"/>
      <c r="V568" s="224"/>
      <c r="W568" s="9"/>
    </row>
    <row r="569">
      <c r="A569" s="33"/>
      <c r="B569" s="2"/>
      <c r="C569" s="2"/>
      <c r="D569" s="2"/>
      <c r="E569" s="2"/>
      <c r="F569" s="4"/>
      <c r="G569" s="2"/>
      <c r="H569" s="2"/>
      <c r="I569" s="2"/>
      <c r="J569" s="2"/>
      <c r="K569" s="5"/>
      <c r="L569" s="2"/>
      <c r="M569" s="2"/>
      <c r="N569" s="2"/>
      <c r="O569" s="2"/>
      <c r="P569" s="2"/>
      <c r="Q569" s="2"/>
      <c r="R569" s="7"/>
      <c r="S569" s="224"/>
      <c r="T569" s="224"/>
      <c r="U569" s="224"/>
      <c r="V569" s="224"/>
      <c r="W569" s="9"/>
    </row>
    <row r="570">
      <c r="A570" s="33"/>
      <c r="B570" s="2"/>
      <c r="C570" s="2"/>
      <c r="D570" s="2"/>
      <c r="E570" s="2"/>
      <c r="F570" s="4"/>
      <c r="G570" s="2"/>
      <c r="H570" s="2"/>
      <c r="I570" s="2"/>
      <c r="J570" s="2"/>
      <c r="K570" s="5"/>
      <c r="L570" s="2"/>
      <c r="M570" s="2"/>
      <c r="N570" s="2"/>
      <c r="O570" s="2"/>
      <c r="P570" s="2"/>
      <c r="Q570" s="2"/>
      <c r="R570" s="7"/>
      <c r="S570" s="224"/>
      <c r="T570" s="224"/>
      <c r="U570" s="224"/>
      <c r="V570" s="224"/>
      <c r="W570" s="9"/>
    </row>
    <row r="571">
      <c r="A571" s="33"/>
      <c r="B571" s="2"/>
      <c r="C571" s="2"/>
      <c r="D571" s="2"/>
      <c r="E571" s="2"/>
      <c r="F571" s="4"/>
      <c r="G571" s="2"/>
      <c r="H571" s="2"/>
      <c r="I571" s="2"/>
      <c r="J571" s="2"/>
      <c r="K571" s="5"/>
      <c r="L571" s="2"/>
      <c r="M571" s="2"/>
      <c r="N571" s="2"/>
      <c r="O571" s="2"/>
      <c r="P571" s="2"/>
      <c r="Q571" s="2"/>
      <c r="R571" s="7"/>
      <c r="S571" s="224"/>
      <c r="T571" s="224"/>
      <c r="U571" s="224"/>
      <c r="V571" s="224"/>
      <c r="W571" s="9"/>
    </row>
    <row r="572">
      <c r="A572" s="33"/>
      <c r="B572" s="2"/>
      <c r="C572" s="2"/>
      <c r="D572" s="2"/>
      <c r="E572" s="2"/>
      <c r="F572" s="4"/>
      <c r="G572" s="2"/>
      <c r="H572" s="2"/>
      <c r="I572" s="2"/>
      <c r="J572" s="2"/>
      <c r="K572" s="5"/>
      <c r="L572" s="2"/>
      <c r="M572" s="2"/>
      <c r="N572" s="2"/>
      <c r="O572" s="2"/>
      <c r="P572" s="2"/>
      <c r="Q572" s="2"/>
      <c r="R572" s="7"/>
      <c r="S572" s="224"/>
      <c r="T572" s="224"/>
      <c r="U572" s="224"/>
      <c r="V572" s="224"/>
      <c r="W572" s="9"/>
    </row>
    <row r="573">
      <c r="A573" s="33"/>
      <c r="B573" s="2"/>
      <c r="C573" s="2"/>
      <c r="D573" s="2"/>
      <c r="E573" s="2"/>
      <c r="F573" s="4"/>
      <c r="G573" s="2"/>
      <c r="H573" s="2"/>
      <c r="I573" s="2"/>
      <c r="J573" s="2"/>
      <c r="K573" s="5"/>
      <c r="L573" s="2"/>
      <c r="M573" s="2"/>
      <c r="N573" s="2"/>
      <c r="O573" s="2"/>
      <c r="P573" s="2"/>
      <c r="Q573" s="2"/>
      <c r="R573" s="7"/>
      <c r="S573" s="224"/>
      <c r="T573" s="224"/>
      <c r="U573" s="224"/>
      <c r="V573" s="224"/>
      <c r="W573" s="9"/>
    </row>
    <row r="574">
      <c r="A574" s="33"/>
      <c r="B574" s="2"/>
      <c r="C574" s="2"/>
      <c r="D574" s="2"/>
      <c r="E574" s="2"/>
      <c r="F574" s="4"/>
      <c r="G574" s="2"/>
      <c r="H574" s="2"/>
      <c r="I574" s="2"/>
      <c r="J574" s="2"/>
      <c r="K574" s="5"/>
      <c r="L574" s="2"/>
      <c r="M574" s="2"/>
      <c r="N574" s="2"/>
      <c r="O574" s="2"/>
      <c r="P574" s="2"/>
      <c r="Q574" s="2"/>
      <c r="R574" s="7"/>
      <c r="S574" s="224"/>
      <c r="T574" s="224"/>
      <c r="U574" s="224"/>
      <c r="V574" s="224"/>
      <c r="W574" s="9"/>
    </row>
    <row r="575">
      <c r="A575" s="33"/>
      <c r="B575" s="2"/>
      <c r="C575" s="2"/>
      <c r="D575" s="2"/>
      <c r="E575" s="2"/>
      <c r="F575" s="4"/>
      <c r="G575" s="2"/>
      <c r="H575" s="2"/>
      <c r="I575" s="2"/>
      <c r="J575" s="2"/>
      <c r="K575" s="5"/>
      <c r="L575" s="2"/>
      <c r="M575" s="2"/>
      <c r="N575" s="2"/>
      <c r="O575" s="2"/>
      <c r="P575" s="2"/>
      <c r="Q575" s="2"/>
      <c r="R575" s="7"/>
      <c r="S575" s="224"/>
      <c r="T575" s="224"/>
      <c r="U575" s="224"/>
      <c r="V575" s="224"/>
      <c r="W575" s="9"/>
    </row>
    <row r="576">
      <c r="A576" s="33"/>
      <c r="B576" s="2"/>
      <c r="C576" s="2"/>
      <c r="D576" s="2"/>
      <c r="E576" s="2"/>
      <c r="F576" s="4"/>
      <c r="G576" s="2"/>
      <c r="H576" s="2"/>
      <c r="I576" s="2"/>
      <c r="J576" s="2"/>
      <c r="K576" s="5"/>
      <c r="L576" s="2"/>
      <c r="M576" s="2"/>
      <c r="N576" s="2"/>
      <c r="O576" s="2"/>
      <c r="P576" s="2"/>
      <c r="Q576" s="2"/>
      <c r="R576" s="7"/>
      <c r="S576" s="224"/>
      <c r="T576" s="224"/>
      <c r="U576" s="224"/>
      <c r="V576" s="224"/>
      <c r="W576" s="9"/>
    </row>
    <row r="577">
      <c r="A577" s="33"/>
      <c r="B577" s="2"/>
      <c r="C577" s="2"/>
      <c r="D577" s="2"/>
      <c r="E577" s="2"/>
      <c r="F577" s="4"/>
      <c r="G577" s="2"/>
      <c r="H577" s="2"/>
      <c r="I577" s="2"/>
      <c r="J577" s="2"/>
      <c r="K577" s="5"/>
      <c r="L577" s="2"/>
      <c r="M577" s="2"/>
      <c r="N577" s="2"/>
      <c r="O577" s="2"/>
      <c r="P577" s="2"/>
      <c r="Q577" s="2"/>
      <c r="R577" s="7"/>
      <c r="S577" s="224"/>
      <c r="T577" s="224"/>
      <c r="U577" s="224"/>
      <c r="V577" s="224"/>
      <c r="W577" s="9"/>
    </row>
    <row r="578">
      <c r="A578" s="33"/>
      <c r="B578" s="2"/>
      <c r="C578" s="2"/>
      <c r="D578" s="2"/>
      <c r="E578" s="2"/>
      <c r="F578" s="4"/>
      <c r="G578" s="2"/>
      <c r="H578" s="2"/>
      <c r="I578" s="2"/>
      <c r="J578" s="2"/>
      <c r="K578" s="5"/>
      <c r="L578" s="2"/>
      <c r="M578" s="2"/>
      <c r="N578" s="2"/>
      <c r="O578" s="2"/>
      <c r="P578" s="2"/>
      <c r="Q578" s="2"/>
      <c r="R578" s="7"/>
      <c r="S578" s="224"/>
      <c r="T578" s="224"/>
      <c r="U578" s="224"/>
      <c r="V578" s="224"/>
      <c r="W578" s="9"/>
    </row>
    <row r="579">
      <c r="A579" s="33"/>
      <c r="B579" s="2"/>
      <c r="C579" s="2"/>
      <c r="D579" s="2"/>
      <c r="E579" s="2"/>
      <c r="F579" s="4"/>
      <c r="G579" s="2"/>
      <c r="H579" s="2"/>
      <c r="I579" s="2"/>
      <c r="J579" s="2"/>
      <c r="K579" s="5"/>
      <c r="L579" s="2"/>
      <c r="M579" s="2"/>
      <c r="N579" s="2"/>
      <c r="O579" s="2"/>
      <c r="P579" s="2"/>
      <c r="Q579" s="2"/>
      <c r="R579" s="7"/>
      <c r="S579" s="224"/>
      <c r="T579" s="224"/>
      <c r="U579" s="224"/>
      <c r="V579" s="224"/>
      <c r="W579" s="9"/>
    </row>
    <row r="580">
      <c r="A580" s="33"/>
      <c r="B580" s="2"/>
      <c r="C580" s="2"/>
      <c r="D580" s="2"/>
      <c r="E580" s="2"/>
      <c r="F580" s="4"/>
      <c r="G580" s="2"/>
      <c r="H580" s="2"/>
      <c r="I580" s="2"/>
      <c r="J580" s="2"/>
      <c r="K580" s="5"/>
      <c r="L580" s="2"/>
      <c r="M580" s="2"/>
      <c r="N580" s="2"/>
      <c r="O580" s="2"/>
      <c r="P580" s="2"/>
      <c r="Q580" s="2"/>
      <c r="R580" s="7"/>
      <c r="S580" s="224"/>
      <c r="T580" s="224"/>
      <c r="U580" s="224"/>
      <c r="V580" s="224"/>
      <c r="W580" s="9"/>
    </row>
    <row r="581">
      <c r="A581" s="33"/>
      <c r="B581" s="2"/>
      <c r="C581" s="2"/>
      <c r="D581" s="2"/>
      <c r="E581" s="2"/>
      <c r="F581" s="4"/>
      <c r="G581" s="2"/>
      <c r="H581" s="2"/>
      <c r="I581" s="2"/>
      <c r="J581" s="2"/>
      <c r="K581" s="5"/>
      <c r="L581" s="2"/>
      <c r="M581" s="2"/>
      <c r="N581" s="2"/>
      <c r="O581" s="2"/>
      <c r="P581" s="2"/>
      <c r="Q581" s="2"/>
      <c r="R581" s="7"/>
      <c r="S581" s="224"/>
      <c r="T581" s="224"/>
      <c r="U581" s="224"/>
      <c r="V581" s="224"/>
      <c r="W581" s="9"/>
    </row>
    <row r="582">
      <c r="A582" s="33"/>
      <c r="B582" s="2"/>
      <c r="C582" s="2"/>
      <c r="D582" s="2"/>
      <c r="E582" s="2"/>
      <c r="F582" s="4"/>
      <c r="G582" s="2"/>
      <c r="H582" s="2"/>
      <c r="I582" s="2"/>
      <c r="J582" s="2"/>
      <c r="K582" s="5"/>
      <c r="L582" s="2"/>
      <c r="M582" s="2"/>
      <c r="N582" s="2"/>
      <c r="O582" s="2"/>
      <c r="P582" s="2"/>
      <c r="Q582" s="2"/>
      <c r="R582" s="7"/>
      <c r="S582" s="224"/>
      <c r="T582" s="224"/>
      <c r="U582" s="224"/>
      <c r="V582" s="224"/>
      <c r="W582" s="9"/>
    </row>
    <row r="583">
      <c r="A583" s="33"/>
      <c r="B583" s="2"/>
      <c r="C583" s="2"/>
      <c r="D583" s="2"/>
      <c r="E583" s="2"/>
      <c r="F583" s="4"/>
      <c r="G583" s="2"/>
      <c r="H583" s="2"/>
      <c r="I583" s="2"/>
      <c r="J583" s="2"/>
      <c r="K583" s="5"/>
      <c r="L583" s="2"/>
      <c r="M583" s="2"/>
      <c r="N583" s="2"/>
      <c r="O583" s="2"/>
      <c r="P583" s="2"/>
      <c r="Q583" s="2"/>
      <c r="R583" s="7"/>
      <c r="S583" s="224"/>
      <c r="T583" s="224"/>
      <c r="U583" s="224"/>
      <c r="V583" s="224"/>
      <c r="W583" s="9"/>
    </row>
    <row r="584">
      <c r="A584" s="33"/>
      <c r="B584" s="2"/>
      <c r="C584" s="2"/>
      <c r="D584" s="2"/>
      <c r="E584" s="2"/>
      <c r="F584" s="4"/>
      <c r="G584" s="2"/>
      <c r="H584" s="2"/>
      <c r="I584" s="2"/>
      <c r="J584" s="2"/>
      <c r="K584" s="5"/>
      <c r="L584" s="2"/>
      <c r="M584" s="2"/>
      <c r="N584" s="2"/>
      <c r="O584" s="2"/>
      <c r="P584" s="2"/>
      <c r="Q584" s="2"/>
      <c r="R584" s="7"/>
      <c r="S584" s="224"/>
      <c r="T584" s="224"/>
      <c r="U584" s="224"/>
      <c r="V584" s="224"/>
      <c r="W584" s="9"/>
    </row>
    <row r="585">
      <c r="A585" s="33"/>
      <c r="B585" s="2"/>
      <c r="C585" s="2"/>
      <c r="D585" s="2"/>
      <c r="E585" s="2"/>
      <c r="F585" s="4"/>
      <c r="G585" s="2"/>
      <c r="H585" s="2"/>
      <c r="I585" s="2"/>
      <c r="J585" s="2"/>
      <c r="K585" s="5"/>
      <c r="L585" s="2"/>
      <c r="M585" s="2"/>
      <c r="N585" s="2"/>
      <c r="O585" s="2"/>
      <c r="P585" s="2"/>
      <c r="Q585" s="2"/>
      <c r="R585" s="7"/>
      <c r="S585" s="224"/>
      <c r="T585" s="224"/>
      <c r="U585" s="224"/>
      <c r="V585" s="224"/>
      <c r="W585" s="9"/>
    </row>
    <row r="586">
      <c r="A586" s="33"/>
      <c r="B586" s="2"/>
      <c r="C586" s="2"/>
      <c r="D586" s="2"/>
      <c r="E586" s="2"/>
      <c r="F586" s="4"/>
      <c r="G586" s="2"/>
      <c r="H586" s="2"/>
      <c r="I586" s="2"/>
      <c r="J586" s="2"/>
      <c r="K586" s="5"/>
      <c r="L586" s="2"/>
      <c r="M586" s="2"/>
      <c r="N586" s="2"/>
      <c r="O586" s="2"/>
      <c r="P586" s="2"/>
      <c r="Q586" s="2"/>
      <c r="R586" s="7"/>
      <c r="S586" s="224"/>
      <c r="T586" s="224"/>
      <c r="U586" s="224"/>
      <c r="V586" s="224"/>
      <c r="W586" s="9"/>
    </row>
    <row r="587">
      <c r="A587" s="33"/>
      <c r="B587" s="2"/>
      <c r="C587" s="2"/>
      <c r="D587" s="2"/>
      <c r="E587" s="2"/>
      <c r="F587" s="4"/>
      <c r="G587" s="2"/>
      <c r="H587" s="2"/>
      <c r="I587" s="2"/>
      <c r="J587" s="2"/>
      <c r="K587" s="5"/>
      <c r="L587" s="2"/>
      <c r="M587" s="2"/>
      <c r="N587" s="2"/>
      <c r="O587" s="2"/>
      <c r="P587" s="2"/>
      <c r="Q587" s="2"/>
      <c r="R587" s="7"/>
      <c r="S587" s="224"/>
      <c r="T587" s="224"/>
      <c r="U587" s="224"/>
      <c r="V587" s="224"/>
      <c r="W587" s="9"/>
    </row>
    <row r="588">
      <c r="A588" s="33"/>
      <c r="B588" s="2"/>
      <c r="C588" s="2"/>
      <c r="D588" s="2"/>
      <c r="E588" s="2"/>
      <c r="F588" s="4"/>
      <c r="G588" s="2"/>
      <c r="H588" s="2"/>
      <c r="I588" s="2"/>
      <c r="J588" s="2"/>
      <c r="K588" s="5"/>
      <c r="L588" s="2"/>
      <c r="M588" s="2"/>
      <c r="N588" s="2"/>
      <c r="O588" s="2"/>
      <c r="P588" s="2"/>
      <c r="Q588" s="2"/>
      <c r="R588" s="7"/>
      <c r="S588" s="224"/>
      <c r="T588" s="224"/>
      <c r="U588" s="224"/>
      <c r="V588" s="224"/>
      <c r="W588" s="9"/>
    </row>
    <row r="589">
      <c r="A589" s="33"/>
      <c r="B589" s="2"/>
      <c r="C589" s="2"/>
      <c r="D589" s="2"/>
      <c r="E589" s="2"/>
      <c r="F589" s="4"/>
      <c r="G589" s="2"/>
      <c r="H589" s="2"/>
      <c r="I589" s="2"/>
      <c r="J589" s="2"/>
      <c r="K589" s="5"/>
      <c r="L589" s="2"/>
      <c r="M589" s="2"/>
      <c r="N589" s="2"/>
      <c r="O589" s="2"/>
      <c r="P589" s="2"/>
      <c r="Q589" s="2"/>
      <c r="R589" s="7"/>
      <c r="S589" s="224"/>
      <c r="T589" s="224"/>
      <c r="U589" s="224"/>
      <c r="V589" s="224"/>
      <c r="W589" s="9"/>
    </row>
    <row r="590">
      <c r="A590" s="33"/>
      <c r="B590" s="2"/>
      <c r="C590" s="2"/>
      <c r="D590" s="2"/>
      <c r="E590" s="2"/>
      <c r="F590" s="4"/>
      <c r="G590" s="2"/>
      <c r="H590" s="2"/>
      <c r="I590" s="2"/>
      <c r="J590" s="2"/>
      <c r="K590" s="5"/>
      <c r="L590" s="2"/>
      <c r="M590" s="2"/>
      <c r="N590" s="2"/>
      <c r="O590" s="2"/>
      <c r="P590" s="2"/>
      <c r="Q590" s="2"/>
      <c r="R590" s="7"/>
      <c r="S590" s="224"/>
      <c r="T590" s="224"/>
      <c r="U590" s="224"/>
      <c r="V590" s="224"/>
      <c r="W590" s="9"/>
    </row>
    <row r="591">
      <c r="A591" s="33"/>
      <c r="B591" s="2"/>
      <c r="C591" s="2"/>
      <c r="D591" s="2"/>
      <c r="E591" s="2"/>
      <c r="F591" s="4"/>
      <c r="G591" s="2"/>
      <c r="H591" s="2"/>
      <c r="I591" s="2"/>
      <c r="J591" s="2"/>
      <c r="K591" s="5"/>
      <c r="L591" s="2"/>
      <c r="M591" s="2"/>
      <c r="N591" s="2"/>
      <c r="O591" s="2"/>
      <c r="P591" s="2"/>
      <c r="Q591" s="2"/>
      <c r="R591" s="7"/>
      <c r="S591" s="224"/>
      <c r="T591" s="224"/>
      <c r="U591" s="224"/>
      <c r="V591" s="224"/>
      <c r="W591" s="9"/>
    </row>
    <row r="592">
      <c r="A592" s="33"/>
      <c r="B592" s="2"/>
      <c r="C592" s="2"/>
      <c r="D592" s="2"/>
      <c r="E592" s="2"/>
      <c r="F592" s="4"/>
      <c r="G592" s="2"/>
      <c r="H592" s="2"/>
      <c r="I592" s="2"/>
      <c r="J592" s="2"/>
      <c r="K592" s="5"/>
      <c r="L592" s="2"/>
      <c r="M592" s="2"/>
      <c r="N592" s="2"/>
      <c r="O592" s="2"/>
      <c r="P592" s="2"/>
      <c r="Q592" s="2"/>
      <c r="R592" s="7"/>
      <c r="S592" s="224"/>
      <c r="T592" s="224"/>
      <c r="U592" s="224"/>
      <c r="V592" s="224"/>
      <c r="W592" s="9"/>
    </row>
    <row r="593">
      <c r="A593" s="33"/>
      <c r="B593" s="2"/>
      <c r="C593" s="2"/>
      <c r="D593" s="2"/>
      <c r="E593" s="2"/>
      <c r="F593" s="4"/>
      <c r="G593" s="2"/>
      <c r="H593" s="2"/>
      <c r="I593" s="2"/>
      <c r="J593" s="2"/>
      <c r="K593" s="5"/>
      <c r="L593" s="2"/>
      <c r="M593" s="2"/>
      <c r="N593" s="2"/>
      <c r="O593" s="2"/>
      <c r="P593" s="2"/>
      <c r="Q593" s="2"/>
      <c r="R593" s="7"/>
      <c r="S593" s="224"/>
      <c r="T593" s="224"/>
      <c r="U593" s="224"/>
      <c r="V593" s="224"/>
      <c r="W593" s="9"/>
    </row>
    <row r="594">
      <c r="A594" s="33"/>
      <c r="B594" s="2"/>
      <c r="C594" s="2"/>
      <c r="D594" s="2"/>
      <c r="E594" s="2"/>
      <c r="F594" s="4"/>
      <c r="G594" s="2"/>
      <c r="H594" s="2"/>
      <c r="I594" s="2"/>
      <c r="J594" s="2"/>
      <c r="K594" s="5"/>
      <c r="L594" s="2"/>
      <c r="M594" s="2"/>
      <c r="N594" s="2"/>
      <c r="O594" s="2"/>
      <c r="P594" s="2"/>
      <c r="Q594" s="2"/>
      <c r="R594" s="7"/>
      <c r="S594" s="224"/>
      <c r="T594" s="224"/>
      <c r="U594" s="224"/>
      <c r="V594" s="224"/>
      <c r="W594" s="9"/>
    </row>
    <row r="595">
      <c r="A595" s="33"/>
      <c r="B595" s="2"/>
      <c r="C595" s="2"/>
      <c r="D595" s="2"/>
      <c r="E595" s="2"/>
      <c r="F595" s="4"/>
      <c r="G595" s="2"/>
      <c r="H595" s="2"/>
      <c r="I595" s="2"/>
      <c r="J595" s="2"/>
      <c r="K595" s="5"/>
      <c r="L595" s="2"/>
      <c r="M595" s="2"/>
      <c r="N595" s="2"/>
      <c r="O595" s="2"/>
      <c r="P595" s="2"/>
      <c r="Q595" s="2"/>
      <c r="R595" s="7"/>
      <c r="S595" s="224"/>
      <c r="T595" s="224"/>
      <c r="U595" s="224"/>
      <c r="V595" s="224"/>
      <c r="W595" s="9"/>
    </row>
    <row r="596">
      <c r="A596" s="33"/>
      <c r="B596" s="2"/>
      <c r="C596" s="2"/>
      <c r="D596" s="2"/>
      <c r="E596" s="2"/>
      <c r="F596" s="4"/>
      <c r="G596" s="2"/>
      <c r="H596" s="2"/>
      <c r="I596" s="2"/>
      <c r="J596" s="2"/>
      <c r="K596" s="5"/>
      <c r="L596" s="2"/>
      <c r="M596" s="2"/>
      <c r="N596" s="2"/>
      <c r="O596" s="2"/>
      <c r="P596" s="2"/>
      <c r="Q596" s="2"/>
      <c r="R596" s="7"/>
      <c r="S596" s="224"/>
      <c r="T596" s="224"/>
      <c r="U596" s="224"/>
      <c r="V596" s="224"/>
      <c r="W596" s="9"/>
    </row>
    <row r="597">
      <c r="A597" s="33"/>
      <c r="B597" s="2"/>
      <c r="C597" s="2"/>
      <c r="D597" s="2"/>
      <c r="E597" s="2"/>
      <c r="F597" s="4"/>
      <c r="G597" s="2"/>
      <c r="H597" s="2"/>
      <c r="I597" s="2"/>
      <c r="J597" s="2"/>
      <c r="K597" s="5"/>
      <c r="L597" s="2"/>
      <c r="M597" s="2"/>
      <c r="N597" s="2"/>
      <c r="O597" s="2"/>
      <c r="P597" s="2"/>
      <c r="Q597" s="2"/>
      <c r="R597" s="7"/>
      <c r="S597" s="224"/>
      <c r="T597" s="224"/>
      <c r="U597" s="224"/>
      <c r="V597" s="224"/>
      <c r="W597" s="9"/>
    </row>
    <row r="598">
      <c r="A598" s="33"/>
      <c r="B598" s="2"/>
      <c r="C598" s="2"/>
      <c r="D598" s="2"/>
      <c r="E598" s="2"/>
      <c r="F598" s="4"/>
      <c r="G598" s="2"/>
      <c r="H598" s="2"/>
      <c r="I598" s="2"/>
      <c r="J598" s="2"/>
      <c r="K598" s="5"/>
      <c r="L598" s="2"/>
      <c r="M598" s="2"/>
      <c r="N598" s="2"/>
      <c r="O598" s="2"/>
      <c r="P598" s="2"/>
      <c r="Q598" s="2"/>
      <c r="R598" s="7"/>
      <c r="S598" s="224"/>
      <c r="T598" s="224"/>
      <c r="U598" s="224"/>
      <c r="V598" s="224"/>
      <c r="W598" s="9"/>
    </row>
    <row r="599">
      <c r="A599" s="33"/>
      <c r="B599" s="2"/>
      <c r="C599" s="2"/>
      <c r="D599" s="2"/>
      <c r="E599" s="2"/>
      <c r="F599" s="4"/>
      <c r="G599" s="2"/>
      <c r="H599" s="2"/>
      <c r="I599" s="2"/>
      <c r="J599" s="2"/>
      <c r="K599" s="5"/>
      <c r="L599" s="2"/>
      <c r="M599" s="2"/>
      <c r="N599" s="2"/>
      <c r="O599" s="2"/>
      <c r="P599" s="2"/>
      <c r="Q599" s="2"/>
      <c r="R599" s="7"/>
      <c r="S599" s="224"/>
      <c r="T599" s="224"/>
      <c r="U599" s="224"/>
      <c r="V599" s="224"/>
      <c r="W599" s="9"/>
    </row>
    <row r="600">
      <c r="A600" s="33"/>
      <c r="B600" s="2"/>
      <c r="C600" s="2"/>
      <c r="D600" s="2"/>
      <c r="E600" s="2"/>
      <c r="F600" s="4"/>
      <c r="G600" s="2"/>
      <c r="H600" s="2"/>
      <c r="I600" s="2"/>
      <c r="J600" s="2"/>
      <c r="K600" s="5"/>
      <c r="L600" s="2"/>
      <c r="M600" s="2"/>
      <c r="N600" s="2"/>
      <c r="O600" s="2"/>
      <c r="P600" s="2"/>
      <c r="Q600" s="2"/>
      <c r="R600" s="7"/>
      <c r="S600" s="224"/>
      <c r="T600" s="224"/>
      <c r="U600" s="224"/>
      <c r="V600" s="224"/>
      <c r="W600" s="9"/>
    </row>
    <row r="601">
      <c r="A601" s="33"/>
      <c r="B601" s="2"/>
      <c r="C601" s="2"/>
      <c r="D601" s="2"/>
      <c r="E601" s="2"/>
      <c r="F601" s="4"/>
      <c r="G601" s="2"/>
      <c r="H601" s="2"/>
      <c r="I601" s="2"/>
      <c r="J601" s="2"/>
      <c r="K601" s="5"/>
      <c r="L601" s="2"/>
      <c r="M601" s="2"/>
      <c r="N601" s="2"/>
      <c r="O601" s="2"/>
      <c r="P601" s="2"/>
      <c r="Q601" s="2"/>
      <c r="R601" s="7"/>
      <c r="S601" s="224"/>
      <c r="T601" s="224"/>
      <c r="U601" s="224"/>
      <c r="V601" s="224"/>
      <c r="W601" s="9"/>
    </row>
    <row r="602">
      <c r="A602" s="33"/>
      <c r="B602" s="2"/>
      <c r="C602" s="2"/>
      <c r="D602" s="2"/>
      <c r="E602" s="2"/>
      <c r="F602" s="4"/>
      <c r="G602" s="2"/>
      <c r="H602" s="2"/>
      <c r="I602" s="2"/>
      <c r="J602" s="2"/>
      <c r="K602" s="5"/>
      <c r="L602" s="2"/>
      <c r="M602" s="2"/>
      <c r="N602" s="2"/>
      <c r="O602" s="2"/>
      <c r="P602" s="2"/>
      <c r="Q602" s="2"/>
      <c r="R602" s="7"/>
      <c r="S602" s="224"/>
      <c r="T602" s="224"/>
      <c r="U602" s="224"/>
      <c r="V602" s="224"/>
      <c r="W602" s="9"/>
    </row>
    <row r="603">
      <c r="A603" s="33"/>
      <c r="B603" s="2"/>
      <c r="C603" s="2"/>
      <c r="D603" s="2"/>
      <c r="E603" s="2"/>
      <c r="F603" s="4"/>
      <c r="G603" s="2"/>
      <c r="H603" s="2"/>
      <c r="I603" s="2"/>
      <c r="J603" s="2"/>
      <c r="K603" s="5"/>
      <c r="L603" s="2"/>
      <c r="M603" s="2"/>
      <c r="N603" s="2"/>
      <c r="O603" s="2"/>
      <c r="P603" s="2"/>
      <c r="Q603" s="2"/>
      <c r="R603" s="7"/>
      <c r="S603" s="224"/>
      <c r="T603" s="224"/>
      <c r="U603" s="224"/>
      <c r="V603" s="224"/>
      <c r="W603" s="9"/>
    </row>
    <row r="604">
      <c r="A604" s="33"/>
      <c r="B604" s="2"/>
      <c r="C604" s="2"/>
      <c r="D604" s="2"/>
      <c r="E604" s="2"/>
      <c r="F604" s="4"/>
      <c r="G604" s="2"/>
      <c r="H604" s="2"/>
      <c r="I604" s="2"/>
      <c r="J604" s="2"/>
      <c r="K604" s="5"/>
      <c r="L604" s="2"/>
      <c r="M604" s="2"/>
      <c r="N604" s="2"/>
      <c r="O604" s="2"/>
      <c r="P604" s="2"/>
      <c r="Q604" s="2"/>
      <c r="R604" s="7"/>
      <c r="S604" s="224"/>
      <c r="T604" s="224"/>
      <c r="U604" s="224"/>
      <c r="V604" s="224"/>
      <c r="W604" s="9"/>
    </row>
    <row r="605">
      <c r="A605" s="33"/>
      <c r="B605" s="2"/>
      <c r="C605" s="2"/>
      <c r="D605" s="2"/>
      <c r="E605" s="2"/>
      <c r="F605" s="4"/>
      <c r="G605" s="2"/>
      <c r="H605" s="2"/>
      <c r="I605" s="2"/>
      <c r="J605" s="2"/>
      <c r="K605" s="5"/>
      <c r="L605" s="2"/>
      <c r="M605" s="2"/>
      <c r="N605" s="2"/>
      <c r="O605" s="2"/>
      <c r="P605" s="2"/>
      <c r="Q605" s="2"/>
      <c r="R605" s="7"/>
      <c r="S605" s="224"/>
      <c r="T605" s="224"/>
      <c r="U605" s="224"/>
      <c r="V605" s="224"/>
      <c r="W605" s="9"/>
    </row>
    <row r="606">
      <c r="A606" s="33"/>
      <c r="B606" s="2"/>
      <c r="C606" s="2"/>
      <c r="D606" s="2"/>
      <c r="E606" s="2"/>
      <c r="F606" s="4"/>
      <c r="G606" s="2"/>
      <c r="H606" s="2"/>
      <c r="I606" s="2"/>
      <c r="J606" s="2"/>
      <c r="K606" s="5"/>
      <c r="L606" s="2"/>
      <c r="M606" s="2"/>
      <c r="N606" s="2"/>
      <c r="O606" s="2"/>
      <c r="P606" s="2"/>
      <c r="Q606" s="2"/>
      <c r="R606" s="7"/>
      <c r="S606" s="224"/>
      <c r="T606" s="224"/>
      <c r="U606" s="224"/>
      <c r="V606" s="224"/>
      <c r="W606" s="9"/>
    </row>
    <row r="607">
      <c r="A607" s="33"/>
      <c r="B607" s="2"/>
      <c r="C607" s="2"/>
      <c r="D607" s="2"/>
      <c r="E607" s="2"/>
      <c r="F607" s="4"/>
      <c r="G607" s="2"/>
      <c r="H607" s="2"/>
      <c r="I607" s="2"/>
      <c r="J607" s="2"/>
      <c r="K607" s="5"/>
      <c r="L607" s="2"/>
      <c r="M607" s="2"/>
      <c r="N607" s="2"/>
      <c r="O607" s="2"/>
      <c r="P607" s="2"/>
      <c r="Q607" s="2"/>
      <c r="R607" s="7"/>
      <c r="S607" s="224"/>
      <c r="T607" s="224"/>
      <c r="U607" s="224"/>
      <c r="V607" s="224"/>
      <c r="W607" s="9"/>
    </row>
    <row r="608">
      <c r="A608" s="33"/>
      <c r="B608" s="2"/>
      <c r="C608" s="2"/>
      <c r="D608" s="2"/>
      <c r="E608" s="2"/>
      <c r="F608" s="4"/>
      <c r="G608" s="2"/>
      <c r="H608" s="2"/>
      <c r="I608" s="2"/>
      <c r="J608" s="2"/>
      <c r="K608" s="5"/>
      <c r="L608" s="2"/>
      <c r="M608" s="2"/>
      <c r="N608" s="2"/>
      <c r="O608" s="2"/>
      <c r="P608" s="2"/>
      <c r="Q608" s="2"/>
      <c r="R608" s="7"/>
      <c r="S608" s="224"/>
      <c r="T608" s="224"/>
      <c r="U608" s="224"/>
      <c r="V608" s="224"/>
      <c r="W608" s="9"/>
    </row>
    <row r="609">
      <c r="A609" s="33"/>
      <c r="B609" s="2"/>
      <c r="C609" s="2"/>
      <c r="D609" s="2"/>
      <c r="E609" s="2"/>
      <c r="F609" s="4"/>
      <c r="G609" s="2"/>
      <c r="H609" s="2"/>
      <c r="I609" s="2"/>
      <c r="J609" s="2"/>
      <c r="K609" s="5"/>
      <c r="L609" s="2"/>
      <c r="M609" s="2"/>
      <c r="N609" s="2"/>
      <c r="O609" s="2"/>
      <c r="P609" s="2"/>
      <c r="Q609" s="2"/>
      <c r="R609" s="7"/>
      <c r="S609" s="224"/>
      <c r="T609" s="224"/>
      <c r="U609" s="224"/>
      <c r="V609" s="224"/>
      <c r="W609" s="9"/>
    </row>
    <row r="610">
      <c r="A610" s="33"/>
      <c r="B610" s="2"/>
      <c r="C610" s="2"/>
      <c r="D610" s="2"/>
      <c r="E610" s="2"/>
      <c r="F610" s="4"/>
      <c r="G610" s="2"/>
      <c r="H610" s="2"/>
      <c r="I610" s="2"/>
      <c r="J610" s="2"/>
      <c r="K610" s="5"/>
      <c r="L610" s="2"/>
      <c r="M610" s="2"/>
      <c r="N610" s="2"/>
      <c r="O610" s="2"/>
      <c r="P610" s="2"/>
      <c r="Q610" s="2"/>
      <c r="R610" s="7"/>
      <c r="S610" s="224"/>
      <c r="T610" s="224"/>
      <c r="U610" s="224"/>
      <c r="V610" s="224"/>
      <c r="W610" s="9"/>
    </row>
    <row r="611">
      <c r="A611" s="33"/>
      <c r="B611" s="2"/>
      <c r="C611" s="2"/>
      <c r="D611" s="2"/>
      <c r="E611" s="2"/>
      <c r="F611" s="4"/>
      <c r="G611" s="2"/>
      <c r="H611" s="2"/>
      <c r="I611" s="2"/>
      <c r="J611" s="2"/>
      <c r="K611" s="5"/>
      <c r="L611" s="2"/>
      <c r="M611" s="2"/>
      <c r="N611" s="2"/>
      <c r="O611" s="2"/>
      <c r="P611" s="2"/>
      <c r="Q611" s="2"/>
      <c r="R611" s="7"/>
      <c r="S611" s="224"/>
      <c r="T611" s="224"/>
      <c r="U611" s="224"/>
      <c r="V611" s="224"/>
      <c r="W611" s="9"/>
    </row>
    <row r="612">
      <c r="A612" s="33"/>
      <c r="B612" s="2"/>
      <c r="C612" s="2"/>
      <c r="D612" s="2"/>
      <c r="E612" s="2"/>
      <c r="F612" s="4"/>
      <c r="G612" s="2"/>
      <c r="H612" s="2"/>
      <c r="I612" s="2"/>
      <c r="J612" s="2"/>
      <c r="K612" s="5"/>
      <c r="L612" s="2"/>
      <c r="M612" s="2"/>
      <c r="N612" s="2"/>
      <c r="O612" s="2"/>
      <c r="P612" s="2"/>
      <c r="Q612" s="2"/>
      <c r="R612" s="7"/>
      <c r="S612" s="224"/>
      <c r="T612" s="224"/>
      <c r="U612" s="224"/>
      <c r="V612" s="224"/>
      <c r="W612" s="9"/>
    </row>
    <row r="613">
      <c r="A613" s="33"/>
      <c r="B613" s="2"/>
      <c r="C613" s="2"/>
      <c r="D613" s="2"/>
      <c r="E613" s="2"/>
      <c r="F613" s="4"/>
      <c r="G613" s="2"/>
      <c r="H613" s="2"/>
      <c r="I613" s="2"/>
      <c r="J613" s="2"/>
      <c r="K613" s="5"/>
      <c r="L613" s="2"/>
      <c r="M613" s="2"/>
      <c r="N613" s="2"/>
      <c r="O613" s="2"/>
      <c r="P613" s="2"/>
      <c r="Q613" s="2"/>
      <c r="R613" s="7"/>
      <c r="S613" s="224"/>
      <c r="T613" s="224"/>
      <c r="U613" s="224"/>
      <c r="V613" s="224"/>
      <c r="W613" s="9"/>
    </row>
    <row r="614">
      <c r="A614" s="33"/>
      <c r="B614" s="2"/>
      <c r="C614" s="2"/>
      <c r="D614" s="2"/>
      <c r="E614" s="2"/>
      <c r="F614" s="4"/>
      <c r="G614" s="2"/>
      <c r="H614" s="2"/>
      <c r="I614" s="2"/>
      <c r="J614" s="2"/>
      <c r="K614" s="5"/>
      <c r="L614" s="2"/>
      <c r="M614" s="2"/>
      <c r="N614" s="2"/>
      <c r="O614" s="2"/>
      <c r="P614" s="2"/>
      <c r="Q614" s="2"/>
      <c r="R614" s="7"/>
      <c r="S614" s="224"/>
      <c r="T614" s="224"/>
      <c r="U614" s="224"/>
      <c r="V614" s="224"/>
      <c r="W614" s="9"/>
    </row>
    <row r="615">
      <c r="A615" s="33"/>
      <c r="B615" s="2"/>
      <c r="C615" s="2"/>
      <c r="D615" s="2"/>
      <c r="E615" s="2"/>
      <c r="F615" s="4"/>
      <c r="G615" s="2"/>
      <c r="H615" s="2"/>
      <c r="I615" s="2"/>
      <c r="J615" s="2"/>
      <c r="K615" s="5"/>
      <c r="L615" s="2"/>
      <c r="M615" s="2"/>
      <c r="N615" s="2"/>
      <c r="O615" s="2"/>
      <c r="P615" s="2"/>
      <c r="Q615" s="2"/>
      <c r="R615" s="7"/>
      <c r="S615" s="224"/>
      <c r="T615" s="224"/>
      <c r="U615" s="224"/>
      <c r="V615" s="224"/>
      <c r="W615" s="9"/>
    </row>
    <row r="616">
      <c r="A616" s="33"/>
      <c r="B616" s="2"/>
      <c r="C616" s="2"/>
      <c r="D616" s="2"/>
      <c r="E616" s="2"/>
      <c r="F616" s="4"/>
      <c r="G616" s="2"/>
      <c r="H616" s="2"/>
      <c r="I616" s="2"/>
      <c r="J616" s="2"/>
      <c r="K616" s="5"/>
      <c r="L616" s="2"/>
      <c r="M616" s="2"/>
      <c r="N616" s="2"/>
      <c r="O616" s="2"/>
      <c r="P616" s="2"/>
      <c r="Q616" s="2"/>
      <c r="R616" s="7"/>
      <c r="S616" s="224"/>
      <c r="T616" s="224"/>
      <c r="U616" s="224"/>
      <c r="V616" s="224"/>
      <c r="W616" s="9"/>
    </row>
    <row r="617">
      <c r="A617" s="33"/>
      <c r="B617" s="2"/>
      <c r="C617" s="2"/>
      <c r="D617" s="2"/>
      <c r="E617" s="2"/>
      <c r="F617" s="4"/>
      <c r="G617" s="2"/>
      <c r="H617" s="2"/>
      <c r="I617" s="2"/>
      <c r="J617" s="2"/>
      <c r="K617" s="5"/>
      <c r="L617" s="2"/>
      <c r="M617" s="2"/>
      <c r="N617" s="2"/>
      <c r="O617" s="2"/>
      <c r="P617" s="2"/>
      <c r="Q617" s="2"/>
      <c r="R617" s="7"/>
      <c r="S617" s="224"/>
      <c r="T617" s="224"/>
      <c r="U617" s="224"/>
      <c r="V617" s="224"/>
      <c r="W617" s="9"/>
    </row>
    <row r="618">
      <c r="A618" s="33"/>
      <c r="B618" s="2"/>
      <c r="C618" s="2"/>
      <c r="D618" s="2"/>
      <c r="E618" s="2"/>
      <c r="F618" s="4"/>
      <c r="G618" s="2"/>
      <c r="H618" s="2"/>
      <c r="I618" s="2"/>
      <c r="J618" s="2"/>
      <c r="K618" s="5"/>
      <c r="L618" s="2"/>
      <c r="M618" s="2"/>
      <c r="N618" s="2"/>
      <c r="O618" s="2"/>
      <c r="P618" s="2"/>
      <c r="Q618" s="2"/>
      <c r="R618" s="7"/>
      <c r="S618" s="224"/>
      <c r="T618" s="224"/>
      <c r="U618" s="224"/>
      <c r="V618" s="224"/>
      <c r="W618" s="9"/>
    </row>
    <row r="619">
      <c r="A619" s="33"/>
      <c r="B619" s="2"/>
      <c r="C619" s="2"/>
      <c r="D619" s="2"/>
      <c r="E619" s="2"/>
      <c r="F619" s="4"/>
      <c r="G619" s="2"/>
      <c r="H619" s="2"/>
      <c r="I619" s="2"/>
      <c r="J619" s="2"/>
      <c r="K619" s="5"/>
      <c r="L619" s="2"/>
      <c r="M619" s="2"/>
      <c r="N619" s="2"/>
      <c r="O619" s="2"/>
      <c r="P619" s="2"/>
      <c r="Q619" s="2"/>
      <c r="R619" s="7"/>
      <c r="S619" s="224"/>
      <c r="T619" s="224"/>
      <c r="U619" s="224"/>
      <c r="V619" s="224"/>
      <c r="W619" s="9"/>
    </row>
    <row r="620">
      <c r="A620" s="33"/>
      <c r="B620" s="2"/>
      <c r="C620" s="2"/>
      <c r="D620" s="2"/>
      <c r="E620" s="2"/>
      <c r="F620" s="4"/>
      <c r="G620" s="2"/>
      <c r="H620" s="2"/>
      <c r="I620" s="2"/>
      <c r="J620" s="2"/>
      <c r="K620" s="5"/>
      <c r="L620" s="2"/>
      <c r="M620" s="2"/>
      <c r="N620" s="2"/>
      <c r="O620" s="2"/>
      <c r="P620" s="2"/>
      <c r="Q620" s="2"/>
      <c r="R620" s="7"/>
      <c r="S620" s="224"/>
      <c r="T620" s="224"/>
      <c r="U620" s="224"/>
      <c r="V620" s="224"/>
      <c r="W620" s="9"/>
    </row>
    <row r="621">
      <c r="A621" s="33"/>
      <c r="B621" s="2"/>
      <c r="C621" s="2"/>
      <c r="D621" s="2"/>
      <c r="E621" s="2"/>
      <c r="F621" s="4"/>
      <c r="G621" s="2"/>
      <c r="H621" s="2"/>
      <c r="I621" s="2"/>
      <c r="J621" s="2"/>
      <c r="K621" s="5"/>
      <c r="L621" s="2"/>
      <c r="M621" s="2"/>
      <c r="N621" s="2"/>
      <c r="O621" s="2"/>
      <c r="P621" s="2"/>
      <c r="Q621" s="2"/>
      <c r="R621" s="7"/>
      <c r="S621" s="224"/>
      <c r="T621" s="224"/>
      <c r="U621" s="224"/>
      <c r="V621" s="224"/>
      <c r="W621" s="9"/>
    </row>
    <row r="622">
      <c r="A622" s="33"/>
      <c r="B622" s="2"/>
      <c r="C622" s="2"/>
      <c r="D622" s="2"/>
      <c r="E622" s="2"/>
      <c r="F622" s="4"/>
      <c r="G622" s="2"/>
      <c r="H622" s="2"/>
      <c r="I622" s="2"/>
      <c r="J622" s="2"/>
      <c r="K622" s="5"/>
      <c r="L622" s="2"/>
      <c r="M622" s="2"/>
      <c r="N622" s="2"/>
      <c r="O622" s="2"/>
      <c r="P622" s="2"/>
      <c r="Q622" s="2"/>
      <c r="R622" s="7"/>
      <c r="S622" s="224"/>
      <c r="T622" s="224"/>
      <c r="U622" s="224"/>
      <c r="V622" s="224"/>
      <c r="W622" s="9"/>
    </row>
    <row r="623">
      <c r="A623" s="33"/>
      <c r="B623" s="2"/>
      <c r="C623" s="2"/>
      <c r="D623" s="2"/>
      <c r="E623" s="2"/>
      <c r="F623" s="4"/>
      <c r="G623" s="2"/>
      <c r="H623" s="2"/>
      <c r="I623" s="2"/>
      <c r="J623" s="2"/>
      <c r="K623" s="5"/>
      <c r="L623" s="2"/>
      <c r="M623" s="2"/>
      <c r="N623" s="2"/>
      <c r="O623" s="2"/>
      <c r="P623" s="2"/>
      <c r="Q623" s="2"/>
      <c r="R623" s="7"/>
      <c r="S623" s="224"/>
      <c r="T623" s="224"/>
      <c r="U623" s="224"/>
      <c r="V623" s="224"/>
      <c r="W623" s="9"/>
    </row>
    <row r="624">
      <c r="A624" s="33"/>
      <c r="B624" s="2"/>
      <c r="C624" s="2"/>
      <c r="D624" s="2"/>
      <c r="E624" s="2"/>
      <c r="F624" s="4"/>
      <c r="G624" s="2"/>
      <c r="H624" s="2"/>
      <c r="I624" s="2"/>
      <c r="J624" s="2"/>
      <c r="K624" s="5"/>
      <c r="L624" s="2"/>
      <c r="M624" s="2"/>
      <c r="N624" s="2"/>
      <c r="O624" s="2"/>
      <c r="P624" s="2"/>
      <c r="Q624" s="2"/>
      <c r="R624" s="7"/>
      <c r="S624" s="224"/>
      <c r="T624" s="224"/>
      <c r="U624" s="224"/>
      <c r="V624" s="224"/>
      <c r="W624" s="9"/>
    </row>
    <row r="625">
      <c r="A625" s="33"/>
      <c r="B625" s="2"/>
      <c r="C625" s="2"/>
      <c r="D625" s="2"/>
      <c r="E625" s="2"/>
      <c r="F625" s="4"/>
      <c r="G625" s="2"/>
      <c r="H625" s="2"/>
      <c r="I625" s="2"/>
      <c r="J625" s="2"/>
      <c r="K625" s="5"/>
      <c r="L625" s="2"/>
      <c r="M625" s="2"/>
      <c r="N625" s="2"/>
      <c r="O625" s="2"/>
      <c r="P625" s="2"/>
      <c r="Q625" s="2"/>
      <c r="R625" s="7"/>
      <c r="S625" s="224"/>
      <c r="T625" s="224"/>
      <c r="U625" s="224"/>
      <c r="V625" s="224"/>
      <c r="W625" s="9"/>
    </row>
    <row r="626">
      <c r="A626" s="33"/>
      <c r="B626" s="2"/>
      <c r="C626" s="2"/>
      <c r="D626" s="2"/>
      <c r="E626" s="2"/>
      <c r="F626" s="4"/>
      <c r="G626" s="2"/>
      <c r="H626" s="2"/>
      <c r="I626" s="2"/>
      <c r="J626" s="2"/>
      <c r="K626" s="5"/>
      <c r="L626" s="2"/>
      <c r="M626" s="2"/>
      <c r="N626" s="2"/>
      <c r="O626" s="2"/>
      <c r="P626" s="2"/>
      <c r="Q626" s="2"/>
      <c r="R626" s="7"/>
      <c r="S626" s="224"/>
      <c r="T626" s="224"/>
      <c r="U626" s="224"/>
      <c r="V626" s="224"/>
      <c r="W626" s="9"/>
    </row>
    <row r="627">
      <c r="A627" s="33"/>
      <c r="B627" s="2"/>
      <c r="C627" s="2"/>
      <c r="D627" s="2"/>
      <c r="E627" s="2"/>
      <c r="F627" s="4"/>
      <c r="G627" s="2"/>
      <c r="H627" s="2"/>
      <c r="I627" s="2"/>
      <c r="J627" s="2"/>
      <c r="K627" s="5"/>
      <c r="L627" s="2"/>
      <c r="M627" s="2"/>
      <c r="N627" s="2"/>
      <c r="O627" s="2"/>
      <c r="P627" s="2"/>
      <c r="Q627" s="2"/>
      <c r="R627" s="7"/>
      <c r="S627" s="224"/>
      <c r="T627" s="224"/>
      <c r="U627" s="224"/>
      <c r="V627" s="224"/>
      <c r="W627" s="9"/>
    </row>
    <row r="628">
      <c r="A628" s="33"/>
      <c r="B628" s="2"/>
      <c r="C628" s="2"/>
      <c r="D628" s="2"/>
      <c r="E628" s="2"/>
      <c r="F628" s="4"/>
      <c r="G628" s="2"/>
      <c r="H628" s="2"/>
      <c r="I628" s="2"/>
      <c r="J628" s="2"/>
      <c r="K628" s="5"/>
      <c r="L628" s="2"/>
      <c r="M628" s="2"/>
      <c r="N628" s="2"/>
      <c r="O628" s="2"/>
      <c r="P628" s="2"/>
      <c r="Q628" s="2"/>
      <c r="R628" s="7"/>
      <c r="S628" s="224"/>
      <c r="T628" s="224"/>
      <c r="U628" s="224"/>
      <c r="V628" s="224"/>
      <c r="W628" s="9"/>
    </row>
    <row r="629">
      <c r="A629" s="33"/>
      <c r="B629" s="2"/>
      <c r="C629" s="2"/>
      <c r="D629" s="2"/>
      <c r="E629" s="2"/>
      <c r="F629" s="4"/>
      <c r="G629" s="2"/>
      <c r="H629" s="2"/>
      <c r="I629" s="2"/>
      <c r="J629" s="2"/>
      <c r="K629" s="5"/>
      <c r="L629" s="2"/>
      <c r="M629" s="2"/>
      <c r="N629" s="2"/>
      <c r="O629" s="2"/>
      <c r="P629" s="2"/>
      <c r="Q629" s="2"/>
      <c r="R629" s="7"/>
      <c r="S629" s="224"/>
      <c r="T629" s="224"/>
      <c r="U629" s="224"/>
      <c r="V629" s="224"/>
      <c r="W629" s="9"/>
    </row>
    <row r="630">
      <c r="A630" s="33"/>
      <c r="B630" s="2"/>
      <c r="C630" s="2"/>
      <c r="D630" s="2"/>
      <c r="E630" s="2"/>
      <c r="F630" s="4"/>
      <c r="G630" s="2"/>
      <c r="H630" s="2"/>
      <c r="I630" s="2"/>
      <c r="J630" s="2"/>
      <c r="K630" s="5"/>
      <c r="L630" s="2"/>
      <c r="M630" s="2"/>
      <c r="N630" s="2"/>
      <c r="O630" s="2"/>
      <c r="P630" s="2"/>
      <c r="Q630" s="2"/>
      <c r="R630" s="7"/>
      <c r="S630" s="224"/>
      <c r="T630" s="224"/>
      <c r="U630" s="224"/>
      <c r="V630" s="224"/>
      <c r="W630" s="9"/>
    </row>
    <row r="631">
      <c r="A631" s="33"/>
      <c r="B631" s="2"/>
      <c r="C631" s="2"/>
      <c r="D631" s="2"/>
      <c r="E631" s="2"/>
      <c r="F631" s="4"/>
      <c r="G631" s="2"/>
      <c r="H631" s="2"/>
      <c r="I631" s="2"/>
      <c r="J631" s="2"/>
      <c r="K631" s="5"/>
      <c r="L631" s="2"/>
      <c r="M631" s="2"/>
      <c r="N631" s="2"/>
      <c r="O631" s="2"/>
      <c r="P631" s="2"/>
      <c r="Q631" s="2"/>
      <c r="R631" s="7"/>
      <c r="S631" s="224"/>
      <c r="T631" s="224"/>
      <c r="U631" s="224"/>
      <c r="V631" s="224"/>
      <c r="W631" s="9"/>
    </row>
    <row r="632">
      <c r="A632" s="33"/>
      <c r="B632" s="2"/>
      <c r="C632" s="2"/>
      <c r="D632" s="2"/>
      <c r="E632" s="2"/>
      <c r="F632" s="4"/>
      <c r="G632" s="2"/>
      <c r="H632" s="2"/>
      <c r="I632" s="2"/>
      <c r="J632" s="2"/>
      <c r="K632" s="5"/>
      <c r="L632" s="2"/>
      <c r="M632" s="2"/>
      <c r="N632" s="2"/>
      <c r="O632" s="2"/>
      <c r="P632" s="2"/>
      <c r="Q632" s="2"/>
      <c r="R632" s="7"/>
      <c r="S632" s="224"/>
      <c r="T632" s="224"/>
      <c r="U632" s="224"/>
      <c r="V632" s="224"/>
      <c r="W632" s="9"/>
    </row>
    <row r="633">
      <c r="A633" s="33"/>
      <c r="B633" s="2"/>
      <c r="C633" s="2"/>
      <c r="D633" s="2"/>
      <c r="E633" s="2"/>
      <c r="F633" s="4"/>
      <c r="G633" s="2"/>
      <c r="H633" s="2"/>
      <c r="I633" s="2"/>
      <c r="J633" s="2"/>
      <c r="K633" s="5"/>
      <c r="L633" s="2"/>
      <c r="M633" s="2"/>
      <c r="N633" s="2"/>
      <c r="O633" s="2"/>
      <c r="P633" s="2"/>
      <c r="Q633" s="2"/>
      <c r="R633" s="7"/>
      <c r="S633" s="224"/>
      <c r="T633" s="224"/>
      <c r="U633" s="224"/>
      <c r="V633" s="224"/>
      <c r="W633" s="9"/>
    </row>
    <row r="634">
      <c r="A634" s="33"/>
      <c r="B634" s="2"/>
      <c r="C634" s="2"/>
      <c r="D634" s="2"/>
      <c r="E634" s="2"/>
      <c r="F634" s="4"/>
      <c r="G634" s="2"/>
      <c r="H634" s="2"/>
      <c r="I634" s="2"/>
      <c r="J634" s="2"/>
      <c r="K634" s="5"/>
      <c r="L634" s="2"/>
      <c r="M634" s="2"/>
      <c r="N634" s="2"/>
      <c r="O634" s="2"/>
      <c r="P634" s="2"/>
      <c r="Q634" s="2"/>
      <c r="R634" s="7"/>
      <c r="S634" s="224"/>
      <c r="T634" s="224"/>
      <c r="U634" s="224"/>
      <c r="V634" s="224"/>
      <c r="W634" s="9"/>
    </row>
    <row r="635">
      <c r="A635" s="33"/>
      <c r="B635" s="2"/>
      <c r="C635" s="2"/>
      <c r="D635" s="2"/>
      <c r="E635" s="2"/>
      <c r="F635" s="4"/>
      <c r="G635" s="2"/>
      <c r="H635" s="2"/>
      <c r="I635" s="2"/>
      <c r="J635" s="2"/>
      <c r="K635" s="5"/>
      <c r="L635" s="2"/>
      <c r="M635" s="2"/>
      <c r="N635" s="2"/>
      <c r="O635" s="2"/>
      <c r="P635" s="2"/>
      <c r="Q635" s="2"/>
      <c r="R635" s="7"/>
      <c r="S635" s="224"/>
      <c r="T635" s="224"/>
      <c r="U635" s="224"/>
      <c r="V635" s="224"/>
      <c r="W635" s="9"/>
    </row>
    <row r="636">
      <c r="A636" s="33"/>
      <c r="B636" s="2"/>
      <c r="C636" s="2"/>
      <c r="D636" s="2"/>
      <c r="E636" s="2"/>
      <c r="F636" s="4"/>
      <c r="G636" s="2"/>
      <c r="H636" s="2"/>
      <c r="I636" s="2"/>
      <c r="J636" s="2"/>
      <c r="K636" s="5"/>
      <c r="L636" s="2"/>
      <c r="M636" s="2"/>
      <c r="N636" s="2"/>
      <c r="O636" s="2"/>
      <c r="P636" s="2"/>
      <c r="Q636" s="2"/>
      <c r="R636" s="7"/>
      <c r="S636" s="224"/>
      <c r="T636" s="224"/>
      <c r="U636" s="224"/>
      <c r="V636" s="224"/>
      <c r="W636" s="9"/>
    </row>
    <row r="637">
      <c r="A637" s="33"/>
      <c r="B637" s="2"/>
      <c r="C637" s="2"/>
      <c r="D637" s="2"/>
      <c r="E637" s="2"/>
      <c r="F637" s="4"/>
      <c r="G637" s="2"/>
      <c r="H637" s="2"/>
      <c r="I637" s="2"/>
      <c r="J637" s="2"/>
      <c r="K637" s="5"/>
      <c r="L637" s="2"/>
      <c r="M637" s="2"/>
      <c r="N637" s="2"/>
      <c r="O637" s="2"/>
      <c r="P637" s="2"/>
      <c r="Q637" s="2"/>
      <c r="R637" s="7"/>
      <c r="S637" s="224"/>
      <c r="T637" s="224"/>
      <c r="U637" s="224"/>
      <c r="V637" s="224"/>
      <c r="W637" s="9"/>
    </row>
    <row r="638">
      <c r="A638" s="33"/>
      <c r="B638" s="2"/>
      <c r="C638" s="2"/>
      <c r="D638" s="2"/>
      <c r="E638" s="2"/>
      <c r="F638" s="4"/>
      <c r="G638" s="2"/>
      <c r="H638" s="2"/>
      <c r="I638" s="2"/>
      <c r="J638" s="2"/>
      <c r="K638" s="5"/>
      <c r="L638" s="2"/>
      <c r="M638" s="2"/>
      <c r="N638" s="2"/>
      <c r="O638" s="2"/>
      <c r="P638" s="2"/>
      <c r="Q638" s="2"/>
      <c r="R638" s="7"/>
      <c r="S638" s="224"/>
      <c r="T638" s="224"/>
      <c r="U638" s="224"/>
      <c r="V638" s="224"/>
      <c r="W638" s="9"/>
    </row>
    <row r="639">
      <c r="A639" s="33"/>
      <c r="B639" s="2"/>
      <c r="C639" s="2"/>
      <c r="D639" s="2"/>
      <c r="E639" s="2"/>
      <c r="F639" s="4"/>
      <c r="G639" s="2"/>
      <c r="H639" s="2"/>
      <c r="I639" s="2"/>
      <c r="J639" s="2"/>
      <c r="K639" s="5"/>
      <c r="L639" s="2"/>
      <c r="M639" s="2"/>
      <c r="N639" s="2"/>
      <c r="O639" s="2"/>
      <c r="P639" s="2"/>
      <c r="Q639" s="2"/>
      <c r="R639" s="7"/>
      <c r="S639" s="224"/>
      <c r="T639" s="224"/>
      <c r="U639" s="224"/>
      <c r="V639" s="224"/>
      <c r="W639" s="9"/>
    </row>
    <row r="640">
      <c r="A640" s="33"/>
      <c r="B640" s="2"/>
      <c r="C640" s="2"/>
      <c r="D640" s="2"/>
      <c r="E640" s="2"/>
      <c r="F640" s="4"/>
      <c r="G640" s="2"/>
      <c r="H640" s="2"/>
      <c r="I640" s="2"/>
      <c r="J640" s="2"/>
      <c r="K640" s="5"/>
      <c r="L640" s="2"/>
      <c r="M640" s="2"/>
      <c r="N640" s="2"/>
      <c r="O640" s="2"/>
      <c r="P640" s="2"/>
      <c r="Q640" s="2"/>
      <c r="R640" s="7"/>
      <c r="S640" s="224"/>
      <c r="T640" s="224"/>
      <c r="U640" s="224"/>
      <c r="V640" s="224"/>
      <c r="W640" s="9"/>
    </row>
    <row r="641">
      <c r="A641" s="33"/>
      <c r="B641" s="2"/>
      <c r="C641" s="2"/>
      <c r="D641" s="2"/>
      <c r="E641" s="2"/>
      <c r="F641" s="4"/>
      <c r="G641" s="2"/>
      <c r="H641" s="2"/>
      <c r="I641" s="2"/>
      <c r="J641" s="2"/>
      <c r="K641" s="5"/>
      <c r="L641" s="2"/>
      <c r="M641" s="2"/>
      <c r="N641" s="2"/>
      <c r="O641" s="2"/>
      <c r="P641" s="2"/>
      <c r="Q641" s="2"/>
      <c r="R641" s="7"/>
      <c r="S641" s="224"/>
      <c r="T641" s="224"/>
      <c r="U641" s="224"/>
      <c r="V641" s="224"/>
      <c r="W641" s="9"/>
    </row>
    <row r="642">
      <c r="A642" s="33"/>
      <c r="B642" s="2"/>
      <c r="C642" s="2"/>
      <c r="D642" s="2"/>
      <c r="E642" s="2"/>
      <c r="F642" s="4"/>
      <c r="G642" s="2"/>
      <c r="H642" s="2"/>
      <c r="I642" s="2"/>
      <c r="J642" s="2"/>
      <c r="K642" s="5"/>
      <c r="L642" s="2"/>
      <c r="M642" s="2"/>
      <c r="N642" s="2"/>
      <c r="O642" s="2"/>
      <c r="P642" s="2"/>
      <c r="Q642" s="2"/>
      <c r="R642" s="7"/>
      <c r="S642" s="224"/>
      <c r="T642" s="224"/>
      <c r="U642" s="224"/>
      <c r="V642" s="224"/>
      <c r="W642" s="9"/>
    </row>
    <row r="643">
      <c r="A643" s="33"/>
      <c r="B643" s="2"/>
      <c r="C643" s="2"/>
      <c r="D643" s="2"/>
      <c r="E643" s="2"/>
      <c r="F643" s="4"/>
      <c r="G643" s="2"/>
      <c r="H643" s="2"/>
      <c r="I643" s="2"/>
      <c r="J643" s="2"/>
      <c r="K643" s="5"/>
      <c r="L643" s="2"/>
      <c r="M643" s="2"/>
      <c r="N643" s="2"/>
      <c r="O643" s="2"/>
      <c r="P643" s="2"/>
      <c r="Q643" s="2"/>
      <c r="R643" s="7"/>
      <c r="S643" s="224"/>
      <c r="T643" s="224"/>
      <c r="U643" s="224"/>
      <c r="V643" s="224"/>
      <c r="W643" s="9"/>
    </row>
    <row r="644">
      <c r="A644" s="33"/>
      <c r="B644" s="2"/>
      <c r="C644" s="2"/>
      <c r="D644" s="2"/>
      <c r="E644" s="2"/>
      <c r="F644" s="4"/>
      <c r="G644" s="2"/>
      <c r="H644" s="2"/>
      <c r="I644" s="2"/>
      <c r="J644" s="2"/>
      <c r="K644" s="5"/>
      <c r="L644" s="2"/>
      <c r="M644" s="2"/>
      <c r="N644" s="2"/>
      <c r="O644" s="2"/>
      <c r="P644" s="2"/>
      <c r="Q644" s="2"/>
      <c r="R644" s="7"/>
      <c r="S644" s="224"/>
      <c r="T644" s="224"/>
      <c r="U644" s="224"/>
      <c r="V644" s="224"/>
      <c r="W644" s="9"/>
    </row>
    <row r="645">
      <c r="A645" s="33"/>
      <c r="B645" s="2"/>
      <c r="C645" s="2"/>
      <c r="D645" s="2"/>
      <c r="E645" s="2"/>
      <c r="F645" s="4"/>
      <c r="G645" s="2"/>
      <c r="H645" s="2"/>
      <c r="I645" s="2"/>
      <c r="J645" s="2"/>
      <c r="K645" s="5"/>
      <c r="L645" s="2"/>
      <c r="M645" s="2"/>
      <c r="N645" s="2"/>
      <c r="O645" s="2"/>
      <c r="P645" s="2"/>
      <c r="Q645" s="2"/>
      <c r="R645" s="7"/>
      <c r="S645" s="224"/>
      <c r="T645" s="224"/>
      <c r="U645" s="224"/>
      <c r="V645" s="224"/>
      <c r="W645" s="9"/>
    </row>
    <row r="646">
      <c r="A646" s="33"/>
      <c r="B646" s="2"/>
      <c r="C646" s="2"/>
      <c r="D646" s="2"/>
      <c r="E646" s="2"/>
      <c r="F646" s="4"/>
      <c r="G646" s="2"/>
      <c r="H646" s="2"/>
      <c r="I646" s="2"/>
      <c r="J646" s="2"/>
      <c r="K646" s="5"/>
      <c r="L646" s="2"/>
      <c r="M646" s="2"/>
      <c r="N646" s="2"/>
      <c r="O646" s="2"/>
      <c r="P646" s="2"/>
      <c r="Q646" s="2"/>
      <c r="R646" s="7"/>
      <c r="S646" s="224"/>
      <c r="T646" s="224"/>
      <c r="U646" s="224"/>
      <c r="V646" s="224"/>
      <c r="W646" s="9"/>
    </row>
    <row r="647">
      <c r="A647" s="33"/>
      <c r="B647" s="2"/>
      <c r="C647" s="2"/>
      <c r="D647" s="2"/>
      <c r="E647" s="2"/>
      <c r="F647" s="4"/>
      <c r="G647" s="2"/>
      <c r="H647" s="2"/>
      <c r="I647" s="2"/>
      <c r="J647" s="2"/>
      <c r="K647" s="5"/>
      <c r="L647" s="2"/>
      <c r="M647" s="2"/>
      <c r="N647" s="2"/>
      <c r="O647" s="2"/>
      <c r="P647" s="2"/>
      <c r="Q647" s="2"/>
      <c r="R647" s="7"/>
      <c r="S647" s="224"/>
      <c r="T647" s="224"/>
      <c r="U647" s="224"/>
      <c r="V647" s="224"/>
      <c r="W647" s="9"/>
    </row>
    <row r="648">
      <c r="A648" s="33"/>
      <c r="B648" s="2"/>
      <c r="C648" s="2"/>
      <c r="D648" s="2"/>
      <c r="E648" s="2"/>
      <c r="F648" s="4"/>
      <c r="G648" s="2"/>
      <c r="H648" s="2"/>
      <c r="I648" s="2"/>
      <c r="J648" s="2"/>
      <c r="K648" s="5"/>
      <c r="L648" s="2"/>
      <c r="M648" s="2"/>
      <c r="N648" s="2"/>
      <c r="O648" s="2"/>
      <c r="P648" s="2"/>
      <c r="Q648" s="2"/>
      <c r="R648" s="7"/>
      <c r="S648" s="224"/>
      <c r="T648" s="224"/>
      <c r="U648" s="224"/>
      <c r="V648" s="224"/>
      <c r="W648" s="9"/>
    </row>
    <row r="649">
      <c r="A649" s="33"/>
      <c r="B649" s="2"/>
      <c r="C649" s="2"/>
      <c r="D649" s="2"/>
      <c r="E649" s="2"/>
      <c r="F649" s="4"/>
      <c r="G649" s="2"/>
      <c r="H649" s="2"/>
      <c r="I649" s="2"/>
      <c r="J649" s="2"/>
      <c r="K649" s="5"/>
      <c r="L649" s="2"/>
      <c r="M649" s="2"/>
      <c r="N649" s="2"/>
      <c r="O649" s="2"/>
      <c r="P649" s="2"/>
      <c r="Q649" s="2"/>
      <c r="R649" s="7"/>
      <c r="S649" s="224"/>
      <c r="T649" s="224"/>
      <c r="U649" s="224"/>
      <c r="V649" s="224"/>
      <c r="W649" s="9"/>
    </row>
    <row r="650">
      <c r="A650" s="33"/>
      <c r="B650" s="2"/>
      <c r="C650" s="2"/>
      <c r="D650" s="2"/>
      <c r="E650" s="2"/>
      <c r="F650" s="4"/>
      <c r="G650" s="2"/>
      <c r="H650" s="2"/>
      <c r="I650" s="2"/>
      <c r="J650" s="2"/>
      <c r="K650" s="5"/>
      <c r="L650" s="2"/>
      <c r="M650" s="2"/>
      <c r="N650" s="2"/>
      <c r="O650" s="2"/>
      <c r="P650" s="2"/>
      <c r="Q650" s="2"/>
      <c r="R650" s="7"/>
      <c r="S650" s="224"/>
      <c r="T650" s="224"/>
      <c r="U650" s="224"/>
      <c r="V650" s="224"/>
      <c r="W650" s="9"/>
    </row>
    <row r="651">
      <c r="A651" s="33"/>
      <c r="B651" s="2"/>
      <c r="C651" s="2"/>
      <c r="D651" s="2"/>
      <c r="E651" s="2"/>
      <c r="F651" s="4"/>
      <c r="G651" s="2"/>
      <c r="H651" s="2"/>
      <c r="I651" s="2"/>
      <c r="J651" s="2"/>
      <c r="K651" s="5"/>
      <c r="L651" s="2"/>
      <c r="M651" s="2"/>
      <c r="N651" s="2"/>
      <c r="O651" s="2"/>
      <c r="P651" s="2"/>
      <c r="Q651" s="2"/>
      <c r="R651" s="7"/>
      <c r="S651" s="224"/>
      <c r="T651" s="224"/>
      <c r="U651" s="224"/>
      <c r="V651" s="224"/>
      <c r="W651" s="9"/>
    </row>
    <row r="652">
      <c r="A652" s="33"/>
      <c r="B652" s="2"/>
      <c r="C652" s="2"/>
      <c r="D652" s="2"/>
      <c r="E652" s="2"/>
      <c r="F652" s="4"/>
      <c r="G652" s="2"/>
      <c r="H652" s="2"/>
      <c r="I652" s="2"/>
      <c r="J652" s="2"/>
      <c r="K652" s="5"/>
      <c r="L652" s="2"/>
      <c r="M652" s="2"/>
      <c r="N652" s="2"/>
      <c r="O652" s="2"/>
      <c r="P652" s="2"/>
      <c r="Q652" s="2"/>
      <c r="R652" s="7"/>
      <c r="S652" s="224"/>
      <c r="T652" s="224"/>
      <c r="U652" s="224"/>
      <c r="V652" s="224"/>
      <c r="W652" s="9"/>
    </row>
    <row r="653">
      <c r="A653" s="33"/>
      <c r="B653" s="2"/>
      <c r="C653" s="2"/>
      <c r="D653" s="2"/>
      <c r="E653" s="2"/>
      <c r="F653" s="4"/>
      <c r="G653" s="2"/>
      <c r="H653" s="2"/>
      <c r="I653" s="2"/>
      <c r="J653" s="2"/>
      <c r="K653" s="5"/>
      <c r="L653" s="2"/>
      <c r="M653" s="2"/>
      <c r="N653" s="2"/>
      <c r="O653" s="2"/>
      <c r="P653" s="2"/>
      <c r="Q653" s="2"/>
      <c r="R653" s="7"/>
      <c r="S653" s="224"/>
      <c r="T653" s="224"/>
      <c r="U653" s="224"/>
      <c r="V653" s="224"/>
      <c r="W653" s="9"/>
    </row>
    <row r="654">
      <c r="A654" s="33"/>
      <c r="B654" s="2"/>
      <c r="C654" s="2"/>
      <c r="D654" s="2"/>
      <c r="E654" s="2"/>
      <c r="F654" s="4"/>
      <c r="G654" s="2"/>
      <c r="H654" s="2"/>
      <c r="I654" s="2"/>
      <c r="J654" s="2"/>
      <c r="K654" s="5"/>
      <c r="L654" s="2"/>
      <c r="M654" s="2"/>
      <c r="N654" s="2"/>
      <c r="O654" s="2"/>
      <c r="P654" s="2"/>
      <c r="Q654" s="2"/>
      <c r="R654" s="7"/>
      <c r="S654" s="224"/>
      <c r="T654" s="224"/>
      <c r="U654" s="224"/>
      <c r="V654" s="224"/>
      <c r="W654" s="9"/>
    </row>
    <row r="655">
      <c r="A655" s="33"/>
      <c r="B655" s="2"/>
      <c r="C655" s="2"/>
      <c r="D655" s="2"/>
      <c r="E655" s="2"/>
      <c r="F655" s="4"/>
      <c r="G655" s="2"/>
      <c r="H655" s="2"/>
      <c r="I655" s="2"/>
      <c r="J655" s="2"/>
      <c r="K655" s="5"/>
      <c r="L655" s="2"/>
      <c r="M655" s="2"/>
      <c r="N655" s="2"/>
      <c r="O655" s="2"/>
      <c r="P655" s="2"/>
      <c r="Q655" s="2"/>
      <c r="R655" s="7"/>
      <c r="S655" s="224"/>
      <c r="T655" s="224"/>
      <c r="U655" s="224"/>
      <c r="V655" s="224"/>
      <c r="W655" s="9"/>
    </row>
    <row r="656">
      <c r="A656" s="33"/>
      <c r="B656" s="2"/>
      <c r="C656" s="2"/>
      <c r="D656" s="2"/>
      <c r="E656" s="2"/>
      <c r="F656" s="4"/>
      <c r="G656" s="2"/>
      <c r="H656" s="2"/>
      <c r="I656" s="2"/>
      <c r="J656" s="2"/>
      <c r="K656" s="5"/>
      <c r="L656" s="2"/>
      <c r="M656" s="2"/>
      <c r="N656" s="2"/>
      <c r="O656" s="2"/>
      <c r="P656" s="2"/>
      <c r="Q656" s="2"/>
      <c r="R656" s="7"/>
      <c r="S656" s="224"/>
      <c r="T656" s="224"/>
      <c r="U656" s="224"/>
      <c r="V656" s="224"/>
      <c r="W656" s="9"/>
    </row>
    <row r="657">
      <c r="A657" s="33"/>
      <c r="B657" s="2"/>
      <c r="C657" s="2"/>
      <c r="D657" s="2"/>
      <c r="E657" s="2"/>
      <c r="F657" s="4"/>
      <c r="G657" s="2"/>
      <c r="H657" s="2"/>
      <c r="I657" s="2"/>
      <c r="J657" s="2"/>
      <c r="K657" s="5"/>
      <c r="L657" s="2"/>
      <c r="M657" s="2"/>
      <c r="N657" s="2"/>
      <c r="O657" s="2"/>
      <c r="P657" s="2"/>
      <c r="Q657" s="2"/>
      <c r="R657" s="7"/>
      <c r="S657" s="224"/>
      <c r="T657" s="224"/>
      <c r="U657" s="224"/>
      <c r="V657" s="224"/>
      <c r="W657" s="9"/>
    </row>
    <row r="658">
      <c r="A658" s="33"/>
      <c r="B658" s="2"/>
      <c r="C658" s="2"/>
      <c r="D658" s="2"/>
      <c r="E658" s="2"/>
      <c r="F658" s="4"/>
      <c r="G658" s="2"/>
      <c r="H658" s="2"/>
      <c r="I658" s="2"/>
      <c r="J658" s="2"/>
      <c r="K658" s="5"/>
      <c r="L658" s="2"/>
      <c r="M658" s="2"/>
      <c r="N658" s="2"/>
      <c r="O658" s="2"/>
      <c r="P658" s="2"/>
      <c r="Q658" s="2"/>
      <c r="R658" s="7"/>
      <c r="S658" s="224"/>
      <c r="T658" s="224"/>
      <c r="U658" s="224"/>
      <c r="V658" s="224"/>
      <c r="W658" s="9"/>
    </row>
    <row r="659">
      <c r="A659" s="33"/>
      <c r="B659" s="2"/>
      <c r="C659" s="2"/>
      <c r="D659" s="2"/>
      <c r="E659" s="2"/>
      <c r="F659" s="4"/>
      <c r="G659" s="2"/>
      <c r="H659" s="2"/>
      <c r="I659" s="2"/>
      <c r="J659" s="2"/>
      <c r="K659" s="5"/>
      <c r="L659" s="2"/>
      <c r="M659" s="2"/>
      <c r="N659" s="2"/>
      <c r="O659" s="2"/>
      <c r="P659" s="2"/>
      <c r="Q659" s="2"/>
      <c r="R659" s="7"/>
      <c r="S659" s="224"/>
      <c r="T659" s="224"/>
      <c r="U659" s="224"/>
      <c r="V659" s="224"/>
      <c r="W659" s="9"/>
    </row>
    <row r="660">
      <c r="A660" s="33"/>
      <c r="B660" s="2"/>
      <c r="C660" s="2"/>
      <c r="D660" s="2"/>
      <c r="E660" s="2"/>
      <c r="F660" s="4"/>
      <c r="G660" s="2"/>
      <c r="H660" s="2"/>
      <c r="I660" s="2"/>
      <c r="J660" s="2"/>
      <c r="K660" s="5"/>
      <c r="L660" s="2"/>
      <c r="M660" s="2"/>
      <c r="N660" s="2"/>
      <c r="O660" s="2"/>
      <c r="P660" s="2"/>
      <c r="Q660" s="2"/>
      <c r="R660" s="7"/>
      <c r="S660" s="224"/>
      <c r="T660" s="224"/>
      <c r="U660" s="224"/>
      <c r="V660" s="224"/>
      <c r="W660" s="9"/>
    </row>
    <row r="661">
      <c r="A661" s="33"/>
      <c r="B661" s="2"/>
      <c r="C661" s="2"/>
      <c r="D661" s="2"/>
      <c r="E661" s="2"/>
      <c r="F661" s="4"/>
      <c r="G661" s="2"/>
      <c r="H661" s="2"/>
      <c r="I661" s="2"/>
      <c r="J661" s="2"/>
      <c r="K661" s="5"/>
      <c r="L661" s="2"/>
      <c r="M661" s="2"/>
      <c r="N661" s="2"/>
      <c r="O661" s="2"/>
      <c r="P661" s="2"/>
      <c r="Q661" s="2"/>
      <c r="R661" s="7"/>
      <c r="S661" s="224"/>
      <c r="T661" s="224"/>
      <c r="U661" s="224"/>
      <c r="V661" s="224"/>
      <c r="W661" s="9"/>
    </row>
    <row r="662">
      <c r="A662" s="33"/>
      <c r="B662" s="2"/>
      <c r="C662" s="2"/>
      <c r="D662" s="2"/>
      <c r="E662" s="2"/>
      <c r="F662" s="4"/>
      <c r="G662" s="2"/>
      <c r="H662" s="2"/>
      <c r="I662" s="2"/>
      <c r="J662" s="2"/>
      <c r="K662" s="5"/>
      <c r="L662" s="2"/>
      <c r="M662" s="2"/>
      <c r="N662" s="2"/>
      <c r="O662" s="2"/>
      <c r="P662" s="2"/>
      <c r="Q662" s="2"/>
      <c r="R662" s="7"/>
      <c r="S662" s="224"/>
      <c r="T662" s="224"/>
      <c r="U662" s="224"/>
      <c r="V662" s="224"/>
      <c r="W662" s="9"/>
    </row>
    <row r="663">
      <c r="A663" s="33"/>
      <c r="B663" s="2"/>
      <c r="C663" s="2"/>
      <c r="D663" s="2"/>
      <c r="E663" s="2"/>
      <c r="F663" s="4"/>
      <c r="G663" s="2"/>
      <c r="H663" s="2"/>
      <c r="I663" s="2"/>
      <c r="J663" s="2"/>
      <c r="K663" s="5"/>
      <c r="L663" s="2"/>
      <c r="M663" s="2"/>
      <c r="N663" s="2"/>
      <c r="O663" s="2"/>
      <c r="P663" s="2"/>
      <c r="Q663" s="2"/>
      <c r="R663" s="7"/>
      <c r="S663" s="224"/>
      <c r="T663" s="224"/>
      <c r="U663" s="224"/>
      <c r="V663" s="224"/>
      <c r="W663" s="9"/>
    </row>
    <row r="664">
      <c r="A664" s="33"/>
      <c r="B664" s="2"/>
      <c r="C664" s="2"/>
      <c r="D664" s="2"/>
      <c r="E664" s="2"/>
      <c r="F664" s="4"/>
      <c r="G664" s="2"/>
      <c r="H664" s="2"/>
      <c r="I664" s="2"/>
      <c r="J664" s="2"/>
      <c r="K664" s="5"/>
      <c r="L664" s="2"/>
      <c r="M664" s="2"/>
      <c r="N664" s="2"/>
      <c r="O664" s="2"/>
      <c r="P664" s="2"/>
      <c r="Q664" s="2"/>
      <c r="R664" s="7"/>
      <c r="S664" s="224"/>
      <c r="T664" s="224"/>
      <c r="U664" s="224"/>
      <c r="V664" s="224"/>
      <c r="W664" s="9"/>
    </row>
    <row r="665">
      <c r="A665" s="33"/>
      <c r="B665" s="2"/>
      <c r="C665" s="2"/>
      <c r="D665" s="2"/>
      <c r="E665" s="2"/>
      <c r="F665" s="4"/>
      <c r="G665" s="2"/>
      <c r="H665" s="2"/>
      <c r="I665" s="2"/>
      <c r="J665" s="2"/>
      <c r="K665" s="5"/>
      <c r="L665" s="2"/>
      <c r="M665" s="2"/>
      <c r="N665" s="2"/>
      <c r="O665" s="2"/>
      <c r="P665" s="2"/>
      <c r="Q665" s="2"/>
      <c r="R665" s="7"/>
      <c r="S665" s="224"/>
      <c r="T665" s="224"/>
      <c r="U665" s="224"/>
      <c r="V665" s="224"/>
      <c r="W665" s="9"/>
    </row>
    <row r="666">
      <c r="A666" s="33"/>
      <c r="B666" s="2"/>
      <c r="C666" s="2"/>
      <c r="D666" s="2"/>
      <c r="E666" s="2"/>
      <c r="F666" s="4"/>
      <c r="G666" s="2"/>
      <c r="H666" s="2"/>
      <c r="I666" s="2"/>
      <c r="J666" s="2"/>
      <c r="K666" s="5"/>
      <c r="L666" s="2"/>
      <c r="M666" s="2"/>
      <c r="N666" s="2"/>
      <c r="O666" s="2"/>
      <c r="P666" s="2"/>
      <c r="Q666" s="2"/>
      <c r="R666" s="7"/>
      <c r="S666" s="224"/>
      <c r="T666" s="224"/>
      <c r="U666" s="224"/>
      <c r="V666" s="224"/>
      <c r="W666" s="9"/>
    </row>
    <row r="667">
      <c r="A667" s="33"/>
      <c r="B667" s="2"/>
      <c r="C667" s="2"/>
      <c r="D667" s="2"/>
      <c r="E667" s="2"/>
      <c r="F667" s="4"/>
      <c r="G667" s="2"/>
      <c r="H667" s="2"/>
      <c r="I667" s="2"/>
      <c r="J667" s="2"/>
      <c r="K667" s="5"/>
      <c r="L667" s="2"/>
      <c r="M667" s="2"/>
      <c r="N667" s="2"/>
      <c r="O667" s="2"/>
      <c r="P667" s="2"/>
      <c r="Q667" s="2"/>
      <c r="R667" s="7"/>
      <c r="S667" s="224"/>
      <c r="T667" s="224"/>
      <c r="U667" s="224"/>
      <c r="V667" s="224"/>
      <c r="W667" s="9"/>
    </row>
    <row r="668">
      <c r="A668" s="33"/>
      <c r="B668" s="2"/>
      <c r="C668" s="2"/>
      <c r="D668" s="2"/>
      <c r="E668" s="2"/>
      <c r="F668" s="4"/>
      <c r="G668" s="2"/>
      <c r="H668" s="2"/>
      <c r="I668" s="2"/>
      <c r="J668" s="2"/>
      <c r="K668" s="5"/>
      <c r="L668" s="2"/>
      <c r="M668" s="2"/>
      <c r="N668" s="2"/>
      <c r="O668" s="2"/>
      <c r="P668" s="2"/>
      <c r="Q668" s="2"/>
      <c r="R668" s="7"/>
      <c r="S668" s="224"/>
      <c r="T668" s="224"/>
      <c r="U668" s="224"/>
      <c r="V668" s="224"/>
      <c r="W668" s="9"/>
    </row>
    <row r="669">
      <c r="A669" s="33"/>
      <c r="B669" s="2"/>
      <c r="C669" s="2"/>
      <c r="D669" s="2"/>
      <c r="E669" s="2"/>
      <c r="F669" s="4"/>
      <c r="G669" s="2"/>
      <c r="H669" s="2"/>
      <c r="I669" s="2"/>
      <c r="J669" s="2"/>
      <c r="K669" s="5"/>
      <c r="L669" s="2"/>
      <c r="M669" s="2"/>
      <c r="N669" s="2"/>
      <c r="O669" s="2"/>
      <c r="P669" s="2"/>
      <c r="Q669" s="2"/>
      <c r="R669" s="7"/>
      <c r="S669" s="224"/>
      <c r="T669" s="224"/>
      <c r="U669" s="224"/>
      <c r="V669" s="224"/>
      <c r="W669" s="9"/>
    </row>
    <row r="670">
      <c r="A670" s="33"/>
      <c r="B670" s="2"/>
      <c r="C670" s="2"/>
      <c r="D670" s="2"/>
      <c r="E670" s="2"/>
      <c r="F670" s="4"/>
      <c r="G670" s="2"/>
      <c r="H670" s="2"/>
      <c r="I670" s="2"/>
      <c r="J670" s="2"/>
      <c r="K670" s="5"/>
      <c r="L670" s="2"/>
      <c r="M670" s="2"/>
      <c r="N670" s="2"/>
      <c r="O670" s="2"/>
      <c r="P670" s="2"/>
      <c r="Q670" s="2"/>
      <c r="R670" s="7"/>
      <c r="S670" s="224"/>
      <c r="T670" s="224"/>
      <c r="U670" s="224"/>
      <c r="V670" s="224"/>
      <c r="W670" s="9"/>
    </row>
    <row r="671">
      <c r="A671" s="33"/>
      <c r="B671" s="2"/>
      <c r="C671" s="2"/>
      <c r="D671" s="2"/>
      <c r="E671" s="2"/>
      <c r="F671" s="4"/>
      <c r="G671" s="2"/>
      <c r="H671" s="2"/>
      <c r="I671" s="2"/>
      <c r="J671" s="2"/>
      <c r="K671" s="5"/>
      <c r="L671" s="2"/>
      <c r="M671" s="2"/>
      <c r="N671" s="2"/>
      <c r="O671" s="2"/>
      <c r="P671" s="2"/>
      <c r="Q671" s="2"/>
      <c r="R671" s="7"/>
      <c r="S671" s="224"/>
      <c r="T671" s="224"/>
      <c r="U671" s="224"/>
      <c r="V671" s="224"/>
      <c r="W671" s="9"/>
    </row>
    <row r="672">
      <c r="A672" s="33"/>
      <c r="B672" s="2"/>
      <c r="C672" s="2"/>
      <c r="D672" s="2"/>
      <c r="E672" s="2"/>
      <c r="F672" s="4"/>
      <c r="G672" s="2"/>
      <c r="H672" s="2"/>
      <c r="I672" s="2"/>
      <c r="J672" s="2"/>
      <c r="K672" s="5"/>
      <c r="L672" s="2"/>
      <c r="M672" s="2"/>
      <c r="N672" s="2"/>
      <c r="O672" s="2"/>
      <c r="P672" s="2"/>
      <c r="Q672" s="2"/>
      <c r="R672" s="7"/>
      <c r="S672" s="224"/>
      <c r="T672" s="224"/>
      <c r="U672" s="224"/>
      <c r="V672" s="224"/>
      <c r="W672" s="9"/>
    </row>
    <row r="673">
      <c r="A673" s="33"/>
      <c r="B673" s="2"/>
      <c r="C673" s="2"/>
      <c r="D673" s="2"/>
      <c r="E673" s="2"/>
      <c r="F673" s="4"/>
      <c r="G673" s="2"/>
      <c r="H673" s="2"/>
      <c r="I673" s="2"/>
      <c r="J673" s="2"/>
      <c r="K673" s="5"/>
      <c r="L673" s="2"/>
      <c r="M673" s="2"/>
      <c r="N673" s="2"/>
      <c r="O673" s="2"/>
      <c r="P673" s="2"/>
      <c r="Q673" s="2"/>
      <c r="R673" s="7"/>
      <c r="S673" s="224"/>
      <c r="T673" s="224"/>
      <c r="U673" s="224"/>
      <c r="V673" s="224"/>
      <c r="W673" s="9"/>
    </row>
    <row r="674">
      <c r="A674" s="33"/>
      <c r="B674" s="2"/>
      <c r="C674" s="2"/>
      <c r="D674" s="2"/>
      <c r="E674" s="2"/>
      <c r="F674" s="4"/>
      <c r="G674" s="2"/>
      <c r="H674" s="2"/>
      <c r="I674" s="2"/>
      <c r="J674" s="2"/>
      <c r="K674" s="5"/>
      <c r="L674" s="2"/>
      <c r="M674" s="2"/>
      <c r="N674" s="2"/>
      <c r="O674" s="2"/>
      <c r="P674" s="2"/>
      <c r="Q674" s="2"/>
      <c r="R674" s="7"/>
      <c r="S674" s="224"/>
      <c r="T674" s="224"/>
      <c r="U674" s="224"/>
      <c r="V674" s="224"/>
      <c r="W674" s="9"/>
    </row>
    <row r="675">
      <c r="A675" s="33"/>
      <c r="B675" s="2"/>
      <c r="C675" s="2"/>
      <c r="D675" s="2"/>
      <c r="E675" s="2"/>
      <c r="F675" s="4"/>
      <c r="G675" s="2"/>
      <c r="H675" s="2"/>
      <c r="I675" s="2"/>
      <c r="J675" s="2"/>
      <c r="K675" s="5"/>
      <c r="L675" s="2"/>
      <c r="M675" s="2"/>
      <c r="N675" s="2"/>
      <c r="O675" s="2"/>
      <c r="P675" s="2"/>
      <c r="Q675" s="2"/>
      <c r="R675" s="7"/>
      <c r="S675" s="224"/>
      <c r="T675" s="224"/>
      <c r="U675" s="224"/>
      <c r="V675" s="224"/>
      <c r="W675" s="9"/>
    </row>
    <row r="676">
      <c r="A676" s="33"/>
      <c r="B676" s="2"/>
      <c r="C676" s="2"/>
      <c r="D676" s="2"/>
      <c r="E676" s="2"/>
      <c r="F676" s="4"/>
      <c r="G676" s="2"/>
      <c r="H676" s="2"/>
      <c r="I676" s="2"/>
      <c r="J676" s="2"/>
      <c r="K676" s="5"/>
      <c r="L676" s="2"/>
      <c r="M676" s="2"/>
      <c r="N676" s="2"/>
      <c r="O676" s="2"/>
      <c r="P676" s="2"/>
      <c r="Q676" s="2"/>
      <c r="R676" s="7"/>
      <c r="S676" s="224"/>
      <c r="T676" s="224"/>
      <c r="U676" s="224"/>
      <c r="V676" s="224"/>
      <c r="W676" s="9"/>
    </row>
    <row r="677">
      <c r="A677" s="33"/>
      <c r="B677" s="2"/>
      <c r="C677" s="2"/>
      <c r="D677" s="2"/>
      <c r="E677" s="2"/>
      <c r="F677" s="4"/>
      <c r="G677" s="2"/>
      <c r="H677" s="2"/>
      <c r="I677" s="2"/>
      <c r="J677" s="2"/>
      <c r="K677" s="5"/>
      <c r="L677" s="2"/>
      <c r="M677" s="2"/>
      <c r="N677" s="2"/>
      <c r="O677" s="2"/>
      <c r="P677" s="2"/>
      <c r="Q677" s="2"/>
      <c r="R677" s="7"/>
      <c r="S677" s="224"/>
      <c r="T677" s="224"/>
      <c r="U677" s="224"/>
      <c r="V677" s="224"/>
      <c r="W677" s="9"/>
    </row>
    <row r="678">
      <c r="A678" s="33"/>
      <c r="B678" s="2"/>
      <c r="C678" s="2"/>
      <c r="D678" s="2"/>
      <c r="E678" s="2"/>
      <c r="F678" s="4"/>
      <c r="G678" s="2"/>
      <c r="H678" s="2"/>
      <c r="I678" s="2"/>
      <c r="J678" s="2"/>
      <c r="K678" s="5"/>
      <c r="L678" s="2"/>
      <c r="M678" s="2"/>
      <c r="N678" s="2"/>
      <c r="O678" s="2"/>
      <c r="P678" s="2"/>
      <c r="Q678" s="2"/>
      <c r="R678" s="7"/>
      <c r="S678" s="224"/>
      <c r="T678" s="224"/>
      <c r="U678" s="224"/>
      <c r="V678" s="224"/>
      <c r="W678" s="9"/>
    </row>
    <row r="679">
      <c r="A679" s="33"/>
      <c r="B679" s="2"/>
      <c r="C679" s="2"/>
      <c r="D679" s="2"/>
      <c r="E679" s="2"/>
      <c r="F679" s="4"/>
      <c r="G679" s="2"/>
      <c r="H679" s="2"/>
      <c r="I679" s="2"/>
      <c r="J679" s="2"/>
      <c r="K679" s="5"/>
      <c r="L679" s="2"/>
      <c r="M679" s="2"/>
      <c r="N679" s="2"/>
      <c r="O679" s="2"/>
      <c r="P679" s="2"/>
      <c r="Q679" s="2"/>
      <c r="R679" s="7"/>
      <c r="S679" s="224"/>
      <c r="T679" s="224"/>
      <c r="U679" s="224"/>
      <c r="V679" s="224"/>
      <c r="W679" s="9"/>
    </row>
    <row r="680">
      <c r="A680" s="33"/>
      <c r="B680" s="2"/>
      <c r="C680" s="2"/>
      <c r="D680" s="2"/>
      <c r="E680" s="2"/>
      <c r="F680" s="4"/>
      <c r="G680" s="2"/>
      <c r="H680" s="2"/>
      <c r="I680" s="2"/>
      <c r="J680" s="2"/>
      <c r="K680" s="5"/>
      <c r="L680" s="2"/>
      <c r="M680" s="2"/>
      <c r="N680" s="2"/>
      <c r="O680" s="2"/>
      <c r="P680" s="2"/>
      <c r="Q680" s="2"/>
      <c r="R680" s="7"/>
      <c r="S680" s="224"/>
      <c r="T680" s="224"/>
      <c r="U680" s="224"/>
      <c r="V680" s="224"/>
      <c r="W680" s="9"/>
    </row>
    <row r="681">
      <c r="A681" s="33"/>
      <c r="B681" s="2"/>
      <c r="C681" s="2"/>
      <c r="D681" s="2"/>
      <c r="E681" s="2"/>
      <c r="F681" s="4"/>
      <c r="G681" s="2"/>
      <c r="H681" s="2"/>
      <c r="I681" s="2"/>
      <c r="J681" s="2"/>
      <c r="K681" s="5"/>
      <c r="L681" s="2"/>
      <c r="M681" s="2"/>
      <c r="N681" s="2"/>
      <c r="O681" s="2"/>
      <c r="P681" s="2"/>
      <c r="Q681" s="2"/>
      <c r="R681" s="7"/>
      <c r="S681" s="224"/>
      <c r="T681" s="224"/>
      <c r="U681" s="224"/>
      <c r="V681" s="224"/>
      <c r="W681" s="9"/>
    </row>
    <row r="682">
      <c r="A682" s="33"/>
      <c r="B682" s="2"/>
      <c r="C682" s="2"/>
      <c r="D682" s="2"/>
      <c r="E682" s="2"/>
      <c r="F682" s="4"/>
      <c r="G682" s="2"/>
      <c r="H682" s="2"/>
      <c r="I682" s="2"/>
      <c r="J682" s="2"/>
      <c r="K682" s="5"/>
      <c r="L682" s="2"/>
      <c r="M682" s="2"/>
      <c r="N682" s="2"/>
      <c r="O682" s="2"/>
      <c r="P682" s="2"/>
      <c r="Q682" s="2"/>
      <c r="R682" s="7"/>
      <c r="S682" s="224"/>
      <c r="T682" s="224"/>
      <c r="U682" s="224"/>
      <c r="V682" s="224"/>
      <c r="W682" s="9"/>
    </row>
    <row r="683">
      <c r="A683" s="33"/>
      <c r="B683" s="2"/>
      <c r="C683" s="2"/>
      <c r="D683" s="2"/>
      <c r="E683" s="2"/>
      <c r="F683" s="4"/>
      <c r="G683" s="2"/>
      <c r="H683" s="2"/>
      <c r="I683" s="2"/>
      <c r="J683" s="2"/>
      <c r="K683" s="5"/>
      <c r="L683" s="2"/>
      <c r="M683" s="2"/>
      <c r="N683" s="2"/>
      <c r="O683" s="2"/>
      <c r="P683" s="2"/>
      <c r="Q683" s="2"/>
      <c r="R683" s="7"/>
      <c r="S683" s="224"/>
      <c r="T683" s="224"/>
      <c r="U683" s="224"/>
      <c r="V683" s="224"/>
      <c r="W683" s="9"/>
    </row>
    <row r="684">
      <c r="A684" s="33"/>
      <c r="B684" s="2"/>
      <c r="C684" s="2"/>
      <c r="D684" s="2"/>
      <c r="E684" s="2"/>
      <c r="F684" s="4"/>
      <c r="G684" s="2"/>
      <c r="H684" s="2"/>
      <c r="I684" s="2"/>
      <c r="J684" s="2"/>
      <c r="K684" s="5"/>
      <c r="L684" s="2"/>
      <c r="M684" s="2"/>
      <c r="N684" s="2"/>
      <c r="O684" s="2"/>
      <c r="P684" s="2"/>
      <c r="Q684" s="2"/>
      <c r="R684" s="7"/>
      <c r="S684" s="224"/>
      <c r="T684" s="224"/>
      <c r="U684" s="224"/>
      <c r="V684" s="224"/>
      <c r="W684" s="9"/>
    </row>
    <row r="685">
      <c r="A685" s="33"/>
      <c r="B685" s="2"/>
      <c r="C685" s="2"/>
      <c r="D685" s="2"/>
      <c r="E685" s="2"/>
      <c r="F685" s="4"/>
      <c r="G685" s="2"/>
      <c r="H685" s="2"/>
      <c r="I685" s="2"/>
      <c r="J685" s="2"/>
      <c r="K685" s="5"/>
      <c r="L685" s="2"/>
      <c r="M685" s="2"/>
      <c r="N685" s="2"/>
      <c r="O685" s="2"/>
      <c r="P685" s="2"/>
      <c r="Q685" s="2"/>
      <c r="R685" s="7"/>
      <c r="S685" s="224"/>
      <c r="T685" s="224"/>
      <c r="U685" s="224"/>
      <c r="V685" s="224"/>
      <c r="W685" s="9"/>
    </row>
    <row r="686">
      <c r="A686" s="33"/>
      <c r="B686" s="2"/>
      <c r="C686" s="2"/>
      <c r="D686" s="2"/>
      <c r="E686" s="2"/>
      <c r="F686" s="4"/>
      <c r="G686" s="2"/>
      <c r="H686" s="2"/>
      <c r="I686" s="2"/>
      <c r="J686" s="2"/>
      <c r="K686" s="5"/>
      <c r="L686" s="2"/>
      <c r="M686" s="2"/>
      <c r="N686" s="2"/>
      <c r="O686" s="2"/>
      <c r="P686" s="2"/>
      <c r="Q686" s="2"/>
      <c r="R686" s="7"/>
      <c r="S686" s="224"/>
      <c r="T686" s="224"/>
      <c r="U686" s="224"/>
      <c r="V686" s="224"/>
      <c r="W686" s="9"/>
    </row>
    <row r="687">
      <c r="A687" s="33"/>
      <c r="B687" s="2"/>
      <c r="C687" s="2"/>
      <c r="D687" s="2"/>
      <c r="E687" s="2"/>
      <c r="F687" s="4"/>
      <c r="G687" s="2"/>
      <c r="H687" s="2"/>
      <c r="I687" s="2"/>
      <c r="J687" s="2"/>
      <c r="K687" s="5"/>
      <c r="L687" s="2"/>
      <c r="M687" s="2"/>
      <c r="N687" s="2"/>
      <c r="O687" s="2"/>
      <c r="P687" s="2"/>
      <c r="Q687" s="2"/>
      <c r="R687" s="7"/>
      <c r="S687" s="224"/>
      <c r="T687" s="224"/>
      <c r="U687" s="224"/>
      <c r="V687" s="224"/>
      <c r="W687" s="9"/>
    </row>
    <row r="688">
      <c r="A688" s="33"/>
      <c r="B688" s="2"/>
      <c r="C688" s="2"/>
      <c r="D688" s="2"/>
      <c r="E688" s="2"/>
      <c r="F688" s="4"/>
      <c r="G688" s="2"/>
      <c r="H688" s="2"/>
      <c r="I688" s="2"/>
      <c r="J688" s="2"/>
      <c r="K688" s="5"/>
      <c r="L688" s="2"/>
      <c r="M688" s="2"/>
      <c r="N688" s="2"/>
      <c r="O688" s="2"/>
      <c r="P688" s="2"/>
      <c r="Q688" s="2"/>
      <c r="R688" s="7"/>
      <c r="S688" s="224"/>
      <c r="T688" s="224"/>
      <c r="U688" s="224"/>
      <c r="V688" s="224"/>
      <c r="W688" s="9"/>
    </row>
    <row r="689">
      <c r="A689" s="33"/>
      <c r="B689" s="2"/>
      <c r="C689" s="2"/>
      <c r="D689" s="2"/>
      <c r="E689" s="2"/>
      <c r="F689" s="4"/>
      <c r="G689" s="2"/>
      <c r="H689" s="2"/>
      <c r="I689" s="2"/>
      <c r="J689" s="2"/>
      <c r="K689" s="5"/>
      <c r="L689" s="2"/>
      <c r="M689" s="2"/>
      <c r="N689" s="2"/>
      <c r="O689" s="2"/>
      <c r="P689" s="2"/>
      <c r="Q689" s="2"/>
      <c r="R689" s="7"/>
      <c r="S689" s="224"/>
      <c r="T689" s="224"/>
      <c r="U689" s="224"/>
      <c r="V689" s="224"/>
      <c r="W689" s="9"/>
    </row>
    <row r="690">
      <c r="A690" s="33"/>
      <c r="B690" s="2"/>
      <c r="C690" s="2"/>
      <c r="D690" s="2"/>
      <c r="E690" s="2"/>
      <c r="F690" s="4"/>
      <c r="G690" s="2"/>
      <c r="H690" s="2"/>
      <c r="I690" s="2"/>
      <c r="J690" s="2"/>
      <c r="K690" s="5"/>
      <c r="L690" s="2"/>
      <c r="M690" s="2"/>
      <c r="N690" s="2"/>
      <c r="O690" s="2"/>
      <c r="P690" s="2"/>
      <c r="Q690" s="2"/>
      <c r="R690" s="7"/>
      <c r="S690" s="224"/>
      <c r="T690" s="224"/>
      <c r="U690" s="224"/>
      <c r="V690" s="224"/>
      <c r="W690" s="9"/>
    </row>
    <row r="691">
      <c r="A691" s="33"/>
      <c r="B691" s="2"/>
      <c r="C691" s="2"/>
      <c r="D691" s="2"/>
      <c r="E691" s="2"/>
      <c r="F691" s="4"/>
      <c r="G691" s="2"/>
      <c r="H691" s="2"/>
      <c r="I691" s="2"/>
      <c r="J691" s="2"/>
      <c r="K691" s="5"/>
      <c r="L691" s="2"/>
      <c r="M691" s="2"/>
      <c r="N691" s="2"/>
      <c r="O691" s="2"/>
      <c r="P691" s="2"/>
      <c r="Q691" s="2"/>
      <c r="R691" s="7"/>
      <c r="S691" s="224"/>
      <c r="T691" s="224"/>
      <c r="U691" s="224"/>
      <c r="V691" s="224"/>
      <c r="W691" s="9"/>
    </row>
    <row r="692">
      <c r="A692" s="33"/>
      <c r="B692" s="2"/>
      <c r="C692" s="2"/>
      <c r="D692" s="2"/>
      <c r="E692" s="2"/>
      <c r="F692" s="4"/>
      <c r="G692" s="2"/>
      <c r="H692" s="2"/>
      <c r="I692" s="2"/>
      <c r="J692" s="2"/>
      <c r="K692" s="5"/>
      <c r="L692" s="2"/>
      <c r="M692" s="2"/>
      <c r="N692" s="2"/>
      <c r="O692" s="2"/>
      <c r="P692" s="2"/>
      <c r="Q692" s="2"/>
      <c r="R692" s="7"/>
      <c r="S692" s="224"/>
      <c r="T692" s="224"/>
      <c r="U692" s="224"/>
      <c r="V692" s="224"/>
      <c r="W692" s="9"/>
    </row>
    <row r="693">
      <c r="A693" s="33"/>
      <c r="B693" s="2"/>
      <c r="C693" s="2"/>
      <c r="D693" s="2"/>
      <c r="E693" s="2"/>
      <c r="F693" s="4"/>
      <c r="G693" s="2"/>
      <c r="H693" s="2"/>
      <c r="I693" s="2"/>
      <c r="J693" s="2"/>
      <c r="K693" s="5"/>
      <c r="L693" s="2"/>
      <c r="M693" s="2"/>
      <c r="N693" s="2"/>
      <c r="O693" s="2"/>
      <c r="P693" s="2"/>
      <c r="Q693" s="2"/>
      <c r="R693" s="7"/>
      <c r="S693" s="224"/>
      <c r="T693" s="224"/>
      <c r="U693" s="224"/>
      <c r="V693" s="224"/>
      <c r="W693" s="9"/>
    </row>
    <row r="694">
      <c r="A694" s="33"/>
      <c r="B694" s="2"/>
      <c r="C694" s="2"/>
      <c r="D694" s="2"/>
      <c r="E694" s="2"/>
      <c r="F694" s="4"/>
      <c r="G694" s="2"/>
      <c r="H694" s="2"/>
      <c r="I694" s="2"/>
      <c r="J694" s="2"/>
      <c r="K694" s="5"/>
      <c r="L694" s="2"/>
      <c r="M694" s="2"/>
      <c r="N694" s="2"/>
      <c r="O694" s="2"/>
      <c r="P694" s="2"/>
      <c r="Q694" s="2"/>
      <c r="R694" s="7"/>
      <c r="S694" s="224"/>
      <c r="T694" s="224"/>
      <c r="U694" s="224"/>
      <c r="V694" s="224"/>
      <c r="W694" s="9"/>
    </row>
    <row r="695">
      <c r="A695" s="33"/>
      <c r="B695" s="2"/>
      <c r="C695" s="2"/>
      <c r="D695" s="2"/>
      <c r="E695" s="2"/>
      <c r="F695" s="4"/>
      <c r="G695" s="2"/>
      <c r="H695" s="2"/>
      <c r="I695" s="2"/>
      <c r="J695" s="2"/>
      <c r="K695" s="5"/>
      <c r="L695" s="2"/>
      <c r="M695" s="2"/>
      <c r="N695" s="2"/>
      <c r="O695" s="2"/>
      <c r="P695" s="2"/>
      <c r="Q695" s="2"/>
      <c r="R695" s="7"/>
      <c r="S695" s="224"/>
      <c r="T695" s="224"/>
      <c r="U695" s="224"/>
      <c r="V695" s="224"/>
      <c r="W695" s="9"/>
    </row>
    <row r="696">
      <c r="A696" s="33"/>
      <c r="B696" s="2"/>
      <c r="C696" s="2"/>
      <c r="D696" s="2"/>
      <c r="E696" s="2"/>
      <c r="F696" s="4"/>
      <c r="G696" s="2"/>
      <c r="H696" s="2"/>
      <c r="I696" s="2"/>
      <c r="J696" s="2"/>
      <c r="K696" s="5"/>
      <c r="L696" s="2"/>
      <c r="M696" s="2"/>
      <c r="N696" s="2"/>
      <c r="O696" s="2"/>
      <c r="P696" s="2"/>
      <c r="Q696" s="2"/>
      <c r="R696" s="7"/>
      <c r="S696" s="224"/>
      <c r="T696" s="224"/>
      <c r="U696" s="224"/>
      <c r="V696" s="224"/>
      <c r="W696" s="9"/>
    </row>
    <row r="697">
      <c r="A697" s="33"/>
      <c r="B697" s="2"/>
      <c r="C697" s="2"/>
      <c r="D697" s="2"/>
      <c r="E697" s="2"/>
      <c r="F697" s="4"/>
      <c r="G697" s="2"/>
      <c r="H697" s="2"/>
      <c r="I697" s="2"/>
      <c r="J697" s="2"/>
      <c r="K697" s="5"/>
      <c r="L697" s="2"/>
      <c r="M697" s="2"/>
      <c r="N697" s="2"/>
      <c r="O697" s="2"/>
      <c r="P697" s="2"/>
      <c r="Q697" s="2"/>
      <c r="R697" s="7"/>
      <c r="S697" s="224"/>
      <c r="T697" s="224"/>
      <c r="U697" s="224"/>
      <c r="V697" s="224"/>
      <c r="W697" s="9"/>
    </row>
    <row r="698">
      <c r="A698" s="33"/>
      <c r="B698" s="2"/>
      <c r="C698" s="2"/>
      <c r="D698" s="2"/>
      <c r="E698" s="2"/>
      <c r="F698" s="4"/>
      <c r="G698" s="2"/>
      <c r="H698" s="2"/>
      <c r="I698" s="2"/>
      <c r="J698" s="2"/>
      <c r="K698" s="5"/>
      <c r="L698" s="2"/>
      <c r="M698" s="2"/>
      <c r="N698" s="2"/>
      <c r="O698" s="2"/>
      <c r="P698" s="2"/>
      <c r="Q698" s="2"/>
      <c r="R698" s="7"/>
      <c r="S698" s="224"/>
      <c r="T698" s="224"/>
      <c r="U698" s="224"/>
      <c r="V698" s="224"/>
      <c r="W698" s="9"/>
    </row>
    <row r="699">
      <c r="A699" s="33"/>
      <c r="B699" s="2"/>
      <c r="C699" s="2"/>
      <c r="D699" s="2"/>
      <c r="E699" s="2"/>
      <c r="F699" s="4"/>
      <c r="G699" s="2"/>
      <c r="H699" s="2"/>
      <c r="I699" s="2"/>
      <c r="J699" s="2"/>
      <c r="K699" s="5"/>
      <c r="L699" s="2"/>
      <c r="M699" s="2"/>
      <c r="N699" s="2"/>
      <c r="O699" s="2"/>
      <c r="P699" s="2"/>
      <c r="Q699" s="2"/>
      <c r="R699" s="7"/>
      <c r="S699" s="224"/>
      <c r="T699" s="224"/>
      <c r="U699" s="224"/>
      <c r="V699" s="224"/>
      <c r="W699" s="9"/>
    </row>
    <row r="700">
      <c r="A700" s="33"/>
      <c r="B700" s="2"/>
      <c r="C700" s="2"/>
      <c r="D700" s="2"/>
      <c r="E700" s="2"/>
      <c r="F700" s="4"/>
      <c r="G700" s="2"/>
      <c r="H700" s="2"/>
      <c r="I700" s="2"/>
      <c r="J700" s="2"/>
      <c r="K700" s="5"/>
      <c r="L700" s="2"/>
      <c r="M700" s="2"/>
      <c r="N700" s="2"/>
      <c r="O700" s="2"/>
      <c r="P700" s="2"/>
      <c r="Q700" s="2"/>
      <c r="R700" s="7"/>
      <c r="S700" s="224"/>
      <c r="T700" s="224"/>
      <c r="U700" s="224"/>
      <c r="V700" s="224"/>
      <c r="W700" s="9"/>
    </row>
    <row r="701">
      <c r="A701" s="33"/>
      <c r="B701" s="2"/>
      <c r="C701" s="2"/>
      <c r="D701" s="2"/>
      <c r="E701" s="2"/>
      <c r="F701" s="4"/>
      <c r="G701" s="2"/>
      <c r="H701" s="2"/>
      <c r="I701" s="2"/>
      <c r="J701" s="2"/>
      <c r="K701" s="5"/>
      <c r="L701" s="2"/>
      <c r="M701" s="2"/>
      <c r="N701" s="2"/>
      <c r="O701" s="2"/>
      <c r="P701" s="2"/>
      <c r="Q701" s="2"/>
      <c r="R701" s="7"/>
      <c r="S701" s="224"/>
      <c r="T701" s="224"/>
      <c r="U701" s="224"/>
      <c r="V701" s="224"/>
      <c r="W701" s="9"/>
    </row>
    <row r="702">
      <c r="A702" s="33"/>
      <c r="B702" s="2"/>
      <c r="C702" s="2"/>
      <c r="D702" s="2"/>
      <c r="E702" s="2"/>
      <c r="F702" s="4"/>
      <c r="G702" s="2"/>
      <c r="H702" s="2"/>
      <c r="I702" s="2"/>
      <c r="J702" s="2"/>
      <c r="K702" s="5"/>
      <c r="L702" s="2"/>
      <c r="M702" s="2"/>
      <c r="N702" s="2"/>
      <c r="O702" s="2"/>
      <c r="P702" s="2"/>
      <c r="Q702" s="2"/>
      <c r="R702" s="7"/>
      <c r="S702" s="224"/>
      <c r="T702" s="224"/>
      <c r="U702" s="224"/>
      <c r="V702" s="224"/>
      <c r="W702" s="9"/>
    </row>
    <row r="703">
      <c r="A703" s="33"/>
      <c r="B703" s="2"/>
      <c r="C703" s="2"/>
      <c r="D703" s="2"/>
      <c r="E703" s="2"/>
      <c r="F703" s="4"/>
      <c r="G703" s="2"/>
      <c r="H703" s="2"/>
      <c r="I703" s="2"/>
      <c r="J703" s="2"/>
      <c r="K703" s="5"/>
      <c r="L703" s="2"/>
      <c r="M703" s="2"/>
      <c r="N703" s="2"/>
      <c r="O703" s="2"/>
      <c r="P703" s="2"/>
      <c r="Q703" s="2"/>
      <c r="R703" s="7"/>
      <c r="S703" s="224"/>
      <c r="T703" s="224"/>
      <c r="U703" s="224"/>
      <c r="V703" s="224"/>
      <c r="W703" s="9"/>
    </row>
    <row r="704">
      <c r="A704" s="33"/>
      <c r="B704" s="2"/>
      <c r="C704" s="2"/>
      <c r="D704" s="2"/>
      <c r="E704" s="2"/>
      <c r="F704" s="4"/>
      <c r="G704" s="2"/>
      <c r="H704" s="2"/>
      <c r="I704" s="2"/>
      <c r="J704" s="2"/>
      <c r="K704" s="5"/>
      <c r="L704" s="2"/>
      <c r="M704" s="2"/>
      <c r="N704" s="2"/>
      <c r="O704" s="2"/>
      <c r="P704" s="2"/>
      <c r="Q704" s="2"/>
      <c r="R704" s="7"/>
      <c r="S704" s="224"/>
      <c r="T704" s="224"/>
      <c r="U704" s="224"/>
      <c r="V704" s="224"/>
      <c r="W704" s="9"/>
    </row>
    <row r="705">
      <c r="A705" s="33"/>
      <c r="B705" s="2"/>
      <c r="C705" s="2"/>
      <c r="D705" s="2"/>
      <c r="E705" s="2"/>
      <c r="F705" s="4"/>
      <c r="G705" s="2"/>
      <c r="H705" s="2"/>
      <c r="I705" s="2"/>
      <c r="J705" s="2"/>
      <c r="K705" s="5"/>
      <c r="L705" s="2"/>
      <c r="M705" s="2"/>
      <c r="N705" s="2"/>
      <c r="O705" s="2"/>
      <c r="P705" s="2"/>
      <c r="Q705" s="2"/>
      <c r="R705" s="7"/>
      <c r="S705" s="224"/>
      <c r="T705" s="224"/>
      <c r="U705" s="224"/>
      <c r="V705" s="224"/>
      <c r="W705" s="9"/>
    </row>
    <row r="706">
      <c r="A706" s="33"/>
      <c r="B706" s="2"/>
      <c r="C706" s="2"/>
      <c r="D706" s="2"/>
      <c r="E706" s="2"/>
      <c r="F706" s="4"/>
      <c r="G706" s="2"/>
      <c r="H706" s="2"/>
      <c r="I706" s="2"/>
      <c r="J706" s="2"/>
      <c r="K706" s="5"/>
      <c r="L706" s="2"/>
      <c r="M706" s="2"/>
      <c r="N706" s="2"/>
      <c r="O706" s="2"/>
      <c r="P706" s="2"/>
      <c r="Q706" s="2"/>
      <c r="R706" s="7"/>
      <c r="S706" s="224"/>
      <c r="T706" s="224"/>
      <c r="U706" s="224"/>
      <c r="V706" s="224"/>
      <c r="W706" s="9"/>
    </row>
    <row r="707">
      <c r="A707" s="33"/>
      <c r="B707" s="2"/>
      <c r="C707" s="2"/>
      <c r="D707" s="2"/>
      <c r="E707" s="2"/>
      <c r="F707" s="4"/>
      <c r="G707" s="2"/>
      <c r="H707" s="2"/>
      <c r="I707" s="2"/>
      <c r="J707" s="2"/>
      <c r="K707" s="5"/>
      <c r="L707" s="2"/>
      <c r="M707" s="2"/>
      <c r="N707" s="2"/>
      <c r="O707" s="2"/>
      <c r="P707" s="2"/>
      <c r="Q707" s="2"/>
      <c r="R707" s="7"/>
      <c r="S707" s="224"/>
      <c r="T707" s="224"/>
      <c r="U707" s="224"/>
      <c r="V707" s="224"/>
      <c r="W707" s="9"/>
    </row>
    <row r="708">
      <c r="A708" s="33"/>
      <c r="B708" s="2"/>
      <c r="C708" s="2"/>
      <c r="D708" s="2"/>
      <c r="E708" s="2"/>
      <c r="F708" s="4"/>
      <c r="G708" s="2"/>
      <c r="H708" s="2"/>
      <c r="I708" s="2"/>
      <c r="J708" s="2"/>
      <c r="K708" s="5"/>
      <c r="L708" s="2"/>
      <c r="M708" s="2"/>
      <c r="N708" s="2"/>
      <c r="O708" s="2"/>
      <c r="P708" s="2"/>
      <c r="Q708" s="2"/>
      <c r="R708" s="7"/>
      <c r="S708" s="224"/>
      <c r="T708" s="224"/>
      <c r="U708" s="224"/>
      <c r="V708" s="224"/>
      <c r="W708" s="9"/>
    </row>
    <row r="709">
      <c r="A709" s="33"/>
      <c r="B709" s="2"/>
      <c r="C709" s="2"/>
      <c r="D709" s="2"/>
      <c r="E709" s="2"/>
      <c r="F709" s="4"/>
      <c r="G709" s="2"/>
      <c r="H709" s="2"/>
      <c r="I709" s="2"/>
      <c r="J709" s="2"/>
      <c r="K709" s="5"/>
      <c r="L709" s="2"/>
      <c r="M709" s="2"/>
      <c r="N709" s="2"/>
      <c r="O709" s="2"/>
      <c r="P709" s="2"/>
      <c r="Q709" s="2"/>
      <c r="R709" s="7"/>
      <c r="S709" s="224"/>
      <c r="T709" s="224"/>
      <c r="U709" s="224"/>
      <c r="V709" s="224"/>
      <c r="W709" s="9"/>
    </row>
    <row r="710">
      <c r="A710" s="33"/>
      <c r="B710" s="2"/>
      <c r="C710" s="2"/>
      <c r="D710" s="2"/>
      <c r="E710" s="2"/>
      <c r="F710" s="4"/>
      <c r="G710" s="2"/>
      <c r="H710" s="2"/>
      <c r="I710" s="2"/>
      <c r="J710" s="2"/>
      <c r="K710" s="5"/>
      <c r="L710" s="2"/>
      <c r="M710" s="2"/>
      <c r="N710" s="2"/>
      <c r="O710" s="2"/>
      <c r="P710" s="2"/>
      <c r="Q710" s="2"/>
      <c r="R710" s="7"/>
      <c r="S710" s="224"/>
      <c r="T710" s="224"/>
      <c r="U710" s="224"/>
      <c r="V710" s="224"/>
      <c r="W710" s="9"/>
    </row>
    <row r="711">
      <c r="A711" s="33"/>
      <c r="B711" s="2"/>
      <c r="C711" s="2"/>
      <c r="D711" s="2"/>
      <c r="E711" s="2"/>
      <c r="F711" s="4"/>
      <c r="G711" s="2"/>
      <c r="H711" s="2"/>
      <c r="I711" s="2"/>
      <c r="J711" s="2"/>
      <c r="K711" s="5"/>
      <c r="L711" s="2"/>
      <c r="M711" s="2"/>
      <c r="N711" s="2"/>
      <c r="O711" s="2"/>
      <c r="P711" s="2"/>
      <c r="Q711" s="2"/>
      <c r="R711" s="7"/>
      <c r="S711" s="224"/>
      <c r="T711" s="224"/>
      <c r="U711" s="224"/>
      <c r="V711" s="224"/>
      <c r="W711" s="9"/>
    </row>
    <row r="712">
      <c r="A712" s="33"/>
      <c r="B712" s="2"/>
      <c r="C712" s="2"/>
      <c r="D712" s="2"/>
      <c r="E712" s="2"/>
      <c r="F712" s="4"/>
      <c r="G712" s="2"/>
      <c r="H712" s="2"/>
      <c r="I712" s="2"/>
      <c r="J712" s="2"/>
      <c r="K712" s="5"/>
      <c r="L712" s="2"/>
      <c r="M712" s="2"/>
      <c r="N712" s="2"/>
      <c r="O712" s="2"/>
      <c r="P712" s="2"/>
      <c r="Q712" s="2"/>
      <c r="R712" s="7"/>
      <c r="S712" s="224"/>
      <c r="T712" s="224"/>
      <c r="U712" s="224"/>
      <c r="V712" s="224"/>
      <c r="W712" s="9"/>
    </row>
    <row r="713">
      <c r="A713" s="33"/>
      <c r="B713" s="2"/>
      <c r="C713" s="2"/>
      <c r="D713" s="2"/>
      <c r="E713" s="2"/>
      <c r="F713" s="4"/>
      <c r="G713" s="2"/>
      <c r="H713" s="2"/>
      <c r="I713" s="2"/>
      <c r="J713" s="2"/>
      <c r="K713" s="5"/>
      <c r="L713" s="2"/>
      <c r="M713" s="2"/>
      <c r="N713" s="2"/>
      <c r="O713" s="2"/>
      <c r="P713" s="2"/>
      <c r="Q713" s="2"/>
      <c r="R713" s="7"/>
      <c r="S713" s="224"/>
      <c r="T713" s="224"/>
      <c r="U713" s="224"/>
      <c r="V713" s="224"/>
      <c r="W713" s="9"/>
    </row>
    <row r="714">
      <c r="A714" s="33"/>
      <c r="B714" s="2"/>
      <c r="C714" s="2"/>
      <c r="D714" s="2"/>
      <c r="E714" s="2"/>
      <c r="F714" s="4"/>
      <c r="G714" s="2"/>
      <c r="H714" s="2"/>
      <c r="I714" s="2"/>
      <c r="J714" s="2"/>
      <c r="K714" s="5"/>
      <c r="L714" s="2"/>
      <c r="M714" s="2"/>
      <c r="N714" s="2"/>
      <c r="O714" s="2"/>
      <c r="P714" s="2"/>
      <c r="Q714" s="2"/>
      <c r="R714" s="7"/>
      <c r="S714" s="224"/>
      <c r="T714" s="224"/>
      <c r="U714" s="224"/>
      <c r="V714" s="224"/>
      <c r="W714" s="9"/>
    </row>
    <row r="715">
      <c r="A715" s="33"/>
      <c r="B715" s="2"/>
      <c r="C715" s="2"/>
      <c r="D715" s="2"/>
      <c r="E715" s="2"/>
      <c r="F715" s="4"/>
      <c r="G715" s="2"/>
      <c r="H715" s="2"/>
      <c r="I715" s="2"/>
      <c r="J715" s="2"/>
      <c r="K715" s="5"/>
      <c r="L715" s="2"/>
      <c r="M715" s="2"/>
      <c r="N715" s="2"/>
      <c r="O715" s="2"/>
      <c r="P715" s="2"/>
      <c r="Q715" s="2"/>
      <c r="R715" s="7"/>
      <c r="S715" s="224"/>
      <c r="T715" s="224"/>
      <c r="U715" s="224"/>
      <c r="V715" s="224"/>
      <c r="W715" s="9"/>
    </row>
    <row r="716">
      <c r="A716" s="33"/>
      <c r="B716" s="2"/>
      <c r="C716" s="2"/>
      <c r="D716" s="2"/>
      <c r="E716" s="2"/>
      <c r="F716" s="4"/>
      <c r="G716" s="2"/>
      <c r="H716" s="2"/>
      <c r="I716" s="2"/>
      <c r="J716" s="2"/>
      <c r="K716" s="5"/>
      <c r="L716" s="2"/>
      <c r="M716" s="2"/>
      <c r="N716" s="2"/>
      <c r="O716" s="2"/>
      <c r="P716" s="2"/>
      <c r="Q716" s="2"/>
      <c r="R716" s="7"/>
      <c r="S716" s="224"/>
      <c r="T716" s="224"/>
      <c r="U716" s="224"/>
      <c r="V716" s="224"/>
      <c r="W716" s="9"/>
    </row>
    <row r="717">
      <c r="A717" s="33"/>
      <c r="B717" s="2"/>
      <c r="C717" s="2"/>
      <c r="D717" s="2"/>
      <c r="E717" s="2"/>
      <c r="F717" s="4"/>
      <c r="G717" s="2"/>
      <c r="H717" s="2"/>
      <c r="I717" s="2"/>
      <c r="J717" s="2"/>
      <c r="K717" s="5"/>
      <c r="L717" s="2"/>
      <c r="M717" s="2"/>
      <c r="N717" s="2"/>
      <c r="O717" s="2"/>
      <c r="P717" s="2"/>
      <c r="Q717" s="2"/>
      <c r="R717" s="7"/>
      <c r="S717" s="224"/>
      <c r="T717" s="224"/>
      <c r="U717" s="224"/>
      <c r="V717" s="224"/>
      <c r="W717" s="9"/>
    </row>
    <row r="718">
      <c r="A718" s="33"/>
      <c r="B718" s="2"/>
      <c r="C718" s="2"/>
      <c r="D718" s="2"/>
      <c r="E718" s="2"/>
      <c r="F718" s="4"/>
      <c r="G718" s="2"/>
      <c r="H718" s="2"/>
      <c r="I718" s="2"/>
      <c r="J718" s="2"/>
      <c r="K718" s="5"/>
      <c r="L718" s="2"/>
      <c r="M718" s="2"/>
      <c r="N718" s="2"/>
      <c r="O718" s="2"/>
      <c r="P718" s="2"/>
      <c r="Q718" s="2"/>
      <c r="R718" s="7"/>
      <c r="S718" s="224"/>
      <c r="T718" s="224"/>
      <c r="U718" s="224"/>
      <c r="V718" s="224"/>
      <c r="W718" s="9"/>
    </row>
    <row r="719">
      <c r="A719" s="33"/>
      <c r="B719" s="2"/>
      <c r="C719" s="2"/>
      <c r="D719" s="2"/>
      <c r="E719" s="2"/>
      <c r="F719" s="4"/>
      <c r="G719" s="2"/>
      <c r="H719" s="2"/>
      <c r="I719" s="2"/>
      <c r="J719" s="2"/>
      <c r="K719" s="5"/>
      <c r="L719" s="2"/>
      <c r="M719" s="2"/>
      <c r="N719" s="2"/>
      <c r="O719" s="2"/>
      <c r="P719" s="2"/>
      <c r="Q719" s="2"/>
      <c r="R719" s="7"/>
      <c r="S719" s="224"/>
      <c r="T719" s="224"/>
      <c r="U719" s="224"/>
      <c r="V719" s="224"/>
      <c r="W719" s="9"/>
    </row>
    <row r="720">
      <c r="A720" s="33"/>
      <c r="B720" s="2"/>
      <c r="C720" s="2"/>
      <c r="D720" s="2"/>
      <c r="E720" s="2"/>
      <c r="F720" s="4"/>
      <c r="G720" s="2"/>
      <c r="H720" s="2"/>
      <c r="I720" s="2"/>
      <c r="J720" s="2"/>
      <c r="K720" s="5"/>
      <c r="L720" s="2"/>
      <c r="M720" s="2"/>
      <c r="N720" s="2"/>
      <c r="O720" s="2"/>
      <c r="P720" s="2"/>
      <c r="Q720" s="2"/>
      <c r="R720" s="7"/>
      <c r="S720" s="224"/>
      <c r="T720" s="224"/>
      <c r="U720" s="224"/>
      <c r="V720" s="224"/>
      <c r="W720" s="9"/>
    </row>
    <row r="721">
      <c r="A721" s="33"/>
      <c r="B721" s="2"/>
      <c r="C721" s="2"/>
      <c r="D721" s="2"/>
      <c r="E721" s="2"/>
      <c r="F721" s="4"/>
      <c r="G721" s="2"/>
      <c r="H721" s="2"/>
      <c r="I721" s="2"/>
      <c r="J721" s="2"/>
      <c r="K721" s="5"/>
      <c r="L721" s="2"/>
      <c r="M721" s="2"/>
      <c r="N721" s="2"/>
      <c r="O721" s="2"/>
      <c r="P721" s="2"/>
      <c r="Q721" s="2"/>
      <c r="R721" s="7"/>
      <c r="S721" s="224"/>
      <c r="T721" s="224"/>
      <c r="U721" s="224"/>
      <c r="V721" s="224"/>
      <c r="W721" s="9"/>
    </row>
    <row r="722">
      <c r="A722" s="33"/>
      <c r="B722" s="2"/>
      <c r="C722" s="2"/>
      <c r="D722" s="2"/>
      <c r="E722" s="2"/>
      <c r="F722" s="4"/>
      <c r="G722" s="2"/>
      <c r="H722" s="2"/>
      <c r="I722" s="2"/>
      <c r="J722" s="2"/>
      <c r="K722" s="5"/>
      <c r="L722" s="2"/>
      <c r="M722" s="2"/>
      <c r="N722" s="2"/>
      <c r="O722" s="2"/>
      <c r="P722" s="2"/>
      <c r="Q722" s="2"/>
      <c r="R722" s="7"/>
      <c r="S722" s="224"/>
      <c r="T722" s="224"/>
      <c r="U722" s="224"/>
      <c r="V722" s="224"/>
      <c r="W722" s="9"/>
    </row>
    <row r="723">
      <c r="A723" s="33"/>
      <c r="B723" s="2"/>
      <c r="C723" s="2"/>
      <c r="D723" s="2"/>
      <c r="E723" s="2"/>
      <c r="F723" s="4"/>
      <c r="G723" s="2"/>
      <c r="H723" s="2"/>
      <c r="I723" s="2"/>
      <c r="J723" s="2"/>
      <c r="K723" s="5"/>
      <c r="L723" s="2"/>
      <c r="M723" s="2"/>
      <c r="N723" s="2"/>
      <c r="O723" s="2"/>
      <c r="P723" s="2"/>
      <c r="Q723" s="2"/>
      <c r="R723" s="7"/>
      <c r="S723" s="224"/>
      <c r="T723" s="224"/>
      <c r="U723" s="224"/>
      <c r="V723" s="224"/>
      <c r="W723" s="9"/>
    </row>
    <row r="724">
      <c r="A724" s="33"/>
      <c r="B724" s="2"/>
      <c r="C724" s="2"/>
      <c r="D724" s="2"/>
      <c r="E724" s="2"/>
      <c r="F724" s="4"/>
      <c r="G724" s="2"/>
      <c r="H724" s="2"/>
      <c r="I724" s="2"/>
      <c r="J724" s="2"/>
      <c r="K724" s="5"/>
      <c r="L724" s="2"/>
      <c r="M724" s="2"/>
      <c r="N724" s="2"/>
      <c r="O724" s="2"/>
      <c r="P724" s="2"/>
      <c r="Q724" s="2"/>
      <c r="R724" s="7"/>
      <c r="S724" s="224"/>
      <c r="T724" s="224"/>
      <c r="U724" s="224"/>
      <c r="V724" s="224"/>
      <c r="W724" s="9"/>
    </row>
    <row r="725">
      <c r="A725" s="33"/>
      <c r="B725" s="2"/>
      <c r="C725" s="2"/>
      <c r="D725" s="2"/>
      <c r="E725" s="2"/>
      <c r="F725" s="4"/>
      <c r="G725" s="2"/>
      <c r="H725" s="2"/>
      <c r="I725" s="2"/>
      <c r="J725" s="2"/>
      <c r="K725" s="5"/>
      <c r="L725" s="2"/>
      <c r="M725" s="2"/>
      <c r="N725" s="2"/>
      <c r="O725" s="2"/>
      <c r="P725" s="2"/>
      <c r="Q725" s="2"/>
      <c r="R725" s="7"/>
      <c r="S725" s="224"/>
      <c r="T725" s="224"/>
      <c r="U725" s="224"/>
      <c r="V725" s="224"/>
      <c r="W725" s="9"/>
    </row>
    <row r="726">
      <c r="A726" s="33"/>
      <c r="B726" s="2"/>
      <c r="C726" s="2"/>
      <c r="D726" s="2"/>
      <c r="E726" s="2"/>
      <c r="F726" s="4"/>
      <c r="G726" s="2"/>
      <c r="H726" s="2"/>
      <c r="I726" s="2"/>
      <c r="J726" s="2"/>
      <c r="K726" s="5"/>
      <c r="L726" s="2"/>
      <c r="M726" s="2"/>
      <c r="N726" s="2"/>
      <c r="O726" s="2"/>
      <c r="P726" s="2"/>
      <c r="Q726" s="2"/>
      <c r="R726" s="7"/>
      <c r="S726" s="224"/>
      <c r="T726" s="224"/>
      <c r="U726" s="224"/>
      <c r="V726" s="224"/>
      <c r="W726" s="9"/>
    </row>
    <row r="727">
      <c r="A727" s="33"/>
      <c r="B727" s="2"/>
      <c r="C727" s="2"/>
      <c r="D727" s="2"/>
      <c r="E727" s="2"/>
      <c r="F727" s="4"/>
      <c r="G727" s="2"/>
      <c r="H727" s="2"/>
      <c r="I727" s="2"/>
      <c r="J727" s="2"/>
      <c r="K727" s="5"/>
      <c r="L727" s="2"/>
      <c r="M727" s="2"/>
      <c r="N727" s="2"/>
      <c r="O727" s="2"/>
      <c r="P727" s="2"/>
      <c r="Q727" s="2"/>
      <c r="R727" s="7"/>
      <c r="S727" s="224"/>
      <c r="T727" s="224"/>
      <c r="U727" s="224"/>
      <c r="V727" s="224"/>
      <c r="W727" s="9"/>
    </row>
    <row r="728">
      <c r="A728" s="33"/>
      <c r="B728" s="2"/>
      <c r="C728" s="2"/>
      <c r="D728" s="2"/>
      <c r="E728" s="2"/>
      <c r="F728" s="4"/>
      <c r="G728" s="2"/>
      <c r="H728" s="2"/>
      <c r="I728" s="2"/>
      <c r="J728" s="2"/>
      <c r="K728" s="5"/>
      <c r="L728" s="2"/>
      <c r="M728" s="2"/>
      <c r="N728" s="2"/>
      <c r="O728" s="2"/>
      <c r="P728" s="2"/>
      <c r="Q728" s="2"/>
      <c r="R728" s="7"/>
      <c r="S728" s="224"/>
      <c r="T728" s="224"/>
      <c r="U728" s="224"/>
      <c r="V728" s="224"/>
      <c r="W728" s="9"/>
    </row>
    <row r="729">
      <c r="A729" s="33"/>
      <c r="B729" s="2"/>
      <c r="C729" s="2"/>
      <c r="D729" s="2"/>
      <c r="E729" s="2"/>
      <c r="F729" s="4"/>
      <c r="G729" s="2"/>
      <c r="H729" s="2"/>
      <c r="I729" s="2"/>
      <c r="J729" s="2"/>
      <c r="K729" s="5"/>
      <c r="L729" s="2"/>
      <c r="M729" s="2"/>
      <c r="N729" s="2"/>
      <c r="O729" s="2"/>
      <c r="P729" s="2"/>
      <c r="Q729" s="2"/>
      <c r="R729" s="7"/>
      <c r="S729" s="224"/>
      <c r="T729" s="224"/>
      <c r="U729" s="224"/>
      <c r="V729" s="224"/>
      <c r="W729" s="9"/>
    </row>
    <row r="730">
      <c r="A730" s="33"/>
      <c r="B730" s="2"/>
      <c r="C730" s="2"/>
      <c r="D730" s="2"/>
      <c r="E730" s="2"/>
      <c r="F730" s="4"/>
      <c r="G730" s="2"/>
      <c r="H730" s="2"/>
      <c r="I730" s="2"/>
      <c r="J730" s="2"/>
      <c r="K730" s="5"/>
      <c r="L730" s="2"/>
      <c r="M730" s="2"/>
      <c r="N730" s="2"/>
      <c r="O730" s="2"/>
      <c r="P730" s="2"/>
      <c r="Q730" s="2"/>
      <c r="R730" s="7"/>
      <c r="S730" s="224"/>
      <c r="T730" s="224"/>
      <c r="U730" s="224"/>
      <c r="V730" s="224"/>
      <c r="W730" s="9"/>
    </row>
    <row r="731">
      <c r="A731" s="33"/>
      <c r="B731" s="2"/>
      <c r="C731" s="2"/>
      <c r="D731" s="2"/>
      <c r="E731" s="2"/>
      <c r="F731" s="4"/>
      <c r="G731" s="2"/>
      <c r="H731" s="2"/>
      <c r="I731" s="2"/>
      <c r="J731" s="2"/>
      <c r="K731" s="5"/>
      <c r="L731" s="2"/>
      <c r="M731" s="2"/>
      <c r="N731" s="2"/>
      <c r="O731" s="2"/>
      <c r="P731" s="2"/>
      <c r="Q731" s="2"/>
      <c r="R731" s="7"/>
      <c r="S731" s="224"/>
      <c r="T731" s="224"/>
      <c r="U731" s="224"/>
      <c r="V731" s="224"/>
      <c r="W731" s="9"/>
    </row>
    <row r="732">
      <c r="A732" s="33"/>
      <c r="B732" s="2"/>
      <c r="C732" s="2"/>
      <c r="D732" s="2"/>
      <c r="E732" s="2"/>
      <c r="F732" s="4"/>
      <c r="G732" s="2"/>
      <c r="H732" s="2"/>
      <c r="I732" s="2"/>
      <c r="J732" s="2"/>
      <c r="K732" s="5"/>
      <c r="L732" s="2"/>
      <c r="M732" s="2"/>
      <c r="N732" s="2"/>
      <c r="O732" s="2"/>
      <c r="P732" s="2"/>
      <c r="Q732" s="2"/>
      <c r="R732" s="7"/>
      <c r="S732" s="224"/>
      <c r="T732" s="224"/>
      <c r="U732" s="224"/>
      <c r="V732" s="224"/>
      <c r="W732" s="9"/>
    </row>
    <row r="733">
      <c r="A733" s="33"/>
      <c r="B733" s="2"/>
      <c r="C733" s="2"/>
      <c r="D733" s="2"/>
      <c r="E733" s="2"/>
      <c r="F733" s="4"/>
      <c r="G733" s="2"/>
      <c r="H733" s="2"/>
      <c r="I733" s="2"/>
      <c r="J733" s="2"/>
      <c r="K733" s="5"/>
      <c r="L733" s="2"/>
      <c r="M733" s="2"/>
      <c r="N733" s="2"/>
      <c r="O733" s="2"/>
      <c r="P733" s="2"/>
      <c r="Q733" s="2"/>
      <c r="R733" s="7"/>
      <c r="S733" s="224"/>
      <c r="T733" s="224"/>
      <c r="U733" s="224"/>
      <c r="V733" s="224"/>
      <c r="W733" s="9"/>
    </row>
    <row r="734">
      <c r="A734" s="33"/>
      <c r="B734" s="2"/>
      <c r="C734" s="2"/>
      <c r="D734" s="2"/>
      <c r="E734" s="2"/>
      <c r="F734" s="4"/>
      <c r="G734" s="2"/>
      <c r="H734" s="2"/>
      <c r="I734" s="2"/>
      <c r="J734" s="2"/>
      <c r="K734" s="5"/>
      <c r="L734" s="2"/>
      <c r="M734" s="2"/>
      <c r="N734" s="2"/>
      <c r="O734" s="2"/>
      <c r="P734" s="2"/>
      <c r="Q734" s="2"/>
      <c r="R734" s="7"/>
      <c r="S734" s="224"/>
      <c r="T734" s="224"/>
      <c r="U734" s="224"/>
      <c r="V734" s="224"/>
      <c r="W734" s="9"/>
    </row>
    <row r="735">
      <c r="A735" s="33"/>
      <c r="B735" s="2"/>
      <c r="C735" s="2"/>
      <c r="D735" s="2"/>
      <c r="E735" s="2"/>
      <c r="F735" s="4"/>
      <c r="G735" s="2"/>
      <c r="H735" s="2"/>
      <c r="I735" s="2"/>
      <c r="J735" s="2"/>
      <c r="K735" s="5"/>
      <c r="L735" s="2"/>
      <c r="M735" s="2"/>
      <c r="N735" s="2"/>
      <c r="O735" s="2"/>
      <c r="P735" s="2"/>
      <c r="Q735" s="2"/>
      <c r="R735" s="7"/>
      <c r="S735" s="224"/>
      <c r="T735" s="224"/>
      <c r="U735" s="224"/>
      <c r="V735" s="224"/>
      <c r="W735" s="9"/>
    </row>
    <row r="736">
      <c r="A736" s="33"/>
      <c r="B736" s="2"/>
      <c r="C736" s="2"/>
      <c r="D736" s="2"/>
      <c r="E736" s="2"/>
      <c r="F736" s="4"/>
      <c r="G736" s="2"/>
      <c r="H736" s="2"/>
      <c r="I736" s="2"/>
      <c r="J736" s="2"/>
      <c r="K736" s="5"/>
      <c r="L736" s="2"/>
      <c r="M736" s="2"/>
      <c r="N736" s="2"/>
      <c r="O736" s="2"/>
      <c r="P736" s="2"/>
      <c r="Q736" s="2"/>
      <c r="R736" s="7"/>
      <c r="S736" s="224"/>
      <c r="T736" s="224"/>
      <c r="U736" s="224"/>
      <c r="V736" s="224"/>
      <c r="W736" s="9"/>
    </row>
    <row r="737">
      <c r="A737" s="33"/>
      <c r="B737" s="2"/>
      <c r="C737" s="2"/>
      <c r="D737" s="2"/>
      <c r="E737" s="2"/>
      <c r="F737" s="4"/>
      <c r="G737" s="2"/>
      <c r="H737" s="2"/>
      <c r="I737" s="2"/>
      <c r="J737" s="2"/>
      <c r="K737" s="5"/>
      <c r="L737" s="2"/>
      <c r="M737" s="2"/>
      <c r="N737" s="2"/>
      <c r="O737" s="2"/>
      <c r="P737" s="2"/>
      <c r="Q737" s="2"/>
      <c r="R737" s="7"/>
      <c r="S737" s="224"/>
      <c r="T737" s="224"/>
      <c r="U737" s="224"/>
      <c r="V737" s="224"/>
      <c r="W737" s="9"/>
    </row>
    <row r="738">
      <c r="A738" s="33"/>
      <c r="B738" s="2"/>
      <c r="C738" s="2"/>
      <c r="D738" s="2"/>
      <c r="E738" s="2"/>
      <c r="F738" s="4"/>
      <c r="G738" s="2"/>
      <c r="H738" s="2"/>
      <c r="I738" s="2"/>
      <c r="J738" s="2"/>
      <c r="K738" s="5"/>
      <c r="L738" s="2"/>
      <c r="M738" s="2"/>
      <c r="N738" s="2"/>
      <c r="O738" s="2"/>
      <c r="P738" s="2"/>
      <c r="Q738" s="2"/>
      <c r="R738" s="7"/>
      <c r="S738" s="224"/>
      <c r="T738" s="224"/>
      <c r="U738" s="224"/>
      <c r="V738" s="224"/>
      <c r="W738" s="9"/>
    </row>
    <row r="739">
      <c r="A739" s="33"/>
      <c r="B739" s="2"/>
      <c r="C739" s="2"/>
      <c r="D739" s="2"/>
      <c r="E739" s="2"/>
      <c r="F739" s="4"/>
      <c r="G739" s="2"/>
      <c r="H739" s="2"/>
      <c r="I739" s="2"/>
      <c r="J739" s="2"/>
      <c r="K739" s="5"/>
      <c r="L739" s="2"/>
      <c r="M739" s="2"/>
      <c r="N739" s="2"/>
      <c r="O739" s="2"/>
      <c r="P739" s="2"/>
      <c r="Q739" s="2"/>
      <c r="R739" s="7"/>
      <c r="S739" s="224"/>
      <c r="T739" s="224"/>
      <c r="U739" s="224"/>
      <c r="V739" s="224"/>
      <c r="W739" s="9"/>
    </row>
    <row r="740">
      <c r="A740" s="33"/>
      <c r="B740" s="2"/>
      <c r="C740" s="2"/>
      <c r="D740" s="2"/>
      <c r="E740" s="2"/>
      <c r="F740" s="4"/>
      <c r="G740" s="2"/>
      <c r="H740" s="2"/>
      <c r="I740" s="2"/>
      <c r="J740" s="2"/>
      <c r="K740" s="5"/>
      <c r="L740" s="2"/>
      <c r="M740" s="2"/>
      <c r="N740" s="2"/>
      <c r="O740" s="2"/>
      <c r="P740" s="2"/>
      <c r="Q740" s="2"/>
      <c r="R740" s="7"/>
      <c r="S740" s="224"/>
      <c r="T740" s="224"/>
      <c r="U740" s="224"/>
      <c r="V740" s="224"/>
      <c r="W740" s="9"/>
    </row>
    <row r="741">
      <c r="A741" s="33"/>
      <c r="B741" s="2"/>
      <c r="C741" s="2"/>
      <c r="D741" s="2"/>
      <c r="E741" s="2"/>
      <c r="F741" s="4"/>
      <c r="G741" s="2"/>
      <c r="H741" s="2"/>
      <c r="I741" s="2"/>
      <c r="J741" s="2"/>
      <c r="K741" s="5"/>
      <c r="L741" s="2"/>
      <c r="M741" s="2"/>
      <c r="N741" s="2"/>
      <c r="O741" s="2"/>
      <c r="P741" s="2"/>
      <c r="Q741" s="2"/>
      <c r="R741" s="7"/>
      <c r="S741" s="224"/>
      <c r="T741" s="224"/>
      <c r="U741" s="224"/>
      <c r="V741" s="224"/>
      <c r="W741" s="9"/>
    </row>
    <row r="742">
      <c r="A742" s="33"/>
      <c r="B742" s="2"/>
      <c r="C742" s="2"/>
      <c r="D742" s="2"/>
      <c r="E742" s="2"/>
      <c r="F742" s="4"/>
      <c r="G742" s="2"/>
      <c r="H742" s="2"/>
      <c r="I742" s="2"/>
      <c r="J742" s="2"/>
      <c r="K742" s="5"/>
      <c r="L742" s="2"/>
      <c r="M742" s="2"/>
      <c r="N742" s="2"/>
      <c r="O742" s="2"/>
      <c r="P742" s="2"/>
      <c r="Q742" s="2"/>
      <c r="R742" s="7"/>
      <c r="S742" s="224"/>
      <c r="T742" s="224"/>
      <c r="U742" s="224"/>
      <c r="V742" s="224"/>
      <c r="W742" s="9"/>
    </row>
    <row r="743">
      <c r="A743" s="33"/>
      <c r="B743" s="2"/>
      <c r="C743" s="2"/>
      <c r="D743" s="2"/>
      <c r="E743" s="2"/>
      <c r="F743" s="4"/>
      <c r="G743" s="2"/>
      <c r="H743" s="2"/>
      <c r="I743" s="2"/>
      <c r="J743" s="2"/>
      <c r="K743" s="5"/>
      <c r="L743" s="2"/>
      <c r="M743" s="2"/>
      <c r="N743" s="2"/>
      <c r="O743" s="2"/>
      <c r="P743" s="2"/>
      <c r="Q743" s="2"/>
      <c r="R743" s="7"/>
      <c r="S743" s="224"/>
      <c r="T743" s="224"/>
      <c r="U743" s="224"/>
      <c r="V743" s="224"/>
      <c r="W743" s="9"/>
    </row>
    <row r="744">
      <c r="A744" s="33"/>
      <c r="B744" s="2"/>
      <c r="C744" s="2"/>
      <c r="D744" s="2"/>
      <c r="E744" s="2"/>
      <c r="F744" s="4"/>
      <c r="G744" s="2"/>
      <c r="H744" s="2"/>
      <c r="I744" s="2"/>
      <c r="J744" s="2"/>
      <c r="K744" s="5"/>
      <c r="L744" s="2"/>
      <c r="M744" s="2"/>
      <c r="N744" s="2"/>
      <c r="O744" s="2"/>
      <c r="P744" s="2"/>
      <c r="Q744" s="2"/>
      <c r="R744" s="7"/>
      <c r="S744" s="224"/>
      <c r="T744" s="224"/>
      <c r="U744" s="224"/>
      <c r="V744" s="224"/>
      <c r="W744" s="9"/>
    </row>
    <row r="745">
      <c r="A745" s="33"/>
      <c r="B745" s="2"/>
      <c r="C745" s="2"/>
      <c r="D745" s="2"/>
      <c r="E745" s="2"/>
      <c r="F745" s="4"/>
      <c r="G745" s="2"/>
      <c r="H745" s="2"/>
      <c r="I745" s="2"/>
      <c r="J745" s="2"/>
      <c r="K745" s="5"/>
      <c r="L745" s="2"/>
      <c r="M745" s="2"/>
      <c r="N745" s="2"/>
      <c r="O745" s="2"/>
      <c r="P745" s="2"/>
      <c r="Q745" s="2"/>
      <c r="R745" s="7"/>
      <c r="S745" s="224"/>
      <c r="T745" s="224"/>
      <c r="U745" s="224"/>
      <c r="V745" s="224"/>
      <c r="W745" s="9"/>
    </row>
    <row r="746">
      <c r="A746" s="33"/>
      <c r="B746" s="2"/>
      <c r="C746" s="2"/>
      <c r="D746" s="2"/>
      <c r="E746" s="2"/>
      <c r="F746" s="4"/>
      <c r="G746" s="2"/>
      <c r="H746" s="2"/>
      <c r="I746" s="2"/>
      <c r="J746" s="2"/>
      <c r="K746" s="5"/>
      <c r="L746" s="2"/>
      <c r="M746" s="2"/>
      <c r="N746" s="2"/>
      <c r="O746" s="2"/>
      <c r="P746" s="2"/>
      <c r="Q746" s="2"/>
      <c r="R746" s="7"/>
      <c r="S746" s="224"/>
      <c r="T746" s="224"/>
      <c r="U746" s="224"/>
      <c r="V746" s="224"/>
      <c r="W746" s="9"/>
    </row>
    <row r="747">
      <c r="A747" s="33"/>
      <c r="B747" s="2"/>
      <c r="C747" s="2"/>
      <c r="D747" s="2"/>
      <c r="E747" s="2"/>
      <c r="F747" s="4"/>
      <c r="G747" s="2"/>
      <c r="H747" s="2"/>
      <c r="I747" s="2"/>
      <c r="J747" s="2"/>
      <c r="K747" s="5"/>
      <c r="L747" s="2"/>
      <c r="M747" s="2"/>
      <c r="N747" s="2"/>
      <c r="O747" s="2"/>
      <c r="P747" s="2"/>
      <c r="Q747" s="2"/>
      <c r="R747" s="7"/>
      <c r="S747" s="224"/>
      <c r="T747" s="224"/>
      <c r="U747" s="224"/>
      <c r="V747" s="224"/>
      <c r="W747" s="9"/>
    </row>
    <row r="748">
      <c r="A748" s="33"/>
      <c r="B748" s="2"/>
      <c r="C748" s="2"/>
      <c r="D748" s="2"/>
      <c r="E748" s="2"/>
      <c r="F748" s="4"/>
      <c r="G748" s="2"/>
      <c r="H748" s="2"/>
      <c r="I748" s="2"/>
      <c r="J748" s="2"/>
      <c r="K748" s="5"/>
      <c r="L748" s="2"/>
      <c r="M748" s="2"/>
      <c r="N748" s="2"/>
      <c r="O748" s="2"/>
      <c r="P748" s="2"/>
      <c r="Q748" s="2"/>
      <c r="R748" s="7"/>
      <c r="S748" s="224"/>
      <c r="T748" s="224"/>
      <c r="U748" s="224"/>
      <c r="V748" s="224"/>
      <c r="W748" s="9"/>
    </row>
    <row r="749">
      <c r="A749" s="33"/>
      <c r="B749" s="2"/>
      <c r="C749" s="2"/>
      <c r="D749" s="2"/>
      <c r="E749" s="2"/>
      <c r="F749" s="4"/>
      <c r="G749" s="2"/>
      <c r="H749" s="2"/>
      <c r="I749" s="2"/>
      <c r="J749" s="2"/>
      <c r="K749" s="5"/>
      <c r="L749" s="2"/>
      <c r="M749" s="2"/>
      <c r="N749" s="2"/>
      <c r="O749" s="2"/>
      <c r="P749" s="2"/>
      <c r="Q749" s="2"/>
      <c r="R749" s="7"/>
      <c r="S749" s="224"/>
      <c r="T749" s="224"/>
      <c r="U749" s="224"/>
      <c r="V749" s="224"/>
      <c r="W749" s="9"/>
    </row>
    <row r="750">
      <c r="A750" s="33"/>
      <c r="B750" s="2"/>
      <c r="C750" s="2"/>
      <c r="D750" s="2"/>
      <c r="E750" s="2"/>
      <c r="F750" s="4"/>
      <c r="G750" s="2"/>
      <c r="H750" s="2"/>
      <c r="I750" s="2"/>
      <c r="J750" s="2"/>
      <c r="K750" s="5"/>
      <c r="L750" s="2"/>
      <c r="M750" s="2"/>
      <c r="N750" s="2"/>
      <c r="O750" s="2"/>
      <c r="P750" s="2"/>
      <c r="Q750" s="2"/>
      <c r="R750" s="7"/>
      <c r="S750" s="224"/>
      <c r="T750" s="224"/>
      <c r="U750" s="224"/>
      <c r="V750" s="224"/>
      <c r="W750" s="9"/>
    </row>
    <row r="751">
      <c r="A751" s="33"/>
      <c r="B751" s="2"/>
      <c r="C751" s="2"/>
      <c r="D751" s="2"/>
      <c r="E751" s="2"/>
      <c r="F751" s="4"/>
      <c r="G751" s="2"/>
      <c r="H751" s="2"/>
      <c r="I751" s="2"/>
      <c r="J751" s="2"/>
      <c r="K751" s="5"/>
      <c r="L751" s="2"/>
      <c r="M751" s="2"/>
      <c r="N751" s="2"/>
      <c r="O751" s="2"/>
      <c r="P751" s="2"/>
      <c r="Q751" s="2"/>
      <c r="R751" s="7"/>
      <c r="S751" s="224"/>
      <c r="T751" s="224"/>
      <c r="U751" s="224"/>
      <c r="V751" s="224"/>
      <c r="W751" s="9"/>
    </row>
    <row r="752">
      <c r="A752" s="33"/>
      <c r="B752" s="2"/>
      <c r="C752" s="2"/>
      <c r="D752" s="2"/>
      <c r="E752" s="2"/>
      <c r="F752" s="4"/>
      <c r="G752" s="2"/>
      <c r="H752" s="2"/>
      <c r="I752" s="2"/>
      <c r="J752" s="2"/>
      <c r="K752" s="5"/>
      <c r="L752" s="2"/>
      <c r="M752" s="2"/>
      <c r="N752" s="2"/>
      <c r="O752" s="2"/>
      <c r="P752" s="2"/>
      <c r="Q752" s="2"/>
      <c r="R752" s="7"/>
      <c r="S752" s="224"/>
      <c r="T752" s="224"/>
      <c r="U752" s="224"/>
      <c r="V752" s="224"/>
      <c r="W752" s="9"/>
    </row>
    <row r="753">
      <c r="A753" s="33"/>
      <c r="B753" s="2"/>
      <c r="C753" s="2"/>
      <c r="D753" s="2"/>
      <c r="E753" s="2"/>
      <c r="F753" s="4"/>
      <c r="G753" s="2"/>
      <c r="H753" s="2"/>
      <c r="I753" s="2"/>
      <c r="J753" s="2"/>
      <c r="K753" s="5"/>
      <c r="L753" s="2"/>
      <c r="M753" s="2"/>
      <c r="N753" s="2"/>
      <c r="O753" s="2"/>
      <c r="P753" s="2"/>
      <c r="Q753" s="2"/>
      <c r="R753" s="7"/>
      <c r="S753" s="224"/>
      <c r="T753" s="224"/>
      <c r="U753" s="224"/>
      <c r="V753" s="224"/>
      <c r="W753" s="9"/>
    </row>
    <row r="754">
      <c r="A754" s="33"/>
      <c r="B754" s="2"/>
      <c r="C754" s="2"/>
      <c r="D754" s="2"/>
      <c r="E754" s="2"/>
      <c r="F754" s="4"/>
      <c r="G754" s="2"/>
      <c r="H754" s="2"/>
      <c r="I754" s="2"/>
      <c r="J754" s="2"/>
      <c r="K754" s="5"/>
      <c r="L754" s="2"/>
      <c r="M754" s="2"/>
      <c r="N754" s="2"/>
      <c r="O754" s="2"/>
      <c r="P754" s="2"/>
      <c r="Q754" s="2"/>
      <c r="R754" s="7"/>
      <c r="S754" s="224"/>
      <c r="T754" s="224"/>
      <c r="U754" s="224"/>
      <c r="V754" s="224"/>
      <c r="W754" s="9"/>
    </row>
    <row r="755">
      <c r="A755" s="33"/>
      <c r="B755" s="2"/>
      <c r="C755" s="2"/>
      <c r="D755" s="2"/>
      <c r="E755" s="2"/>
      <c r="F755" s="4"/>
      <c r="G755" s="2"/>
      <c r="H755" s="2"/>
      <c r="I755" s="2"/>
      <c r="J755" s="2"/>
      <c r="K755" s="5"/>
      <c r="L755" s="2"/>
      <c r="M755" s="2"/>
      <c r="N755" s="2"/>
      <c r="O755" s="2"/>
      <c r="P755" s="2"/>
      <c r="Q755" s="2"/>
      <c r="R755" s="7"/>
      <c r="S755" s="224"/>
      <c r="T755" s="224"/>
      <c r="U755" s="224"/>
      <c r="V755" s="224"/>
      <c r="W755" s="9"/>
    </row>
    <row r="756">
      <c r="A756" s="33"/>
      <c r="B756" s="2"/>
      <c r="C756" s="2"/>
      <c r="D756" s="2"/>
      <c r="E756" s="2"/>
      <c r="F756" s="4"/>
      <c r="G756" s="2"/>
      <c r="H756" s="2"/>
      <c r="I756" s="2"/>
      <c r="J756" s="2"/>
      <c r="K756" s="5"/>
      <c r="L756" s="2"/>
      <c r="M756" s="2"/>
      <c r="N756" s="2"/>
      <c r="O756" s="2"/>
      <c r="P756" s="2"/>
      <c r="Q756" s="2"/>
      <c r="R756" s="7"/>
      <c r="S756" s="224"/>
      <c r="T756" s="224"/>
      <c r="U756" s="224"/>
      <c r="V756" s="224"/>
      <c r="W756" s="9"/>
    </row>
    <row r="757">
      <c r="A757" s="33"/>
      <c r="B757" s="2"/>
      <c r="C757" s="2"/>
      <c r="D757" s="2"/>
      <c r="E757" s="2"/>
      <c r="F757" s="4"/>
      <c r="G757" s="2"/>
      <c r="H757" s="2"/>
      <c r="I757" s="2"/>
      <c r="J757" s="2"/>
      <c r="K757" s="5"/>
      <c r="L757" s="2"/>
      <c r="M757" s="2"/>
      <c r="N757" s="2"/>
      <c r="O757" s="2"/>
      <c r="P757" s="2"/>
      <c r="Q757" s="2"/>
      <c r="R757" s="7"/>
      <c r="S757" s="224"/>
      <c r="T757" s="224"/>
      <c r="U757" s="224"/>
      <c r="V757" s="224"/>
      <c r="W757" s="9"/>
    </row>
    <row r="758">
      <c r="A758" s="33"/>
      <c r="B758" s="2"/>
      <c r="C758" s="2"/>
      <c r="D758" s="2"/>
      <c r="E758" s="2"/>
      <c r="F758" s="4"/>
      <c r="G758" s="2"/>
      <c r="H758" s="2"/>
      <c r="I758" s="2"/>
      <c r="J758" s="2"/>
      <c r="K758" s="5"/>
      <c r="L758" s="2"/>
      <c r="M758" s="2"/>
      <c r="N758" s="2"/>
      <c r="O758" s="2"/>
      <c r="P758" s="2"/>
      <c r="Q758" s="2"/>
      <c r="R758" s="7"/>
      <c r="S758" s="224"/>
      <c r="T758" s="224"/>
      <c r="U758" s="224"/>
      <c r="V758" s="224"/>
      <c r="W758" s="9"/>
    </row>
    <row r="759">
      <c r="A759" s="33"/>
      <c r="B759" s="2"/>
      <c r="C759" s="2"/>
      <c r="D759" s="2"/>
      <c r="E759" s="2"/>
      <c r="F759" s="4"/>
      <c r="G759" s="2"/>
      <c r="H759" s="2"/>
      <c r="I759" s="2"/>
      <c r="J759" s="2"/>
      <c r="K759" s="5"/>
      <c r="L759" s="2"/>
      <c r="M759" s="2"/>
      <c r="N759" s="2"/>
      <c r="O759" s="2"/>
      <c r="P759" s="2"/>
      <c r="Q759" s="2"/>
      <c r="R759" s="7"/>
      <c r="S759" s="224"/>
      <c r="T759" s="224"/>
      <c r="U759" s="224"/>
      <c r="V759" s="224"/>
      <c r="W759" s="9"/>
    </row>
    <row r="760">
      <c r="A760" s="33"/>
      <c r="B760" s="2"/>
      <c r="C760" s="2"/>
      <c r="D760" s="2"/>
      <c r="E760" s="2"/>
      <c r="F760" s="4"/>
      <c r="G760" s="2"/>
      <c r="H760" s="2"/>
      <c r="I760" s="2"/>
      <c r="J760" s="2"/>
      <c r="K760" s="5"/>
      <c r="L760" s="2"/>
      <c r="M760" s="2"/>
      <c r="N760" s="2"/>
      <c r="O760" s="2"/>
      <c r="P760" s="2"/>
      <c r="Q760" s="2"/>
      <c r="R760" s="7"/>
      <c r="S760" s="224"/>
      <c r="T760" s="224"/>
      <c r="U760" s="224"/>
      <c r="V760" s="224"/>
      <c r="W760" s="9"/>
    </row>
    <row r="761">
      <c r="A761" s="33"/>
      <c r="B761" s="2"/>
      <c r="C761" s="2"/>
      <c r="D761" s="2"/>
      <c r="E761" s="2"/>
      <c r="F761" s="4"/>
      <c r="G761" s="2"/>
      <c r="H761" s="2"/>
      <c r="I761" s="2"/>
      <c r="J761" s="2"/>
      <c r="K761" s="5"/>
      <c r="L761" s="2"/>
      <c r="M761" s="2"/>
      <c r="N761" s="2"/>
      <c r="O761" s="2"/>
      <c r="P761" s="2"/>
      <c r="Q761" s="2"/>
      <c r="R761" s="7"/>
      <c r="S761" s="224"/>
      <c r="T761" s="224"/>
      <c r="U761" s="224"/>
      <c r="V761" s="224"/>
      <c r="W761" s="9"/>
    </row>
    <row r="762">
      <c r="A762" s="33"/>
      <c r="B762" s="2"/>
      <c r="C762" s="2"/>
      <c r="D762" s="2"/>
      <c r="E762" s="2"/>
      <c r="F762" s="4"/>
      <c r="G762" s="2"/>
      <c r="H762" s="2"/>
      <c r="I762" s="2"/>
      <c r="J762" s="2"/>
      <c r="K762" s="5"/>
      <c r="L762" s="2"/>
      <c r="M762" s="2"/>
      <c r="N762" s="2"/>
      <c r="O762" s="2"/>
      <c r="P762" s="2"/>
      <c r="Q762" s="2"/>
      <c r="R762" s="7"/>
      <c r="S762" s="224"/>
      <c r="T762" s="224"/>
      <c r="U762" s="224"/>
      <c r="V762" s="224"/>
      <c r="W762" s="9"/>
    </row>
    <row r="763">
      <c r="A763" s="33"/>
      <c r="B763" s="2"/>
      <c r="C763" s="2"/>
      <c r="D763" s="2"/>
      <c r="E763" s="2"/>
      <c r="F763" s="4"/>
      <c r="G763" s="2"/>
      <c r="H763" s="2"/>
      <c r="I763" s="2"/>
      <c r="J763" s="2"/>
      <c r="K763" s="5"/>
      <c r="L763" s="2"/>
      <c r="M763" s="2"/>
      <c r="N763" s="2"/>
      <c r="O763" s="2"/>
      <c r="P763" s="2"/>
      <c r="Q763" s="2"/>
      <c r="R763" s="7"/>
      <c r="S763" s="224"/>
      <c r="T763" s="224"/>
      <c r="U763" s="224"/>
      <c r="V763" s="224"/>
      <c r="W763" s="9"/>
    </row>
    <row r="764">
      <c r="A764" s="33"/>
      <c r="B764" s="2"/>
      <c r="C764" s="2"/>
      <c r="D764" s="2"/>
      <c r="E764" s="2"/>
      <c r="F764" s="4"/>
      <c r="G764" s="2"/>
      <c r="H764" s="2"/>
      <c r="I764" s="2"/>
      <c r="J764" s="2"/>
      <c r="K764" s="5"/>
      <c r="L764" s="2"/>
      <c r="M764" s="2"/>
      <c r="N764" s="2"/>
      <c r="O764" s="2"/>
      <c r="P764" s="2"/>
      <c r="Q764" s="2"/>
      <c r="R764" s="7"/>
      <c r="S764" s="224"/>
      <c r="T764" s="224"/>
      <c r="U764" s="224"/>
      <c r="V764" s="224"/>
      <c r="W764" s="9"/>
    </row>
    <row r="765">
      <c r="A765" s="33"/>
      <c r="B765" s="2"/>
      <c r="C765" s="2"/>
      <c r="D765" s="2"/>
      <c r="E765" s="2"/>
      <c r="F765" s="4"/>
      <c r="G765" s="2"/>
      <c r="H765" s="2"/>
      <c r="I765" s="2"/>
      <c r="J765" s="2"/>
      <c r="K765" s="5"/>
      <c r="L765" s="2"/>
      <c r="M765" s="2"/>
      <c r="N765" s="2"/>
      <c r="O765" s="2"/>
      <c r="P765" s="2"/>
      <c r="Q765" s="2"/>
      <c r="R765" s="7"/>
      <c r="S765" s="224"/>
      <c r="T765" s="224"/>
      <c r="U765" s="224"/>
      <c r="V765" s="224"/>
      <c r="W765" s="9"/>
    </row>
    <row r="766">
      <c r="A766" s="33"/>
      <c r="B766" s="2"/>
      <c r="C766" s="2"/>
      <c r="D766" s="2"/>
      <c r="E766" s="2"/>
      <c r="F766" s="4"/>
      <c r="G766" s="2"/>
      <c r="H766" s="2"/>
      <c r="I766" s="2"/>
      <c r="J766" s="2"/>
      <c r="K766" s="5"/>
      <c r="L766" s="2"/>
      <c r="M766" s="2"/>
      <c r="N766" s="2"/>
      <c r="O766" s="2"/>
      <c r="P766" s="2"/>
      <c r="Q766" s="2"/>
      <c r="R766" s="7"/>
      <c r="S766" s="224"/>
      <c r="T766" s="224"/>
      <c r="U766" s="224"/>
      <c r="V766" s="224"/>
      <c r="W766" s="9"/>
    </row>
    <row r="767">
      <c r="A767" s="33"/>
      <c r="B767" s="2"/>
      <c r="C767" s="2"/>
      <c r="D767" s="2"/>
      <c r="E767" s="2"/>
      <c r="F767" s="4"/>
      <c r="G767" s="2"/>
      <c r="H767" s="2"/>
      <c r="I767" s="2"/>
      <c r="J767" s="2"/>
      <c r="K767" s="5"/>
      <c r="L767" s="2"/>
      <c r="M767" s="2"/>
      <c r="N767" s="2"/>
      <c r="O767" s="2"/>
      <c r="P767" s="2"/>
      <c r="Q767" s="2"/>
      <c r="R767" s="7"/>
      <c r="S767" s="224"/>
      <c r="T767" s="224"/>
      <c r="U767" s="224"/>
      <c r="V767" s="224"/>
      <c r="W767" s="9"/>
    </row>
    <row r="768">
      <c r="A768" s="33"/>
      <c r="B768" s="2"/>
      <c r="C768" s="2"/>
      <c r="D768" s="2"/>
      <c r="E768" s="2"/>
      <c r="F768" s="4"/>
      <c r="G768" s="2"/>
      <c r="H768" s="2"/>
      <c r="I768" s="2"/>
      <c r="J768" s="2"/>
      <c r="K768" s="5"/>
      <c r="L768" s="2"/>
      <c r="M768" s="2"/>
      <c r="N768" s="2"/>
      <c r="O768" s="2"/>
      <c r="P768" s="2"/>
      <c r="Q768" s="2"/>
      <c r="R768" s="7"/>
      <c r="S768" s="224"/>
      <c r="T768" s="224"/>
      <c r="U768" s="224"/>
      <c r="V768" s="224"/>
      <c r="W768" s="9"/>
    </row>
    <row r="769">
      <c r="A769" s="33"/>
      <c r="B769" s="2"/>
      <c r="C769" s="2"/>
      <c r="D769" s="2"/>
      <c r="E769" s="2"/>
      <c r="F769" s="4"/>
      <c r="G769" s="2"/>
      <c r="H769" s="2"/>
      <c r="I769" s="2"/>
      <c r="J769" s="2"/>
      <c r="K769" s="5"/>
      <c r="L769" s="2"/>
      <c r="M769" s="2"/>
      <c r="N769" s="2"/>
      <c r="O769" s="2"/>
      <c r="P769" s="2"/>
      <c r="Q769" s="2"/>
      <c r="R769" s="7"/>
      <c r="S769" s="224"/>
      <c r="T769" s="224"/>
      <c r="U769" s="224"/>
      <c r="V769" s="224"/>
      <c r="W769" s="9"/>
    </row>
    <row r="770">
      <c r="A770" s="33"/>
      <c r="B770" s="2"/>
      <c r="C770" s="2"/>
      <c r="D770" s="2"/>
      <c r="E770" s="2"/>
      <c r="F770" s="4"/>
      <c r="G770" s="2"/>
      <c r="H770" s="2"/>
      <c r="I770" s="2"/>
      <c r="J770" s="2"/>
      <c r="K770" s="5"/>
      <c r="L770" s="2"/>
      <c r="M770" s="2"/>
      <c r="N770" s="2"/>
      <c r="O770" s="2"/>
      <c r="P770" s="2"/>
      <c r="Q770" s="2"/>
      <c r="R770" s="7"/>
      <c r="S770" s="224"/>
      <c r="T770" s="224"/>
      <c r="U770" s="224"/>
      <c r="V770" s="224"/>
      <c r="W770" s="9"/>
    </row>
    <row r="771">
      <c r="A771" s="33"/>
      <c r="B771" s="2"/>
      <c r="C771" s="2"/>
      <c r="D771" s="2"/>
      <c r="E771" s="2"/>
      <c r="F771" s="4"/>
      <c r="G771" s="2"/>
      <c r="H771" s="2"/>
      <c r="I771" s="2"/>
      <c r="J771" s="2"/>
      <c r="K771" s="5"/>
      <c r="L771" s="2"/>
      <c r="M771" s="2"/>
      <c r="N771" s="2"/>
      <c r="O771" s="2"/>
      <c r="P771" s="2"/>
      <c r="Q771" s="2"/>
      <c r="R771" s="7"/>
      <c r="S771" s="224"/>
      <c r="T771" s="224"/>
      <c r="U771" s="224"/>
      <c r="V771" s="224"/>
      <c r="W771" s="9"/>
    </row>
    <row r="772">
      <c r="A772" s="33"/>
      <c r="B772" s="2"/>
      <c r="C772" s="2"/>
      <c r="D772" s="2"/>
      <c r="E772" s="2"/>
      <c r="F772" s="4"/>
      <c r="G772" s="2"/>
      <c r="H772" s="2"/>
      <c r="I772" s="2"/>
      <c r="J772" s="2"/>
      <c r="K772" s="5"/>
      <c r="L772" s="2"/>
      <c r="M772" s="2"/>
      <c r="N772" s="2"/>
      <c r="O772" s="2"/>
      <c r="P772" s="2"/>
      <c r="Q772" s="2"/>
      <c r="R772" s="7"/>
      <c r="S772" s="224"/>
      <c r="T772" s="224"/>
      <c r="U772" s="224"/>
      <c r="V772" s="224"/>
      <c r="W772" s="9"/>
    </row>
    <row r="773">
      <c r="A773" s="33"/>
      <c r="B773" s="2"/>
      <c r="C773" s="2"/>
      <c r="D773" s="2"/>
      <c r="E773" s="2"/>
      <c r="F773" s="4"/>
      <c r="G773" s="2"/>
      <c r="H773" s="2"/>
      <c r="I773" s="2"/>
      <c r="J773" s="2"/>
      <c r="K773" s="5"/>
      <c r="L773" s="2"/>
      <c r="M773" s="2"/>
      <c r="N773" s="2"/>
      <c r="O773" s="2"/>
      <c r="P773" s="2"/>
      <c r="Q773" s="2"/>
      <c r="R773" s="7"/>
      <c r="S773" s="224"/>
      <c r="T773" s="224"/>
      <c r="U773" s="224"/>
      <c r="V773" s="224"/>
      <c r="W773" s="9"/>
    </row>
    <row r="774">
      <c r="A774" s="33"/>
      <c r="B774" s="2"/>
      <c r="C774" s="2"/>
      <c r="D774" s="2"/>
      <c r="E774" s="2"/>
      <c r="F774" s="4"/>
      <c r="G774" s="2"/>
      <c r="H774" s="2"/>
      <c r="I774" s="2"/>
      <c r="J774" s="2"/>
      <c r="K774" s="5"/>
      <c r="L774" s="2"/>
      <c r="M774" s="2"/>
      <c r="N774" s="2"/>
      <c r="O774" s="2"/>
      <c r="P774" s="2"/>
      <c r="Q774" s="2"/>
      <c r="R774" s="7"/>
      <c r="S774" s="224"/>
      <c r="T774" s="224"/>
      <c r="U774" s="224"/>
      <c r="V774" s="224"/>
      <c r="W774" s="9"/>
    </row>
    <row r="775">
      <c r="A775" s="33"/>
      <c r="B775" s="2"/>
      <c r="C775" s="2"/>
      <c r="D775" s="2"/>
      <c r="E775" s="2"/>
      <c r="F775" s="4"/>
      <c r="G775" s="2"/>
      <c r="H775" s="2"/>
      <c r="I775" s="2"/>
      <c r="J775" s="2"/>
      <c r="K775" s="5"/>
      <c r="L775" s="2"/>
      <c r="M775" s="2"/>
      <c r="N775" s="2"/>
      <c r="O775" s="2"/>
      <c r="P775" s="2"/>
      <c r="Q775" s="2"/>
      <c r="R775" s="7"/>
      <c r="S775" s="224"/>
      <c r="T775" s="224"/>
      <c r="U775" s="224"/>
      <c r="V775" s="224"/>
      <c r="W775" s="9"/>
    </row>
    <row r="776">
      <c r="A776" s="33"/>
      <c r="B776" s="2"/>
      <c r="C776" s="2"/>
      <c r="D776" s="2"/>
      <c r="E776" s="2"/>
      <c r="F776" s="4"/>
      <c r="G776" s="2"/>
      <c r="H776" s="2"/>
      <c r="I776" s="2"/>
      <c r="J776" s="2"/>
      <c r="K776" s="5"/>
      <c r="L776" s="2"/>
      <c r="M776" s="2"/>
      <c r="N776" s="2"/>
      <c r="O776" s="2"/>
      <c r="P776" s="2"/>
      <c r="Q776" s="2"/>
      <c r="R776" s="7"/>
      <c r="S776" s="224"/>
      <c r="T776" s="224"/>
      <c r="U776" s="224"/>
      <c r="V776" s="224"/>
      <c r="W776" s="9"/>
    </row>
    <row r="777">
      <c r="A777" s="33"/>
      <c r="B777" s="2"/>
      <c r="C777" s="2"/>
      <c r="D777" s="2"/>
      <c r="E777" s="2"/>
      <c r="F777" s="4"/>
      <c r="G777" s="2"/>
      <c r="H777" s="2"/>
      <c r="I777" s="2"/>
      <c r="J777" s="2"/>
      <c r="K777" s="5"/>
      <c r="L777" s="2"/>
      <c r="M777" s="2"/>
      <c r="N777" s="2"/>
      <c r="O777" s="2"/>
      <c r="P777" s="2"/>
      <c r="Q777" s="2"/>
      <c r="R777" s="7"/>
      <c r="S777" s="224"/>
      <c r="T777" s="224"/>
      <c r="U777" s="224"/>
      <c r="V777" s="224"/>
      <c r="W777" s="9"/>
    </row>
    <row r="778">
      <c r="A778" s="33"/>
      <c r="B778" s="2"/>
      <c r="C778" s="2"/>
      <c r="D778" s="2"/>
      <c r="E778" s="2"/>
      <c r="F778" s="4"/>
      <c r="G778" s="2"/>
      <c r="H778" s="2"/>
      <c r="I778" s="2"/>
      <c r="J778" s="2"/>
      <c r="K778" s="5"/>
      <c r="L778" s="2"/>
      <c r="M778" s="2"/>
      <c r="N778" s="2"/>
      <c r="O778" s="2"/>
      <c r="P778" s="2"/>
      <c r="Q778" s="2"/>
      <c r="R778" s="7"/>
      <c r="S778" s="224"/>
      <c r="T778" s="224"/>
      <c r="U778" s="224"/>
      <c r="V778" s="224"/>
      <c r="W778" s="9"/>
    </row>
    <row r="779">
      <c r="A779" s="33"/>
      <c r="B779" s="2"/>
      <c r="C779" s="2"/>
      <c r="D779" s="2"/>
      <c r="E779" s="2"/>
      <c r="F779" s="4"/>
      <c r="G779" s="2"/>
      <c r="H779" s="2"/>
      <c r="I779" s="2"/>
      <c r="J779" s="2"/>
      <c r="K779" s="5"/>
      <c r="L779" s="2"/>
      <c r="M779" s="2"/>
      <c r="N779" s="2"/>
      <c r="O779" s="2"/>
      <c r="P779" s="2"/>
      <c r="Q779" s="2"/>
      <c r="R779" s="7"/>
      <c r="S779" s="224"/>
      <c r="T779" s="224"/>
      <c r="U779" s="224"/>
      <c r="V779" s="224"/>
      <c r="W779" s="9"/>
    </row>
    <row r="780">
      <c r="A780" s="33"/>
      <c r="B780" s="2"/>
      <c r="C780" s="2"/>
      <c r="D780" s="2"/>
      <c r="E780" s="2"/>
      <c r="F780" s="4"/>
      <c r="G780" s="2"/>
      <c r="H780" s="2"/>
      <c r="I780" s="2"/>
      <c r="J780" s="2"/>
      <c r="K780" s="5"/>
      <c r="L780" s="2"/>
      <c r="M780" s="2"/>
      <c r="N780" s="2"/>
      <c r="O780" s="2"/>
      <c r="P780" s="2"/>
      <c r="Q780" s="2"/>
      <c r="R780" s="7"/>
      <c r="S780" s="224"/>
      <c r="T780" s="224"/>
      <c r="U780" s="224"/>
      <c r="V780" s="224"/>
      <c r="W780" s="9"/>
    </row>
    <row r="781">
      <c r="A781" s="33"/>
      <c r="B781" s="2"/>
      <c r="C781" s="2"/>
      <c r="D781" s="2"/>
      <c r="E781" s="2"/>
      <c r="F781" s="4"/>
      <c r="G781" s="2"/>
      <c r="H781" s="2"/>
      <c r="I781" s="2"/>
      <c r="J781" s="2"/>
      <c r="K781" s="5"/>
      <c r="L781" s="2"/>
      <c r="M781" s="2"/>
      <c r="N781" s="2"/>
      <c r="O781" s="2"/>
      <c r="P781" s="2"/>
      <c r="Q781" s="2"/>
      <c r="R781" s="7"/>
      <c r="S781" s="224"/>
      <c r="T781" s="224"/>
      <c r="U781" s="224"/>
      <c r="V781" s="224"/>
      <c r="W781" s="9"/>
    </row>
    <row r="782">
      <c r="A782" s="33"/>
      <c r="B782" s="2"/>
      <c r="C782" s="2"/>
      <c r="D782" s="2"/>
      <c r="E782" s="2"/>
      <c r="F782" s="4"/>
      <c r="G782" s="2"/>
      <c r="H782" s="2"/>
      <c r="I782" s="2"/>
      <c r="J782" s="2"/>
      <c r="K782" s="5"/>
      <c r="L782" s="2"/>
      <c r="M782" s="2"/>
      <c r="N782" s="2"/>
      <c r="O782" s="2"/>
      <c r="P782" s="2"/>
      <c r="Q782" s="2"/>
      <c r="R782" s="7"/>
      <c r="S782" s="224"/>
      <c r="T782" s="224"/>
      <c r="U782" s="224"/>
      <c r="V782" s="224"/>
      <c r="W782" s="9"/>
    </row>
    <row r="783">
      <c r="A783" s="33"/>
      <c r="B783" s="2"/>
      <c r="C783" s="2"/>
      <c r="D783" s="2"/>
      <c r="E783" s="2"/>
      <c r="F783" s="4"/>
      <c r="G783" s="2"/>
      <c r="H783" s="2"/>
      <c r="I783" s="2"/>
      <c r="J783" s="2"/>
      <c r="K783" s="5"/>
      <c r="L783" s="2"/>
      <c r="M783" s="2"/>
      <c r="N783" s="2"/>
      <c r="O783" s="2"/>
      <c r="P783" s="2"/>
      <c r="Q783" s="2"/>
      <c r="R783" s="7"/>
      <c r="S783" s="224"/>
      <c r="T783" s="224"/>
      <c r="U783" s="224"/>
      <c r="V783" s="224"/>
      <c r="W783" s="9"/>
    </row>
    <row r="784">
      <c r="A784" s="33"/>
      <c r="B784" s="2"/>
      <c r="C784" s="2"/>
      <c r="D784" s="2"/>
      <c r="E784" s="2"/>
      <c r="F784" s="4"/>
      <c r="G784" s="2"/>
      <c r="H784" s="2"/>
      <c r="I784" s="2"/>
      <c r="J784" s="2"/>
      <c r="K784" s="5"/>
      <c r="L784" s="2"/>
      <c r="M784" s="2"/>
      <c r="N784" s="2"/>
      <c r="O784" s="2"/>
      <c r="P784" s="2"/>
      <c r="Q784" s="2"/>
      <c r="R784" s="7"/>
      <c r="S784" s="224"/>
      <c r="T784" s="224"/>
      <c r="U784" s="224"/>
      <c r="V784" s="224"/>
      <c r="W784" s="9"/>
    </row>
    <row r="785">
      <c r="A785" s="33"/>
      <c r="B785" s="2"/>
      <c r="C785" s="2"/>
      <c r="D785" s="2"/>
      <c r="E785" s="2"/>
      <c r="F785" s="4"/>
      <c r="G785" s="2"/>
      <c r="H785" s="2"/>
      <c r="I785" s="2"/>
      <c r="J785" s="2"/>
      <c r="K785" s="5"/>
      <c r="L785" s="2"/>
      <c r="M785" s="2"/>
      <c r="N785" s="2"/>
      <c r="O785" s="2"/>
      <c r="P785" s="2"/>
      <c r="Q785" s="2"/>
      <c r="R785" s="7"/>
      <c r="S785" s="224"/>
      <c r="T785" s="224"/>
      <c r="U785" s="224"/>
      <c r="V785" s="224"/>
      <c r="W785" s="9"/>
    </row>
    <row r="786">
      <c r="A786" s="33"/>
      <c r="B786" s="2"/>
      <c r="C786" s="2"/>
      <c r="D786" s="2"/>
      <c r="E786" s="2"/>
      <c r="F786" s="4"/>
      <c r="G786" s="2"/>
      <c r="H786" s="2"/>
      <c r="I786" s="2"/>
      <c r="J786" s="2"/>
      <c r="K786" s="5"/>
      <c r="L786" s="2"/>
      <c r="M786" s="2"/>
      <c r="N786" s="2"/>
      <c r="O786" s="2"/>
      <c r="P786" s="2"/>
      <c r="Q786" s="2"/>
      <c r="R786" s="7"/>
      <c r="S786" s="224"/>
      <c r="T786" s="224"/>
      <c r="U786" s="224"/>
      <c r="V786" s="224"/>
      <c r="W786" s="9"/>
    </row>
    <row r="787">
      <c r="A787" s="33"/>
      <c r="B787" s="2"/>
      <c r="C787" s="2"/>
      <c r="D787" s="2"/>
      <c r="E787" s="2"/>
      <c r="F787" s="4"/>
      <c r="G787" s="2"/>
      <c r="H787" s="2"/>
      <c r="I787" s="2"/>
      <c r="J787" s="2"/>
      <c r="K787" s="5"/>
      <c r="L787" s="2"/>
      <c r="M787" s="2"/>
      <c r="N787" s="2"/>
      <c r="O787" s="2"/>
      <c r="P787" s="2"/>
      <c r="Q787" s="2"/>
      <c r="R787" s="7"/>
      <c r="S787" s="224"/>
      <c r="T787" s="224"/>
      <c r="U787" s="224"/>
      <c r="V787" s="224"/>
      <c r="W787" s="9"/>
    </row>
    <row r="788">
      <c r="A788" s="33"/>
      <c r="B788" s="2"/>
      <c r="C788" s="2"/>
      <c r="D788" s="2"/>
      <c r="E788" s="2"/>
      <c r="F788" s="4"/>
      <c r="G788" s="2"/>
      <c r="H788" s="2"/>
      <c r="I788" s="2"/>
      <c r="J788" s="2"/>
      <c r="K788" s="5"/>
      <c r="L788" s="2"/>
      <c r="M788" s="2"/>
      <c r="N788" s="2"/>
      <c r="O788" s="2"/>
      <c r="P788" s="2"/>
      <c r="Q788" s="2"/>
      <c r="R788" s="7"/>
      <c r="S788" s="224"/>
      <c r="T788" s="224"/>
      <c r="U788" s="224"/>
      <c r="V788" s="224"/>
      <c r="W788" s="9"/>
    </row>
    <row r="789">
      <c r="A789" s="33"/>
      <c r="B789" s="2"/>
      <c r="C789" s="2"/>
      <c r="D789" s="2"/>
      <c r="E789" s="2"/>
      <c r="F789" s="4"/>
      <c r="G789" s="2"/>
      <c r="H789" s="2"/>
      <c r="I789" s="2"/>
      <c r="J789" s="2"/>
      <c r="K789" s="5"/>
      <c r="L789" s="2"/>
      <c r="M789" s="2"/>
      <c r="N789" s="2"/>
      <c r="O789" s="2"/>
      <c r="P789" s="2"/>
      <c r="Q789" s="2"/>
      <c r="R789" s="7"/>
      <c r="S789" s="224"/>
      <c r="T789" s="224"/>
      <c r="U789" s="224"/>
      <c r="V789" s="224"/>
      <c r="W789" s="9"/>
    </row>
    <row r="790">
      <c r="A790" s="33"/>
      <c r="B790" s="2"/>
      <c r="C790" s="2"/>
      <c r="D790" s="2"/>
      <c r="E790" s="2"/>
      <c r="F790" s="4"/>
      <c r="G790" s="2"/>
      <c r="H790" s="2"/>
      <c r="I790" s="2"/>
      <c r="J790" s="2"/>
      <c r="K790" s="5"/>
      <c r="L790" s="2"/>
      <c r="M790" s="2"/>
      <c r="N790" s="2"/>
      <c r="O790" s="2"/>
      <c r="P790" s="2"/>
      <c r="Q790" s="2"/>
      <c r="R790" s="7"/>
      <c r="S790" s="224"/>
      <c r="T790" s="224"/>
      <c r="U790" s="224"/>
      <c r="V790" s="224"/>
      <c r="W790" s="9"/>
    </row>
    <row r="791">
      <c r="A791" s="33"/>
      <c r="B791" s="2"/>
      <c r="C791" s="2"/>
      <c r="D791" s="2"/>
      <c r="E791" s="2"/>
      <c r="F791" s="4"/>
      <c r="G791" s="2"/>
      <c r="H791" s="2"/>
      <c r="I791" s="2"/>
      <c r="J791" s="2"/>
      <c r="K791" s="5"/>
      <c r="L791" s="2"/>
      <c r="M791" s="2"/>
      <c r="N791" s="2"/>
      <c r="O791" s="2"/>
      <c r="P791" s="2"/>
      <c r="Q791" s="2"/>
      <c r="R791" s="7"/>
      <c r="S791" s="224"/>
      <c r="T791" s="224"/>
      <c r="U791" s="224"/>
      <c r="V791" s="224"/>
      <c r="W791" s="9"/>
    </row>
    <row r="792">
      <c r="A792" s="33"/>
      <c r="B792" s="2"/>
      <c r="C792" s="2"/>
      <c r="D792" s="2"/>
      <c r="E792" s="2"/>
      <c r="F792" s="4"/>
      <c r="G792" s="2"/>
      <c r="H792" s="2"/>
      <c r="I792" s="2"/>
      <c r="J792" s="2"/>
      <c r="K792" s="5"/>
      <c r="L792" s="2"/>
      <c r="M792" s="2"/>
      <c r="N792" s="2"/>
      <c r="O792" s="2"/>
      <c r="P792" s="2"/>
      <c r="Q792" s="2"/>
      <c r="R792" s="7"/>
      <c r="S792" s="224"/>
      <c r="T792" s="224"/>
      <c r="U792" s="224"/>
      <c r="V792" s="224"/>
      <c r="W792" s="9"/>
    </row>
    <row r="793">
      <c r="A793" s="33"/>
      <c r="B793" s="2"/>
      <c r="C793" s="2"/>
      <c r="D793" s="2"/>
      <c r="E793" s="2"/>
      <c r="F793" s="4"/>
      <c r="G793" s="2"/>
      <c r="H793" s="2"/>
      <c r="I793" s="2"/>
      <c r="J793" s="2"/>
      <c r="K793" s="5"/>
      <c r="L793" s="2"/>
      <c r="M793" s="2"/>
      <c r="N793" s="2"/>
      <c r="O793" s="2"/>
      <c r="P793" s="2"/>
      <c r="Q793" s="2"/>
      <c r="R793" s="7"/>
      <c r="S793" s="224"/>
      <c r="T793" s="224"/>
      <c r="U793" s="224"/>
      <c r="V793" s="224"/>
      <c r="W793" s="9"/>
    </row>
    <row r="794">
      <c r="A794" s="33"/>
      <c r="B794" s="2"/>
      <c r="C794" s="2"/>
      <c r="D794" s="2"/>
      <c r="E794" s="2"/>
      <c r="F794" s="4"/>
      <c r="G794" s="2"/>
      <c r="H794" s="2"/>
      <c r="I794" s="2"/>
      <c r="J794" s="2"/>
      <c r="K794" s="5"/>
      <c r="L794" s="2"/>
      <c r="M794" s="2"/>
      <c r="N794" s="2"/>
      <c r="O794" s="2"/>
      <c r="P794" s="2"/>
      <c r="Q794" s="2"/>
      <c r="R794" s="7"/>
      <c r="S794" s="224"/>
      <c r="T794" s="224"/>
      <c r="U794" s="224"/>
      <c r="V794" s="224"/>
      <c r="W794" s="9"/>
    </row>
    <row r="795">
      <c r="A795" s="33"/>
      <c r="B795" s="2"/>
      <c r="C795" s="2"/>
      <c r="D795" s="2"/>
      <c r="E795" s="2"/>
      <c r="F795" s="4"/>
      <c r="G795" s="2"/>
      <c r="H795" s="2"/>
      <c r="I795" s="2"/>
      <c r="J795" s="2"/>
      <c r="K795" s="5"/>
      <c r="L795" s="2"/>
      <c r="M795" s="2"/>
      <c r="N795" s="2"/>
      <c r="O795" s="2"/>
      <c r="P795" s="2"/>
      <c r="Q795" s="2"/>
      <c r="R795" s="7"/>
      <c r="S795" s="224"/>
      <c r="T795" s="224"/>
      <c r="U795" s="224"/>
      <c r="V795" s="224"/>
      <c r="W795" s="9"/>
    </row>
    <row r="796">
      <c r="A796" s="33"/>
      <c r="B796" s="2"/>
      <c r="C796" s="2"/>
      <c r="D796" s="2"/>
      <c r="E796" s="2"/>
      <c r="F796" s="4"/>
      <c r="G796" s="2"/>
      <c r="H796" s="2"/>
      <c r="I796" s="2"/>
      <c r="J796" s="2"/>
      <c r="K796" s="5"/>
      <c r="L796" s="2"/>
      <c r="M796" s="2"/>
      <c r="N796" s="2"/>
      <c r="O796" s="2"/>
      <c r="P796" s="2"/>
      <c r="Q796" s="2"/>
      <c r="R796" s="7"/>
      <c r="S796" s="224"/>
      <c r="T796" s="224"/>
      <c r="U796" s="224"/>
      <c r="V796" s="224"/>
      <c r="W796" s="9"/>
    </row>
    <row r="797">
      <c r="A797" s="33"/>
      <c r="B797" s="2"/>
      <c r="C797" s="2"/>
      <c r="D797" s="2"/>
      <c r="E797" s="2"/>
      <c r="F797" s="4"/>
      <c r="G797" s="2"/>
      <c r="H797" s="2"/>
      <c r="I797" s="2"/>
      <c r="J797" s="2"/>
      <c r="K797" s="5"/>
      <c r="L797" s="2"/>
      <c r="M797" s="2"/>
      <c r="N797" s="2"/>
      <c r="O797" s="2"/>
      <c r="P797" s="2"/>
      <c r="Q797" s="2"/>
      <c r="R797" s="7"/>
      <c r="S797" s="224"/>
      <c r="T797" s="224"/>
      <c r="U797" s="224"/>
      <c r="V797" s="224"/>
      <c r="W797" s="9"/>
    </row>
    <row r="798">
      <c r="A798" s="33"/>
      <c r="B798" s="2"/>
      <c r="C798" s="2"/>
      <c r="D798" s="2"/>
      <c r="E798" s="2"/>
      <c r="F798" s="4"/>
      <c r="G798" s="2"/>
      <c r="H798" s="2"/>
      <c r="I798" s="2"/>
      <c r="J798" s="2"/>
      <c r="K798" s="5"/>
      <c r="L798" s="2"/>
      <c r="M798" s="2"/>
      <c r="N798" s="2"/>
      <c r="O798" s="2"/>
      <c r="P798" s="2"/>
      <c r="Q798" s="2"/>
      <c r="R798" s="7"/>
      <c r="S798" s="224"/>
      <c r="T798" s="224"/>
      <c r="U798" s="224"/>
      <c r="V798" s="224"/>
      <c r="W798" s="9"/>
    </row>
    <row r="799">
      <c r="A799" s="33"/>
      <c r="B799" s="2"/>
      <c r="C799" s="2"/>
      <c r="D799" s="2"/>
      <c r="E799" s="2"/>
      <c r="F799" s="4"/>
      <c r="G799" s="2"/>
      <c r="H799" s="2"/>
      <c r="I799" s="2"/>
      <c r="J799" s="2"/>
      <c r="K799" s="5"/>
      <c r="L799" s="2"/>
      <c r="M799" s="2"/>
      <c r="N799" s="2"/>
      <c r="O799" s="2"/>
      <c r="P799" s="2"/>
      <c r="Q799" s="2"/>
      <c r="R799" s="7"/>
      <c r="S799" s="224"/>
      <c r="T799" s="224"/>
      <c r="U799" s="224"/>
      <c r="V799" s="224"/>
      <c r="W799" s="9"/>
    </row>
    <row r="800">
      <c r="A800" s="33"/>
      <c r="B800" s="2"/>
      <c r="C800" s="2"/>
      <c r="D800" s="2"/>
      <c r="E800" s="2"/>
      <c r="F800" s="4"/>
      <c r="G800" s="2"/>
      <c r="H800" s="2"/>
      <c r="I800" s="2"/>
      <c r="J800" s="2"/>
      <c r="K800" s="5"/>
      <c r="L800" s="2"/>
      <c r="M800" s="2"/>
      <c r="N800" s="2"/>
      <c r="O800" s="2"/>
      <c r="P800" s="2"/>
      <c r="Q800" s="2"/>
      <c r="R800" s="7"/>
      <c r="S800" s="224"/>
      <c r="T800" s="224"/>
      <c r="U800" s="224"/>
      <c r="V800" s="224"/>
      <c r="W800" s="9"/>
    </row>
    <row r="801">
      <c r="A801" s="33"/>
      <c r="B801" s="2"/>
      <c r="C801" s="2"/>
      <c r="D801" s="2"/>
      <c r="E801" s="2"/>
      <c r="F801" s="4"/>
      <c r="G801" s="2"/>
      <c r="H801" s="2"/>
      <c r="I801" s="2"/>
      <c r="J801" s="2"/>
      <c r="K801" s="5"/>
      <c r="L801" s="2"/>
      <c r="M801" s="2"/>
      <c r="N801" s="2"/>
      <c r="O801" s="2"/>
      <c r="P801" s="2"/>
      <c r="Q801" s="2"/>
      <c r="R801" s="7"/>
      <c r="S801" s="224"/>
      <c r="T801" s="224"/>
      <c r="U801" s="224"/>
      <c r="V801" s="224"/>
      <c r="W801" s="9"/>
    </row>
    <row r="802">
      <c r="A802" s="33"/>
      <c r="B802" s="2"/>
      <c r="C802" s="2"/>
      <c r="D802" s="2"/>
      <c r="E802" s="2"/>
      <c r="F802" s="4"/>
      <c r="G802" s="2"/>
      <c r="H802" s="2"/>
      <c r="I802" s="2"/>
      <c r="J802" s="2"/>
      <c r="K802" s="5"/>
      <c r="L802" s="2"/>
      <c r="M802" s="2"/>
      <c r="N802" s="2"/>
      <c r="O802" s="2"/>
      <c r="P802" s="2"/>
      <c r="Q802" s="2"/>
      <c r="R802" s="7"/>
      <c r="S802" s="224"/>
      <c r="T802" s="224"/>
      <c r="U802" s="224"/>
      <c r="V802" s="224"/>
      <c r="W802" s="9"/>
    </row>
    <row r="803">
      <c r="A803" s="33"/>
      <c r="B803" s="2"/>
      <c r="C803" s="2"/>
      <c r="D803" s="2"/>
      <c r="E803" s="2"/>
      <c r="F803" s="4"/>
      <c r="G803" s="2"/>
      <c r="H803" s="2"/>
      <c r="I803" s="2"/>
      <c r="J803" s="2"/>
      <c r="K803" s="5"/>
      <c r="L803" s="2"/>
      <c r="M803" s="2"/>
      <c r="N803" s="2"/>
      <c r="O803" s="2"/>
      <c r="P803" s="2"/>
      <c r="Q803" s="2"/>
      <c r="R803" s="7"/>
      <c r="S803" s="224"/>
      <c r="T803" s="224"/>
      <c r="U803" s="224"/>
      <c r="V803" s="224"/>
      <c r="W803" s="9"/>
    </row>
    <row r="804">
      <c r="A804" s="33"/>
      <c r="B804" s="2"/>
      <c r="C804" s="2"/>
      <c r="D804" s="2"/>
      <c r="E804" s="2"/>
      <c r="F804" s="4"/>
      <c r="G804" s="2"/>
      <c r="H804" s="2"/>
      <c r="I804" s="2"/>
      <c r="J804" s="2"/>
      <c r="K804" s="5"/>
      <c r="L804" s="2"/>
      <c r="M804" s="2"/>
      <c r="N804" s="2"/>
      <c r="O804" s="2"/>
      <c r="P804" s="2"/>
      <c r="Q804" s="2"/>
      <c r="R804" s="7"/>
      <c r="S804" s="224"/>
      <c r="T804" s="224"/>
      <c r="U804" s="224"/>
      <c r="V804" s="224"/>
      <c r="W804" s="9"/>
    </row>
    <row r="805">
      <c r="A805" s="33"/>
      <c r="B805" s="2"/>
      <c r="C805" s="2"/>
      <c r="D805" s="2"/>
      <c r="E805" s="2"/>
      <c r="F805" s="4"/>
      <c r="G805" s="2"/>
      <c r="H805" s="2"/>
      <c r="I805" s="2"/>
      <c r="J805" s="2"/>
      <c r="K805" s="5"/>
      <c r="L805" s="2"/>
      <c r="M805" s="2"/>
      <c r="N805" s="2"/>
      <c r="O805" s="2"/>
      <c r="P805" s="2"/>
      <c r="Q805" s="2"/>
      <c r="R805" s="7"/>
      <c r="S805" s="224"/>
      <c r="T805" s="224"/>
      <c r="U805" s="224"/>
      <c r="V805" s="224"/>
      <c r="W805" s="9"/>
    </row>
    <row r="806">
      <c r="A806" s="33"/>
      <c r="B806" s="2"/>
      <c r="C806" s="2"/>
      <c r="D806" s="2"/>
      <c r="E806" s="2"/>
      <c r="F806" s="4"/>
      <c r="G806" s="2"/>
      <c r="H806" s="2"/>
      <c r="I806" s="2"/>
      <c r="J806" s="2"/>
      <c r="K806" s="5"/>
      <c r="L806" s="2"/>
      <c r="M806" s="2"/>
      <c r="N806" s="2"/>
      <c r="O806" s="2"/>
      <c r="P806" s="2"/>
      <c r="Q806" s="2"/>
      <c r="R806" s="7"/>
      <c r="S806" s="224"/>
      <c r="T806" s="224"/>
      <c r="U806" s="224"/>
      <c r="V806" s="224"/>
      <c r="W806" s="9"/>
    </row>
    <row r="807">
      <c r="A807" s="33"/>
      <c r="B807" s="2"/>
      <c r="C807" s="2"/>
      <c r="D807" s="2"/>
      <c r="E807" s="2"/>
      <c r="F807" s="4"/>
      <c r="G807" s="2"/>
      <c r="H807" s="2"/>
      <c r="I807" s="2"/>
      <c r="J807" s="2"/>
      <c r="K807" s="5"/>
      <c r="L807" s="2"/>
      <c r="M807" s="2"/>
      <c r="N807" s="2"/>
      <c r="O807" s="2"/>
      <c r="P807" s="2"/>
      <c r="Q807" s="2"/>
      <c r="R807" s="7"/>
      <c r="S807" s="224"/>
      <c r="T807" s="224"/>
      <c r="U807" s="224"/>
      <c r="V807" s="224"/>
      <c r="W807" s="9"/>
    </row>
    <row r="808">
      <c r="A808" s="33"/>
      <c r="B808" s="2"/>
      <c r="C808" s="2"/>
      <c r="D808" s="2"/>
      <c r="E808" s="2"/>
      <c r="F808" s="4"/>
      <c r="G808" s="2"/>
      <c r="H808" s="2"/>
      <c r="I808" s="2"/>
      <c r="J808" s="2"/>
      <c r="K808" s="5"/>
      <c r="L808" s="2"/>
      <c r="M808" s="2"/>
      <c r="N808" s="2"/>
      <c r="O808" s="2"/>
      <c r="P808" s="2"/>
      <c r="Q808" s="2"/>
      <c r="R808" s="7"/>
      <c r="S808" s="224"/>
      <c r="T808" s="224"/>
      <c r="U808" s="224"/>
      <c r="V808" s="224"/>
      <c r="W808" s="9"/>
    </row>
    <row r="809">
      <c r="A809" s="33"/>
      <c r="B809" s="2"/>
      <c r="C809" s="2"/>
      <c r="D809" s="2"/>
      <c r="E809" s="2"/>
      <c r="F809" s="4"/>
      <c r="G809" s="2"/>
      <c r="H809" s="2"/>
      <c r="I809" s="2"/>
      <c r="J809" s="2"/>
      <c r="K809" s="5"/>
      <c r="L809" s="2"/>
      <c r="M809" s="2"/>
      <c r="N809" s="2"/>
      <c r="O809" s="2"/>
      <c r="P809" s="2"/>
      <c r="Q809" s="2"/>
      <c r="R809" s="7"/>
      <c r="S809" s="224"/>
      <c r="T809" s="224"/>
      <c r="U809" s="224"/>
      <c r="V809" s="224"/>
      <c r="W809" s="9"/>
    </row>
    <row r="810">
      <c r="A810" s="33"/>
      <c r="B810" s="2"/>
      <c r="C810" s="2"/>
      <c r="D810" s="2"/>
      <c r="E810" s="2"/>
      <c r="F810" s="4"/>
      <c r="G810" s="2"/>
      <c r="H810" s="2"/>
      <c r="I810" s="2"/>
      <c r="J810" s="2"/>
      <c r="K810" s="5"/>
      <c r="L810" s="2"/>
      <c r="M810" s="2"/>
      <c r="N810" s="2"/>
      <c r="O810" s="2"/>
      <c r="P810" s="2"/>
      <c r="Q810" s="2"/>
      <c r="R810" s="7"/>
      <c r="S810" s="224"/>
      <c r="T810" s="224"/>
      <c r="U810" s="224"/>
      <c r="V810" s="224"/>
      <c r="W810" s="9"/>
    </row>
    <row r="811">
      <c r="A811" s="33"/>
      <c r="B811" s="2"/>
      <c r="C811" s="2"/>
      <c r="D811" s="2"/>
      <c r="E811" s="2"/>
      <c r="F811" s="4"/>
      <c r="G811" s="2"/>
      <c r="H811" s="2"/>
      <c r="I811" s="2"/>
      <c r="J811" s="2"/>
      <c r="K811" s="5"/>
      <c r="L811" s="2"/>
      <c r="M811" s="2"/>
      <c r="N811" s="2"/>
      <c r="O811" s="2"/>
      <c r="P811" s="2"/>
      <c r="Q811" s="2"/>
      <c r="R811" s="7"/>
      <c r="S811" s="224"/>
      <c r="T811" s="224"/>
      <c r="U811" s="224"/>
      <c r="V811" s="224"/>
      <c r="W811" s="9"/>
    </row>
    <row r="812">
      <c r="A812" s="33"/>
      <c r="B812" s="2"/>
      <c r="C812" s="2"/>
      <c r="D812" s="2"/>
      <c r="E812" s="2"/>
      <c r="F812" s="4"/>
      <c r="G812" s="2"/>
      <c r="H812" s="2"/>
      <c r="I812" s="2"/>
      <c r="J812" s="2"/>
      <c r="K812" s="5"/>
      <c r="L812" s="2"/>
      <c r="M812" s="2"/>
      <c r="N812" s="2"/>
      <c r="O812" s="2"/>
      <c r="P812" s="2"/>
      <c r="Q812" s="2"/>
      <c r="R812" s="7"/>
      <c r="S812" s="224"/>
      <c r="T812" s="224"/>
      <c r="U812" s="224"/>
      <c r="V812" s="224"/>
      <c r="W812" s="9"/>
    </row>
    <row r="813">
      <c r="A813" s="33"/>
      <c r="B813" s="2"/>
      <c r="C813" s="2"/>
      <c r="D813" s="2"/>
      <c r="E813" s="2"/>
      <c r="F813" s="4"/>
      <c r="G813" s="2"/>
      <c r="H813" s="2"/>
      <c r="I813" s="2"/>
      <c r="J813" s="2"/>
      <c r="K813" s="5"/>
      <c r="L813" s="2"/>
      <c r="M813" s="2"/>
      <c r="N813" s="2"/>
      <c r="O813" s="2"/>
      <c r="P813" s="2"/>
      <c r="Q813" s="2"/>
      <c r="R813" s="7"/>
      <c r="S813" s="224"/>
      <c r="T813" s="224"/>
      <c r="U813" s="224"/>
      <c r="V813" s="224"/>
      <c r="W813" s="9"/>
    </row>
    <row r="814">
      <c r="A814" s="33"/>
      <c r="B814" s="2"/>
      <c r="C814" s="2"/>
      <c r="D814" s="2"/>
      <c r="E814" s="2"/>
      <c r="F814" s="4"/>
      <c r="G814" s="2"/>
      <c r="H814" s="2"/>
      <c r="I814" s="2"/>
      <c r="J814" s="2"/>
      <c r="K814" s="5"/>
      <c r="L814" s="2"/>
      <c r="M814" s="2"/>
      <c r="N814" s="2"/>
      <c r="O814" s="2"/>
      <c r="P814" s="2"/>
      <c r="Q814" s="2"/>
      <c r="R814" s="7"/>
      <c r="S814" s="224"/>
      <c r="T814" s="224"/>
      <c r="U814" s="224"/>
      <c r="V814" s="224"/>
      <c r="W814" s="9"/>
    </row>
    <row r="815">
      <c r="A815" s="33"/>
      <c r="B815" s="2"/>
      <c r="C815" s="2"/>
      <c r="D815" s="2"/>
      <c r="E815" s="2"/>
      <c r="F815" s="4"/>
      <c r="G815" s="2"/>
      <c r="H815" s="2"/>
      <c r="I815" s="2"/>
      <c r="J815" s="2"/>
      <c r="K815" s="5"/>
      <c r="L815" s="2"/>
      <c r="M815" s="2"/>
      <c r="N815" s="2"/>
      <c r="O815" s="2"/>
      <c r="P815" s="2"/>
      <c r="Q815" s="2"/>
      <c r="R815" s="7"/>
      <c r="S815" s="224"/>
      <c r="T815" s="224"/>
      <c r="U815" s="224"/>
      <c r="V815" s="224"/>
      <c r="W815" s="9"/>
    </row>
    <row r="816">
      <c r="A816" s="33"/>
      <c r="B816" s="2"/>
      <c r="C816" s="2"/>
      <c r="D816" s="2"/>
      <c r="E816" s="2"/>
      <c r="F816" s="4"/>
      <c r="G816" s="2"/>
      <c r="H816" s="2"/>
      <c r="I816" s="2"/>
      <c r="J816" s="2"/>
      <c r="K816" s="5"/>
      <c r="L816" s="2"/>
      <c r="M816" s="2"/>
      <c r="N816" s="2"/>
      <c r="O816" s="2"/>
      <c r="P816" s="2"/>
      <c r="Q816" s="2"/>
      <c r="R816" s="7"/>
      <c r="S816" s="224"/>
      <c r="T816" s="224"/>
      <c r="U816" s="224"/>
      <c r="V816" s="224"/>
      <c r="W816" s="9"/>
    </row>
    <row r="817">
      <c r="A817" s="33"/>
      <c r="B817" s="2"/>
      <c r="C817" s="2"/>
      <c r="D817" s="2"/>
      <c r="E817" s="2"/>
      <c r="F817" s="4"/>
      <c r="G817" s="2"/>
      <c r="H817" s="2"/>
      <c r="I817" s="2"/>
      <c r="J817" s="2"/>
      <c r="K817" s="5"/>
      <c r="L817" s="2"/>
      <c r="M817" s="2"/>
      <c r="N817" s="2"/>
      <c r="O817" s="2"/>
      <c r="P817" s="2"/>
      <c r="Q817" s="2"/>
      <c r="R817" s="7"/>
      <c r="S817" s="224"/>
      <c r="T817" s="224"/>
      <c r="U817" s="224"/>
      <c r="V817" s="224"/>
      <c r="W817" s="9"/>
    </row>
    <row r="818">
      <c r="A818" s="33"/>
      <c r="B818" s="2"/>
      <c r="C818" s="2"/>
      <c r="D818" s="2"/>
      <c r="E818" s="2"/>
      <c r="F818" s="4"/>
      <c r="G818" s="2"/>
      <c r="H818" s="2"/>
      <c r="I818" s="2"/>
      <c r="J818" s="2"/>
      <c r="K818" s="5"/>
      <c r="L818" s="2"/>
      <c r="M818" s="2"/>
      <c r="N818" s="2"/>
      <c r="O818" s="2"/>
      <c r="P818" s="2"/>
      <c r="Q818" s="2"/>
      <c r="R818" s="7"/>
      <c r="S818" s="224"/>
      <c r="T818" s="224"/>
      <c r="U818" s="224"/>
      <c r="V818" s="224"/>
      <c r="W818" s="9"/>
    </row>
    <row r="819">
      <c r="A819" s="33"/>
      <c r="B819" s="2"/>
      <c r="C819" s="2"/>
      <c r="D819" s="2"/>
      <c r="E819" s="2"/>
      <c r="F819" s="4"/>
      <c r="G819" s="2"/>
      <c r="H819" s="2"/>
      <c r="I819" s="2"/>
      <c r="J819" s="2"/>
      <c r="K819" s="5"/>
      <c r="L819" s="2"/>
      <c r="M819" s="2"/>
      <c r="N819" s="2"/>
      <c r="O819" s="2"/>
      <c r="P819" s="2"/>
      <c r="Q819" s="2"/>
      <c r="R819" s="7"/>
      <c r="S819" s="224"/>
      <c r="T819" s="224"/>
      <c r="U819" s="224"/>
      <c r="V819" s="224"/>
      <c r="W819" s="9"/>
    </row>
    <row r="820">
      <c r="A820" s="33"/>
      <c r="B820" s="2"/>
      <c r="C820" s="2"/>
      <c r="D820" s="2"/>
      <c r="E820" s="2"/>
      <c r="F820" s="4"/>
      <c r="G820" s="2"/>
      <c r="H820" s="2"/>
      <c r="I820" s="2"/>
      <c r="J820" s="2"/>
      <c r="K820" s="5"/>
      <c r="L820" s="2"/>
      <c r="M820" s="2"/>
      <c r="N820" s="2"/>
      <c r="O820" s="2"/>
      <c r="P820" s="2"/>
      <c r="Q820" s="2"/>
      <c r="R820" s="7"/>
      <c r="S820" s="224"/>
      <c r="T820" s="224"/>
      <c r="U820" s="224"/>
      <c r="V820" s="224"/>
      <c r="W820" s="9"/>
    </row>
    <row r="821">
      <c r="A821" s="33"/>
      <c r="B821" s="2"/>
      <c r="C821" s="2"/>
      <c r="D821" s="2"/>
      <c r="E821" s="2"/>
      <c r="F821" s="4"/>
      <c r="G821" s="2"/>
      <c r="H821" s="2"/>
      <c r="I821" s="2"/>
      <c r="J821" s="2"/>
      <c r="K821" s="5"/>
      <c r="L821" s="2"/>
      <c r="M821" s="2"/>
      <c r="N821" s="2"/>
      <c r="O821" s="2"/>
      <c r="P821" s="2"/>
      <c r="Q821" s="2"/>
      <c r="R821" s="7"/>
      <c r="S821" s="224"/>
      <c r="T821" s="224"/>
      <c r="U821" s="224"/>
      <c r="V821" s="224"/>
      <c r="W821" s="9"/>
    </row>
    <row r="822">
      <c r="A822" s="33"/>
      <c r="B822" s="2"/>
      <c r="C822" s="2"/>
      <c r="D822" s="2"/>
      <c r="E822" s="2"/>
      <c r="F822" s="4"/>
      <c r="G822" s="2"/>
      <c r="H822" s="2"/>
      <c r="I822" s="2"/>
      <c r="J822" s="2"/>
      <c r="K822" s="5"/>
      <c r="L822" s="2"/>
      <c r="M822" s="2"/>
      <c r="N822" s="2"/>
      <c r="O822" s="2"/>
      <c r="P822" s="2"/>
      <c r="Q822" s="2"/>
      <c r="R822" s="7"/>
      <c r="S822" s="224"/>
      <c r="T822" s="224"/>
      <c r="U822" s="224"/>
      <c r="V822" s="224"/>
      <c r="W822" s="9"/>
    </row>
    <row r="823">
      <c r="A823" s="33"/>
      <c r="B823" s="2"/>
      <c r="C823" s="2"/>
      <c r="D823" s="2"/>
      <c r="E823" s="2"/>
      <c r="F823" s="4"/>
      <c r="G823" s="2"/>
      <c r="H823" s="2"/>
      <c r="I823" s="2"/>
      <c r="J823" s="2"/>
      <c r="K823" s="5"/>
      <c r="L823" s="2"/>
      <c r="M823" s="2"/>
      <c r="N823" s="2"/>
      <c r="O823" s="2"/>
      <c r="P823" s="2"/>
      <c r="Q823" s="2"/>
      <c r="R823" s="7"/>
      <c r="S823" s="224"/>
      <c r="T823" s="224"/>
      <c r="U823" s="224"/>
      <c r="V823" s="224"/>
      <c r="W823" s="9"/>
    </row>
    <row r="824">
      <c r="A824" s="33"/>
      <c r="B824" s="2"/>
      <c r="C824" s="2"/>
      <c r="D824" s="2"/>
      <c r="E824" s="2"/>
      <c r="F824" s="4"/>
      <c r="G824" s="2"/>
      <c r="H824" s="2"/>
      <c r="I824" s="2"/>
      <c r="J824" s="2"/>
      <c r="K824" s="5"/>
      <c r="L824" s="2"/>
      <c r="M824" s="2"/>
      <c r="N824" s="2"/>
      <c r="O824" s="2"/>
      <c r="P824" s="2"/>
      <c r="Q824" s="2"/>
      <c r="R824" s="7"/>
      <c r="S824" s="224"/>
      <c r="T824" s="224"/>
      <c r="U824" s="224"/>
      <c r="V824" s="224"/>
      <c r="W824" s="9"/>
    </row>
    <row r="825">
      <c r="A825" s="33"/>
      <c r="B825" s="2"/>
      <c r="C825" s="2"/>
      <c r="D825" s="2"/>
      <c r="E825" s="2"/>
      <c r="F825" s="4"/>
      <c r="G825" s="2"/>
      <c r="H825" s="2"/>
      <c r="I825" s="2"/>
      <c r="J825" s="2"/>
      <c r="K825" s="5"/>
      <c r="L825" s="2"/>
      <c r="M825" s="2"/>
      <c r="N825" s="2"/>
      <c r="O825" s="2"/>
      <c r="P825" s="2"/>
      <c r="Q825" s="2"/>
      <c r="R825" s="7"/>
      <c r="S825" s="224"/>
      <c r="T825" s="224"/>
      <c r="U825" s="224"/>
      <c r="V825" s="224"/>
      <c r="W825" s="9"/>
    </row>
    <row r="826">
      <c r="A826" s="33"/>
      <c r="B826" s="2"/>
      <c r="C826" s="2"/>
      <c r="D826" s="2"/>
      <c r="E826" s="2"/>
      <c r="F826" s="4"/>
      <c r="G826" s="2"/>
      <c r="H826" s="2"/>
      <c r="I826" s="2"/>
      <c r="J826" s="2"/>
      <c r="K826" s="5"/>
      <c r="L826" s="2"/>
      <c r="M826" s="2"/>
      <c r="N826" s="2"/>
      <c r="O826" s="2"/>
      <c r="P826" s="2"/>
      <c r="Q826" s="2"/>
      <c r="R826" s="7"/>
      <c r="S826" s="224"/>
      <c r="T826" s="224"/>
      <c r="U826" s="224"/>
      <c r="V826" s="224"/>
      <c r="W826" s="9"/>
    </row>
    <row r="827">
      <c r="A827" s="33"/>
      <c r="B827" s="2"/>
      <c r="C827" s="2"/>
      <c r="D827" s="2"/>
      <c r="E827" s="2"/>
      <c r="F827" s="4"/>
      <c r="G827" s="2"/>
      <c r="H827" s="2"/>
      <c r="I827" s="2"/>
      <c r="J827" s="2"/>
      <c r="K827" s="5"/>
      <c r="L827" s="2"/>
      <c r="M827" s="2"/>
      <c r="N827" s="2"/>
      <c r="O827" s="2"/>
      <c r="P827" s="2"/>
      <c r="Q827" s="2"/>
      <c r="R827" s="7"/>
      <c r="S827" s="224"/>
      <c r="T827" s="224"/>
      <c r="U827" s="224"/>
      <c r="V827" s="224"/>
      <c r="W827" s="9"/>
    </row>
    <row r="828">
      <c r="A828" s="33"/>
      <c r="B828" s="2"/>
      <c r="C828" s="2"/>
      <c r="D828" s="2"/>
      <c r="E828" s="2"/>
      <c r="F828" s="4"/>
      <c r="G828" s="2"/>
      <c r="H828" s="2"/>
      <c r="I828" s="2"/>
      <c r="J828" s="2"/>
      <c r="K828" s="5"/>
      <c r="L828" s="2"/>
      <c r="M828" s="2"/>
      <c r="N828" s="2"/>
      <c r="O828" s="2"/>
      <c r="P828" s="2"/>
      <c r="Q828" s="2"/>
      <c r="R828" s="7"/>
      <c r="S828" s="224"/>
      <c r="T828" s="224"/>
      <c r="U828" s="224"/>
      <c r="V828" s="224"/>
      <c r="W828" s="9"/>
    </row>
    <row r="829">
      <c r="A829" s="33"/>
      <c r="B829" s="2"/>
      <c r="C829" s="2"/>
      <c r="D829" s="2"/>
      <c r="E829" s="2"/>
      <c r="F829" s="4"/>
      <c r="G829" s="2"/>
      <c r="H829" s="2"/>
      <c r="I829" s="2"/>
      <c r="J829" s="2"/>
      <c r="K829" s="5"/>
      <c r="L829" s="2"/>
      <c r="M829" s="2"/>
      <c r="N829" s="2"/>
      <c r="O829" s="2"/>
      <c r="P829" s="2"/>
      <c r="Q829" s="2"/>
      <c r="R829" s="7"/>
      <c r="S829" s="224"/>
      <c r="T829" s="224"/>
      <c r="U829" s="224"/>
      <c r="V829" s="224"/>
      <c r="W829" s="9"/>
    </row>
    <row r="830">
      <c r="A830" s="33"/>
      <c r="B830" s="2"/>
      <c r="C830" s="2"/>
      <c r="D830" s="2"/>
      <c r="E830" s="2"/>
      <c r="F830" s="4"/>
      <c r="G830" s="2"/>
      <c r="H830" s="2"/>
      <c r="I830" s="2"/>
      <c r="J830" s="2"/>
      <c r="K830" s="5"/>
      <c r="L830" s="2"/>
      <c r="M830" s="2"/>
      <c r="N830" s="2"/>
      <c r="O830" s="2"/>
      <c r="P830" s="2"/>
      <c r="Q830" s="2"/>
      <c r="R830" s="7"/>
      <c r="S830" s="224"/>
      <c r="T830" s="224"/>
      <c r="U830" s="224"/>
      <c r="V830" s="224"/>
      <c r="W830" s="9"/>
    </row>
    <row r="831">
      <c r="A831" s="33"/>
      <c r="B831" s="2"/>
      <c r="C831" s="2"/>
      <c r="D831" s="2"/>
      <c r="E831" s="2"/>
      <c r="F831" s="4"/>
      <c r="G831" s="2"/>
      <c r="H831" s="2"/>
      <c r="I831" s="2"/>
      <c r="J831" s="2"/>
      <c r="K831" s="5"/>
      <c r="L831" s="2"/>
      <c r="M831" s="2"/>
      <c r="N831" s="2"/>
      <c r="O831" s="2"/>
      <c r="P831" s="2"/>
      <c r="Q831" s="2"/>
      <c r="R831" s="7"/>
      <c r="S831" s="224"/>
      <c r="T831" s="224"/>
      <c r="U831" s="224"/>
      <c r="V831" s="224"/>
      <c r="W831" s="9"/>
    </row>
    <row r="832">
      <c r="A832" s="33"/>
      <c r="B832" s="2"/>
      <c r="C832" s="2"/>
      <c r="D832" s="2"/>
      <c r="E832" s="2"/>
      <c r="F832" s="4"/>
      <c r="G832" s="2"/>
      <c r="H832" s="2"/>
      <c r="I832" s="2"/>
      <c r="J832" s="2"/>
      <c r="K832" s="5"/>
      <c r="L832" s="2"/>
      <c r="M832" s="2"/>
      <c r="N832" s="2"/>
      <c r="O832" s="2"/>
      <c r="P832" s="2"/>
      <c r="Q832" s="2"/>
      <c r="R832" s="7"/>
      <c r="S832" s="224"/>
      <c r="T832" s="224"/>
      <c r="U832" s="224"/>
      <c r="V832" s="224"/>
      <c r="W832" s="9"/>
    </row>
    <row r="833">
      <c r="A833" s="33"/>
      <c r="B833" s="2"/>
      <c r="C833" s="2"/>
      <c r="D833" s="2"/>
      <c r="E833" s="2"/>
      <c r="F833" s="4"/>
      <c r="G833" s="2"/>
      <c r="H833" s="2"/>
      <c r="I833" s="2"/>
      <c r="J833" s="2"/>
      <c r="K833" s="5"/>
      <c r="L833" s="2"/>
      <c r="M833" s="2"/>
      <c r="N833" s="2"/>
      <c r="O833" s="2"/>
      <c r="P833" s="2"/>
      <c r="Q833" s="2"/>
      <c r="R833" s="7"/>
      <c r="S833" s="224"/>
      <c r="T833" s="224"/>
      <c r="U833" s="224"/>
      <c r="V833" s="224"/>
      <c r="W833" s="9"/>
    </row>
    <row r="834">
      <c r="A834" s="33"/>
      <c r="B834" s="2"/>
      <c r="C834" s="2"/>
      <c r="D834" s="2"/>
      <c r="E834" s="2"/>
      <c r="F834" s="4"/>
      <c r="G834" s="2"/>
      <c r="H834" s="2"/>
      <c r="I834" s="2"/>
      <c r="J834" s="2"/>
      <c r="K834" s="5"/>
      <c r="L834" s="2"/>
      <c r="M834" s="2"/>
      <c r="N834" s="2"/>
      <c r="O834" s="2"/>
      <c r="P834" s="2"/>
      <c r="Q834" s="2"/>
      <c r="R834" s="7"/>
      <c r="S834" s="224"/>
      <c r="T834" s="224"/>
      <c r="U834" s="224"/>
      <c r="V834" s="224"/>
      <c r="W834" s="9"/>
    </row>
    <row r="835">
      <c r="A835" s="33"/>
      <c r="B835" s="2"/>
      <c r="C835" s="2"/>
      <c r="D835" s="2"/>
      <c r="E835" s="2"/>
      <c r="F835" s="4"/>
      <c r="G835" s="2"/>
      <c r="H835" s="2"/>
      <c r="I835" s="2"/>
      <c r="J835" s="2"/>
      <c r="K835" s="5"/>
      <c r="L835" s="2"/>
      <c r="M835" s="2"/>
      <c r="N835" s="2"/>
      <c r="O835" s="2"/>
      <c r="P835" s="2"/>
      <c r="Q835" s="2"/>
      <c r="R835" s="7"/>
      <c r="S835" s="224"/>
      <c r="T835" s="224"/>
      <c r="U835" s="224"/>
      <c r="V835" s="224"/>
      <c r="W835" s="9"/>
    </row>
    <row r="836">
      <c r="A836" s="33"/>
      <c r="B836" s="2"/>
      <c r="C836" s="2"/>
      <c r="D836" s="2"/>
      <c r="E836" s="2"/>
      <c r="F836" s="4"/>
      <c r="G836" s="2"/>
      <c r="H836" s="2"/>
      <c r="I836" s="2"/>
      <c r="J836" s="2"/>
      <c r="K836" s="5"/>
      <c r="L836" s="2"/>
      <c r="M836" s="2"/>
      <c r="N836" s="2"/>
      <c r="O836" s="2"/>
      <c r="P836" s="2"/>
      <c r="Q836" s="2"/>
      <c r="R836" s="7"/>
      <c r="S836" s="224"/>
      <c r="T836" s="224"/>
      <c r="U836" s="224"/>
      <c r="V836" s="224"/>
      <c r="W836" s="9"/>
    </row>
    <row r="837">
      <c r="A837" s="33"/>
      <c r="B837" s="2"/>
      <c r="C837" s="2"/>
      <c r="D837" s="2"/>
      <c r="E837" s="2"/>
      <c r="F837" s="4"/>
      <c r="G837" s="2"/>
      <c r="H837" s="2"/>
      <c r="I837" s="2"/>
      <c r="J837" s="2"/>
      <c r="K837" s="5"/>
      <c r="L837" s="2"/>
      <c r="M837" s="2"/>
      <c r="N837" s="2"/>
      <c r="O837" s="2"/>
      <c r="P837" s="2"/>
      <c r="Q837" s="2"/>
      <c r="R837" s="7"/>
      <c r="S837" s="224"/>
      <c r="T837" s="224"/>
      <c r="U837" s="224"/>
      <c r="V837" s="224"/>
      <c r="W837" s="9"/>
    </row>
    <row r="838">
      <c r="A838" s="33"/>
      <c r="B838" s="2"/>
      <c r="C838" s="2"/>
      <c r="D838" s="2"/>
      <c r="E838" s="2"/>
      <c r="F838" s="4"/>
      <c r="G838" s="2"/>
      <c r="H838" s="2"/>
      <c r="I838" s="2"/>
      <c r="J838" s="2"/>
      <c r="K838" s="5"/>
      <c r="L838" s="2"/>
      <c r="M838" s="2"/>
      <c r="N838" s="2"/>
      <c r="O838" s="2"/>
      <c r="P838" s="2"/>
      <c r="Q838" s="2"/>
      <c r="R838" s="7"/>
      <c r="S838" s="224"/>
      <c r="T838" s="224"/>
      <c r="U838" s="224"/>
      <c r="V838" s="224"/>
      <c r="W838" s="9"/>
    </row>
    <row r="839">
      <c r="A839" s="33"/>
      <c r="B839" s="2"/>
      <c r="C839" s="2"/>
      <c r="D839" s="2"/>
      <c r="E839" s="2"/>
      <c r="F839" s="4"/>
      <c r="G839" s="2"/>
      <c r="H839" s="2"/>
      <c r="I839" s="2"/>
      <c r="J839" s="2"/>
      <c r="K839" s="5"/>
      <c r="L839" s="2"/>
      <c r="M839" s="2"/>
      <c r="N839" s="2"/>
      <c r="O839" s="2"/>
      <c r="P839" s="2"/>
      <c r="Q839" s="2"/>
      <c r="R839" s="7"/>
      <c r="S839" s="224"/>
      <c r="T839" s="224"/>
      <c r="U839" s="224"/>
      <c r="V839" s="224"/>
      <c r="W839" s="9"/>
    </row>
    <row r="840">
      <c r="A840" s="33"/>
      <c r="B840" s="2"/>
      <c r="C840" s="2"/>
      <c r="D840" s="2"/>
      <c r="E840" s="2"/>
      <c r="F840" s="4"/>
      <c r="G840" s="2"/>
      <c r="H840" s="2"/>
      <c r="I840" s="2"/>
      <c r="J840" s="2"/>
      <c r="K840" s="5"/>
      <c r="L840" s="2"/>
      <c r="M840" s="2"/>
      <c r="N840" s="2"/>
      <c r="O840" s="2"/>
      <c r="P840" s="2"/>
      <c r="Q840" s="2"/>
      <c r="R840" s="7"/>
      <c r="S840" s="224"/>
      <c r="T840" s="224"/>
      <c r="U840" s="224"/>
      <c r="V840" s="224"/>
      <c r="W840" s="9"/>
    </row>
    <row r="841">
      <c r="A841" s="33"/>
      <c r="B841" s="2"/>
      <c r="C841" s="2"/>
      <c r="D841" s="2"/>
      <c r="E841" s="2"/>
      <c r="F841" s="4"/>
      <c r="G841" s="2"/>
      <c r="H841" s="2"/>
      <c r="I841" s="2"/>
      <c r="J841" s="2"/>
      <c r="K841" s="5"/>
      <c r="L841" s="2"/>
      <c r="M841" s="2"/>
      <c r="N841" s="2"/>
      <c r="O841" s="2"/>
      <c r="P841" s="2"/>
      <c r="Q841" s="2"/>
      <c r="R841" s="7"/>
      <c r="S841" s="224"/>
      <c r="T841" s="224"/>
      <c r="U841" s="224"/>
      <c r="V841" s="224"/>
      <c r="W841" s="9"/>
    </row>
    <row r="842">
      <c r="A842" s="33"/>
      <c r="B842" s="2"/>
      <c r="C842" s="2"/>
      <c r="D842" s="2"/>
      <c r="E842" s="2"/>
      <c r="F842" s="4"/>
      <c r="G842" s="2"/>
      <c r="H842" s="2"/>
      <c r="I842" s="2"/>
      <c r="J842" s="2"/>
      <c r="K842" s="5"/>
      <c r="L842" s="2"/>
      <c r="M842" s="2"/>
      <c r="N842" s="2"/>
      <c r="O842" s="2"/>
      <c r="P842" s="2"/>
      <c r="Q842" s="2"/>
      <c r="R842" s="7"/>
      <c r="S842" s="224"/>
      <c r="T842" s="224"/>
      <c r="U842" s="224"/>
      <c r="V842" s="224"/>
      <c r="W842" s="9"/>
    </row>
    <row r="843">
      <c r="A843" s="33"/>
      <c r="B843" s="2"/>
      <c r="C843" s="2"/>
      <c r="D843" s="2"/>
      <c r="E843" s="2"/>
      <c r="F843" s="4"/>
      <c r="G843" s="2"/>
      <c r="H843" s="2"/>
      <c r="I843" s="2"/>
      <c r="J843" s="2"/>
      <c r="K843" s="5"/>
      <c r="L843" s="2"/>
      <c r="M843" s="2"/>
      <c r="N843" s="2"/>
      <c r="O843" s="2"/>
      <c r="P843" s="2"/>
      <c r="Q843" s="2"/>
      <c r="R843" s="7"/>
      <c r="S843" s="224"/>
      <c r="T843" s="224"/>
      <c r="U843" s="224"/>
      <c r="V843" s="224"/>
      <c r="W843" s="9"/>
    </row>
    <row r="844">
      <c r="A844" s="33"/>
      <c r="B844" s="2"/>
      <c r="C844" s="2"/>
      <c r="D844" s="2"/>
      <c r="E844" s="2"/>
      <c r="F844" s="4"/>
      <c r="G844" s="2"/>
      <c r="H844" s="2"/>
      <c r="I844" s="2"/>
      <c r="J844" s="2"/>
      <c r="K844" s="5"/>
      <c r="L844" s="2"/>
      <c r="M844" s="2"/>
      <c r="N844" s="2"/>
      <c r="O844" s="2"/>
      <c r="P844" s="2"/>
      <c r="Q844" s="2"/>
      <c r="R844" s="7"/>
      <c r="S844" s="224"/>
      <c r="T844" s="224"/>
      <c r="U844" s="224"/>
      <c r="V844" s="224"/>
      <c r="W844" s="9"/>
    </row>
    <row r="845">
      <c r="A845" s="33"/>
      <c r="B845" s="2"/>
      <c r="C845" s="2"/>
      <c r="D845" s="2"/>
      <c r="E845" s="2"/>
      <c r="F845" s="4"/>
      <c r="G845" s="2"/>
      <c r="H845" s="2"/>
      <c r="I845" s="2"/>
      <c r="J845" s="2"/>
      <c r="K845" s="5"/>
      <c r="L845" s="2"/>
      <c r="M845" s="2"/>
      <c r="N845" s="2"/>
      <c r="O845" s="2"/>
      <c r="P845" s="2"/>
      <c r="Q845" s="2"/>
      <c r="R845" s="7"/>
      <c r="S845" s="224"/>
      <c r="T845" s="224"/>
      <c r="U845" s="224"/>
      <c r="V845" s="224"/>
      <c r="W845" s="9"/>
    </row>
    <row r="846">
      <c r="A846" s="33"/>
      <c r="B846" s="2"/>
      <c r="C846" s="2"/>
      <c r="D846" s="2"/>
      <c r="E846" s="2"/>
      <c r="F846" s="4"/>
      <c r="G846" s="2"/>
      <c r="H846" s="2"/>
      <c r="I846" s="2"/>
      <c r="J846" s="2"/>
      <c r="K846" s="5"/>
      <c r="L846" s="2"/>
      <c r="M846" s="2"/>
      <c r="N846" s="2"/>
      <c r="O846" s="2"/>
      <c r="P846" s="2"/>
      <c r="Q846" s="2"/>
      <c r="R846" s="7"/>
      <c r="S846" s="224"/>
      <c r="T846" s="224"/>
      <c r="U846" s="224"/>
      <c r="V846" s="224"/>
      <c r="W846" s="9"/>
    </row>
    <row r="847">
      <c r="A847" s="33"/>
      <c r="B847" s="2"/>
      <c r="C847" s="2"/>
      <c r="D847" s="2"/>
      <c r="E847" s="2"/>
      <c r="F847" s="4"/>
      <c r="G847" s="2"/>
      <c r="H847" s="2"/>
      <c r="I847" s="2"/>
      <c r="J847" s="2"/>
      <c r="K847" s="5"/>
      <c r="L847" s="2"/>
      <c r="M847" s="2"/>
      <c r="N847" s="2"/>
      <c r="O847" s="2"/>
      <c r="P847" s="2"/>
      <c r="Q847" s="2"/>
      <c r="R847" s="7"/>
      <c r="S847" s="224"/>
      <c r="T847" s="224"/>
      <c r="U847" s="224"/>
      <c r="V847" s="224"/>
      <c r="W847" s="9"/>
    </row>
    <row r="848">
      <c r="A848" s="33"/>
      <c r="B848" s="2"/>
      <c r="C848" s="2"/>
      <c r="D848" s="2"/>
      <c r="E848" s="2"/>
      <c r="F848" s="4"/>
      <c r="G848" s="2"/>
      <c r="H848" s="2"/>
      <c r="I848" s="2"/>
      <c r="J848" s="2"/>
      <c r="K848" s="5"/>
      <c r="L848" s="2"/>
      <c r="M848" s="2"/>
      <c r="N848" s="2"/>
      <c r="O848" s="2"/>
      <c r="P848" s="2"/>
      <c r="Q848" s="2"/>
      <c r="R848" s="7"/>
      <c r="S848" s="224"/>
      <c r="T848" s="224"/>
      <c r="U848" s="224"/>
      <c r="V848" s="224"/>
      <c r="W848" s="9"/>
    </row>
    <row r="849">
      <c r="A849" s="33"/>
      <c r="B849" s="2"/>
      <c r="C849" s="2"/>
      <c r="D849" s="2"/>
      <c r="E849" s="2"/>
      <c r="F849" s="4"/>
      <c r="G849" s="2"/>
      <c r="H849" s="2"/>
      <c r="I849" s="2"/>
      <c r="J849" s="2"/>
      <c r="K849" s="5"/>
      <c r="L849" s="2"/>
      <c r="M849" s="2"/>
      <c r="N849" s="2"/>
      <c r="O849" s="2"/>
      <c r="P849" s="2"/>
      <c r="Q849" s="2"/>
      <c r="R849" s="7"/>
      <c r="S849" s="224"/>
      <c r="T849" s="224"/>
      <c r="U849" s="224"/>
      <c r="V849" s="224"/>
      <c r="W849" s="9"/>
    </row>
    <row r="850">
      <c r="A850" s="33"/>
      <c r="B850" s="2"/>
      <c r="C850" s="2"/>
      <c r="D850" s="2"/>
      <c r="E850" s="2"/>
      <c r="F850" s="4"/>
      <c r="G850" s="2"/>
      <c r="H850" s="2"/>
      <c r="I850" s="2"/>
      <c r="J850" s="2"/>
      <c r="K850" s="5"/>
      <c r="L850" s="2"/>
      <c r="M850" s="2"/>
      <c r="N850" s="2"/>
      <c r="O850" s="2"/>
      <c r="P850" s="2"/>
      <c r="Q850" s="2"/>
      <c r="R850" s="7"/>
      <c r="S850" s="224"/>
      <c r="T850" s="224"/>
      <c r="U850" s="224"/>
      <c r="V850" s="224"/>
      <c r="W850" s="9"/>
    </row>
    <row r="851">
      <c r="A851" s="33"/>
      <c r="B851" s="2"/>
      <c r="C851" s="2"/>
      <c r="D851" s="2"/>
      <c r="E851" s="2"/>
      <c r="F851" s="4"/>
      <c r="G851" s="2"/>
      <c r="H851" s="2"/>
      <c r="I851" s="2"/>
      <c r="J851" s="2"/>
      <c r="K851" s="5"/>
      <c r="L851" s="2"/>
      <c r="M851" s="2"/>
      <c r="N851" s="2"/>
      <c r="O851" s="2"/>
      <c r="P851" s="2"/>
      <c r="Q851" s="2"/>
      <c r="R851" s="7"/>
      <c r="S851" s="224"/>
      <c r="T851" s="224"/>
      <c r="U851" s="224"/>
      <c r="V851" s="224"/>
      <c r="W851" s="9"/>
    </row>
    <row r="852">
      <c r="A852" s="33"/>
      <c r="B852" s="2"/>
      <c r="C852" s="2"/>
      <c r="D852" s="2"/>
      <c r="E852" s="2"/>
      <c r="F852" s="4"/>
      <c r="G852" s="2"/>
      <c r="H852" s="2"/>
      <c r="I852" s="2"/>
      <c r="J852" s="2"/>
      <c r="K852" s="5"/>
      <c r="L852" s="2"/>
      <c r="M852" s="2"/>
      <c r="N852" s="2"/>
      <c r="O852" s="2"/>
      <c r="P852" s="2"/>
      <c r="Q852" s="2"/>
      <c r="R852" s="7"/>
      <c r="S852" s="224"/>
      <c r="T852" s="224"/>
      <c r="U852" s="224"/>
      <c r="V852" s="224"/>
      <c r="W852" s="9"/>
    </row>
    <row r="853">
      <c r="A853" s="33"/>
      <c r="B853" s="2"/>
      <c r="C853" s="2"/>
      <c r="D853" s="2"/>
      <c r="E853" s="2"/>
      <c r="F853" s="4"/>
      <c r="G853" s="2"/>
      <c r="H853" s="2"/>
      <c r="I853" s="2"/>
      <c r="J853" s="2"/>
      <c r="K853" s="5"/>
      <c r="L853" s="2"/>
      <c r="M853" s="2"/>
      <c r="N853" s="2"/>
      <c r="O853" s="2"/>
      <c r="P853" s="2"/>
      <c r="Q853" s="2"/>
      <c r="R853" s="7"/>
      <c r="S853" s="224"/>
      <c r="T853" s="224"/>
      <c r="U853" s="224"/>
      <c r="V853" s="224"/>
      <c r="W853" s="9"/>
    </row>
    <row r="854">
      <c r="A854" s="33"/>
      <c r="B854" s="2"/>
      <c r="C854" s="2"/>
      <c r="D854" s="2"/>
      <c r="E854" s="2"/>
      <c r="F854" s="4"/>
      <c r="G854" s="2"/>
      <c r="H854" s="2"/>
      <c r="I854" s="2"/>
      <c r="J854" s="2"/>
      <c r="K854" s="5"/>
      <c r="L854" s="2"/>
      <c r="M854" s="2"/>
      <c r="N854" s="2"/>
      <c r="O854" s="2"/>
      <c r="P854" s="2"/>
      <c r="Q854" s="2"/>
      <c r="R854" s="7"/>
      <c r="S854" s="224"/>
      <c r="T854" s="224"/>
      <c r="U854" s="224"/>
      <c r="V854" s="224"/>
      <c r="W854" s="9"/>
    </row>
    <row r="855">
      <c r="A855" s="33"/>
      <c r="B855" s="2"/>
      <c r="C855" s="2"/>
      <c r="D855" s="2"/>
      <c r="E855" s="2"/>
      <c r="F855" s="4"/>
      <c r="G855" s="2"/>
      <c r="H855" s="2"/>
      <c r="I855" s="2"/>
      <c r="J855" s="2"/>
      <c r="K855" s="5"/>
      <c r="L855" s="2"/>
      <c r="M855" s="2"/>
      <c r="N855" s="2"/>
      <c r="O855" s="2"/>
      <c r="P855" s="2"/>
      <c r="Q855" s="2"/>
      <c r="R855" s="7"/>
      <c r="S855" s="224"/>
      <c r="T855" s="224"/>
      <c r="U855" s="224"/>
      <c r="V855" s="224"/>
      <c r="W855" s="9"/>
    </row>
    <row r="856">
      <c r="A856" s="33"/>
      <c r="B856" s="2"/>
      <c r="C856" s="2"/>
      <c r="D856" s="2"/>
      <c r="E856" s="2"/>
      <c r="F856" s="4"/>
      <c r="G856" s="2"/>
      <c r="H856" s="2"/>
      <c r="I856" s="2"/>
      <c r="J856" s="2"/>
      <c r="K856" s="5"/>
      <c r="L856" s="2"/>
      <c r="M856" s="2"/>
      <c r="N856" s="2"/>
      <c r="O856" s="2"/>
      <c r="P856" s="2"/>
      <c r="Q856" s="2"/>
      <c r="R856" s="7"/>
      <c r="S856" s="224"/>
      <c r="T856" s="224"/>
      <c r="U856" s="224"/>
      <c r="V856" s="224"/>
      <c r="W856" s="9"/>
    </row>
    <row r="857">
      <c r="A857" s="33"/>
      <c r="B857" s="2"/>
      <c r="C857" s="2"/>
      <c r="D857" s="2"/>
      <c r="E857" s="2"/>
      <c r="F857" s="4"/>
      <c r="G857" s="2"/>
      <c r="H857" s="2"/>
      <c r="I857" s="2"/>
      <c r="J857" s="2"/>
      <c r="K857" s="5"/>
      <c r="L857" s="2"/>
      <c r="M857" s="2"/>
      <c r="N857" s="2"/>
      <c r="O857" s="2"/>
      <c r="P857" s="2"/>
      <c r="Q857" s="2"/>
      <c r="R857" s="7"/>
      <c r="S857" s="224"/>
      <c r="T857" s="224"/>
      <c r="U857" s="224"/>
      <c r="V857" s="224"/>
      <c r="W857" s="9"/>
    </row>
    <row r="858">
      <c r="A858" s="33"/>
      <c r="B858" s="2"/>
      <c r="C858" s="2"/>
      <c r="D858" s="2"/>
      <c r="E858" s="2"/>
      <c r="F858" s="4"/>
      <c r="G858" s="2"/>
      <c r="H858" s="2"/>
      <c r="I858" s="2"/>
      <c r="J858" s="2"/>
      <c r="K858" s="5"/>
      <c r="L858" s="2"/>
      <c r="M858" s="2"/>
      <c r="N858" s="2"/>
      <c r="O858" s="2"/>
      <c r="P858" s="2"/>
      <c r="Q858" s="2"/>
      <c r="R858" s="7"/>
      <c r="S858" s="224"/>
      <c r="T858" s="224"/>
      <c r="U858" s="224"/>
      <c r="V858" s="224"/>
      <c r="W858" s="9"/>
    </row>
    <row r="859">
      <c r="A859" s="33"/>
      <c r="B859" s="2"/>
      <c r="C859" s="2"/>
      <c r="D859" s="2"/>
      <c r="E859" s="2"/>
      <c r="F859" s="4"/>
      <c r="G859" s="2"/>
      <c r="H859" s="2"/>
      <c r="I859" s="2"/>
      <c r="J859" s="2"/>
      <c r="K859" s="5"/>
      <c r="L859" s="2"/>
      <c r="M859" s="2"/>
      <c r="N859" s="2"/>
      <c r="O859" s="2"/>
      <c r="P859" s="2"/>
      <c r="Q859" s="2"/>
      <c r="R859" s="7"/>
      <c r="S859" s="224"/>
      <c r="T859" s="224"/>
      <c r="U859" s="224"/>
      <c r="V859" s="224"/>
      <c r="W859" s="9"/>
    </row>
    <row r="860">
      <c r="A860" s="33"/>
      <c r="B860" s="2"/>
      <c r="C860" s="2"/>
      <c r="D860" s="2"/>
      <c r="E860" s="2"/>
      <c r="F860" s="4"/>
      <c r="G860" s="2"/>
      <c r="H860" s="2"/>
      <c r="I860" s="2"/>
      <c r="J860" s="2"/>
      <c r="K860" s="5"/>
      <c r="L860" s="2"/>
      <c r="M860" s="2"/>
      <c r="N860" s="2"/>
      <c r="O860" s="2"/>
      <c r="P860" s="2"/>
      <c r="Q860" s="2"/>
      <c r="R860" s="7"/>
      <c r="S860" s="224"/>
      <c r="T860" s="224"/>
      <c r="U860" s="224"/>
      <c r="V860" s="224"/>
      <c r="W860" s="9"/>
    </row>
    <row r="861">
      <c r="A861" s="33"/>
      <c r="B861" s="2"/>
      <c r="C861" s="2"/>
      <c r="D861" s="2"/>
      <c r="E861" s="2"/>
      <c r="F861" s="4"/>
      <c r="G861" s="2"/>
      <c r="H861" s="2"/>
      <c r="I861" s="2"/>
      <c r="J861" s="2"/>
      <c r="K861" s="5"/>
      <c r="L861" s="2"/>
      <c r="M861" s="2"/>
      <c r="N861" s="2"/>
      <c r="O861" s="2"/>
      <c r="P861" s="2"/>
      <c r="Q861" s="2"/>
      <c r="R861" s="7"/>
      <c r="S861" s="224"/>
      <c r="T861" s="224"/>
      <c r="U861" s="224"/>
      <c r="V861" s="224"/>
      <c r="W861" s="9"/>
    </row>
    <row r="862">
      <c r="A862" s="33"/>
      <c r="B862" s="2"/>
      <c r="C862" s="2"/>
      <c r="D862" s="2"/>
      <c r="E862" s="2"/>
      <c r="F862" s="4"/>
      <c r="G862" s="2"/>
      <c r="H862" s="2"/>
      <c r="I862" s="2"/>
      <c r="J862" s="2"/>
      <c r="K862" s="5"/>
      <c r="L862" s="2"/>
      <c r="M862" s="2"/>
      <c r="N862" s="2"/>
      <c r="O862" s="2"/>
      <c r="P862" s="2"/>
      <c r="Q862" s="2"/>
      <c r="R862" s="7"/>
      <c r="S862" s="224"/>
      <c r="T862" s="224"/>
      <c r="U862" s="224"/>
      <c r="V862" s="224"/>
      <c r="W862" s="9"/>
    </row>
    <row r="863">
      <c r="A863" s="33"/>
      <c r="B863" s="2"/>
      <c r="C863" s="2"/>
      <c r="D863" s="2"/>
      <c r="E863" s="2"/>
      <c r="F863" s="4"/>
      <c r="G863" s="2"/>
      <c r="H863" s="2"/>
      <c r="I863" s="2"/>
      <c r="J863" s="2"/>
      <c r="K863" s="5"/>
      <c r="L863" s="2"/>
      <c r="M863" s="2"/>
      <c r="N863" s="2"/>
      <c r="O863" s="2"/>
      <c r="P863" s="2"/>
      <c r="Q863" s="2"/>
      <c r="R863" s="7"/>
      <c r="S863" s="224"/>
      <c r="T863" s="224"/>
      <c r="U863" s="224"/>
      <c r="V863" s="224"/>
      <c r="W863" s="9"/>
    </row>
    <row r="864">
      <c r="A864" s="33"/>
      <c r="B864" s="2"/>
      <c r="C864" s="2"/>
      <c r="D864" s="2"/>
      <c r="E864" s="2"/>
      <c r="F864" s="4"/>
      <c r="G864" s="2"/>
      <c r="H864" s="2"/>
      <c r="I864" s="2"/>
      <c r="J864" s="2"/>
      <c r="K864" s="5"/>
      <c r="L864" s="2"/>
      <c r="M864" s="2"/>
      <c r="N864" s="2"/>
      <c r="O864" s="2"/>
      <c r="P864" s="2"/>
      <c r="Q864" s="2"/>
      <c r="R864" s="7"/>
      <c r="S864" s="224"/>
      <c r="T864" s="224"/>
      <c r="U864" s="224"/>
      <c r="V864" s="224"/>
      <c r="W864" s="9"/>
    </row>
    <row r="865">
      <c r="A865" s="33"/>
      <c r="B865" s="2"/>
      <c r="C865" s="2"/>
      <c r="D865" s="2"/>
      <c r="E865" s="2"/>
      <c r="F865" s="4"/>
      <c r="G865" s="2"/>
      <c r="H865" s="2"/>
      <c r="I865" s="2"/>
      <c r="J865" s="2"/>
      <c r="K865" s="5"/>
      <c r="L865" s="2"/>
      <c r="M865" s="2"/>
      <c r="N865" s="2"/>
      <c r="O865" s="2"/>
      <c r="P865" s="2"/>
      <c r="Q865" s="2"/>
      <c r="R865" s="7"/>
      <c r="S865" s="224"/>
      <c r="T865" s="224"/>
      <c r="U865" s="224"/>
      <c r="V865" s="224"/>
      <c r="W865" s="9"/>
    </row>
    <row r="866">
      <c r="A866" s="33"/>
      <c r="B866" s="2"/>
      <c r="C866" s="2"/>
      <c r="D866" s="2"/>
      <c r="E866" s="2"/>
      <c r="F866" s="4"/>
      <c r="G866" s="2"/>
      <c r="H866" s="2"/>
      <c r="I866" s="2"/>
      <c r="J866" s="2"/>
      <c r="K866" s="5"/>
      <c r="L866" s="2"/>
      <c r="M866" s="2"/>
      <c r="N866" s="2"/>
      <c r="O866" s="2"/>
      <c r="P866" s="2"/>
      <c r="Q866" s="2"/>
      <c r="R866" s="7"/>
      <c r="S866" s="224"/>
      <c r="T866" s="224"/>
      <c r="U866" s="224"/>
      <c r="V866" s="224"/>
      <c r="W866" s="9"/>
    </row>
    <row r="867">
      <c r="A867" s="33"/>
      <c r="B867" s="2"/>
      <c r="C867" s="2"/>
      <c r="D867" s="2"/>
      <c r="E867" s="2"/>
      <c r="F867" s="4"/>
      <c r="G867" s="2"/>
      <c r="H867" s="2"/>
      <c r="I867" s="2"/>
      <c r="J867" s="2"/>
      <c r="K867" s="5"/>
      <c r="L867" s="2"/>
      <c r="M867" s="2"/>
      <c r="N867" s="2"/>
      <c r="O867" s="2"/>
      <c r="P867" s="2"/>
      <c r="Q867" s="2"/>
      <c r="R867" s="7"/>
      <c r="S867" s="224"/>
      <c r="T867" s="224"/>
      <c r="U867" s="224"/>
      <c r="V867" s="224"/>
      <c r="W867" s="9"/>
    </row>
    <row r="868">
      <c r="A868" s="33"/>
      <c r="B868" s="2"/>
      <c r="C868" s="2"/>
      <c r="D868" s="2"/>
      <c r="E868" s="2"/>
      <c r="F868" s="4"/>
      <c r="G868" s="2"/>
      <c r="H868" s="2"/>
      <c r="I868" s="2"/>
      <c r="J868" s="2"/>
      <c r="K868" s="5"/>
      <c r="L868" s="2"/>
      <c r="M868" s="2"/>
      <c r="N868" s="2"/>
      <c r="O868" s="2"/>
      <c r="P868" s="2"/>
      <c r="Q868" s="2"/>
      <c r="R868" s="7"/>
      <c r="S868" s="224"/>
      <c r="T868" s="224"/>
      <c r="U868" s="224"/>
      <c r="V868" s="224"/>
      <c r="W868" s="9"/>
    </row>
    <row r="869">
      <c r="A869" s="33"/>
      <c r="B869" s="2"/>
      <c r="C869" s="2"/>
      <c r="D869" s="2"/>
      <c r="E869" s="2"/>
      <c r="F869" s="4"/>
      <c r="G869" s="2"/>
      <c r="H869" s="2"/>
      <c r="I869" s="2"/>
      <c r="J869" s="2"/>
      <c r="K869" s="5"/>
      <c r="L869" s="2"/>
      <c r="M869" s="2"/>
      <c r="N869" s="2"/>
      <c r="O869" s="2"/>
      <c r="P869" s="2"/>
      <c r="Q869" s="2"/>
      <c r="R869" s="7"/>
      <c r="S869" s="224"/>
      <c r="T869" s="224"/>
      <c r="U869" s="224"/>
      <c r="V869" s="224"/>
      <c r="W869" s="9"/>
    </row>
    <row r="870">
      <c r="A870" s="33"/>
      <c r="B870" s="2"/>
      <c r="C870" s="2"/>
      <c r="D870" s="2"/>
      <c r="E870" s="2"/>
      <c r="F870" s="4"/>
      <c r="G870" s="2"/>
      <c r="H870" s="2"/>
      <c r="I870" s="2"/>
      <c r="J870" s="2"/>
      <c r="K870" s="5"/>
      <c r="L870" s="2"/>
      <c r="M870" s="2"/>
      <c r="N870" s="2"/>
      <c r="O870" s="2"/>
      <c r="P870" s="2"/>
      <c r="Q870" s="2"/>
      <c r="R870" s="7"/>
      <c r="S870" s="224"/>
      <c r="T870" s="224"/>
      <c r="U870" s="224"/>
      <c r="V870" s="224"/>
      <c r="W870" s="9"/>
    </row>
    <row r="871">
      <c r="A871" s="33"/>
      <c r="B871" s="2"/>
      <c r="C871" s="2"/>
      <c r="D871" s="2"/>
      <c r="E871" s="2"/>
      <c r="F871" s="4"/>
      <c r="G871" s="2"/>
      <c r="H871" s="2"/>
      <c r="I871" s="2"/>
      <c r="J871" s="2"/>
      <c r="K871" s="5"/>
      <c r="L871" s="2"/>
      <c r="M871" s="2"/>
      <c r="N871" s="2"/>
      <c r="O871" s="2"/>
      <c r="P871" s="2"/>
      <c r="Q871" s="2"/>
      <c r="R871" s="7"/>
      <c r="S871" s="224"/>
      <c r="T871" s="224"/>
      <c r="U871" s="224"/>
      <c r="V871" s="224"/>
      <c r="W871" s="9"/>
    </row>
    <row r="872">
      <c r="A872" s="33"/>
      <c r="B872" s="2"/>
      <c r="C872" s="2"/>
      <c r="D872" s="2"/>
      <c r="E872" s="2"/>
      <c r="F872" s="4"/>
      <c r="G872" s="2"/>
      <c r="H872" s="2"/>
      <c r="I872" s="2"/>
      <c r="J872" s="2"/>
      <c r="K872" s="5"/>
      <c r="L872" s="2"/>
      <c r="M872" s="2"/>
      <c r="N872" s="2"/>
      <c r="O872" s="2"/>
      <c r="P872" s="2"/>
      <c r="Q872" s="2"/>
      <c r="R872" s="7"/>
      <c r="S872" s="224"/>
      <c r="T872" s="224"/>
      <c r="U872" s="224"/>
      <c r="V872" s="224"/>
      <c r="W872" s="9"/>
    </row>
    <row r="873">
      <c r="A873" s="33"/>
      <c r="B873" s="2"/>
      <c r="C873" s="2"/>
      <c r="D873" s="2"/>
      <c r="E873" s="2"/>
      <c r="F873" s="4"/>
      <c r="G873" s="2"/>
      <c r="H873" s="2"/>
      <c r="I873" s="2"/>
      <c r="J873" s="2"/>
      <c r="K873" s="5"/>
      <c r="L873" s="2"/>
      <c r="M873" s="2"/>
      <c r="N873" s="2"/>
      <c r="O873" s="2"/>
      <c r="P873" s="2"/>
      <c r="Q873" s="2"/>
      <c r="R873" s="7"/>
      <c r="S873" s="224"/>
      <c r="T873" s="224"/>
      <c r="U873" s="224"/>
      <c r="V873" s="224"/>
      <c r="W873" s="9"/>
    </row>
    <row r="874">
      <c r="A874" s="33"/>
      <c r="B874" s="2"/>
      <c r="C874" s="2"/>
      <c r="D874" s="2"/>
      <c r="E874" s="2"/>
      <c r="F874" s="4"/>
      <c r="G874" s="2"/>
      <c r="H874" s="2"/>
      <c r="I874" s="2"/>
      <c r="J874" s="2"/>
      <c r="K874" s="5"/>
      <c r="L874" s="2"/>
      <c r="M874" s="2"/>
      <c r="N874" s="2"/>
      <c r="O874" s="2"/>
      <c r="P874" s="2"/>
      <c r="Q874" s="2"/>
      <c r="R874" s="7"/>
      <c r="S874" s="224"/>
      <c r="T874" s="224"/>
      <c r="U874" s="224"/>
      <c r="V874" s="224"/>
      <c r="W874" s="9"/>
    </row>
    <row r="875">
      <c r="A875" s="33"/>
      <c r="B875" s="2"/>
      <c r="C875" s="2"/>
      <c r="D875" s="2"/>
      <c r="E875" s="2"/>
      <c r="F875" s="4"/>
      <c r="G875" s="2"/>
      <c r="H875" s="2"/>
      <c r="I875" s="2"/>
      <c r="J875" s="2"/>
      <c r="K875" s="5"/>
      <c r="L875" s="2"/>
      <c r="M875" s="2"/>
      <c r="N875" s="2"/>
      <c r="O875" s="2"/>
      <c r="P875" s="2"/>
      <c r="Q875" s="2"/>
      <c r="R875" s="7"/>
      <c r="S875" s="224"/>
      <c r="T875" s="224"/>
      <c r="U875" s="224"/>
      <c r="V875" s="224"/>
      <c r="W875" s="9"/>
    </row>
    <row r="876">
      <c r="A876" s="33"/>
      <c r="B876" s="2"/>
      <c r="C876" s="2"/>
      <c r="D876" s="2"/>
      <c r="E876" s="2"/>
      <c r="F876" s="4"/>
      <c r="G876" s="2"/>
      <c r="H876" s="2"/>
      <c r="I876" s="2"/>
      <c r="J876" s="2"/>
      <c r="K876" s="5"/>
      <c r="L876" s="2"/>
      <c r="M876" s="2"/>
      <c r="N876" s="2"/>
      <c r="O876" s="2"/>
      <c r="P876" s="2"/>
      <c r="Q876" s="2"/>
      <c r="R876" s="7"/>
      <c r="S876" s="224"/>
      <c r="T876" s="224"/>
      <c r="U876" s="224"/>
      <c r="V876" s="224"/>
      <c r="W876" s="9"/>
    </row>
    <row r="877">
      <c r="A877" s="33"/>
      <c r="B877" s="2"/>
      <c r="C877" s="2"/>
      <c r="D877" s="2"/>
      <c r="E877" s="2"/>
      <c r="F877" s="4"/>
      <c r="G877" s="2"/>
      <c r="H877" s="2"/>
      <c r="I877" s="2"/>
      <c r="J877" s="2"/>
      <c r="K877" s="5"/>
      <c r="L877" s="2"/>
      <c r="M877" s="2"/>
      <c r="N877" s="2"/>
      <c r="O877" s="2"/>
      <c r="P877" s="2"/>
      <c r="Q877" s="2"/>
      <c r="R877" s="7"/>
      <c r="S877" s="224"/>
      <c r="T877" s="224"/>
      <c r="U877" s="224"/>
      <c r="V877" s="224"/>
      <c r="W877" s="9"/>
    </row>
    <row r="878">
      <c r="A878" s="33"/>
      <c r="B878" s="2"/>
      <c r="C878" s="2"/>
      <c r="D878" s="2"/>
      <c r="E878" s="2"/>
      <c r="F878" s="4"/>
      <c r="G878" s="2"/>
      <c r="H878" s="2"/>
      <c r="I878" s="2"/>
      <c r="J878" s="2"/>
      <c r="K878" s="5"/>
      <c r="L878" s="2"/>
      <c r="M878" s="2"/>
      <c r="N878" s="2"/>
      <c r="O878" s="2"/>
      <c r="P878" s="2"/>
      <c r="Q878" s="2"/>
      <c r="R878" s="7"/>
      <c r="S878" s="224"/>
      <c r="T878" s="224"/>
      <c r="U878" s="224"/>
      <c r="V878" s="224"/>
      <c r="W878" s="9"/>
    </row>
    <row r="879">
      <c r="A879" s="33"/>
      <c r="B879" s="2"/>
      <c r="C879" s="2"/>
      <c r="D879" s="2"/>
      <c r="E879" s="2"/>
      <c r="F879" s="4"/>
      <c r="G879" s="2"/>
      <c r="H879" s="2"/>
      <c r="I879" s="2"/>
      <c r="J879" s="2"/>
      <c r="K879" s="5"/>
      <c r="L879" s="2"/>
      <c r="M879" s="2"/>
      <c r="N879" s="2"/>
      <c r="O879" s="2"/>
      <c r="P879" s="2"/>
      <c r="Q879" s="2"/>
      <c r="R879" s="7"/>
      <c r="S879" s="224"/>
      <c r="T879" s="224"/>
      <c r="U879" s="224"/>
      <c r="V879" s="224"/>
      <c r="W879" s="9"/>
    </row>
    <row r="880">
      <c r="A880" s="33"/>
      <c r="B880" s="2"/>
      <c r="C880" s="2"/>
      <c r="D880" s="2"/>
      <c r="E880" s="2"/>
      <c r="F880" s="4"/>
      <c r="G880" s="2"/>
      <c r="H880" s="2"/>
      <c r="I880" s="2"/>
      <c r="J880" s="2"/>
      <c r="K880" s="5"/>
      <c r="L880" s="2"/>
      <c r="M880" s="2"/>
      <c r="N880" s="2"/>
      <c r="O880" s="2"/>
      <c r="P880" s="2"/>
      <c r="Q880" s="2"/>
      <c r="R880" s="7"/>
      <c r="S880" s="224"/>
      <c r="T880" s="224"/>
      <c r="U880" s="224"/>
      <c r="V880" s="224"/>
      <c r="W880" s="9"/>
    </row>
    <row r="881">
      <c r="A881" s="33"/>
      <c r="B881" s="2"/>
      <c r="C881" s="2"/>
      <c r="D881" s="2"/>
      <c r="E881" s="2"/>
      <c r="F881" s="4"/>
      <c r="G881" s="2"/>
      <c r="H881" s="2"/>
      <c r="I881" s="2"/>
      <c r="J881" s="2"/>
      <c r="K881" s="5"/>
      <c r="L881" s="2"/>
      <c r="M881" s="2"/>
      <c r="N881" s="2"/>
      <c r="O881" s="2"/>
      <c r="P881" s="2"/>
      <c r="Q881" s="2"/>
      <c r="R881" s="7"/>
      <c r="S881" s="224"/>
      <c r="T881" s="224"/>
      <c r="U881" s="224"/>
      <c r="V881" s="224"/>
      <c r="W881" s="9"/>
    </row>
    <row r="882">
      <c r="A882" s="33"/>
      <c r="B882" s="2"/>
      <c r="C882" s="2"/>
      <c r="D882" s="2"/>
      <c r="E882" s="2"/>
      <c r="F882" s="4"/>
      <c r="G882" s="2"/>
      <c r="H882" s="2"/>
      <c r="I882" s="2"/>
      <c r="J882" s="2"/>
      <c r="K882" s="5"/>
      <c r="L882" s="2"/>
      <c r="M882" s="2"/>
      <c r="N882" s="2"/>
      <c r="O882" s="2"/>
      <c r="P882" s="2"/>
      <c r="Q882" s="2"/>
      <c r="R882" s="7"/>
      <c r="S882" s="224"/>
      <c r="T882" s="224"/>
      <c r="U882" s="224"/>
      <c r="V882" s="224"/>
      <c r="W882" s="9"/>
    </row>
    <row r="883">
      <c r="A883" s="33"/>
      <c r="B883" s="2"/>
      <c r="C883" s="2"/>
      <c r="D883" s="2"/>
      <c r="E883" s="2"/>
      <c r="F883" s="4"/>
      <c r="G883" s="2"/>
      <c r="H883" s="2"/>
      <c r="I883" s="2"/>
      <c r="J883" s="2"/>
      <c r="K883" s="5"/>
      <c r="L883" s="2"/>
      <c r="M883" s="2"/>
      <c r="N883" s="2"/>
      <c r="O883" s="2"/>
      <c r="P883" s="2"/>
      <c r="Q883" s="2"/>
      <c r="R883" s="7"/>
      <c r="S883" s="224"/>
      <c r="T883" s="224"/>
      <c r="U883" s="224"/>
      <c r="V883" s="224"/>
      <c r="W883" s="9"/>
    </row>
    <row r="884">
      <c r="A884" s="33"/>
      <c r="B884" s="2"/>
      <c r="C884" s="2"/>
      <c r="D884" s="2"/>
      <c r="E884" s="2"/>
      <c r="F884" s="4"/>
      <c r="G884" s="2"/>
      <c r="H884" s="2"/>
      <c r="I884" s="2"/>
      <c r="J884" s="2"/>
      <c r="K884" s="5"/>
      <c r="L884" s="2"/>
      <c r="M884" s="2"/>
      <c r="N884" s="2"/>
      <c r="O884" s="2"/>
      <c r="P884" s="2"/>
      <c r="Q884" s="2"/>
      <c r="R884" s="7"/>
      <c r="S884" s="224"/>
      <c r="T884" s="224"/>
      <c r="U884" s="224"/>
      <c r="V884" s="224"/>
      <c r="W884" s="9"/>
    </row>
    <row r="885">
      <c r="A885" s="33"/>
      <c r="B885" s="2"/>
      <c r="C885" s="2"/>
      <c r="D885" s="2"/>
      <c r="E885" s="2"/>
      <c r="F885" s="4"/>
      <c r="G885" s="2"/>
      <c r="H885" s="2"/>
      <c r="I885" s="2"/>
      <c r="J885" s="2"/>
      <c r="K885" s="5"/>
      <c r="L885" s="2"/>
      <c r="M885" s="2"/>
      <c r="N885" s="2"/>
      <c r="O885" s="2"/>
      <c r="P885" s="2"/>
      <c r="Q885" s="2"/>
      <c r="R885" s="7"/>
      <c r="S885" s="224"/>
      <c r="T885" s="224"/>
      <c r="U885" s="224"/>
      <c r="V885" s="224"/>
      <c r="W885" s="9"/>
    </row>
    <row r="886">
      <c r="A886" s="33"/>
      <c r="B886" s="2"/>
      <c r="C886" s="2"/>
      <c r="D886" s="2"/>
      <c r="E886" s="2"/>
      <c r="F886" s="4"/>
      <c r="G886" s="2"/>
      <c r="H886" s="2"/>
      <c r="I886" s="2"/>
      <c r="J886" s="2"/>
      <c r="K886" s="5"/>
      <c r="L886" s="2"/>
      <c r="M886" s="2"/>
      <c r="N886" s="2"/>
      <c r="O886" s="2"/>
      <c r="P886" s="2"/>
      <c r="Q886" s="2"/>
      <c r="R886" s="7"/>
      <c r="S886" s="224"/>
      <c r="T886" s="224"/>
      <c r="U886" s="224"/>
      <c r="V886" s="224"/>
      <c r="W886" s="9"/>
    </row>
    <row r="887">
      <c r="A887" s="33"/>
      <c r="B887" s="2"/>
      <c r="C887" s="2"/>
      <c r="D887" s="2"/>
      <c r="E887" s="2"/>
      <c r="F887" s="4"/>
      <c r="G887" s="2"/>
      <c r="H887" s="2"/>
      <c r="I887" s="2"/>
      <c r="J887" s="2"/>
      <c r="K887" s="5"/>
      <c r="L887" s="2"/>
      <c r="M887" s="2"/>
      <c r="N887" s="2"/>
      <c r="O887" s="2"/>
      <c r="P887" s="2"/>
      <c r="Q887" s="2"/>
      <c r="R887" s="7"/>
      <c r="S887" s="224"/>
      <c r="T887" s="224"/>
      <c r="U887" s="224"/>
      <c r="V887" s="224"/>
      <c r="W887" s="9"/>
    </row>
    <row r="888">
      <c r="A888" s="33"/>
      <c r="B888" s="2"/>
      <c r="C888" s="2"/>
      <c r="D888" s="2"/>
      <c r="E888" s="2"/>
      <c r="F888" s="4"/>
      <c r="G888" s="2"/>
      <c r="H888" s="2"/>
      <c r="I888" s="2"/>
      <c r="J888" s="2"/>
      <c r="K888" s="5"/>
      <c r="L888" s="2"/>
      <c r="M888" s="2"/>
      <c r="N888" s="2"/>
      <c r="O888" s="2"/>
      <c r="P888" s="2"/>
      <c r="Q888" s="2"/>
      <c r="R888" s="7"/>
      <c r="S888" s="224"/>
      <c r="T888" s="224"/>
      <c r="U888" s="224"/>
      <c r="V888" s="224"/>
      <c r="W888" s="9"/>
    </row>
    <row r="889">
      <c r="A889" s="33"/>
      <c r="B889" s="2"/>
      <c r="C889" s="2"/>
      <c r="D889" s="2"/>
      <c r="E889" s="2"/>
      <c r="F889" s="4"/>
      <c r="G889" s="2"/>
      <c r="H889" s="2"/>
      <c r="I889" s="2"/>
      <c r="J889" s="2"/>
      <c r="K889" s="5"/>
      <c r="L889" s="2"/>
      <c r="M889" s="2"/>
      <c r="N889" s="2"/>
      <c r="O889" s="2"/>
      <c r="P889" s="2"/>
      <c r="Q889" s="2"/>
      <c r="R889" s="7"/>
      <c r="S889" s="224"/>
      <c r="T889" s="224"/>
      <c r="U889" s="224"/>
      <c r="V889" s="224"/>
      <c r="W889" s="9"/>
    </row>
    <row r="890">
      <c r="A890" s="33"/>
      <c r="B890" s="2"/>
      <c r="C890" s="2"/>
      <c r="D890" s="2"/>
      <c r="E890" s="2"/>
      <c r="F890" s="4"/>
      <c r="G890" s="2"/>
      <c r="H890" s="2"/>
      <c r="I890" s="2"/>
      <c r="J890" s="2"/>
      <c r="K890" s="5"/>
      <c r="L890" s="2"/>
      <c r="M890" s="2"/>
      <c r="N890" s="2"/>
      <c r="O890" s="2"/>
      <c r="P890" s="2"/>
      <c r="Q890" s="2"/>
      <c r="R890" s="7"/>
      <c r="S890" s="224"/>
      <c r="T890" s="224"/>
      <c r="U890" s="224"/>
      <c r="V890" s="224"/>
      <c r="W890" s="9"/>
    </row>
    <row r="891">
      <c r="A891" s="33"/>
      <c r="B891" s="2"/>
      <c r="C891" s="2"/>
      <c r="D891" s="2"/>
      <c r="E891" s="2"/>
      <c r="F891" s="4"/>
      <c r="G891" s="2"/>
      <c r="H891" s="2"/>
      <c r="I891" s="2"/>
      <c r="J891" s="2"/>
      <c r="K891" s="5"/>
      <c r="L891" s="2"/>
      <c r="M891" s="2"/>
      <c r="N891" s="2"/>
      <c r="O891" s="2"/>
      <c r="P891" s="2"/>
      <c r="Q891" s="2"/>
      <c r="R891" s="7"/>
      <c r="S891" s="224"/>
      <c r="T891" s="224"/>
      <c r="U891" s="224"/>
      <c r="V891" s="224"/>
      <c r="W891" s="9"/>
    </row>
    <row r="892">
      <c r="A892" s="33"/>
      <c r="B892" s="2"/>
      <c r="C892" s="2"/>
      <c r="D892" s="2"/>
      <c r="E892" s="2"/>
      <c r="F892" s="4"/>
      <c r="G892" s="2"/>
      <c r="H892" s="2"/>
      <c r="I892" s="2"/>
      <c r="J892" s="2"/>
      <c r="K892" s="5"/>
      <c r="L892" s="2"/>
      <c r="M892" s="2"/>
      <c r="N892" s="2"/>
      <c r="O892" s="2"/>
      <c r="P892" s="2"/>
      <c r="Q892" s="2"/>
      <c r="R892" s="7"/>
      <c r="S892" s="224"/>
      <c r="T892" s="224"/>
      <c r="U892" s="224"/>
      <c r="V892" s="224"/>
      <c r="W892" s="9"/>
    </row>
    <row r="893">
      <c r="A893" s="33"/>
      <c r="B893" s="2"/>
      <c r="C893" s="2"/>
      <c r="D893" s="2"/>
      <c r="E893" s="2"/>
      <c r="F893" s="4"/>
      <c r="G893" s="2"/>
      <c r="H893" s="2"/>
      <c r="I893" s="2"/>
      <c r="J893" s="2"/>
      <c r="K893" s="5"/>
      <c r="L893" s="2"/>
      <c r="M893" s="2"/>
      <c r="N893" s="2"/>
      <c r="O893" s="2"/>
      <c r="P893" s="2"/>
      <c r="Q893" s="2"/>
      <c r="R893" s="7"/>
      <c r="S893" s="224"/>
      <c r="T893" s="224"/>
      <c r="U893" s="224"/>
      <c r="V893" s="224"/>
      <c r="W893" s="9"/>
    </row>
    <row r="894">
      <c r="A894" s="33"/>
      <c r="B894" s="2"/>
      <c r="C894" s="2"/>
      <c r="D894" s="2"/>
      <c r="E894" s="2"/>
      <c r="F894" s="4"/>
      <c r="G894" s="2"/>
      <c r="H894" s="2"/>
      <c r="I894" s="2"/>
      <c r="J894" s="2"/>
      <c r="K894" s="5"/>
      <c r="L894" s="2"/>
      <c r="M894" s="2"/>
      <c r="N894" s="2"/>
      <c r="O894" s="2"/>
      <c r="P894" s="2"/>
      <c r="Q894" s="2"/>
      <c r="R894" s="7"/>
      <c r="S894" s="224"/>
      <c r="T894" s="224"/>
      <c r="U894" s="224"/>
      <c r="V894" s="224"/>
      <c r="W894" s="9"/>
    </row>
    <row r="895">
      <c r="A895" s="33"/>
      <c r="B895" s="2"/>
      <c r="C895" s="2"/>
      <c r="D895" s="2"/>
      <c r="E895" s="2"/>
      <c r="F895" s="4"/>
      <c r="G895" s="2"/>
      <c r="H895" s="2"/>
      <c r="I895" s="2"/>
      <c r="J895" s="2"/>
      <c r="K895" s="5"/>
      <c r="L895" s="2"/>
      <c r="M895" s="2"/>
      <c r="N895" s="2"/>
      <c r="O895" s="2"/>
      <c r="P895" s="2"/>
      <c r="Q895" s="2"/>
      <c r="R895" s="7"/>
      <c r="S895" s="224"/>
      <c r="T895" s="224"/>
      <c r="U895" s="224"/>
      <c r="V895" s="224"/>
      <c r="W895" s="9"/>
    </row>
    <row r="896">
      <c r="A896" s="33"/>
      <c r="B896" s="2"/>
      <c r="C896" s="2"/>
      <c r="D896" s="2"/>
      <c r="E896" s="2"/>
      <c r="F896" s="4"/>
      <c r="G896" s="2"/>
      <c r="H896" s="2"/>
      <c r="I896" s="2"/>
      <c r="J896" s="2"/>
      <c r="K896" s="5"/>
      <c r="L896" s="2"/>
      <c r="M896" s="2"/>
      <c r="N896" s="2"/>
      <c r="O896" s="2"/>
      <c r="P896" s="2"/>
      <c r="Q896" s="2"/>
      <c r="R896" s="7"/>
      <c r="S896" s="224"/>
      <c r="T896" s="224"/>
      <c r="U896" s="224"/>
      <c r="V896" s="224"/>
      <c r="W896" s="9"/>
    </row>
    <row r="897">
      <c r="A897" s="33"/>
      <c r="B897" s="2"/>
      <c r="C897" s="2"/>
      <c r="D897" s="2"/>
      <c r="E897" s="2"/>
      <c r="F897" s="4"/>
      <c r="G897" s="2"/>
      <c r="H897" s="2"/>
      <c r="I897" s="2"/>
      <c r="J897" s="2"/>
      <c r="K897" s="5"/>
      <c r="L897" s="2"/>
      <c r="M897" s="2"/>
      <c r="N897" s="2"/>
      <c r="O897" s="2"/>
      <c r="P897" s="2"/>
      <c r="Q897" s="2"/>
      <c r="R897" s="7"/>
      <c r="S897" s="224"/>
      <c r="T897" s="224"/>
      <c r="U897" s="224"/>
      <c r="V897" s="224"/>
      <c r="W897" s="9"/>
    </row>
    <row r="898">
      <c r="A898" s="33"/>
      <c r="B898" s="2"/>
      <c r="C898" s="2"/>
      <c r="D898" s="2"/>
      <c r="E898" s="2"/>
      <c r="F898" s="4"/>
      <c r="G898" s="2"/>
      <c r="H898" s="2"/>
      <c r="I898" s="2"/>
      <c r="J898" s="2"/>
      <c r="K898" s="5"/>
      <c r="L898" s="2"/>
      <c r="M898" s="2"/>
      <c r="N898" s="2"/>
      <c r="O898" s="2"/>
      <c r="P898" s="2"/>
      <c r="Q898" s="2"/>
      <c r="R898" s="7"/>
      <c r="S898" s="224"/>
      <c r="T898" s="224"/>
      <c r="U898" s="224"/>
      <c r="V898" s="224"/>
      <c r="W898" s="9"/>
    </row>
    <row r="899">
      <c r="A899" s="33"/>
      <c r="B899" s="2"/>
      <c r="C899" s="2"/>
      <c r="D899" s="2"/>
      <c r="E899" s="2"/>
      <c r="F899" s="4"/>
      <c r="G899" s="2"/>
      <c r="H899" s="2"/>
      <c r="I899" s="2"/>
      <c r="J899" s="2"/>
      <c r="K899" s="5"/>
      <c r="L899" s="2"/>
      <c r="M899" s="2"/>
      <c r="N899" s="2"/>
      <c r="O899" s="2"/>
      <c r="P899" s="2"/>
      <c r="Q899" s="2"/>
      <c r="R899" s="7"/>
      <c r="S899" s="224"/>
      <c r="T899" s="224"/>
      <c r="U899" s="224"/>
      <c r="V899" s="224"/>
      <c r="W899" s="9"/>
    </row>
    <row r="900">
      <c r="A900" s="33"/>
      <c r="B900" s="2"/>
      <c r="C900" s="2"/>
      <c r="D900" s="2"/>
      <c r="E900" s="2"/>
      <c r="F900" s="4"/>
      <c r="G900" s="2"/>
      <c r="H900" s="2"/>
      <c r="I900" s="2"/>
      <c r="J900" s="2"/>
      <c r="K900" s="5"/>
      <c r="L900" s="2"/>
      <c r="M900" s="2"/>
      <c r="N900" s="2"/>
      <c r="O900" s="2"/>
      <c r="P900" s="2"/>
      <c r="Q900" s="2"/>
      <c r="R900" s="7"/>
      <c r="S900" s="224"/>
      <c r="T900" s="224"/>
      <c r="U900" s="224"/>
      <c r="V900" s="224"/>
      <c r="W900" s="9"/>
    </row>
    <row r="901">
      <c r="A901" s="33"/>
      <c r="B901" s="2"/>
      <c r="C901" s="2"/>
      <c r="D901" s="2"/>
      <c r="E901" s="2"/>
      <c r="F901" s="4"/>
      <c r="G901" s="2"/>
      <c r="H901" s="2"/>
      <c r="I901" s="2"/>
      <c r="J901" s="2"/>
      <c r="K901" s="5"/>
      <c r="L901" s="2"/>
      <c r="M901" s="2"/>
      <c r="N901" s="2"/>
      <c r="O901" s="2"/>
      <c r="P901" s="2"/>
      <c r="Q901" s="2"/>
      <c r="R901" s="7"/>
      <c r="S901" s="224"/>
      <c r="T901" s="224"/>
      <c r="U901" s="224"/>
      <c r="V901" s="224"/>
      <c r="W901" s="9"/>
    </row>
    <row r="902">
      <c r="A902" s="33"/>
      <c r="B902" s="2"/>
      <c r="C902" s="2"/>
      <c r="D902" s="2"/>
      <c r="E902" s="2"/>
      <c r="F902" s="4"/>
      <c r="G902" s="2"/>
      <c r="H902" s="2"/>
      <c r="I902" s="2"/>
      <c r="J902" s="2"/>
      <c r="K902" s="5"/>
      <c r="L902" s="2"/>
      <c r="M902" s="2"/>
      <c r="N902" s="2"/>
      <c r="O902" s="2"/>
      <c r="P902" s="2"/>
      <c r="Q902" s="2"/>
      <c r="R902" s="7"/>
      <c r="S902" s="224"/>
      <c r="T902" s="224"/>
      <c r="U902" s="224"/>
      <c r="V902" s="224"/>
      <c r="W902" s="9"/>
    </row>
    <row r="903">
      <c r="A903" s="33"/>
      <c r="B903" s="2"/>
      <c r="C903" s="2"/>
      <c r="D903" s="2"/>
      <c r="E903" s="2"/>
      <c r="F903" s="4"/>
      <c r="G903" s="2"/>
      <c r="H903" s="2"/>
      <c r="I903" s="2"/>
      <c r="J903" s="2"/>
      <c r="K903" s="5"/>
      <c r="L903" s="2"/>
      <c r="M903" s="2"/>
      <c r="N903" s="2"/>
      <c r="O903" s="2"/>
      <c r="P903" s="2"/>
      <c r="Q903" s="2"/>
      <c r="R903" s="7"/>
      <c r="S903" s="224"/>
      <c r="T903" s="224"/>
      <c r="U903" s="224"/>
      <c r="V903" s="224"/>
      <c r="W903" s="9"/>
    </row>
    <row r="904">
      <c r="A904" s="33"/>
      <c r="B904" s="2"/>
      <c r="C904" s="2"/>
      <c r="D904" s="2"/>
      <c r="E904" s="2"/>
      <c r="F904" s="4"/>
      <c r="G904" s="2"/>
      <c r="H904" s="2"/>
      <c r="I904" s="2"/>
      <c r="J904" s="2"/>
      <c r="K904" s="5"/>
      <c r="L904" s="2"/>
      <c r="M904" s="2"/>
      <c r="N904" s="2"/>
      <c r="O904" s="2"/>
      <c r="P904" s="2"/>
      <c r="Q904" s="2"/>
      <c r="R904" s="7"/>
      <c r="S904" s="224"/>
      <c r="T904" s="224"/>
      <c r="U904" s="224"/>
      <c r="V904" s="224"/>
      <c r="W904" s="9"/>
    </row>
    <row r="905">
      <c r="A905" s="33"/>
      <c r="B905" s="2"/>
      <c r="C905" s="2"/>
      <c r="D905" s="2"/>
      <c r="E905" s="2"/>
      <c r="F905" s="4"/>
      <c r="G905" s="2"/>
      <c r="H905" s="2"/>
      <c r="I905" s="2"/>
      <c r="J905" s="2"/>
      <c r="K905" s="5"/>
      <c r="L905" s="2"/>
      <c r="M905" s="2"/>
      <c r="N905" s="2"/>
      <c r="O905" s="2"/>
      <c r="P905" s="2"/>
      <c r="Q905" s="2"/>
      <c r="R905" s="7"/>
      <c r="S905" s="224"/>
      <c r="T905" s="224"/>
      <c r="U905" s="224"/>
      <c r="V905" s="224"/>
      <c r="W905" s="9"/>
    </row>
    <row r="906">
      <c r="A906" s="33"/>
      <c r="B906" s="2"/>
      <c r="C906" s="2"/>
      <c r="D906" s="2"/>
      <c r="E906" s="2"/>
      <c r="F906" s="4"/>
      <c r="G906" s="2"/>
      <c r="H906" s="2"/>
      <c r="I906" s="2"/>
      <c r="J906" s="2"/>
      <c r="K906" s="5"/>
      <c r="L906" s="2"/>
      <c r="M906" s="2"/>
      <c r="N906" s="2"/>
      <c r="O906" s="2"/>
      <c r="P906" s="2"/>
      <c r="Q906" s="2"/>
      <c r="R906" s="7"/>
      <c r="S906" s="224"/>
      <c r="T906" s="224"/>
      <c r="U906" s="224"/>
      <c r="V906" s="224"/>
      <c r="W906" s="9"/>
    </row>
    <row r="907">
      <c r="A907" s="33"/>
      <c r="B907" s="2"/>
      <c r="C907" s="2"/>
      <c r="D907" s="2"/>
      <c r="E907" s="2"/>
      <c r="F907" s="4"/>
      <c r="G907" s="2"/>
      <c r="H907" s="2"/>
      <c r="I907" s="2"/>
      <c r="J907" s="2"/>
      <c r="K907" s="5"/>
      <c r="L907" s="2"/>
      <c r="M907" s="2"/>
      <c r="N907" s="2"/>
      <c r="O907" s="2"/>
      <c r="P907" s="2"/>
      <c r="Q907" s="2"/>
      <c r="R907" s="7"/>
      <c r="S907" s="224"/>
      <c r="T907" s="224"/>
      <c r="U907" s="224"/>
      <c r="V907" s="224"/>
      <c r="W907" s="9"/>
    </row>
    <row r="908">
      <c r="A908" s="33"/>
      <c r="B908" s="2"/>
      <c r="C908" s="2"/>
      <c r="D908" s="2"/>
      <c r="E908" s="2"/>
      <c r="F908" s="4"/>
      <c r="G908" s="2"/>
      <c r="H908" s="2"/>
      <c r="I908" s="2"/>
      <c r="J908" s="2"/>
      <c r="K908" s="5"/>
      <c r="L908" s="2"/>
      <c r="M908" s="2"/>
      <c r="N908" s="2"/>
      <c r="O908" s="2"/>
      <c r="P908" s="2"/>
      <c r="Q908" s="2"/>
      <c r="R908" s="7"/>
      <c r="S908" s="224"/>
      <c r="T908" s="224"/>
      <c r="U908" s="224"/>
      <c r="V908" s="224"/>
      <c r="W908" s="9"/>
    </row>
    <row r="909">
      <c r="A909" s="33"/>
      <c r="B909" s="2"/>
      <c r="C909" s="2"/>
      <c r="D909" s="2"/>
      <c r="E909" s="2"/>
      <c r="F909" s="4"/>
      <c r="G909" s="2"/>
      <c r="H909" s="2"/>
      <c r="I909" s="2"/>
      <c r="J909" s="2"/>
      <c r="K909" s="5"/>
      <c r="L909" s="2"/>
      <c r="M909" s="2"/>
      <c r="N909" s="2"/>
      <c r="O909" s="2"/>
      <c r="P909" s="2"/>
      <c r="Q909" s="2"/>
      <c r="R909" s="7"/>
      <c r="S909" s="224"/>
      <c r="T909" s="224"/>
      <c r="U909" s="224"/>
      <c r="V909" s="224"/>
      <c r="W909" s="9"/>
    </row>
    <row r="910">
      <c r="A910" s="33"/>
      <c r="B910" s="2"/>
      <c r="C910" s="2"/>
      <c r="D910" s="2"/>
      <c r="E910" s="2"/>
      <c r="F910" s="4"/>
      <c r="G910" s="2"/>
      <c r="H910" s="2"/>
      <c r="I910" s="2"/>
      <c r="J910" s="2"/>
      <c r="K910" s="5"/>
      <c r="L910" s="2"/>
      <c r="M910" s="2"/>
      <c r="N910" s="2"/>
      <c r="O910" s="2"/>
      <c r="P910" s="2"/>
      <c r="Q910" s="2"/>
      <c r="R910" s="7"/>
      <c r="S910" s="224"/>
      <c r="T910" s="224"/>
      <c r="U910" s="224"/>
      <c r="V910" s="224"/>
      <c r="W910" s="9"/>
    </row>
    <row r="911">
      <c r="A911" s="33"/>
      <c r="B911" s="2"/>
      <c r="C911" s="2"/>
      <c r="D911" s="2"/>
      <c r="E911" s="2"/>
      <c r="F911" s="4"/>
      <c r="G911" s="2"/>
      <c r="H911" s="2"/>
      <c r="I911" s="2"/>
      <c r="J911" s="2"/>
      <c r="K911" s="5"/>
      <c r="L911" s="2"/>
      <c r="M911" s="2"/>
      <c r="N911" s="2"/>
      <c r="O911" s="2"/>
      <c r="P911" s="2"/>
      <c r="Q911" s="2"/>
      <c r="R911" s="7"/>
      <c r="S911" s="224"/>
      <c r="T911" s="224"/>
      <c r="U911" s="224"/>
      <c r="V911" s="224"/>
      <c r="W911" s="9"/>
    </row>
    <row r="912">
      <c r="A912" s="33"/>
      <c r="B912" s="2"/>
      <c r="C912" s="2"/>
      <c r="D912" s="2"/>
      <c r="E912" s="2"/>
      <c r="F912" s="4"/>
      <c r="G912" s="2"/>
      <c r="H912" s="2"/>
      <c r="I912" s="2"/>
      <c r="J912" s="2"/>
      <c r="K912" s="5"/>
      <c r="L912" s="2"/>
      <c r="M912" s="2"/>
      <c r="N912" s="2"/>
      <c r="O912" s="2"/>
      <c r="P912" s="2"/>
      <c r="Q912" s="2"/>
      <c r="R912" s="7"/>
      <c r="S912" s="224"/>
      <c r="T912" s="224"/>
      <c r="U912" s="224"/>
      <c r="V912" s="224"/>
      <c r="W912" s="9"/>
    </row>
    <row r="913">
      <c r="A913" s="33"/>
      <c r="B913" s="2"/>
      <c r="C913" s="2"/>
      <c r="D913" s="2"/>
      <c r="E913" s="2"/>
      <c r="F913" s="4"/>
      <c r="G913" s="2"/>
      <c r="H913" s="2"/>
      <c r="I913" s="2"/>
      <c r="J913" s="2"/>
      <c r="K913" s="5"/>
      <c r="L913" s="2"/>
      <c r="M913" s="2"/>
      <c r="N913" s="2"/>
      <c r="O913" s="2"/>
      <c r="P913" s="2"/>
      <c r="Q913" s="2"/>
      <c r="R913" s="7"/>
      <c r="S913" s="224"/>
      <c r="T913" s="224"/>
      <c r="U913" s="224"/>
      <c r="V913" s="224"/>
      <c r="W913" s="9"/>
    </row>
    <row r="914">
      <c r="A914" s="33"/>
      <c r="B914" s="2"/>
      <c r="C914" s="2"/>
      <c r="D914" s="2"/>
      <c r="E914" s="2"/>
      <c r="F914" s="4"/>
      <c r="G914" s="2"/>
      <c r="H914" s="2"/>
      <c r="I914" s="2"/>
      <c r="J914" s="2"/>
      <c r="K914" s="5"/>
      <c r="L914" s="2"/>
      <c r="M914" s="2"/>
      <c r="N914" s="2"/>
      <c r="O914" s="2"/>
      <c r="P914" s="2"/>
      <c r="Q914" s="2"/>
      <c r="R914" s="7"/>
      <c r="S914" s="224"/>
      <c r="T914" s="224"/>
      <c r="U914" s="224"/>
      <c r="V914" s="224"/>
      <c r="W914" s="9"/>
    </row>
    <row r="915">
      <c r="A915" s="33"/>
      <c r="B915" s="2"/>
      <c r="C915" s="2"/>
      <c r="D915" s="2"/>
      <c r="E915" s="2"/>
      <c r="F915" s="4"/>
      <c r="G915" s="2"/>
      <c r="H915" s="2"/>
      <c r="I915" s="2"/>
      <c r="J915" s="2"/>
      <c r="K915" s="5"/>
      <c r="L915" s="2"/>
      <c r="M915" s="2"/>
      <c r="N915" s="2"/>
      <c r="O915" s="2"/>
      <c r="P915" s="2"/>
      <c r="Q915" s="2"/>
      <c r="R915" s="7"/>
      <c r="S915" s="224"/>
      <c r="T915" s="224"/>
      <c r="U915" s="224"/>
      <c r="V915" s="224"/>
      <c r="W915" s="9"/>
    </row>
    <row r="916">
      <c r="A916" s="33"/>
      <c r="B916" s="2"/>
      <c r="C916" s="2"/>
      <c r="D916" s="2"/>
      <c r="E916" s="2"/>
      <c r="F916" s="4"/>
      <c r="G916" s="2"/>
      <c r="H916" s="2"/>
      <c r="I916" s="2"/>
      <c r="J916" s="2"/>
      <c r="K916" s="5"/>
      <c r="L916" s="2"/>
      <c r="M916" s="2"/>
      <c r="N916" s="2"/>
      <c r="O916" s="2"/>
      <c r="P916" s="2"/>
      <c r="Q916" s="2"/>
      <c r="R916" s="7"/>
      <c r="S916" s="224"/>
      <c r="T916" s="224"/>
      <c r="U916" s="224"/>
      <c r="V916" s="224"/>
      <c r="W916" s="9"/>
    </row>
    <row r="917">
      <c r="A917" s="33"/>
      <c r="B917" s="2"/>
      <c r="C917" s="2"/>
      <c r="D917" s="2"/>
      <c r="E917" s="2"/>
      <c r="F917" s="4"/>
      <c r="G917" s="2"/>
      <c r="H917" s="2"/>
      <c r="I917" s="2"/>
      <c r="J917" s="2"/>
      <c r="K917" s="5"/>
      <c r="L917" s="2"/>
      <c r="M917" s="2"/>
      <c r="N917" s="2"/>
      <c r="O917" s="2"/>
      <c r="P917" s="2"/>
      <c r="Q917" s="2"/>
      <c r="R917" s="7"/>
      <c r="S917" s="224"/>
      <c r="T917" s="224"/>
      <c r="U917" s="224"/>
      <c r="V917" s="224"/>
      <c r="W917" s="9"/>
    </row>
    <row r="918">
      <c r="A918" s="33"/>
      <c r="B918" s="2"/>
      <c r="C918" s="2"/>
      <c r="D918" s="2"/>
      <c r="E918" s="2"/>
      <c r="F918" s="4"/>
      <c r="G918" s="2"/>
      <c r="H918" s="2"/>
      <c r="I918" s="2"/>
      <c r="J918" s="2"/>
      <c r="K918" s="5"/>
      <c r="L918" s="2"/>
      <c r="M918" s="2"/>
      <c r="N918" s="2"/>
      <c r="O918" s="2"/>
      <c r="P918" s="2"/>
      <c r="Q918" s="2"/>
      <c r="R918" s="7"/>
      <c r="S918" s="224"/>
      <c r="T918" s="224"/>
      <c r="U918" s="224"/>
      <c r="V918" s="224"/>
      <c r="W918" s="9"/>
    </row>
    <row r="919">
      <c r="A919" s="33"/>
      <c r="B919" s="2"/>
      <c r="C919" s="2"/>
      <c r="D919" s="2"/>
      <c r="E919" s="2"/>
      <c r="F919" s="4"/>
      <c r="G919" s="2"/>
      <c r="H919" s="2"/>
      <c r="I919" s="2"/>
      <c r="J919" s="2"/>
      <c r="K919" s="5"/>
      <c r="L919" s="2"/>
      <c r="M919" s="2"/>
      <c r="N919" s="2"/>
      <c r="O919" s="2"/>
      <c r="P919" s="2"/>
      <c r="Q919" s="2"/>
      <c r="R919" s="7"/>
      <c r="S919" s="224"/>
      <c r="T919" s="224"/>
      <c r="U919" s="224"/>
      <c r="V919" s="224"/>
      <c r="W919" s="9"/>
    </row>
    <row r="920">
      <c r="A920" s="33"/>
      <c r="B920" s="2"/>
      <c r="C920" s="2"/>
      <c r="D920" s="2"/>
      <c r="E920" s="2"/>
      <c r="F920" s="4"/>
      <c r="G920" s="2"/>
      <c r="H920" s="2"/>
      <c r="I920" s="2"/>
      <c r="J920" s="2"/>
      <c r="K920" s="5"/>
      <c r="L920" s="2"/>
      <c r="M920" s="2"/>
      <c r="N920" s="2"/>
      <c r="O920" s="2"/>
      <c r="P920" s="2"/>
      <c r="Q920" s="2"/>
      <c r="R920" s="7"/>
      <c r="S920" s="224"/>
      <c r="T920" s="224"/>
      <c r="U920" s="224"/>
      <c r="V920" s="224"/>
      <c r="W920" s="9"/>
    </row>
    <row r="921">
      <c r="A921" s="33"/>
      <c r="B921" s="2"/>
      <c r="C921" s="2"/>
      <c r="D921" s="2"/>
      <c r="E921" s="2"/>
      <c r="F921" s="4"/>
      <c r="G921" s="2"/>
      <c r="H921" s="2"/>
      <c r="I921" s="2"/>
      <c r="J921" s="2"/>
      <c r="K921" s="5"/>
      <c r="L921" s="2"/>
      <c r="M921" s="2"/>
      <c r="N921" s="2"/>
      <c r="O921" s="2"/>
      <c r="P921" s="2"/>
      <c r="Q921" s="2"/>
      <c r="R921" s="7"/>
      <c r="S921" s="224"/>
      <c r="T921" s="224"/>
      <c r="U921" s="224"/>
      <c r="V921" s="224"/>
      <c r="W921" s="9"/>
    </row>
    <row r="922">
      <c r="A922" s="33"/>
      <c r="B922" s="2"/>
      <c r="C922" s="2"/>
      <c r="D922" s="2"/>
      <c r="E922" s="2"/>
      <c r="F922" s="4"/>
      <c r="G922" s="2"/>
      <c r="H922" s="2"/>
      <c r="I922" s="2"/>
      <c r="J922" s="2"/>
      <c r="K922" s="5"/>
      <c r="L922" s="2"/>
      <c r="M922" s="2"/>
      <c r="N922" s="2"/>
      <c r="O922" s="2"/>
      <c r="P922" s="2"/>
      <c r="Q922" s="2"/>
      <c r="R922" s="7"/>
      <c r="S922" s="224"/>
      <c r="T922" s="224"/>
      <c r="U922" s="224"/>
      <c r="V922" s="224"/>
      <c r="W922" s="9"/>
    </row>
    <row r="923">
      <c r="A923" s="33"/>
      <c r="B923" s="2"/>
      <c r="C923" s="2"/>
      <c r="D923" s="2"/>
      <c r="E923" s="2"/>
      <c r="F923" s="4"/>
      <c r="G923" s="2"/>
      <c r="H923" s="2"/>
      <c r="I923" s="2"/>
      <c r="J923" s="2"/>
      <c r="K923" s="5"/>
      <c r="L923" s="2"/>
      <c r="M923" s="2"/>
      <c r="N923" s="2"/>
      <c r="O923" s="2"/>
      <c r="P923" s="2"/>
      <c r="Q923" s="2"/>
      <c r="R923" s="7"/>
      <c r="S923" s="224"/>
      <c r="T923" s="224"/>
      <c r="U923" s="224"/>
      <c r="V923" s="224"/>
      <c r="W923" s="9"/>
    </row>
    <row r="924">
      <c r="A924" s="33"/>
      <c r="B924" s="2"/>
      <c r="C924" s="2"/>
      <c r="D924" s="2"/>
      <c r="E924" s="2"/>
      <c r="F924" s="4"/>
      <c r="G924" s="2"/>
      <c r="H924" s="2"/>
      <c r="I924" s="2"/>
      <c r="J924" s="2"/>
      <c r="K924" s="5"/>
      <c r="L924" s="2"/>
      <c r="M924" s="2"/>
      <c r="N924" s="2"/>
      <c r="O924" s="2"/>
      <c r="P924" s="2"/>
      <c r="Q924" s="2"/>
      <c r="R924" s="7"/>
      <c r="S924" s="224"/>
      <c r="T924" s="224"/>
      <c r="U924" s="224"/>
      <c r="V924" s="224"/>
      <c r="W924" s="9"/>
    </row>
    <row r="925">
      <c r="A925" s="33"/>
      <c r="B925" s="2"/>
      <c r="C925" s="2"/>
      <c r="D925" s="2"/>
      <c r="E925" s="2"/>
      <c r="F925" s="4"/>
      <c r="G925" s="2"/>
      <c r="H925" s="2"/>
      <c r="I925" s="2"/>
      <c r="J925" s="2"/>
      <c r="K925" s="5"/>
      <c r="L925" s="2"/>
      <c r="M925" s="2"/>
      <c r="N925" s="2"/>
      <c r="O925" s="2"/>
      <c r="P925" s="2"/>
      <c r="Q925" s="2"/>
      <c r="R925" s="7"/>
      <c r="S925" s="224"/>
      <c r="T925" s="224"/>
      <c r="U925" s="224"/>
      <c r="V925" s="224"/>
      <c r="W925" s="9"/>
    </row>
    <row r="926">
      <c r="A926" s="33"/>
      <c r="B926" s="2"/>
      <c r="C926" s="2"/>
      <c r="D926" s="2"/>
      <c r="E926" s="2"/>
      <c r="F926" s="4"/>
      <c r="G926" s="2"/>
      <c r="H926" s="2"/>
      <c r="I926" s="2"/>
      <c r="J926" s="2"/>
      <c r="K926" s="5"/>
      <c r="L926" s="2"/>
      <c r="M926" s="2"/>
      <c r="N926" s="2"/>
      <c r="O926" s="2"/>
      <c r="P926" s="2"/>
      <c r="Q926" s="2"/>
      <c r="R926" s="7"/>
      <c r="S926" s="224"/>
      <c r="T926" s="224"/>
      <c r="U926" s="224"/>
      <c r="V926" s="224"/>
      <c r="W926" s="9"/>
    </row>
    <row r="927">
      <c r="A927" s="33"/>
      <c r="B927" s="2"/>
      <c r="C927" s="2"/>
      <c r="D927" s="2"/>
      <c r="E927" s="2"/>
      <c r="F927" s="4"/>
      <c r="G927" s="2"/>
      <c r="H927" s="2"/>
      <c r="I927" s="2"/>
      <c r="J927" s="2"/>
      <c r="K927" s="5"/>
      <c r="L927" s="2"/>
      <c r="M927" s="2"/>
      <c r="N927" s="2"/>
      <c r="O927" s="2"/>
      <c r="P927" s="2"/>
      <c r="Q927" s="2"/>
      <c r="R927" s="7"/>
      <c r="S927" s="224"/>
      <c r="T927" s="224"/>
      <c r="U927" s="224"/>
      <c r="V927" s="224"/>
      <c r="W927" s="9"/>
    </row>
    <row r="928">
      <c r="A928" s="33"/>
      <c r="B928" s="2"/>
      <c r="C928" s="2"/>
      <c r="D928" s="2"/>
      <c r="E928" s="2"/>
      <c r="F928" s="4"/>
      <c r="G928" s="2"/>
      <c r="H928" s="2"/>
      <c r="I928" s="2"/>
      <c r="J928" s="2"/>
      <c r="K928" s="5"/>
      <c r="L928" s="2"/>
      <c r="M928" s="2"/>
      <c r="N928" s="2"/>
      <c r="O928" s="2"/>
      <c r="P928" s="2"/>
      <c r="Q928" s="2"/>
      <c r="R928" s="7"/>
      <c r="S928" s="224"/>
      <c r="T928" s="224"/>
      <c r="U928" s="224"/>
      <c r="V928" s="224"/>
      <c r="W928" s="9"/>
    </row>
    <row r="929">
      <c r="A929" s="33"/>
      <c r="B929" s="2"/>
      <c r="C929" s="2"/>
      <c r="D929" s="2"/>
      <c r="E929" s="2"/>
      <c r="F929" s="4"/>
      <c r="G929" s="2"/>
      <c r="H929" s="2"/>
      <c r="I929" s="2"/>
      <c r="J929" s="2"/>
      <c r="K929" s="5"/>
      <c r="L929" s="2"/>
      <c r="M929" s="2"/>
      <c r="N929" s="2"/>
      <c r="O929" s="2"/>
      <c r="P929" s="2"/>
      <c r="Q929" s="2"/>
      <c r="R929" s="7"/>
      <c r="S929" s="224"/>
      <c r="T929" s="224"/>
      <c r="U929" s="224"/>
      <c r="V929" s="224"/>
      <c r="W929" s="9"/>
    </row>
    <row r="930">
      <c r="A930" s="33"/>
      <c r="B930" s="2"/>
      <c r="C930" s="2"/>
      <c r="D930" s="2"/>
      <c r="E930" s="2"/>
      <c r="F930" s="4"/>
      <c r="G930" s="2"/>
      <c r="H930" s="2"/>
      <c r="I930" s="2"/>
      <c r="J930" s="2"/>
      <c r="K930" s="5"/>
      <c r="L930" s="2"/>
      <c r="M930" s="2"/>
      <c r="N930" s="2"/>
      <c r="O930" s="2"/>
      <c r="P930" s="2"/>
      <c r="Q930" s="2"/>
      <c r="R930" s="7"/>
      <c r="S930" s="224"/>
      <c r="T930" s="224"/>
      <c r="U930" s="224"/>
      <c r="V930" s="224"/>
      <c r="W930" s="9"/>
    </row>
    <row r="931">
      <c r="A931" s="33"/>
      <c r="B931" s="2"/>
      <c r="C931" s="2"/>
      <c r="D931" s="2"/>
      <c r="E931" s="2"/>
      <c r="F931" s="4"/>
      <c r="G931" s="2"/>
      <c r="H931" s="2"/>
      <c r="I931" s="2"/>
      <c r="J931" s="2"/>
      <c r="K931" s="5"/>
      <c r="L931" s="2"/>
      <c r="M931" s="2"/>
      <c r="N931" s="2"/>
      <c r="O931" s="2"/>
      <c r="P931" s="2"/>
      <c r="Q931" s="2"/>
      <c r="R931" s="7"/>
      <c r="S931" s="224"/>
      <c r="T931" s="224"/>
      <c r="U931" s="224"/>
      <c r="V931" s="224"/>
      <c r="W931" s="9"/>
    </row>
    <row r="932">
      <c r="A932" s="33"/>
      <c r="B932" s="2"/>
      <c r="C932" s="2"/>
      <c r="D932" s="2"/>
      <c r="E932" s="2"/>
      <c r="F932" s="4"/>
      <c r="G932" s="2"/>
      <c r="H932" s="2"/>
      <c r="I932" s="2"/>
      <c r="J932" s="2"/>
      <c r="K932" s="5"/>
      <c r="L932" s="2"/>
      <c r="M932" s="2"/>
      <c r="N932" s="2"/>
      <c r="O932" s="2"/>
      <c r="P932" s="2"/>
      <c r="Q932" s="2"/>
      <c r="R932" s="7"/>
      <c r="S932" s="224"/>
      <c r="T932" s="224"/>
      <c r="U932" s="224"/>
      <c r="V932" s="224"/>
      <c r="W932" s="9"/>
    </row>
    <row r="933">
      <c r="A933" s="33"/>
      <c r="B933" s="2"/>
      <c r="C933" s="2"/>
      <c r="D933" s="2"/>
      <c r="E933" s="2"/>
      <c r="F933" s="4"/>
      <c r="G933" s="2"/>
      <c r="H933" s="2"/>
      <c r="I933" s="2"/>
      <c r="J933" s="2"/>
      <c r="K933" s="5"/>
      <c r="L933" s="2"/>
      <c r="M933" s="2"/>
      <c r="N933" s="2"/>
      <c r="O933" s="2"/>
      <c r="P933" s="2"/>
      <c r="Q933" s="2"/>
      <c r="R933" s="7"/>
      <c r="S933" s="224"/>
      <c r="T933" s="224"/>
      <c r="U933" s="224"/>
      <c r="V933" s="224"/>
      <c r="W933" s="9"/>
    </row>
    <row r="934">
      <c r="A934" s="33"/>
      <c r="B934" s="2"/>
      <c r="C934" s="2"/>
      <c r="D934" s="2"/>
      <c r="E934" s="2"/>
      <c r="F934" s="4"/>
      <c r="G934" s="2"/>
      <c r="H934" s="2"/>
      <c r="I934" s="2"/>
      <c r="J934" s="2"/>
      <c r="K934" s="5"/>
      <c r="L934" s="2"/>
      <c r="M934" s="2"/>
      <c r="N934" s="2"/>
      <c r="O934" s="2"/>
      <c r="P934" s="2"/>
      <c r="Q934" s="2"/>
      <c r="R934" s="7"/>
      <c r="S934" s="224"/>
      <c r="T934" s="224"/>
      <c r="U934" s="224"/>
      <c r="V934" s="224"/>
      <c r="W934" s="9"/>
    </row>
    <row r="935">
      <c r="A935" s="33"/>
      <c r="B935" s="2"/>
      <c r="C935" s="2"/>
      <c r="D935" s="2"/>
      <c r="E935" s="2"/>
      <c r="F935" s="4"/>
      <c r="G935" s="2"/>
      <c r="H935" s="2"/>
      <c r="I935" s="2"/>
      <c r="J935" s="2"/>
      <c r="K935" s="5"/>
      <c r="L935" s="2"/>
      <c r="M935" s="2"/>
      <c r="N935" s="2"/>
      <c r="O935" s="2"/>
      <c r="P935" s="2"/>
      <c r="Q935" s="2"/>
      <c r="R935" s="7"/>
      <c r="S935" s="224"/>
      <c r="T935" s="224"/>
      <c r="U935" s="224"/>
      <c r="V935" s="224"/>
      <c r="W935" s="9"/>
    </row>
    <row r="936">
      <c r="A936" s="33"/>
      <c r="B936" s="2"/>
      <c r="C936" s="2"/>
      <c r="D936" s="2"/>
      <c r="E936" s="2"/>
      <c r="F936" s="4"/>
      <c r="G936" s="2"/>
      <c r="H936" s="2"/>
      <c r="I936" s="2"/>
      <c r="J936" s="2"/>
      <c r="K936" s="5"/>
      <c r="L936" s="2"/>
      <c r="M936" s="2"/>
      <c r="N936" s="2"/>
      <c r="O936" s="2"/>
      <c r="P936" s="2"/>
      <c r="Q936" s="2"/>
      <c r="R936" s="7"/>
      <c r="S936" s="224"/>
      <c r="T936" s="224"/>
      <c r="U936" s="224"/>
      <c r="V936" s="224"/>
      <c r="W936" s="9"/>
    </row>
    <row r="937">
      <c r="A937" s="33"/>
      <c r="B937" s="2"/>
      <c r="C937" s="2"/>
      <c r="D937" s="2"/>
      <c r="E937" s="2"/>
      <c r="F937" s="4"/>
      <c r="G937" s="2"/>
      <c r="H937" s="2"/>
      <c r="I937" s="2"/>
      <c r="J937" s="2"/>
      <c r="K937" s="5"/>
      <c r="L937" s="2"/>
      <c r="M937" s="2"/>
      <c r="N937" s="2"/>
      <c r="O937" s="2"/>
      <c r="P937" s="2"/>
      <c r="Q937" s="2"/>
      <c r="R937" s="7"/>
      <c r="S937" s="224"/>
      <c r="T937" s="224"/>
      <c r="U937" s="224"/>
      <c r="V937" s="224"/>
      <c r="W937" s="9"/>
    </row>
    <row r="938">
      <c r="A938" s="33"/>
      <c r="B938" s="2"/>
      <c r="C938" s="2"/>
      <c r="D938" s="2"/>
      <c r="E938" s="2"/>
      <c r="F938" s="4"/>
      <c r="G938" s="2"/>
      <c r="H938" s="2"/>
      <c r="I938" s="2"/>
      <c r="J938" s="2"/>
      <c r="K938" s="5"/>
      <c r="L938" s="2"/>
      <c r="M938" s="2"/>
      <c r="N938" s="2"/>
      <c r="O938" s="2"/>
      <c r="P938" s="2"/>
      <c r="Q938" s="2"/>
      <c r="R938" s="7"/>
      <c r="S938" s="224"/>
      <c r="T938" s="224"/>
      <c r="U938" s="224"/>
      <c r="V938" s="224"/>
      <c r="W938" s="9"/>
    </row>
    <row r="939">
      <c r="A939" s="33"/>
      <c r="B939" s="2"/>
      <c r="C939" s="2"/>
      <c r="D939" s="2"/>
      <c r="E939" s="2"/>
      <c r="F939" s="4"/>
      <c r="G939" s="2"/>
      <c r="H939" s="2"/>
      <c r="I939" s="2"/>
      <c r="J939" s="2"/>
      <c r="K939" s="5"/>
      <c r="L939" s="2"/>
      <c r="M939" s="2"/>
      <c r="N939" s="2"/>
      <c r="O939" s="2"/>
      <c r="P939" s="2"/>
      <c r="Q939" s="2"/>
      <c r="R939" s="7"/>
      <c r="S939" s="224"/>
      <c r="T939" s="224"/>
      <c r="U939" s="224"/>
      <c r="V939" s="224"/>
      <c r="W939" s="9"/>
    </row>
    <row r="940">
      <c r="A940" s="33"/>
      <c r="B940" s="2"/>
      <c r="C940" s="2"/>
      <c r="D940" s="2"/>
      <c r="E940" s="2"/>
      <c r="F940" s="4"/>
      <c r="G940" s="2"/>
      <c r="H940" s="2"/>
      <c r="I940" s="2"/>
      <c r="J940" s="2"/>
      <c r="K940" s="5"/>
      <c r="L940" s="2"/>
      <c r="M940" s="2"/>
      <c r="N940" s="2"/>
      <c r="O940" s="2"/>
      <c r="P940" s="2"/>
      <c r="Q940" s="2"/>
      <c r="R940" s="7"/>
      <c r="S940" s="224"/>
      <c r="T940" s="224"/>
      <c r="U940" s="224"/>
      <c r="V940" s="224"/>
      <c r="W940" s="9"/>
    </row>
    <row r="941">
      <c r="A941" s="33"/>
      <c r="B941" s="2"/>
      <c r="C941" s="2"/>
      <c r="D941" s="2"/>
      <c r="E941" s="2"/>
      <c r="F941" s="4"/>
      <c r="G941" s="2"/>
      <c r="H941" s="2"/>
      <c r="I941" s="2"/>
      <c r="J941" s="2"/>
      <c r="K941" s="5"/>
      <c r="L941" s="2"/>
      <c r="M941" s="2"/>
      <c r="N941" s="2"/>
      <c r="O941" s="2"/>
      <c r="P941" s="2"/>
      <c r="Q941" s="2"/>
      <c r="R941" s="7"/>
      <c r="S941" s="224"/>
      <c r="T941" s="224"/>
      <c r="U941" s="224"/>
      <c r="V941" s="224"/>
      <c r="W941" s="9"/>
    </row>
    <row r="942">
      <c r="A942" s="33"/>
      <c r="B942" s="2"/>
      <c r="C942" s="2"/>
      <c r="D942" s="2"/>
      <c r="E942" s="2"/>
      <c r="F942" s="4"/>
      <c r="G942" s="2"/>
      <c r="H942" s="2"/>
      <c r="I942" s="2"/>
      <c r="J942" s="2"/>
      <c r="K942" s="5"/>
      <c r="L942" s="2"/>
      <c r="M942" s="2"/>
      <c r="N942" s="2"/>
      <c r="O942" s="2"/>
      <c r="P942" s="2"/>
      <c r="Q942" s="2"/>
      <c r="R942" s="7"/>
      <c r="S942" s="224"/>
      <c r="T942" s="224"/>
      <c r="U942" s="224"/>
      <c r="V942" s="224"/>
      <c r="W942" s="9"/>
    </row>
    <row r="943">
      <c r="A943" s="33"/>
      <c r="B943" s="2"/>
      <c r="C943" s="2"/>
      <c r="D943" s="2"/>
      <c r="E943" s="2"/>
      <c r="F943" s="4"/>
      <c r="G943" s="2"/>
      <c r="H943" s="2"/>
      <c r="I943" s="2"/>
      <c r="J943" s="2"/>
      <c r="K943" s="5"/>
      <c r="L943" s="2"/>
      <c r="M943" s="2"/>
      <c r="N943" s="2"/>
      <c r="O943" s="2"/>
      <c r="P943" s="2"/>
      <c r="Q943" s="2"/>
      <c r="R943" s="7"/>
      <c r="S943" s="224"/>
      <c r="T943" s="224"/>
      <c r="U943" s="224"/>
      <c r="V943" s="224"/>
      <c r="W943" s="9"/>
    </row>
    <row r="944">
      <c r="A944" s="33"/>
      <c r="B944" s="2"/>
      <c r="C944" s="2"/>
      <c r="D944" s="2"/>
      <c r="E944" s="2"/>
      <c r="F944" s="4"/>
      <c r="G944" s="2"/>
      <c r="H944" s="2"/>
      <c r="I944" s="2"/>
      <c r="J944" s="2"/>
      <c r="K944" s="5"/>
      <c r="L944" s="2"/>
      <c r="M944" s="2"/>
      <c r="N944" s="2"/>
      <c r="O944" s="2"/>
      <c r="P944" s="2"/>
      <c r="Q944" s="2"/>
      <c r="R944" s="7"/>
      <c r="S944" s="224"/>
      <c r="T944" s="224"/>
      <c r="U944" s="224"/>
      <c r="V944" s="224"/>
      <c r="W944" s="9"/>
    </row>
    <row r="945">
      <c r="A945" s="33"/>
      <c r="B945" s="2"/>
      <c r="C945" s="2"/>
      <c r="D945" s="2"/>
      <c r="E945" s="2"/>
      <c r="F945" s="4"/>
      <c r="G945" s="2"/>
      <c r="H945" s="2"/>
      <c r="I945" s="2"/>
      <c r="J945" s="2"/>
      <c r="K945" s="5"/>
      <c r="L945" s="2"/>
      <c r="M945" s="2"/>
      <c r="N945" s="2"/>
      <c r="O945" s="2"/>
      <c r="P945" s="2"/>
      <c r="Q945" s="2"/>
      <c r="R945" s="7"/>
      <c r="S945" s="224"/>
      <c r="T945" s="224"/>
      <c r="U945" s="224"/>
      <c r="V945" s="224"/>
      <c r="W945" s="9"/>
    </row>
    <row r="946">
      <c r="A946" s="33"/>
      <c r="B946" s="2"/>
      <c r="C946" s="2"/>
      <c r="D946" s="2"/>
      <c r="E946" s="2"/>
      <c r="F946" s="4"/>
      <c r="G946" s="2"/>
      <c r="H946" s="2"/>
      <c r="I946" s="2"/>
      <c r="J946" s="2"/>
      <c r="K946" s="5"/>
      <c r="L946" s="2"/>
      <c r="M946" s="2"/>
      <c r="N946" s="2"/>
      <c r="O946" s="2"/>
      <c r="P946" s="2"/>
      <c r="Q946" s="2"/>
      <c r="R946" s="7"/>
      <c r="S946" s="224"/>
      <c r="T946" s="224"/>
      <c r="U946" s="224"/>
      <c r="V946" s="224"/>
      <c r="W946" s="9"/>
    </row>
    <row r="947">
      <c r="A947" s="33"/>
      <c r="B947" s="2"/>
      <c r="C947" s="2"/>
      <c r="D947" s="2"/>
      <c r="E947" s="2"/>
      <c r="F947" s="4"/>
      <c r="G947" s="2"/>
      <c r="H947" s="2"/>
      <c r="I947" s="2"/>
      <c r="J947" s="2"/>
      <c r="K947" s="5"/>
      <c r="L947" s="2"/>
      <c r="M947" s="2"/>
      <c r="N947" s="2"/>
      <c r="O947" s="2"/>
      <c r="P947" s="2"/>
      <c r="Q947" s="2"/>
      <c r="R947" s="7"/>
      <c r="S947" s="224"/>
      <c r="T947" s="224"/>
      <c r="U947" s="224"/>
      <c r="V947" s="224"/>
      <c r="W947" s="9"/>
    </row>
    <row r="948">
      <c r="A948" s="33"/>
      <c r="B948" s="2"/>
      <c r="C948" s="2"/>
      <c r="D948" s="2"/>
      <c r="E948" s="2"/>
      <c r="F948" s="4"/>
      <c r="G948" s="2"/>
      <c r="H948" s="2"/>
      <c r="I948" s="2"/>
      <c r="J948" s="2"/>
      <c r="K948" s="5"/>
      <c r="L948" s="2"/>
      <c r="M948" s="2"/>
      <c r="N948" s="2"/>
      <c r="O948" s="2"/>
      <c r="P948" s="2"/>
      <c r="Q948" s="2"/>
      <c r="R948" s="7"/>
      <c r="S948" s="224"/>
      <c r="T948" s="224"/>
      <c r="U948" s="224"/>
      <c r="V948" s="224"/>
      <c r="W948" s="9"/>
    </row>
    <row r="949">
      <c r="A949" s="33"/>
      <c r="B949" s="2"/>
      <c r="C949" s="2"/>
      <c r="D949" s="2"/>
      <c r="E949" s="2"/>
      <c r="F949" s="4"/>
      <c r="G949" s="2"/>
      <c r="H949" s="2"/>
      <c r="I949" s="2"/>
      <c r="J949" s="2"/>
      <c r="K949" s="5"/>
      <c r="L949" s="2"/>
      <c r="M949" s="2"/>
      <c r="N949" s="2"/>
      <c r="O949" s="2"/>
      <c r="P949" s="2"/>
      <c r="Q949" s="2"/>
      <c r="R949" s="7"/>
      <c r="S949" s="224"/>
      <c r="T949" s="224"/>
      <c r="U949" s="224"/>
      <c r="V949" s="224"/>
      <c r="W949" s="9"/>
    </row>
    <row r="950">
      <c r="A950" s="33"/>
      <c r="B950" s="2"/>
      <c r="C950" s="2"/>
      <c r="D950" s="2"/>
      <c r="E950" s="2"/>
      <c r="F950" s="4"/>
      <c r="G950" s="2"/>
      <c r="H950" s="2"/>
      <c r="I950" s="2"/>
      <c r="J950" s="2"/>
      <c r="K950" s="5"/>
      <c r="L950" s="2"/>
      <c r="M950" s="2"/>
      <c r="N950" s="2"/>
      <c r="O950" s="2"/>
      <c r="P950" s="2"/>
      <c r="Q950" s="2"/>
      <c r="R950" s="7"/>
      <c r="S950" s="224"/>
      <c r="T950" s="224"/>
      <c r="U950" s="224"/>
      <c r="V950" s="224"/>
      <c r="W950" s="9"/>
    </row>
    <row r="951">
      <c r="A951" s="33"/>
      <c r="B951" s="2"/>
      <c r="C951" s="2"/>
      <c r="D951" s="2"/>
      <c r="E951" s="2"/>
      <c r="F951" s="4"/>
      <c r="G951" s="2"/>
      <c r="H951" s="2"/>
      <c r="I951" s="2"/>
      <c r="J951" s="2"/>
      <c r="K951" s="5"/>
      <c r="L951" s="2"/>
      <c r="M951" s="2"/>
      <c r="N951" s="2"/>
      <c r="O951" s="2"/>
      <c r="P951" s="2"/>
      <c r="Q951" s="2"/>
      <c r="R951" s="7"/>
      <c r="S951" s="224"/>
      <c r="T951" s="224"/>
      <c r="U951" s="224"/>
      <c r="V951" s="224"/>
      <c r="W951" s="9"/>
    </row>
    <row r="952">
      <c r="A952" s="33"/>
      <c r="B952" s="2"/>
      <c r="C952" s="2"/>
      <c r="D952" s="2"/>
      <c r="E952" s="2"/>
      <c r="F952" s="4"/>
      <c r="G952" s="2"/>
      <c r="H952" s="2"/>
      <c r="I952" s="2"/>
      <c r="J952" s="2"/>
      <c r="K952" s="5"/>
      <c r="L952" s="2"/>
      <c r="M952" s="2"/>
      <c r="N952" s="2"/>
      <c r="O952" s="2"/>
      <c r="P952" s="2"/>
      <c r="Q952" s="2"/>
      <c r="R952" s="7"/>
      <c r="S952" s="224"/>
      <c r="T952" s="224"/>
      <c r="U952" s="224"/>
      <c r="V952" s="224"/>
      <c r="W952" s="9"/>
    </row>
    <row r="953">
      <c r="A953" s="33"/>
      <c r="B953" s="2"/>
      <c r="C953" s="2"/>
      <c r="D953" s="2"/>
      <c r="E953" s="2"/>
      <c r="F953" s="4"/>
      <c r="G953" s="2"/>
      <c r="H953" s="2"/>
      <c r="I953" s="2"/>
      <c r="J953" s="2"/>
      <c r="K953" s="5"/>
      <c r="L953" s="2"/>
      <c r="M953" s="2"/>
      <c r="N953" s="2"/>
      <c r="O953" s="2"/>
      <c r="P953" s="2"/>
      <c r="Q953" s="2"/>
      <c r="R953" s="7"/>
      <c r="S953" s="224"/>
      <c r="T953" s="224"/>
      <c r="U953" s="224"/>
      <c r="V953" s="224"/>
      <c r="W953" s="9"/>
    </row>
    <row r="954">
      <c r="A954" s="33"/>
      <c r="B954" s="2"/>
      <c r="C954" s="2"/>
      <c r="D954" s="2"/>
      <c r="E954" s="2"/>
      <c r="F954" s="4"/>
      <c r="G954" s="2"/>
      <c r="H954" s="2"/>
      <c r="I954" s="2"/>
      <c r="J954" s="2"/>
      <c r="K954" s="5"/>
      <c r="L954" s="2"/>
      <c r="M954" s="2"/>
      <c r="N954" s="2"/>
      <c r="O954" s="2"/>
      <c r="P954" s="2"/>
      <c r="Q954" s="2"/>
      <c r="R954" s="7"/>
      <c r="S954" s="224"/>
      <c r="T954" s="224"/>
      <c r="U954" s="224"/>
      <c r="V954" s="224"/>
      <c r="W954" s="9"/>
    </row>
    <row r="955">
      <c r="A955" s="33"/>
      <c r="B955" s="2"/>
      <c r="C955" s="2"/>
      <c r="D955" s="2"/>
      <c r="E955" s="2"/>
      <c r="F955" s="4"/>
      <c r="G955" s="2"/>
      <c r="H955" s="2"/>
      <c r="I955" s="2"/>
      <c r="J955" s="2"/>
      <c r="K955" s="5"/>
      <c r="L955" s="2"/>
      <c r="M955" s="2"/>
      <c r="N955" s="2"/>
      <c r="O955" s="2"/>
      <c r="P955" s="2"/>
      <c r="Q955" s="2"/>
      <c r="R955" s="7"/>
      <c r="S955" s="224"/>
      <c r="T955" s="224"/>
      <c r="U955" s="224"/>
      <c r="V955" s="224"/>
      <c r="W955" s="9"/>
    </row>
    <row r="956">
      <c r="A956" s="33"/>
      <c r="B956" s="2"/>
      <c r="C956" s="2"/>
      <c r="D956" s="2"/>
      <c r="E956" s="2"/>
      <c r="F956" s="4"/>
      <c r="G956" s="2"/>
      <c r="H956" s="2"/>
      <c r="I956" s="2"/>
      <c r="J956" s="2"/>
      <c r="K956" s="5"/>
      <c r="L956" s="2"/>
      <c r="M956" s="2"/>
      <c r="N956" s="2"/>
      <c r="O956" s="2"/>
      <c r="P956" s="2"/>
      <c r="Q956" s="2"/>
      <c r="R956" s="7"/>
      <c r="S956" s="224"/>
      <c r="T956" s="224"/>
      <c r="U956" s="224"/>
      <c r="V956" s="224"/>
      <c r="W956" s="9"/>
    </row>
    <row r="957">
      <c r="A957" s="33"/>
      <c r="B957" s="2"/>
      <c r="C957" s="2"/>
      <c r="D957" s="2"/>
      <c r="E957" s="2"/>
      <c r="F957" s="4"/>
      <c r="G957" s="2"/>
      <c r="H957" s="2"/>
      <c r="I957" s="2"/>
      <c r="J957" s="2"/>
      <c r="K957" s="5"/>
      <c r="L957" s="2"/>
      <c r="M957" s="2"/>
      <c r="N957" s="2"/>
      <c r="O957" s="2"/>
      <c r="P957" s="2"/>
      <c r="Q957" s="2"/>
      <c r="R957" s="7"/>
      <c r="S957" s="224"/>
      <c r="T957" s="224"/>
      <c r="U957" s="224"/>
      <c r="V957" s="224"/>
      <c r="W957" s="9"/>
    </row>
    <row r="958">
      <c r="A958" s="33"/>
      <c r="B958" s="2"/>
      <c r="C958" s="2"/>
      <c r="D958" s="2"/>
      <c r="E958" s="2"/>
      <c r="F958" s="4"/>
      <c r="G958" s="2"/>
      <c r="H958" s="2"/>
      <c r="I958" s="2"/>
      <c r="J958" s="2"/>
      <c r="K958" s="5"/>
      <c r="L958" s="2"/>
      <c r="M958" s="2"/>
      <c r="N958" s="2"/>
      <c r="O958" s="2"/>
      <c r="P958" s="2"/>
      <c r="Q958" s="2"/>
      <c r="R958" s="7"/>
      <c r="S958" s="224"/>
      <c r="T958" s="224"/>
      <c r="U958" s="224"/>
      <c r="V958" s="224"/>
      <c r="W958" s="9"/>
    </row>
    <row r="959">
      <c r="A959" s="33"/>
      <c r="B959" s="2"/>
      <c r="C959" s="2"/>
      <c r="D959" s="2"/>
      <c r="E959" s="2"/>
      <c r="F959" s="4"/>
      <c r="G959" s="2"/>
      <c r="H959" s="2"/>
      <c r="I959" s="2"/>
      <c r="J959" s="2"/>
      <c r="K959" s="5"/>
      <c r="L959" s="2"/>
      <c r="M959" s="2"/>
      <c r="N959" s="2"/>
      <c r="O959" s="2"/>
      <c r="P959" s="2"/>
      <c r="Q959" s="2"/>
      <c r="R959" s="7"/>
      <c r="S959" s="224"/>
      <c r="T959" s="224"/>
      <c r="U959" s="224"/>
      <c r="V959" s="224"/>
      <c r="W959" s="9"/>
    </row>
    <row r="960">
      <c r="A960" s="33"/>
      <c r="B960" s="2"/>
      <c r="C960" s="2"/>
      <c r="D960" s="2"/>
      <c r="E960" s="2"/>
      <c r="F960" s="4"/>
      <c r="G960" s="2"/>
      <c r="H960" s="2"/>
      <c r="I960" s="2"/>
      <c r="J960" s="2"/>
      <c r="K960" s="5"/>
      <c r="L960" s="2"/>
      <c r="M960" s="2"/>
      <c r="N960" s="2"/>
      <c r="O960" s="2"/>
      <c r="P960" s="2"/>
      <c r="Q960" s="2"/>
      <c r="R960" s="7"/>
      <c r="S960" s="224"/>
      <c r="T960" s="224"/>
      <c r="U960" s="224"/>
      <c r="V960" s="224"/>
      <c r="W960" s="9"/>
    </row>
    <row r="961">
      <c r="A961" s="33"/>
      <c r="B961" s="2"/>
      <c r="C961" s="2"/>
      <c r="D961" s="2"/>
      <c r="E961" s="2"/>
      <c r="F961" s="4"/>
      <c r="G961" s="2"/>
      <c r="H961" s="2"/>
      <c r="I961" s="2"/>
      <c r="J961" s="2"/>
      <c r="K961" s="5"/>
      <c r="L961" s="2"/>
      <c r="M961" s="2"/>
      <c r="N961" s="2"/>
      <c r="O961" s="2"/>
      <c r="P961" s="2"/>
      <c r="Q961" s="2"/>
      <c r="R961" s="7"/>
      <c r="S961" s="224"/>
      <c r="T961" s="224"/>
      <c r="U961" s="224"/>
      <c r="V961" s="224"/>
      <c r="W961" s="9"/>
    </row>
    <row r="962">
      <c r="A962" s="33"/>
      <c r="B962" s="2"/>
      <c r="C962" s="2"/>
      <c r="D962" s="2"/>
      <c r="E962" s="2"/>
      <c r="F962" s="4"/>
      <c r="G962" s="2"/>
      <c r="H962" s="2"/>
      <c r="I962" s="2"/>
      <c r="J962" s="2"/>
      <c r="K962" s="5"/>
      <c r="L962" s="2"/>
      <c r="M962" s="2"/>
      <c r="N962" s="2"/>
      <c r="O962" s="2"/>
      <c r="P962" s="2"/>
      <c r="Q962" s="2"/>
      <c r="R962" s="7"/>
      <c r="S962" s="224"/>
      <c r="T962" s="224"/>
      <c r="U962" s="224"/>
      <c r="V962" s="224"/>
      <c r="W962" s="9"/>
    </row>
    <row r="963">
      <c r="A963" s="33"/>
      <c r="B963" s="2"/>
      <c r="C963" s="2"/>
      <c r="D963" s="2"/>
      <c r="E963" s="2"/>
      <c r="F963" s="4"/>
      <c r="G963" s="2"/>
      <c r="H963" s="2"/>
      <c r="I963" s="2"/>
      <c r="J963" s="2"/>
      <c r="K963" s="5"/>
      <c r="L963" s="2"/>
      <c r="M963" s="2"/>
      <c r="N963" s="2"/>
      <c r="O963" s="2"/>
      <c r="P963" s="2"/>
      <c r="Q963" s="2"/>
      <c r="R963" s="7"/>
      <c r="S963" s="224"/>
      <c r="T963" s="224"/>
      <c r="U963" s="224"/>
      <c r="V963" s="224"/>
      <c r="W963" s="9"/>
    </row>
    <row r="964">
      <c r="A964" s="33"/>
      <c r="B964" s="2"/>
      <c r="C964" s="2"/>
      <c r="D964" s="2"/>
      <c r="E964" s="2"/>
      <c r="F964" s="4"/>
      <c r="G964" s="2"/>
      <c r="H964" s="2"/>
      <c r="I964" s="2"/>
      <c r="J964" s="2"/>
      <c r="K964" s="5"/>
      <c r="L964" s="2"/>
      <c r="M964" s="2"/>
      <c r="N964" s="2"/>
      <c r="O964" s="2"/>
      <c r="P964" s="2"/>
      <c r="Q964" s="2"/>
      <c r="R964" s="7"/>
      <c r="S964" s="224"/>
      <c r="T964" s="224"/>
      <c r="U964" s="224"/>
      <c r="V964" s="224"/>
      <c r="W964" s="9"/>
    </row>
    <row r="965">
      <c r="A965" s="33"/>
      <c r="B965" s="2"/>
      <c r="C965" s="2"/>
      <c r="D965" s="2"/>
      <c r="E965" s="2"/>
      <c r="F965" s="4"/>
      <c r="G965" s="2"/>
      <c r="H965" s="2"/>
      <c r="I965" s="2"/>
      <c r="J965" s="2"/>
      <c r="K965" s="5"/>
      <c r="L965" s="2"/>
      <c r="M965" s="2"/>
      <c r="N965" s="2"/>
      <c r="O965" s="2"/>
      <c r="P965" s="2"/>
      <c r="Q965" s="2"/>
      <c r="R965" s="7"/>
      <c r="S965" s="224"/>
      <c r="T965" s="224"/>
      <c r="U965" s="224"/>
      <c r="V965" s="224"/>
      <c r="W965" s="9"/>
    </row>
    <row r="966">
      <c r="A966" s="33"/>
      <c r="B966" s="2"/>
      <c r="C966" s="2"/>
      <c r="D966" s="2"/>
      <c r="E966" s="2"/>
      <c r="F966" s="4"/>
      <c r="G966" s="2"/>
      <c r="H966" s="2"/>
      <c r="I966" s="2"/>
      <c r="J966" s="2"/>
      <c r="K966" s="5"/>
      <c r="L966" s="2"/>
      <c r="M966" s="2"/>
      <c r="N966" s="2"/>
      <c r="O966" s="2"/>
      <c r="P966" s="2"/>
      <c r="Q966" s="2"/>
      <c r="R966" s="7"/>
      <c r="S966" s="224"/>
      <c r="T966" s="224"/>
      <c r="U966" s="224"/>
      <c r="V966" s="224"/>
      <c r="W966" s="9"/>
    </row>
    <row r="967">
      <c r="A967" s="33"/>
      <c r="B967" s="2"/>
      <c r="C967" s="2"/>
      <c r="D967" s="2"/>
      <c r="E967" s="2"/>
      <c r="F967" s="4"/>
      <c r="G967" s="2"/>
      <c r="H967" s="2"/>
      <c r="I967" s="2"/>
      <c r="J967" s="2"/>
      <c r="K967" s="5"/>
      <c r="L967" s="2"/>
      <c r="M967" s="2"/>
      <c r="N967" s="2"/>
      <c r="O967" s="2"/>
      <c r="P967" s="2"/>
      <c r="Q967" s="2"/>
      <c r="R967" s="7"/>
      <c r="S967" s="224"/>
      <c r="T967" s="224"/>
      <c r="U967" s="224"/>
      <c r="V967" s="224"/>
      <c r="W967" s="9"/>
    </row>
    <row r="968">
      <c r="A968" s="33"/>
      <c r="B968" s="2"/>
      <c r="C968" s="2"/>
      <c r="D968" s="2"/>
      <c r="E968" s="2"/>
      <c r="F968" s="4"/>
      <c r="G968" s="2"/>
      <c r="H968" s="2"/>
      <c r="I968" s="2"/>
      <c r="J968" s="2"/>
      <c r="K968" s="5"/>
      <c r="L968" s="2"/>
      <c r="M968" s="2"/>
      <c r="N968" s="2"/>
      <c r="O968" s="2"/>
      <c r="P968" s="2"/>
      <c r="Q968" s="2"/>
      <c r="R968" s="7"/>
      <c r="S968" s="224"/>
      <c r="T968" s="224"/>
      <c r="U968" s="224"/>
      <c r="V968" s="224"/>
      <c r="W968" s="9"/>
    </row>
    <row r="969">
      <c r="A969" s="33"/>
      <c r="B969" s="2"/>
      <c r="C969" s="2"/>
      <c r="D969" s="2"/>
      <c r="E969" s="2"/>
      <c r="F969" s="4"/>
      <c r="G969" s="2"/>
      <c r="H969" s="2"/>
      <c r="I969" s="2"/>
      <c r="J969" s="2"/>
      <c r="K969" s="5"/>
      <c r="L969" s="2"/>
      <c r="M969" s="2"/>
      <c r="N969" s="2"/>
      <c r="O969" s="2"/>
      <c r="P969" s="2"/>
      <c r="Q969" s="2"/>
      <c r="R969" s="7"/>
      <c r="S969" s="224"/>
      <c r="T969" s="224"/>
      <c r="U969" s="224"/>
      <c r="V969" s="224"/>
      <c r="W969" s="9"/>
    </row>
    <row r="970">
      <c r="A970" s="33"/>
      <c r="B970" s="2"/>
      <c r="C970" s="2"/>
      <c r="D970" s="2"/>
      <c r="E970" s="2"/>
      <c r="F970" s="4"/>
      <c r="G970" s="2"/>
      <c r="H970" s="2"/>
      <c r="I970" s="2"/>
      <c r="J970" s="2"/>
      <c r="K970" s="5"/>
      <c r="L970" s="2"/>
      <c r="M970" s="2"/>
      <c r="N970" s="2"/>
      <c r="O970" s="2"/>
      <c r="P970" s="2"/>
      <c r="Q970" s="2"/>
      <c r="R970" s="7"/>
      <c r="S970" s="224"/>
      <c r="T970" s="224"/>
      <c r="U970" s="224"/>
      <c r="V970" s="224"/>
      <c r="W970" s="9"/>
    </row>
    <row r="971">
      <c r="A971" s="33"/>
      <c r="B971" s="2"/>
      <c r="C971" s="2"/>
      <c r="D971" s="2"/>
      <c r="E971" s="2"/>
      <c r="F971" s="4"/>
      <c r="G971" s="2"/>
      <c r="H971" s="2"/>
      <c r="I971" s="2"/>
      <c r="J971" s="2"/>
      <c r="K971" s="5"/>
      <c r="L971" s="2"/>
      <c r="M971" s="2"/>
      <c r="N971" s="2"/>
      <c r="O971" s="2"/>
      <c r="P971" s="2"/>
      <c r="Q971" s="2"/>
      <c r="R971" s="7"/>
      <c r="S971" s="224"/>
      <c r="T971" s="224"/>
      <c r="U971" s="224"/>
      <c r="V971" s="224"/>
      <c r="W971" s="9"/>
    </row>
    <row r="972">
      <c r="A972" s="33"/>
      <c r="B972" s="2"/>
      <c r="C972" s="2"/>
      <c r="D972" s="2"/>
      <c r="E972" s="2"/>
      <c r="F972" s="4"/>
      <c r="G972" s="2"/>
      <c r="H972" s="2"/>
      <c r="I972" s="2"/>
      <c r="J972" s="2"/>
      <c r="K972" s="5"/>
      <c r="L972" s="2"/>
      <c r="M972" s="2"/>
      <c r="N972" s="2"/>
      <c r="O972" s="2"/>
      <c r="P972" s="2"/>
      <c r="Q972" s="2"/>
      <c r="R972" s="7"/>
      <c r="S972" s="224"/>
      <c r="T972" s="224"/>
      <c r="U972" s="224"/>
      <c r="V972" s="224"/>
      <c r="W972" s="9"/>
    </row>
    <row r="973">
      <c r="A973" s="33"/>
      <c r="B973" s="2"/>
      <c r="C973" s="2"/>
      <c r="D973" s="2"/>
      <c r="E973" s="2"/>
      <c r="F973" s="4"/>
      <c r="G973" s="2"/>
      <c r="H973" s="2"/>
      <c r="I973" s="2"/>
      <c r="J973" s="2"/>
      <c r="K973" s="5"/>
      <c r="L973" s="2"/>
      <c r="M973" s="2"/>
      <c r="N973" s="2"/>
      <c r="O973" s="2"/>
      <c r="P973" s="2"/>
      <c r="Q973" s="2"/>
      <c r="R973" s="7"/>
      <c r="S973" s="224"/>
      <c r="T973" s="224"/>
      <c r="U973" s="224"/>
      <c r="V973" s="224"/>
      <c r="W973" s="9"/>
    </row>
    <row r="974">
      <c r="A974" s="33"/>
      <c r="B974" s="2"/>
      <c r="C974" s="2"/>
      <c r="D974" s="2"/>
      <c r="E974" s="2"/>
      <c r="F974" s="4"/>
      <c r="G974" s="2"/>
      <c r="H974" s="2"/>
      <c r="I974" s="2"/>
      <c r="J974" s="2"/>
      <c r="K974" s="5"/>
      <c r="L974" s="2"/>
      <c r="M974" s="2"/>
      <c r="N974" s="2"/>
      <c r="O974" s="2"/>
      <c r="P974" s="2"/>
      <c r="Q974" s="2"/>
      <c r="R974" s="7"/>
      <c r="S974" s="224"/>
      <c r="T974" s="224"/>
      <c r="U974" s="224"/>
      <c r="V974" s="224"/>
      <c r="W974" s="9"/>
    </row>
    <row r="975">
      <c r="A975" s="33"/>
      <c r="B975" s="2"/>
      <c r="C975" s="2"/>
      <c r="D975" s="2"/>
      <c r="E975" s="2"/>
      <c r="F975" s="4"/>
      <c r="G975" s="2"/>
      <c r="H975" s="2"/>
      <c r="I975" s="2"/>
      <c r="J975" s="2"/>
      <c r="K975" s="5"/>
      <c r="L975" s="2"/>
      <c r="M975" s="2"/>
      <c r="N975" s="2"/>
      <c r="O975" s="2"/>
      <c r="P975" s="2"/>
      <c r="Q975" s="2"/>
      <c r="R975" s="7"/>
      <c r="S975" s="224"/>
      <c r="T975" s="224"/>
      <c r="U975" s="224"/>
      <c r="V975" s="224"/>
      <c r="W975" s="9"/>
    </row>
    <row r="976">
      <c r="A976" s="33"/>
      <c r="B976" s="2"/>
      <c r="C976" s="2"/>
      <c r="D976" s="2"/>
      <c r="E976" s="2"/>
      <c r="F976" s="4"/>
      <c r="G976" s="2"/>
      <c r="H976" s="2"/>
      <c r="I976" s="2"/>
      <c r="J976" s="2"/>
      <c r="K976" s="5"/>
      <c r="L976" s="2"/>
      <c r="M976" s="2"/>
      <c r="N976" s="2"/>
      <c r="O976" s="2"/>
      <c r="P976" s="2"/>
      <c r="Q976" s="2"/>
      <c r="R976" s="7"/>
      <c r="S976" s="224"/>
      <c r="T976" s="224"/>
      <c r="U976" s="224"/>
      <c r="V976" s="224"/>
      <c r="W976" s="9"/>
    </row>
    <row r="977">
      <c r="A977" s="33"/>
      <c r="B977" s="2"/>
      <c r="C977" s="2"/>
      <c r="D977" s="2"/>
      <c r="E977" s="2"/>
      <c r="F977" s="4"/>
      <c r="G977" s="2"/>
      <c r="H977" s="2"/>
      <c r="I977" s="2"/>
      <c r="J977" s="2"/>
      <c r="K977" s="5"/>
      <c r="L977" s="2"/>
      <c r="M977" s="2"/>
      <c r="N977" s="2"/>
      <c r="O977" s="2"/>
      <c r="P977" s="2"/>
      <c r="Q977" s="2"/>
      <c r="R977" s="7"/>
      <c r="S977" s="224"/>
      <c r="T977" s="224"/>
      <c r="U977" s="224"/>
      <c r="V977" s="224"/>
      <c r="W977" s="9"/>
    </row>
    <row r="978">
      <c r="A978" s="33"/>
      <c r="B978" s="2"/>
      <c r="C978" s="2"/>
      <c r="D978" s="2"/>
      <c r="E978" s="2"/>
      <c r="F978" s="4"/>
      <c r="G978" s="2"/>
      <c r="H978" s="2"/>
      <c r="I978" s="2"/>
      <c r="J978" s="2"/>
      <c r="K978" s="5"/>
      <c r="L978" s="2"/>
      <c r="M978" s="2"/>
      <c r="N978" s="2"/>
      <c r="O978" s="2"/>
      <c r="P978" s="2"/>
      <c r="Q978" s="2"/>
      <c r="R978" s="7"/>
      <c r="S978" s="224"/>
      <c r="T978" s="224"/>
      <c r="U978" s="224"/>
      <c r="V978" s="224"/>
      <c r="W978" s="9"/>
    </row>
    <row r="979">
      <c r="A979" s="33"/>
      <c r="B979" s="2"/>
      <c r="C979" s="2"/>
      <c r="D979" s="2"/>
      <c r="E979" s="2"/>
      <c r="F979" s="4"/>
      <c r="G979" s="2"/>
      <c r="H979" s="2"/>
      <c r="I979" s="2"/>
      <c r="J979" s="2"/>
      <c r="K979" s="5"/>
      <c r="L979" s="2"/>
      <c r="M979" s="2"/>
      <c r="N979" s="2"/>
      <c r="O979" s="2"/>
      <c r="P979" s="2"/>
      <c r="Q979" s="2"/>
      <c r="R979" s="7"/>
      <c r="S979" s="224"/>
      <c r="T979" s="224"/>
      <c r="U979" s="224"/>
      <c r="V979" s="224"/>
      <c r="W979" s="9"/>
    </row>
    <row r="980">
      <c r="A980" s="33"/>
      <c r="B980" s="2"/>
      <c r="C980" s="2"/>
      <c r="D980" s="2"/>
      <c r="E980" s="2"/>
      <c r="F980" s="4"/>
      <c r="G980" s="2"/>
      <c r="H980" s="2"/>
      <c r="I980" s="2"/>
      <c r="J980" s="2"/>
      <c r="K980" s="5"/>
      <c r="L980" s="2"/>
      <c r="M980" s="2"/>
      <c r="N980" s="2"/>
      <c r="O980" s="2"/>
      <c r="P980" s="2"/>
      <c r="Q980" s="2"/>
      <c r="R980" s="7"/>
      <c r="S980" s="224"/>
      <c r="T980" s="224"/>
      <c r="U980" s="224"/>
      <c r="V980" s="224"/>
      <c r="W980" s="9"/>
    </row>
    <row r="981">
      <c r="A981" s="33"/>
      <c r="B981" s="2"/>
      <c r="C981" s="2"/>
      <c r="D981" s="2"/>
      <c r="E981" s="2"/>
      <c r="F981" s="4"/>
      <c r="G981" s="2"/>
      <c r="H981" s="2"/>
      <c r="I981" s="2"/>
      <c r="J981" s="2"/>
      <c r="K981" s="5"/>
      <c r="L981" s="2"/>
      <c r="M981" s="2"/>
      <c r="N981" s="2"/>
      <c r="O981" s="2"/>
      <c r="P981" s="2"/>
      <c r="Q981" s="2"/>
      <c r="R981" s="7"/>
      <c r="S981" s="224"/>
      <c r="T981" s="224"/>
      <c r="U981" s="224"/>
      <c r="V981" s="224"/>
      <c r="W981" s="9"/>
    </row>
    <row r="982">
      <c r="A982" s="33"/>
      <c r="B982" s="2"/>
      <c r="C982" s="2"/>
      <c r="D982" s="2"/>
      <c r="E982" s="2"/>
      <c r="F982" s="4"/>
      <c r="G982" s="2"/>
      <c r="H982" s="2"/>
      <c r="I982" s="2"/>
      <c r="J982" s="2"/>
      <c r="K982" s="5"/>
      <c r="L982" s="2"/>
      <c r="M982" s="2"/>
      <c r="N982" s="2"/>
      <c r="O982" s="2"/>
      <c r="P982" s="2"/>
      <c r="Q982" s="2"/>
      <c r="R982" s="7"/>
      <c r="S982" s="224"/>
      <c r="T982" s="224"/>
      <c r="U982" s="224"/>
      <c r="V982" s="224"/>
      <c r="W982" s="9"/>
    </row>
    <row r="983">
      <c r="A983" s="33"/>
      <c r="B983" s="2"/>
      <c r="C983" s="2"/>
      <c r="D983" s="2"/>
      <c r="E983" s="2"/>
      <c r="F983" s="4"/>
      <c r="G983" s="2"/>
      <c r="H983" s="2"/>
      <c r="I983" s="2"/>
      <c r="J983" s="2"/>
      <c r="K983" s="5"/>
      <c r="L983" s="2"/>
      <c r="M983" s="2"/>
      <c r="N983" s="2"/>
      <c r="O983" s="2"/>
      <c r="P983" s="2"/>
      <c r="Q983" s="2"/>
      <c r="R983" s="7"/>
      <c r="S983" s="224"/>
      <c r="T983" s="224"/>
      <c r="U983" s="224"/>
      <c r="V983" s="224"/>
      <c r="W983" s="9"/>
    </row>
    <row r="984">
      <c r="A984" s="33"/>
      <c r="B984" s="2"/>
      <c r="C984" s="2"/>
      <c r="D984" s="2"/>
      <c r="E984" s="2"/>
      <c r="F984" s="4"/>
      <c r="G984" s="2"/>
      <c r="H984" s="2"/>
      <c r="I984" s="2"/>
      <c r="J984" s="2"/>
      <c r="K984" s="5"/>
      <c r="L984" s="2"/>
      <c r="M984" s="2"/>
      <c r="N984" s="2"/>
      <c r="O984" s="2"/>
      <c r="P984" s="2"/>
      <c r="Q984" s="2"/>
      <c r="R984" s="7"/>
      <c r="S984" s="224"/>
      <c r="T984" s="224"/>
      <c r="U984" s="224"/>
      <c r="V984" s="224"/>
      <c r="W984" s="9"/>
    </row>
    <row r="985">
      <c r="A985" s="33"/>
      <c r="B985" s="2"/>
      <c r="C985" s="2"/>
      <c r="D985" s="2"/>
      <c r="E985" s="2"/>
      <c r="F985" s="4"/>
      <c r="G985" s="2"/>
      <c r="H985" s="2"/>
      <c r="I985" s="2"/>
      <c r="J985" s="2"/>
      <c r="K985" s="5"/>
      <c r="L985" s="2"/>
      <c r="M985" s="2"/>
      <c r="N985" s="2"/>
      <c r="O985" s="2"/>
      <c r="P985" s="2"/>
      <c r="Q985" s="2"/>
      <c r="R985" s="7"/>
      <c r="S985" s="224"/>
      <c r="T985" s="224"/>
      <c r="U985" s="224"/>
      <c r="V985" s="224"/>
      <c r="W985" s="9"/>
    </row>
    <row r="986">
      <c r="A986" s="33"/>
      <c r="B986" s="2"/>
      <c r="C986" s="2"/>
      <c r="D986" s="2"/>
      <c r="E986" s="2"/>
      <c r="F986" s="4"/>
      <c r="G986" s="2"/>
      <c r="H986" s="2"/>
      <c r="I986" s="2"/>
      <c r="J986" s="2"/>
      <c r="K986" s="5"/>
      <c r="L986" s="2"/>
      <c r="M986" s="2"/>
      <c r="N986" s="2"/>
      <c r="O986" s="2"/>
      <c r="P986" s="2"/>
      <c r="Q986" s="2"/>
      <c r="R986" s="7"/>
      <c r="S986" s="224"/>
      <c r="T986" s="224"/>
      <c r="U986" s="224"/>
      <c r="V986" s="224"/>
      <c r="W986" s="9"/>
    </row>
    <row r="987">
      <c r="A987" s="33"/>
      <c r="B987" s="2"/>
      <c r="C987" s="2"/>
      <c r="D987" s="2"/>
      <c r="E987" s="2"/>
      <c r="F987" s="4"/>
      <c r="G987" s="2"/>
      <c r="H987" s="2"/>
      <c r="I987" s="2"/>
      <c r="J987" s="2"/>
      <c r="K987" s="5"/>
      <c r="L987" s="2"/>
      <c r="M987" s="2"/>
      <c r="N987" s="2"/>
      <c r="O987" s="2"/>
      <c r="P987" s="2"/>
      <c r="Q987" s="2"/>
      <c r="R987" s="7"/>
      <c r="S987" s="224"/>
      <c r="T987" s="224"/>
      <c r="U987" s="224"/>
      <c r="V987" s="224"/>
      <c r="W987" s="9"/>
    </row>
    <row r="988">
      <c r="A988" s="33"/>
      <c r="B988" s="2"/>
      <c r="C988" s="2"/>
      <c r="D988" s="2"/>
      <c r="E988" s="2"/>
      <c r="F988" s="4"/>
      <c r="G988" s="2"/>
      <c r="H988" s="2"/>
      <c r="I988" s="2"/>
      <c r="J988" s="2"/>
      <c r="K988" s="5"/>
      <c r="L988" s="2"/>
      <c r="M988" s="2"/>
      <c r="N988" s="2"/>
      <c r="O988" s="2"/>
      <c r="P988" s="2"/>
      <c r="Q988" s="2"/>
      <c r="R988" s="7"/>
      <c r="S988" s="224"/>
      <c r="T988" s="224"/>
      <c r="U988" s="224"/>
      <c r="V988" s="224"/>
      <c r="W988" s="9"/>
    </row>
    <row r="989">
      <c r="A989" s="33"/>
      <c r="B989" s="2"/>
      <c r="C989" s="2"/>
      <c r="D989" s="2"/>
      <c r="E989" s="2"/>
      <c r="F989" s="4"/>
      <c r="G989" s="2"/>
      <c r="H989" s="2"/>
      <c r="I989" s="2"/>
      <c r="J989" s="2"/>
      <c r="K989" s="5"/>
      <c r="L989" s="2"/>
      <c r="M989" s="2"/>
      <c r="N989" s="2"/>
      <c r="O989" s="2"/>
      <c r="P989" s="2"/>
      <c r="Q989" s="2"/>
      <c r="R989" s="7"/>
      <c r="S989" s="224"/>
      <c r="T989" s="224"/>
      <c r="U989" s="224"/>
      <c r="V989" s="224"/>
      <c r="W989" s="9"/>
    </row>
    <row r="990">
      <c r="A990" s="33"/>
      <c r="B990" s="2"/>
      <c r="C990" s="2"/>
      <c r="D990" s="2"/>
      <c r="E990" s="2"/>
      <c r="F990" s="4"/>
      <c r="G990" s="2"/>
      <c r="H990" s="2"/>
      <c r="I990" s="2"/>
      <c r="J990" s="2"/>
      <c r="K990" s="5"/>
      <c r="L990" s="2"/>
      <c r="M990" s="2"/>
      <c r="N990" s="2"/>
      <c r="O990" s="2"/>
      <c r="P990" s="2"/>
      <c r="Q990" s="2"/>
      <c r="R990" s="7"/>
      <c r="S990" s="224"/>
      <c r="T990" s="224"/>
      <c r="U990" s="224"/>
      <c r="V990" s="224"/>
      <c r="W990" s="9"/>
    </row>
    <row r="991">
      <c r="A991" s="33"/>
      <c r="B991" s="2"/>
      <c r="C991" s="2"/>
      <c r="D991" s="2"/>
      <c r="E991" s="2"/>
      <c r="F991" s="4"/>
      <c r="G991" s="2"/>
      <c r="H991" s="2"/>
      <c r="I991" s="2"/>
      <c r="J991" s="2"/>
      <c r="K991" s="5"/>
      <c r="L991" s="2"/>
      <c r="M991" s="2"/>
      <c r="N991" s="2"/>
      <c r="O991" s="2"/>
      <c r="P991" s="2"/>
      <c r="Q991" s="2"/>
      <c r="R991" s="7"/>
      <c r="S991" s="224"/>
      <c r="T991" s="224"/>
      <c r="U991" s="224"/>
      <c r="V991" s="224"/>
      <c r="W991" s="9"/>
    </row>
    <row r="992">
      <c r="A992" s="33"/>
      <c r="B992" s="2"/>
      <c r="C992" s="2"/>
      <c r="D992" s="2"/>
      <c r="E992" s="2"/>
      <c r="F992" s="4"/>
      <c r="G992" s="2"/>
      <c r="H992" s="2"/>
      <c r="I992" s="2"/>
      <c r="J992" s="2"/>
      <c r="K992" s="5"/>
      <c r="L992" s="2"/>
      <c r="M992" s="2"/>
      <c r="N992" s="2"/>
      <c r="O992" s="2"/>
      <c r="P992" s="2"/>
      <c r="Q992" s="2"/>
      <c r="R992" s="7"/>
      <c r="S992" s="224"/>
      <c r="T992" s="224"/>
      <c r="U992" s="224"/>
      <c r="V992" s="224"/>
      <c r="W992" s="9"/>
    </row>
    <row r="993">
      <c r="A993" s="33"/>
      <c r="B993" s="2"/>
      <c r="C993" s="2"/>
      <c r="D993" s="2"/>
      <c r="E993" s="2"/>
      <c r="F993" s="4"/>
      <c r="G993" s="2"/>
      <c r="H993" s="2"/>
      <c r="I993" s="2"/>
      <c r="J993" s="2"/>
      <c r="K993" s="5"/>
      <c r="L993" s="2"/>
      <c r="M993" s="2"/>
      <c r="N993" s="2"/>
      <c r="O993" s="2"/>
      <c r="P993" s="2"/>
      <c r="Q993" s="2"/>
      <c r="R993" s="7"/>
      <c r="S993" s="224"/>
      <c r="T993" s="224"/>
      <c r="U993" s="224"/>
      <c r="V993" s="224"/>
      <c r="W993" s="9"/>
    </row>
    <row r="994">
      <c r="A994" s="33"/>
      <c r="B994" s="2"/>
      <c r="C994" s="2"/>
      <c r="D994" s="2"/>
      <c r="E994" s="2"/>
      <c r="F994" s="4"/>
      <c r="G994" s="2"/>
      <c r="H994" s="2"/>
      <c r="I994" s="2"/>
      <c r="J994" s="2"/>
      <c r="K994" s="5"/>
      <c r="L994" s="2"/>
      <c r="M994" s="2"/>
      <c r="N994" s="2"/>
      <c r="O994" s="2"/>
      <c r="P994" s="2"/>
      <c r="Q994" s="2"/>
      <c r="R994" s="7"/>
      <c r="S994" s="224"/>
      <c r="T994" s="224"/>
      <c r="U994" s="224"/>
      <c r="V994" s="224"/>
      <c r="W994" s="9"/>
    </row>
    <row r="995">
      <c r="A995" s="33"/>
      <c r="B995" s="2"/>
      <c r="C995" s="2"/>
      <c r="D995" s="2"/>
      <c r="E995" s="2"/>
      <c r="F995" s="4"/>
      <c r="G995" s="2"/>
      <c r="H995" s="2"/>
      <c r="I995" s="2"/>
      <c r="J995" s="2"/>
      <c r="K995" s="5"/>
      <c r="L995" s="2"/>
      <c r="M995" s="2"/>
      <c r="N995" s="2"/>
      <c r="O995" s="2"/>
      <c r="P995" s="2"/>
      <c r="Q995" s="2"/>
      <c r="R995" s="7"/>
      <c r="S995" s="224"/>
      <c r="T995" s="224"/>
      <c r="U995" s="224"/>
      <c r="V995" s="224"/>
      <c r="W995" s="9"/>
    </row>
    <row r="996">
      <c r="A996" s="33"/>
      <c r="B996" s="2"/>
      <c r="C996" s="2"/>
      <c r="D996" s="2"/>
      <c r="E996" s="2"/>
      <c r="F996" s="4"/>
      <c r="G996" s="2"/>
      <c r="H996" s="2"/>
      <c r="I996" s="2"/>
      <c r="J996" s="2"/>
      <c r="K996" s="5"/>
      <c r="L996" s="2"/>
      <c r="M996" s="2"/>
      <c r="N996" s="2"/>
      <c r="O996" s="2"/>
      <c r="P996" s="2"/>
      <c r="Q996" s="2"/>
      <c r="R996" s="7"/>
      <c r="S996" s="224"/>
      <c r="T996" s="224"/>
      <c r="U996" s="224"/>
      <c r="V996" s="224"/>
      <c r="W996" s="9"/>
    </row>
    <row r="997">
      <c r="A997" s="33"/>
      <c r="B997" s="2"/>
      <c r="C997" s="2"/>
      <c r="D997" s="2"/>
      <c r="E997" s="2"/>
      <c r="F997" s="4"/>
      <c r="G997" s="2"/>
      <c r="H997" s="2"/>
      <c r="I997" s="2"/>
      <c r="J997" s="2"/>
      <c r="K997" s="5"/>
      <c r="L997" s="2"/>
      <c r="M997" s="2"/>
      <c r="N997" s="2"/>
      <c r="O997" s="2"/>
      <c r="P997" s="2"/>
      <c r="Q997" s="2"/>
      <c r="R997" s="7"/>
      <c r="S997" s="224"/>
      <c r="T997" s="224"/>
      <c r="U997" s="224"/>
      <c r="V997" s="224"/>
      <c r="W997" s="9"/>
    </row>
    <row r="998">
      <c r="A998" s="33"/>
      <c r="B998" s="2"/>
      <c r="C998" s="2"/>
      <c r="D998" s="2"/>
      <c r="E998" s="2"/>
      <c r="F998" s="4"/>
      <c r="G998" s="2"/>
      <c r="H998" s="2"/>
      <c r="I998" s="2"/>
      <c r="J998" s="2"/>
      <c r="K998" s="5"/>
      <c r="L998" s="2"/>
      <c r="M998" s="2"/>
      <c r="N998" s="2"/>
      <c r="O998" s="2"/>
      <c r="P998" s="2"/>
      <c r="Q998" s="2"/>
      <c r="R998" s="7"/>
      <c r="S998" s="224"/>
      <c r="T998" s="224"/>
      <c r="U998" s="224"/>
      <c r="V998" s="224"/>
      <c r="W998" s="9"/>
    </row>
    <row r="999">
      <c r="A999" s="33"/>
      <c r="B999" s="2"/>
      <c r="C999" s="2"/>
      <c r="D999" s="2"/>
      <c r="E999" s="2"/>
      <c r="F999" s="4"/>
      <c r="G999" s="2"/>
      <c r="H999" s="2"/>
      <c r="I999" s="2"/>
      <c r="J999" s="2"/>
      <c r="K999" s="5"/>
      <c r="L999" s="2"/>
      <c r="M999" s="2"/>
      <c r="N999" s="2"/>
      <c r="O999" s="2"/>
      <c r="P999" s="2"/>
      <c r="Q999" s="2"/>
      <c r="R999" s="7"/>
      <c r="S999" s="224"/>
      <c r="T999" s="224"/>
      <c r="U999" s="224"/>
      <c r="V999" s="224"/>
      <c r="W999" s="9"/>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c r="W1000" s="9"/>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c r="W1001" s="9"/>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c r="W1002" s="9"/>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c r="W1003" s="9"/>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c r="W1004" s="9"/>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c r="W1005" s="9"/>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c r="W1006" s="9"/>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c r="W1007" s="9"/>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c r="W1008" s="9"/>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c r="W1009" s="9"/>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c r="W1010" s="9"/>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c r="W1011" s="9"/>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c r="W1012" s="9"/>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c r="W1013" s="9"/>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c r="W1014" s="9"/>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c r="W1015" s="9"/>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c r="W1016" s="9"/>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c r="W1017" s="9"/>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c r="W1018" s="9"/>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c r="W1019" s="9"/>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c r="W1020" s="9"/>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c r="W1021" s="9"/>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c r="W1022" s="9"/>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c r="W1023" s="9"/>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c r="W1024" s="9"/>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c r="W1025" s="9"/>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c r="W1026" s="9"/>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c r="W1027" s="9"/>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c r="W1028" s="9"/>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c r="W1029" s="9"/>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c r="W1030" s="9"/>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c r="W1031" s="9"/>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c r="W1032" s="9"/>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c r="W1033" s="9"/>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c r="W1034" s="9"/>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c r="W1035" s="9"/>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c r="W1036" s="9"/>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c r="W1037" s="9"/>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c r="W1038" s="9"/>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c r="W1039" s="9"/>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c r="W1040" s="9"/>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c r="W1041" s="9"/>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c r="W1042" s="9"/>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c r="W1043" s="9"/>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c r="W1044" s="9"/>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c r="W1045" s="9"/>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c r="W1046" s="9"/>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c r="W1047" s="9"/>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c r="W1048" s="9"/>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c r="W1049" s="9"/>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c r="W1050" s="9"/>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c r="W1051" s="9"/>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c r="W1052" s="9"/>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c r="W1053" s="9"/>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c r="W1054" s="9"/>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c r="W1055" s="9"/>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c r="W1056" s="9"/>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c r="W1057" s="9"/>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c r="W1058" s="9"/>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c r="W1059" s="9"/>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c r="W1060" s="9"/>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c r="W1061" s="9"/>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c r="W1062" s="9"/>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c r="W1063" s="9"/>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c r="W1064" s="9"/>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c r="W1065" s="9"/>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c r="W1066" s="9"/>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c r="W1067" s="9"/>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c r="W1068" s="9"/>
    </row>
    <row r="1069">
      <c r="A1069" s="33"/>
      <c r="B1069" s="2"/>
      <c r="C1069" s="2"/>
      <c r="D1069" s="2"/>
      <c r="E1069" s="2"/>
      <c r="F1069" s="4"/>
      <c r="G1069" s="2"/>
      <c r="H1069" s="2"/>
      <c r="I1069" s="2"/>
      <c r="J1069" s="2"/>
      <c r="K1069" s="5"/>
      <c r="L1069" s="2"/>
      <c r="M1069" s="2"/>
      <c r="N1069" s="2"/>
      <c r="O1069" s="2"/>
      <c r="P1069" s="2"/>
      <c r="Q1069" s="2"/>
      <c r="R1069" s="7"/>
      <c r="S1069" s="224"/>
      <c r="T1069" s="224"/>
      <c r="U1069" s="224"/>
      <c r="V1069" s="224"/>
      <c r="W1069" s="9"/>
    </row>
    <row r="1070">
      <c r="A1070" s="33"/>
      <c r="B1070" s="2"/>
      <c r="C1070" s="2"/>
      <c r="D1070" s="2"/>
      <c r="E1070" s="2"/>
      <c r="F1070" s="4"/>
      <c r="G1070" s="2"/>
      <c r="H1070" s="2"/>
      <c r="I1070" s="2"/>
      <c r="J1070" s="2"/>
      <c r="K1070" s="5"/>
      <c r="L1070" s="2"/>
      <c r="M1070" s="2"/>
      <c r="N1070" s="2"/>
      <c r="O1070" s="2"/>
      <c r="P1070" s="2"/>
      <c r="Q1070" s="2"/>
      <c r="R1070" s="7"/>
      <c r="S1070" s="224"/>
      <c r="T1070" s="224"/>
      <c r="U1070" s="224"/>
      <c r="V1070" s="224"/>
      <c r="W1070" s="9"/>
    </row>
    <row r="1071">
      <c r="A1071" s="33"/>
      <c r="B1071" s="2"/>
      <c r="C1071" s="2"/>
      <c r="D1071" s="2"/>
      <c r="E1071" s="2"/>
      <c r="F1071" s="4"/>
      <c r="G1071" s="2"/>
      <c r="H1071" s="2"/>
      <c r="I1071" s="2"/>
      <c r="J1071" s="2"/>
      <c r="K1071" s="5"/>
      <c r="L1071" s="2"/>
      <c r="M1071" s="2"/>
      <c r="N1071" s="2"/>
      <c r="O1071" s="2"/>
      <c r="P1071" s="2"/>
      <c r="Q1071" s="2"/>
      <c r="R1071" s="7"/>
      <c r="S1071" s="224"/>
      <c r="T1071" s="224"/>
      <c r="U1071" s="224"/>
      <c r="V1071" s="224"/>
      <c r="W1071" s="9"/>
    </row>
    <row r="1072">
      <c r="A1072" s="33"/>
      <c r="B1072" s="2"/>
      <c r="C1072" s="2"/>
      <c r="D1072" s="2"/>
      <c r="E1072" s="2"/>
      <c r="F1072" s="4"/>
      <c r="G1072" s="2"/>
      <c r="H1072" s="2"/>
      <c r="I1072" s="2"/>
      <c r="J1072" s="2"/>
      <c r="K1072" s="5"/>
      <c r="L1072" s="2"/>
      <c r="M1072" s="2"/>
      <c r="N1072" s="2"/>
      <c r="O1072" s="2"/>
      <c r="P1072" s="2"/>
      <c r="Q1072" s="2"/>
      <c r="R1072" s="7"/>
      <c r="S1072" s="224"/>
      <c r="T1072" s="224"/>
      <c r="U1072" s="224"/>
      <c r="V1072" s="224"/>
      <c r="W1072" s="9"/>
    </row>
    <row r="1073">
      <c r="A1073" s="33"/>
      <c r="B1073" s="2"/>
      <c r="C1073" s="2"/>
      <c r="D1073" s="2"/>
      <c r="E1073" s="2"/>
      <c r="F1073" s="4"/>
      <c r="G1073" s="2"/>
      <c r="H1073" s="2"/>
      <c r="I1073" s="2"/>
      <c r="J1073" s="2"/>
      <c r="K1073" s="5"/>
      <c r="L1073" s="2"/>
      <c r="M1073" s="2"/>
      <c r="N1073" s="2"/>
      <c r="O1073" s="2"/>
      <c r="P1073" s="2"/>
      <c r="Q1073" s="2"/>
      <c r="R1073" s="7"/>
      <c r="S1073" s="224"/>
      <c r="T1073" s="224"/>
      <c r="U1073" s="224"/>
      <c r="V1073" s="224"/>
      <c r="W1073" s="9"/>
    </row>
    <row r="1074">
      <c r="A1074" s="33"/>
      <c r="B1074" s="2"/>
      <c r="C1074" s="2"/>
      <c r="D1074" s="2"/>
      <c r="E1074" s="2"/>
      <c r="F1074" s="4"/>
      <c r="G1074" s="2"/>
      <c r="H1074" s="2"/>
      <c r="I1074" s="2"/>
      <c r="J1074" s="2"/>
      <c r="K1074" s="5"/>
      <c r="L1074" s="2"/>
      <c r="M1074" s="2"/>
      <c r="N1074" s="2"/>
      <c r="O1074" s="2"/>
      <c r="P1074" s="2"/>
      <c r="Q1074" s="2"/>
      <c r="R1074" s="7"/>
      <c r="S1074" s="224"/>
      <c r="T1074" s="224"/>
      <c r="U1074" s="224"/>
      <c r="V1074" s="224"/>
      <c r="W1074" s="9"/>
    </row>
    <row r="1075">
      <c r="A1075" s="33"/>
      <c r="B1075" s="2"/>
      <c r="C1075" s="2"/>
      <c r="D1075" s="2"/>
      <c r="E1075" s="2"/>
      <c r="F1075" s="4"/>
      <c r="G1075" s="2"/>
      <c r="H1075" s="2"/>
      <c r="I1075" s="2"/>
      <c r="J1075" s="2"/>
      <c r="K1075" s="5"/>
      <c r="L1075" s="2"/>
      <c r="M1075" s="2"/>
      <c r="N1075" s="2"/>
      <c r="O1075" s="2"/>
      <c r="P1075" s="2"/>
      <c r="Q1075" s="2"/>
      <c r="R1075" s="7"/>
      <c r="S1075" s="224"/>
      <c r="T1075" s="224"/>
      <c r="U1075" s="224"/>
      <c r="V1075" s="224"/>
      <c r="W1075" s="9"/>
    </row>
    <row r="1076">
      <c r="A1076" s="33"/>
      <c r="B1076" s="2"/>
      <c r="C1076" s="2"/>
      <c r="D1076" s="2"/>
      <c r="E1076" s="2"/>
      <c r="F1076" s="4"/>
      <c r="G1076" s="2"/>
      <c r="H1076" s="2"/>
      <c r="I1076" s="2"/>
      <c r="J1076" s="2"/>
      <c r="K1076" s="5"/>
      <c r="L1076" s="2"/>
      <c r="M1076" s="2"/>
      <c r="N1076" s="2"/>
      <c r="O1076" s="2"/>
      <c r="P1076" s="2"/>
      <c r="Q1076" s="2"/>
      <c r="R1076" s="7"/>
      <c r="S1076" s="224"/>
      <c r="T1076" s="224"/>
      <c r="U1076" s="224"/>
      <c r="V1076" s="224"/>
      <c r="W1076" s="9"/>
    </row>
    <row r="1077">
      <c r="A1077" s="33"/>
      <c r="B1077" s="2"/>
      <c r="C1077" s="2"/>
      <c r="D1077" s="2"/>
      <c r="E1077" s="2"/>
      <c r="F1077" s="4"/>
      <c r="G1077" s="2"/>
      <c r="H1077" s="2"/>
      <c r="I1077" s="2"/>
      <c r="J1077" s="2"/>
      <c r="K1077" s="5"/>
      <c r="L1077" s="2"/>
      <c r="M1077" s="2"/>
      <c r="N1077" s="2"/>
      <c r="O1077" s="2"/>
      <c r="P1077" s="2"/>
      <c r="Q1077" s="2"/>
      <c r="R1077" s="7"/>
      <c r="S1077" s="224"/>
      <c r="T1077" s="224"/>
      <c r="U1077" s="224"/>
      <c r="V1077" s="224"/>
      <c r="W1077" s="9"/>
    </row>
    <row r="1078">
      <c r="A1078" s="33"/>
      <c r="B1078" s="2"/>
      <c r="C1078" s="2"/>
      <c r="D1078" s="2"/>
      <c r="E1078" s="2"/>
      <c r="F1078" s="4"/>
      <c r="G1078" s="2"/>
      <c r="H1078" s="2"/>
      <c r="I1078" s="2"/>
      <c r="J1078" s="2"/>
      <c r="K1078" s="5"/>
      <c r="L1078" s="2"/>
      <c r="M1078" s="2"/>
      <c r="N1078" s="2"/>
      <c r="O1078" s="2"/>
      <c r="P1078" s="2"/>
      <c r="Q1078" s="2"/>
      <c r="R1078" s="7"/>
      <c r="S1078" s="224"/>
      <c r="T1078" s="224"/>
      <c r="U1078" s="224"/>
      <c r="V1078" s="224"/>
      <c r="W1078" s="9"/>
    </row>
    <row r="1079">
      <c r="A1079" s="33"/>
      <c r="B1079" s="2"/>
      <c r="C1079" s="2"/>
      <c r="D1079" s="2"/>
      <c r="E1079" s="2"/>
      <c r="F1079" s="4"/>
      <c r="G1079" s="2"/>
      <c r="H1079" s="2"/>
      <c r="I1079" s="2"/>
      <c r="J1079" s="2"/>
      <c r="K1079" s="5"/>
      <c r="L1079" s="2"/>
      <c r="M1079" s="2"/>
      <c r="N1079" s="2"/>
      <c r="O1079" s="2"/>
      <c r="P1079" s="2"/>
      <c r="Q1079" s="2"/>
      <c r="R1079" s="7"/>
      <c r="S1079" s="224"/>
      <c r="T1079" s="224"/>
      <c r="U1079" s="224"/>
      <c r="V1079" s="224"/>
      <c r="W1079" s="9"/>
    </row>
    <row r="1080">
      <c r="A1080" s="33"/>
      <c r="B1080" s="2"/>
      <c r="C1080" s="2"/>
      <c r="D1080" s="2"/>
      <c r="E1080" s="2"/>
      <c r="F1080" s="4"/>
      <c r="G1080" s="2"/>
      <c r="H1080" s="2"/>
      <c r="I1080" s="2"/>
      <c r="J1080" s="2"/>
      <c r="K1080" s="5"/>
      <c r="L1080" s="2"/>
      <c r="M1080" s="2"/>
      <c r="N1080" s="2"/>
      <c r="O1080" s="2"/>
      <c r="P1080" s="2"/>
      <c r="Q1080" s="2"/>
      <c r="R1080" s="7"/>
      <c r="S1080" s="224"/>
      <c r="T1080" s="224"/>
      <c r="U1080" s="224"/>
      <c r="V1080" s="224"/>
      <c r="W1080" s="9"/>
    </row>
    <row r="1081">
      <c r="A1081" s="33"/>
      <c r="B1081" s="2"/>
      <c r="C1081" s="2"/>
      <c r="D1081" s="2"/>
      <c r="E1081" s="2"/>
      <c r="F1081" s="4"/>
      <c r="G1081" s="2"/>
      <c r="H1081" s="2"/>
      <c r="I1081" s="2"/>
      <c r="J1081" s="2"/>
      <c r="K1081" s="5"/>
      <c r="L1081" s="2"/>
      <c r="M1081" s="2"/>
      <c r="N1081" s="2"/>
      <c r="O1081" s="2"/>
      <c r="P1081" s="2"/>
      <c r="Q1081" s="2"/>
      <c r="R1081" s="7"/>
      <c r="S1081" s="224"/>
      <c r="T1081" s="224"/>
      <c r="U1081" s="224"/>
      <c r="V1081" s="224"/>
      <c r="W1081" s="9"/>
    </row>
    <row r="1082">
      <c r="A1082" s="33"/>
      <c r="B1082" s="2"/>
      <c r="C1082" s="2"/>
      <c r="D1082" s="2"/>
      <c r="E1082" s="2"/>
      <c r="F1082" s="4"/>
      <c r="G1082" s="2"/>
      <c r="H1082" s="2"/>
      <c r="I1082" s="2"/>
      <c r="J1082" s="2"/>
      <c r="K1082" s="5"/>
      <c r="L1082" s="2"/>
      <c r="M1082" s="2"/>
      <c r="N1082" s="2"/>
      <c r="O1082" s="2"/>
      <c r="P1082" s="2"/>
      <c r="Q1082" s="2"/>
      <c r="R1082" s="7"/>
      <c r="S1082" s="224"/>
      <c r="T1082" s="224"/>
      <c r="U1082" s="224"/>
      <c r="V1082" s="224"/>
      <c r="W1082" s="9"/>
    </row>
    <row r="1083">
      <c r="A1083" s="33"/>
      <c r="B1083" s="2"/>
      <c r="C1083" s="2"/>
      <c r="D1083" s="2"/>
      <c r="E1083" s="2"/>
      <c r="F1083" s="4"/>
      <c r="G1083" s="2"/>
      <c r="H1083" s="2"/>
      <c r="I1083" s="2"/>
      <c r="J1083" s="2"/>
      <c r="K1083" s="5"/>
      <c r="L1083" s="2"/>
      <c r="M1083" s="2"/>
      <c r="N1083" s="2"/>
      <c r="O1083" s="2"/>
      <c r="P1083" s="2"/>
      <c r="Q1083" s="2"/>
      <c r="R1083" s="7"/>
      <c r="S1083" s="224"/>
      <c r="T1083" s="224"/>
      <c r="U1083" s="224"/>
      <c r="V1083" s="224"/>
      <c r="W1083" s="9"/>
    </row>
    <row r="1084">
      <c r="A1084" s="33"/>
      <c r="B1084" s="2"/>
      <c r="C1084" s="2"/>
      <c r="D1084" s="2"/>
      <c r="E1084" s="2"/>
      <c r="F1084" s="4"/>
      <c r="G1084" s="2"/>
      <c r="H1084" s="2"/>
      <c r="I1084" s="2"/>
      <c r="J1084" s="2"/>
      <c r="K1084" s="5"/>
      <c r="L1084" s="2"/>
      <c r="M1084" s="2"/>
      <c r="N1084" s="2"/>
      <c r="O1084" s="2"/>
      <c r="P1084" s="2"/>
      <c r="Q1084" s="2"/>
      <c r="R1084" s="7"/>
      <c r="S1084" s="224"/>
      <c r="T1084" s="224"/>
      <c r="U1084" s="224"/>
      <c r="V1084" s="224"/>
      <c r="W1084" s="9"/>
    </row>
    <row r="1085">
      <c r="A1085" s="33"/>
      <c r="B1085" s="2"/>
      <c r="C1085" s="2"/>
      <c r="D1085" s="2"/>
      <c r="E1085" s="2"/>
      <c r="F1085" s="4"/>
      <c r="G1085" s="2"/>
      <c r="H1085" s="2"/>
      <c r="I1085" s="2"/>
      <c r="J1085" s="2"/>
      <c r="K1085" s="5"/>
      <c r="L1085" s="2"/>
      <c r="M1085" s="2"/>
      <c r="N1085" s="2"/>
      <c r="O1085" s="2"/>
      <c r="P1085" s="2"/>
      <c r="Q1085" s="2"/>
      <c r="R1085" s="7"/>
      <c r="S1085" s="224"/>
      <c r="T1085" s="224"/>
      <c r="U1085" s="224"/>
      <c r="V1085" s="224"/>
      <c r="W1085" s="9"/>
    </row>
    <row r="1086">
      <c r="A1086" s="33"/>
      <c r="B1086" s="2"/>
      <c r="C1086" s="2"/>
      <c r="D1086" s="2"/>
      <c r="E1086" s="2"/>
      <c r="F1086" s="4"/>
      <c r="G1086" s="2"/>
      <c r="H1086" s="2"/>
      <c r="I1086" s="2"/>
      <c r="J1086" s="2"/>
      <c r="K1086" s="5"/>
      <c r="L1086" s="2"/>
      <c r="M1086" s="2"/>
      <c r="N1086" s="2"/>
      <c r="O1086" s="2"/>
      <c r="P1086" s="2"/>
      <c r="Q1086" s="2"/>
      <c r="R1086" s="7"/>
      <c r="S1086" s="224"/>
      <c r="T1086" s="224"/>
      <c r="U1086" s="224"/>
      <c r="V1086" s="224"/>
      <c r="W1086" s="9"/>
    </row>
  </sheetData>
  <mergeCells count="492">
    <mergeCell ref="A5:A6"/>
    <mergeCell ref="B5:B6"/>
    <mergeCell ref="E5:E6"/>
    <mergeCell ref="A7:A8"/>
    <mergeCell ref="B7:B8"/>
    <mergeCell ref="A9:A10"/>
    <mergeCell ref="B9:B10"/>
    <mergeCell ref="E7:E8"/>
    <mergeCell ref="E9:E10"/>
    <mergeCell ref="S19:S21"/>
    <mergeCell ref="T19:T21"/>
    <mergeCell ref="U19:U21"/>
    <mergeCell ref="M20:M21"/>
    <mergeCell ref="N20:N21"/>
    <mergeCell ref="A20:B21"/>
    <mergeCell ref="B22:B23"/>
    <mergeCell ref="C22:C23"/>
    <mergeCell ref="D22:D23"/>
    <mergeCell ref="E22:E23"/>
    <mergeCell ref="F22:F23"/>
    <mergeCell ref="G22:G23"/>
    <mergeCell ref="T24:T25"/>
    <mergeCell ref="U24:U25"/>
    <mergeCell ref="Q20:Q21"/>
    <mergeCell ref="R22:R23"/>
    <mergeCell ref="S22:S23"/>
    <mergeCell ref="T22:T23"/>
    <mergeCell ref="U22:U23"/>
    <mergeCell ref="R24:R25"/>
    <mergeCell ref="S24:S25"/>
    <mergeCell ref="A26:A27"/>
    <mergeCell ref="A28:A29"/>
    <mergeCell ref="B28:B29"/>
    <mergeCell ref="C28:C29"/>
    <mergeCell ref="D28:D29"/>
    <mergeCell ref="E28:E29"/>
    <mergeCell ref="F28:F29"/>
    <mergeCell ref="G28:G29"/>
    <mergeCell ref="T32:T33"/>
    <mergeCell ref="U32:U33"/>
    <mergeCell ref="A38:A39"/>
    <mergeCell ref="B38:B39"/>
    <mergeCell ref="C38:C39"/>
    <mergeCell ref="D38:D39"/>
    <mergeCell ref="E38:E39"/>
    <mergeCell ref="F38:F39"/>
    <mergeCell ref="G38:G39"/>
    <mergeCell ref="A40:A41"/>
    <mergeCell ref="B40:B41"/>
    <mergeCell ref="C40:C41"/>
    <mergeCell ref="D40:D41"/>
    <mergeCell ref="E40:E41"/>
    <mergeCell ref="F40:F41"/>
    <mergeCell ref="G40:G41"/>
    <mergeCell ref="A42:A43"/>
    <mergeCell ref="B42:B43"/>
    <mergeCell ref="C42:C43"/>
    <mergeCell ref="D42:D43"/>
    <mergeCell ref="E42:E43"/>
    <mergeCell ref="F42:F43"/>
    <mergeCell ref="G42:G43"/>
    <mergeCell ref="M50:M51"/>
    <mergeCell ref="N50:N51"/>
    <mergeCell ref="Q50:Q51"/>
    <mergeCell ref="A44:A45"/>
    <mergeCell ref="B44:B45"/>
    <mergeCell ref="C44:C45"/>
    <mergeCell ref="D44:D45"/>
    <mergeCell ref="E44:E45"/>
    <mergeCell ref="F44:F45"/>
    <mergeCell ref="G44:G45"/>
    <mergeCell ref="A46:A47"/>
    <mergeCell ref="B46:B47"/>
    <mergeCell ref="C46:C47"/>
    <mergeCell ref="D46:D47"/>
    <mergeCell ref="E46:E47"/>
    <mergeCell ref="F46:F47"/>
    <mergeCell ref="G46:G47"/>
    <mergeCell ref="B48:B49"/>
    <mergeCell ref="C48:C49"/>
    <mergeCell ref="D48:D49"/>
    <mergeCell ref="E48:E49"/>
    <mergeCell ref="F48:F49"/>
    <mergeCell ref="G48:G49"/>
    <mergeCell ref="A50:B51"/>
    <mergeCell ref="R42:R43"/>
    <mergeCell ref="S42:S43"/>
    <mergeCell ref="T42:T43"/>
    <mergeCell ref="U42:U43"/>
    <mergeCell ref="S44:S45"/>
    <mergeCell ref="T44:T45"/>
    <mergeCell ref="U44:U45"/>
    <mergeCell ref="R61:R62"/>
    <mergeCell ref="S61:S62"/>
    <mergeCell ref="T61:T62"/>
    <mergeCell ref="U61:U62"/>
    <mergeCell ref="R63:R64"/>
    <mergeCell ref="S63:S64"/>
    <mergeCell ref="T63:T64"/>
    <mergeCell ref="U63:U64"/>
    <mergeCell ref="R44:R45"/>
    <mergeCell ref="R46:R47"/>
    <mergeCell ref="S46:S47"/>
    <mergeCell ref="T46:T47"/>
    <mergeCell ref="U46:U47"/>
    <mergeCell ref="R48:R49"/>
    <mergeCell ref="S48:S49"/>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 ref="A48:A49"/>
    <mergeCell ref="B53:B54"/>
    <mergeCell ref="C53:C54"/>
    <mergeCell ref="D53:D54"/>
    <mergeCell ref="E53:E54"/>
    <mergeCell ref="F53:F54"/>
    <mergeCell ref="G53:G54"/>
    <mergeCell ref="A53:A54"/>
    <mergeCell ref="B55:B56"/>
    <mergeCell ref="C55:C56"/>
    <mergeCell ref="D55:D56"/>
    <mergeCell ref="E55:E56"/>
    <mergeCell ref="F55:F56"/>
    <mergeCell ref="G55:G56"/>
    <mergeCell ref="A92:A93"/>
    <mergeCell ref="B94:B95"/>
    <mergeCell ref="C94:C95"/>
    <mergeCell ref="D94:D95"/>
    <mergeCell ref="E94:E95"/>
    <mergeCell ref="F94:F95"/>
    <mergeCell ref="G94:G95"/>
    <mergeCell ref="A94:A95"/>
    <mergeCell ref="B96:B97"/>
    <mergeCell ref="C96:C97"/>
    <mergeCell ref="D96:D97"/>
    <mergeCell ref="E96:E97"/>
    <mergeCell ref="F96:F97"/>
    <mergeCell ref="G96:G97"/>
    <mergeCell ref="A96:A97"/>
    <mergeCell ref="B99:B100"/>
    <mergeCell ref="C99:C100"/>
    <mergeCell ref="D99:D100"/>
    <mergeCell ref="E99:E100"/>
    <mergeCell ref="F99:F100"/>
    <mergeCell ref="G99:G100"/>
    <mergeCell ref="A99:A100"/>
    <mergeCell ref="B101:B102"/>
    <mergeCell ref="C101:C102"/>
    <mergeCell ref="D101:D102"/>
    <mergeCell ref="E101:E102"/>
    <mergeCell ref="F101:F102"/>
    <mergeCell ref="G101:G102"/>
    <mergeCell ref="A101:A102"/>
    <mergeCell ref="B103:B104"/>
    <mergeCell ref="C103:C104"/>
    <mergeCell ref="D103:D104"/>
    <mergeCell ref="E103:E104"/>
    <mergeCell ref="F103:F104"/>
    <mergeCell ref="G103:G104"/>
    <mergeCell ref="A103:A104"/>
    <mergeCell ref="B105:B106"/>
    <mergeCell ref="C105:C106"/>
    <mergeCell ref="D105:D106"/>
    <mergeCell ref="E105:E106"/>
    <mergeCell ref="F105:F106"/>
    <mergeCell ref="G105:G106"/>
    <mergeCell ref="A105:A106"/>
    <mergeCell ref="B108:B109"/>
    <mergeCell ref="C108:C109"/>
    <mergeCell ref="D108:D109"/>
    <mergeCell ref="E108:E109"/>
    <mergeCell ref="F108:F109"/>
    <mergeCell ref="G108:G109"/>
    <mergeCell ref="A108:A109"/>
    <mergeCell ref="B110:B111"/>
    <mergeCell ref="C110:C111"/>
    <mergeCell ref="D110:D111"/>
    <mergeCell ref="E110:E111"/>
    <mergeCell ref="F110:F111"/>
    <mergeCell ref="G110:G111"/>
    <mergeCell ref="C127:H127"/>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112:B113"/>
    <mergeCell ref="A114:B115"/>
    <mergeCell ref="A110:A111"/>
    <mergeCell ref="A112:A113"/>
    <mergeCell ref="C112:C113"/>
    <mergeCell ref="D112:D113"/>
    <mergeCell ref="E112:E113"/>
    <mergeCell ref="F112:F113"/>
    <mergeCell ref="G112:G113"/>
    <mergeCell ref="A63:A64"/>
    <mergeCell ref="B65:B66"/>
    <mergeCell ref="C65:C66"/>
    <mergeCell ref="D65:D66"/>
    <mergeCell ref="E65:E66"/>
    <mergeCell ref="F65:F66"/>
    <mergeCell ref="G65:G66"/>
    <mergeCell ref="A65:A66"/>
    <mergeCell ref="B67:B68"/>
    <mergeCell ref="C67:C68"/>
    <mergeCell ref="D67:D68"/>
    <mergeCell ref="E67:E68"/>
    <mergeCell ref="F67:F68"/>
    <mergeCell ref="G67:G68"/>
    <mergeCell ref="A67:A68"/>
    <mergeCell ref="B69:B70"/>
    <mergeCell ref="C69:C70"/>
    <mergeCell ref="D69:D70"/>
    <mergeCell ref="E69:E70"/>
    <mergeCell ref="F69:F70"/>
    <mergeCell ref="G69:G70"/>
    <mergeCell ref="A69:A70"/>
    <mergeCell ref="B71:B72"/>
    <mergeCell ref="C71:C72"/>
    <mergeCell ref="D71:D72"/>
    <mergeCell ref="E71:E72"/>
    <mergeCell ref="F71:F72"/>
    <mergeCell ref="G71:G72"/>
    <mergeCell ref="A71:A72"/>
    <mergeCell ref="B73:B74"/>
    <mergeCell ref="C73:C74"/>
    <mergeCell ref="D73:D74"/>
    <mergeCell ref="E73:E74"/>
    <mergeCell ref="F73:F74"/>
    <mergeCell ref="G73:G74"/>
    <mergeCell ref="A73:A74"/>
    <mergeCell ref="B76:B77"/>
    <mergeCell ref="C76:C77"/>
    <mergeCell ref="D76:D77"/>
    <mergeCell ref="E76:E77"/>
    <mergeCell ref="F76:F77"/>
    <mergeCell ref="G76:G77"/>
    <mergeCell ref="A76:A77"/>
    <mergeCell ref="B78:B79"/>
    <mergeCell ref="C78:C79"/>
    <mergeCell ref="D78:D79"/>
    <mergeCell ref="E78:E79"/>
    <mergeCell ref="F78:F79"/>
    <mergeCell ref="G78:G79"/>
    <mergeCell ref="A78:A79"/>
    <mergeCell ref="B80:B81"/>
    <mergeCell ref="C80:C81"/>
    <mergeCell ref="D80:D81"/>
    <mergeCell ref="E80:E81"/>
    <mergeCell ref="F80:F81"/>
    <mergeCell ref="G80:G81"/>
    <mergeCell ref="A80:A81"/>
    <mergeCell ref="B82:B83"/>
    <mergeCell ref="C82:C83"/>
    <mergeCell ref="D82:D83"/>
    <mergeCell ref="E82:E83"/>
    <mergeCell ref="F82:F83"/>
    <mergeCell ref="G82:G83"/>
    <mergeCell ref="A82:A83"/>
    <mergeCell ref="B84:B85"/>
    <mergeCell ref="C84:C85"/>
    <mergeCell ref="D84:D85"/>
    <mergeCell ref="E84:E85"/>
    <mergeCell ref="F84:F85"/>
    <mergeCell ref="G84:G85"/>
    <mergeCell ref="A84:A85"/>
    <mergeCell ref="B86:B87"/>
    <mergeCell ref="C86:C87"/>
    <mergeCell ref="D86:D87"/>
    <mergeCell ref="E86:E87"/>
    <mergeCell ref="F86:F87"/>
    <mergeCell ref="G86:G87"/>
    <mergeCell ref="A86:A87"/>
    <mergeCell ref="B88:B89"/>
    <mergeCell ref="C88:C89"/>
    <mergeCell ref="D88:D89"/>
    <mergeCell ref="E88:E89"/>
    <mergeCell ref="F88:F89"/>
    <mergeCell ref="G88:G89"/>
    <mergeCell ref="A88:A89"/>
    <mergeCell ref="B90:B91"/>
    <mergeCell ref="C90:C91"/>
    <mergeCell ref="D90:D91"/>
    <mergeCell ref="E90:E91"/>
    <mergeCell ref="F90:F91"/>
    <mergeCell ref="G90:G91"/>
    <mergeCell ref="A90:A91"/>
    <mergeCell ref="B92:B93"/>
    <mergeCell ref="C92:C93"/>
    <mergeCell ref="D92:D93"/>
    <mergeCell ref="E92:E93"/>
    <mergeCell ref="F92:F93"/>
    <mergeCell ref="G92:G93"/>
    <mergeCell ref="S67:S68"/>
    <mergeCell ref="T67:T68"/>
    <mergeCell ref="T59:T60"/>
    <mergeCell ref="U59:U60"/>
    <mergeCell ref="R65:R66"/>
    <mergeCell ref="S65:S66"/>
    <mergeCell ref="T65:T66"/>
    <mergeCell ref="U65:U66"/>
    <mergeCell ref="U67:U68"/>
    <mergeCell ref="R26:R27"/>
    <mergeCell ref="S26:S27"/>
    <mergeCell ref="T26:T27"/>
    <mergeCell ref="U26:U27"/>
    <mergeCell ref="S28:S29"/>
    <mergeCell ref="T28:T29"/>
    <mergeCell ref="U28:U29"/>
    <mergeCell ref="R28:R29"/>
    <mergeCell ref="R30:R31"/>
    <mergeCell ref="S30:S31"/>
    <mergeCell ref="T30:T31"/>
    <mergeCell ref="U30:U31"/>
    <mergeCell ref="R32:R33"/>
    <mergeCell ref="S32:S33"/>
    <mergeCell ref="R34:R35"/>
    <mergeCell ref="S34:S35"/>
    <mergeCell ref="T34:T35"/>
    <mergeCell ref="U34:U35"/>
    <mergeCell ref="S36:S37"/>
    <mergeCell ref="T36:T37"/>
    <mergeCell ref="U36:U37"/>
    <mergeCell ref="T40:T41"/>
    <mergeCell ref="U40:U41"/>
    <mergeCell ref="R36:R37"/>
    <mergeCell ref="R38:R39"/>
    <mergeCell ref="S38:S39"/>
    <mergeCell ref="T38:T39"/>
    <mergeCell ref="U38:U39"/>
    <mergeCell ref="R40:R41"/>
    <mergeCell ref="S40:S41"/>
    <mergeCell ref="T48:T49"/>
    <mergeCell ref="U48:U49"/>
    <mergeCell ref="S99:S100"/>
    <mergeCell ref="T99:T100"/>
    <mergeCell ref="R53:R54"/>
    <mergeCell ref="S53:S54"/>
    <mergeCell ref="T53:T54"/>
    <mergeCell ref="U53:U54"/>
    <mergeCell ref="S55:S56"/>
    <mergeCell ref="T55:T56"/>
    <mergeCell ref="U55:U56"/>
    <mergeCell ref="R55:R56"/>
    <mergeCell ref="R57:R58"/>
    <mergeCell ref="S57:S58"/>
    <mergeCell ref="T57:T58"/>
    <mergeCell ref="U57:U58"/>
    <mergeCell ref="R59:R60"/>
    <mergeCell ref="S59:S60"/>
    <mergeCell ref="T71:T72"/>
    <mergeCell ref="U71:U72"/>
    <mergeCell ref="R67:R68"/>
    <mergeCell ref="R69:R70"/>
    <mergeCell ref="S69:S70"/>
    <mergeCell ref="T69:T70"/>
    <mergeCell ref="U69:U70"/>
    <mergeCell ref="R71:R72"/>
    <mergeCell ref="S71:S72"/>
    <mergeCell ref="T78:T79"/>
    <mergeCell ref="U78:U79"/>
    <mergeCell ref="R73:R74"/>
    <mergeCell ref="S73:S74"/>
    <mergeCell ref="T73:T74"/>
    <mergeCell ref="U73:U74"/>
    <mergeCell ref="R76:R79"/>
    <mergeCell ref="T76:T77"/>
    <mergeCell ref="U76:U77"/>
    <mergeCell ref="S82:S83"/>
    <mergeCell ref="T82:T83"/>
    <mergeCell ref="S76:S77"/>
    <mergeCell ref="S78:S79"/>
    <mergeCell ref="R80:R81"/>
    <mergeCell ref="S80:S81"/>
    <mergeCell ref="T80:T81"/>
    <mergeCell ref="U80:U81"/>
    <mergeCell ref="U82:U83"/>
    <mergeCell ref="T86:T87"/>
    <mergeCell ref="U86:U87"/>
    <mergeCell ref="R82:R83"/>
    <mergeCell ref="R84:R85"/>
    <mergeCell ref="S84:S85"/>
    <mergeCell ref="T84:T85"/>
    <mergeCell ref="U84:U85"/>
    <mergeCell ref="R86:R87"/>
    <mergeCell ref="S86:S87"/>
    <mergeCell ref="R88:R89"/>
    <mergeCell ref="S88:S89"/>
    <mergeCell ref="T88:T89"/>
    <mergeCell ref="U88:U89"/>
    <mergeCell ref="S90:S91"/>
    <mergeCell ref="T90:T91"/>
    <mergeCell ref="U90:U91"/>
    <mergeCell ref="R90:R91"/>
    <mergeCell ref="R92:R93"/>
    <mergeCell ref="S92:S93"/>
    <mergeCell ref="T92:T93"/>
    <mergeCell ref="U92:U93"/>
    <mergeCell ref="R94:R95"/>
    <mergeCell ref="S94:S95"/>
    <mergeCell ref="S96:S97"/>
    <mergeCell ref="S101:S102"/>
    <mergeCell ref="T101:T102"/>
    <mergeCell ref="U101:U102"/>
    <mergeCell ref="R99:R106"/>
    <mergeCell ref="S105:S106"/>
    <mergeCell ref="R108:R113"/>
    <mergeCell ref="S108:S109"/>
    <mergeCell ref="S110:S111"/>
    <mergeCell ref="S112:S113"/>
    <mergeCell ref="T94:T95"/>
    <mergeCell ref="U94:U95"/>
    <mergeCell ref="R96:R97"/>
    <mergeCell ref="T96:T97"/>
    <mergeCell ref="U96:U97"/>
    <mergeCell ref="U99:U100"/>
    <mergeCell ref="U103:U104"/>
    <mergeCell ref="T110:T111"/>
    <mergeCell ref="T112:T113"/>
    <mergeCell ref="U112:U113"/>
    <mergeCell ref="M114:M115"/>
    <mergeCell ref="N114:N115"/>
    <mergeCell ref="Q114:Q115"/>
    <mergeCell ref="S103:S104"/>
    <mergeCell ref="T103:T104"/>
    <mergeCell ref="T105:T106"/>
    <mergeCell ref="U105:U106"/>
    <mergeCell ref="T108:T109"/>
    <mergeCell ref="U108:U109"/>
    <mergeCell ref="U110:U111"/>
  </mergeCells>
  <conditionalFormatting sqref="D22:D39 D50:D104 D107:D113">
    <cfRule type="expression" dxfId="0" priority="1">
      <formula>#REF!=TRUE</formula>
    </cfRule>
  </conditionalFormatting>
  <conditionalFormatting sqref="D22:D39 D50:D104 D107:D113">
    <cfRule type="expression" dxfId="1" priority="2">
      <formula>#REF!=TRUE</formula>
    </cfRule>
  </conditionalFormatting>
  <conditionalFormatting sqref="D22:D23 D38:D39 D59:D64 D75:D77 D80:D81 D88:D95 D98 D103:D104 D107 D117:D118 D122 D126">
    <cfRule type="expression" dxfId="0" priority="3">
      <formula>#REF!=TRUE</formula>
    </cfRule>
  </conditionalFormatting>
  <conditionalFormatting sqref="D22:D23 D38:D39 D59:D64 D75:D77 D80:D81 D88:D95 D98 D103:D104 D107 D117:D118 D122 D126">
    <cfRule type="expression" dxfId="1" priority="4">
      <formula>P22=TRUE</formula>
    </cfRule>
  </conditionalFormatting>
  <dataValidations>
    <dataValidation type="list" allowBlank="1" showErrorMessage="1" sqref="G22 G24 G26 G28 G30 G32 G34 G36 G38 G40 G42 G44 G46 G48 G52:G53 G55 G57 G59 G61 G63 G65 G67 G69 G71 G73 G76 G78 G80 G82 G84 G86 G88 G90 G92 G94 G96 G99 G101 G103 G105 G107:G108 G110 G112 G116:G125">
      <formula1>"Hồ Chí Minh,Đồng Nai,Bình Dương,Hải Dương,Hà Nội ,Hải Phòng,Sóc Trăng,Cần Thơ,Mass,Đồng Tháp"</formula1>
    </dataValidation>
    <dataValidation type="list" allowBlank="1" showErrorMessage="1" sqref="U22 U24 U26 U28 U30 U32 U34 U36 U38 U40 U42 U44 U46 U48 U52:U53 U55 U57 U59 U61 U63 U65 U67 U69 U71 U73 U75:U76 U78 U80 U82 U84 U86 U88 U90 U92 U94 U96 U98:U99 U101 U103 U105 U107:U108 U110 U112 U116:U125">
      <formula1>"Confirm,Không phù hợp,Đề xuất thêm"</formula1>
    </dataValidation>
    <dataValidation type="list" allowBlank="1" showErrorMessage="1" sqref="E22 E24 E26 E28 E30 E32 E34 E36 E38 E40 E42 E44 E46 E48 E52:E53 E55 E57 E59 E61 E63 E65 E67 E69 E71 E73 E76 E78 E80 E82 E84 E86 E88 E90 E92 E94 E96 E99 E101 E103 E105 E107:E108 E110 E112 E116:E125">
      <formula1>"Nano,Macro,Micro"</formula1>
    </dataValidation>
    <dataValidation type="list" allowBlank="1" showErrorMessage="1" sqref="C22 C24 C26 C28 C30 C32 C34 C36 C38 C40 C42 C44 C46 C48 C52:C53 C55 C57 C59 C61 C63 C65 C67 C69 C71 C73 C76 C78 C80 C82 C84 C86 C88 C90 C92 C94 C96 C99 C101 C103 C105 C107:C108 C110 C112 C116:C125">
      <formula1>"Tiktok,Facebook,Instagram,TikTok &amp; Facebook"</formula1>
    </dataValidation>
  </dataValidations>
  <hyperlinks>
    <hyperlink r:id="rId1" ref="F22"/>
    <hyperlink r:id="rId2" ref="H22"/>
    <hyperlink r:id="rId3" ref="F24"/>
    <hyperlink r:id="rId4" ref="H24"/>
    <hyperlink r:id="rId5" ref="F26"/>
    <hyperlink r:id="rId6" ref="H26"/>
    <hyperlink r:id="rId7" ref="F28"/>
    <hyperlink r:id="rId8" ref="H28"/>
    <hyperlink r:id="rId9" ref="F30"/>
    <hyperlink r:id="rId10" ref="H30"/>
    <hyperlink r:id="rId11" ref="F32"/>
    <hyperlink r:id="rId12" ref="H32"/>
    <hyperlink r:id="rId13" ref="S32"/>
    <hyperlink r:id="rId14" ref="F34"/>
    <hyperlink r:id="rId15" ref="H34"/>
    <hyperlink r:id="rId16" ref="F36"/>
    <hyperlink r:id="rId17" ref="H36"/>
    <hyperlink r:id="rId18" ref="F38"/>
    <hyperlink r:id="rId19" ref="H38"/>
    <hyperlink r:id="rId20" ref="F40"/>
    <hyperlink r:id="rId21" ref="H40"/>
    <hyperlink r:id="rId22" ref="F42"/>
    <hyperlink r:id="rId23" ref="H42"/>
    <hyperlink r:id="rId24" ref="F44"/>
    <hyperlink r:id="rId25" ref="H44"/>
    <hyperlink r:id="rId26" ref="F46"/>
    <hyperlink r:id="rId27" ref="H46"/>
    <hyperlink r:id="rId28" ref="F48"/>
    <hyperlink r:id="rId29" ref="H48"/>
    <hyperlink r:id="rId30" ref="F53"/>
    <hyperlink r:id="rId31" ref="H53"/>
    <hyperlink r:id="rId32" ref="F55"/>
    <hyperlink r:id="rId33" ref="H55"/>
    <hyperlink r:id="rId34" ref="F57"/>
    <hyperlink r:id="rId35" ref="H57"/>
    <hyperlink r:id="rId36" ref="F59"/>
    <hyperlink r:id="rId37" ref="H59"/>
    <hyperlink r:id="rId38" ref="F61"/>
    <hyperlink r:id="rId39" ref="H61"/>
    <hyperlink r:id="rId40" ref="F63"/>
    <hyperlink r:id="rId41" ref="H63"/>
    <hyperlink r:id="rId42" ref="F65"/>
    <hyperlink r:id="rId43" ref="H65"/>
    <hyperlink r:id="rId44" ref="F67"/>
    <hyperlink r:id="rId45" ref="H67"/>
    <hyperlink r:id="rId46" ref="F69"/>
    <hyperlink r:id="rId47" ref="H69"/>
    <hyperlink r:id="rId48" ref="F71"/>
    <hyperlink r:id="rId49" ref="H71"/>
    <hyperlink r:id="rId50" ref="F73"/>
    <hyperlink r:id="rId51" ref="H73"/>
    <hyperlink r:id="rId52" ref="F76"/>
    <hyperlink r:id="rId53" ref="H76"/>
    <hyperlink r:id="rId54" ref="F78"/>
    <hyperlink r:id="rId55" ref="H78"/>
    <hyperlink r:id="rId56" ref="F80"/>
    <hyperlink r:id="rId57" ref="H80"/>
    <hyperlink r:id="rId58" ref="F82"/>
    <hyperlink r:id="rId59" ref="H82"/>
    <hyperlink r:id="rId60" ref="F84"/>
    <hyperlink r:id="rId61" ref="H84"/>
    <hyperlink r:id="rId62" ref="F86"/>
    <hyperlink r:id="rId63" ref="H86"/>
    <hyperlink r:id="rId64" ref="F88"/>
    <hyperlink r:id="rId65" ref="H88"/>
    <hyperlink r:id="rId66" ref="F90"/>
    <hyperlink r:id="rId67" ref="H90"/>
    <hyperlink r:id="rId68" ref="F92"/>
    <hyperlink r:id="rId69" ref="H92"/>
    <hyperlink r:id="rId70" ref="F94"/>
    <hyperlink r:id="rId71" ref="H94"/>
    <hyperlink r:id="rId72" ref="F96"/>
    <hyperlink r:id="rId73" ref="H96"/>
    <hyperlink r:id="rId74" ref="F99"/>
    <hyperlink r:id="rId75" ref="H99"/>
    <hyperlink r:id="rId76" ref="F101"/>
    <hyperlink r:id="rId77" ref="H101"/>
    <hyperlink r:id="rId78" ref="F103"/>
    <hyperlink r:id="rId79" ref="H103"/>
    <hyperlink r:id="rId80" ref="F105"/>
    <hyperlink r:id="rId81" ref="H105"/>
    <hyperlink r:id="rId82" ref="F108"/>
    <hyperlink r:id="rId83" ref="H108"/>
    <hyperlink r:id="rId84" ref="F110"/>
    <hyperlink r:id="rId85" ref="H110"/>
    <hyperlink r:id="rId86" ref="F112"/>
    <hyperlink r:id="rId87" ref="H112"/>
    <hyperlink r:id="rId88" ref="F116"/>
    <hyperlink r:id="rId89" ref="F117"/>
    <hyperlink r:id="rId90" ref="F118"/>
    <hyperlink r:id="rId91" ref="F119"/>
    <hyperlink r:id="rId92" ref="F120"/>
    <hyperlink r:id="rId93" ref="F121"/>
    <hyperlink r:id="rId94" ref="F122"/>
    <hyperlink r:id="rId95" ref="F123"/>
    <hyperlink r:id="rId96" ref="F124"/>
    <hyperlink r:id="rId97" ref="F125"/>
  </hyperlinks>
  <drawing r:id="rId9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4.75"/>
    <col customWidth="1" min="4" max="4" width="15.25"/>
    <col customWidth="1" min="7" max="9" width="18.75"/>
    <col customWidth="1" min="12" max="12" width="59.25"/>
  </cols>
  <sheetData>
    <row r="1">
      <c r="A1" s="1089" t="s">
        <v>16</v>
      </c>
      <c r="B1" s="1090" t="s">
        <v>17</v>
      </c>
      <c r="C1" s="1091" t="s">
        <v>21</v>
      </c>
      <c r="D1" s="1091" t="s">
        <v>1862</v>
      </c>
      <c r="E1" s="1090" t="s">
        <v>18</v>
      </c>
      <c r="F1" s="1090" t="s">
        <v>19</v>
      </c>
      <c r="G1" s="1090" t="s">
        <v>1863</v>
      </c>
      <c r="H1" s="1090" t="s">
        <v>1864</v>
      </c>
      <c r="I1" s="1090" t="s">
        <v>1865</v>
      </c>
      <c r="J1" s="895" t="s">
        <v>1866</v>
      </c>
      <c r="K1" s="1092" t="s">
        <v>20</v>
      </c>
      <c r="L1" s="1092" t="s">
        <v>1867</v>
      </c>
      <c r="M1" s="671"/>
      <c r="N1" s="671"/>
      <c r="O1" s="671"/>
      <c r="P1" s="671"/>
      <c r="Q1" s="671"/>
      <c r="R1" s="671"/>
      <c r="S1" s="671"/>
      <c r="T1" s="671"/>
      <c r="U1" s="671"/>
      <c r="V1" s="671"/>
      <c r="W1" s="671"/>
      <c r="X1" s="671"/>
      <c r="Y1" s="671"/>
      <c r="Z1" s="671"/>
      <c r="AA1" s="671"/>
      <c r="AB1" s="671"/>
    </row>
    <row r="2" ht="33.75" customHeight="1">
      <c r="A2" s="1093">
        <v>1.0</v>
      </c>
      <c r="B2" s="1094" t="s">
        <v>129</v>
      </c>
      <c r="C2" s="1095" t="s">
        <v>131</v>
      </c>
      <c r="D2" s="1096" t="s">
        <v>1868</v>
      </c>
      <c r="E2" s="1097" t="s">
        <v>38</v>
      </c>
      <c r="F2" s="1098" t="s">
        <v>1869</v>
      </c>
      <c r="G2" s="1099" t="s">
        <v>1870</v>
      </c>
      <c r="H2" s="1099" t="s">
        <v>1871</v>
      </c>
      <c r="I2" s="1099" t="s">
        <v>1379</v>
      </c>
      <c r="J2" s="1100" t="s">
        <v>1872</v>
      </c>
      <c r="K2" s="1101"/>
      <c r="L2" s="1097" t="s">
        <v>1873</v>
      </c>
      <c r="M2" s="671"/>
      <c r="N2" s="671"/>
      <c r="O2" s="671"/>
      <c r="P2" s="671"/>
      <c r="Q2" s="671"/>
      <c r="R2" s="671"/>
      <c r="S2" s="671"/>
      <c r="T2" s="671"/>
      <c r="U2" s="671"/>
      <c r="V2" s="671"/>
      <c r="W2" s="671"/>
      <c r="X2" s="671"/>
      <c r="Y2" s="671"/>
      <c r="Z2" s="671"/>
      <c r="AA2" s="671"/>
      <c r="AB2" s="671"/>
    </row>
    <row r="3" ht="33.75" customHeight="1">
      <c r="A3" s="941"/>
      <c r="B3" s="942"/>
      <c r="C3" s="942"/>
      <c r="D3" s="942"/>
      <c r="E3" s="942"/>
      <c r="F3" s="942"/>
      <c r="G3" s="942"/>
      <c r="H3" s="942"/>
      <c r="I3" s="942"/>
      <c r="J3" s="1100" t="s">
        <v>1872</v>
      </c>
      <c r="K3" s="942"/>
      <c r="L3" s="942"/>
      <c r="M3" s="671"/>
      <c r="N3" s="671"/>
      <c r="O3" s="671"/>
      <c r="P3" s="671"/>
      <c r="Q3" s="671"/>
      <c r="R3" s="671"/>
      <c r="S3" s="671"/>
      <c r="T3" s="671"/>
      <c r="U3" s="671"/>
      <c r="V3" s="671"/>
      <c r="W3" s="671"/>
      <c r="X3" s="671"/>
      <c r="Y3" s="671"/>
      <c r="Z3" s="671"/>
      <c r="AA3" s="671"/>
      <c r="AB3" s="671"/>
    </row>
    <row r="4" ht="33.75" customHeight="1">
      <c r="A4" s="1093">
        <f>A2+1</f>
        <v>2</v>
      </c>
      <c r="B4" s="1102" t="s">
        <v>237</v>
      </c>
      <c r="C4" s="1095" t="s">
        <v>1874</v>
      </c>
      <c r="D4" s="1096" t="s">
        <v>1875</v>
      </c>
      <c r="E4" s="1097" t="s">
        <v>38</v>
      </c>
      <c r="F4" s="1098" t="s">
        <v>1876</v>
      </c>
      <c r="G4" s="1098" t="s">
        <v>1877</v>
      </c>
      <c r="H4" s="1098" t="s">
        <v>1878</v>
      </c>
      <c r="I4" s="1098" t="s">
        <v>1879</v>
      </c>
      <c r="J4" s="1100" t="s">
        <v>1872</v>
      </c>
      <c r="K4" s="1101"/>
      <c r="L4" s="1097" t="s">
        <v>1880</v>
      </c>
      <c r="M4" s="671"/>
      <c r="N4" s="671"/>
      <c r="O4" s="671"/>
      <c r="P4" s="671"/>
      <c r="Q4" s="671"/>
      <c r="R4" s="671"/>
      <c r="S4" s="671"/>
      <c r="T4" s="671"/>
      <c r="U4" s="671"/>
      <c r="V4" s="671"/>
      <c r="W4" s="671"/>
      <c r="X4" s="671"/>
      <c r="Y4" s="671"/>
      <c r="Z4" s="671"/>
      <c r="AA4" s="671"/>
      <c r="AB4" s="671"/>
    </row>
    <row r="5" ht="33.75" customHeight="1">
      <c r="A5" s="941"/>
      <c r="B5" s="942"/>
      <c r="C5" s="942"/>
      <c r="D5" s="942"/>
      <c r="E5" s="942"/>
      <c r="F5" s="942"/>
      <c r="G5" s="942"/>
      <c r="H5" s="942"/>
      <c r="I5" s="942"/>
      <c r="J5" s="1100" t="s">
        <v>1872</v>
      </c>
      <c r="K5" s="942"/>
      <c r="L5" s="942"/>
      <c r="M5" s="671"/>
      <c r="N5" s="671"/>
      <c r="O5" s="671"/>
      <c r="P5" s="671"/>
      <c r="Q5" s="671"/>
      <c r="R5" s="671"/>
      <c r="S5" s="671"/>
      <c r="T5" s="671"/>
      <c r="U5" s="671"/>
      <c r="V5" s="671"/>
      <c r="W5" s="671"/>
      <c r="X5" s="671"/>
      <c r="Y5" s="671"/>
      <c r="Z5" s="671"/>
      <c r="AA5" s="671"/>
      <c r="AB5" s="671"/>
    </row>
    <row r="6" ht="33.75" customHeight="1">
      <c r="A6" s="1093">
        <f>A4+1</f>
        <v>3</v>
      </c>
      <c r="B6" s="1102" t="s">
        <v>242</v>
      </c>
      <c r="C6" s="1103" t="s">
        <v>244</v>
      </c>
      <c r="D6" s="1096" t="s">
        <v>1881</v>
      </c>
      <c r="E6" s="1097" t="s">
        <v>38</v>
      </c>
      <c r="F6" s="1098" t="s">
        <v>1882</v>
      </c>
      <c r="G6" s="1098" t="s">
        <v>1883</v>
      </c>
      <c r="H6" s="1098" t="s">
        <v>1884</v>
      </c>
      <c r="I6" s="1098" t="s">
        <v>1379</v>
      </c>
      <c r="J6" s="1100" t="s">
        <v>1872</v>
      </c>
      <c r="K6" s="1101"/>
      <c r="L6" s="1097" t="s">
        <v>1885</v>
      </c>
      <c r="M6" s="671"/>
      <c r="N6" s="671"/>
      <c r="O6" s="671"/>
      <c r="P6" s="671"/>
      <c r="Q6" s="671"/>
      <c r="R6" s="671"/>
      <c r="S6" s="671"/>
      <c r="T6" s="671"/>
      <c r="U6" s="671"/>
      <c r="V6" s="671"/>
      <c r="W6" s="671"/>
      <c r="X6" s="671"/>
      <c r="Y6" s="671"/>
      <c r="Z6" s="671"/>
      <c r="AA6" s="671"/>
      <c r="AB6" s="671"/>
    </row>
    <row r="7" ht="33.75" customHeight="1">
      <c r="A7" s="941"/>
      <c r="B7" s="942"/>
      <c r="C7" s="942"/>
      <c r="D7" s="942"/>
      <c r="E7" s="942"/>
      <c r="F7" s="942"/>
      <c r="G7" s="942"/>
      <c r="H7" s="942"/>
      <c r="I7" s="942"/>
      <c r="J7" s="1100" t="s">
        <v>1872</v>
      </c>
      <c r="K7" s="942"/>
      <c r="L7" s="942"/>
      <c r="M7" s="671"/>
      <c r="N7" s="671"/>
      <c r="O7" s="671"/>
      <c r="P7" s="671"/>
      <c r="Q7" s="671"/>
      <c r="R7" s="671"/>
      <c r="S7" s="671"/>
      <c r="T7" s="671"/>
      <c r="U7" s="671"/>
      <c r="V7" s="671"/>
      <c r="W7" s="671"/>
      <c r="X7" s="671"/>
      <c r="Y7" s="671"/>
      <c r="Z7" s="671"/>
      <c r="AA7" s="671"/>
      <c r="AB7" s="671"/>
    </row>
    <row r="8" ht="33.75" customHeight="1">
      <c r="A8" s="1093">
        <f>A6+1</f>
        <v>4</v>
      </c>
      <c r="B8" s="1102" t="s">
        <v>110</v>
      </c>
      <c r="C8" s="1095" t="s">
        <v>112</v>
      </c>
      <c r="D8" s="1096" t="s">
        <v>1886</v>
      </c>
      <c r="E8" s="1104" t="s">
        <v>38</v>
      </c>
      <c r="F8" s="1105" t="s">
        <v>1887</v>
      </c>
      <c r="G8" s="1106" t="s">
        <v>1888</v>
      </c>
      <c r="H8" s="1098" t="s">
        <v>1889</v>
      </c>
      <c r="I8" s="1098" t="s">
        <v>1890</v>
      </c>
      <c r="J8" s="1100" t="s">
        <v>1872</v>
      </c>
      <c r="K8" s="1101"/>
      <c r="L8" s="1097" t="s">
        <v>1891</v>
      </c>
      <c r="M8" s="671"/>
      <c r="N8" s="671"/>
      <c r="O8" s="671"/>
      <c r="P8" s="671"/>
      <c r="Q8" s="671"/>
      <c r="R8" s="671"/>
      <c r="S8" s="671"/>
      <c r="T8" s="671"/>
      <c r="U8" s="671"/>
      <c r="V8" s="671"/>
      <c r="W8" s="671"/>
      <c r="X8" s="671"/>
      <c r="Y8" s="671"/>
      <c r="Z8" s="671"/>
      <c r="AA8" s="671"/>
      <c r="AB8" s="671"/>
    </row>
    <row r="9" ht="33.75" customHeight="1">
      <c r="A9" s="941"/>
      <c r="B9" s="942"/>
      <c r="C9" s="942"/>
      <c r="D9" s="942"/>
      <c r="E9" s="1025"/>
      <c r="F9" s="942"/>
      <c r="G9" s="186"/>
      <c r="H9" s="942"/>
      <c r="I9" s="942"/>
      <c r="J9" s="1100" t="s">
        <v>1872</v>
      </c>
      <c r="K9" s="942"/>
      <c r="L9" s="942"/>
      <c r="M9" s="671"/>
      <c r="N9" s="671"/>
      <c r="O9" s="671"/>
      <c r="P9" s="671"/>
      <c r="Q9" s="671"/>
      <c r="R9" s="671"/>
      <c r="S9" s="671"/>
      <c r="T9" s="671"/>
      <c r="U9" s="671"/>
      <c r="V9" s="671"/>
      <c r="W9" s="671"/>
      <c r="X9" s="671"/>
      <c r="Y9" s="671"/>
      <c r="Z9" s="671"/>
      <c r="AA9" s="671"/>
      <c r="AB9" s="671"/>
    </row>
    <row r="10" ht="33.75" customHeight="1">
      <c r="A10" s="1107">
        <f>A8+1</f>
        <v>5</v>
      </c>
      <c r="B10" s="1102" t="s">
        <v>254</v>
      </c>
      <c r="C10" s="1103" t="s">
        <v>256</v>
      </c>
      <c r="D10" s="1096" t="s">
        <v>1892</v>
      </c>
      <c r="E10" s="1097" t="s">
        <v>38</v>
      </c>
      <c r="F10" s="1108" t="s">
        <v>1893</v>
      </c>
      <c r="G10" s="1098" t="s">
        <v>1894</v>
      </c>
      <c r="H10" s="1098" t="s">
        <v>1895</v>
      </c>
      <c r="I10" s="1098" t="s">
        <v>1896</v>
      </c>
      <c r="J10" s="1100" t="s">
        <v>1872</v>
      </c>
      <c r="K10" s="1109"/>
      <c r="L10" s="1097" t="s">
        <v>1897</v>
      </c>
      <c r="M10" s="671"/>
      <c r="N10" s="671"/>
      <c r="O10" s="671"/>
      <c r="P10" s="671"/>
      <c r="Q10" s="671"/>
      <c r="R10" s="671"/>
      <c r="S10" s="671"/>
      <c r="T10" s="671"/>
      <c r="U10" s="671"/>
      <c r="V10" s="671"/>
      <c r="W10" s="671"/>
      <c r="X10" s="671"/>
      <c r="Y10" s="671"/>
      <c r="Z10" s="671"/>
      <c r="AA10" s="671"/>
      <c r="AB10" s="671"/>
    </row>
    <row r="11" ht="33.75" customHeight="1">
      <c r="A11" s="941"/>
      <c r="B11" s="942"/>
      <c r="C11" s="942"/>
      <c r="D11" s="942"/>
      <c r="E11" s="942"/>
      <c r="F11" s="942"/>
      <c r="G11" s="942"/>
      <c r="H11" s="942"/>
      <c r="I11" s="942"/>
      <c r="J11" s="1100" t="s">
        <v>1872</v>
      </c>
      <c r="K11" s="942"/>
      <c r="L11" s="942"/>
      <c r="M11" s="671"/>
      <c r="N11" s="671"/>
      <c r="O11" s="671"/>
      <c r="P11" s="671"/>
      <c r="Q11" s="671"/>
      <c r="R11" s="671"/>
      <c r="S11" s="671"/>
      <c r="T11" s="671"/>
      <c r="U11" s="671"/>
      <c r="V11" s="671"/>
      <c r="W11" s="671"/>
      <c r="X11" s="671"/>
      <c r="Y11" s="671"/>
      <c r="Z11" s="671"/>
      <c r="AA11" s="671"/>
      <c r="AB11" s="671"/>
    </row>
    <row r="12" ht="33.75" customHeight="1">
      <c r="A12" s="1107">
        <f>A10+1</f>
        <v>6</v>
      </c>
      <c r="B12" s="1102" t="s">
        <v>1898</v>
      </c>
      <c r="C12" s="1095" t="s">
        <v>119</v>
      </c>
      <c r="D12" s="1096" t="s">
        <v>1899</v>
      </c>
      <c r="E12" s="1097" t="s">
        <v>38</v>
      </c>
      <c r="F12" s="1110" t="s">
        <v>117</v>
      </c>
      <c r="G12" s="1110" t="s">
        <v>1900</v>
      </c>
      <c r="H12" s="1110" t="s">
        <v>1901</v>
      </c>
      <c r="I12" s="1110" t="s">
        <v>1902</v>
      </c>
      <c r="J12" s="1100" t="s">
        <v>1872</v>
      </c>
      <c r="K12" s="1101"/>
      <c r="L12" s="1097" t="s">
        <v>1903</v>
      </c>
      <c r="M12" s="671"/>
      <c r="N12" s="671"/>
      <c r="O12" s="671"/>
      <c r="P12" s="671"/>
      <c r="Q12" s="671"/>
      <c r="R12" s="671"/>
      <c r="S12" s="671"/>
      <c r="T12" s="671"/>
      <c r="U12" s="671"/>
      <c r="V12" s="671"/>
      <c r="W12" s="671"/>
      <c r="X12" s="671"/>
      <c r="Y12" s="671"/>
      <c r="Z12" s="671"/>
      <c r="AA12" s="671"/>
      <c r="AB12" s="671"/>
    </row>
    <row r="13" ht="33.75" customHeight="1">
      <c r="A13" s="1111"/>
      <c r="B13" s="1112"/>
      <c r="C13" s="942"/>
      <c r="D13" s="942"/>
      <c r="E13" s="942"/>
      <c r="F13" s="942"/>
      <c r="G13" s="942"/>
      <c r="H13" s="942"/>
      <c r="I13" s="942"/>
      <c r="J13" s="1100" t="s">
        <v>1872</v>
      </c>
      <c r="K13" s="942"/>
      <c r="L13" s="1113"/>
      <c r="M13" s="671"/>
      <c r="N13" s="671"/>
      <c r="O13" s="671"/>
      <c r="P13" s="671"/>
      <c r="Q13" s="671"/>
      <c r="R13" s="671"/>
      <c r="S13" s="671"/>
      <c r="T13" s="671"/>
      <c r="U13" s="671"/>
      <c r="V13" s="671"/>
      <c r="W13" s="671"/>
      <c r="X13" s="671"/>
      <c r="Y13" s="671"/>
      <c r="Z13" s="671"/>
      <c r="AA13" s="671"/>
      <c r="AB13" s="671"/>
    </row>
    <row r="14" ht="42.75" customHeight="1">
      <c r="A14" s="1114">
        <v>7.0</v>
      </c>
      <c r="B14" s="1115" t="s">
        <v>174</v>
      </c>
      <c r="C14" s="1103" t="s">
        <v>176</v>
      </c>
      <c r="D14" s="1096" t="s">
        <v>1904</v>
      </c>
      <c r="E14" s="1116" t="s">
        <v>38</v>
      </c>
      <c r="F14" s="1117" t="s">
        <v>1905</v>
      </c>
      <c r="G14" s="1117" t="s">
        <v>1906</v>
      </c>
      <c r="H14" s="1117" t="s">
        <v>1907</v>
      </c>
      <c r="I14" s="1117" t="s">
        <v>1908</v>
      </c>
      <c r="J14" s="1118" t="s">
        <v>136</v>
      </c>
      <c r="K14" s="1119"/>
      <c r="L14" s="1120" t="s">
        <v>1909</v>
      </c>
      <c r="M14" s="671"/>
      <c r="N14" s="671"/>
      <c r="O14" s="671"/>
      <c r="P14" s="671"/>
      <c r="Q14" s="671"/>
      <c r="R14" s="671"/>
      <c r="S14" s="671"/>
      <c r="T14" s="671"/>
      <c r="U14" s="671"/>
      <c r="V14" s="671"/>
      <c r="W14" s="671"/>
      <c r="X14" s="671"/>
      <c r="Y14" s="671"/>
      <c r="Z14" s="671"/>
      <c r="AA14" s="671"/>
      <c r="AB14" s="671"/>
    </row>
    <row r="15" ht="29.25" customHeight="1">
      <c r="A15" s="1121">
        <v>8.0</v>
      </c>
      <c r="B15" s="1094" t="s">
        <v>180</v>
      </c>
      <c r="C15" s="1095" t="s">
        <v>182</v>
      </c>
      <c r="D15" s="1096" t="s">
        <v>1910</v>
      </c>
      <c r="E15" s="1097" t="s">
        <v>38</v>
      </c>
      <c r="F15" s="1098" t="s">
        <v>1911</v>
      </c>
      <c r="G15" s="1098" t="s">
        <v>1912</v>
      </c>
      <c r="H15" s="1098" t="s">
        <v>1913</v>
      </c>
      <c r="I15" s="1098" t="s">
        <v>1908</v>
      </c>
      <c r="J15" s="1099" t="s">
        <v>1914</v>
      </c>
      <c r="K15" s="1122" t="s">
        <v>40</v>
      </c>
      <c r="L15" s="1097" t="s">
        <v>1915</v>
      </c>
      <c r="M15" s="671"/>
      <c r="N15" s="671"/>
      <c r="O15" s="671"/>
      <c r="P15" s="671"/>
      <c r="Q15" s="671"/>
      <c r="R15" s="671"/>
      <c r="S15" s="671"/>
      <c r="T15" s="671"/>
      <c r="U15" s="671"/>
      <c r="V15" s="671"/>
      <c r="W15" s="671"/>
      <c r="X15" s="671"/>
      <c r="Y15" s="671"/>
      <c r="Z15" s="671"/>
      <c r="AA15" s="671"/>
      <c r="AB15" s="671"/>
    </row>
    <row r="16" ht="29.25" customHeight="1">
      <c r="A16" s="941"/>
      <c r="B16" s="942"/>
      <c r="C16" s="942"/>
      <c r="D16" s="942"/>
      <c r="E16" s="942"/>
      <c r="F16" s="942"/>
      <c r="G16" s="942"/>
      <c r="H16" s="942"/>
      <c r="I16" s="942"/>
      <c r="J16" s="1118" t="s">
        <v>136</v>
      </c>
      <c r="K16" s="942"/>
      <c r="L16" s="942"/>
      <c r="M16" s="671"/>
      <c r="N16" s="671"/>
      <c r="O16" s="671"/>
      <c r="P16" s="671"/>
      <c r="Q16" s="671"/>
      <c r="R16" s="671"/>
      <c r="S16" s="671"/>
      <c r="T16" s="671"/>
      <c r="U16" s="671"/>
      <c r="V16" s="671"/>
      <c r="W16" s="671"/>
      <c r="X16" s="671"/>
      <c r="Y16" s="671"/>
      <c r="Z16" s="671"/>
      <c r="AA16" s="671"/>
      <c r="AB16" s="671"/>
    </row>
    <row r="17" ht="29.25" customHeight="1">
      <c r="A17" s="1121">
        <v>9.0</v>
      </c>
      <c r="B17" s="1102" t="s">
        <v>248</v>
      </c>
      <c r="C17" s="1095" t="s">
        <v>250</v>
      </c>
      <c r="D17" s="1096" t="s">
        <v>1916</v>
      </c>
      <c r="E17" s="1097" t="s">
        <v>38</v>
      </c>
      <c r="F17" s="1098" t="s">
        <v>1917</v>
      </c>
      <c r="G17" s="1098" t="s">
        <v>1918</v>
      </c>
      <c r="H17" s="1098" t="s">
        <v>1919</v>
      </c>
      <c r="I17" s="1098" t="s">
        <v>1920</v>
      </c>
      <c r="J17" s="1098" t="s">
        <v>1872</v>
      </c>
      <c r="K17" s="1122" t="s">
        <v>146</v>
      </c>
      <c r="L17" s="1097" t="s">
        <v>1921</v>
      </c>
      <c r="M17" s="671"/>
      <c r="N17" s="671"/>
      <c r="O17" s="671"/>
      <c r="P17" s="671"/>
      <c r="Q17" s="671"/>
      <c r="R17" s="671"/>
      <c r="S17" s="671"/>
      <c r="T17" s="671"/>
      <c r="U17" s="671"/>
      <c r="V17" s="671"/>
      <c r="W17" s="671"/>
      <c r="X17" s="671"/>
      <c r="Y17" s="671"/>
      <c r="Z17" s="671"/>
      <c r="AA17" s="671"/>
      <c r="AB17" s="671"/>
    </row>
    <row r="18" ht="29.25" customHeight="1">
      <c r="A18" s="941"/>
      <c r="B18" s="942"/>
      <c r="C18" s="942"/>
      <c r="D18" s="942"/>
      <c r="E18" s="942"/>
      <c r="F18" s="942"/>
      <c r="G18" s="942"/>
      <c r="H18" s="942"/>
      <c r="I18" s="942"/>
      <c r="J18" s="1098" t="s">
        <v>1872</v>
      </c>
      <c r="K18" s="942"/>
      <c r="L18" s="942"/>
      <c r="M18" s="671"/>
      <c r="N18" s="671"/>
      <c r="O18" s="671"/>
      <c r="P18" s="671"/>
      <c r="Q18" s="671"/>
      <c r="R18" s="671"/>
      <c r="S18" s="671"/>
      <c r="T18" s="671"/>
      <c r="U18" s="671"/>
      <c r="V18" s="671"/>
      <c r="W18" s="671"/>
      <c r="X18" s="671"/>
      <c r="Y18" s="671"/>
      <c r="Z18" s="671"/>
      <c r="AA18" s="671"/>
      <c r="AB18" s="671"/>
    </row>
    <row r="19" ht="29.25" customHeight="1">
      <c r="A19" s="1123">
        <v>10.0</v>
      </c>
      <c r="B19" s="1102" t="s">
        <v>1172</v>
      </c>
      <c r="C19" s="1095" t="s">
        <v>1174</v>
      </c>
      <c r="D19" s="1096" t="s">
        <v>1922</v>
      </c>
      <c r="E19" s="1097" t="s">
        <v>320</v>
      </c>
      <c r="F19" s="1098" t="s">
        <v>1923</v>
      </c>
      <c r="G19" s="1098" t="s">
        <v>1924</v>
      </c>
      <c r="H19" s="1098" t="s">
        <v>1924</v>
      </c>
      <c r="I19" s="1098" t="s">
        <v>1924</v>
      </c>
      <c r="J19" s="1124" t="s">
        <v>1872</v>
      </c>
      <c r="K19" s="1122" t="s">
        <v>146</v>
      </c>
      <c r="L19" s="1097" t="s">
        <v>1925</v>
      </c>
      <c r="M19" s="671"/>
      <c r="N19" s="671"/>
      <c r="O19" s="671"/>
      <c r="P19" s="671"/>
      <c r="Q19" s="671"/>
      <c r="R19" s="671"/>
      <c r="S19" s="671"/>
      <c r="T19" s="671"/>
      <c r="U19" s="671"/>
      <c r="V19" s="671"/>
      <c r="W19" s="671"/>
      <c r="X19" s="671"/>
      <c r="Y19" s="671"/>
      <c r="Z19" s="671"/>
      <c r="AA19" s="671"/>
      <c r="AB19" s="671"/>
    </row>
    <row r="20" ht="29.25" customHeight="1">
      <c r="A20" s="941"/>
      <c r="B20" s="942"/>
      <c r="C20" s="942"/>
      <c r="D20" s="942"/>
      <c r="E20" s="942"/>
      <c r="F20" s="942"/>
      <c r="G20" s="942"/>
      <c r="H20" s="942"/>
      <c r="I20" s="942"/>
      <c r="J20" s="1124" t="s">
        <v>1872</v>
      </c>
      <c r="K20" s="942"/>
      <c r="L20" s="942"/>
      <c r="M20" s="671"/>
      <c r="N20" s="671"/>
      <c r="O20" s="671"/>
      <c r="P20" s="671"/>
      <c r="Q20" s="671"/>
      <c r="R20" s="671"/>
      <c r="S20" s="671"/>
      <c r="T20" s="671"/>
      <c r="U20" s="671"/>
      <c r="V20" s="671"/>
      <c r="W20" s="671"/>
      <c r="X20" s="671"/>
      <c r="Y20" s="671"/>
      <c r="Z20" s="671"/>
      <c r="AA20" s="671"/>
      <c r="AB20" s="671"/>
    </row>
    <row r="21" ht="29.25" customHeight="1">
      <c r="A21" s="1123">
        <v>11.0</v>
      </c>
      <c r="B21" s="1102" t="s">
        <v>124</v>
      </c>
      <c r="C21" s="1095" t="s">
        <v>126</v>
      </c>
      <c r="D21" s="1096" t="s">
        <v>1926</v>
      </c>
      <c r="E21" s="1097" t="s">
        <v>1927</v>
      </c>
      <c r="F21" s="1110" t="s">
        <v>1928</v>
      </c>
      <c r="G21" s="1125">
        <v>0.0389</v>
      </c>
      <c r="H21" s="1110" t="s">
        <v>1929</v>
      </c>
      <c r="I21" s="1110" t="s">
        <v>1930</v>
      </c>
      <c r="J21" s="1099" t="s">
        <v>1914</v>
      </c>
      <c r="K21" s="1126" t="s">
        <v>40</v>
      </c>
      <c r="L21" s="1097" t="s">
        <v>1931</v>
      </c>
      <c r="M21" s="671"/>
      <c r="N21" s="671"/>
      <c r="O21" s="671"/>
      <c r="P21" s="671"/>
      <c r="Q21" s="671"/>
      <c r="R21" s="671"/>
      <c r="S21" s="671"/>
      <c r="T21" s="671"/>
      <c r="U21" s="671"/>
      <c r="V21" s="671"/>
      <c r="W21" s="671"/>
      <c r="X21" s="671"/>
      <c r="Y21" s="671"/>
      <c r="Z21" s="671"/>
      <c r="AA21" s="671"/>
      <c r="AB21" s="671"/>
    </row>
    <row r="22" ht="29.25" customHeight="1">
      <c r="A22" s="941"/>
      <c r="B22" s="942"/>
      <c r="C22" s="942"/>
      <c r="D22" s="942"/>
      <c r="E22" s="942"/>
      <c r="F22" s="942"/>
      <c r="G22" s="942"/>
      <c r="H22" s="942"/>
      <c r="I22" s="942"/>
      <c r="J22" s="1099" t="s">
        <v>1914</v>
      </c>
      <c r="K22" s="942"/>
      <c r="L22" s="942"/>
      <c r="M22" s="671"/>
      <c r="N22" s="671"/>
      <c r="O22" s="671"/>
      <c r="P22" s="671"/>
      <c r="Q22" s="671"/>
      <c r="R22" s="671"/>
      <c r="S22" s="671"/>
      <c r="T22" s="671"/>
      <c r="U22" s="671"/>
      <c r="V22" s="671"/>
      <c r="W22" s="671"/>
      <c r="X22" s="671"/>
      <c r="Y22" s="671"/>
      <c r="Z22" s="671"/>
      <c r="AA22" s="671"/>
      <c r="AB22" s="671"/>
    </row>
    <row r="23" ht="29.25" customHeight="1">
      <c r="A23" s="671"/>
      <c r="B23" s="671"/>
      <c r="C23" s="671"/>
      <c r="D23" s="671"/>
      <c r="E23" s="671"/>
      <c r="F23" s="671"/>
      <c r="G23" s="671"/>
      <c r="H23" s="671"/>
      <c r="I23" s="671"/>
      <c r="J23" s="671"/>
      <c r="K23" s="671"/>
      <c r="L23" s="671"/>
      <c r="M23" s="671"/>
      <c r="N23" s="671"/>
      <c r="O23" s="671"/>
      <c r="P23" s="671"/>
      <c r="Q23" s="671"/>
      <c r="R23" s="671"/>
      <c r="S23" s="671"/>
      <c r="T23" s="671"/>
      <c r="U23" s="671"/>
      <c r="V23" s="671"/>
      <c r="W23" s="671"/>
      <c r="X23" s="671"/>
      <c r="Y23" s="671"/>
      <c r="Z23" s="671"/>
      <c r="AA23" s="671"/>
      <c r="AB23" s="671"/>
    </row>
    <row r="24">
      <c r="A24" s="671"/>
      <c r="B24" s="1127" t="s">
        <v>174</v>
      </c>
      <c r="C24" s="1128" t="str">
        <f t="array" ref="C24">xlookup(B24,$B$2:$B$22,$J$2:$J$22,0,1)</f>
        <v>TP HCM</v>
      </c>
      <c r="D24" s="671"/>
      <c r="E24" s="671"/>
      <c r="F24" s="671"/>
      <c r="G24" s="671"/>
      <c r="H24" s="671"/>
      <c r="I24" s="671"/>
      <c r="J24" s="671"/>
      <c r="K24" s="671"/>
      <c r="L24" s="671"/>
      <c r="M24" s="671"/>
      <c r="N24" s="671"/>
      <c r="O24" s="671"/>
      <c r="P24" s="671"/>
      <c r="Q24" s="671"/>
      <c r="R24" s="671"/>
      <c r="S24" s="671"/>
      <c r="T24" s="671"/>
      <c r="U24" s="671"/>
      <c r="V24" s="671"/>
      <c r="W24" s="671"/>
      <c r="X24" s="671"/>
      <c r="Y24" s="671"/>
      <c r="Z24" s="671"/>
      <c r="AA24" s="671"/>
      <c r="AB24" s="671"/>
    </row>
    <row r="25">
      <c r="A25" s="671"/>
      <c r="B25" s="671"/>
      <c r="C25" s="671"/>
      <c r="D25" s="671"/>
      <c r="E25" s="671"/>
      <c r="F25" s="671"/>
      <c r="G25" s="671"/>
      <c r="H25" s="671"/>
      <c r="I25" s="671"/>
      <c r="J25" s="671"/>
      <c r="K25" s="671"/>
      <c r="L25" s="671"/>
      <c r="M25" s="671"/>
      <c r="N25" s="671"/>
      <c r="O25" s="671"/>
      <c r="P25" s="671"/>
      <c r="Q25" s="671"/>
      <c r="R25" s="671"/>
      <c r="S25" s="671"/>
      <c r="T25" s="671"/>
      <c r="U25" s="671"/>
      <c r="V25" s="671"/>
      <c r="W25" s="671"/>
      <c r="X25" s="671"/>
      <c r="Y25" s="671"/>
      <c r="Z25" s="671"/>
      <c r="AA25" s="671"/>
      <c r="AB25" s="671"/>
    </row>
    <row r="26">
      <c r="A26" s="671"/>
      <c r="B26" s="1127" t="s">
        <v>237</v>
      </c>
      <c r="C26" s="1128" t="str">
        <f t="array" ref="C26">xlookup(B26,$B$2:$B$22,$J$2:$J$22,0,1)</f>
        <v>Hà Nội</v>
      </c>
      <c r="D26" s="671"/>
      <c r="E26" s="671"/>
      <c r="F26" s="671"/>
      <c r="G26" s="671"/>
      <c r="H26" s="671"/>
      <c r="I26" s="671"/>
      <c r="J26" s="671"/>
      <c r="K26" s="671"/>
      <c r="L26" s="671"/>
      <c r="M26" s="671"/>
      <c r="N26" s="671"/>
      <c r="O26" s="671"/>
      <c r="P26" s="671"/>
      <c r="Q26" s="671"/>
      <c r="R26" s="671"/>
      <c r="S26" s="671"/>
      <c r="T26" s="671"/>
      <c r="U26" s="671"/>
      <c r="V26" s="671"/>
      <c r="W26" s="671"/>
      <c r="X26" s="671"/>
      <c r="Y26" s="671"/>
      <c r="Z26" s="671"/>
      <c r="AA26" s="671"/>
      <c r="AB26" s="671"/>
    </row>
    <row r="27">
      <c r="A27" s="671"/>
      <c r="B27" s="671"/>
      <c r="C27" s="671"/>
      <c r="D27" s="671"/>
      <c r="E27" s="671"/>
      <c r="F27" s="671"/>
      <c r="G27" s="671"/>
      <c r="H27" s="671"/>
      <c r="I27" s="671"/>
      <c r="J27" s="671"/>
      <c r="K27" s="671"/>
      <c r="L27" s="671"/>
      <c r="M27" s="671"/>
      <c r="N27" s="671"/>
      <c r="O27" s="671"/>
      <c r="P27" s="671"/>
      <c r="Q27" s="671"/>
      <c r="R27" s="671"/>
      <c r="S27" s="671"/>
      <c r="T27" s="671"/>
      <c r="U27" s="671"/>
      <c r="V27" s="671"/>
      <c r="W27" s="671"/>
      <c r="X27" s="671"/>
      <c r="Y27" s="671"/>
      <c r="Z27" s="671"/>
      <c r="AA27" s="671"/>
      <c r="AB27" s="671"/>
    </row>
    <row r="28">
      <c r="A28" s="671"/>
      <c r="B28" s="1127" t="s">
        <v>180</v>
      </c>
      <c r="C28" s="1128" t="str">
        <f t="array" ref="C28">xlookup(B28,$B$2:$B$22,$J$2:$J$22,0,1)</f>
        <v>TPHCM</v>
      </c>
      <c r="D28" s="671"/>
      <c r="E28" s="671"/>
      <c r="F28" s="671"/>
      <c r="G28" s="671"/>
      <c r="H28" s="671"/>
      <c r="I28" s="671"/>
      <c r="J28" s="671"/>
      <c r="K28" s="671"/>
      <c r="L28" s="671"/>
      <c r="M28" s="671"/>
      <c r="N28" s="671"/>
      <c r="O28" s="671"/>
      <c r="P28" s="671"/>
      <c r="Q28" s="671"/>
      <c r="R28" s="671"/>
      <c r="S28" s="671"/>
      <c r="T28" s="671"/>
      <c r="U28" s="671"/>
      <c r="V28" s="671"/>
      <c r="W28" s="671"/>
      <c r="X28" s="671"/>
      <c r="Y28" s="671"/>
      <c r="Z28" s="671"/>
      <c r="AA28" s="671"/>
      <c r="AB28" s="671"/>
    </row>
    <row r="29">
      <c r="A29" s="671"/>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671"/>
      <c r="AA29" s="671"/>
      <c r="AB29" s="671"/>
    </row>
    <row r="30">
      <c r="A30" s="671"/>
      <c r="B30" s="1127" t="s">
        <v>1932</v>
      </c>
      <c r="C30" s="1128" t="str">
        <f t="array" ref="C30">xlookup(B30,$B$2:$B$22,$J$2:$J$22,0,1)</f>
        <v>Hà Nội</v>
      </c>
      <c r="D30" s="671"/>
      <c r="E30" s="671"/>
      <c r="F30" s="671"/>
      <c r="G30" s="671"/>
      <c r="H30" s="671"/>
      <c r="I30" s="671"/>
      <c r="J30" s="671"/>
      <c r="K30" s="671"/>
      <c r="L30" s="671"/>
      <c r="M30" s="671"/>
      <c r="N30" s="671"/>
      <c r="O30" s="671"/>
      <c r="P30" s="671"/>
      <c r="Q30" s="671"/>
      <c r="R30" s="671"/>
      <c r="S30" s="671"/>
      <c r="T30" s="671"/>
      <c r="U30" s="671"/>
      <c r="V30" s="671"/>
      <c r="W30" s="671"/>
      <c r="X30" s="671"/>
      <c r="Y30" s="671"/>
      <c r="Z30" s="671"/>
      <c r="AA30" s="671"/>
      <c r="AB30" s="671"/>
    </row>
    <row r="31">
      <c r="A31" s="671"/>
      <c r="B31" s="671"/>
      <c r="C31" s="671"/>
      <c r="D31" s="671"/>
      <c r="E31" s="671"/>
      <c r="F31" s="671"/>
      <c r="G31" s="671"/>
      <c r="H31" s="671"/>
      <c r="I31" s="671"/>
      <c r="J31" s="671"/>
      <c r="K31" s="671"/>
      <c r="L31" s="671"/>
      <c r="M31" s="671"/>
      <c r="N31" s="671"/>
      <c r="O31" s="671"/>
      <c r="P31" s="671"/>
      <c r="Q31" s="671"/>
      <c r="R31" s="671"/>
      <c r="S31" s="671"/>
      <c r="T31" s="671"/>
      <c r="U31" s="671"/>
      <c r="V31" s="671"/>
      <c r="W31" s="671"/>
      <c r="X31" s="671"/>
      <c r="Y31" s="671"/>
      <c r="Z31" s="671"/>
      <c r="AA31" s="671"/>
      <c r="AB31" s="671"/>
    </row>
    <row r="32">
      <c r="A32" s="671"/>
      <c r="B32" s="1127" t="s">
        <v>248</v>
      </c>
      <c r="C32" s="1128" t="str">
        <f t="array" ref="C32">xlookup(B32,$B$2:$B$22,$J$2:$J$22,0,1)</f>
        <v>Hà Nội</v>
      </c>
      <c r="D32" s="671"/>
      <c r="E32" s="671"/>
      <c r="F32" s="671"/>
      <c r="G32" s="671"/>
      <c r="H32" s="671"/>
      <c r="I32" s="671"/>
      <c r="J32" s="671"/>
      <c r="K32" s="671"/>
      <c r="L32" s="671"/>
      <c r="M32" s="671"/>
      <c r="N32" s="671"/>
      <c r="O32" s="671"/>
      <c r="P32" s="671"/>
      <c r="Q32" s="671"/>
      <c r="R32" s="671"/>
      <c r="S32" s="671"/>
      <c r="T32" s="671"/>
      <c r="U32" s="671"/>
      <c r="V32" s="671"/>
      <c r="W32" s="671"/>
      <c r="X32" s="671"/>
      <c r="Y32" s="671"/>
      <c r="Z32" s="671"/>
      <c r="AA32" s="671"/>
      <c r="AB32" s="671"/>
    </row>
    <row r="33">
      <c r="A33" s="671"/>
      <c r="B33" s="671"/>
      <c r="C33" s="671"/>
      <c r="D33" s="671"/>
      <c r="E33" s="671"/>
      <c r="F33" s="671"/>
      <c r="G33" s="671"/>
      <c r="H33" s="671"/>
      <c r="I33" s="671"/>
      <c r="J33" s="671"/>
      <c r="K33" s="671"/>
      <c r="L33" s="671"/>
      <c r="M33" s="671"/>
      <c r="N33" s="671"/>
      <c r="O33" s="671"/>
      <c r="P33" s="671"/>
      <c r="Q33" s="671"/>
      <c r="R33" s="671"/>
      <c r="S33" s="671"/>
      <c r="T33" s="671"/>
      <c r="U33" s="671"/>
      <c r="V33" s="671"/>
      <c r="W33" s="671"/>
      <c r="X33" s="671"/>
      <c r="Y33" s="671"/>
      <c r="Z33" s="671"/>
      <c r="AA33" s="671"/>
      <c r="AB33" s="671"/>
    </row>
    <row r="34">
      <c r="A34" s="671"/>
      <c r="B34" s="1127" t="s">
        <v>254</v>
      </c>
      <c r="C34" s="1128" t="str">
        <f t="array" ref="C34">xlookup(B34,$B$2:$B$22,$J$2:$J$22,0,1)</f>
        <v>Hà Nội</v>
      </c>
      <c r="D34" s="671"/>
      <c r="E34" s="671"/>
      <c r="F34" s="671"/>
      <c r="G34" s="671"/>
      <c r="H34" s="671"/>
      <c r="I34" s="671"/>
      <c r="J34" s="671"/>
      <c r="K34" s="671"/>
      <c r="L34" s="671"/>
      <c r="M34" s="671"/>
      <c r="N34" s="671"/>
      <c r="O34" s="671"/>
      <c r="P34" s="671"/>
      <c r="Q34" s="671"/>
      <c r="R34" s="671"/>
      <c r="S34" s="671"/>
      <c r="T34" s="671"/>
      <c r="U34" s="671"/>
      <c r="V34" s="671"/>
      <c r="W34" s="671"/>
      <c r="X34" s="671"/>
      <c r="Y34" s="671"/>
      <c r="Z34" s="671"/>
      <c r="AA34" s="671"/>
      <c r="AB34" s="671"/>
    </row>
    <row r="35">
      <c r="A35" s="671"/>
      <c r="B35" s="671"/>
      <c r="C35" s="671"/>
      <c r="D35" s="671"/>
      <c r="E35" s="671"/>
      <c r="F35" s="671"/>
      <c r="G35" s="671"/>
      <c r="H35" s="671"/>
      <c r="I35" s="671"/>
      <c r="J35" s="671"/>
      <c r="K35" s="671"/>
      <c r="L35" s="671"/>
      <c r="M35" s="671"/>
      <c r="N35" s="671"/>
      <c r="O35" s="671"/>
      <c r="P35" s="671"/>
      <c r="Q35" s="671"/>
      <c r="R35" s="671"/>
      <c r="S35" s="671"/>
      <c r="T35" s="671"/>
      <c r="U35" s="671"/>
      <c r="V35" s="671"/>
      <c r="W35" s="671"/>
      <c r="X35" s="671"/>
      <c r="Y35" s="671"/>
      <c r="Z35" s="671"/>
      <c r="AA35" s="671"/>
      <c r="AB35" s="671"/>
    </row>
    <row r="36">
      <c r="A36" s="671"/>
      <c r="B36" s="671"/>
      <c r="C36" s="671"/>
      <c r="D36" s="671"/>
      <c r="E36" s="671"/>
      <c r="F36" s="671"/>
      <c r="G36" s="671"/>
      <c r="H36" s="671"/>
      <c r="I36" s="671"/>
      <c r="J36" s="671"/>
      <c r="K36" s="671"/>
      <c r="L36" s="671"/>
      <c r="M36" s="671"/>
      <c r="N36" s="671"/>
      <c r="O36" s="671"/>
      <c r="P36" s="671"/>
      <c r="Q36" s="671"/>
      <c r="R36" s="671"/>
      <c r="S36" s="671"/>
      <c r="T36" s="671"/>
      <c r="U36" s="671"/>
      <c r="V36" s="671"/>
      <c r="W36" s="671"/>
      <c r="X36" s="671"/>
      <c r="Y36" s="671"/>
      <c r="Z36" s="671"/>
      <c r="AA36" s="671"/>
      <c r="AB36" s="671"/>
    </row>
    <row r="37">
      <c r="A37" s="671"/>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671"/>
      <c r="AA37" s="671"/>
      <c r="AB37" s="671"/>
    </row>
    <row r="38">
      <c r="A38" s="671"/>
      <c r="B38" s="671"/>
      <c r="C38" s="671"/>
      <c r="D38" s="671"/>
      <c r="E38" s="671"/>
      <c r="F38" s="671"/>
      <c r="G38" s="671"/>
      <c r="H38" s="671"/>
      <c r="I38" s="671"/>
      <c r="J38" s="671"/>
      <c r="K38" s="671"/>
      <c r="L38" s="671"/>
      <c r="M38" s="671"/>
      <c r="N38" s="671"/>
      <c r="O38" s="671"/>
      <c r="P38" s="671"/>
      <c r="Q38" s="671"/>
      <c r="R38" s="671"/>
      <c r="S38" s="671"/>
      <c r="T38" s="671"/>
      <c r="U38" s="671"/>
      <c r="V38" s="671"/>
      <c r="W38" s="671"/>
      <c r="X38" s="671"/>
      <c r="Y38" s="671"/>
      <c r="Z38" s="671"/>
      <c r="AA38" s="671"/>
      <c r="AB38" s="671"/>
    </row>
    <row r="39">
      <c r="A39" s="671"/>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671"/>
      <c r="AA39" s="671"/>
      <c r="AB39" s="671"/>
    </row>
    <row r="40">
      <c r="A40" s="671"/>
      <c r="B40" s="671"/>
      <c r="C40" s="671"/>
      <c r="D40" s="671"/>
      <c r="E40" s="671"/>
      <c r="F40" s="671"/>
      <c r="G40" s="671"/>
      <c r="H40" s="671"/>
      <c r="I40" s="671"/>
      <c r="J40" s="671"/>
      <c r="K40" s="671"/>
      <c r="L40" s="671"/>
      <c r="M40" s="671"/>
      <c r="N40" s="671"/>
      <c r="O40" s="671"/>
      <c r="P40" s="671"/>
      <c r="Q40" s="671"/>
      <c r="R40" s="671"/>
      <c r="S40" s="671"/>
      <c r="T40" s="671"/>
      <c r="U40" s="671"/>
      <c r="V40" s="671"/>
      <c r="W40" s="671"/>
      <c r="X40" s="671"/>
      <c r="Y40" s="671"/>
      <c r="Z40" s="671"/>
      <c r="AA40" s="671"/>
      <c r="AB40" s="671"/>
    </row>
    <row r="41">
      <c r="A41" s="671"/>
      <c r="B41" s="671"/>
      <c r="C41" s="671"/>
      <c r="D41" s="671"/>
      <c r="E41" s="671"/>
      <c r="F41" s="671"/>
      <c r="G41" s="671"/>
      <c r="H41" s="671"/>
      <c r="I41" s="671"/>
      <c r="J41" s="671"/>
      <c r="K41" s="671"/>
      <c r="L41" s="671"/>
      <c r="M41" s="671"/>
      <c r="N41" s="671"/>
      <c r="O41" s="671"/>
      <c r="P41" s="671"/>
      <c r="Q41" s="671"/>
      <c r="R41" s="671"/>
      <c r="S41" s="671"/>
      <c r="T41" s="671"/>
      <c r="U41" s="671"/>
      <c r="V41" s="671"/>
      <c r="W41" s="671"/>
      <c r="X41" s="671"/>
      <c r="Y41" s="671"/>
      <c r="Z41" s="671"/>
      <c r="AA41" s="671"/>
      <c r="AB41" s="671"/>
    </row>
    <row r="42">
      <c r="A42" s="671"/>
      <c r="B42" s="671"/>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671"/>
      <c r="AA42" s="671"/>
      <c r="AB42" s="671"/>
    </row>
    <row r="43">
      <c r="A43" s="671"/>
      <c r="B43" s="671"/>
      <c r="C43" s="671"/>
      <c r="D43" s="671"/>
      <c r="E43" s="671"/>
      <c r="F43" s="671"/>
      <c r="G43" s="671"/>
      <c r="H43" s="671"/>
      <c r="I43" s="671"/>
      <c r="J43" s="671"/>
      <c r="K43" s="671"/>
      <c r="L43" s="671"/>
      <c r="M43" s="671"/>
      <c r="N43" s="671"/>
      <c r="O43" s="671"/>
      <c r="P43" s="671"/>
      <c r="Q43" s="671"/>
      <c r="R43" s="671"/>
      <c r="S43" s="671"/>
      <c r="T43" s="671"/>
      <c r="U43" s="671"/>
      <c r="V43" s="671"/>
      <c r="W43" s="671"/>
      <c r="X43" s="671"/>
      <c r="Y43" s="671"/>
      <c r="Z43" s="671"/>
      <c r="AA43" s="671"/>
      <c r="AB43" s="671"/>
    </row>
    <row r="44">
      <c r="A44" s="671"/>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671"/>
      <c r="AA44" s="671"/>
      <c r="AB44" s="671"/>
    </row>
    <row r="45">
      <c r="A45" s="671"/>
      <c r="B45" s="671"/>
      <c r="C45" s="671"/>
      <c r="D45" s="671"/>
      <c r="E45" s="671"/>
      <c r="F45" s="671"/>
      <c r="G45" s="671"/>
      <c r="H45" s="671"/>
      <c r="I45" s="671"/>
      <c r="J45" s="671"/>
      <c r="K45" s="671"/>
      <c r="L45" s="671"/>
      <c r="M45" s="671"/>
      <c r="N45" s="671"/>
      <c r="O45" s="671"/>
      <c r="P45" s="671"/>
      <c r="Q45" s="671"/>
      <c r="R45" s="671"/>
      <c r="S45" s="671"/>
      <c r="T45" s="671"/>
      <c r="U45" s="671"/>
      <c r="V45" s="671"/>
      <c r="W45" s="671"/>
      <c r="X45" s="671"/>
      <c r="Y45" s="671"/>
      <c r="Z45" s="671"/>
      <c r="AA45" s="671"/>
      <c r="AB45" s="671"/>
    </row>
    <row r="46">
      <c r="A46" s="671"/>
      <c r="B46" s="671"/>
      <c r="C46" s="671"/>
      <c r="D46" s="671"/>
      <c r="E46" s="671"/>
      <c r="F46" s="671"/>
      <c r="G46" s="671"/>
      <c r="H46" s="671"/>
      <c r="I46" s="671"/>
      <c r="J46" s="671"/>
      <c r="K46" s="671"/>
      <c r="L46" s="671"/>
      <c r="M46" s="671"/>
      <c r="N46" s="671"/>
      <c r="O46" s="671"/>
      <c r="P46" s="671"/>
      <c r="Q46" s="671"/>
      <c r="R46" s="671"/>
      <c r="S46" s="671"/>
      <c r="T46" s="671"/>
      <c r="U46" s="671"/>
      <c r="V46" s="671"/>
      <c r="W46" s="671"/>
      <c r="X46" s="671"/>
      <c r="Y46" s="671"/>
      <c r="Z46" s="671"/>
      <c r="AA46" s="671"/>
      <c r="AB46" s="671"/>
    </row>
    <row r="47">
      <c r="A47" s="671"/>
      <c r="B47" s="671"/>
      <c r="C47" s="671"/>
      <c r="D47" s="671"/>
      <c r="E47" s="671"/>
      <c r="F47" s="671"/>
      <c r="G47" s="671"/>
      <c r="H47" s="671"/>
      <c r="I47" s="671"/>
      <c r="J47" s="671"/>
      <c r="K47" s="671"/>
      <c r="L47" s="671"/>
      <c r="M47" s="671"/>
      <c r="N47" s="671"/>
      <c r="O47" s="671"/>
      <c r="P47" s="671"/>
      <c r="Q47" s="671"/>
      <c r="R47" s="671"/>
      <c r="S47" s="671"/>
      <c r="T47" s="671"/>
      <c r="U47" s="671"/>
      <c r="V47" s="671"/>
      <c r="W47" s="671"/>
      <c r="X47" s="671"/>
      <c r="Y47" s="671"/>
      <c r="Z47" s="671"/>
      <c r="AA47" s="671"/>
      <c r="AB47" s="671"/>
    </row>
    <row r="48">
      <c r="A48" s="671"/>
      <c r="B48" s="671"/>
      <c r="C48" s="671"/>
      <c r="D48" s="671"/>
      <c r="E48" s="671"/>
      <c r="F48" s="671"/>
      <c r="G48" s="671"/>
      <c r="H48" s="671"/>
      <c r="I48" s="671"/>
      <c r="J48" s="671"/>
      <c r="K48" s="671"/>
      <c r="L48" s="671"/>
      <c r="M48" s="671"/>
      <c r="N48" s="671"/>
      <c r="O48" s="671"/>
      <c r="P48" s="671"/>
      <c r="Q48" s="671"/>
      <c r="R48" s="671"/>
      <c r="S48" s="671"/>
      <c r="T48" s="671"/>
      <c r="U48" s="671"/>
      <c r="V48" s="671"/>
      <c r="W48" s="671"/>
      <c r="X48" s="671"/>
      <c r="Y48" s="671"/>
      <c r="Z48" s="671"/>
      <c r="AA48" s="671"/>
      <c r="AB48" s="671"/>
    </row>
    <row r="49">
      <c r="A49" s="671"/>
      <c r="B49" s="671"/>
      <c r="C49" s="671"/>
      <c r="D49" s="671"/>
      <c r="E49" s="671"/>
      <c r="F49" s="671"/>
      <c r="G49" s="671"/>
      <c r="H49" s="671"/>
      <c r="I49" s="671"/>
      <c r="J49" s="671"/>
      <c r="K49" s="671"/>
      <c r="L49" s="671"/>
      <c r="M49" s="671"/>
      <c r="N49" s="671"/>
      <c r="O49" s="671"/>
      <c r="P49" s="671"/>
      <c r="Q49" s="671"/>
      <c r="R49" s="671"/>
      <c r="S49" s="671"/>
      <c r="T49" s="671"/>
      <c r="U49" s="671"/>
      <c r="V49" s="671"/>
      <c r="W49" s="671"/>
      <c r="X49" s="671"/>
      <c r="Y49" s="671"/>
      <c r="Z49" s="671"/>
      <c r="AA49" s="671"/>
      <c r="AB49" s="671"/>
    </row>
    <row r="50">
      <c r="A50" s="671"/>
      <c r="B50" s="671"/>
      <c r="C50" s="671"/>
      <c r="D50" s="671"/>
      <c r="E50" s="671"/>
      <c r="F50" s="671"/>
      <c r="G50" s="671"/>
      <c r="H50" s="671"/>
      <c r="I50" s="671"/>
      <c r="J50" s="671"/>
      <c r="K50" s="671"/>
      <c r="L50" s="671"/>
      <c r="M50" s="671"/>
      <c r="N50" s="671"/>
      <c r="O50" s="671"/>
      <c r="P50" s="671"/>
      <c r="Q50" s="671"/>
      <c r="R50" s="671"/>
      <c r="S50" s="671"/>
      <c r="T50" s="671"/>
      <c r="U50" s="671"/>
      <c r="V50" s="671"/>
      <c r="W50" s="671"/>
      <c r="X50" s="671"/>
      <c r="Y50" s="671"/>
      <c r="Z50" s="671"/>
      <c r="AA50" s="671"/>
      <c r="AB50" s="671"/>
    </row>
    <row r="51">
      <c r="A51" s="671"/>
      <c r="B51" s="671"/>
      <c r="C51" s="671"/>
      <c r="D51" s="671"/>
      <c r="E51" s="671"/>
      <c r="F51" s="671"/>
      <c r="G51" s="671"/>
      <c r="H51" s="671"/>
      <c r="I51" s="671"/>
      <c r="J51" s="671"/>
      <c r="K51" s="671"/>
      <c r="L51" s="671"/>
      <c r="M51" s="671"/>
      <c r="N51" s="671"/>
      <c r="O51" s="671"/>
      <c r="P51" s="671"/>
      <c r="Q51" s="671"/>
      <c r="R51" s="671"/>
      <c r="S51" s="671"/>
      <c r="T51" s="671"/>
      <c r="U51" s="671"/>
      <c r="V51" s="671"/>
      <c r="W51" s="671"/>
      <c r="X51" s="671"/>
      <c r="Y51" s="671"/>
      <c r="Z51" s="671"/>
      <c r="AA51" s="671"/>
      <c r="AB51" s="671"/>
    </row>
    <row r="52">
      <c r="A52" s="671"/>
      <c r="B52" s="671"/>
      <c r="C52" s="671"/>
      <c r="D52" s="671"/>
      <c r="E52" s="671"/>
      <c r="F52" s="671"/>
      <c r="G52" s="671"/>
      <c r="H52" s="671"/>
      <c r="I52" s="671"/>
      <c r="J52" s="671"/>
      <c r="K52" s="671"/>
      <c r="L52" s="671"/>
      <c r="M52" s="671"/>
      <c r="N52" s="671"/>
      <c r="O52" s="671"/>
      <c r="P52" s="671"/>
      <c r="Q52" s="671"/>
      <c r="R52" s="671"/>
      <c r="S52" s="671"/>
      <c r="T52" s="671"/>
      <c r="U52" s="671"/>
      <c r="V52" s="671"/>
      <c r="W52" s="671"/>
      <c r="X52" s="671"/>
      <c r="Y52" s="671"/>
      <c r="Z52" s="671"/>
      <c r="AA52" s="671"/>
      <c r="AB52" s="671"/>
    </row>
    <row r="53">
      <c r="A53" s="671"/>
      <c r="B53" s="671"/>
      <c r="C53" s="671"/>
      <c r="D53" s="671"/>
      <c r="E53" s="671"/>
      <c r="F53" s="671"/>
      <c r="G53" s="671"/>
      <c r="H53" s="671"/>
      <c r="I53" s="671"/>
      <c r="J53" s="671"/>
      <c r="K53" s="671"/>
      <c r="L53" s="671"/>
      <c r="M53" s="671"/>
      <c r="N53" s="671"/>
      <c r="O53" s="671"/>
      <c r="P53" s="671"/>
      <c r="Q53" s="671"/>
      <c r="R53" s="671"/>
      <c r="S53" s="671"/>
      <c r="T53" s="671"/>
      <c r="U53" s="671"/>
      <c r="V53" s="671"/>
      <c r="W53" s="671"/>
      <c r="X53" s="671"/>
      <c r="Y53" s="671"/>
      <c r="Z53" s="671"/>
      <c r="AA53" s="671"/>
      <c r="AB53" s="671"/>
    </row>
    <row r="54">
      <c r="A54" s="671"/>
      <c r="B54" s="671"/>
      <c r="C54" s="671"/>
      <c r="D54" s="671"/>
      <c r="E54" s="671"/>
      <c r="F54" s="671"/>
      <c r="G54" s="671"/>
      <c r="H54" s="671"/>
      <c r="I54" s="671"/>
      <c r="J54" s="671"/>
      <c r="K54" s="671"/>
      <c r="L54" s="671"/>
      <c r="M54" s="671"/>
      <c r="N54" s="671"/>
      <c r="O54" s="671"/>
      <c r="P54" s="671"/>
      <c r="Q54" s="671"/>
      <c r="R54" s="671"/>
      <c r="S54" s="671"/>
      <c r="T54" s="671"/>
      <c r="U54" s="671"/>
      <c r="V54" s="671"/>
      <c r="W54" s="671"/>
      <c r="X54" s="671"/>
      <c r="Y54" s="671"/>
      <c r="Z54" s="671"/>
      <c r="AA54" s="671"/>
      <c r="AB54" s="671"/>
    </row>
    <row r="55">
      <c r="A55" s="671"/>
      <c r="B55" s="671"/>
      <c r="C55" s="671"/>
      <c r="D55" s="671"/>
      <c r="E55" s="671"/>
      <c r="F55" s="671"/>
      <c r="G55" s="671"/>
      <c r="H55" s="671"/>
      <c r="I55" s="671"/>
      <c r="J55" s="671"/>
      <c r="K55" s="671"/>
      <c r="L55" s="671"/>
      <c r="M55" s="671"/>
      <c r="N55" s="671"/>
      <c r="O55" s="671"/>
      <c r="P55" s="671"/>
      <c r="Q55" s="671"/>
      <c r="R55" s="671"/>
      <c r="S55" s="671"/>
      <c r="T55" s="671"/>
      <c r="U55" s="671"/>
      <c r="V55" s="671"/>
      <c r="W55" s="671"/>
      <c r="X55" s="671"/>
      <c r="Y55" s="671"/>
      <c r="Z55" s="671"/>
      <c r="AA55" s="671"/>
      <c r="AB55" s="671"/>
    </row>
    <row r="56">
      <c r="A56" s="671"/>
      <c r="B56" s="671"/>
      <c r="C56" s="671"/>
      <c r="D56" s="671"/>
      <c r="E56" s="671"/>
      <c r="F56" s="671"/>
      <c r="G56" s="671"/>
      <c r="H56" s="671"/>
      <c r="I56" s="671"/>
      <c r="J56" s="671"/>
      <c r="K56" s="671"/>
      <c r="L56" s="671"/>
      <c r="M56" s="671"/>
      <c r="N56" s="671"/>
      <c r="O56" s="671"/>
      <c r="P56" s="671"/>
      <c r="Q56" s="671"/>
      <c r="R56" s="671"/>
      <c r="S56" s="671"/>
      <c r="T56" s="671"/>
      <c r="U56" s="671"/>
      <c r="V56" s="671"/>
      <c r="W56" s="671"/>
      <c r="X56" s="671"/>
      <c r="Y56" s="671"/>
      <c r="Z56" s="671"/>
      <c r="AA56" s="671"/>
      <c r="AB56" s="671"/>
    </row>
    <row r="57">
      <c r="A57" s="671"/>
      <c r="B57" s="671"/>
      <c r="C57" s="671"/>
      <c r="D57" s="671"/>
      <c r="E57" s="671"/>
      <c r="F57" s="671"/>
      <c r="G57" s="671"/>
      <c r="H57" s="671"/>
      <c r="I57" s="671"/>
      <c r="J57" s="671"/>
      <c r="K57" s="671"/>
      <c r="L57" s="671"/>
      <c r="M57" s="671"/>
      <c r="N57" s="671"/>
      <c r="O57" s="671"/>
      <c r="P57" s="671"/>
      <c r="Q57" s="671"/>
      <c r="R57" s="671"/>
      <c r="S57" s="671"/>
      <c r="T57" s="671"/>
      <c r="U57" s="671"/>
      <c r="V57" s="671"/>
      <c r="W57" s="671"/>
      <c r="X57" s="671"/>
      <c r="Y57" s="671"/>
      <c r="Z57" s="671"/>
      <c r="AA57" s="671"/>
      <c r="AB57" s="671"/>
    </row>
    <row r="58">
      <c r="A58" s="671"/>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row>
    <row r="59">
      <c r="A59" s="671"/>
      <c r="B59" s="671"/>
      <c r="C59" s="671"/>
      <c r="D59" s="671"/>
      <c r="E59" s="671"/>
      <c r="F59" s="671"/>
      <c r="G59" s="671"/>
      <c r="H59" s="671"/>
      <c r="I59" s="671"/>
      <c r="J59" s="671"/>
      <c r="K59" s="671"/>
      <c r="L59" s="671"/>
      <c r="M59" s="671"/>
      <c r="N59" s="671"/>
      <c r="O59" s="671"/>
      <c r="P59" s="671"/>
      <c r="Q59" s="671"/>
      <c r="R59" s="671"/>
      <c r="S59" s="671"/>
      <c r="T59" s="671"/>
      <c r="U59" s="671"/>
      <c r="V59" s="671"/>
      <c r="W59" s="671"/>
      <c r="X59" s="671"/>
      <c r="Y59" s="671"/>
      <c r="Z59" s="671"/>
      <c r="AA59" s="671"/>
      <c r="AB59" s="671"/>
    </row>
    <row r="60">
      <c r="A60" s="671"/>
      <c r="B60" s="671"/>
      <c r="C60" s="671"/>
      <c r="D60" s="671"/>
      <c r="E60" s="671"/>
      <c r="F60" s="671"/>
      <c r="G60" s="671"/>
      <c r="H60" s="671"/>
      <c r="I60" s="671"/>
      <c r="J60" s="671"/>
      <c r="K60" s="671"/>
      <c r="L60" s="671"/>
      <c r="M60" s="671"/>
      <c r="N60" s="671"/>
      <c r="O60" s="671"/>
      <c r="P60" s="671"/>
      <c r="Q60" s="671"/>
      <c r="R60" s="671"/>
      <c r="S60" s="671"/>
      <c r="T60" s="671"/>
      <c r="U60" s="671"/>
      <c r="V60" s="671"/>
      <c r="W60" s="671"/>
      <c r="X60" s="671"/>
      <c r="Y60" s="671"/>
      <c r="Z60" s="671"/>
      <c r="AA60" s="671"/>
      <c r="AB60" s="671"/>
    </row>
    <row r="61">
      <c r="A61" s="671"/>
      <c r="B61" s="671"/>
      <c r="C61" s="671"/>
      <c r="D61" s="671"/>
      <c r="E61" s="671"/>
      <c r="F61" s="671"/>
      <c r="G61" s="671"/>
      <c r="H61" s="671"/>
      <c r="I61" s="671"/>
      <c r="J61" s="671"/>
      <c r="K61" s="671"/>
      <c r="L61" s="671"/>
      <c r="M61" s="671"/>
      <c r="N61" s="671"/>
      <c r="O61" s="671"/>
      <c r="P61" s="671"/>
      <c r="Q61" s="671"/>
      <c r="R61" s="671"/>
      <c r="S61" s="671"/>
      <c r="T61" s="671"/>
      <c r="U61" s="671"/>
      <c r="V61" s="671"/>
      <c r="W61" s="671"/>
      <c r="X61" s="671"/>
      <c r="Y61" s="671"/>
      <c r="Z61" s="671"/>
      <c r="AA61" s="671"/>
      <c r="AB61" s="671"/>
    </row>
    <row r="62">
      <c r="A62" s="671"/>
      <c r="B62" s="671"/>
      <c r="C62" s="671"/>
      <c r="D62" s="671"/>
      <c r="E62" s="671"/>
      <c r="F62" s="671"/>
      <c r="G62" s="671"/>
      <c r="H62" s="671"/>
      <c r="I62" s="671"/>
      <c r="J62" s="671"/>
      <c r="K62" s="671"/>
      <c r="L62" s="671"/>
      <c r="M62" s="671"/>
      <c r="N62" s="671"/>
      <c r="O62" s="671"/>
      <c r="P62" s="671"/>
      <c r="Q62" s="671"/>
      <c r="R62" s="671"/>
      <c r="S62" s="671"/>
      <c r="T62" s="671"/>
      <c r="U62" s="671"/>
      <c r="V62" s="671"/>
      <c r="W62" s="671"/>
      <c r="X62" s="671"/>
      <c r="Y62" s="671"/>
      <c r="Z62" s="671"/>
      <c r="AA62" s="671"/>
      <c r="AB62" s="671"/>
    </row>
    <row r="63">
      <c r="A63" s="671"/>
      <c r="B63" s="671"/>
      <c r="C63" s="671"/>
      <c r="D63" s="671"/>
      <c r="E63" s="671"/>
      <c r="F63" s="671"/>
      <c r="G63" s="671"/>
      <c r="H63" s="671"/>
      <c r="I63" s="671"/>
      <c r="J63" s="671"/>
      <c r="K63" s="671"/>
      <c r="L63" s="671"/>
      <c r="M63" s="671"/>
      <c r="N63" s="671"/>
      <c r="O63" s="671"/>
      <c r="P63" s="671"/>
      <c r="Q63" s="671"/>
      <c r="R63" s="671"/>
      <c r="S63" s="671"/>
      <c r="T63" s="671"/>
      <c r="U63" s="671"/>
      <c r="V63" s="671"/>
      <c r="W63" s="671"/>
      <c r="X63" s="671"/>
      <c r="Y63" s="671"/>
      <c r="Z63" s="671"/>
      <c r="AA63" s="671"/>
      <c r="AB63" s="671"/>
    </row>
    <row r="64">
      <c r="A64" s="671"/>
      <c r="B64" s="671"/>
      <c r="C64" s="671"/>
      <c r="D64" s="671"/>
      <c r="E64" s="671"/>
      <c r="F64" s="671"/>
      <c r="G64" s="671"/>
      <c r="H64" s="671"/>
      <c r="I64" s="671"/>
      <c r="J64" s="671"/>
      <c r="K64" s="671"/>
      <c r="L64" s="671"/>
      <c r="M64" s="671"/>
      <c r="N64" s="671"/>
      <c r="O64" s="671"/>
      <c r="P64" s="671"/>
      <c r="Q64" s="671"/>
      <c r="R64" s="671"/>
      <c r="S64" s="671"/>
      <c r="T64" s="671"/>
      <c r="U64" s="671"/>
      <c r="V64" s="671"/>
      <c r="W64" s="671"/>
      <c r="X64" s="671"/>
      <c r="Y64" s="671"/>
      <c r="Z64" s="671"/>
      <c r="AA64" s="671"/>
      <c r="AB64" s="671"/>
    </row>
    <row r="65">
      <c r="A65" s="671"/>
      <c r="B65" s="671"/>
      <c r="C65" s="671"/>
      <c r="D65" s="671"/>
      <c r="E65" s="671"/>
      <c r="F65" s="671"/>
      <c r="G65" s="671"/>
      <c r="H65" s="671"/>
      <c r="I65" s="671"/>
      <c r="J65" s="671"/>
      <c r="K65" s="671"/>
      <c r="L65" s="671"/>
      <c r="M65" s="671"/>
      <c r="N65" s="671"/>
      <c r="O65" s="671"/>
      <c r="P65" s="671"/>
      <c r="Q65" s="671"/>
      <c r="R65" s="671"/>
      <c r="S65" s="671"/>
      <c r="T65" s="671"/>
      <c r="U65" s="671"/>
      <c r="V65" s="671"/>
      <c r="W65" s="671"/>
      <c r="X65" s="671"/>
      <c r="Y65" s="671"/>
      <c r="Z65" s="671"/>
      <c r="AA65" s="671"/>
      <c r="AB65" s="671"/>
    </row>
    <row r="66">
      <c r="A66" s="671"/>
      <c r="B66" s="671"/>
      <c r="C66" s="671"/>
      <c r="D66" s="671"/>
      <c r="E66" s="671"/>
      <c r="F66" s="671"/>
      <c r="G66" s="671"/>
      <c r="H66" s="671"/>
      <c r="I66" s="671"/>
      <c r="J66" s="671"/>
      <c r="K66" s="671"/>
      <c r="L66" s="671"/>
      <c r="M66" s="671"/>
      <c r="N66" s="671"/>
      <c r="O66" s="671"/>
      <c r="P66" s="671"/>
      <c r="Q66" s="671"/>
      <c r="R66" s="671"/>
      <c r="S66" s="671"/>
      <c r="T66" s="671"/>
      <c r="U66" s="671"/>
      <c r="V66" s="671"/>
      <c r="W66" s="671"/>
      <c r="X66" s="671"/>
      <c r="Y66" s="671"/>
      <c r="Z66" s="671"/>
      <c r="AA66" s="671"/>
      <c r="AB66" s="671"/>
    </row>
    <row r="67">
      <c r="A67" s="671"/>
      <c r="B67" s="671"/>
      <c r="C67" s="671"/>
      <c r="D67" s="671"/>
      <c r="E67" s="671"/>
      <c r="F67" s="671"/>
      <c r="G67" s="671"/>
      <c r="H67" s="671"/>
      <c r="I67" s="671"/>
      <c r="J67" s="671"/>
      <c r="K67" s="671"/>
      <c r="L67" s="671"/>
      <c r="M67" s="671"/>
      <c r="N67" s="671"/>
      <c r="O67" s="671"/>
      <c r="P67" s="671"/>
      <c r="Q67" s="671"/>
      <c r="R67" s="671"/>
      <c r="S67" s="671"/>
      <c r="T67" s="671"/>
      <c r="U67" s="671"/>
      <c r="V67" s="671"/>
      <c r="W67" s="671"/>
      <c r="X67" s="671"/>
      <c r="Y67" s="671"/>
      <c r="Z67" s="671"/>
      <c r="AA67" s="671"/>
      <c r="AB67" s="671"/>
    </row>
    <row r="68">
      <c r="A68" s="671"/>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row>
    <row r="69">
      <c r="A69" s="671"/>
      <c r="B69" s="671"/>
      <c r="C69" s="671"/>
      <c r="D69" s="671"/>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1"/>
    </row>
    <row r="70">
      <c r="A70" s="671"/>
      <c r="B70" s="671"/>
      <c r="C70" s="671"/>
      <c r="D70" s="671"/>
      <c r="E70" s="671"/>
      <c r="F70" s="671"/>
      <c r="G70" s="671"/>
      <c r="H70" s="671"/>
      <c r="I70" s="671"/>
      <c r="J70" s="671"/>
      <c r="K70" s="671"/>
      <c r="L70" s="671"/>
      <c r="M70" s="671"/>
      <c r="N70" s="671"/>
      <c r="O70" s="671"/>
      <c r="P70" s="671"/>
      <c r="Q70" s="671"/>
      <c r="R70" s="671"/>
      <c r="S70" s="671"/>
      <c r="T70" s="671"/>
      <c r="U70" s="671"/>
      <c r="V70" s="671"/>
      <c r="W70" s="671"/>
      <c r="X70" s="671"/>
      <c r="Y70" s="671"/>
      <c r="Z70" s="671"/>
      <c r="AA70" s="671"/>
      <c r="AB70" s="671"/>
    </row>
    <row r="71">
      <c r="A71" s="671"/>
      <c r="B71" s="671"/>
      <c r="C71" s="671"/>
      <c r="D71" s="671"/>
      <c r="E71" s="671"/>
      <c r="F71" s="671"/>
      <c r="G71" s="671"/>
      <c r="H71" s="671"/>
      <c r="I71" s="671"/>
      <c r="J71" s="671"/>
      <c r="K71" s="671"/>
      <c r="L71" s="671"/>
      <c r="M71" s="671"/>
      <c r="N71" s="671"/>
      <c r="O71" s="671"/>
      <c r="P71" s="671"/>
      <c r="Q71" s="671"/>
      <c r="R71" s="671"/>
      <c r="S71" s="671"/>
      <c r="T71" s="671"/>
      <c r="U71" s="671"/>
      <c r="V71" s="671"/>
      <c r="W71" s="671"/>
      <c r="X71" s="671"/>
      <c r="Y71" s="671"/>
      <c r="Z71" s="671"/>
      <c r="AA71" s="671"/>
      <c r="AB71" s="671"/>
    </row>
    <row r="72">
      <c r="A72" s="671"/>
      <c r="B72" s="671"/>
      <c r="C72" s="671"/>
      <c r="D72" s="671"/>
      <c r="E72" s="671"/>
      <c r="F72" s="671"/>
      <c r="G72" s="671"/>
      <c r="H72" s="671"/>
      <c r="I72" s="671"/>
      <c r="J72" s="671"/>
      <c r="K72" s="671"/>
      <c r="L72" s="671"/>
      <c r="M72" s="671"/>
      <c r="N72" s="671"/>
      <c r="O72" s="671"/>
      <c r="P72" s="671"/>
      <c r="Q72" s="671"/>
      <c r="R72" s="671"/>
      <c r="S72" s="671"/>
      <c r="T72" s="671"/>
      <c r="U72" s="671"/>
      <c r="V72" s="671"/>
      <c r="W72" s="671"/>
      <c r="X72" s="671"/>
      <c r="Y72" s="671"/>
      <c r="Z72" s="671"/>
      <c r="AA72" s="671"/>
      <c r="AB72" s="671"/>
    </row>
    <row r="73">
      <c r="A73" s="671"/>
      <c r="B73" s="671"/>
      <c r="C73" s="671"/>
      <c r="D73" s="671"/>
      <c r="E73" s="671"/>
      <c r="F73" s="671"/>
      <c r="G73" s="671"/>
      <c r="H73" s="671"/>
      <c r="I73" s="671"/>
      <c r="J73" s="671"/>
      <c r="K73" s="671"/>
      <c r="L73" s="671"/>
      <c r="M73" s="671"/>
      <c r="N73" s="671"/>
      <c r="O73" s="671"/>
      <c r="P73" s="671"/>
      <c r="Q73" s="671"/>
      <c r="R73" s="671"/>
      <c r="S73" s="671"/>
      <c r="T73" s="671"/>
      <c r="U73" s="671"/>
      <c r="V73" s="671"/>
      <c r="W73" s="671"/>
      <c r="X73" s="671"/>
      <c r="Y73" s="671"/>
      <c r="Z73" s="671"/>
      <c r="AA73" s="671"/>
      <c r="AB73" s="671"/>
    </row>
    <row r="74">
      <c r="A74" s="671"/>
      <c r="B74" s="671"/>
      <c r="C74" s="671"/>
      <c r="D74" s="671"/>
      <c r="E74" s="671"/>
      <c r="F74" s="671"/>
      <c r="G74" s="671"/>
      <c r="H74" s="671"/>
      <c r="I74" s="671"/>
      <c r="J74" s="671"/>
      <c r="K74" s="671"/>
      <c r="L74" s="671"/>
      <c r="M74" s="671"/>
      <c r="N74" s="671"/>
      <c r="O74" s="671"/>
      <c r="P74" s="671"/>
      <c r="Q74" s="671"/>
      <c r="R74" s="671"/>
      <c r="S74" s="671"/>
      <c r="T74" s="671"/>
      <c r="U74" s="671"/>
      <c r="V74" s="671"/>
      <c r="W74" s="671"/>
      <c r="X74" s="671"/>
      <c r="Y74" s="671"/>
      <c r="Z74" s="671"/>
      <c r="AA74" s="671"/>
      <c r="AB74" s="671"/>
    </row>
    <row r="75">
      <c r="A75" s="671"/>
      <c r="B75" s="671"/>
      <c r="C75" s="671"/>
      <c r="D75" s="671"/>
      <c r="E75" s="671"/>
      <c r="F75" s="671"/>
      <c r="G75" s="671"/>
      <c r="H75" s="671"/>
      <c r="I75" s="671"/>
      <c r="J75" s="671"/>
      <c r="K75" s="671"/>
      <c r="L75" s="671"/>
      <c r="M75" s="671"/>
      <c r="N75" s="671"/>
      <c r="O75" s="671"/>
      <c r="P75" s="671"/>
      <c r="Q75" s="671"/>
      <c r="R75" s="671"/>
      <c r="S75" s="671"/>
      <c r="T75" s="671"/>
      <c r="U75" s="671"/>
      <c r="V75" s="671"/>
      <c r="W75" s="671"/>
      <c r="X75" s="671"/>
      <c r="Y75" s="671"/>
      <c r="Z75" s="671"/>
      <c r="AA75" s="671"/>
      <c r="AB75" s="671"/>
    </row>
    <row r="76">
      <c r="A76" s="671"/>
      <c r="B76" s="671"/>
      <c r="C76" s="671"/>
      <c r="D76" s="671"/>
      <c r="E76" s="671"/>
      <c r="F76" s="671"/>
      <c r="G76" s="671"/>
      <c r="H76" s="671"/>
      <c r="I76" s="671"/>
      <c r="J76" s="671"/>
      <c r="K76" s="671"/>
      <c r="L76" s="671"/>
      <c r="M76" s="671"/>
      <c r="N76" s="671"/>
      <c r="O76" s="671"/>
      <c r="P76" s="671"/>
      <c r="Q76" s="671"/>
      <c r="R76" s="671"/>
      <c r="S76" s="671"/>
      <c r="T76" s="671"/>
      <c r="U76" s="671"/>
      <c r="V76" s="671"/>
      <c r="W76" s="671"/>
      <c r="X76" s="671"/>
      <c r="Y76" s="671"/>
      <c r="Z76" s="671"/>
      <c r="AA76" s="671"/>
      <c r="AB76" s="671"/>
    </row>
    <row r="77">
      <c r="A77" s="671"/>
      <c r="B77" s="671"/>
      <c r="C77" s="671"/>
      <c r="D77" s="671"/>
      <c r="E77" s="671"/>
      <c r="F77" s="671"/>
      <c r="G77" s="671"/>
      <c r="H77" s="671"/>
      <c r="I77" s="671"/>
      <c r="J77" s="671"/>
      <c r="K77" s="671"/>
      <c r="L77" s="671"/>
      <c r="M77" s="671"/>
      <c r="N77" s="671"/>
      <c r="O77" s="671"/>
      <c r="P77" s="671"/>
      <c r="Q77" s="671"/>
      <c r="R77" s="671"/>
      <c r="S77" s="671"/>
      <c r="T77" s="671"/>
      <c r="U77" s="671"/>
      <c r="V77" s="671"/>
      <c r="W77" s="671"/>
      <c r="X77" s="671"/>
      <c r="Y77" s="671"/>
      <c r="Z77" s="671"/>
      <c r="AA77" s="671"/>
      <c r="AB77" s="671"/>
    </row>
    <row r="78">
      <c r="A78" s="671"/>
      <c r="B78" s="671"/>
      <c r="C78" s="671"/>
      <c r="D78" s="671"/>
      <c r="E78" s="671"/>
      <c r="F78" s="671"/>
      <c r="G78" s="671"/>
      <c r="H78" s="671"/>
      <c r="I78" s="671"/>
      <c r="J78" s="671"/>
      <c r="K78" s="671"/>
      <c r="L78" s="671"/>
      <c r="M78" s="671"/>
      <c r="N78" s="671"/>
      <c r="O78" s="671"/>
      <c r="P78" s="671"/>
      <c r="Q78" s="671"/>
      <c r="R78" s="671"/>
      <c r="S78" s="671"/>
      <c r="T78" s="671"/>
      <c r="U78" s="671"/>
      <c r="V78" s="671"/>
      <c r="W78" s="671"/>
      <c r="X78" s="671"/>
      <c r="Y78" s="671"/>
      <c r="Z78" s="671"/>
      <c r="AA78" s="671"/>
      <c r="AB78" s="671"/>
    </row>
    <row r="79">
      <c r="A79" s="671"/>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row>
    <row r="80">
      <c r="A80" s="671"/>
      <c r="B80" s="671"/>
      <c r="C80" s="671"/>
      <c r="D80" s="671"/>
      <c r="E80" s="671"/>
      <c r="F80" s="671"/>
      <c r="G80" s="671"/>
      <c r="H80" s="671"/>
      <c r="I80" s="671"/>
      <c r="J80" s="671"/>
      <c r="K80" s="671"/>
      <c r="L80" s="671"/>
      <c r="M80" s="671"/>
      <c r="N80" s="671"/>
      <c r="O80" s="671"/>
      <c r="P80" s="671"/>
      <c r="Q80" s="671"/>
      <c r="R80" s="671"/>
      <c r="S80" s="671"/>
      <c r="T80" s="671"/>
      <c r="U80" s="671"/>
      <c r="V80" s="671"/>
      <c r="W80" s="671"/>
      <c r="X80" s="671"/>
      <c r="Y80" s="671"/>
      <c r="Z80" s="671"/>
      <c r="AA80" s="671"/>
      <c r="AB80" s="671"/>
    </row>
    <row r="81">
      <c r="A81" s="671"/>
      <c r="B81" s="671"/>
      <c r="C81" s="671"/>
      <c r="D81" s="671"/>
      <c r="E81" s="671"/>
      <c r="F81" s="671"/>
      <c r="G81" s="671"/>
      <c r="H81" s="671"/>
      <c r="I81" s="671"/>
      <c r="J81" s="671"/>
      <c r="K81" s="671"/>
      <c r="L81" s="671"/>
      <c r="M81" s="671"/>
      <c r="N81" s="671"/>
      <c r="O81" s="671"/>
      <c r="P81" s="671"/>
      <c r="Q81" s="671"/>
      <c r="R81" s="671"/>
      <c r="S81" s="671"/>
      <c r="T81" s="671"/>
      <c r="U81" s="671"/>
      <c r="V81" s="671"/>
      <c r="W81" s="671"/>
      <c r="X81" s="671"/>
      <c r="Y81" s="671"/>
      <c r="Z81" s="671"/>
      <c r="AA81" s="671"/>
      <c r="AB81" s="671"/>
    </row>
    <row r="82">
      <c r="A82" s="671"/>
      <c r="B82" s="671"/>
      <c r="C82" s="671"/>
      <c r="D82" s="671"/>
      <c r="E82" s="671"/>
      <c r="F82" s="671"/>
      <c r="G82" s="671"/>
      <c r="H82" s="671"/>
      <c r="I82" s="671"/>
      <c r="J82" s="671"/>
      <c r="K82" s="671"/>
      <c r="L82" s="671"/>
      <c r="M82" s="671"/>
      <c r="N82" s="671"/>
      <c r="O82" s="671"/>
      <c r="P82" s="671"/>
      <c r="Q82" s="671"/>
      <c r="R82" s="671"/>
      <c r="S82" s="671"/>
      <c r="T82" s="671"/>
      <c r="U82" s="671"/>
      <c r="V82" s="671"/>
      <c r="W82" s="671"/>
      <c r="X82" s="671"/>
      <c r="Y82" s="671"/>
      <c r="Z82" s="671"/>
      <c r="AA82" s="671"/>
      <c r="AB82" s="671"/>
    </row>
    <row r="83">
      <c r="A83" s="671"/>
      <c r="B83" s="671"/>
      <c r="C83" s="671"/>
      <c r="D83" s="671"/>
      <c r="E83" s="671"/>
      <c r="F83" s="671"/>
      <c r="G83" s="671"/>
      <c r="H83" s="671"/>
      <c r="I83" s="671"/>
      <c r="J83" s="671"/>
      <c r="K83" s="671"/>
      <c r="L83" s="671"/>
      <c r="M83" s="671"/>
      <c r="N83" s="671"/>
      <c r="O83" s="671"/>
      <c r="P83" s="671"/>
      <c r="Q83" s="671"/>
      <c r="R83" s="671"/>
      <c r="S83" s="671"/>
      <c r="T83" s="671"/>
      <c r="U83" s="671"/>
      <c r="V83" s="671"/>
      <c r="W83" s="671"/>
      <c r="X83" s="671"/>
      <c r="Y83" s="671"/>
      <c r="Z83" s="671"/>
      <c r="AA83" s="671"/>
      <c r="AB83" s="671"/>
    </row>
    <row r="84">
      <c r="A84" s="671"/>
      <c r="B84" s="671"/>
      <c r="C84" s="671"/>
      <c r="D84" s="671"/>
      <c r="E84" s="671"/>
      <c r="F84" s="671"/>
      <c r="G84" s="671"/>
      <c r="H84" s="671"/>
      <c r="I84" s="671"/>
      <c r="J84" s="671"/>
      <c r="K84" s="671"/>
      <c r="L84" s="671"/>
      <c r="M84" s="671"/>
      <c r="N84" s="671"/>
      <c r="O84" s="671"/>
      <c r="P84" s="671"/>
      <c r="Q84" s="671"/>
      <c r="R84" s="671"/>
      <c r="S84" s="671"/>
      <c r="T84" s="671"/>
      <c r="U84" s="671"/>
      <c r="V84" s="671"/>
      <c r="W84" s="671"/>
      <c r="X84" s="671"/>
      <c r="Y84" s="671"/>
      <c r="Z84" s="671"/>
      <c r="AA84" s="671"/>
      <c r="AB84" s="671"/>
    </row>
    <row r="85">
      <c r="A85" s="671"/>
      <c r="B85" s="671"/>
      <c r="C85" s="671"/>
      <c r="D85" s="671"/>
      <c r="E85" s="671"/>
      <c r="F85" s="671"/>
      <c r="G85" s="671"/>
      <c r="H85" s="671"/>
      <c r="I85" s="671"/>
      <c r="J85" s="671"/>
      <c r="K85" s="671"/>
      <c r="L85" s="671"/>
      <c r="M85" s="671"/>
      <c r="N85" s="671"/>
      <c r="O85" s="671"/>
      <c r="P85" s="671"/>
      <c r="Q85" s="671"/>
      <c r="R85" s="671"/>
      <c r="S85" s="671"/>
      <c r="T85" s="671"/>
      <c r="U85" s="671"/>
      <c r="V85" s="671"/>
      <c r="W85" s="671"/>
      <c r="X85" s="671"/>
      <c r="Y85" s="671"/>
      <c r="Z85" s="671"/>
      <c r="AA85" s="671"/>
      <c r="AB85" s="671"/>
    </row>
    <row r="86">
      <c r="A86" s="671"/>
      <c r="B86" s="671"/>
      <c r="C86" s="671"/>
      <c r="D86" s="671"/>
      <c r="E86" s="671"/>
      <c r="F86" s="671"/>
      <c r="G86" s="671"/>
      <c r="H86" s="671"/>
      <c r="I86" s="671"/>
      <c r="J86" s="671"/>
      <c r="K86" s="671"/>
      <c r="L86" s="671"/>
      <c r="M86" s="671"/>
      <c r="N86" s="671"/>
      <c r="O86" s="671"/>
      <c r="P86" s="671"/>
      <c r="Q86" s="671"/>
      <c r="R86" s="671"/>
      <c r="S86" s="671"/>
      <c r="T86" s="671"/>
      <c r="U86" s="671"/>
      <c r="V86" s="671"/>
      <c r="W86" s="671"/>
      <c r="X86" s="671"/>
      <c r="Y86" s="671"/>
      <c r="Z86" s="671"/>
      <c r="AA86" s="671"/>
      <c r="AB86" s="671"/>
    </row>
    <row r="87">
      <c r="A87" s="671"/>
      <c r="B87" s="671"/>
      <c r="C87" s="671"/>
      <c r="D87" s="671"/>
      <c r="E87" s="671"/>
      <c r="F87" s="671"/>
      <c r="G87" s="671"/>
      <c r="H87" s="671"/>
      <c r="I87" s="671"/>
      <c r="J87" s="671"/>
      <c r="K87" s="671"/>
      <c r="L87" s="671"/>
      <c r="M87" s="671"/>
      <c r="N87" s="671"/>
      <c r="O87" s="671"/>
      <c r="P87" s="671"/>
      <c r="Q87" s="671"/>
      <c r="R87" s="671"/>
      <c r="S87" s="671"/>
      <c r="T87" s="671"/>
      <c r="U87" s="671"/>
      <c r="V87" s="671"/>
      <c r="W87" s="671"/>
      <c r="X87" s="671"/>
      <c r="Y87" s="671"/>
      <c r="Z87" s="671"/>
      <c r="AA87" s="671"/>
      <c r="AB87" s="671"/>
    </row>
    <row r="88">
      <c r="A88" s="671"/>
      <c r="B88" s="671"/>
      <c r="C88" s="671"/>
      <c r="D88" s="671"/>
      <c r="E88" s="671"/>
      <c r="F88" s="671"/>
      <c r="G88" s="671"/>
      <c r="H88" s="671"/>
      <c r="I88" s="671"/>
      <c r="J88" s="671"/>
      <c r="K88" s="671"/>
      <c r="L88" s="671"/>
      <c r="M88" s="671"/>
      <c r="N88" s="671"/>
      <c r="O88" s="671"/>
      <c r="P88" s="671"/>
      <c r="Q88" s="671"/>
      <c r="R88" s="671"/>
      <c r="S88" s="671"/>
      <c r="T88" s="671"/>
      <c r="U88" s="671"/>
      <c r="V88" s="671"/>
      <c r="W88" s="671"/>
      <c r="X88" s="671"/>
      <c r="Y88" s="671"/>
      <c r="Z88" s="671"/>
      <c r="AA88" s="671"/>
      <c r="AB88" s="671"/>
    </row>
    <row r="89">
      <c r="A89" s="671"/>
      <c r="B89" s="671"/>
      <c r="C89" s="671"/>
      <c r="D89" s="671"/>
      <c r="E89" s="671"/>
      <c r="F89" s="671"/>
      <c r="G89" s="671"/>
      <c r="H89" s="671"/>
      <c r="I89" s="671"/>
      <c r="J89" s="671"/>
      <c r="K89" s="671"/>
      <c r="L89" s="671"/>
      <c r="M89" s="671"/>
      <c r="N89" s="671"/>
      <c r="O89" s="671"/>
      <c r="P89" s="671"/>
      <c r="Q89" s="671"/>
      <c r="R89" s="671"/>
      <c r="S89" s="671"/>
      <c r="T89" s="671"/>
      <c r="U89" s="671"/>
      <c r="V89" s="671"/>
      <c r="W89" s="671"/>
      <c r="X89" s="671"/>
      <c r="Y89" s="671"/>
      <c r="Z89" s="671"/>
      <c r="AA89" s="671"/>
      <c r="AB89" s="671"/>
    </row>
    <row r="90">
      <c r="A90" s="671"/>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row>
    <row r="91">
      <c r="A91" s="671"/>
      <c r="B91" s="671"/>
      <c r="C91" s="671"/>
      <c r="D91" s="671"/>
      <c r="E91" s="671"/>
      <c r="F91" s="671"/>
      <c r="G91" s="671"/>
      <c r="H91" s="671"/>
      <c r="I91" s="671"/>
      <c r="J91" s="671"/>
      <c r="K91" s="671"/>
      <c r="L91" s="671"/>
      <c r="M91" s="671"/>
      <c r="N91" s="671"/>
      <c r="O91" s="671"/>
      <c r="P91" s="671"/>
      <c r="Q91" s="671"/>
      <c r="R91" s="671"/>
      <c r="S91" s="671"/>
      <c r="T91" s="671"/>
      <c r="U91" s="671"/>
      <c r="V91" s="671"/>
      <c r="W91" s="671"/>
      <c r="X91" s="671"/>
      <c r="Y91" s="671"/>
      <c r="Z91" s="671"/>
      <c r="AA91" s="671"/>
      <c r="AB91" s="671"/>
    </row>
    <row r="92">
      <c r="A92" s="671"/>
      <c r="B92" s="671"/>
      <c r="C92" s="671"/>
      <c r="D92" s="671"/>
      <c r="E92" s="671"/>
      <c r="F92" s="671"/>
      <c r="G92" s="671"/>
      <c r="H92" s="671"/>
      <c r="I92" s="671"/>
      <c r="J92" s="671"/>
      <c r="K92" s="671"/>
      <c r="L92" s="671"/>
      <c r="M92" s="671"/>
      <c r="N92" s="671"/>
      <c r="O92" s="671"/>
      <c r="P92" s="671"/>
      <c r="Q92" s="671"/>
      <c r="R92" s="671"/>
      <c r="S92" s="671"/>
      <c r="T92" s="671"/>
      <c r="U92" s="671"/>
      <c r="V92" s="671"/>
      <c r="W92" s="671"/>
      <c r="X92" s="671"/>
      <c r="Y92" s="671"/>
      <c r="Z92" s="671"/>
      <c r="AA92" s="671"/>
      <c r="AB92" s="671"/>
    </row>
    <row r="93">
      <c r="A93" s="671"/>
      <c r="B93" s="671"/>
      <c r="C93" s="671"/>
      <c r="D93" s="671"/>
      <c r="E93" s="671"/>
      <c r="F93" s="671"/>
      <c r="G93" s="671"/>
      <c r="H93" s="671"/>
      <c r="I93" s="671"/>
      <c r="J93" s="671"/>
      <c r="K93" s="671"/>
      <c r="L93" s="671"/>
      <c r="M93" s="671"/>
      <c r="N93" s="671"/>
      <c r="O93" s="671"/>
      <c r="P93" s="671"/>
      <c r="Q93" s="671"/>
      <c r="R93" s="671"/>
      <c r="S93" s="671"/>
      <c r="T93" s="671"/>
      <c r="U93" s="671"/>
      <c r="V93" s="671"/>
      <c r="W93" s="671"/>
      <c r="X93" s="671"/>
      <c r="Y93" s="671"/>
      <c r="Z93" s="671"/>
      <c r="AA93" s="671"/>
      <c r="AB93" s="671"/>
    </row>
    <row r="94">
      <c r="A94" s="671"/>
      <c r="B94" s="671"/>
      <c r="C94" s="671"/>
      <c r="D94" s="671"/>
      <c r="E94" s="671"/>
      <c r="F94" s="671"/>
      <c r="G94" s="671"/>
      <c r="H94" s="671"/>
      <c r="I94" s="671"/>
      <c r="J94" s="671"/>
      <c r="K94" s="671"/>
      <c r="L94" s="671"/>
      <c r="M94" s="671"/>
      <c r="N94" s="671"/>
      <c r="O94" s="671"/>
      <c r="P94" s="671"/>
      <c r="Q94" s="671"/>
      <c r="R94" s="671"/>
      <c r="S94" s="671"/>
      <c r="T94" s="671"/>
      <c r="U94" s="671"/>
      <c r="V94" s="671"/>
      <c r="W94" s="671"/>
      <c r="X94" s="671"/>
      <c r="Y94" s="671"/>
      <c r="Z94" s="671"/>
      <c r="AA94" s="671"/>
      <c r="AB94" s="671"/>
    </row>
    <row r="95">
      <c r="A95" s="671"/>
      <c r="B95" s="671"/>
      <c r="C95" s="671"/>
      <c r="D95" s="671"/>
      <c r="E95" s="671"/>
      <c r="F95" s="671"/>
      <c r="G95" s="671"/>
      <c r="H95" s="671"/>
      <c r="I95" s="671"/>
      <c r="J95" s="671"/>
      <c r="K95" s="671"/>
      <c r="L95" s="671"/>
      <c r="M95" s="671"/>
      <c r="N95" s="671"/>
      <c r="O95" s="671"/>
      <c r="P95" s="671"/>
      <c r="Q95" s="671"/>
      <c r="R95" s="671"/>
      <c r="S95" s="671"/>
      <c r="T95" s="671"/>
      <c r="U95" s="671"/>
      <c r="V95" s="671"/>
      <c r="W95" s="671"/>
      <c r="X95" s="671"/>
      <c r="Y95" s="671"/>
      <c r="Z95" s="671"/>
      <c r="AA95" s="671"/>
      <c r="AB95" s="671"/>
    </row>
    <row r="96">
      <c r="A96" s="671"/>
      <c r="B96" s="671"/>
      <c r="C96" s="671"/>
      <c r="D96" s="671"/>
      <c r="E96" s="671"/>
      <c r="F96" s="671"/>
      <c r="G96" s="671"/>
      <c r="H96" s="671"/>
      <c r="I96" s="671"/>
      <c r="J96" s="671"/>
      <c r="K96" s="671"/>
      <c r="L96" s="671"/>
      <c r="M96" s="671"/>
      <c r="N96" s="671"/>
      <c r="O96" s="671"/>
      <c r="P96" s="671"/>
      <c r="Q96" s="671"/>
      <c r="R96" s="671"/>
      <c r="S96" s="671"/>
      <c r="T96" s="671"/>
      <c r="U96" s="671"/>
      <c r="V96" s="671"/>
      <c r="W96" s="671"/>
      <c r="X96" s="671"/>
      <c r="Y96" s="671"/>
      <c r="Z96" s="671"/>
      <c r="AA96" s="671"/>
      <c r="AB96" s="671"/>
    </row>
    <row r="97">
      <c r="A97" s="671"/>
      <c r="B97" s="671"/>
      <c r="C97" s="671"/>
      <c r="D97" s="671"/>
      <c r="E97" s="671"/>
      <c r="F97" s="671"/>
      <c r="G97" s="671"/>
      <c r="H97" s="671"/>
      <c r="I97" s="671"/>
      <c r="J97" s="671"/>
      <c r="K97" s="671"/>
      <c r="L97" s="671"/>
      <c r="M97" s="671"/>
      <c r="N97" s="671"/>
      <c r="O97" s="671"/>
      <c r="P97" s="671"/>
      <c r="Q97" s="671"/>
      <c r="R97" s="671"/>
      <c r="S97" s="671"/>
      <c r="T97" s="671"/>
      <c r="U97" s="671"/>
      <c r="V97" s="671"/>
      <c r="W97" s="671"/>
      <c r="X97" s="671"/>
      <c r="Y97" s="671"/>
      <c r="Z97" s="671"/>
      <c r="AA97" s="671"/>
      <c r="AB97" s="671"/>
    </row>
    <row r="98">
      <c r="A98" s="671"/>
      <c r="B98" s="671"/>
      <c r="C98" s="671"/>
      <c r="D98" s="671"/>
      <c r="E98" s="671"/>
      <c r="F98" s="671"/>
      <c r="G98" s="671"/>
      <c r="H98" s="671"/>
      <c r="I98" s="671"/>
      <c r="J98" s="671"/>
      <c r="K98" s="671"/>
      <c r="L98" s="671"/>
      <c r="M98" s="671"/>
      <c r="N98" s="671"/>
      <c r="O98" s="671"/>
      <c r="P98" s="671"/>
      <c r="Q98" s="671"/>
      <c r="R98" s="671"/>
      <c r="S98" s="671"/>
      <c r="T98" s="671"/>
      <c r="U98" s="671"/>
      <c r="V98" s="671"/>
      <c r="W98" s="671"/>
      <c r="X98" s="671"/>
      <c r="Y98" s="671"/>
      <c r="Z98" s="671"/>
      <c r="AA98" s="671"/>
      <c r="AB98" s="671"/>
    </row>
    <row r="99">
      <c r="A99" s="671"/>
      <c r="B99" s="671"/>
      <c r="C99" s="671"/>
      <c r="D99" s="671"/>
      <c r="E99" s="671"/>
      <c r="F99" s="671"/>
      <c r="G99" s="671"/>
      <c r="H99" s="671"/>
      <c r="I99" s="671"/>
      <c r="J99" s="671"/>
      <c r="K99" s="671"/>
      <c r="L99" s="671"/>
      <c r="M99" s="671"/>
      <c r="N99" s="671"/>
      <c r="O99" s="671"/>
      <c r="P99" s="671"/>
      <c r="Q99" s="671"/>
      <c r="R99" s="671"/>
      <c r="S99" s="671"/>
      <c r="T99" s="671"/>
      <c r="U99" s="671"/>
      <c r="V99" s="671"/>
      <c r="W99" s="671"/>
      <c r="X99" s="671"/>
      <c r="Y99" s="671"/>
      <c r="Z99" s="671"/>
      <c r="AA99" s="671"/>
      <c r="AB99" s="671"/>
    </row>
    <row r="100">
      <c r="A100" s="671"/>
      <c r="B100" s="671"/>
      <c r="C100" s="671"/>
      <c r="D100" s="671"/>
      <c r="E100" s="671"/>
      <c r="F100" s="671"/>
      <c r="G100" s="671"/>
      <c r="H100" s="671"/>
      <c r="I100" s="671"/>
      <c r="J100" s="671"/>
      <c r="K100" s="671"/>
      <c r="L100" s="671"/>
      <c r="M100" s="671"/>
      <c r="N100" s="671"/>
      <c r="O100" s="671"/>
      <c r="P100" s="671"/>
      <c r="Q100" s="671"/>
      <c r="R100" s="671"/>
      <c r="S100" s="671"/>
      <c r="T100" s="671"/>
      <c r="U100" s="671"/>
      <c r="V100" s="671"/>
      <c r="W100" s="671"/>
      <c r="X100" s="671"/>
      <c r="Y100" s="671"/>
      <c r="Z100" s="671"/>
      <c r="AA100" s="671"/>
      <c r="AB100" s="671"/>
    </row>
    <row r="101">
      <c r="A101" s="671"/>
      <c r="B101" s="671"/>
      <c r="C101" s="671"/>
      <c r="D101" s="671"/>
      <c r="E101" s="671"/>
      <c r="F101" s="671"/>
      <c r="G101" s="671"/>
      <c r="H101" s="671"/>
      <c r="I101" s="671"/>
      <c r="J101" s="671"/>
      <c r="K101" s="671"/>
      <c r="L101" s="671"/>
      <c r="M101" s="671"/>
      <c r="N101" s="671"/>
      <c r="O101" s="671"/>
      <c r="P101" s="671"/>
      <c r="Q101" s="671"/>
      <c r="R101" s="671"/>
      <c r="S101" s="671"/>
      <c r="T101" s="671"/>
      <c r="U101" s="671"/>
      <c r="V101" s="671"/>
      <c r="W101" s="671"/>
      <c r="X101" s="671"/>
      <c r="Y101" s="671"/>
      <c r="Z101" s="671"/>
      <c r="AA101" s="671"/>
      <c r="AB101" s="671"/>
    </row>
    <row r="102">
      <c r="A102" s="671"/>
      <c r="B102" s="671"/>
      <c r="C102" s="671"/>
      <c r="D102" s="671"/>
      <c r="E102" s="671"/>
      <c r="F102" s="671"/>
      <c r="G102" s="671"/>
      <c r="H102" s="671"/>
      <c r="I102" s="671"/>
      <c r="J102" s="671"/>
      <c r="K102" s="671"/>
      <c r="L102" s="671"/>
      <c r="M102" s="671"/>
      <c r="N102" s="671"/>
      <c r="O102" s="671"/>
      <c r="P102" s="671"/>
      <c r="Q102" s="671"/>
      <c r="R102" s="671"/>
      <c r="S102" s="671"/>
      <c r="T102" s="671"/>
      <c r="U102" s="671"/>
      <c r="V102" s="671"/>
      <c r="W102" s="671"/>
      <c r="X102" s="671"/>
      <c r="Y102" s="671"/>
      <c r="Z102" s="671"/>
      <c r="AA102" s="671"/>
      <c r="AB102" s="671"/>
    </row>
    <row r="103">
      <c r="A103" s="671"/>
      <c r="B103" s="671"/>
      <c r="C103" s="671"/>
      <c r="D103" s="671"/>
      <c r="E103" s="671"/>
      <c r="F103" s="671"/>
      <c r="G103" s="671"/>
      <c r="H103" s="671"/>
      <c r="I103" s="671"/>
      <c r="J103" s="671"/>
      <c r="K103" s="671"/>
      <c r="L103" s="671"/>
      <c r="M103" s="671"/>
      <c r="N103" s="671"/>
      <c r="O103" s="671"/>
      <c r="P103" s="671"/>
      <c r="Q103" s="671"/>
      <c r="R103" s="671"/>
      <c r="S103" s="671"/>
      <c r="T103" s="671"/>
      <c r="U103" s="671"/>
      <c r="V103" s="671"/>
      <c r="W103" s="671"/>
      <c r="X103" s="671"/>
      <c r="Y103" s="671"/>
      <c r="Z103" s="671"/>
      <c r="AA103" s="671"/>
      <c r="AB103" s="671"/>
    </row>
    <row r="104">
      <c r="A104" s="671"/>
      <c r="B104" s="671"/>
      <c r="C104" s="671"/>
      <c r="D104" s="671"/>
      <c r="E104" s="671"/>
      <c r="F104" s="671"/>
      <c r="G104" s="671"/>
      <c r="H104" s="671"/>
      <c r="I104" s="671"/>
      <c r="J104" s="671"/>
      <c r="K104" s="671"/>
      <c r="L104" s="671"/>
      <c r="M104" s="671"/>
      <c r="N104" s="671"/>
      <c r="O104" s="671"/>
      <c r="P104" s="671"/>
      <c r="Q104" s="671"/>
      <c r="R104" s="671"/>
      <c r="S104" s="671"/>
      <c r="T104" s="671"/>
      <c r="U104" s="671"/>
      <c r="V104" s="671"/>
      <c r="W104" s="671"/>
      <c r="X104" s="671"/>
      <c r="Y104" s="671"/>
      <c r="Z104" s="671"/>
      <c r="AA104" s="671"/>
      <c r="AB104" s="671"/>
    </row>
    <row r="105">
      <c r="A105" s="671"/>
      <c r="B105" s="671"/>
      <c r="C105" s="671"/>
      <c r="D105" s="671"/>
      <c r="E105" s="671"/>
      <c r="F105" s="671"/>
      <c r="G105" s="671"/>
      <c r="H105" s="671"/>
      <c r="I105" s="671"/>
      <c r="J105" s="671"/>
      <c r="K105" s="671"/>
      <c r="L105" s="671"/>
      <c r="M105" s="671"/>
      <c r="N105" s="671"/>
      <c r="O105" s="671"/>
      <c r="P105" s="671"/>
      <c r="Q105" s="671"/>
      <c r="R105" s="671"/>
      <c r="S105" s="671"/>
      <c r="T105" s="671"/>
      <c r="U105" s="671"/>
      <c r="V105" s="671"/>
      <c r="W105" s="671"/>
      <c r="X105" s="671"/>
      <c r="Y105" s="671"/>
      <c r="Z105" s="671"/>
      <c r="AA105" s="671"/>
      <c r="AB105" s="671"/>
    </row>
    <row r="106">
      <c r="A106" s="671"/>
      <c r="B106" s="671"/>
      <c r="C106" s="671"/>
      <c r="D106" s="671"/>
      <c r="E106" s="671"/>
      <c r="F106" s="671"/>
      <c r="G106" s="671"/>
      <c r="H106" s="671"/>
      <c r="I106" s="671"/>
      <c r="J106" s="671"/>
      <c r="K106" s="671"/>
      <c r="L106" s="671"/>
      <c r="M106" s="671"/>
      <c r="N106" s="671"/>
      <c r="O106" s="671"/>
      <c r="P106" s="671"/>
      <c r="Q106" s="671"/>
      <c r="R106" s="671"/>
      <c r="S106" s="671"/>
      <c r="T106" s="671"/>
      <c r="U106" s="671"/>
      <c r="V106" s="671"/>
      <c r="W106" s="671"/>
      <c r="X106" s="671"/>
      <c r="Y106" s="671"/>
      <c r="Z106" s="671"/>
      <c r="AA106" s="671"/>
      <c r="AB106" s="671"/>
    </row>
    <row r="107">
      <c r="A107" s="671"/>
      <c r="B107" s="671"/>
      <c r="C107" s="671"/>
      <c r="D107" s="671"/>
      <c r="E107" s="671"/>
      <c r="F107" s="671"/>
      <c r="G107" s="671"/>
      <c r="H107" s="671"/>
      <c r="I107" s="671"/>
      <c r="J107" s="671"/>
      <c r="K107" s="671"/>
      <c r="L107" s="671"/>
      <c r="M107" s="671"/>
      <c r="N107" s="671"/>
      <c r="O107" s="671"/>
      <c r="P107" s="671"/>
      <c r="Q107" s="671"/>
      <c r="R107" s="671"/>
      <c r="S107" s="671"/>
      <c r="T107" s="671"/>
      <c r="U107" s="671"/>
      <c r="V107" s="671"/>
      <c r="W107" s="671"/>
      <c r="X107" s="671"/>
      <c r="Y107" s="671"/>
      <c r="Z107" s="671"/>
      <c r="AA107" s="671"/>
      <c r="AB107" s="671"/>
    </row>
    <row r="108">
      <c r="A108" s="671"/>
      <c r="B108" s="671"/>
      <c r="C108" s="671"/>
      <c r="D108" s="671"/>
      <c r="E108" s="671"/>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row>
    <row r="109">
      <c r="A109" s="671"/>
      <c r="B109" s="671"/>
      <c r="C109" s="671"/>
      <c r="D109" s="671"/>
      <c r="E109" s="671"/>
      <c r="F109" s="671"/>
      <c r="G109" s="671"/>
      <c r="H109" s="671"/>
      <c r="I109" s="671"/>
      <c r="J109" s="671"/>
      <c r="K109" s="671"/>
      <c r="L109" s="671"/>
      <c r="M109" s="671"/>
      <c r="N109" s="671"/>
      <c r="O109" s="671"/>
      <c r="P109" s="671"/>
      <c r="Q109" s="671"/>
      <c r="R109" s="671"/>
      <c r="S109" s="671"/>
      <c r="T109" s="671"/>
      <c r="U109" s="671"/>
      <c r="V109" s="671"/>
      <c r="W109" s="671"/>
      <c r="X109" s="671"/>
      <c r="Y109" s="671"/>
      <c r="Z109" s="671"/>
      <c r="AA109" s="671"/>
      <c r="AB109" s="671"/>
    </row>
    <row r="110">
      <c r="A110" s="671"/>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row>
    <row r="111">
      <c r="A111" s="671"/>
      <c r="B111" s="671"/>
      <c r="C111" s="671"/>
      <c r="D111" s="671"/>
      <c r="E111" s="671"/>
      <c r="F111" s="671"/>
      <c r="G111" s="671"/>
      <c r="H111" s="671"/>
      <c r="I111" s="671"/>
      <c r="J111" s="671"/>
      <c r="K111" s="671"/>
      <c r="L111" s="671"/>
      <c r="M111" s="671"/>
      <c r="N111" s="671"/>
      <c r="O111" s="671"/>
      <c r="P111" s="671"/>
      <c r="Q111" s="671"/>
      <c r="R111" s="671"/>
      <c r="S111" s="671"/>
      <c r="T111" s="671"/>
      <c r="U111" s="671"/>
      <c r="V111" s="671"/>
      <c r="W111" s="671"/>
      <c r="X111" s="671"/>
      <c r="Y111" s="671"/>
      <c r="Z111" s="671"/>
      <c r="AA111" s="671"/>
      <c r="AB111" s="671"/>
    </row>
    <row r="112">
      <c r="A112" s="671"/>
      <c r="B112" s="671"/>
      <c r="C112" s="671"/>
      <c r="D112" s="671"/>
      <c r="E112" s="671"/>
      <c r="F112" s="671"/>
      <c r="G112" s="671"/>
      <c r="H112" s="671"/>
      <c r="I112" s="671"/>
      <c r="J112" s="671"/>
      <c r="K112" s="671"/>
      <c r="L112" s="671"/>
      <c r="M112" s="671"/>
      <c r="N112" s="671"/>
      <c r="O112" s="671"/>
      <c r="P112" s="671"/>
      <c r="Q112" s="671"/>
      <c r="R112" s="671"/>
      <c r="S112" s="671"/>
      <c r="T112" s="671"/>
      <c r="U112" s="671"/>
      <c r="V112" s="671"/>
      <c r="W112" s="671"/>
      <c r="X112" s="671"/>
      <c r="Y112" s="671"/>
      <c r="Z112" s="671"/>
      <c r="AA112" s="671"/>
      <c r="AB112" s="671"/>
    </row>
    <row r="113">
      <c r="A113" s="671"/>
      <c r="B113" s="671"/>
      <c r="C113" s="671"/>
      <c r="D113" s="671"/>
      <c r="E113" s="671"/>
      <c r="F113" s="671"/>
      <c r="G113" s="671"/>
      <c r="H113" s="671"/>
      <c r="I113" s="671"/>
      <c r="J113" s="671"/>
      <c r="K113" s="671"/>
      <c r="L113" s="671"/>
      <c r="M113" s="671"/>
      <c r="N113" s="671"/>
      <c r="O113" s="671"/>
      <c r="P113" s="671"/>
      <c r="Q113" s="671"/>
      <c r="R113" s="671"/>
      <c r="S113" s="671"/>
      <c r="T113" s="671"/>
      <c r="U113" s="671"/>
      <c r="V113" s="671"/>
      <c r="W113" s="671"/>
      <c r="X113" s="671"/>
      <c r="Y113" s="671"/>
      <c r="Z113" s="671"/>
      <c r="AA113" s="671"/>
      <c r="AB113" s="671"/>
    </row>
    <row r="114">
      <c r="A114" s="671"/>
      <c r="B114" s="671"/>
      <c r="C114" s="671"/>
      <c r="D114" s="671"/>
      <c r="E114" s="671"/>
      <c r="F114" s="671"/>
      <c r="G114" s="671"/>
      <c r="H114" s="671"/>
      <c r="I114" s="671"/>
      <c r="J114" s="671"/>
      <c r="K114" s="671"/>
      <c r="L114" s="671"/>
      <c r="M114" s="671"/>
      <c r="N114" s="671"/>
      <c r="O114" s="671"/>
      <c r="P114" s="671"/>
      <c r="Q114" s="671"/>
      <c r="R114" s="671"/>
      <c r="S114" s="671"/>
      <c r="T114" s="671"/>
      <c r="U114" s="671"/>
      <c r="V114" s="671"/>
      <c r="W114" s="671"/>
      <c r="X114" s="671"/>
      <c r="Y114" s="671"/>
      <c r="Z114" s="671"/>
      <c r="AA114" s="671"/>
      <c r="AB114" s="671"/>
    </row>
    <row r="115">
      <c r="A115" s="671"/>
      <c r="B115" s="671"/>
      <c r="C115" s="671"/>
      <c r="D115" s="671"/>
      <c r="E115" s="671"/>
      <c r="F115" s="671"/>
      <c r="G115" s="671"/>
      <c r="H115" s="671"/>
      <c r="I115" s="671"/>
      <c r="J115" s="671"/>
      <c r="K115" s="671"/>
      <c r="L115" s="671"/>
      <c r="M115" s="671"/>
      <c r="N115" s="671"/>
      <c r="O115" s="671"/>
      <c r="P115" s="671"/>
      <c r="Q115" s="671"/>
      <c r="R115" s="671"/>
      <c r="S115" s="671"/>
      <c r="T115" s="671"/>
      <c r="U115" s="671"/>
      <c r="V115" s="671"/>
      <c r="W115" s="671"/>
      <c r="X115" s="671"/>
      <c r="Y115" s="671"/>
      <c r="Z115" s="671"/>
      <c r="AA115" s="671"/>
      <c r="AB115" s="671"/>
    </row>
    <row r="116">
      <c r="A116" s="671"/>
      <c r="B116" s="671"/>
      <c r="C116" s="671"/>
      <c r="D116" s="671"/>
      <c r="E116" s="671"/>
      <c r="F116" s="671"/>
      <c r="G116" s="671"/>
      <c r="H116" s="671"/>
      <c r="I116" s="671"/>
      <c r="J116" s="671"/>
      <c r="K116" s="671"/>
      <c r="L116" s="671"/>
      <c r="M116" s="671"/>
      <c r="N116" s="671"/>
      <c r="O116" s="671"/>
      <c r="P116" s="671"/>
      <c r="Q116" s="671"/>
      <c r="R116" s="671"/>
      <c r="S116" s="671"/>
      <c r="T116" s="671"/>
      <c r="U116" s="671"/>
      <c r="V116" s="671"/>
      <c r="W116" s="671"/>
      <c r="X116" s="671"/>
      <c r="Y116" s="671"/>
      <c r="Z116" s="671"/>
      <c r="AA116" s="671"/>
      <c r="AB116" s="671"/>
    </row>
    <row r="117">
      <c r="A117" s="671"/>
      <c r="B117" s="671"/>
      <c r="C117" s="671"/>
      <c r="D117" s="671"/>
      <c r="E117" s="671"/>
      <c r="F117" s="671"/>
      <c r="G117" s="671"/>
      <c r="H117" s="671"/>
      <c r="I117" s="671"/>
      <c r="J117" s="671"/>
      <c r="K117" s="671"/>
      <c r="L117" s="671"/>
      <c r="M117" s="671"/>
      <c r="N117" s="671"/>
      <c r="O117" s="671"/>
      <c r="P117" s="671"/>
      <c r="Q117" s="671"/>
      <c r="R117" s="671"/>
      <c r="S117" s="671"/>
      <c r="T117" s="671"/>
      <c r="U117" s="671"/>
      <c r="V117" s="671"/>
      <c r="W117" s="671"/>
      <c r="X117" s="671"/>
      <c r="Y117" s="671"/>
      <c r="Z117" s="671"/>
      <c r="AA117" s="671"/>
      <c r="AB117" s="671"/>
    </row>
    <row r="118">
      <c r="A118" s="671"/>
      <c r="B118" s="671"/>
      <c r="C118" s="671"/>
      <c r="D118" s="671"/>
      <c r="E118" s="671"/>
      <c r="F118" s="671"/>
      <c r="G118" s="671"/>
      <c r="H118" s="671"/>
      <c r="I118" s="671"/>
      <c r="J118" s="671"/>
      <c r="K118" s="671"/>
      <c r="L118" s="671"/>
      <c r="M118" s="671"/>
      <c r="N118" s="671"/>
      <c r="O118" s="671"/>
      <c r="P118" s="671"/>
      <c r="Q118" s="671"/>
      <c r="R118" s="671"/>
      <c r="S118" s="671"/>
      <c r="T118" s="671"/>
      <c r="U118" s="671"/>
      <c r="V118" s="671"/>
      <c r="W118" s="671"/>
      <c r="X118" s="671"/>
      <c r="Y118" s="671"/>
      <c r="Z118" s="671"/>
      <c r="AA118" s="671"/>
      <c r="AB118" s="671"/>
    </row>
    <row r="119">
      <c r="A119" s="671"/>
      <c r="B119" s="671"/>
      <c r="C119" s="671"/>
      <c r="D119" s="671"/>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671"/>
      <c r="AA119" s="671"/>
      <c r="AB119" s="671"/>
    </row>
    <row r="120">
      <c r="A120" s="671"/>
      <c r="B120" s="671"/>
      <c r="C120" s="671"/>
      <c r="D120" s="671"/>
      <c r="E120" s="671"/>
      <c r="F120" s="671"/>
      <c r="G120" s="671"/>
      <c r="H120" s="671"/>
      <c r="I120" s="671"/>
      <c r="J120" s="671"/>
      <c r="K120" s="671"/>
      <c r="L120" s="671"/>
      <c r="M120" s="671"/>
      <c r="N120" s="671"/>
      <c r="O120" s="671"/>
      <c r="P120" s="671"/>
      <c r="Q120" s="671"/>
      <c r="R120" s="671"/>
      <c r="S120" s="671"/>
      <c r="T120" s="671"/>
      <c r="U120" s="671"/>
      <c r="V120" s="671"/>
      <c r="W120" s="671"/>
      <c r="X120" s="671"/>
      <c r="Y120" s="671"/>
      <c r="Z120" s="671"/>
      <c r="AA120" s="671"/>
      <c r="AB120" s="671"/>
    </row>
    <row r="121">
      <c r="A121" s="671"/>
      <c r="B121" s="671"/>
      <c r="C121" s="671"/>
      <c r="D121" s="671"/>
      <c r="E121" s="671"/>
      <c r="F121" s="671"/>
      <c r="G121" s="671"/>
      <c r="H121" s="671"/>
      <c r="I121" s="671"/>
      <c r="J121" s="671"/>
      <c r="K121" s="671"/>
      <c r="L121" s="671"/>
      <c r="M121" s="671"/>
      <c r="N121" s="671"/>
      <c r="O121" s="671"/>
      <c r="P121" s="671"/>
      <c r="Q121" s="671"/>
      <c r="R121" s="671"/>
      <c r="S121" s="671"/>
      <c r="T121" s="671"/>
      <c r="U121" s="671"/>
      <c r="V121" s="671"/>
      <c r="W121" s="671"/>
      <c r="X121" s="671"/>
      <c r="Y121" s="671"/>
      <c r="Z121" s="671"/>
      <c r="AA121" s="671"/>
      <c r="AB121" s="671"/>
    </row>
    <row r="122">
      <c r="A122" s="671"/>
      <c r="B122" s="671"/>
      <c r="C122" s="671"/>
      <c r="D122" s="671"/>
      <c r="E122" s="671"/>
      <c r="F122" s="671"/>
      <c r="G122" s="671"/>
      <c r="H122" s="671"/>
      <c r="I122" s="671"/>
      <c r="J122" s="671"/>
      <c r="K122" s="671"/>
      <c r="L122" s="671"/>
      <c r="M122" s="671"/>
      <c r="N122" s="671"/>
      <c r="O122" s="671"/>
      <c r="P122" s="671"/>
      <c r="Q122" s="671"/>
      <c r="R122" s="671"/>
      <c r="S122" s="671"/>
      <c r="T122" s="671"/>
      <c r="U122" s="671"/>
      <c r="V122" s="671"/>
      <c r="W122" s="671"/>
      <c r="X122" s="671"/>
      <c r="Y122" s="671"/>
      <c r="Z122" s="671"/>
      <c r="AA122" s="671"/>
      <c r="AB122" s="671"/>
    </row>
    <row r="123">
      <c r="A123" s="671"/>
      <c r="B123" s="671"/>
      <c r="C123" s="671"/>
      <c r="D123" s="671"/>
      <c r="E123" s="671"/>
      <c r="F123" s="671"/>
      <c r="G123" s="671"/>
      <c r="H123" s="671"/>
      <c r="I123" s="671"/>
      <c r="J123" s="671"/>
      <c r="K123" s="671"/>
      <c r="L123" s="671"/>
      <c r="M123" s="671"/>
      <c r="N123" s="671"/>
      <c r="O123" s="671"/>
      <c r="P123" s="671"/>
      <c r="Q123" s="671"/>
      <c r="R123" s="671"/>
      <c r="S123" s="671"/>
      <c r="T123" s="671"/>
      <c r="U123" s="671"/>
      <c r="V123" s="671"/>
      <c r="W123" s="671"/>
      <c r="X123" s="671"/>
      <c r="Y123" s="671"/>
      <c r="Z123" s="671"/>
      <c r="AA123" s="671"/>
      <c r="AB123" s="671"/>
    </row>
    <row r="124">
      <c r="A124" s="671"/>
      <c r="B124" s="671"/>
      <c r="C124" s="671"/>
      <c r="D124" s="671"/>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671"/>
      <c r="AA124" s="671"/>
      <c r="AB124" s="671"/>
    </row>
    <row r="125">
      <c r="A125" s="671"/>
      <c r="B125" s="671"/>
      <c r="C125" s="671"/>
      <c r="D125" s="671"/>
      <c r="E125" s="671"/>
      <c r="F125" s="671"/>
      <c r="G125" s="671"/>
      <c r="H125" s="671"/>
      <c r="I125" s="671"/>
      <c r="J125" s="671"/>
      <c r="K125" s="671"/>
      <c r="L125" s="671"/>
      <c r="M125" s="671"/>
      <c r="N125" s="671"/>
      <c r="O125" s="671"/>
      <c r="P125" s="671"/>
      <c r="Q125" s="671"/>
      <c r="R125" s="671"/>
      <c r="S125" s="671"/>
      <c r="T125" s="671"/>
      <c r="U125" s="671"/>
      <c r="V125" s="671"/>
      <c r="W125" s="671"/>
      <c r="X125" s="671"/>
      <c r="Y125" s="671"/>
      <c r="Z125" s="671"/>
      <c r="AA125" s="671"/>
      <c r="AB125" s="671"/>
    </row>
    <row r="126">
      <c r="A126" s="671"/>
      <c r="B126" s="671"/>
      <c r="C126" s="671"/>
      <c r="D126" s="671"/>
      <c r="E126" s="671"/>
      <c r="F126" s="671"/>
      <c r="G126" s="671"/>
      <c r="H126" s="671"/>
      <c r="I126" s="671"/>
      <c r="J126" s="671"/>
      <c r="K126" s="671"/>
      <c r="L126" s="671"/>
      <c r="M126" s="671"/>
      <c r="N126" s="671"/>
      <c r="O126" s="671"/>
      <c r="P126" s="671"/>
      <c r="Q126" s="671"/>
      <c r="R126" s="671"/>
      <c r="S126" s="671"/>
      <c r="T126" s="671"/>
      <c r="U126" s="671"/>
      <c r="V126" s="671"/>
      <c r="W126" s="671"/>
      <c r="X126" s="671"/>
      <c r="Y126" s="671"/>
      <c r="Z126" s="671"/>
      <c r="AA126" s="671"/>
      <c r="AB126" s="671"/>
    </row>
    <row r="127">
      <c r="A127" s="671"/>
      <c r="B127" s="671"/>
      <c r="C127" s="671"/>
      <c r="D127" s="671"/>
      <c r="E127" s="671"/>
      <c r="F127" s="671"/>
      <c r="G127" s="671"/>
      <c r="H127" s="671"/>
      <c r="I127" s="671"/>
      <c r="J127" s="671"/>
      <c r="K127" s="671"/>
      <c r="L127" s="671"/>
      <c r="M127" s="671"/>
      <c r="N127" s="671"/>
      <c r="O127" s="671"/>
      <c r="P127" s="671"/>
      <c r="Q127" s="671"/>
      <c r="R127" s="671"/>
      <c r="S127" s="671"/>
      <c r="T127" s="671"/>
      <c r="U127" s="671"/>
      <c r="V127" s="671"/>
      <c r="W127" s="671"/>
      <c r="X127" s="671"/>
      <c r="Y127" s="671"/>
      <c r="Z127" s="671"/>
      <c r="AA127" s="671"/>
      <c r="AB127" s="671"/>
    </row>
    <row r="128">
      <c r="A128" s="671"/>
      <c r="B128" s="671"/>
      <c r="C128" s="671"/>
      <c r="D128" s="671"/>
      <c r="E128" s="671"/>
      <c r="F128" s="671"/>
      <c r="G128" s="671"/>
      <c r="H128" s="671"/>
      <c r="I128" s="671"/>
      <c r="J128" s="671"/>
      <c r="K128" s="671"/>
      <c r="L128" s="671"/>
      <c r="M128" s="671"/>
      <c r="N128" s="671"/>
      <c r="O128" s="671"/>
      <c r="P128" s="671"/>
      <c r="Q128" s="671"/>
      <c r="R128" s="671"/>
      <c r="S128" s="671"/>
      <c r="T128" s="671"/>
      <c r="U128" s="671"/>
      <c r="V128" s="671"/>
      <c r="W128" s="671"/>
      <c r="X128" s="671"/>
      <c r="Y128" s="671"/>
      <c r="Z128" s="671"/>
      <c r="AA128" s="671"/>
      <c r="AB128" s="671"/>
    </row>
    <row r="129">
      <c r="A129" s="671"/>
      <c r="B129" s="671"/>
      <c r="C129" s="671"/>
      <c r="D129" s="671"/>
      <c r="E129" s="671"/>
      <c r="F129" s="671"/>
      <c r="G129" s="671"/>
      <c r="H129" s="671"/>
      <c r="I129" s="671"/>
      <c r="J129" s="671"/>
      <c r="K129" s="671"/>
      <c r="L129" s="671"/>
      <c r="M129" s="671"/>
      <c r="N129" s="671"/>
      <c r="O129" s="671"/>
      <c r="P129" s="671"/>
      <c r="Q129" s="671"/>
      <c r="R129" s="671"/>
      <c r="S129" s="671"/>
      <c r="T129" s="671"/>
      <c r="U129" s="671"/>
      <c r="V129" s="671"/>
      <c r="W129" s="671"/>
      <c r="X129" s="671"/>
      <c r="Y129" s="671"/>
      <c r="Z129" s="671"/>
      <c r="AA129" s="671"/>
      <c r="AB129" s="671"/>
    </row>
    <row r="130">
      <c r="A130" s="671"/>
      <c r="B130" s="671"/>
      <c r="C130" s="671"/>
      <c r="D130" s="671"/>
      <c r="E130" s="671"/>
      <c r="F130" s="671"/>
      <c r="G130" s="671"/>
      <c r="H130" s="671"/>
      <c r="I130" s="671"/>
      <c r="J130" s="671"/>
      <c r="K130" s="671"/>
      <c r="L130" s="671"/>
      <c r="M130" s="671"/>
      <c r="N130" s="671"/>
      <c r="O130" s="671"/>
      <c r="P130" s="671"/>
      <c r="Q130" s="671"/>
      <c r="R130" s="671"/>
      <c r="S130" s="671"/>
      <c r="T130" s="671"/>
      <c r="U130" s="671"/>
      <c r="V130" s="671"/>
      <c r="W130" s="671"/>
      <c r="X130" s="671"/>
      <c r="Y130" s="671"/>
      <c r="Z130" s="671"/>
      <c r="AA130" s="671"/>
      <c r="AB130" s="671"/>
    </row>
    <row r="131">
      <c r="A131" s="671"/>
      <c r="B131" s="671"/>
      <c r="C131" s="671"/>
      <c r="D131" s="671"/>
      <c r="E131" s="671"/>
      <c r="F131" s="671"/>
      <c r="G131" s="671"/>
      <c r="H131" s="671"/>
      <c r="I131" s="671"/>
      <c r="J131" s="671"/>
      <c r="K131" s="671"/>
      <c r="L131" s="671"/>
      <c r="M131" s="671"/>
      <c r="N131" s="671"/>
      <c r="O131" s="671"/>
      <c r="P131" s="671"/>
      <c r="Q131" s="671"/>
      <c r="R131" s="671"/>
      <c r="S131" s="671"/>
      <c r="T131" s="671"/>
      <c r="U131" s="671"/>
      <c r="V131" s="671"/>
      <c r="W131" s="671"/>
      <c r="X131" s="671"/>
      <c r="Y131" s="671"/>
      <c r="Z131" s="671"/>
      <c r="AA131" s="671"/>
      <c r="AB131" s="671"/>
    </row>
    <row r="132">
      <c r="A132" s="671"/>
      <c r="B132" s="671"/>
      <c r="C132" s="671"/>
      <c r="D132" s="671"/>
      <c r="E132" s="671"/>
      <c r="F132" s="671"/>
      <c r="G132" s="671"/>
      <c r="H132" s="671"/>
      <c r="I132" s="671"/>
      <c r="J132" s="671"/>
      <c r="K132" s="671"/>
      <c r="L132" s="671"/>
      <c r="M132" s="671"/>
      <c r="N132" s="671"/>
      <c r="O132" s="671"/>
      <c r="P132" s="671"/>
      <c r="Q132" s="671"/>
      <c r="R132" s="671"/>
      <c r="S132" s="671"/>
      <c r="T132" s="671"/>
      <c r="U132" s="671"/>
      <c r="V132" s="671"/>
      <c r="W132" s="671"/>
      <c r="X132" s="671"/>
      <c r="Y132" s="671"/>
      <c r="Z132" s="671"/>
      <c r="AA132" s="671"/>
      <c r="AB132" s="671"/>
    </row>
    <row r="133">
      <c r="A133" s="671"/>
      <c r="B133" s="671"/>
      <c r="C133" s="671"/>
      <c r="D133" s="671"/>
      <c r="E133" s="671"/>
      <c r="F133" s="671"/>
      <c r="G133" s="671"/>
      <c r="H133" s="671"/>
      <c r="I133" s="671"/>
      <c r="J133" s="671"/>
      <c r="K133" s="671"/>
      <c r="L133" s="671"/>
      <c r="M133" s="671"/>
      <c r="N133" s="671"/>
      <c r="O133" s="671"/>
      <c r="P133" s="671"/>
      <c r="Q133" s="671"/>
      <c r="R133" s="671"/>
      <c r="S133" s="671"/>
      <c r="T133" s="671"/>
      <c r="U133" s="671"/>
      <c r="V133" s="671"/>
      <c r="W133" s="671"/>
      <c r="X133" s="671"/>
      <c r="Y133" s="671"/>
      <c r="Z133" s="671"/>
      <c r="AA133" s="671"/>
      <c r="AB133" s="671"/>
    </row>
    <row r="134">
      <c r="A134" s="671"/>
      <c r="B134" s="671"/>
      <c r="C134" s="671"/>
      <c r="D134" s="671"/>
      <c r="E134" s="671"/>
      <c r="F134" s="671"/>
      <c r="G134" s="671"/>
      <c r="H134" s="671"/>
      <c r="I134" s="671"/>
      <c r="J134" s="671"/>
      <c r="K134" s="671"/>
      <c r="L134" s="671"/>
      <c r="M134" s="671"/>
      <c r="N134" s="671"/>
      <c r="O134" s="671"/>
      <c r="P134" s="671"/>
      <c r="Q134" s="671"/>
      <c r="R134" s="671"/>
      <c r="S134" s="671"/>
      <c r="T134" s="671"/>
      <c r="U134" s="671"/>
      <c r="V134" s="671"/>
      <c r="W134" s="671"/>
      <c r="X134" s="671"/>
      <c r="Y134" s="671"/>
      <c r="Z134" s="671"/>
      <c r="AA134" s="671"/>
      <c r="AB134" s="671"/>
    </row>
    <row r="135">
      <c r="A135" s="671"/>
      <c r="B135" s="671"/>
      <c r="C135" s="671"/>
      <c r="D135" s="671"/>
      <c r="E135" s="671"/>
      <c r="F135" s="671"/>
      <c r="G135" s="671"/>
      <c r="H135" s="671"/>
      <c r="I135" s="671"/>
      <c r="J135" s="671"/>
      <c r="K135" s="671"/>
      <c r="L135" s="671"/>
      <c r="M135" s="671"/>
      <c r="N135" s="671"/>
      <c r="O135" s="671"/>
      <c r="P135" s="671"/>
      <c r="Q135" s="671"/>
      <c r="R135" s="671"/>
      <c r="S135" s="671"/>
      <c r="T135" s="671"/>
      <c r="U135" s="671"/>
      <c r="V135" s="671"/>
      <c r="W135" s="671"/>
      <c r="X135" s="671"/>
      <c r="Y135" s="671"/>
      <c r="Z135" s="671"/>
      <c r="AA135" s="671"/>
      <c r="AB135" s="671"/>
    </row>
    <row r="136">
      <c r="A136" s="671"/>
      <c r="B136" s="671"/>
      <c r="C136" s="671"/>
      <c r="D136" s="671"/>
      <c r="E136" s="671"/>
      <c r="F136" s="671"/>
      <c r="G136" s="671"/>
      <c r="H136" s="671"/>
      <c r="I136" s="671"/>
      <c r="J136" s="671"/>
      <c r="K136" s="671"/>
      <c r="L136" s="671"/>
      <c r="M136" s="671"/>
      <c r="N136" s="671"/>
      <c r="O136" s="671"/>
      <c r="P136" s="671"/>
      <c r="Q136" s="671"/>
      <c r="R136" s="671"/>
      <c r="S136" s="671"/>
      <c r="T136" s="671"/>
      <c r="U136" s="671"/>
      <c r="V136" s="671"/>
      <c r="W136" s="671"/>
      <c r="X136" s="671"/>
      <c r="Y136" s="671"/>
      <c r="Z136" s="671"/>
      <c r="AA136" s="671"/>
      <c r="AB136" s="671"/>
    </row>
    <row r="137">
      <c r="A137" s="671"/>
      <c r="B137" s="671"/>
      <c r="C137" s="671"/>
      <c r="D137" s="671"/>
      <c r="E137" s="671"/>
      <c r="F137" s="671"/>
      <c r="G137" s="671"/>
      <c r="H137" s="671"/>
      <c r="I137" s="671"/>
      <c r="J137" s="671"/>
      <c r="K137" s="671"/>
      <c r="L137" s="671"/>
      <c r="M137" s="671"/>
      <c r="N137" s="671"/>
      <c r="O137" s="671"/>
      <c r="P137" s="671"/>
      <c r="Q137" s="671"/>
      <c r="R137" s="671"/>
      <c r="S137" s="671"/>
      <c r="T137" s="671"/>
      <c r="U137" s="671"/>
      <c r="V137" s="671"/>
      <c r="W137" s="671"/>
      <c r="X137" s="671"/>
      <c r="Y137" s="671"/>
      <c r="Z137" s="671"/>
      <c r="AA137" s="671"/>
      <c r="AB137" s="671"/>
    </row>
    <row r="138">
      <c r="A138" s="671"/>
      <c r="B138" s="671"/>
      <c r="C138" s="671"/>
      <c r="D138" s="671"/>
      <c r="E138" s="671"/>
      <c r="F138" s="671"/>
      <c r="G138" s="671"/>
      <c r="H138" s="671"/>
      <c r="I138" s="671"/>
      <c r="J138" s="671"/>
      <c r="K138" s="671"/>
      <c r="L138" s="671"/>
      <c r="M138" s="671"/>
      <c r="N138" s="671"/>
      <c r="O138" s="671"/>
      <c r="P138" s="671"/>
      <c r="Q138" s="671"/>
      <c r="R138" s="671"/>
      <c r="S138" s="671"/>
      <c r="T138" s="671"/>
      <c r="U138" s="671"/>
      <c r="V138" s="671"/>
      <c r="W138" s="671"/>
      <c r="X138" s="671"/>
      <c r="Y138" s="671"/>
      <c r="Z138" s="671"/>
      <c r="AA138" s="671"/>
      <c r="AB138" s="671"/>
    </row>
    <row r="139">
      <c r="A139" s="671"/>
      <c r="B139" s="671"/>
      <c r="C139" s="671"/>
      <c r="D139" s="671"/>
      <c r="E139" s="671"/>
      <c r="F139" s="671"/>
      <c r="G139" s="671"/>
      <c r="H139" s="671"/>
      <c r="I139" s="671"/>
      <c r="J139" s="671"/>
      <c r="K139" s="671"/>
      <c r="L139" s="671"/>
      <c r="M139" s="671"/>
      <c r="N139" s="671"/>
      <c r="O139" s="671"/>
      <c r="P139" s="671"/>
      <c r="Q139" s="671"/>
      <c r="R139" s="671"/>
      <c r="S139" s="671"/>
      <c r="T139" s="671"/>
      <c r="U139" s="671"/>
      <c r="V139" s="671"/>
      <c r="W139" s="671"/>
      <c r="X139" s="671"/>
      <c r="Y139" s="671"/>
      <c r="Z139" s="671"/>
      <c r="AA139" s="671"/>
      <c r="AB139" s="671"/>
    </row>
    <row r="140">
      <c r="A140" s="671"/>
      <c r="B140" s="671"/>
      <c r="C140" s="671"/>
      <c r="D140" s="671"/>
      <c r="E140" s="671"/>
      <c r="F140" s="671"/>
      <c r="G140" s="671"/>
      <c r="H140" s="671"/>
      <c r="I140" s="671"/>
      <c r="J140" s="671"/>
      <c r="K140" s="671"/>
      <c r="L140" s="671"/>
      <c r="M140" s="671"/>
      <c r="N140" s="671"/>
      <c r="O140" s="671"/>
      <c r="P140" s="671"/>
      <c r="Q140" s="671"/>
      <c r="R140" s="671"/>
      <c r="S140" s="671"/>
      <c r="T140" s="671"/>
      <c r="U140" s="671"/>
      <c r="V140" s="671"/>
      <c r="W140" s="671"/>
      <c r="X140" s="671"/>
      <c r="Y140" s="671"/>
      <c r="Z140" s="671"/>
      <c r="AA140" s="671"/>
      <c r="AB140" s="671"/>
    </row>
    <row r="141">
      <c r="A141" s="671"/>
      <c r="B141" s="671"/>
      <c r="C141" s="671"/>
      <c r="D141" s="671"/>
      <c r="E141" s="671"/>
      <c r="F141" s="671"/>
      <c r="G141" s="671"/>
      <c r="H141" s="671"/>
      <c r="I141" s="671"/>
      <c r="J141" s="671"/>
      <c r="K141" s="671"/>
      <c r="L141" s="671"/>
      <c r="M141" s="671"/>
      <c r="N141" s="671"/>
      <c r="O141" s="671"/>
      <c r="P141" s="671"/>
      <c r="Q141" s="671"/>
      <c r="R141" s="671"/>
      <c r="S141" s="671"/>
      <c r="T141" s="671"/>
      <c r="U141" s="671"/>
      <c r="V141" s="671"/>
      <c r="W141" s="671"/>
      <c r="X141" s="671"/>
      <c r="Y141" s="671"/>
      <c r="Z141" s="671"/>
      <c r="AA141" s="671"/>
      <c r="AB141" s="671"/>
    </row>
    <row r="142">
      <c r="A142" s="671"/>
      <c r="B142" s="671"/>
      <c r="C142" s="671"/>
      <c r="D142" s="671"/>
      <c r="E142" s="671"/>
      <c r="F142" s="671"/>
      <c r="G142" s="671"/>
      <c r="H142" s="671"/>
      <c r="I142" s="671"/>
      <c r="J142" s="671"/>
      <c r="K142" s="671"/>
      <c r="L142" s="671"/>
      <c r="M142" s="671"/>
      <c r="N142" s="671"/>
      <c r="O142" s="671"/>
      <c r="P142" s="671"/>
      <c r="Q142" s="671"/>
      <c r="R142" s="671"/>
      <c r="S142" s="671"/>
      <c r="T142" s="671"/>
      <c r="U142" s="671"/>
      <c r="V142" s="671"/>
      <c r="W142" s="671"/>
      <c r="X142" s="671"/>
      <c r="Y142" s="671"/>
      <c r="Z142" s="671"/>
      <c r="AA142" s="671"/>
      <c r="AB142" s="671"/>
    </row>
    <row r="143">
      <c r="A143" s="671"/>
      <c r="B143" s="671"/>
      <c r="C143" s="671"/>
      <c r="D143" s="671"/>
      <c r="E143" s="671"/>
      <c r="F143" s="671"/>
      <c r="G143" s="671"/>
      <c r="H143" s="671"/>
      <c r="I143" s="671"/>
      <c r="J143" s="671"/>
      <c r="K143" s="671"/>
      <c r="L143" s="671"/>
      <c r="M143" s="671"/>
      <c r="N143" s="671"/>
      <c r="O143" s="671"/>
      <c r="P143" s="671"/>
      <c r="Q143" s="671"/>
      <c r="R143" s="671"/>
      <c r="S143" s="671"/>
      <c r="T143" s="671"/>
      <c r="U143" s="671"/>
      <c r="V143" s="671"/>
      <c r="W143" s="671"/>
      <c r="X143" s="671"/>
      <c r="Y143" s="671"/>
      <c r="Z143" s="671"/>
      <c r="AA143" s="671"/>
      <c r="AB143" s="671"/>
    </row>
    <row r="144">
      <c r="A144" s="671"/>
      <c r="B144" s="671"/>
      <c r="C144" s="671"/>
      <c r="D144" s="671"/>
      <c r="E144" s="671"/>
      <c r="F144" s="671"/>
      <c r="G144" s="671"/>
      <c r="H144" s="671"/>
      <c r="I144" s="671"/>
      <c r="J144" s="671"/>
      <c r="K144" s="671"/>
      <c r="L144" s="671"/>
      <c r="M144" s="671"/>
      <c r="N144" s="671"/>
      <c r="O144" s="671"/>
      <c r="P144" s="671"/>
      <c r="Q144" s="671"/>
      <c r="R144" s="671"/>
      <c r="S144" s="671"/>
      <c r="T144" s="671"/>
      <c r="U144" s="671"/>
      <c r="V144" s="671"/>
      <c r="W144" s="671"/>
      <c r="X144" s="671"/>
      <c r="Y144" s="671"/>
      <c r="Z144" s="671"/>
      <c r="AA144" s="671"/>
      <c r="AB144" s="671"/>
    </row>
    <row r="145">
      <c r="A145" s="671"/>
      <c r="B145" s="671"/>
      <c r="C145" s="671"/>
      <c r="D145" s="671"/>
      <c r="E145" s="671"/>
      <c r="F145" s="671"/>
      <c r="G145" s="671"/>
      <c r="H145" s="671"/>
      <c r="I145" s="671"/>
      <c r="J145" s="671"/>
      <c r="K145" s="671"/>
      <c r="L145" s="671"/>
      <c r="M145" s="671"/>
      <c r="N145" s="671"/>
      <c r="O145" s="671"/>
      <c r="P145" s="671"/>
      <c r="Q145" s="671"/>
      <c r="R145" s="671"/>
      <c r="S145" s="671"/>
      <c r="T145" s="671"/>
      <c r="U145" s="671"/>
      <c r="V145" s="671"/>
      <c r="W145" s="671"/>
      <c r="X145" s="671"/>
      <c r="Y145" s="671"/>
      <c r="Z145" s="671"/>
      <c r="AA145" s="671"/>
      <c r="AB145" s="671"/>
    </row>
    <row r="146">
      <c r="A146" s="671"/>
      <c r="B146" s="671"/>
      <c r="C146" s="671"/>
      <c r="D146" s="671"/>
      <c r="E146" s="671"/>
      <c r="F146" s="671"/>
      <c r="G146" s="671"/>
      <c r="H146" s="671"/>
      <c r="I146" s="671"/>
      <c r="J146" s="671"/>
      <c r="K146" s="671"/>
      <c r="L146" s="671"/>
      <c r="M146" s="671"/>
      <c r="N146" s="671"/>
      <c r="O146" s="671"/>
      <c r="P146" s="671"/>
      <c r="Q146" s="671"/>
      <c r="R146" s="671"/>
      <c r="S146" s="671"/>
      <c r="T146" s="671"/>
      <c r="U146" s="671"/>
      <c r="V146" s="671"/>
      <c r="W146" s="671"/>
      <c r="X146" s="671"/>
      <c r="Y146" s="671"/>
      <c r="Z146" s="671"/>
      <c r="AA146" s="671"/>
      <c r="AB146" s="671"/>
    </row>
    <row r="147">
      <c r="A147" s="671"/>
      <c r="B147" s="671"/>
      <c r="C147" s="671"/>
      <c r="D147" s="671"/>
      <c r="E147" s="671"/>
      <c r="F147" s="671"/>
      <c r="G147" s="671"/>
      <c r="H147" s="671"/>
      <c r="I147" s="671"/>
      <c r="J147" s="671"/>
      <c r="K147" s="671"/>
      <c r="L147" s="671"/>
      <c r="M147" s="671"/>
      <c r="N147" s="671"/>
      <c r="O147" s="671"/>
      <c r="P147" s="671"/>
      <c r="Q147" s="671"/>
      <c r="R147" s="671"/>
      <c r="S147" s="671"/>
      <c r="T147" s="671"/>
      <c r="U147" s="671"/>
      <c r="V147" s="671"/>
      <c r="W147" s="671"/>
      <c r="X147" s="671"/>
      <c r="Y147" s="671"/>
      <c r="Z147" s="671"/>
      <c r="AA147" s="671"/>
      <c r="AB147" s="671"/>
    </row>
    <row r="148">
      <c r="A148" s="671"/>
      <c r="B148" s="671"/>
      <c r="C148" s="671"/>
      <c r="D148" s="671"/>
      <c r="E148" s="671"/>
      <c r="F148" s="671"/>
      <c r="G148" s="671"/>
      <c r="H148" s="671"/>
      <c r="I148" s="671"/>
      <c r="J148" s="671"/>
      <c r="K148" s="671"/>
      <c r="L148" s="671"/>
      <c r="M148" s="671"/>
      <c r="N148" s="671"/>
      <c r="O148" s="671"/>
      <c r="P148" s="671"/>
      <c r="Q148" s="671"/>
      <c r="R148" s="671"/>
      <c r="S148" s="671"/>
      <c r="T148" s="671"/>
      <c r="U148" s="671"/>
      <c r="V148" s="671"/>
      <c r="W148" s="671"/>
      <c r="X148" s="671"/>
      <c r="Y148" s="671"/>
      <c r="Z148" s="671"/>
      <c r="AA148" s="671"/>
      <c r="AB148" s="671"/>
    </row>
    <row r="149">
      <c r="A149" s="671"/>
      <c r="B149" s="671"/>
      <c r="C149" s="671"/>
      <c r="D149" s="671"/>
      <c r="E149" s="671"/>
      <c r="F149" s="671"/>
      <c r="G149" s="671"/>
      <c r="H149" s="671"/>
      <c r="I149" s="671"/>
      <c r="J149" s="671"/>
      <c r="K149" s="671"/>
      <c r="L149" s="671"/>
      <c r="M149" s="671"/>
      <c r="N149" s="671"/>
      <c r="O149" s="671"/>
      <c r="P149" s="671"/>
      <c r="Q149" s="671"/>
      <c r="R149" s="671"/>
      <c r="S149" s="671"/>
      <c r="T149" s="671"/>
      <c r="U149" s="671"/>
      <c r="V149" s="671"/>
      <c r="W149" s="671"/>
      <c r="X149" s="671"/>
      <c r="Y149" s="671"/>
      <c r="Z149" s="671"/>
      <c r="AA149" s="671"/>
      <c r="AB149" s="671"/>
    </row>
    <row r="150">
      <c r="A150" s="671"/>
      <c r="B150" s="671"/>
      <c r="C150" s="671"/>
      <c r="D150" s="671"/>
      <c r="E150" s="671"/>
      <c r="F150" s="671"/>
      <c r="G150" s="671"/>
      <c r="H150" s="671"/>
      <c r="I150" s="671"/>
      <c r="J150" s="671"/>
      <c r="K150" s="671"/>
      <c r="L150" s="671"/>
      <c r="M150" s="671"/>
      <c r="N150" s="671"/>
      <c r="O150" s="671"/>
      <c r="P150" s="671"/>
      <c r="Q150" s="671"/>
      <c r="R150" s="671"/>
      <c r="S150" s="671"/>
      <c r="T150" s="671"/>
      <c r="U150" s="671"/>
      <c r="V150" s="671"/>
      <c r="W150" s="671"/>
      <c r="X150" s="671"/>
      <c r="Y150" s="671"/>
      <c r="Z150" s="671"/>
      <c r="AA150" s="671"/>
      <c r="AB150" s="671"/>
    </row>
    <row r="151">
      <c r="A151" s="671"/>
      <c r="B151" s="671"/>
      <c r="C151" s="671"/>
      <c r="D151" s="671"/>
      <c r="E151" s="671"/>
      <c r="F151" s="671"/>
      <c r="G151" s="671"/>
      <c r="H151" s="671"/>
      <c r="I151" s="671"/>
      <c r="J151" s="671"/>
      <c r="K151" s="671"/>
      <c r="L151" s="671"/>
      <c r="M151" s="671"/>
      <c r="N151" s="671"/>
      <c r="O151" s="671"/>
      <c r="P151" s="671"/>
      <c r="Q151" s="671"/>
      <c r="R151" s="671"/>
      <c r="S151" s="671"/>
      <c r="T151" s="671"/>
      <c r="U151" s="671"/>
      <c r="V151" s="671"/>
      <c r="W151" s="671"/>
      <c r="X151" s="671"/>
      <c r="Y151" s="671"/>
      <c r="Z151" s="671"/>
      <c r="AA151" s="671"/>
      <c r="AB151" s="671"/>
    </row>
    <row r="152">
      <c r="A152" s="671"/>
      <c r="B152" s="671"/>
      <c r="C152" s="671"/>
      <c r="D152" s="671"/>
      <c r="E152" s="671"/>
      <c r="F152" s="671"/>
      <c r="G152" s="671"/>
      <c r="H152" s="671"/>
      <c r="I152" s="671"/>
      <c r="J152" s="671"/>
      <c r="K152" s="671"/>
      <c r="L152" s="671"/>
      <c r="M152" s="671"/>
      <c r="N152" s="671"/>
      <c r="O152" s="671"/>
      <c r="P152" s="671"/>
      <c r="Q152" s="671"/>
      <c r="R152" s="671"/>
      <c r="S152" s="671"/>
      <c r="T152" s="671"/>
      <c r="U152" s="671"/>
      <c r="V152" s="671"/>
      <c r="W152" s="671"/>
      <c r="X152" s="671"/>
      <c r="Y152" s="671"/>
      <c r="Z152" s="671"/>
      <c r="AA152" s="671"/>
      <c r="AB152" s="671"/>
    </row>
    <row r="153">
      <c r="A153" s="671"/>
      <c r="B153" s="671"/>
      <c r="C153" s="671"/>
      <c r="D153" s="671"/>
      <c r="E153" s="671"/>
      <c r="F153" s="671"/>
      <c r="G153" s="671"/>
      <c r="H153" s="671"/>
      <c r="I153" s="671"/>
      <c r="J153" s="671"/>
      <c r="K153" s="671"/>
      <c r="L153" s="671"/>
      <c r="M153" s="671"/>
      <c r="N153" s="671"/>
      <c r="O153" s="671"/>
      <c r="P153" s="671"/>
      <c r="Q153" s="671"/>
      <c r="R153" s="671"/>
      <c r="S153" s="671"/>
      <c r="T153" s="671"/>
      <c r="U153" s="671"/>
      <c r="V153" s="671"/>
      <c r="W153" s="671"/>
      <c r="X153" s="671"/>
      <c r="Y153" s="671"/>
      <c r="Z153" s="671"/>
      <c r="AA153" s="671"/>
      <c r="AB153" s="671"/>
    </row>
    <row r="154">
      <c r="A154" s="671"/>
      <c r="B154" s="671"/>
      <c r="C154" s="671"/>
      <c r="D154" s="671"/>
      <c r="E154" s="671"/>
      <c r="F154" s="671"/>
      <c r="G154" s="671"/>
      <c r="H154" s="671"/>
      <c r="I154" s="671"/>
      <c r="J154" s="671"/>
      <c r="K154" s="671"/>
      <c r="L154" s="671"/>
      <c r="M154" s="671"/>
      <c r="N154" s="671"/>
      <c r="O154" s="671"/>
      <c r="P154" s="671"/>
      <c r="Q154" s="671"/>
      <c r="R154" s="671"/>
      <c r="S154" s="671"/>
      <c r="T154" s="671"/>
      <c r="U154" s="671"/>
      <c r="V154" s="671"/>
      <c r="W154" s="671"/>
      <c r="X154" s="671"/>
      <c r="Y154" s="671"/>
      <c r="Z154" s="671"/>
      <c r="AA154" s="671"/>
      <c r="AB154" s="671"/>
    </row>
    <row r="155">
      <c r="A155" s="671"/>
      <c r="B155" s="671"/>
      <c r="C155" s="671"/>
      <c r="D155" s="671"/>
      <c r="E155" s="671"/>
      <c r="F155" s="671"/>
      <c r="G155" s="671"/>
      <c r="H155" s="671"/>
      <c r="I155" s="671"/>
      <c r="J155" s="671"/>
      <c r="K155" s="671"/>
      <c r="L155" s="671"/>
      <c r="M155" s="671"/>
      <c r="N155" s="671"/>
      <c r="O155" s="671"/>
      <c r="P155" s="671"/>
      <c r="Q155" s="671"/>
      <c r="R155" s="671"/>
      <c r="S155" s="671"/>
      <c r="T155" s="671"/>
      <c r="U155" s="671"/>
      <c r="V155" s="671"/>
      <c r="W155" s="671"/>
      <c r="X155" s="671"/>
      <c r="Y155" s="671"/>
      <c r="Z155" s="671"/>
      <c r="AA155" s="671"/>
      <c r="AB155" s="671"/>
    </row>
    <row r="156">
      <c r="A156" s="671"/>
      <c r="B156" s="671"/>
      <c r="C156" s="671"/>
      <c r="D156" s="671"/>
      <c r="E156" s="671"/>
      <c r="F156" s="671"/>
      <c r="G156" s="671"/>
      <c r="H156" s="671"/>
      <c r="I156" s="671"/>
      <c r="J156" s="671"/>
      <c r="K156" s="671"/>
      <c r="L156" s="671"/>
      <c r="M156" s="671"/>
      <c r="N156" s="671"/>
      <c r="O156" s="671"/>
      <c r="P156" s="671"/>
      <c r="Q156" s="671"/>
      <c r="R156" s="671"/>
      <c r="S156" s="671"/>
      <c r="T156" s="671"/>
      <c r="U156" s="671"/>
      <c r="V156" s="671"/>
      <c r="W156" s="671"/>
      <c r="X156" s="671"/>
      <c r="Y156" s="671"/>
      <c r="Z156" s="671"/>
      <c r="AA156" s="671"/>
      <c r="AB156" s="671"/>
    </row>
    <row r="157">
      <c r="A157" s="671"/>
      <c r="B157" s="671"/>
      <c r="C157" s="671"/>
      <c r="D157" s="671"/>
      <c r="E157" s="671"/>
      <c r="F157" s="671"/>
      <c r="G157" s="671"/>
      <c r="H157" s="671"/>
      <c r="I157" s="671"/>
      <c r="J157" s="671"/>
      <c r="K157" s="671"/>
      <c r="L157" s="671"/>
      <c r="M157" s="671"/>
      <c r="N157" s="671"/>
      <c r="O157" s="671"/>
      <c r="P157" s="671"/>
      <c r="Q157" s="671"/>
      <c r="R157" s="671"/>
      <c r="S157" s="671"/>
      <c r="T157" s="671"/>
      <c r="U157" s="671"/>
      <c r="V157" s="671"/>
      <c r="W157" s="671"/>
      <c r="X157" s="671"/>
      <c r="Y157" s="671"/>
      <c r="Z157" s="671"/>
      <c r="AA157" s="671"/>
      <c r="AB157" s="671"/>
    </row>
    <row r="158">
      <c r="A158" s="671"/>
      <c r="B158" s="671"/>
      <c r="C158" s="671"/>
      <c r="D158" s="671"/>
      <c r="E158" s="671"/>
      <c r="F158" s="671"/>
      <c r="G158" s="671"/>
      <c r="H158" s="671"/>
      <c r="I158" s="671"/>
      <c r="J158" s="671"/>
      <c r="K158" s="671"/>
      <c r="L158" s="671"/>
      <c r="M158" s="671"/>
      <c r="N158" s="671"/>
      <c r="O158" s="671"/>
      <c r="P158" s="671"/>
      <c r="Q158" s="671"/>
      <c r="R158" s="671"/>
      <c r="S158" s="671"/>
      <c r="T158" s="671"/>
      <c r="U158" s="671"/>
      <c r="V158" s="671"/>
      <c r="W158" s="671"/>
      <c r="X158" s="671"/>
      <c r="Y158" s="671"/>
      <c r="Z158" s="671"/>
      <c r="AA158" s="671"/>
      <c r="AB158" s="671"/>
    </row>
    <row r="159">
      <c r="A159" s="671"/>
      <c r="B159" s="671"/>
      <c r="C159" s="671"/>
      <c r="D159" s="671"/>
      <c r="E159" s="671"/>
      <c r="F159" s="671"/>
      <c r="G159" s="671"/>
      <c r="H159" s="671"/>
      <c r="I159" s="671"/>
      <c r="J159" s="671"/>
      <c r="K159" s="671"/>
      <c r="L159" s="671"/>
      <c r="M159" s="671"/>
      <c r="N159" s="671"/>
      <c r="O159" s="671"/>
      <c r="P159" s="671"/>
      <c r="Q159" s="671"/>
      <c r="R159" s="671"/>
      <c r="S159" s="671"/>
      <c r="T159" s="671"/>
      <c r="U159" s="671"/>
      <c r="V159" s="671"/>
      <c r="W159" s="671"/>
      <c r="X159" s="671"/>
      <c r="Y159" s="671"/>
      <c r="Z159" s="671"/>
      <c r="AA159" s="671"/>
      <c r="AB159" s="671"/>
    </row>
    <row r="160">
      <c r="A160" s="671"/>
      <c r="B160" s="671"/>
      <c r="C160" s="671"/>
      <c r="D160" s="671"/>
      <c r="E160" s="671"/>
      <c r="F160" s="671"/>
      <c r="G160" s="671"/>
      <c r="H160" s="671"/>
      <c r="I160" s="671"/>
      <c r="J160" s="671"/>
      <c r="K160" s="671"/>
      <c r="L160" s="671"/>
      <c r="M160" s="671"/>
      <c r="N160" s="671"/>
      <c r="O160" s="671"/>
      <c r="P160" s="671"/>
      <c r="Q160" s="671"/>
      <c r="R160" s="671"/>
      <c r="S160" s="671"/>
      <c r="T160" s="671"/>
      <c r="U160" s="671"/>
      <c r="V160" s="671"/>
      <c r="W160" s="671"/>
      <c r="X160" s="671"/>
      <c r="Y160" s="671"/>
      <c r="Z160" s="671"/>
      <c r="AA160" s="671"/>
      <c r="AB160" s="671"/>
    </row>
    <row r="161">
      <c r="A161" s="671"/>
      <c r="B161" s="671"/>
      <c r="C161" s="671"/>
      <c r="D161" s="671"/>
      <c r="E161" s="671"/>
      <c r="F161" s="671"/>
      <c r="G161" s="671"/>
      <c r="H161" s="671"/>
      <c r="I161" s="671"/>
      <c r="J161" s="671"/>
      <c r="K161" s="671"/>
      <c r="L161" s="671"/>
      <c r="M161" s="671"/>
      <c r="N161" s="671"/>
      <c r="O161" s="671"/>
      <c r="P161" s="671"/>
      <c r="Q161" s="671"/>
      <c r="R161" s="671"/>
      <c r="S161" s="671"/>
      <c r="T161" s="671"/>
      <c r="U161" s="671"/>
      <c r="V161" s="671"/>
      <c r="W161" s="671"/>
      <c r="X161" s="671"/>
      <c r="Y161" s="671"/>
      <c r="Z161" s="671"/>
      <c r="AA161" s="671"/>
      <c r="AB161" s="671"/>
    </row>
    <row r="162">
      <c r="A162" s="671"/>
      <c r="B162" s="671"/>
      <c r="C162" s="671"/>
      <c r="D162" s="671"/>
      <c r="E162" s="671"/>
      <c r="F162" s="671"/>
      <c r="G162" s="671"/>
      <c r="H162" s="671"/>
      <c r="I162" s="671"/>
      <c r="J162" s="671"/>
      <c r="K162" s="671"/>
      <c r="L162" s="671"/>
      <c r="M162" s="671"/>
      <c r="N162" s="671"/>
      <c r="O162" s="671"/>
      <c r="P162" s="671"/>
      <c r="Q162" s="671"/>
      <c r="R162" s="671"/>
      <c r="S162" s="671"/>
      <c r="T162" s="671"/>
      <c r="U162" s="671"/>
      <c r="V162" s="671"/>
      <c r="W162" s="671"/>
      <c r="X162" s="671"/>
      <c r="Y162" s="671"/>
      <c r="Z162" s="671"/>
      <c r="AA162" s="671"/>
      <c r="AB162" s="671"/>
    </row>
    <row r="163">
      <c r="A163" s="671"/>
      <c r="B163" s="671"/>
      <c r="C163" s="671"/>
      <c r="D163" s="671"/>
      <c r="E163" s="671"/>
      <c r="F163" s="671"/>
      <c r="G163" s="671"/>
      <c r="H163" s="671"/>
      <c r="I163" s="671"/>
      <c r="J163" s="671"/>
      <c r="K163" s="671"/>
      <c r="L163" s="671"/>
      <c r="M163" s="671"/>
      <c r="N163" s="671"/>
      <c r="O163" s="671"/>
      <c r="P163" s="671"/>
      <c r="Q163" s="671"/>
      <c r="R163" s="671"/>
      <c r="S163" s="671"/>
      <c r="T163" s="671"/>
      <c r="U163" s="671"/>
      <c r="V163" s="671"/>
      <c r="W163" s="671"/>
      <c r="X163" s="671"/>
      <c r="Y163" s="671"/>
      <c r="Z163" s="671"/>
      <c r="AA163" s="671"/>
      <c r="AB163" s="671"/>
    </row>
    <row r="164">
      <c r="A164" s="671"/>
      <c r="B164" s="671"/>
      <c r="C164" s="671"/>
      <c r="D164" s="671"/>
      <c r="E164" s="671"/>
      <c r="F164" s="671"/>
      <c r="G164" s="671"/>
      <c r="H164" s="671"/>
      <c r="I164" s="671"/>
      <c r="J164" s="671"/>
      <c r="K164" s="671"/>
      <c r="L164" s="671"/>
      <c r="M164" s="671"/>
      <c r="N164" s="671"/>
      <c r="O164" s="671"/>
      <c r="P164" s="671"/>
      <c r="Q164" s="671"/>
      <c r="R164" s="671"/>
      <c r="S164" s="671"/>
      <c r="T164" s="671"/>
      <c r="U164" s="671"/>
      <c r="V164" s="671"/>
      <c r="W164" s="671"/>
      <c r="X164" s="671"/>
      <c r="Y164" s="671"/>
      <c r="Z164" s="671"/>
      <c r="AA164" s="671"/>
      <c r="AB164" s="671"/>
    </row>
    <row r="165">
      <c r="A165" s="671"/>
      <c r="B165" s="671"/>
      <c r="C165" s="671"/>
      <c r="D165" s="671"/>
      <c r="E165" s="671"/>
      <c r="F165" s="671"/>
      <c r="G165" s="671"/>
      <c r="H165" s="671"/>
      <c r="I165" s="671"/>
      <c r="J165" s="671"/>
      <c r="K165" s="671"/>
      <c r="L165" s="671"/>
      <c r="M165" s="671"/>
      <c r="N165" s="671"/>
      <c r="O165" s="671"/>
      <c r="P165" s="671"/>
      <c r="Q165" s="671"/>
      <c r="R165" s="671"/>
      <c r="S165" s="671"/>
      <c r="T165" s="671"/>
      <c r="U165" s="671"/>
      <c r="V165" s="671"/>
      <c r="W165" s="671"/>
      <c r="X165" s="671"/>
      <c r="Y165" s="671"/>
      <c r="Z165" s="671"/>
      <c r="AA165" s="671"/>
      <c r="AB165" s="671"/>
    </row>
    <row r="166">
      <c r="A166" s="671"/>
      <c r="B166" s="671"/>
      <c r="C166" s="671"/>
      <c r="D166" s="671"/>
      <c r="E166" s="671"/>
      <c r="F166" s="671"/>
      <c r="G166" s="671"/>
      <c r="H166" s="671"/>
      <c r="I166" s="671"/>
      <c r="J166" s="671"/>
      <c r="K166" s="671"/>
      <c r="L166" s="671"/>
      <c r="M166" s="671"/>
      <c r="N166" s="671"/>
      <c r="O166" s="671"/>
      <c r="P166" s="671"/>
      <c r="Q166" s="671"/>
      <c r="R166" s="671"/>
      <c r="S166" s="671"/>
      <c r="T166" s="671"/>
      <c r="U166" s="671"/>
      <c r="V166" s="671"/>
      <c r="W166" s="671"/>
      <c r="X166" s="671"/>
      <c r="Y166" s="671"/>
      <c r="Z166" s="671"/>
      <c r="AA166" s="671"/>
      <c r="AB166" s="671"/>
    </row>
    <row r="167">
      <c r="A167" s="671"/>
      <c r="B167" s="671"/>
      <c r="C167" s="671"/>
      <c r="D167" s="671"/>
      <c r="E167" s="671"/>
      <c r="F167" s="671"/>
      <c r="G167" s="671"/>
      <c r="H167" s="671"/>
      <c r="I167" s="671"/>
      <c r="J167" s="671"/>
      <c r="K167" s="671"/>
      <c r="L167" s="671"/>
      <c r="M167" s="671"/>
      <c r="N167" s="671"/>
      <c r="O167" s="671"/>
      <c r="P167" s="671"/>
      <c r="Q167" s="671"/>
      <c r="R167" s="671"/>
      <c r="S167" s="671"/>
      <c r="T167" s="671"/>
      <c r="U167" s="671"/>
      <c r="V167" s="671"/>
      <c r="W167" s="671"/>
      <c r="X167" s="671"/>
      <c r="Y167" s="671"/>
      <c r="Z167" s="671"/>
      <c r="AA167" s="671"/>
      <c r="AB167" s="671"/>
    </row>
    <row r="168">
      <c r="A168" s="671"/>
      <c r="B168" s="671"/>
      <c r="C168" s="671"/>
      <c r="D168" s="671"/>
      <c r="E168" s="671"/>
      <c r="F168" s="671"/>
      <c r="G168" s="671"/>
      <c r="H168" s="671"/>
      <c r="I168" s="671"/>
      <c r="J168" s="671"/>
      <c r="K168" s="671"/>
      <c r="L168" s="671"/>
      <c r="M168" s="671"/>
      <c r="N168" s="671"/>
      <c r="O168" s="671"/>
      <c r="P168" s="671"/>
      <c r="Q168" s="671"/>
      <c r="R168" s="671"/>
      <c r="S168" s="671"/>
      <c r="T168" s="671"/>
      <c r="U168" s="671"/>
      <c r="V168" s="671"/>
      <c r="W168" s="671"/>
      <c r="X168" s="671"/>
      <c r="Y168" s="671"/>
      <c r="Z168" s="671"/>
      <c r="AA168" s="671"/>
      <c r="AB168" s="671"/>
    </row>
    <row r="169">
      <c r="A169" s="671"/>
      <c r="B169" s="671"/>
      <c r="C169" s="671"/>
      <c r="D169" s="671"/>
      <c r="E169" s="671"/>
      <c r="F169" s="671"/>
      <c r="G169" s="671"/>
      <c r="H169" s="671"/>
      <c r="I169" s="671"/>
      <c r="J169" s="671"/>
      <c r="K169" s="671"/>
      <c r="L169" s="671"/>
      <c r="M169" s="671"/>
      <c r="N169" s="671"/>
      <c r="O169" s="671"/>
      <c r="P169" s="671"/>
      <c r="Q169" s="671"/>
      <c r="R169" s="671"/>
      <c r="S169" s="671"/>
      <c r="T169" s="671"/>
      <c r="U169" s="671"/>
      <c r="V169" s="671"/>
      <c r="W169" s="671"/>
      <c r="X169" s="671"/>
      <c r="Y169" s="671"/>
      <c r="Z169" s="671"/>
      <c r="AA169" s="671"/>
      <c r="AB169" s="671"/>
    </row>
    <row r="170">
      <c r="A170" s="671"/>
      <c r="B170" s="671"/>
      <c r="C170" s="671"/>
      <c r="D170" s="671"/>
      <c r="E170" s="671"/>
      <c r="F170" s="671"/>
      <c r="G170" s="671"/>
      <c r="H170" s="671"/>
      <c r="I170" s="671"/>
      <c r="J170" s="671"/>
      <c r="K170" s="671"/>
      <c r="L170" s="671"/>
      <c r="M170" s="671"/>
      <c r="N170" s="671"/>
      <c r="O170" s="671"/>
      <c r="P170" s="671"/>
      <c r="Q170" s="671"/>
      <c r="R170" s="671"/>
      <c r="S170" s="671"/>
      <c r="T170" s="671"/>
      <c r="U170" s="671"/>
      <c r="V170" s="671"/>
      <c r="W170" s="671"/>
      <c r="X170" s="671"/>
      <c r="Y170" s="671"/>
      <c r="Z170" s="671"/>
      <c r="AA170" s="671"/>
      <c r="AB170" s="671"/>
    </row>
    <row r="171">
      <c r="A171" s="671"/>
      <c r="B171" s="671"/>
      <c r="C171" s="671"/>
      <c r="D171" s="671"/>
      <c r="E171" s="671"/>
      <c r="F171" s="671"/>
      <c r="G171" s="671"/>
      <c r="H171" s="671"/>
      <c r="I171" s="671"/>
      <c r="J171" s="671"/>
      <c r="K171" s="671"/>
      <c r="L171" s="671"/>
      <c r="M171" s="671"/>
      <c r="N171" s="671"/>
      <c r="O171" s="671"/>
      <c r="P171" s="671"/>
      <c r="Q171" s="671"/>
      <c r="R171" s="671"/>
      <c r="S171" s="671"/>
      <c r="T171" s="671"/>
      <c r="U171" s="671"/>
      <c r="V171" s="671"/>
      <c r="W171" s="671"/>
      <c r="X171" s="671"/>
      <c r="Y171" s="671"/>
      <c r="Z171" s="671"/>
      <c r="AA171" s="671"/>
      <c r="AB171" s="671"/>
    </row>
    <row r="172">
      <c r="A172" s="671"/>
      <c r="B172" s="671"/>
      <c r="C172" s="671"/>
      <c r="D172" s="671"/>
      <c r="E172" s="671"/>
      <c r="F172" s="671"/>
      <c r="G172" s="671"/>
      <c r="H172" s="671"/>
      <c r="I172" s="671"/>
      <c r="J172" s="671"/>
      <c r="K172" s="671"/>
      <c r="L172" s="671"/>
      <c r="M172" s="671"/>
      <c r="N172" s="671"/>
      <c r="O172" s="671"/>
      <c r="P172" s="671"/>
      <c r="Q172" s="671"/>
      <c r="R172" s="671"/>
      <c r="S172" s="671"/>
      <c r="T172" s="671"/>
      <c r="U172" s="671"/>
      <c r="V172" s="671"/>
      <c r="W172" s="671"/>
      <c r="X172" s="671"/>
      <c r="Y172" s="671"/>
      <c r="Z172" s="671"/>
      <c r="AA172" s="671"/>
      <c r="AB172" s="671"/>
    </row>
    <row r="173">
      <c r="A173" s="671"/>
      <c r="B173" s="671"/>
      <c r="C173" s="671"/>
      <c r="D173" s="671"/>
      <c r="E173" s="671"/>
      <c r="F173" s="671"/>
      <c r="G173" s="671"/>
      <c r="H173" s="671"/>
      <c r="I173" s="671"/>
      <c r="J173" s="671"/>
      <c r="K173" s="671"/>
      <c r="L173" s="671"/>
      <c r="M173" s="671"/>
      <c r="N173" s="671"/>
      <c r="O173" s="671"/>
      <c r="P173" s="671"/>
      <c r="Q173" s="671"/>
      <c r="R173" s="671"/>
      <c r="S173" s="671"/>
      <c r="T173" s="671"/>
      <c r="U173" s="671"/>
      <c r="V173" s="671"/>
      <c r="W173" s="671"/>
      <c r="X173" s="671"/>
      <c r="Y173" s="671"/>
      <c r="Z173" s="671"/>
      <c r="AA173" s="671"/>
      <c r="AB173" s="671"/>
    </row>
    <row r="174">
      <c r="A174" s="671"/>
      <c r="B174" s="671"/>
      <c r="C174" s="671"/>
      <c r="D174" s="671"/>
      <c r="E174" s="671"/>
      <c r="F174" s="671"/>
      <c r="G174" s="671"/>
      <c r="H174" s="671"/>
      <c r="I174" s="671"/>
      <c r="J174" s="671"/>
      <c r="K174" s="671"/>
      <c r="L174" s="671"/>
      <c r="M174" s="671"/>
      <c r="N174" s="671"/>
      <c r="O174" s="671"/>
      <c r="P174" s="671"/>
      <c r="Q174" s="671"/>
      <c r="R174" s="671"/>
      <c r="S174" s="671"/>
      <c r="T174" s="671"/>
      <c r="U174" s="671"/>
      <c r="V174" s="671"/>
      <c r="W174" s="671"/>
      <c r="X174" s="671"/>
      <c r="Y174" s="671"/>
      <c r="Z174" s="671"/>
      <c r="AA174" s="671"/>
      <c r="AB174" s="671"/>
    </row>
    <row r="175">
      <c r="A175" s="671"/>
      <c r="B175" s="671"/>
      <c r="C175" s="671"/>
      <c r="D175" s="671"/>
      <c r="E175" s="671"/>
      <c r="F175" s="671"/>
      <c r="G175" s="671"/>
      <c r="H175" s="671"/>
      <c r="I175" s="671"/>
      <c r="J175" s="671"/>
      <c r="K175" s="671"/>
      <c r="L175" s="671"/>
      <c r="M175" s="671"/>
      <c r="N175" s="671"/>
      <c r="O175" s="671"/>
      <c r="P175" s="671"/>
      <c r="Q175" s="671"/>
      <c r="R175" s="671"/>
      <c r="S175" s="671"/>
      <c r="T175" s="671"/>
      <c r="U175" s="671"/>
      <c r="V175" s="671"/>
      <c r="W175" s="671"/>
      <c r="X175" s="671"/>
      <c r="Y175" s="671"/>
      <c r="Z175" s="671"/>
      <c r="AA175" s="671"/>
      <c r="AB175" s="671"/>
    </row>
    <row r="176">
      <c r="A176" s="671"/>
      <c r="B176" s="671"/>
      <c r="C176" s="671"/>
      <c r="D176" s="671"/>
      <c r="E176" s="671"/>
      <c r="F176" s="671"/>
      <c r="G176" s="671"/>
      <c r="H176" s="671"/>
      <c r="I176" s="671"/>
      <c r="J176" s="671"/>
      <c r="K176" s="671"/>
      <c r="L176" s="671"/>
      <c r="M176" s="671"/>
      <c r="N176" s="671"/>
      <c r="O176" s="671"/>
      <c r="P176" s="671"/>
      <c r="Q176" s="671"/>
      <c r="R176" s="671"/>
      <c r="S176" s="671"/>
      <c r="T176" s="671"/>
      <c r="U176" s="671"/>
      <c r="V176" s="671"/>
      <c r="W176" s="671"/>
      <c r="X176" s="671"/>
      <c r="Y176" s="671"/>
      <c r="Z176" s="671"/>
      <c r="AA176" s="671"/>
      <c r="AB176" s="671"/>
    </row>
    <row r="177">
      <c r="A177" s="671"/>
      <c r="B177" s="671"/>
      <c r="C177" s="671"/>
      <c r="D177" s="671"/>
      <c r="E177" s="671"/>
      <c r="F177" s="671"/>
      <c r="G177" s="671"/>
      <c r="H177" s="671"/>
      <c r="I177" s="671"/>
      <c r="J177" s="671"/>
      <c r="K177" s="671"/>
      <c r="L177" s="671"/>
      <c r="M177" s="671"/>
      <c r="N177" s="671"/>
      <c r="O177" s="671"/>
      <c r="P177" s="671"/>
      <c r="Q177" s="671"/>
      <c r="R177" s="671"/>
      <c r="S177" s="671"/>
      <c r="T177" s="671"/>
      <c r="U177" s="671"/>
      <c r="V177" s="671"/>
      <c r="W177" s="671"/>
      <c r="X177" s="671"/>
      <c r="Y177" s="671"/>
      <c r="Z177" s="671"/>
      <c r="AA177" s="671"/>
      <c r="AB177" s="671"/>
    </row>
    <row r="178">
      <c r="A178" s="671"/>
      <c r="B178" s="671"/>
      <c r="C178" s="671"/>
      <c r="D178" s="671"/>
      <c r="E178" s="671"/>
      <c r="F178" s="671"/>
      <c r="G178" s="671"/>
      <c r="H178" s="671"/>
      <c r="I178" s="671"/>
      <c r="J178" s="671"/>
      <c r="K178" s="671"/>
      <c r="L178" s="671"/>
      <c r="M178" s="671"/>
      <c r="N178" s="671"/>
      <c r="O178" s="671"/>
      <c r="P178" s="671"/>
      <c r="Q178" s="671"/>
      <c r="R178" s="671"/>
      <c r="S178" s="671"/>
      <c r="T178" s="671"/>
      <c r="U178" s="671"/>
      <c r="V178" s="671"/>
      <c r="W178" s="671"/>
      <c r="X178" s="671"/>
      <c r="Y178" s="671"/>
      <c r="Z178" s="671"/>
      <c r="AA178" s="671"/>
      <c r="AB178" s="671"/>
    </row>
    <row r="179">
      <c r="A179" s="671"/>
      <c r="B179" s="671"/>
      <c r="C179" s="671"/>
      <c r="D179" s="671"/>
      <c r="E179" s="671"/>
      <c r="F179" s="671"/>
      <c r="G179" s="671"/>
      <c r="H179" s="671"/>
      <c r="I179" s="671"/>
      <c r="J179" s="671"/>
      <c r="K179" s="671"/>
      <c r="L179" s="671"/>
      <c r="M179" s="671"/>
      <c r="N179" s="671"/>
      <c r="O179" s="671"/>
      <c r="P179" s="671"/>
      <c r="Q179" s="671"/>
      <c r="R179" s="671"/>
      <c r="S179" s="671"/>
      <c r="T179" s="671"/>
      <c r="U179" s="671"/>
      <c r="V179" s="671"/>
      <c r="W179" s="671"/>
      <c r="X179" s="671"/>
      <c r="Y179" s="671"/>
      <c r="Z179" s="671"/>
      <c r="AA179" s="671"/>
      <c r="AB179" s="671"/>
    </row>
    <row r="180">
      <c r="A180" s="671"/>
      <c r="B180" s="671"/>
      <c r="C180" s="671"/>
      <c r="D180" s="671"/>
      <c r="E180" s="671"/>
      <c r="F180" s="671"/>
      <c r="G180" s="671"/>
      <c r="H180" s="671"/>
      <c r="I180" s="671"/>
      <c r="J180" s="671"/>
      <c r="K180" s="671"/>
      <c r="L180" s="671"/>
      <c r="M180" s="671"/>
      <c r="N180" s="671"/>
      <c r="O180" s="671"/>
      <c r="P180" s="671"/>
      <c r="Q180" s="671"/>
      <c r="R180" s="671"/>
      <c r="S180" s="671"/>
      <c r="T180" s="671"/>
      <c r="U180" s="671"/>
      <c r="V180" s="671"/>
      <c r="W180" s="671"/>
      <c r="X180" s="671"/>
      <c r="Y180" s="671"/>
      <c r="Z180" s="671"/>
      <c r="AA180" s="671"/>
      <c r="AB180" s="671"/>
    </row>
    <row r="181">
      <c r="A181" s="671"/>
      <c r="B181" s="671"/>
      <c r="C181" s="671"/>
      <c r="D181" s="671"/>
      <c r="E181" s="671"/>
      <c r="F181" s="671"/>
      <c r="G181" s="671"/>
      <c r="H181" s="671"/>
      <c r="I181" s="671"/>
      <c r="J181" s="671"/>
      <c r="K181" s="671"/>
      <c r="L181" s="671"/>
      <c r="M181" s="671"/>
      <c r="N181" s="671"/>
      <c r="O181" s="671"/>
      <c r="P181" s="671"/>
      <c r="Q181" s="671"/>
      <c r="R181" s="671"/>
      <c r="S181" s="671"/>
      <c r="T181" s="671"/>
      <c r="U181" s="671"/>
      <c r="V181" s="671"/>
      <c r="W181" s="671"/>
      <c r="X181" s="671"/>
      <c r="Y181" s="671"/>
      <c r="Z181" s="671"/>
      <c r="AA181" s="671"/>
      <c r="AB181" s="671"/>
    </row>
    <row r="182">
      <c r="A182" s="671"/>
      <c r="B182" s="671"/>
      <c r="C182" s="671"/>
      <c r="D182" s="671"/>
      <c r="E182" s="671"/>
      <c r="F182" s="671"/>
      <c r="G182" s="671"/>
      <c r="H182" s="671"/>
      <c r="I182" s="671"/>
      <c r="J182" s="671"/>
      <c r="K182" s="671"/>
      <c r="L182" s="671"/>
      <c r="M182" s="671"/>
      <c r="N182" s="671"/>
      <c r="O182" s="671"/>
      <c r="P182" s="671"/>
      <c r="Q182" s="671"/>
      <c r="R182" s="671"/>
      <c r="S182" s="671"/>
      <c r="T182" s="671"/>
      <c r="U182" s="671"/>
      <c r="V182" s="671"/>
      <c r="W182" s="671"/>
      <c r="X182" s="671"/>
      <c r="Y182" s="671"/>
      <c r="Z182" s="671"/>
      <c r="AA182" s="671"/>
      <c r="AB182" s="671"/>
    </row>
    <row r="183">
      <c r="A183" s="671"/>
      <c r="B183" s="671"/>
      <c r="C183" s="671"/>
      <c r="D183" s="671"/>
      <c r="E183" s="671"/>
      <c r="F183" s="671"/>
      <c r="G183" s="671"/>
      <c r="H183" s="671"/>
      <c r="I183" s="671"/>
      <c r="J183" s="671"/>
      <c r="K183" s="671"/>
      <c r="L183" s="671"/>
      <c r="M183" s="671"/>
      <c r="N183" s="671"/>
      <c r="O183" s="671"/>
      <c r="P183" s="671"/>
      <c r="Q183" s="671"/>
      <c r="R183" s="671"/>
      <c r="S183" s="671"/>
      <c r="T183" s="671"/>
      <c r="U183" s="671"/>
      <c r="V183" s="671"/>
      <c r="W183" s="671"/>
      <c r="X183" s="671"/>
      <c r="Y183" s="671"/>
      <c r="Z183" s="671"/>
      <c r="AA183" s="671"/>
      <c r="AB183" s="671"/>
    </row>
    <row r="184">
      <c r="A184" s="671"/>
      <c r="B184" s="671"/>
      <c r="C184" s="671"/>
      <c r="D184" s="671"/>
      <c r="E184" s="671"/>
      <c r="F184" s="671"/>
      <c r="G184" s="671"/>
      <c r="H184" s="671"/>
      <c r="I184" s="671"/>
      <c r="J184" s="671"/>
      <c r="K184" s="671"/>
      <c r="L184" s="671"/>
      <c r="M184" s="671"/>
      <c r="N184" s="671"/>
      <c r="O184" s="671"/>
      <c r="P184" s="671"/>
      <c r="Q184" s="671"/>
      <c r="R184" s="671"/>
      <c r="S184" s="671"/>
      <c r="T184" s="671"/>
      <c r="U184" s="671"/>
      <c r="V184" s="671"/>
      <c r="W184" s="671"/>
      <c r="X184" s="671"/>
      <c r="Y184" s="671"/>
      <c r="Z184" s="671"/>
      <c r="AA184" s="671"/>
      <c r="AB184" s="671"/>
    </row>
    <row r="185">
      <c r="A185" s="671"/>
      <c r="B185" s="671"/>
      <c r="C185" s="671"/>
      <c r="D185" s="671"/>
      <c r="E185" s="671"/>
      <c r="F185" s="671"/>
      <c r="G185" s="671"/>
      <c r="H185" s="671"/>
      <c r="I185" s="671"/>
      <c r="J185" s="671"/>
      <c r="K185" s="671"/>
      <c r="L185" s="671"/>
      <c r="M185" s="671"/>
      <c r="N185" s="671"/>
      <c r="O185" s="671"/>
      <c r="P185" s="671"/>
      <c r="Q185" s="671"/>
      <c r="R185" s="671"/>
      <c r="S185" s="671"/>
      <c r="T185" s="671"/>
      <c r="U185" s="671"/>
      <c r="V185" s="671"/>
      <c r="W185" s="671"/>
      <c r="X185" s="671"/>
      <c r="Y185" s="671"/>
      <c r="Z185" s="671"/>
      <c r="AA185" s="671"/>
      <c r="AB185" s="671"/>
    </row>
    <row r="186">
      <c r="A186" s="671"/>
      <c r="B186" s="671"/>
      <c r="C186" s="671"/>
      <c r="D186" s="671"/>
      <c r="E186" s="671"/>
      <c r="F186" s="671"/>
      <c r="G186" s="671"/>
      <c r="H186" s="671"/>
      <c r="I186" s="671"/>
      <c r="J186" s="671"/>
      <c r="K186" s="671"/>
      <c r="L186" s="671"/>
      <c r="M186" s="671"/>
      <c r="N186" s="671"/>
      <c r="O186" s="671"/>
      <c r="P186" s="671"/>
      <c r="Q186" s="671"/>
      <c r="R186" s="671"/>
      <c r="S186" s="671"/>
      <c r="T186" s="671"/>
      <c r="U186" s="671"/>
      <c r="V186" s="671"/>
      <c r="W186" s="671"/>
      <c r="X186" s="671"/>
      <c r="Y186" s="671"/>
      <c r="Z186" s="671"/>
      <c r="AA186" s="671"/>
      <c r="AB186" s="671"/>
    </row>
    <row r="187">
      <c r="A187" s="671"/>
      <c r="B187" s="671"/>
      <c r="C187" s="671"/>
      <c r="D187" s="671"/>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671"/>
      <c r="AA187" s="671"/>
      <c r="AB187" s="671"/>
    </row>
    <row r="188">
      <c r="A188" s="671"/>
      <c r="B188" s="671"/>
      <c r="C188" s="671"/>
      <c r="D188" s="671"/>
      <c r="E188" s="671"/>
      <c r="F188" s="671"/>
      <c r="G188" s="671"/>
      <c r="H188" s="671"/>
      <c r="I188" s="671"/>
      <c r="J188" s="671"/>
      <c r="K188" s="671"/>
      <c r="L188" s="671"/>
      <c r="M188" s="671"/>
      <c r="N188" s="671"/>
      <c r="O188" s="671"/>
      <c r="P188" s="671"/>
      <c r="Q188" s="671"/>
      <c r="R188" s="671"/>
      <c r="S188" s="671"/>
      <c r="T188" s="671"/>
      <c r="U188" s="671"/>
      <c r="V188" s="671"/>
      <c r="W188" s="671"/>
      <c r="X188" s="671"/>
      <c r="Y188" s="671"/>
      <c r="Z188" s="671"/>
      <c r="AA188" s="671"/>
      <c r="AB188" s="671"/>
    </row>
    <row r="189">
      <c r="A189" s="671"/>
      <c r="B189" s="671"/>
      <c r="C189" s="671"/>
      <c r="D189" s="671"/>
      <c r="E189" s="671"/>
      <c r="F189" s="671"/>
      <c r="G189" s="671"/>
      <c r="H189" s="671"/>
      <c r="I189" s="671"/>
      <c r="J189" s="671"/>
      <c r="K189" s="671"/>
      <c r="L189" s="671"/>
      <c r="M189" s="671"/>
      <c r="N189" s="671"/>
      <c r="O189" s="671"/>
      <c r="P189" s="671"/>
      <c r="Q189" s="671"/>
      <c r="R189" s="671"/>
      <c r="S189" s="671"/>
      <c r="T189" s="671"/>
      <c r="U189" s="671"/>
      <c r="V189" s="671"/>
      <c r="W189" s="671"/>
      <c r="X189" s="671"/>
      <c r="Y189" s="671"/>
      <c r="Z189" s="671"/>
      <c r="AA189" s="671"/>
      <c r="AB189" s="671"/>
    </row>
    <row r="190">
      <c r="A190" s="671"/>
      <c r="B190" s="671"/>
      <c r="C190" s="671"/>
      <c r="D190" s="671"/>
      <c r="E190" s="671"/>
      <c r="F190" s="671"/>
      <c r="G190" s="671"/>
      <c r="H190" s="671"/>
      <c r="I190" s="671"/>
      <c r="J190" s="671"/>
      <c r="K190" s="671"/>
      <c r="L190" s="671"/>
      <c r="M190" s="671"/>
      <c r="N190" s="671"/>
      <c r="O190" s="671"/>
      <c r="P190" s="671"/>
      <c r="Q190" s="671"/>
      <c r="R190" s="671"/>
      <c r="S190" s="671"/>
      <c r="T190" s="671"/>
      <c r="U190" s="671"/>
      <c r="V190" s="671"/>
      <c r="W190" s="671"/>
      <c r="X190" s="671"/>
      <c r="Y190" s="671"/>
      <c r="Z190" s="671"/>
      <c r="AA190" s="671"/>
      <c r="AB190" s="671"/>
    </row>
    <row r="191">
      <c r="A191" s="671"/>
      <c r="B191" s="671"/>
      <c r="C191" s="671"/>
      <c r="D191" s="671"/>
      <c r="E191" s="671"/>
      <c r="F191" s="671"/>
      <c r="G191" s="671"/>
      <c r="H191" s="671"/>
      <c r="I191" s="671"/>
      <c r="J191" s="671"/>
      <c r="K191" s="671"/>
      <c r="L191" s="671"/>
      <c r="M191" s="671"/>
      <c r="N191" s="671"/>
      <c r="O191" s="671"/>
      <c r="P191" s="671"/>
      <c r="Q191" s="671"/>
      <c r="R191" s="671"/>
      <c r="S191" s="671"/>
      <c r="T191" s="671"/>
      <c r="U191" s="671"/>
      <c r="V191" s="671"/>
      <c r="W191" s="671"/>
      <c r="X191" s="671"/>
      <c r="Y191" s="671"/>
      <c r="Z191" s="671"/>
      <c r="AA191" s="671"/>
      <c r="AB191" s="671"/>
    </row>
    <row r="192">
      <c r="A192" s="671"/>
      <c r="B192" s="671"/>
      <c r="C192" s="671"/>
      <c r="D192" s="671"/>
      <c r="E192" s="671"/>
      <c r="F192" s="671"/>
      <c r="G192" s="671"/>
      <c r="H192" s="671"/>
      <c r="I192" s="671"/>
      <c r="J192" s="671"/>
      <c r="K192" s="671"/>
      <c r="L192" s="671"/>
      <c r="M192" s="671"/>
      <c r="N192" s="671"/>
      <c r="O192" s="671"/>
      <c r="P192" s="671"/>
      <c r="Q192" s="671"/>
      <c r="R192" s="671"/>
      <c r="S192" s="671"/>
      <c r="T192" s="671"/>
      <c r="U192" s="671"/>
      <c r="V192" s="671"/>
      <c r="W192" s="671"/>
      <c r="X192" s="671"/>
      <c r="Y192" s="671"/>
      <c r="Z192" s="671"/>
      <c r="AA192" s="671"/>
      <c r="AB192" s="671"/>
    </row>
    <row r="193">
      <c r="A193" s="671"/>
      <c r="B193" s="671"/>
      <c r="C193" s="671"/>
      <c r="D193" s="671"/>
      <c r="E193" s="671"/>
      <c r="F193" s="671"/>
      <c r="G193" s="671"/>
      <c r="H193" s="671"/>
      <c r="I193" s="671"/>
      <c r="J193" s="671"/>
      <c r="K193" s="671"/>
      <c r="L193" s="671"/>
      <c r="M193" s="671"/>
      <c r="N193" s="671"/>
      <c r="O193" s="671"/>
      <c r="P193" s="671"/>
      <c r="Q193" s="671"/>
      <c r="R193" s="671"/>
      <c r="S193" s="671"/>
      <c r="T193" s="671"/>
      <c r="U193" s="671"/>
      <c r="V193" s="671"/>
      <c r="W193" s="671"/>
      <c r="X193" s="671"/>
      <c r="Y193" s="671"/>
      <c r="Z193" s="671"/>
      <c r="AA193" s="671"/>
      <c r="AB193" s="671"/>
    </row>
    <row r="194">
      <c r="A194" s="671"/>
      <c r="B194" s="671"/>
      <c r="C194" s="671"/>
      <c r="D194" s="671"/>
      <c r="E194" s="671"/>
      <c r="F194" s="671"/>
      <c r="G194" s="671"/>
      <c r="H194" s="671"/>
      <c r="I194" s="671"/>
      <c r="J194" s="671"/>
      <c r="K194" s="671"/>
      <c r="L194" s="671"/>
      <c r="M194" s="671"/>
      <c r="N194" s="671"/>
      <c r="O194" s="671"/>
      <c r="P194" s="671"/>
      <c r="Q194" s="671"/>
      <c r="R194" s="671"/>
      <c r="S194" s="671"/>
      <c r="T194" s="671"/>
      <c r="U194" s="671"/>
      <c r="V194" s="671"/>
      <c r="W194" s="671"/>
      <c r="X194" s="671"/>
      <c r="Y194" s="671"/>
      <c r="Z194" s="671"/>
      <c r="AA194" s="671"/>
      <c r="AB194" s="671"/>
    </row>
    <row r="195">
      <c r="A195" s="671"/>
      <c r="B195" s="671"/>
      <c r="C195" s="671"/>
      <c r="D195" s="671"/>
      <c r="E195" s="671"/>
      <c r="F195" s="671"/>
      <c r="G195" s="671"/>
      <c r="H195" s="671"/>
      <c r="I195" s="671"/>
      <c r="J195" s="671"/>
      <c r="K195" s="671"/>
      <c r="L195" s="671"/>
      <c r="M195" s="671"/>
      <c r="N195" s="671"/>
      <c r="O195" s="671"/>
      <c r="P195" s="671"/>
      <c r="Q195" s="671"/>
      <c r="R195" s="671"/>
      <c r="S195" s="671"/>
      <c r="T195" s="671"/>
      <c r="U195" s="671"/>
      <c r="V195" s="671"/>
      <c r="W195" s="671"/>
      <c r="X195" s="671"/>
      <c r="Y195" s="671"/>
      <c r="Z195" s="671"/>
      <c r="AA195" s="671"/>
      <c r="AB195" s="671"/>
    </row>
    <row r="196">
      <c r="A196" s="671"/>
      <c r="B196" s="671"/>
      <c r="C196" s="671"/>
      <c r="D196" s="671"/>
      <c r="E196" s="671"/>
      <c r="F196" s="671"/>
      <c r="G196" s="671"/>
      <c r="H196" s="671"/>
      <c r="I196" s="671"/>
      <c r="J196" s="671"/>
      <c r="K196" s="671"/>
      <c r="L196" s="671"/>
      <c r="M196" s="671"/>
      <c r="N196" s="671"/>
      <c r="O196" s="671"/>
      <c r="P196" s="671"/>
      <c r="Q196" s="671"/>
      <c r="R196" s="671"/>
      <c r="S196" s="671"/>
      <c r="T196" s="671"/>
      <c r="U196" s="671"/>
      <c r="V196" s="671"/>
      <c r="W196" s="671"/>
      <c r="X196" s="671"/>
      <c r="Y196" s="671"/>
      <c r="Z196" s="671"/>
      <c r="AA196" s="671"/>
      <c r="AB196" s="671"/>
    </row>
    <row r="197">
      <c r="A197" s="671"/>
      <c r="B197" s="671"/>
      <c r="C197" s="671"/>
      <c r="D197" s="671"/>
      <c r="E197" s="671"/>
      <c r="F197" s="671"/>
      <c r="G197" s="671"/>
      <c r="H197" s="671"/>
      <c r="I197" s="671"/>
      <c r="J197" s="671"/>
      <c r="K197" s="671"/>
      <c r="L197" s="671"/>
      <c r="M197" s="671"/>
      <c r="N197" s="671"/>
      <c r="O197" s="671"/>
      <c r="P197" s="671"/>
      <c r="Q197" s="671"/>
      <c r="R197" s="671"/>
      <c r="S197" s="671"/>
      <c r="T197" s="671"/>
      <c r="U197" s="671"/>
      <c r="V197" s="671"/>
      <c r="W197" s="671"/>
      <c r="X197" s="671"/>
      <c r="Y197" s="671"/>
      <c r="Z197" s="671"/>
      <c r="AA197" s="671"/>
      <c r="AB197" s="671"/>
    </row>
    <row r="198">
      <c r="A198" s="671"/>
      <c r="B198" s="671"/>
      <c r="C198" s="671"/>
      <c r="D198" s="671"/>
      <c r="E198" s="671"/>
      <c r="F198" s="671"/>
      <c r="G198" s="671"/>
      <c r="H198" s="671"/>
      <c r="I198" s="671"/>
      <c r="J198" s="671"/>
      <c r="K198" s="671"/>
      <c r="L198" s="671"/>
      <c r="M198" s="671"/>
      <c r="N198" s="671"/>
      <c r="O198" s="671"/>
      <c r="P198" s="671"/>
      <c r="Q198" s="671"/>
      <c r="R198" s="671"/>
      <c r="S198" s="671"/>
      <c r="T198" s="671"/>
      <c r="U198" s="671"/>
      <c r="V198" s="671"/>
      <c r="W198" s="671"/>
      <c r="X198" s="671"/>
      <c r="Y198" s="671"/>
      <c r="Z198" s="671"/>
      <c r="AA198" s="671"/>
      <c r="AB198" s="671"/>
    </row>
    <row r="199">
      <c r="A199" s="671"/>
      <c r="B199" s="671"/>
      <c r="C199" s="671"/>
      <c r="D199" s="671"/>
      <c r="E199" s="671"/>
      <c r="F199" s="671"/>
      <c r="G199" s="671"/>
      <c r="H199" s="671"/>
      <c r="I199" s="671"/>
      <c r="J199" s="671"/>
      <c r="K199" s="671"/>
      <c r="L199" s="671"/>
      <c r="M199" s="671"/>
      <c r="N199" s="671"/>
      <c r="O199" s="671"/>
      <c r="P199" s="671"/>
      <c r="Q199" s="671"/>
      <c r="R199" s="671"/>
      <c r="S199" s="671"/>
      <c r="T199" s="671"/>
      <c r="U199" s="671"/>
      <c r="V199" s="671"/>
      <c r="W199" s="671"/>
      <c r="X199" s="671"/>
      <c r="Y199" s="671"/>
      <c r="Z199" s="671"/>
      <c r="AA199" s="671"/>
      <c r="AB199" s="671"/>
    </row>
    <row r="200">
      <c r="A200" s="671"/>
      <c r="B200" s="671"/>
      <c r="C200" s="671"/>
      <c r="D200" s="671"/>
      <c r="E200" s="671"/>
      <c r="F200" s="671"/>
      <c r="G200" s="671"/>
      <c r="H200" s="671"/>
      <c r="I200" s="671"/>
      <c r="J200" s="671"/>
      <c r="K200" s="671"/>
      <c r="L200" s="671"/>
      <c r="M200" s="671"/>
      <c r="N200" s="671"/>
      <c r="O200" s="671"/>
      <c r="P200" s="671"/>
      <c r="Q200" s="671"/>
      <c r="R200" s="671"/>
      <c r="S200" s="671"/>
      <c r="T200" s="671"/>
      <c r="U200" s="671"/>
      <c r="V200" s="671"/>
      <c r="W200" s="671"/>
      <c r="X200" s="671"/>
      <c r="Y200" s="671"/>
      <c r="Z200" s="671"/>
      <c r="AA200" s="671"/>
      <c r="AB200" s="671"/>
    </row>
    <row r="201">
      <c r="A201" s="671"/>
      <c r="B201" s="671"/>
      <c r="C201" s="671"/>
      <c r="D201" s="671"/>
      <c r="E201" s="671"/>
      <c r="F201" s="671"/>
      <c r="G201" s="671"/>
      <c r="H201" s="671"/>
      <c r="I201" s="671"/>
      <c r="J201" s="671"/>
      <c r="K201" s="671"/>
      <c r="L201" s="671"/>
      <c r="M201" s="671"/>
      <c r="N201" s="671"/>
      <c r="O201" s="671"/>
      <c r="P201" s="671"/>
      <c r="Q201" s="671"/>
      <c r="R201" s="671"/>
      <c r="S201" s="671"/>
      <c r="T201" s="671"/>
      <c r="U201" s="671"/>
      <c r="V201" s="671"/>
      <c r="W201" s="671"/>
      <c r="X201" s="671"/>
      <c r="Y201" s="671"/>
      <c r="Z201" s="671"/>
      <c r="AA201" s="671"/>
      <c r="AB201" s="671"/>
    </row>
    <row r="202">
      <c r="A202" s="671"/>
      <c r="B202" s="671"/>
      <c r="C202" s="671"/>
      <c r="D202" s="671"/>
      <c r="E202" s="671"/>
      <c r="F202" s="671"/>
      <c r="G202" s="671"/>
      <c r="H202" s="671"/>
      <c r="I202" s="671"/>
      <c r="J202" s="671"/>
      <c r="K202" s="671"/>
      <c r="L202" s="671"/>
      <c r="M202" s="671"/>
      <c r="N202" s="671"/>
      <c r="O202" s="671"/>
      <c r="P202" s="671"/>
      <c r="Q202" s="671"/>
      <c r="R202" s="671"/>
      <c r="S202" s="671"/>
      <c r="T202" s="671"/>
      <c r="U202" s="671"/>
      <c r="V202" s="671"/>
      <c r="W202" s="671"/>
      <c r="X202" s="671"/>
      <c r="Y202" s="671"/>
      <c r="Z202" s="671"/>
      <c r="AA202" s="671"/>
      <c r="AB202" s="671"/>
    </row>
    <row r="203">
      <c r="A203" s="671"/>
      <c r="B203" s="671"/>
      <c r="C203" s="671"/>
      <c r="D203" s="671"/>
      <c r="E203" s="671"/>
      <c r="F203" s="671"/>
      <c r="G203" s="671"/>
      <c r="H203" s="671"/>
      <c r="I203" s="671"/>
      <c r="J203" s="671"/>
      <c r="K203" s="671"/>
      <c r="L203" s="671"/>
      <c r="M203" s="671"/>
      <c r="N203" s="671"/>
      <c r="O203" s="671"/>
      <c r="P203" s="671"/>
      <c r="Q203" s="671"/>
      <c r="R203" s="671"/>
      <c r="S203" s="671"/>
      <c r="T203" s="671"/>
      <c r="U203" s="671"/>
      <c r="V203" s="671"/>
      <c r="W203" s="671"/>
      <c r="X203" s="671"/>
      <c r="Y203" s="671"/>
      <c r="Z203" s="671"/>
      <c r="AA203" s="671"/>
      <c r="AB203" s="671"/>
    </row>
    <row r="204">
      <c r="A204" s="671"/>
      <c r="B204" s="671"/>
      <c r="C204" s="671"/>
      <c r="D204" s="671"/>
      <c r="E204" s="671"/>
      <c r="F204" s="671"/>
      <c r="G204" s="671"/>
      <c r="H204" s="671"/>
      <c r="I204" s="671"/>
      <c r="J204" s="671"/>
      <c r="K204" s="671"/>
      <c r="L204" s="671"/>
      <c r="M204" s="671"/>
      <c r="N204" s="671"/>
      <c r="O204" s="671"/>
      <c r="P204" s="671"/>
      <c r="Q204" s="671"/>
      <c r="R204" s="671"/>
      <c r="S204" s="671"/>
      <c r="T204" s="671"/>
      <c r="U204" s="671"/>
      <c r="V204" s="671"/>
      <c r="W204" s="671"/>
      <c r="X204" s="671"/>
      <c r="Y204" s="671"/>
      <c r="Z204" s="671"/>
      <c r="AA204" s="671"/>
      <c r="AB204" s="671"/>
    </row>
    <row r="205">
      <c r="A205" s="671"/>
      <c r="B205" s="671"/>
      <c r="C205" s="671"/>
      <c r="D205" s="671"/>
      <c r="E205" s="671"/>
      <c r="F205" s="671"/>
      <c r="G205" s="671"/>
      <c r="H205" s="671"/>
      <c r="I205" s="671"/>
      <c r="J205" s="671"/>
      <c r="K205" s="671"/>
      <c r="L205" s="671"/>
      <c r="M205" s="671"/>
      <c r="N205" s="671"/>
      <c r="O205" s="671"/>
      <c r="P205" s="671"/>
      <c r="Q205" s="671"/>
      <c r="R205" s="671"/>
      <c r="S205" s="671"/>
      <c r="T205" s="671"/>
      <c r="U205" s="671"/>
      <c r="V205" s="671"/>
      <c r="W205" s="671"/>
      <c r="X205" s="671"/>
      <c r="Y205" s="671"/>
      <c r="Z205" s="671"/>
      <c r="AA205" s="671"/>
      <c r="AB205" s="671"/>
    </row>
    <row r="206">
      <c r="A206" s="671"/>
      <c r="B206" s="671"/>
      <c r="C206" s="671"/>
      <c r="D206" s="671"/>
      <c r="E206" s="671"/>
      <c r="F206" s="671"/>
      <c r="G206" s="671"/>
      <c r="H206" s="671"/>
      <c r="I206" s="671"/>
      <c r="J206" s="671"/>
      <c r="K206" s="671"/>
      <c r="L206" s="671"/>
      <c r="M206" s="671"/>
      <c r="N206" s="671"/>
      <c r="O206" s="671"/>
      <c r="P206" s="671"/>
      <c r="Q206" s="671"/>
      <c r="R206" s="671"/>
      <c r="S206" s="671"/>
      <c r="T206" s="671"/>
      <c r="U206" s="671"/>
      <c r="V206" s="671"/>
      <c r="W206" s="671"/>
      <c r="X206" s="671"/>
      <c r="Y206" s="671"/>
      <c r="Z206" s="671"/>
      <c r="AA206" s="671"/>
      <c r="AB206" s="671"/>
    </row>
    <row r="207">
      <c r="A207" s="671"/>
      <c r="B207" s="671"/>
      <c r="C207" s="671"/>
      <c r="D207" s="671"/>
      <c r="E207" s="671"/>
      <c r="F207" s="671"/>
      <c r="G207" s="671"/>
      <c r="H207" s="671"/>
      <c r="I207" s="671"/>
      <c r="J207" s="671"/>
      <c r="K207" s="671"/>
      <c r="L207" s="671"/>
      <c r="M207" s="671"/>
      <c r="N207" s="671"/>
      <c r="O207" s="671"/>
      <c r="P207" s="671"/>
      <c r="Q207" s="671"/>
      <c r="R207" s="671"/>
      <c r="S207" s="671"/>
      <c r="T207" s="671"/>
      <c r="U207" s="671"/>
      <c r="V207" s="671"/>
      <c r="W207" s="671"/>
      <c r="X207" s="671"/>
      <c r="Y207" s="671"/>
      <c r="Z207" s="671"/>
      <c r="AA207" s="671"/>
      <c r="AB207" s="671"/>
    </row>
    <row r="208">
      <c r="A208" s="671"/>
      <c r="B208" s="671"/>
      <c r="C208" s="671"/>
      <c r="D208" s="671"/>
      <c r="E208" s="671"/>
      <c r="F208" s="671"/>
      <c r="G208" s="671"/>
      <c r="H208" s="671"/>
      <c r="I208" s="671"/>
      <c r="J208" s="671"/>
      <c r="K208" s="671"/>
      <c r="L208" s="671"/>
      <c r="M208" s="671"/>
      <c r="N208" s="671"/>
      <c r="O208" s="671"/>
      <c r="P208" s="671"/>
      <c r="Q208" s="671"/>
      <c r="R208" s="671"/>
      <c r="S208" s="671"/>
      <c r="T208" s="671"/>
      <c r="U208" s="671"/>
      <c r="V208" s="671"/>
      <c r="W208" s="671"/>
      <c r="X208" s="671"/>
      <c r="Y208" s="671"/>
      <c r="Z208" s="671"/>
      <c r="AA208" s="671"/>
      <c r="AB208" s="671"/>
    </row>
    <row r="209">
      <c r="A209" s="671"/>
      <c r="B209" s="671"/>
      <c r="C209" s="671"/>
      <c r="D209" s="671"/>
      <c r="E209" s="671"/>
      <c r="F209" s="671"/>
      <c r="G209" s="671"/>
      <c r="H209" s="671"/>
      <c r="I209" s="671"/>
      <c r="J209" s="671"/>
      <c r="K209" s="671"/>
      <c r="L209" s="671"/>
      <c r="M209" s="671"/>
      <c r="N209" s="671"/>
      <c r="O209" s="671"/>
      <c r="P209" s="671"/>
      <c r="Q209" s="671"/>
      <c r="R209" s="671"/>
      <c r="S209" s="671"/>
      <c r="T209" s="671"/>
      <c r="U209" s="671"/>
      <c r="V209" s="671"/>
      <c r="W209" s="671"/>
      <c r="X209" s="671"/>
      <c r="Y209" s="671"/>
      <c r="Z209" s="671"/>
      <c r="AA209" s="671"/>
      <c r="AB209" s="671"/>
    </row>
    <row r="210">
      <c r="A210" s="671"/>
      <c r="B210" s="671"/>
      <c r="C210" s="671"/>
      <c r="D210" s="671"/>
      <c r="E210" s="671"/>
      <c r="F210" s="671"/>
      <c r="G210" s="671"/>
      <c r="H210" s="671"/>
      <c r="I210" s="671"/>
      <c r="J210" s="671"/>
      <c r="K210" s="671"/>
      <c r="L210" s="671"/>
      <c r="M210" s="671"/>
      <c r="N210" s="671"/>
      <c r="O210" s="671"/>
      <c r="P210" s="671"/>
      <c r="Q210" s="671"/>
      <c r="R210" s="671"/>
      <c r="S210" s="671"/>
      <c r="T210" s="671"/>
      <c r="U210" s="671"/>
      <c r="V210" s="671"/>
      <c r="W210" s="671"/>
      <c r="X210" s="671"/>
      <c r="Y210" s="671"/>
      <c r="Z210" s="671"/>
      <c r="AA210" s="671"/>
      <c r="AB210" s="671"/>
    </row>
    <row r="211">
      <c r="A211" s="671"/>
      <c r="B211" s="671"/>
      <c r="C211" s="671"/>
      <c r="D211" s="671"/>
      <c r="E211" s="671"/>
      <c r="F211" s="671"/>
      <c r="G211" s="671"/>
      <c r="H211" s="671"/>
      <c r="I211" s="671"/>
      <c r="J211" s="671"/>
      <c r="K211" s="671"/>
      <c r="L211" s="671"/>
      <c r="M211" s="671"/>
      <c r="N211" s="671"/>
      <c r="O211" s="671"/>
      <c r="P211" s="671"/>
      <c r="Q211" s="671"/>
      <c r="R211" s="671"/>
      <c r="S211" s="671"/>
      <c r="T211" s="671"/>
      <c r="U211" s="671"/>
      <c r="V211" s="671"/>
      <c r="W211" s="671"/>
      <c r="X211" s="671"/>
      <c r="Y211" s="671"/>
      <c r="Z211" s="671"/>
      <c r="AA211" s="671"/>
      <c r="AB211" s="671"/>
    </row>
    <row r="212">
      <c r="A212" s="671"/>
      <c r="B212" s="671"/>
      <c r="C212" s="671"/>
      <c r="D212" s="671"/>
      <c r="E212" s="671"/>
      <c r="F212" s="671"/>
      <c r="G212" s="671"/>
      <c r="H212" s="671"/>
      <c r="I212" s="671"/>
      <c r="J212" s="671"/>
      <c r="K212" s="671"/>
      <c r="L212" s="671"/>
      <c r="M212" s="671"/>
      <c r="N212" s="671"/>
      <c r="O212" s="671"/>
      <c r="P212" s="671"/>
      <c r="Q212" s="671"/>
      <c r="R212" s="671"/>
      <c r="S212" s="671"/>
      <c r="T212" s="671"/>
      <c r="U212" s="671"/>
      <c r="V212" s="671"/>
      <c r="W212" s="671"/>
      <c r="X212" s="671"/>
      <c r="Y212" s="671"/>
      <c r="Z212" s="671"/>
      <c r="AA212" s="671"/>
      <c r="AB212" s="671"/>
    </row>
    <row r="213">
      <c r="A213" s="671"/>
      <c r="B213" s="671"/>
      <c r="C213" s="671"/>
      <c r="D213" s="671"/>
      <c r="E213" s="671"/>
      <c r="F213" s="671"/>
      <c r="G213" s="671"/>
      <c r="H213" s="671"/>
      <c r="I213" s="671"/>
      <c r="J213" s="671"/>
      <c r="K213" s="671"/>
      <c r="L213" s="671"/>
      <c r="M213" s="671"/>
      <c r="N213" s="671"/>
      <c r="O213" s="671"/>
      <c r="P213" s="671"/>
      <c r="Q213" s="671"/>
      <c r="R213" s="671"/>
      <c r="S213" s="671"/>
      <c r="T213" s="671"/>
      <c r="U213" s="671"/>
      <c r="V213" s="671"/>
      <c r="W213" s="671"/>
      <c r="X213" s="671"/>
      <c r="Y213" s="671"/>
      <c r="Z213" s="671"/>
      <c r="AA213" s="671"/>
      <c r="AB213" s="671"/>
    </row>
    <row r="214">
      <c r="A214" s="671"/>
      <c r="B214" s="671"/>
      <c r="C214" s="671"/>
      <c r="D214" s="671"/>
      <c r="E214" s="671"/>
      <c r="F214" s="671"/>
      <c r="G214" s="671"/>
      <c r="H214" s="671"/>
      <c r="I214" s="671"/>
      <c r="J214" s="671"/>
      <c r="K214" s="671"/>
      <c r="L214" s="671"/>
      <c r="M214" s="671"/>
      <c r="N214" s="671"/>
      <c r="O214" s="671"/>
      <c r="P214" s="671"/>
      <c r="Q214" s="671"/>
      <c r="R214" s="671"/>
      <c r="S214" s="671"/>
      <c r="T214" s="671"/>
      <c r="U214" s="671"/>
      <c r="V214" s="671"/>
      <c r="W214" s="671"/>
      <c r="X214" s="671"/>
      <c r="Y214" s="671"/>
      <c r="Z214" s="671"/>
      <c r="AA214" s="671"/>
      <c r="AB214" s="671"/>
    </row>
    <row r="215">
      <c r="A215" s="671"/>
      <c r="B215" s="671"/>
      <c r="C215" s="671"/>
      <c r="D215" s="671"/>
      <c r="E215" s="671"/>
      <c r="F215" s="671"/>
      <c r="G215" s="671"/>
      <c r="H215" s="671"/>
      <c r="I215" s="671"/>
      <c r="J215" s="671"/>
      <c r="K215" s="671"/>
      <c r="L215" s="671"/>
      <c r="M215" s="671"/>
      <c r="N215" s="671"/>
      <c r="O215" s="671"/>
      <c r="P215" s="671"/>
      <c r="Q215" s="671"/>
      <c r="R215" s="671"/>
      <c r="S215" s="671"/>
      <c r="T215" s="671"/>
      <c r="U215" s="671"/>
      <c r="V215" s="671"/>
      <c r="W215" s="671"/>
      <c r="X215" s="671"/>
      <c r="Y215" s="671"/>
      <c r="Z215" s="671"/>
      <c r="AA215" s="671"/>
      <c r="AB215" s="671"/>
    </row>
    <row r="216">
      <c r="A216" s="671"/>
      <c r="B216" s="671"/>
      <c r="C216" s="671"/>
      <c r="D216" s="671"/>
      <c r="E216" s="671"/>
      <c r="F216" s="671"/>
      <c r="G216" s="671"/>
      <c r="H216" s="671"/>
      <c r="I216" s="671"/>
      <c r="J216" s="671"/>
      <c r="K216" s="671"/>
      <c r="L216" s="671"/>
      <c r="M216" s="671"/>
      <c r="N216" s="671"/>
      <c r="O216" s="671"/>
      <c r="P216" s="671"/>
      <c r="Q216" s="671"/>
      <c r="R216" s="671"/>
      <c r="S216" s="671"/>
      <c r="T216" s="671"/>
      <c r="U216" s="671"/>
      <c r="V216" s="671"/>
      <c r="W216" s="671"/>
      <c r="X216" s="671"/>
      <c r="Y216" s="671"/>
      <c r="Z216" s="671"/>
      <c r="AA216" s="671"/>
      <c r="AB216" s="671"/>
    </row>
    <row r="217">
      <c r="A217" s="671"/>
      <c r="B217" s="671"/>
      <c r="C217" s="671"/>
      <c r="D217" s="671"/>
      <c r="E217" s="671"/>
      <c r="F217" s="671"/>
      <c r="G217" s="671"/>
      <c r="H217" s="671"/>
      <c r="I217" s="671"/>
      <c r="J217" s="671"/>
      <c r="K217" s="671"/>
      <c r="L217" s="671"/>
      <c r="M217" s="671"/>
      <c r="N217" s="671"/>
      <c r="O217" s="671"/>
      <c r="P217" s="671"/>
      <c r="Q217" s="671"/>
      <c r="R217" s="671"/>
      <c r="S217" s="671"/>
      <c r="T217" s="671"/>
      <c r="U217" s="671"/>
      <c r="V217" s="671"/>
      <c r="W217" s="671"/>
      <c r="X217" s="671"/>
      <c r="Y217" s="671"/>
      <c r="Z217" s="671"/>
      <c r="AA217" s="671"/>
      <c r="AB217" s="671"/>
    </row>
    <row r="218">
      <c r="A218" s="671"/>
      <c r="B218" s="671"/>
      <c r="C218" s="671"/>
      <c r="D218" s="671"/>
      <c r="E218" s="671"/>
      <c r="F218" s="671"/>
      <c r="G218" s="671"/>
      <c r="H218" s="671"/>
      <c r="I218" s="671"/>
      <c r="J218" s="671"/>
      <c r="K218" s="671"/>
      <c r="L218" s="671"/>
      <c r="M218" s="671"/>
      <c r="N218" s="671"/>
      <c r="O218" s="671"/>
      <c r="P218" s="671"/>
      <c r="Q218" s="671"/>
      <c r="R218" s="671"/>
      <c r="S218" s="671"/>
      <c r="T218" s="671"/>
      <c r="U218" s="671"/>
      <c r="V218" s="671"/>
      <c r="W218" s="671"/>
      <c r="X218" s="671"/>
      <c r="Y218" s="671"/>
      <c r="Z218" s="671"/>
      <c r="AA218" s="671"/>
      <c r="AB218" s="671"/>
    </row>
    <row r="219">
      <c r="A219" s="671"/>
      <c r="B219" s="671"/>
      <c r="C219" s="671"/>
      <c r="D219" s="671"/>
      <c r="E219" s="671"/>
      <c r="F219" s="671"/>
      <c r="G219" s="671"/>
      <c r="H219" s="671"/>
      <c r="I219" s="671"/>
      <c r="J219" s="671"/>
      <c r="K219" s="671"/>
      <c r="L219" s="671"/>
      <c r="M219" s="671"/>
      <c r="N219" s="671"/>
      <c r="O219" s="671"/>
      <c r="P219" s="671"/>
      <c r="Q219" s="671"/>
      <c r="R219" s="671"/>
      <c r="S219" s="671"/>
      <c r="T219" s="671"/>
      <c r="U219" s="671"/>
      <c r="V219" s="671"/>
      <c r="W219" s="671"/>
      <c r="X219" s="671"/>
      <c r="Y219" s="671"/>
      <c r="Z219" s="671"/>
      <c r="AA219" s="671"/>
      <c r="AB219" s="671"/>
    </row>
    <row r="220">
      <c r="A220" s="671"/>
      <c r="B220" s="671"/>
      <c r="C220" s="671"/>
      <c r="D220" s="671"/>
      <c r="E220" s="671"/>
      <c r="F220" s="671"/>
      <c r="G220" s="671"/>
      <c r="H220" s="671"/>
      <c r="I220" s="671"/>
      <c r="J220" s="671"/>
      <c r="K220" s="671"/>
      <c r="L220" s="671"/>
      <c r="M220" s="671"/>
      <c r="N220" s="671"/>
      <c r="O220" s="671"/>
      <c r="P220" s="671"/>
      <c r="Q220" s="671"/>
      <c r="R220" s="671"/>
      <c r="S220" s="671"/>
      <c r="T220" s="671"/>
      <c r="U220" s="671"/>
      <c r="V220" s="671"/>
      <c r="W220" s="671"/>
      <c r="X220" s="671"/>
      <c r="Y220" s="671"/>
      <c r="Z220" s="671"/>
      <c r="AA220" s="671"/>
      <c r="AB220" s="671"/>
    </row>
    <row r="221">
      <c r="A221" s="671"/>
      <c r="B221" s="671"/>
      <c r="C221" s="671"/>
      <c r="D221" s="671"/>
      <c r="E221" s="671"/>
      <c r="F221" s="671"/>
      <c r="G221" s="671"/>
      <c r="H221" s="671"/>
      <c r="I221" s="671"/>
      <c r="J221" s="671"/>
      <c r="K221" s="671"/>
      <c r="L221" s="671"/>
      <c r="M221" s="671"/>
      <c r="N221" s="671"/>
      <c r="O221" s="671"/>
      <c r="P221" s="671"/>
      <c r="Q221" s="671"/>
      <c r="R221" s="671"/>
      <c r="S221" s="671"/>
      <c r="T221" s="671"/>
      <c r="U221" s="671"/>
      <c r="V221" s="671"/>
      <c r="W221" s="671"/>
      <c r="X221" s="671"/>
      <c r="Y221" s="671"/>
      <c r="Z221" s="671"/>
      <c r="AA221" s="671"/>
      <c r="AB221" s="671"/>
    </row>
    <row r="222">
      <c r="A222" s="671"/>
      <c r="B222" s="671"/>
      <c r="C222" s="671"/>
      <c r="D222" s="671"/>
      <c r="E222" s="671"/>
      <c r="F222" s="671"/>
      <c r="G222" s="671"/>
      <c r="H222" s="671"/>
      <c r="I222" s="671"/>
      <c r="J222" s="671"/>
      <c r="K222" s="671"/>
      <c r="L222" s="671"/>
      <c r="M222" s="671"/>
      <c r="N222" s="671"/>
      <c r="O222" s="671"/>
      <c r="P222" s="671"/>
      <c r="Q222" s="671"/>
      <c r="R222" s="671"/>
      <c r="S222" s="671"/>
      <c r="T222" s="671"/>
      <c r="U222" s="671"/>
      <c r="V222" s="671"/>
      <c r="W222" s="671"/>
      <c r="X222" s="671"/>
      <c r="Y222" s="671"/>
      <c r="Z222" s="671"/>
      <c r="AA222" s="671"/>
      <c r="AB222" s="671"/>
    </row>
    <row r="223">
      <c r="A223" s="671"/>
      <c r="B223" s="671"/>
      <c r="C223" s="671"/>
      <c r="D223" s="671"/>
      <c r="E223" s="671"/>
      <c r="F223" s="671"/>
      <c r="G223" s="671"/>
      <c r="H223" s="671"/>
      <c r="I223" s="671"/>
      <c r="J223" s="671"/>
      <c r="K223" s="671"/>
      <c r="L223" s="671"/>
      <c r="M223" s="671"/>
      <c r="N223" s="671"/>
      <c r="O223" s="671"/>
      <c r="P223" s="671"/>
      <c r="Q223" s="671"/>
      <c r="R223" s="671"/>
      <c r="S223" s="671"/>
      <c r="T223" s="671"/>
      <c r="U223" s="671"/>
      <c r="V223" s="671"/>
      <c r="W223" s="671"/>
      <c r="X223" s="671"/>
      <c r="Y223" s="671"/>
      <c r="Z223" s="671"/>
      <c r="AA223" s="671"/>
      <c r="AB223" s="671"/>
    </row>
    <row r="224">
      <c r="A224" s="671"/>
      <c r="B224" s="671"/>
      <c r="C224" s="671"/>
      <c r="D224" s="671"/>
      <c r="E224" s="671"/>
      <c r="F224" s="671"/>
      <c r="G224" s="671"/>
      <c r="H224" s="671"/>
      <c r="I224" s="671"/>
      <c r="J224" s="671"/>
      <c r="K224" s="671"/>
      <c r="L224" s="671"/>
      <c r="M224" s="671"/>
      <c r="N224" s="671"/>
      <c r="O224" s="671"/>
      <c r="P224" s="671"/>
      <c r="Q224" s="671"/>
      <c r="R224" s="671"/>
      <c r="S224" s="671"/>
      <c r="T224" s="671"/>
      <c r="U224" s="671"/>
      <c r="V224" s="671"/>
      <c r="W224" s="671"/>
      <c r="X224" s="671"/>
      <c r="Y224" s="671"/>
      <c r="Z224" s="671"/>
      <c r="AA224" s="671"/>
      <c r="AB224" s="671"/>
    </row>
    <row r="225">
      <c r="A225" s="671"/>
      <c r="B225" s="671"/>
      <c r="C225" s="671"/>
      <c r="D225" s="671"/>
      <c r="E225" s="671"/>
      <c r="F225" s="671"/>
      <c r="G225" s="671"/>
      <c r="H225" s="671"/>
      <c r="I225" s="671"/>
      <c r="J225" s="671"/>
      <c r="K225" s="671"/>
      <c r="L225" s="671"/>
      <c r="M225" s="671"/>
      <c r="N225" s="671"/>
      <c r="O225" s="671"/>
      <c r="P225" s="671"/>
      <c r="Q225" s="671"/>
      <c r="R225" s="671"/>
      <c r="S225" s="671"/>
      <c r="T225" s="671"/>
      <c r="U225" s="671"/>
      <c r="V225" s="671"/>
      <c r="W225" s="671"/>
      <c r="X225" s="671"/>
      <c r="Y225" s="671"/>
      <c r="Z225" s="671"/>
      <c r="AA225" s="671"/>
      <c r="AB225" s="671"/>
    </row>
    <row r="226">
      <c r="A226" s="671"/>
      <c r="B226" s="671"/>
      <c r="C226" s="671"/>
      <c r="D226" s="671"/>
      <c r="E226" s="671"/>
      <c r="F226" s="671"/>
      <c r="G226" s="671"/>
      <c r="H226" s="671"/>
      <c r="I226" s="671"/>
      <c r="J226" s="671"/>
      <c r="K226" s="671"/>
      <c r="L226" s="671"/>
      <c r="M226" s="671"/>
      <c r="N226" s="671"/>
      <c r="O226" s="671"/>
      <c r="P226" s="671"/>
      <c r="Q226" s="671"/>
      <c r="R226" s="671"/>
      <c r="S226" s="671"/>
      <c r="T226" s="671"/>
      <c r="U226" s="671"/>
      <c r="V226" s="671"/>
      <c r="W226" s="671"/>
      <c r="X226" s="671"/>
      <c r="Y226" s="671"/>
      <c r="Z226" s="671"/>
      <c r="AA226" s="671"/>
      <c r="AB226" s="671"/>
    </row>
    <row r="227">
      <c r="A227" s="671"/>
      <c r="B227" s="671"/>
      <c r="C227" s="671"/>
      <c r="D227" s="671"/>
      <c r="E227" s="671"/>
      <c r="F227" s="671"/>
      <c r="G227" s="671"/>
      <c r="H227" s="671"/>
      <c r="I227" s="671"/>
      <c r="J227" s="671"/>
      <c r="K227" s="671"/>
      <c r="L227" s="671"/>
      <c r="M227" s="671"/>
      <c r="N227" s="671"/>
      <c r="O227" s="671"/>
      <c r="P227" s="671"/>
      <c r="Q227" s="671"/>
      <c r="R227" s="671"/>
      <c r="S227" s="671"/>
      <c r="T227" s="671"/>
      <c r="U227" s="671"/>
      <c r="V227" s="671"/>
      <c r="W227" s="671"/>
      <c r="X227" s="671"/>
      <c r="Y227" s="671"/>
      <c r="Z227" s="671"/>
      <c r="AA227" s="671"/>
      <c r="AB227" s="671"/>
    </row>
    <row r="228">
      <c r="A228" s="671"/>
      <c r="B228" s="671"/>
      <c r="C228" s="671"/>
      <c r="D228" s="671"/>
      <c r="E228" s="671"/>
      <c r="F228" s="671"/>
      <c r="G228" s="671"/>
      <c r="H228" s="671"/>
      <c r="I228" s="671"/>
      <c r="J228" s="671"/>
      <c r="K228" s="671"/>
      <c r="L228" s="671"/>
      <c r="M228" s="671"/>
      <c r="N228" s="671"/>
      <c r="O228" s="671"/>
      <c r="P228" s="671"/>
      <c r="Q228" s="671"/>
      <c r="R228" s="671"/>
      <c r="S228" s="671"/>
      <c r="T228" s="671"/>
      <c r="U228" s="671"/>
      <c r="V228" s="671"/>
      <c r="W228" s="671"/>
      <c r="X228" s="671"/>
      <c r="Y228" s="671"/>
      <c r="Z228" s="671"/>
      <c r="AA228" s="671"/>
      <c r="AB228" s="671"/>
    </row>
    <row r="229">
      <c r="A229" s="671"/>
      <c r="B229" s="671"/>
      <c r="C229" s="671"/>
      <c r="D229" s="671"/>
      <c r="E229" s="671"/>
      <c r="F229" s="671"/>
      <c r="G229" s="671"/>
      <c r="H229" s="671"/>
      <c r="I229" s="671"/>
      <c r="J229" s="671"/>
      <c r="K229" s="671"/>
      <c r="L229" s="671"/>
      <c r="M229" s="671"/>
      <c r="N229" s="671"/>
      <c r="O229" s="671"/>
      <c r="P229" s="671"/>
      <c r="Q229" s="671"/>
      <c r="R229" s="671"/>
      <c r="S229" s="671"/>
      <c r="T229" s="671"/>
      <c r="U229" s="671"/>
      <c r="V229" s="671"/>
      <c r="W229" s="671"/>
      <c r="X229" s="671"/>
      <c r="Y229" s="671"/>
      <c r="Z229" s="671"/>
      <c r="AA229" s="671"/>
      <c r="AB229" s="671"/>
    </row>
    <row r="230">
      <c r="A230" s="671"/>
      <c r="B230" s="671"/>
      <c r="C230" s="671"/>
      <c r="D230" s="671"/>
      <c r="E230" s="671"/>
      <c r="F230" s="671"/>
      <c r="G230" s="671"/>
      <c r="H230" s="671"/>
      <c r="I230" s="671"/>
      <c r="J230" s="671"/>
      <c r="K230" s="671"/>
      <c r="L230" s="671"/>
      <c r="M230" s="671"/>
      <c r="N230" s="671"/>
      <c r="O230" s="671"/>
      <c r="P230" s="671"/>
      <c r="Q230" s="671"/>
      <c r="R230" s="671"/>
      <c r="S230" s="671"/>
      <c r="T230" s="671"/>
      <c r="U230" s="671"/>
      <c r="V230" s="671"/>
      <c r="W230" s="671"/>
      <c r="X230" s="671"/>
      <c r="Y230" s="671"/>
      <c r="Z230" s="671"/>
      <c r="AA230" s="671"/>
      <c r="AB230" s="671"/>
    </row>
    <row r="231">
      <c r="A231" s="671"/>
      <c r="B231" s="671"/>
      <c r="C231" s="671"/>
      <c r="D231" s="671"/>
      <c r="E231" s="671"/>
      <c r="F231" s="671"/>
      <c r="G231" s="671"/>
      <c r="H231" s="671"/>
      <c r="I231" s="671"/>
      <c r="J231" s="671"/>
      <c r="K231" s="671"/>
      <c r="L231" s="671"/>
      <c r="M231" s="671"/>
      <c r="N231" s="671"/>
      <c r="O231" s="671"/>
      <c r="P231" s="671"/>
      <c r="Q231" s="671"/>
      <c r="R231" s="671"/>
      <c r="S231" s="671"/>
      <c r="T231" s="671"/>
      <c r="U231" s="671"/>
      <c r="V231" s="671"/>
      <c r="W231" s="671"/>
      <c r="X231" s="671"/>
      <c r="Y231" s="671"/>
      <c r="Z231" s="671"/>
      <c r="AA231" s="671"/>
      <c r="AB231" s="671"/>
    </row>
    <row r="232">
      <c r="A232" s="671"/>
      <c r="B232" s="671"/>
      <c r="C232" s="671"/>
      <c r="D232" s="671"/>
      <c r="E232" s="671"/>
      <c r="F232" s="671"/>
      <c r="G232" s="671"/>
      <c r="H232" s="671"/>
      <c r="I232" s="671"/>
      <c r="J232" s="671"/>
      <c r="K232" s="671"/>
      <c r="L232" s="671"/>
      <c r="M232" s="671"/>
      <c r="N232" s="671"/>
      <c r="O232" s="671"/>
      <c r="P232" s="671"/>
      <c r="Q232" s="671"/>
      <c r="R232" s="671"/>
      <c r="S232" s="671"/>
      <c r="T232" s="671"/>
      <c r="U232" s="671"/>
      <c r="V232" s="671"/>
      <c r="W232" s="671"/>
      <c r="X232" s="671"/>
      <c r="Y232" s="671"/>
      <c r="Z232" s="671"/>
      <c r="AA232" s="671"/>
      <c r="AB232" s="671"/>
    </row>
    <row r="233">
      <c r="A233" s="671"/>
      <c r="B233" s="671"/>
      <c r="C233" s="671"/>
      <c r="D233" s="671"/>
      <c r="E233" s="671"/>
      <c r="F233" s="671"/>
      <c r="G233" s="671"/>
      <c r="H233" s="671"/>
      <c r="I233" s="671"/>
      <c r="J233" s="671"/>
      <c r="K233" s="671"/>
      <c r="L233" s="671"/>
      <c r="M233" s="671"/>
      <c r="N233" s="671"/>
      <c r="O233" s="671"/>
      <c r="P233" s="671"/>
      <c r="Q233" s="671"/>
      <c r="R233" s="671"/>
      <c r="S233" s="671"/>
      <c r="T233" s="671"/>
      <c r="U233" s="671"/>
      <c r="V233" s="671"/>
      <c r="W233" s="671"/>
      <c r="X233" s="671"/>
      <c r="Y233" s="671"/>
      <c r="Z233" s="671"/>
      <c r="AA233" s="671"/>
      <c r="AB233" s="671"/>
    </row>
    <row r="234">
      <c r="A234" s="671"/>
      <c r="B234" s="671"/>
      <c r="C234" s="671"/>
      <c r="D234" s="671"/>
      <c r="E234" s="671"/>
      <c r="F234" s="671"/>
      <c r="G234" s="671"/>
      <c r="H234" s="671"/>
      <c r="I234" s="671"/>
      <c r="J234" s="671"/>
      <c r="K234" s="671"/>
      <c r="L234" s="671"/>
      <c r="M234" s="671"/>
      <c r="N234" s="671"/>
      <c r="O234" s="671"/>
      <c r="P234" s="671"/>
      <c r="Q234" s="671"/>
      <c r="R234" s="671"/>
      <c r="S234" s="671"/>
      <c r="T234" s="671"/>
      <c r="U234" s="671"/>
      <c r="V234" s="671"/>
      <c r="W234" s="671"/>
      <c r="X234" s="671"/>
      <c r="Y234" s="671"/>
      <c r="Z234" s="671"/>
      <c r="AA234" s="671"/>
      <c r="AB234" s="671"/>
    </row>
    <row r="235">
      <c r="A235" s="671"/>
      <c r="B235" s="671"/>
      <c r="C235" s="671"/>
      <c r="D235" s="671"/>
      <c r="E235" s="671"/>
      <c r="F235" s="671"/>
      <c r="G235" s="671"/>
      <c r="H235" s="671"/>
      <c r="I235" s="671"/>
      <c r="J235" s="671"/>
      <c r="K235" s="671"/>
      <c r="L235" s="671"/>
      <c r="M235" s="671"/>
      <c r="N235" s="671"/>
      <c r="O235" s="671"/>
      <c r="P235" s="671"/>
      <c r="Q235" s="671"/>
      <c r="R235" s="671"/>
      <c r="S235" s="671"/>
      <c r="T235" s="671"/>
      <c r="U235" s="671"/>
      <c r="V235" s="671"/>
      <c r="W235" s="671"/>
      <c r="X235" s="671"/>
      <c r="Y235" s="671"/>
      <c r="Z235" s="671"/>
      <c r="AA235" s="671"/>
      <c r="AB235" s="671"/>
    </row>
    <row r="236">
      <c r="A236" s="671"/>
      <c r="B236" s="671"/>
      <c r="C236" s="671"/>
      <c r="D236" s="671"/>
      <c r="E236" s="671"/>
      <c r="F236" s="671"/>
      <c r="G236" s="671"/>
      <c r="H236" s="671"/>
      <c r="I236" s="671"/>
      <c r="J236" s="671"/>
      <c r="K236" s="671"/>
      <c r="L236" s="671"/>
      <c r="M236" s="671"/>
      <c r="N236" s="671"/>
      <c r="O236" s="671"/>
      <c r="P236" s="671"/>
      <c r="Q236" s="671"/>
      <c r="R236" s="671"/>
      <c r="S236" s="671"/>
      <c r="T236" s="671"/>
      <c r="U236" s="671"/>
      <c r="V236" s="671"/>
      <c r="W236" s="671"/>
      <c r="X236" s="671"/>
      <c r="Y236" s="671"/>
      <c r="Z236" s="671"/>
      <c r="AA236" s="671"/>
      <c r="AB236" s="671"/>
    </row>
    <row r="237">
      <c r="A237" s="671"/>
      <c r="B237" s="671"/>
      <c r="C237" s="671"/>
      <c r="D237" s="671"/>
      <c r="E237" s="671"/>
      <c r="F237" s="671"/>
      <c r="G237" s="671"/>
      <c r="H237" s="671"/>
      <c r="I237" s="671"/>
      <c r="J237" s="671"/>
      <c r="K237" s="671"/>
      <c r="L237" s="671"/>
      <c r="M237" s="671"/>
      <c r="N237" s="671"/>
      <c r="O237" s="671"/>
      <c r="P237" s="671"/>
      <c r="Q237" s="671"/>
      <c r="R237" s="671"/>
      <c r="S237" s="671"/>
      <c r="T237" s="671"/>
      <c r="U237" s="671"/>
      <c r="V237" s="671"/>
      <c r="W237" s="671"/>
      <c r="X237" s="671"/>
      <c r="Y237" s="671"/>
      <c r="Z237" s="671"/>
      <c r="AA237" s="671"/>
      <c r="AB237" s="671"/>
    </row>
    <row r="238">
      <c r="A238" s="671"/>
      <c r="B238" s="671"/>
      <c r="C238" s="671"/>
      <c r="D238" s="671"/>
      <c r="E238" s="671"/>
      <c r="F238" s="671"/>
      <c r="G238" s="671"/>
      <c r="H238" s="671"/>
      <c r="I238" s="671"/>
      <c r="J238" s="671"/>
      <c r="K238" s="671"/>
      <c r="L238" s="671"/>
      <c r="M238" s="671"/>
      <c r="N238" s="671"/>
      <c r="O238" s="671"/>
      <c r="P238" s="671"/>
      <c r="Q238" s="671"/>
      <c r="R238" s="671"/>
      <c r="S238" s="671"/>
      <c r="T238" s="671"/>
      <c r="U238" s="671"/>
      <c r="V238" s="671"/>
      <c r="W238" s="671"/>
      <c r="X238" s="671"/>
      <c r="Y238" s="671"/>
      <c r="Z238" s="671"/>
      <c r="AA238" s="671"/>
      <c r="AB238" s="671"/>
    </row>
    <row r="239">
      <c r="A239" s="671"/>
      <c r="B239" s="671"/>
      <c r="C239" s="671"/>
      <c r="D239" s="671"/>
      <c r="E239" s="671"/>
      <c r="F239" s="671"/>
      <c r="G239" s="671"/>
      <c r="H239" s="671"/>
      <c r="I239" s="671"/>
      <c r="J239" s="671"/>
      <c r="K239" s="671"/>
      <c r="L239" s="671"/>
      <c r="M239" s="671"/>
      <c r="N239" s="671"/>
      <c r="O239" s="671"/>
      <c r="P239" s="671"/>
      <c r="Q239" s="671"/>
      <c r="R239" s="671"/>
      <c r="S239" s="671"/>
      <c r="T239" s="671"/>
      <c r="U239" s="671"/>
      <c r="V239" s="671"/>
      <c r="W239" s="671"/>
      <c r="X239" s="671"/>
      <c r="Y239" s="671"/>
      <c r="Z239" s="671"/>
      <c r="AA239" s="671"/>
      <c r="AB239" s="671"/>
    </row>
    <row r="240">
      <c r="A240" s="671"/>
      <c r="B240" s="671"/>
      <c r="C240" s="671"/>
      <c r="D240" s="671"/>
      <c r="E240" s="671"/>
      <c r="F240" s="671"/>
      <c r="G240" s="671"/>
      <c r="H240" s="671"/>
      <c r="I240" s="671"/>
      <c r="J240" s="671"/>
      <c r="K240" s="671"/>
      <c r="L240" s="671"/>
      <c r="M240" s="671"/>
      <c r="N240" s="671"/>
      <c r="O240" s="671"/>
      <c r="P240" s="671"/>
      <c r="Q240" s="671"/>
      <c r="R240" s="671"/>
      <c r="S240" s="671"/>
      <c r="T240" s="671"/>
      <c r="U240" s="671"/>
      <c r="V240" s="671"/>
      <c r="W240" s="671"/>
      <c r="X240" s="671"/>
      <c r="Y240" s="671"/>
      <c r="Z240" s="671"/>
      <c r="AA240" s="671"/>
      <c r="AB240" s="671"/>
    </row>
    <row r="241">
      <c r="A241" s="671"/>
      <c r="B241" s="671"/>
      <c r="C241" s="671"/>
      <c r="D241" s="671"/>
      <c r="E241" s="671"/>
      <c r="F241" s="671"/>
      <c r="G241" s="671"/>
      <c r="H241" s="671"/>
      <c r="I241" s="671"/>
      <c r="J241" s="671"/>
      <c r="K241" s="671"/>
      <c r="L241" s="671"/>
      <c r="M241" s="671"/>
      <c r="N241" s="671"/>
      <c r="O241" s="671"/>
      <c r="P241" s="671"/>
      <c r="Q241" s="671"/>
      <c r="R241" s="671"/>
      <c r="S241" s="671"/>
      <c r="T241" s="671"/>
      <c r="U241" s="671"/>
      <c r="V241" s="671"/>
      <c r="W241" s="671"/>
      <c r="X241" s="671"/>
      <c r="Y241" s="671"/>
      <c r="Z241" s="671"/>
      <c r="AA241" s="671"/>
      <c r="AB241" s="671"/>
    </row>
    <row r="242">
      <c r="A242" s="671"/>
      <c r="B242" s="671"/>
      <c r="C242" s="671"/>
      <c r="D242" s="671"/>
      <c r="E242" s="671"/>
      <c r="F242" s="671"/>
      <c r="G242" s="671"/>
      <c r="H242" s="671"/>
      <c r="I242" s="671"/>
      <c r="J242" s="671"/>
      <c r="K242" s="671"/>
      <c r="L242" s="671"/>
      <c r="M242" s="671"/>
      <c r="N242" s="671"/>
      <c r="O242" s="671"/>
      <c r="P242" s="671"/>
      <c r="Q242" s="671"/>
      <c r="R242" s="671"/>
      <c r="S242" s="671"/>
      <c r="T242" s="671"/>
      <c r="U242" s="671"/>
      <c r="V242" s="671"/>
      <c r="W242" s="671"/>
      <c r="X242" s="671"/>
      <c r="Y242" s="671"/>
      <c r="Z242" s="671"/>
      <c r="AA242" s="671"/>
      <c r="AB242" s="671"/>
    </row>
    <row r="243">
      <c r="A243" s="671"/>
      <c r="B243" s="671"/>
      <c r="C243" s="671"/>
      <c r="D243" s="671"/>
      <c r="E243" s="671"/>
      <c r="F243" s="671"/>
      <c r="G243" s="671"/>
      <c r="H243" s="671"/>
      <c r="I243" s="671"/>
      <c r="J243" s="671"/>
      <c r="K243" s="671"/>
      <c r="L243" s="671"/>
      <c r="M243" s="671"/>
      <c r="N243" s="671"/>
      <c r="O243" s="671"/>
      <c r="P243" s="671"/>
      <c r="Q243" s="671"/>
      <c r="R243" s="671"/>
      <c r="S243" s="671"/>
      <c r="T243" s="671"/>
      <c r="U243" s="671"/>
      <c r="V243" s="671"/>
      <c r="W243" s="671"/>
      <c r="X243" s="671"/>
      <c r="Y243" s="671"/>
      <c r="Z243" s="671"/>
      <c r="AA243" s="671"/>
      <c r="AB243" s="671"/>
    </row>
    <row r="244">
      <c r="A244" s="671"/>
      <c r="B244" s="671"/>
      <c r="C244" s="671"/>
      <c r="D244" s="671"/>
      <c r="E244" s="671"/>
      <c r="F244" s="671"/>
      <c r="G244" s="671"/>
      <c r="H244" s="671"/>
      <c r="I244" s="671"/>
      <c r="J244" s="671"/>
      <c r="K244" s="671"/>
      <c r="L244" s="671"/>
      <c r="M244" s="671"/>
      <c r="N244" s="671"/>
      <c r="O244" s="671"/>
      <c r="P244" s="671"/>
      <c r="Q244" s="671"/>
      <c r="R244" s="671"/>
      <c r="S244" s="671"/>
      <c r="T244" s="671"/>
      <c r="U244" s="671"/>
      <c r="V244" s="671"/>
      <c r="W244" s="671"/>
      <c r="X244" s="671"/>
      <c r="Y244" s="671"/>
      <c r="Z244" s="671"/>
      <c r="AA244" s="671"/>
      <c r="AB244" s="671"/>
    </row>
    <row r="245">
      <c r="A245" s="671"/>
      <c r="B245" s="671"/>
      <c r="C245" s="671"/>
      <c r="D245" s="671"/>
      <c r="E245" s="671"/>
      <c r="F245" s="671"/>
      <c r="G245" s="671"/>
      <c r="H245" s="671"/>
      <c r="I245" s="671"/>
      <c r="J245" s="671"/>
      <c r="K245" s="671"/>
      <c r="L245" s="671"/>
      <c r="M245" s="671"/>
      <c r="N245" s="671"/>
      <c r="O245" s="671"/>
      <c r="P245" s="671"/>
      <c r="Q245" s="671"/>
      <c r="R245" s="671"/>
      <c r="S245" s="671"/>
      <c r="T245" s="671"/>
      <c r="U245" s="671"/>
      <c r="V245" s="671"/>
      <c r="W245" s="671"/>
      <c r="X245" s="671"/>
      <c r="Y245" s="671"/>
      <c r="Z245" s="671"/>
      <c r="AA245" s="671"/>
      <c r="AB245" s="671"/>
    </row>
    <row r="246">
      <c r="A246" s="671"/>
      <c r="B246" s="671"/>
      <c r="C246" s="671"/>
      <c r="D246" s="671"/>
      <c r="E246" s="671"/>
      <c r="F246" s="671"/>
      <c r="G246" s="671"/>
      <c r="H246" s="671"/>
      <c r="I246" s="671"/>
      <c r="J246" s="671"/>
      <c r="K246" s="671"/>
      <c r="L246" s="671"/>
      <c r="M246" s="671"/>
      <c r="N246" s="671"/>
      <c r="O246" s="671"/>
      <c r="P246" s="671"/>
      <c r="Q246" s="671"/>
      <c r="R246" s="671"/>
      <c r="S246" s="671"/>
      <c r="T246" s="671"/>
      <c r="U246" s="671"/>
      <c r="V246" s="671"/>
      <c r="W246" s="671"/>
      <c r="X246" s="671"/>
      <c r="Y246" s="671"/>
      <c r="Z246" s="671"/>
      <c r="AA246" s="671"/>
      <c r="AB246" s="671"/>
    </row>
    <row r="247">
      <c r="A247" s="671"/>
      <c r="B247" s="671"/>
      <c r="C247" s="671"/>
      <c r="D247" s="671"/>
      <c r="E247" s="671"/>
      <c r="F247" s="671"/>
      <c r="G247" s="671"/>
      <c r="H247" s="671"/>
      <c r="I247" s="671"/>
      <c r="J247" s="671"/>
      <c r="K247" s="671"/>
      <c r="L247" s="671"/>
      <c r="M247" s="671"/>
      <c r="N247" s="671"/>
      <c r="O247" s="671"/>
      <c r="P247" s="671"/>
      <c r="Q247" s="671"/>
      <c r="R247" s="671"/>
      <c r="S247" s="671"/>
      <c r="T247" s="671"/>
      <c r="U247" s="671"/>
      <c r="V247" s="671"/>
      <c r="W247" s="671"/>
      <c r="X247" s="671"/>
      <c r="Y247" s="671"/>
      <c r="Z247" s="671"/>
      <c r="AA247" s="671"/>
      <c r="AB247" s="671"/>
    </row>
    <row r="248">
      <c r="A248" s="671"/>
      <c r="B248" s="671"/>
      <c r="C248" s="671"/>
      <c r="D248" s="671"/>
      <c r="E248" s="671"/>
      <c r="F248" s="671"/>
      <c r="G248" s="671"/>
      <c r="H248" s="671"/>
      <c r="I248" s="671"/>
      <c r="J248" s="671"/>
      <c r="K248" s="671"/>
      <c r="L248" s="671"/>
      <c r="M248" s="671"/>
      <c r="N248" s="671"/>
      <c r="O248" s="671"/>
      <c r="P248" s="671"/>
      <c r="Q248" s="671"/>
      <c r="R248" s="671"/>
      <c r="S248" s="671"/>
      <c r="T248" s="671"/>
      <c r="U248" s="671"/>
      <c r="V248" s="671"/>
      <c r="W248" s="671"/>
      <c r="X248" s="671"/>
      <c r="Y248" s="671"/>
      <c r="Z248" s="671"/>
      <c r="AA248" s="671"/>
      <c r="AB248" s="671"/>
    </row>
    <row r="249">
      <c r="A249" s="671"/>
      <c r="B249" s="671"/>
      <c r="C249" s="671"/>
      <c r="D249" s="671"/>
      <c r="E249" s="671"/>
      <c r="F249" s="671"/>
      <c r="G249" s="671"/>
      <c r="H249" s="671"/>
      <c r="I249" s="671"/>
      <c r="J249" s="671"/>
      <c r="K249" s="671"/>
      <c r="L249" s="671"/>
      <c r="M249" s="671"/>
      <c r="N249" s="671"/>
      <c r="O249" s="671"/>
      <c r="P249" s="671"/>
      <c r="Q249" s="671"/>
      <c r="R249" s="671"/>
      <c r="S249" s="671"/>
      <c r="T249" s="671"/>
      <c r="U249" s="671"/>
      <c r="V249" s="671"/>
      <c r="W249" s="671"/>
      <c r="X249" s="671"/>
      <c r="Y249" s="671"/>
      <c r="Z249" s="671"/>
      <c r="AA249" s="671"/>
      <c r="AB249" s="671"/>
    </row>
    <row r="250">
      <c r="A250" s="671"/>
      <c r="B250" s="671"/>
      <c r="C250" s="671"/>
      <c r="D250" s="671"/>
      <c r="E250" s="671"/>
      <c r="F250" s="671"/>
      <c r="G250" s="671"/>
      <c r="H250" s="671"/>
      <c r="I250" s="671"/>
      <c r="J250" s="671"/>
      <c r="K250" s="671"/>
      <c r="L250" s="671"/>
      <c r="M250" s="671"/>
      <c r="N250" s="671"/>
      <c r="O250" s="671"/>
      <c r="P250" s="671"/>
      <c r="Q250" s="671"/>
      <c r="R250" s="671"/>
      <c r="S250" s="671"/>
      <c r="T250" s="671"/>
      <c r="U250" s="671"/>
      <c r="V250" s="671"/>
      <c r="W250" s="671"/>
      <c r="X250" s="671"/>
      <c r="Y250" s="671"/>
      <c r="Z250" s="671"/>
      <c r="AA250" s="671"/>
      <c r="AB250" s="671"/>
    </row>
    <row r="251">
      <c r="A251" s="671"/>
      <c r="B251" s="671"/>
      <c r="C251" s="671"/>
      <c r="D251" s="671"/>
      <c r="E251" s="671"/>
      <c r="F251" s="671"/>
      <c r="G251" s="671"/>
      <c r="H251" s="671"/>
      <c r="I251" s="671"/>
      <c r="J251" s="671"/>
      <c r="K251" s="671"/>
      <c r="L251" s="671"/>
      <c r="M251" s="671"/>
      <c r="N251" s="671"/>
      <c r="O251" s="671"/>
      <c r="P251" s="671"/>
      <c r="Q251" s="671"/>
      <c r="R251" s="671"/>
      <c r="S251" s="671"/>
      <c r="T251" s="671"/>
      <c r="U251" s="671"/>
      <c r="V251" s="671"/>
      <c r="W251" s="671"/>
      <c r="X251" s="671"/>
      <c r="Y251" s="671"/>
      <c r="Z251" s="671"/>
      <c r="AA251" s="671"/>
      <c r="AB251" s="671"/>
    </row>
    <row r="252">
      <c r="A252" s="671"/>
      <c r="B252" s="671"/>
      <c r="C252" s="671"/>
      <c r="D252" s="671"/>
      <c r="E252" s="671"/>
      <c r="F252" s="671"/>
      <c r="G252" s="671"/>
      <c r="H252" s="671"/>
      <c r="I252" s="671"/>
      <c r="J252" s="671"/>
      <c r="K252" s="671"/>
      <c r="L252" s="671"/>
      <c r="M252" s="671"/>
      <c r="N252" s="671"/>
      <c r="O252" s="671"/>
      <c r="P252" s="671"/>
      <c r="Q252" s="671"/>
      <c r="R252" s="671"/>
      <c r="S252" s="671"/>
      <c r="T252" s="671"/>
      <c r="U252" s="671"/>
      <c r="V252" s="671"/>
      <c r="W252" s="671"/>
      <c r="X252" s="671"/>
      <c r="Y252" s="671"/>
      <c r="Z252" s="671"/>
      <c r="AA252" s="671"/>
      <c r="AB252" s="671"/>
    </row>
    <row r="253">
      <c r="A253" s="671"/>
      <c r="B253" s="671"/>
      <c r="C253" s="671"/>
      <c r="D253" s="671"/>
      <c r="E253" s="671"/>
      <c r="F253" s="671"/>
      <c r="G253" s="671"/>
      <c r="H253" s="671"/>
      <c r="I253" s="671"/>
      <c r="J253" s="671"/>
      <c r="K253" s="671"/>
      <c r="L253" s="671"/>
      <c r="M253" s="671"/>
      <c r="N253" s="671"/>
      <c r="O253" s="671"/>
      <c r="P253" s="671"/>
      <c r="Q253" s="671"/>
      <c r="R253" s="671"/>
      <c r="S253" s="671"/>
      <c r="T253" s="671"/>
      <c r="U253" s="671"/>
      <c r="V253" s="671"/>
      <c r="W253" s="671"/>
      <c r="X253" s="671"/>
      <c r="Y253" s="671"/>
      <c r="Z253" s="671"/>
      <c r="AA253" s="671"/>
      <c r="AB253" s="671"/>
    </row>
    <row r="254">
      <c r="A254" s="671"/>
      <c r="B254" s="671"/>
      <c r="C254" s="671"/>
      <c r="D254" s="671"/>
      <c r="E254" s="671"/>
      <c r="F254" s="671"/>
      <c r="G254" s="671"/>
      <c r="H254" s="671"/>
      <c r="I254" s="671"/>
      <c r="J254" s="671"/>
      <c r="K254" s="671"/>
      <c r="L254" s="671"/>
      <c r="M254" s="671"/>
      <c r="N254" s="671"/>
      <c r="O254" s="671"/>
      <c r="P254" s="671"/>
      <c r="Q254" s="671"/>
      <c r="R254" s="671"/>
      <c r="S254" s="671"/>
      <c r="T254" s="671"/>
      <c r="U254" s="671"/>
      <c r="V254" s="671"/>
      <c r="W254" s="671"/>
      <c r="X254" s="671"/>
      <c r="Y254" s="671"/>
      <c r="Z254" s="671"/>
      <c r="AA254" s="671"/>
      <c r="AB254" s="671"/>
    </row>
    <row r="255">
      <c r="A255" s="671"/>
      <c r="B255" s="671"/>
      <c r="C255" s="671"/>
      <c r="D255" s="671"/>
      <c r="E255" s="671"/>
      <c r="F255" s="671"/>
      <c r="G255" s="671"/>
      <c r="H255" s="671"/>
      <c r="I255" s="671"/>
      <c r="J255" s="671"/>
      <c r="K255" s="671"/>
      <c r="L255" s="671"/>
      <c r="M255" s="671"/>
      <c r="N255" s="671"/>
      <c r="O255" s="671"/>
      <c r="P255" s="671"/>
      <c r="Q255" s="671"/>
      <c r="R255" s="671"/>
      <c r="S255" s="671"/>
      <c r="T255" s="671"/>
      <c r="U255" s="671"/>
      <c r="V255" s="671"/>
      <c r="W255" s="671"/>
      <c r="X255" s="671"/>
      <c r="Y255" s="671"/>
      <c r="Z255" s="671"/>
      <c r="AA255" s="671"/>
      <c r="AB255" s="671"/>
    </row>
    <row r="256">
      <c r="A256" s="671"/>
      <c r="B256" s="671"/>
      <c r="C256" s="671"/>
      <c r="D256" s="671"/>
      <c r="E256" s="671"/>
      <c r="F256" s="671"/>
      <c r="G256" s="671"/>
      <c r="H256" s="671"/>
      <c r="I256" s="671"/>
      <c r="J256" s="671"/>
      <c r="K256" s="671"/>
      <c r="L256" s="671"/>
      <c r="M256" s="671"/>
      <c r="N256" s="671"/>
      <c r="O256" s="671"/>
      <c r="P256" s="671"/>
      <c r="Q256" s="671"/>
      <c r="R256" s="671"/>
      <c r="S256" s="671"/>
      <c r="T256" s="671"/>
      <c r="U256" s="671"/>
      <c r="V256" s="671"/>
      <c r="W256" s="671"/>
      <c r="X256" s="671"/>
      <c r="Y256" s="671"/>
      <c r="Z256" s="671"/>
      <c r="AA256" s="671"/>
      <c r="AB256" s="671"/>
    </row>
    <row r="257">
      <c r="A257" s="671"/>
      <c r="B257" s="671"/>
      <c r="C257" s="671"/>
      <c r="D257" s="671"/>
      <c r="E257" s="671"/>
      <c r="F257" s="671"/>
      <c r="G257" s="671"/>
      <c r="H257" s="671"/>
      <c r="I257" s="671"/>
      <c r="J257" s="671"/>
      <c r="K257" s="671"/>
      <c r="L257" s="671"/>
      <c r="M257" s="671"/>
      <c r="N257" s="671"/>
      <c r="O257" s="671"/>
      <c r="P257" s="671"/>
      <c r="Q257" s="671"/>
      <c r="R257" s="671"/>
      <c r="S257" s="671"/>
      <c r="T257" s="671"/>
      <c r="U257" s="671"/>
      <c r="V257" s="671"/>
      <c r="W257" s="671"/>
      <c r="X257" s="671"/>
      <c r="Y257" s="671"/>
      <c r="Z257" s="671"/>
      <c r="AA257" s="671"/>
      <c r="AB257" s="671"/>
    </row>
    <row r="258">
      <c r="A258" s="671"/>
      <c r="B258" s="671"/>
      <c r="C258" s="671"/>
      <c r="D258" s="671"/>
      <c r="E258" s="671"/>
      <c r="F258" s="671"/>
      <c r="G258" s="671"/>
      <c r="H258" s="671"/>
      <c r="I258" s="671"/>
      <c r="J258" s="671"/>
      <c r="K258" s="671"/>
      <c r="L258" s="671"/>
      <c r="M258" s="671"/>
      <c r="N258" s="671"/>
      <c r="O258" s="671"/>
      <c r="P258" s="671"/>
      <c r="Q258" s="671"/>
      <c r="R258" s="671"/>
      <c r="S258" s="671"/>
      <c r="T258" s="671"/>
      <c r="U258" s="671"/>
      <c r="V258" s="671"/>
      <c r="W258" s="671"/>
      <c r="X258" s="671"/>
      <c r="Y258" s="671"/>
      <c r="Z258" s="671"/>
      <c r="AA258" s="671"/>
      <c r="AB258" s="671"/>
    </row>
    <row r="259">
      <c r="A259" s="671"/>
      <c r="B259" s="671"/>
      <c r="C259" s="671"/>
      <c r="D259" s="671"/>
      <c r="E259" s="671"/>
      <c r="F259" s="671"/>
      <c r="G259" s="671"/>
      <c r="H259" s="671"/>
      <c r="I259" s="671"/>
      <c r="J259" s="671"/>
      <c r="K259" s="671"/>
      <c r="L259" s="671"/>
      <c r="M259" s="671"/>
      <c r="N259" s="671"/>
      <c r="O259" s="671"/>
      <c r="P259" s="671"/>
      <c r="Q259" s="671"/>
      <c r="R259" s="671"/>
      <c r="S259" s="671"/>
      <c r="T259" s="671"/>
      <c r="U259" s="671"/>
      <c r="V259" s="671"/>
      <c r="W259" s="671"/>
      <c r="X259" s="671"/>
      <c r="Y259" s="671"/>
      <c r="Z259" s="671"/>
      <c r="AA259" s="671"/>
      <c r="AB259" s="671"/>
    </row>
    <row r="260">
      <c r="A260" s="671"/>
      <c r="B260" s="671"/>
      <c r="C260" s="671"/>
      <c r="D260" s="671"/>
      <c r="E260" s="671"/>
      <c r="F260" s="671"/>
      <c r="G260" s="671"/>
      <c r="H260" s="671"/>
      <c r="I260" s="671"/>
      <c r="J260" s="671"/>
      <c r="K260" s="671"/>
      <c r="L260" s="671"/>
      <c r="M260" s="671"/>
      <c r="N260" s="671"/>
      <c r="O260" s="671"/>
      <c r="P260" s="671"/>
      <c r="Q260" s="671"/>
      <c r="R260" s="671"/>
      <c r="S260" s="671"/>
      <c r="T260" s="671"/>
      <c r="U260" s="671"/>
      <c r="V260" s="671"/>
      <c r="W260" s="671"/>
      <c r="X260" s="671"/>
      <c r="Y260" s="671"/>
      <c r="Z260" s="671"/>
      <c r="AA260" s="671"/>
      <c r="AB260" s="671"/>
    </row>
    <row r="261">
      <c r="A261" s="671"/>
      <c r="B261" s="671"/>
      <c r="C261" s="671"/>
      <c r="D261" s="671"/>
      <c r="E261" s="671"/>
      <c r="F261" s="671"/>
      <c r="G261" s="671"/>
      <c r="H261" s="671"/>
      <c r="I261" s="671"/>
      <c r="J261" s="671"/>
      <c r="K261" s="671"/>
      <c r="L261" s="671"/>
      <c r="M261" s="671"/>
      <c r="N261" s="671"/>
      <c r="O261" s="671"/>
      <c r="P261" s="671"/>
      <c r="Q261" s="671"/>
      <c r="R261" s="671"/>
      <c r="S261" s="671"/>
      <c r="T261" s="671"/>
      <c r="U261" s="671"/>
      <c r="V261" s="671"/>
      <c r="W261" s="671"/>
      <c r="X261" s="671"/>
      <c r="Y261" s="671"/>
      <c r="Z261" s="671"/>
      <c r="AA261" s="671"/>
      <c r="AB261" s="671"/>
    </row>
    <row r="262">
      <c r="A262" s="671"/>
      <c r="B262" s="671"/>
      <c r="C262" s="671"/>
      <c r="D262" s="671"/>
      <c r="E262" s="671"/>
      <c r="F262" s="671"/>
      <c r="G262" s="671"/>
      <c r="H262" s="671"/>
      <c r="I262" s="671"/>
      <c r="J262" s="671"/>
      <c r="K262" s="671"/>
      <c r="L262" s="671"/>
      <c r="M262" s="671"/>
      <c r="N262" s="671"/>
      <c r="O262" s="671"/>
      <c r="P262" s="671"/>
      <c r="Q262" s="671"/>
      <c r="R262" s="671"/>
      <c r="S262" s="671"/>
      <c r="T262" s="671"/>
      <c r="U262" s="671"/>
      <c r="V262" s="671"/>
      <c r="W262" s="671"/>
      <c r="X262" s="671"/>
      <c r="Y262" s="671"/>
      <c r="Z262" s="671"/>
      <c r="AA262" s="671"/>
      <c r="AB262" s="671"/>
    </row>
    <row r="263">
      <c r="A263" s="671"/>
      <c r="B263" s="671"/>
      <c r="C263" s="671"/>
      <c r="D263" s="671"/>
      <c r="E263" s="671"/>
      <c r="F263" s="671"/>
      <c r="G263" s="671"/>
      <c r="H263" s="671"/>
      <c r="I263" s="671"/>
      <c r="J263" s="671"/>
      <c r="K263" s="671"/>
      <c r="L263" s="671"/>
      <c r="M263" s="671"/>
      <c r="N263" s="671"/>
      <c r="O263" s="671"/>
      <c r="P263" s="671"/>
      <c r="Q263" s="671"/>
      <c r="R263" s="671"/>
      <c r="S263" s="671"/>
      <c r="T263" s="671"/>
      <c r="U263" s="671"/>
      <c r="V263" s="671"/>
      <c r="W263" s="671"/>
      <c r="X263" s="671"/>
      <c r="Y263" s="671"/>
      <c r="Z263" s="671"/>
      <c r="AA263" s="671"/>
      <c r="AB263" s="671"/>
    </row>
    <row r="264">
      <c r="A264" s="671"/>
      <c r="B264" s="671"/>
      <c r="C264" s="671"/>
      <c r="D264" s="671"/>
      <c r="E264" s="671"/>
      <c r="F264" s="671"/>
      <c r="G264" s="671"/>
      <c r="H264" s="671"/>
      <c r="I264" s="671"/>
      <c r="J264" s="671"/>
      <c r="K264" s="671"/>
      <c r="L264" s="671"/>
      <c r="M264" s="671"/>
      <c r="N264" s="671"/>
      <c r="O264" s="671"/>
      <c r="P264" s="671"/>
      <c r="Q264" s="671"/>
      <c r="R264" s="671"/>
      <c r="S264" s="671"/>
      <c r="T264" s="671"/>
      <c r="U264" s="671"/>
      <c r="V264" s="671"/>
      <c r="W264" s="671"/>
      <c r="X264" s="671"/>
      <c r="Y264" s="671"/>
      <c r="Z264" s="671"/>
      <c r="AA264" s="671"/>
      <c r="AB264" s="671"/>
    </row>
    <row r="265">
      <c r="A265" s="671"/>
      <c r="B265" s="671"/>
      <c r="C265" s="671"/>
      <c r="D265" s="671"/>
      <c r="E265" s="671"/>
      <c r="F265" s="671"/>
      <c r="G265" s="671"/>
      <c r="H265" s="671"/>
      <c r="I265" s="671"/>
      <c r="J265" s="671"/>
      <c r="K265" s="671"/>
      <c r="L265" s="671"/>
      <c r="M265" s="671"/>
      <c r="N265" s="671"/>
      <c r="O265" s="671"/>
      <c r="P265" s="671"/>
      <c r="Q265" s="671"/>
      <c r="R265" s="671"/>
      <c r="S265" s="671"/>
      <c r="T265" s="671"/>
      <c r="U265" s="671"/>
      <c r="V265" s="671"/>
      <c r="W265" s="671"/>
      <c r="X265" s="671"/>
      <c r="Y265" s="671"/>
      <c r="Z265" s="671"/>
      <c r="AA265" s="671"/>
      <c r="AB265" s="671"/>
    </row>
    <row r="266">
      <c r="A266" s="671"/>
      <c r="B266" s="671"/>
      <c r="C266" s="671"/>
      <c r="D266" s="671"/>
      <c r="E266" s="671"/>
      <c r="F266" s="671"/>
      <c r="G266" s="671"/>
      <c r="H266" s="671"/>
      <c r="I266" s="671"/>
      <c r="J266" s="671"/>
      <c r="K266" s="671"/>
      <c r="L266" s="671"/>
      <c r="M266" s="671"/>
      <c r="N266" s="671"/>
      <c r="O266" s="671"/>
      <c r="P266" s="671"/>
      <c r="Q266" s="671"/>
      <c r="R266" s="671"/>
      <c r="S266" s="671"/>
      <c r="T266" s="671"/>
      <c r="U266" s="671"/>
      <c r="V266" s="671"/>
      <c r="W266" s="671"/>
      <c r="X266" s="671"/>
      <c r="Y266" s="671"/>
      <c r="Z266" s="671"/>
      <c r="AA266" s="671"/>
      <c r="AB266" s="671"/>
    </row>
    <row r="267">
      <c r="A267" s="671"/>
      <c r="B267" s="671"/>
      <c r="C267" s="671"/>
      <c r="D267" s="671"/>
      <c r="E267" s="671"/>
      <c r="F267" s="671"/>
      <c r="G267" s="671"/>
      <c r="H267" s="671"/>
      <c r="I267" s="671"/>
      <c r="J267" s="671"/>
      <c r="K267" s="671"/>
      <c r="L267" s="671"/>
      <c r="M267" s="671"/>
      <c r="N267" s="671"/>
      <c r="O267" s="671"/>
      <c r="P267" s="671"/>
      <c r="Q267" s="671"/>
      <c r="R267" s="671"/>
      <c r="S267" s="671"/>
      <c r="T267" s="671"/>
      <c r="U267" s="671"/>
      <c r="V267" s="671"/>
      <c r="W267" s="671"/>
      <c r="X267" s="671"/>
      <c r="Y267" s="671"/>
      <c r="Z267" s="671"/>
      <c r="AA267" s="671"/>
      <c r="AB267" s="671"/>
    </row>
    <row r="268">
      <c r="A268" s="671"/>
      <c r="B268" s="671"/>
      <c r="C268" s="671"/>
      <c r="D268" s="671"/>
      <c r="E268" s="671"/>
      <c r="F268" s="671"/>
      <c r="G268" s="671"/>
      <c r="H268" s="671"/>
      <c r="I268" s="671"/>
      <c r="J268" s="671"/>
      <c r="K268" s="671"/>
      <c r="L268" s="671"/>
      <c r="M268" s="671"/>
      <c r="N268" s="671"/>
      <c r="O268" s="671"/>
      <c r="P268" s="671"/>
      <c r="Q268" s="671"/>
      <c r="R268" s="671"/>
      <c r="S268" s="671"/>
      <c r="T268" s="671"/>
      <c r="U268" s="671"/>
      <c r="V268" s="671"/>
      <c r="W268" s="671"/>
      <c r="X268" s="671"/>
      <c r="Y268" s="671"/>
      <c r="Z268" s="671"/>
      <c r="AA268" s="671"/>
      <c r="AB268" s="671"/>
    </row>
    <row r="269">
      <c r="A269" s="671"/>
      <c r="B269" s="671"/>
      <c r="C269" s="671"/>
      <c r="D269" s="671"/>
      <c r="E269" s="671"/>
      <c r="F269" s="671"/>
      <c r="G269" s="671"/>
      <c r="H269" s="671"/>
      <c r="I269" s="671"/>
      <c r="J269" s="671"/>
      <c r="K269" s="671"/>
      <c r="L269" s="671"/>
      <c r="M269" s="671"/>
      <c r="N269" s="671"/>
      <c r="O269" s="671"/>
      <c r="P269" s="671"/>
      <c r="Q269" s="671"/>
      <c r="R269" s="671"/>
      <c r="S269" s="671"/>
      <c r="T269" s="671"/>
      <c r="U269" s="671"/>
      <c r="V269" s="671"/>
      <c r="W269" s="671"/>
      <c r="X269" s="671"/>
      <c r="Y269" s="671"/>
      <c r="Z269" s="671"/>
      <c r="AA269" s="671"/>
      <c r="AB269" s="671"/>
    </row>
    <row r="270">
      <c r="A270" s="671"/>
      <c r="B270" s="671"/>
      <c r="C270" s="671"/>
      <c r="D270" s="671"/>
      <c r="E270" s="671"/>
      <c r="F270" s="671"/>
      <c r="G270" s="671"/>
      <c r="H270" s="671"/>
      <c r="I270" s="671"/>
      <c r="J270" s="671"/>
      <c r="K270" s="671"/>
      <c r="L270" s="671"/>
      <c r="M270" s="671"/>
      <c r="N270" s="671"/>
      <c r="O270" s="671"/>
      <c r="P270" s="671"/>
      <c r="Q270" s="671"/>
      <c r="R270" s="671"/>
      <c r="S270" s="671"/>
      <c r="T270" s="671"/>
      <c r="U270" s="671"/>
      <c r="V270" s="671"/>
      <c r="W270" s="671"/>
      <c r="X270" s="671"/>
      <c r="Y270" s="671"/>
      <c r="Z270" s="671"/>
      <c r="AA270" s="671"/>
      <c r="AB270" s="671"/>
    </row>
    <row r="271">
      <c r="A271" s="671"/>
      <c r="B271" s="671"/>
      <c r="C271" s="671"/>
      <c r="D271" s="671"/>
      <c r="E271" s="671"/>
      <c r="F271" s="671"/>
      <c r="G271" s="671"/>
      <c r="H271" s="671"/>
      <c r="I271" s="671"/>
      <c r="J271" s="671"/>
      <c r="K271" s="671"/>
      <c r="L271" s="671"/>
      <c r="M271" s="671"/>
      <c r="N271" s="671"/>
      <c r="O271" s="671"/>
      <c r="P271" s="671"/>
      <c r="Q271" s="671"/>
      <c r="R271" s="671"/>
      <c r="S271" s="671"/>
      <c r="T271" s="671"/>
      <c r="U271" s="671"/>
      <c r="V271" s="671"/>
      <c r="W271" s="671"/>
      <c r="X271" s="671"/>
      <c r="Y271" s="671"/>
      <c r="Z271" s="671"/>
      <c r="AA271" s="671"/>
      <c r="AB271" s="671"/>
    </row>
    <row r="272">
      <c r="A272" s="671"/>
      <c r="B272" s="671"/>
      <c r="C272" s="671"/>
      <c r="D272" s="671"/>
      <c r="E272" s="671"/>
      <c r="F272" s="671"/>
      <c r="G272" s="671"/>
      <c r="H272" s="671"/>
      <c r="I272" s="671"/>
      <c r="J272" s="671"/>
      <c r="K272" s="671"/>
      <c r="L272" s="671"/>
      <c r="M272" s="671"/>
      <c r="N272" s="671"/>
      <c r="O272" s="671"/>
      <c r="P272" s="671"/>
      <c r="Q272" s="671"/>
      <c r="R272" s="671"/>
      <c r="S272" s="671"/>
      <c r="T272" s="671"/>
      <c r="U272" s="671"/>
      <c r="V272" s="671"/>
      <c r="W272" s="671"/>
      <c r="X272" s="671"/>
      <c r="Y272" s="671"/>
      <c r="Z272" s="671"/>
      <c r="AA272" s="671"/>
      <c r="AB272" s="671"/>
    </row>
    <row r="273">
      <c r="A273" s="671"/>
      <c r="B273" s="671"/>
      <c r="C273" s="671"/>
      <c r="D273" s="671"/>
      <c r="E273" s="671"/>
      <c r="F273" s="671"/>
      <c r="G273" s="671"/>
      <c r="H273" s="671"/>
      <c r="I273" s="671"/>
      <c r="J273" s="671"/>
      <c r="K273" s="671"/>
      <c r="L273" s="671"/>
      <c r="M273" s="671"/>
      <c r="N273" s="671"/>
      <c r="O273" s="671"/>
      <c r="P273" s="671"/>
      <c r="Q273" s="671"/>
      <c r="R273" s="671"/>
      <c r="S273" s="671"/>
      <c r="T273" s="671"/>
      <c r="U273" s="671"/>
      <c r="V273" s="671"/>
      <c r="W273" s="671"/>
      <c r="X273" s="671"/>
      <c r="Y273" s="671"/>
      <c r="Z273" s="671"/>
      <c r="AA273" s="671"/>
      <c r="AB273" s="671"/>
    </row>
    <row r="274">
      <c r="A274" s="671"/>
      <c r="B274" s="671"/>
      <c r="C274" s="671"/>
      <c r="D274" s="671"/>
      <c r="E274" s="671"/>
      <c r="F274" s="671"/>
      <c r="G274" s="671"/>
      <c r="H274" s="671"/>
      <c r="I274" s="671"/>
      <c r="J274" s="671"/>
      <c r="K274" s="671"/>
      <c r="L274" s="671"/>
      <c r="M274" s="671"/>
      <c r="N274" s="671"/>
      <c r="O274" s="671"/>
      <c r="P274" s="671"/>
      <c r="Q274" s="671"/>
      <c r="R274" s="671"/>
      <c r="S274" s="671"/>
      <c r="T274" s="671"/>
      <c r="U274" s="671"/>
      <c r="V274" s="671"/>
      <c r="W274" s="671"/>
      <c r="X274" s="671"/>
      <c r="Y274" s="671"/>
      <c r="Z274" s="671"/>
      <c r="AA274" s="671"/>
      <c r="AB274" s="671"/>
    </row>
    <row r="275">
      <c r="A275" s="671"/>
      <c r="B275" s="671"/>
      <c r="C275" s="671"/>
      <c r="D275" s="671"/>
      <c r="E275" s="671"/>
      <c r="F275" s="671"/>
      <c r="G275" s="671"/>
      <c r="H275" s="671"/>
      <c r="I275" s="671"/>
      <c r="J275" s="671"/>
      <c r="K275" s="671"/>
      <c r="L275" s="671"/>
      <c r="M275" s="671"/>
      <c r="N275" s="671"/>
      <c r="O275" s="671"/>
      <c r="P275" s="671"/>
      <c r="Q275" s="671"/>
      <c r="R275" s="671"/>
      <c r="S275" s="671"/>
      <c r="T275" s="671"/>
      <c r="U275" s="671"/>
      <c r="V275" s="671"/>
      <c r="W275" s="671"/>
      <c r="X275" s="671"/>
      <c r="Y275" s="671"/>
      <c r="Z275" s="671"/>
      <c r="AA275" s="671"/>
      <c r="AB275" s="671"/>
    </row>
    <row r="276">
      <c r="A276" s="671"/>
      <c r="B276" s="671"/>
      <c r="C276" s="671"/>
      <c r="D276" s="671"/>
      <c r="E276" s="671"/>
      <c r="F276" s="671"/>
      <c r="G276" s="671"/>
      <c r="H276" s="671"/>
      <c r="I276" s="671"/>
      <c r="J276" s="671"/>
      <c r="K276" s="671"/>
      <c r="L276" s="671"/>
      <c r="M276" s="671"/>
      <c r="N276" s="671"/>
      <c r="O276" s="671"/>
      <c r="P276" s="671"/>
      <c r="Q276" s="671"/>
      <c r="R276" s="671"/>
      <c r="S276" s="671"/>
      <c r="T276" s="671"/>
      <c r="U276" s="671"/>
      <c r="V276" s="671"/>
      <c r="W276" s="671"/>
      <c r="X276" s="671"/>
      <c r="Y276" s="671"/>
      <c r="Z276" s="671"/>
      <c r="AA276" s="671"/>
      <c r="AB276" s="671"/>
    </row>
    <row r="277">
      <c r="A277" s="671"/>
      <c r="B277" s="671"/>
      <c r="C277" s="671"/>
      <c r="D277" s="671"/>
      <c r="E277" s="671"/>
      <c r="F277" s="671"/>
      <c r="G277" s="671"/>
      <c r="H277" s="671"/>
      <c r="I277" s="671"/>
      <c r="J277" s="671"/>
      <c r="K277" s="671"/>
      <c r="L277" s="671"/>
      <c r="M277" s="671"/>
      <c r="N277" s="671"/>
      <c r="O277" s="671"/>
      <c r="P277" s="671"/>
      <c r="Q277" s="671"/>
      <c r="R277" s="671"/>
      <c r="S277" s="671"/>
      <c r="T277" s="671"/>
      <c r="U277" s="671"/>
      <c r="V277" s="671"/>
      <c r="W277" s="671"/>
      <c r="X277" s="671"/>
      <c r="Y277" s="671"/>
      <c r="Z277" s="671"/>
      <c r="AA277" s="671"/>
      <c r="AB277" s="671"/>
    </row>
    <row r="278">
      <c r="A278" s="671"/>
      <c r="B278" s="671"/>
      <c r="C278" s="671"/>
      <c r="D278" s="671"/>
      <c r="E278" s="671"/>
      <c r="F278" s="671"/>
      <c r="G278" s="671"/>
      <c r="H278" s="671"/>
      <c r="I278" s="671"/>
      <c r="J278" s="671"/>
      <c r="K278" s="671"/>
      <c r="L278" s="671"/>
      <c r="M278" s="671"/>
      <c r="N278" s="671"/>
      <c r="O278" s="671"/>
      <c r="P278" s="671"/>
      <c r="Q278" s="671"/>
      <c r="R278" s="671"/>
      <c r="S278" s="671"/>
      <c r="T278" s="671"/>
      <c r="U278" s="671"/>
      <c r="V278" s="671"/>
      <c r="W278" s="671"/>
      <c r="X278" s="671"/>
      <c r="Y278" s="671"/>
      <c r="Z278" s="671"/>
      <c r="AA278" s="671"/>
      <c r="AB278" s="671"/>
    </row>
    <row r="279">
      <c r="A279" s="671"/>
      <c r="B279" s="671"/>
      <c r="C279" s="671"/>
      <c r="D279" s="671"/>
      <c r="E279" s="671"/>
      <c r="F279" s="671"/>
      <c r="G279" s="671"/>
      <c r="H279" s="671"/>
      <c r="I279" s="671"/>
      <c r="J279" s="671"/>
      <c r="K279" s="671"/>
      <c r="L279" s="671"/>
      <c r="M279" s="671"/>
      <c r="N279" s="671"/>
      <c r="O279" s="671"/>
      <c r="P279" s="671"/>
      <c r="Q279" s="671"/>
      <c r="R279" s="671"/>
      <c r="S279" s="671"/>
      <c r="T279" s="671"/>
      <c r="U279" s="671"/>
      <c r="V279" s="671"/>
      <c r="W279" s="671"/>
      <c r="X279" s="671"/>
      <c r="Y279" s="671"/>
      <c r="Z279" s="671"/>
      <c r="AA279" s="671"/>
      <c r="AB279" s="671"/>
    </row>
    <row r="280">
      <c r="A280" s="671"/>
      <c r="B280" s="671"/>
      <c r="C280" s="671"/>
      <c r="D280" s="671"/>
      <c r="E280" s="671"/>
      <c r="F280" s="671"/>
      <c r="G280" s="671"/>
      <c r="H280" s="671"/>
      <c r="I280" s="671"/>
      <c r="J280" s="671"/>
      <c r="K280" s="671"/>
      <c r="L280" s="671"/>
      <c r="M280" s="671"/>
      <c r="N280" s="671"/>
      <c r="O280" s="671"/>
      <c r="P280" s="671"/>
      <c r="Q280" s="671"/>
      <c r="R280" s="671"/>
      <c r="S280" s="671"/>
      <c r="T280" s="671"/>
      <c r="U280" s="671"/>
      <c r="V280" s="671"/>
      <c r="W280" s="671"/>
      <c r="X280" s="671"/>
      <c r="Y280" s="671"/>
      <c r="Z280" s="671"/>
      <c r="AA280" s="671"/>
      <c r="AB280" s="671"/>
    </row>
    <row r="281">
      <c r="A281" s="671"/>
      <c r="B281" s="671"/>
      <c r="C281" s="671"/>
      <c r="D281" s="671"/>
      <c r="E281" s="671"/>
      <c r="F281" s="671"/>
      <c r="G281" s="671"/>
      <c r="H281" s="671"/>
      <c r="I281" s="671"/>
      <c r="J281" s="671"/>
      <c r="K281" s="671"/>
      <c r="L281" s="671"/>
      <c r="M281" s="671"/>
      <c r="N281" s="671"/>
      <c r="O281" s="671"/>
      <c r="P281" s="671"/>
      <c r="Q281" s="671"/>
      <c r="R281" s="671"/>
      <c r="S281" s="671"/>
      <c r="T281" s="671"/>
      <c r="U281" s="671"/>
      <c r="V281" s="671"/>
      <c r="W281" s="671"/>
      <c r="X281" s="671"/>
      <c r="Y281" s="671"/>
      <c r="Z281" s="671"/>
      <c r="AA281" s="671"/>
      <c r="AB281" s="671"/>
    </row>
    <row r="282">
      <c r="A282" s="671"/>
      <c r="B282" s="671"/>
      <c r="C282" s="671"/>
      <c r="D282" s="671"/>
      <c r="E282" s="671"/>
      <c r="F282" s="671"/>
      <c r="G282" s="671"/>
      <c r="H282" s="671"/>
      <c r="I282" s="671"/>
      <c r="J282" s="671"/>
      <c r="K282" s="671"/>
      <c r="L282" s="671"/>
      <c r="M282" s="671"/>
      <c r="N282" s="671"/>
      <c r="O282" s="671"/>
      <c r="P282" s="671"/>
      <c r="Q282" s="671"/>
      <c r="R282" s="671"/>
      <c r="S282" s="671"/>
      <c r="T282" s="671"/>
      <c r="U282" s="671"/>
      <c r="V282" s="671"/>
      <c r="W282" s="671"/>
      <c r="X282" s="671"/>
      <c r="Y282" s="671"/>
      <c r="Z282" s="671"/>
      <c r="AA282" s="671"/>
      <c r="AB282" s="671"/>
    </row>
    <row r="283">
      <c r="A283" s="671"/>
      <c r="B283" s="671"/>
      <c r="C283" s="671"/>
      <c r="D283" s="671"/>
      <c r="E283" s="671"/>
      <c r="F283" s="671"/>
      <c r="G283" s="671"/>
      <c r="H283" s="671"/>
      <c r="I283" s="671"/>
      <c r="J283" s="671"/>
      <c r="K283" s="671"/>
      <c r="L283" s="671"/>
      <c r="M283" s="671"/>
      <c r="N283" s="671"/>
      <c r="O283" s="671"/>
      <c r="P283" s="671"/>
      <c r="Q283" s="671"/>
      <c r="R283" s="671"/>
      <c r="S283" s="671"/>
      <c r="T283" s="671"/>
      <c r="U283" s="671"/>
      <c r="V283" s="671"/>
      <c r="W283" s="671"/>
      <c r="X283" s="671"/>
      <c r="Y283" s="671"/>
      <c r="Z283" s="671"/>
      <c r="AA283" s="671"/>
      <c r="AB283" s="671"/>
    </row>
    <row r="284">
      <c r="A284" s="671"/>
      <c r="B284" s="671"/>
      <c r="C284" s="671"/>
      <c r="D284" s="671"/>
      <c r="E284" s="671"/>
      <c r="F284" s="671"/>
      <c r="G284" s="671"/>
      <c r="H284" s="671"/>
      <c r="I284" s="671"/>
      <c r="J284" s="671"/>
      <c r="K284" s="671"/>
      <c r="L284" s="671"/>
      <c r="M284" s="671"/>
      <c r="N284" s="671"/>
      <c r="O284" s="671"/>
      <c r="P284" s="671"/>
      <c r="Q284" s="671"/>
      <c r="R284" s="671"/>
      <c r="S284" s="671"/>
      <c r="T284" s="671"/>
      <c r="U284" s="671"/>
      <c r="V284" s="671"/>
      <c r="W284" s="671"/>
      <c r="X284" s="671"/>
      <c r="Y284" s="671"/>
      <c r="Z284" s="671"/>
      <c r="AA284" s="671"/>
      <c r="AB284" s="671"/>
    </row>
    <row r="285">
      <c r="A285" s="671"/>
      <c r="B285" s="671"/>
      <c r="C285" s="671"/>
      <c r="D285" s="671"/>
      <c r="E285" s="671"/>
      <c r="F285" s="671"/>
      <c r="G285" s="671"/>
      <c r="H285" s="671"/>
      <c r="I285" s="671"/>
      <c r="J285" s="671"/>
      <c r="K285" s="671"/>
      <c r="L285" s="671"/>
      <c r="M285" s="671"/>
      <c r="N285" s="671"/>
      <c r="O285" s="671"/>
      <c r="P285" s="671"/>
      <c r="Q285" s="671"/>
      <c r="R285" s="671"/>
      <c r="S285" s="671"/>
      <c r="T285" s="671"/>
      <c r="U285" s="671"/>
      <c r="V285" s="671"/>
      <c r="W285" s="671"/>
      <c r="X285" s="671"/>
      <c r="Y285" s="671"/>
      <c r="Z285" s="671"/>
      <c r="AA285" s="671"/>
      <c r="AB285" s="671"/>
    </row>
    <row r="286">
      <c r="A286" s="671"/>
      <c r="B286" s="671"/>
      <c r="C286" s="671"/>
      <c r="D286" s="671"/>
      <c r="E286" s="671"/>
      <c r="F286" s="671"/>
      <c r="G286" s="671"/>
      <c r="H286" s="671"/>
      <c r="I286" s="671"/>
      <c r="J286" s="671"/>
      <c r="K286" s="671"/>
      <c r="L286" s="671"/>
      <c r="M286" s="671"/>
      <c r="N286" s="671"/>
      <c r="O286" s="671"/>
      <c r="P286" s="671"/>
      <c r="Q286" s="671"/>
      <c r="R286" s="671"/>
      <c r="S286" s="671"/>
      <c r="T286" s="671"/>
      <c r="U286" s="671"/>
      <c r="V286" s="671"/>
      <c r="W286" s="671"/>
      <c r="X286" s="671"/>
      <c r="Y286" s="671"/>
      <c r="Z286" s="671"/>
      <c r="AA286" s="671"/>
      <c r="AB286" s="671"/>
    </row>
    <row r="287">
      <c r="A287" s="671"/>
      <c r="B287" s="671"/>
      <c r="C287" s="671"/>
      <c r="D287" s="671"/>
      <c r="E287" s="671"/>
      <c r="F287" s="671"/>
      <c r="G287" s="671"/>
      <c r="H287" s="671"/>
      <c r="I287" s="671"/>
      <c r="J287" s="671"/>
      <c r="K287" s="671"/>
      <c r="L287" s="671"/>
      <c r="M287" s="671"/>
      <c r="N287" s="671"/>
      <c r="O287" s="671"/>
      <c r="P287" s="671"/>
      <c r="Q287" s="671"/>
      <c r="R287" s="671"/>
      <c r="S287" s="671"/>
      <c r="T287" s="671"/>
      <c r="U287" s="671"/>
      <c r="V287" s="671"/>
      <c r="W287" s="671"/>
      <c r="X287" s="671"/>
      <c r="Y287" s="671"/>
      <c r="Z287" s="671"/>
      <c r="AA287" s="671"/>
      <c r="AB287" s="671"/>
    </row>
    <row r="288">
      <c r="A288" s="671"/>
      <c r="B288" s="671"/>
      <c r="C288" s="671"/>
      <c r="D288" s="671"/>
      <c r="E288" s="671"/>
      <c r="F288" s="671"/>
      <c r="G288" s="671"/>
      <c r="H288" s="671"/>
      <c r="I288" s="671"/>
      <c r="J288" s="671"/>
      <c r="K288" s="671"/>
      <c r="L288" s="671"/>
      <c r="M288" s="671"/>
      <c r="N288" s="671"/>
      <c r="O288" s="671"/>
      <c r="P288" s="671"/>
      <c r="Q288" s="671"/>
      <c r="R288" s="671"/>
      <c r="S288" s="671"/>
      <c r="T288" s="671"/>
      <c r="U288" s="671"/>
      <c r="V288" s="671"/>
      <c r="W288" s="671"/>
      <c r="X288" s="671"/>
      <c r="Y288" s="671"/>
      <c r="Z288" s="671"/>
      <c r="AA288" s="671"/>
      <c r="AB288" s="671"/>
    </row>
    <row r="289">
      <c r="A289" s="671"/>
      <c r="B289" s="671"/>
      <c r="C289" s="671"/>
      <c r="D289" s="671"/>
      <c r="E289" s="671"/>
      <c r="F289" s="671"/>
      <c r="G289" s="671"/>
      <c r="H289" s="671"/>
      <c r="I289" s="671"/>
      <c r="J289" s="671"/>
      <c r="K289" s="671"/>
      <c r="L289" s="671"/>
      <c r="M289" s="671"/>
      <c r="N289" s="671"/>
      <c r="O289" s="671"/>
      <c r="P289" s="671"/>
      <c r="Q289" s="671"/>
      <c r="R289" s="671"/>
      <c r="S289" s="671"/>
      <c r="T289" s="671"/>
      <c r="U289" s="671"/>
      <c r="V289" s="671"/>
      <c r="W289" s="671"/>
      <c r="X289" s="671"/>
      <c r="Y289" s="671"/>
      <c r="Z289" s="671"/>
      <c r="AA289" s="671"/>
      <c r="AB289" s="671"/>
    </row>
    <row r="290">
      <c r="A290" s="671"/>
      <c r="B290" s="671"/>
      <c r="C290" s="671"/>
      <c r="D290" s="671"/>
      <c r="E290" s="671"/>
      <c r="F290" s="671"/>
      <c r="G290" s="671"/>
      <c r="H290" s="671"/>
      <c r="I290" s="671"/>
      <c r="J290" s="671"/>
      <c r="K290" s="671"/>
      <c r="L290" s="671"/>
      <c r="M290" s="671"/>
      <c r="N290" s="671"/>
      <c r="O290" s="671"/>
      <c r="P290" s="671"/>
      <c r="Q290" s="671"/>
      <c r="R290" s="671"/>
      <c r="S290" s="671"/>
      <c r="T290" s="671"/>
      <c r="U290" s="671"/>
      <c r="V290" s="671"/>
      <c r="W290" s="671"/>
      <c r="X290" s="671"/>
      <c r="Y290" s="671"/>
      <c r="Z290" s="671"/>
      <c r="AA290" s="671"/>
      <c r="AB290" s="671"/>
    </row>
    <row r="291">
      <c r="A291" s="671"/>
      <c r="B291" s="671"/>
      <c r="C291" s="671"/>
      <c r="D291" s="671"/>
      <c r="E291" s="671"/>
      <c r="F291" s="671"/>
      <c r="G291" s="671"/>
      <c r="H291" s="671"/>
      <c r="I291" s="671"/>
      <c r="J291" s="671"/>
      <c r="K291" s="671"/>
      <c r="L291" s="671"/>
      <c r="M291" s="671"/>
      <c r="N291" s="671"/>
      <c r="O291" s="671"/>
      <c r="P291" s="671"/>
      <c r="Q291" s="671"/>
      <c r="R291" s="671"/>
      <c r="S291" s="671"/>
      <c r="T291" s="671"/>
      <c r="U291" s="671"/>
      <c r="V291" s="671"/>
      <c r="W291" s="671"/>
      <c r="X291" s="671"/>
      <c r="Y291" s="671"/>
      <c r="Z291" s="671"/>
      <c r="AA291" s="671"/>
      <c r="AB291" s="671"/>
    </row>
    <row r="292">
      <c r="A292" s="671"/>
      <c r="B292" s="671"/>
      <c r="C292" s="671"/>
      <c r="D292" s="671"/>
      <c r="E292" s="671"/>
      <c r="F292" s="671"/>
      <c r="G292" s="671"/>
      <c r="H292" s="671"/>
      <c r="I292" s="671"/>
      <c r="J292" s="671"/>
      <c r="K292" s="671"/>
      <c r="L292" s="671"/>
      <c r="M292" s="671"/>
      <c r="N292" s="671"/>
      <c r="O292" s="671"/>
      <c r="P292" s="671"/>
      <c r="Q292" s="671"/>
      <c r="R292" s="671"/>
      <c r="S292" s="671"/>
      <c r="T292" s="671"/>
      <c r="U292" s="671"/>
      <c r="V292" s="671"/>
      <c r="W292" s="671"/>
      <c r="X292" s="671"/>
      <c r="Y292" s="671"/>
      <c r="Z292" s="671"/>
      <c r="AA292" s="671"/>
      <c r="AB292" s="671"/>
    </row>
    <row r="293">
      <c r="A293" s="671"/>
      <c r="B293" s="671"/>
      <c r="C293" s="671"/>
      <c r="D293" s="671"/>
      <c r="E293" s="671"/>
      <c r="F293" s="671"/>
      <c r="G293" s="671"/>
      <c r="H293" s="671"/>
      <c r="I293" s="671"/>
      <c r="J293" s="671"/>
      <c r="K293" s="671"/>
      <c r="L293" s="671"/>
      <c r="M293" s="671"/>
      <c r="N293" s="671"/>
      <c r="O293" s="671"/>
      <c r="P293" s="671"/>
      <c r="Q293" s="671"/>
      <c r="R293" s="671"/>
      <c r="S293" s="671"/>
      <c r="T293" s="671"/>
      <c r="U293" s="671"/>
      <c r="V293" s="671"/>
      <c r="W293" s="671"/>
      <c r="X293" s="671"/>
      <c r="Y293" s="671"/>
      <c r="Z293" s="671"/>
      <c r="AA293" s="671"/>
      <c r="AB293" s="671"/>
    </row>
    <row r="294">
      <c r="A294" s="671"/>
      <c r="B294" s="671"/>
      <c r="C294" s="671"/>
      <c r="D294" s="671"/>
      <c r="E294" s="671"/>
      <c r="F294" s="671"/>
      <c r="G294" s="671"/>
      <c r="H294" s="671"/>
      <c r="I294" s="671"/>
      <c r="J294" s="671"/>
      <c r="K294" s="671"/>
      <c r="L294" s="671"/>
      <c r="M294" s="671"/>
      <c r="N294" s="671"/>
      <c r="O294" s="671"/>
      <c r="P294" s="671"/>
      <c r="Q294" s="671"/>
      <c r="R294" s="671"/>
      <c r="S294" s="671"/>
      <c r="T294" s="671"/>
      <c r="U294" s="671"/>
      <c r="V294" s="671"/>
      <c r="W294" s="671"/>
      <c r="X294" s="671"/>
      <c r="Y294" s="671"/>
      <c r="Z294" s="671"/>
      <c r="AA294" s="671"/>
      <c r="AB294" s="671"/>
    </row>
    <row r="295">
      <c r="A295" s="671"/>
      <c r="B295" s="671"/>
      <c r="C295" s="671"/>
      <c r="D295" s="671"/>
      <c r="E295" s="671"/>
      <c r="F295" s="671"/>
      <c r="G295" s="671"/>
      <c r="H295" s="671"/>
      <c r="I295" s="671"/>
      <c r="J295" s="671"/>
      <c r="K295" s="671"/>
      <c r="L295" s="671"/>
      <c r="M295" s="671"/>
      <c r="N295" s="671"/>
      <c r="O295" s="671"/>
      <c r="P295" s="671"/>
      <c r="Q295" s="671"/>
      <c r="R295" s="671"/>
      <c r="S295" s="671"/>
      <c r="T295" s="671"/>
      <c r="U295" s="671"/>
      <c r="V295" s="671"/>
      <c r="W295" s="671"/>
      <c r="X295" s="671"/>
      <c r="Y295" s="671"/>
      <c r="Z295" s="671"/>
      <c r="AA295" s="671"/>
      <c r="AB295" s="671"/>
    </row>
    <row r="296">
      <c r="A296" s="671"/>
      <c r="B296" s="671"/>
      <c r="C296" s="671"/>
      <c r="D296" s="671"/>
      <c r="E296" s="671"/>
      <c r="F296" s="671"/>
      <c r="G296" s="671"/>
      <c r="H296" s="671"/>
      <c r="I296" s="671"/>
      <c r="J296" s="671"/>
      <c r="K296" s="671"/>
      <c r="L296" s="671"/>
      <c r="M296" s="671"/>
      <c r="N296" s="671"/>
      <c r="O296" s="671"/>
      <c r="P296" s="671"/>
      <c r="Q296" s="671"/>
      <c r="R296" s="671"/>
      <c r="S296" s="671"/>
      <c r="T296" s="671"/>
      <c r="U296" s="671"/>
      <c r="V296" s="671"/>
      <c r="W296" s="671"/>
      <c r="X296" s="671"/>
      <c r="Y296" s="671"/>
      <c r="Z296" s="671"/>
      <c r="AA296" s="671"/>
      <c r="AB296" s="671"/>
    </row>
    <row r="297">
      <c r="A297" s="671"/>
      <c r="B297" s="671"/>
      <c r="C297" s="671"/>
      <c r="D297" s="671"/>
      <c r="E297" s="671"/>
      <c r="F297" s="671"/>
      <c r="G297" s="671"/>
      <c r="H297" s="671"/>
      <c r="I297" s="671"/>
      <c r="J297" s="671"/>
      <c r="K297" s="671"/>
      <c r="L297" s="671"/>
      <c r="M297" s="671"/>
      <c r="N297" s="671"/>
      <c r="O297" s="671"/>
      <c r="P297" s="671"/>
      <c r="Q297" s="671"/>
      <c r="R297" s="671"/>
      <c r="S297" s="671"/>
      <c r="T297" s="671"/>
      <c r="U297" s="671"/>
      <c r="V297" s="671"/>
      <c r="W297" s="671"/>
      <c r="X297" s="671"/>
      <c r="Y297" s="671"/>
      <c r="Z297" s="671"/>
      <c r="AA297" s="671"/>
      <c r="AB297" s="671"/>
    </row>
    <row r="298">
      <c r="A298" s="671"/>
      <c r="B298" s="671"/>
      <c r="C298" s="671"/>
      <c r="D298" s="671"/>
      <c r="E298" s="671"/>
      <c r="F298" s="671"/>
      <c r="G298" s="671"/>
      <c r="H298" s="671"/>
      <c r="I298" s="671"/>
      <c r="J298" s="671"/>
      <c r="K298" s="671"/>
      <c r="L298" s="671"/>
      <c r="M298" s="671"/>
      <c r="N298" s="671"/>
      <c r="O298" s="671"/>
      <c r="P298" s="671"/>
      <c r="Q298" s="671"/>
      <c r="R298" s="671"/>
      <c r="S298" s="671"/>
      <c r="T298" s="671"/>
      <c r="U298" s="671"/>
      <c r="V298" s="671"/>
      <c r="W298" s="671"/>
      <c r="X298" s="671"/>
      <c r="Y298" s="671"/>
      <c r="Z298" s="671"/>
      <c r="AA298" s="671"/>
      <c r="AB298" s="671"/>
    </row>
    <row r="299">
      <c r="A299" s="671"/>
      <c r="B299" s="671"/>
      <c r="C299" s="671"/>
      <c r="D299" s="671"/>
      <c r="E299" s="671"/>
      <c r="F299" s="671"/>
      <c r="G299" s="671"/>
      <c r="H299" s="671"/>
      <c r="I299" s="671"/>
      <c r="J299" s="671"/>
      <c r="K299" s="671"/>
      <c r="L299" s="671"/>
      <c r="M299" s="671"/>
      <c r="N299" s="671"/>
      <c r="O299" s="671"/>
      <c r="P299" s="671"/>
      <c r="Q299" s="671"/>
      <c r="R299" s="671"/>
      <c r="S299" s="671"/>
      <c r="T299" s="671"/>
      <c r="U299" s="671"/>
      <c r="V299" s="671"/>
      <c r="W299" s="671"/>
      <c r="X299" s="671"/>
      <c r="Y299" s="671"/>
      <c r="Z299" s="671"/>
      <c r="AA299" s="671"/>
      <c r="AB299" s="671"/>
    </row>
    <row r="300">
      <c r="A300" s="671"/>
      <c r="B300" s="671"/>
      <c r="C300" s="671"/>
      <c r="D300" s="671"/>
      <c r="E300" s="671"/>
      <c r="F300" s="671"/>
      <c r="G300" s="671"/>
      <c r="H300" s="671"/>
      <c r="I300" s="671"/>
      <c r="J300" s="671"/>
      <c r="K300" s="671"/>
      <c r="L300" s="671"/>
      <c r="M300" s="671"/>
      <c r="N300" s="671"/>
      <c r="O300" s="671"/>
      <c r="P300" s="671"/>
      <c r="Q300" s="671"/>
      <c r="R300" s="671"/>
      <c r="S300" s="671"/>
      <c r="T300" s="671"/>
      <c r="U300" s="671"/>
      <c r="V300" s="671"/>
      <c r="W300" s="671"/>
      <c r="X300" s="671"/>
      <c r="Y300" s="671"/>
      <c r="Z300" s="671"/>
      <c r="AA300" s="671"/>
      <c r="AB300" s="671"/>
    </row>
    <row r="301">
      <c r="A301" s="671"/>
      <c r="B301" s="671"/>
      <c r="C301" s="671"/>
      <c r="D301" s="671"/>
      <c r="E301" s="671"/>
      <c r="F301" s="671"/>
      <c r="G301" s="671"/>
      <c r="H301" s="671"/>
      <c r="I301" s="671"/>
      <c r="J301" s="671"/>
      <c r="K301" s="671"/>
      <c r="L301" s="671"/>
      <c r="M301" s="671"/>
      <c r="N301" s="671"/>
      <c r="O301" s="671"/>
      <c r="P301" s="671"/>
      <c r="Q301" s="671"/>
      <c r="R301" s="671"/>
      <c r="S301" s="671"/>
      <c r="T301" s="671"/>
      <c r="U301" s="671"/>
      <c r="V301" s="671"/>
      <c r="W301" s="671"/>
      <c r="X301" s="671"/>
      <c r="Y301" s="671"/>
      <c r="Z301" s="671"/>
      <c r="AA301" s="671"/>
      <c r="AB301" s="671"/>
    </row>
    <row r="302">
      <c r="A302" s="671"/>
      <c r="B302" s="671"/>
      <c r="C302" s="671"/>
      <c r="D302" s="671"/>
      <c r="E302" s="671"/>
      <c r="F302" s="671"/>
      <c r="G302" s="671"/>
      <c r="H302" s="671"/>
      <c r="I302" s="671"/>
      <c r="J302" s="671"/>
      <c r="K302" s="671"/>
      <c r="L302" s="671"/>
      <c r="M302" s="671"/>
      <c r="N302" s="671"/>
      <c r="O302" s="671"/>
      <c r="P302" s="671"/>
      <c r="Q302" s="671"/>
      <c r="R302" s="671"/>
      <c r="S302" s="671"/>
      <c r="T302" s="671"/>
      <c r="U302" s="671"/>
      <c r="V302" s="671"/>
      <c r="W302" s="671"/>
      <c r="X302" s="671"/>
      <c r="Y302" s="671"/>
      <c r="Z302" s="671"/>
      <c r="AA302" s="671"/>
      <c r="AB302" s="671"/>
    </row>
    <row r="303">
      <c r="A303" s="671"/>
      <c r="B303" s="671"/>
      <c r="C303" s="671"/>
      <c r="D303" s="671"/>
      <c r="E303" s="671"/>
      <c r="F303" s="671"/>
      <c r="G303" s="671"/>
      <c r="H303" s="671"/>
      <c r="I303" s="671"/>
      <c r="J303" s="671"/>
      <c r="K303" s="671"/>
      <c r="L303" s="671"/>
      <c r="M303" s="671"/>
      <c r="N303" s="671"/>
      <c r="O303" s="671"/>
      <c r="P303" s="671"/>
      <c r="Q303" s="671"/>
      <c r="R303" s="671"/>
      <c r="S303" s="671"/>
      <c r="T303" s="671"/>
      <c r="U303" s="671"/>
      <c r="V303" s="671"/>
      <c r="W303" s="671"/>
      <c r="X303" s="671"/>
      <c r="Y303" s="671"/>
      <c r="Z303" s="671"/>
      <c r="AA303" s="671"/>
      <c r="AB303" s="671"/>
    </row>
    <row r="304">
      <c r="A304" s="671"/>
      <c r="B304" s="671"/>
      <c r="C304" s="671"/>
      <c r="D304" s="671"/>
      <c r="E304" s="671"/>
      <c r="F304" s="671"/>
      <c r="G304" s="671"/>
      <c r="H304" s="671"/>
      <c r="I304" s="671"/>
      <c r="J304" s="671"/>
      <c r="K304" s="671"/>
      <c r="L304" s="671"/>
      <c r="M304" s="671"/>
      <c r="N304" s="671"/>
      <c r="O304" s="671"/>
      <c r="P304" s="671"/>
      <c r="Q304" s="671"/>
      <c r="R304" s="671"/>
      <c r="S304" s="671"/>
      <c r="T304" s="671"/>
      <c r="U304" s="671"/>
      <c r="V304" s="671"/>
      <c r="W304" s="671"/>
      <c r="X304" s="671"/>
      <c r="Y304" s="671"/>
      <c r="Z304" s="671"/>
      <c r="AA304" s="671"/>
      <c r="AB304" s="671"/>
    </row>
    <row r="305">
      <c r="A305" s="671"/>
      <c r="B305" s="671"/>
      <c r="C305" s="671"/>
      <c r="D305" s="671"/>
      <c r="E305" s="671"/>
      <c r="F305" s="671"/>
      <c r="G305" s="671"/>
      <c r="H305" s="671"/>
      <c r="I305" s="671"/>
      <c r="J305" s="671"/>
      <c r="K305" s="671"/>
      <c r="L305" s="671"/>
      <c r="M305" s="671"/>
      <c r="N305" s="671"/>
      <c r="O305" s="671"/>
      <c r="P305" s="671"/>
      <c r="Q305" s="671"/>
      <c r="R305" s="671"/>
      <c r="S305" s="671"/>
      <c r="T305" s="671"/>
      <c r="U305" s="671"/>
      <c r="V305" s="671"/>
      <c r="W305" s="671"/>
      <c r="X305" s="671"/>
      <c r="Y305" s="671"/>
      <c r="Z305" s="671"/>
      <c r="AA305" s="671"/>
      <c r="AB305" s="671"/>
    </row>
    <row r="306">
      <c r="A306" s="671"/>
      <c r="B306" s="671"/>
      <c r="C306" s="671"/>
      <c r="D306" s="671"/>
      <c r="E306" s="671"/>
      <c r="F306" s="671"/>
      <c r="G306" s="671"/>
      <c r="H306" s="671"/>
      <c r="I306" s="671"/>
      <c r="J306" s="671"/>
      <c r="K306" s="671"/>
      <c r="L306" s="671"/>
      <c r="M306" s="671"/>
      <c r="N306" s="671"/>
      <c r="O306" s="671"/>
      <c r="P306" s="671"/>
      <c r="Q306" s="671"/>
      <c r="R306" s="671"/>
      <c r="S306" s="671"/>
      <c r="T306" s="671"/>
      <c r="U306" s="671"/>
      <c r="V306" s="671"/>
      <c r="W306" s="671"/>
      <c r="X306" s="671"/>
      <c r="Y306" s="671"/>
      <c r="Z306" s="671"/>
      <c r="AA306" s="671"/>
      <c r="AB306" s="671"/>
    </row>
    <row r="307">
      <c r="A307" s="671"/>
      <c r="B307" s="671"/>
      <c r="C307" s="671"/>
      <c r="D307" s="671"/>
      <c r="E307" s="671"/>
      <c r="F307" s="671"/>
      <c r="G307" s="671"/>
      <c r="H307" s="671"/>
      <c r="I307" s="671"/>
      <c r="J307" s="671"/>
      <c r="K307" s="671"/>
      <c r="L307" s="671"/>
      <c r="M307" s="671"/>
      <c r="N307" s="671"/>
      <c r="O307" s="671"/>
      <c r="P307" s="671"/>
      <c r="Q307" s="671"/>
      <c r="R307" s="671"/>
      <c r="S307" s="671"/>
      <c r="T307" s="671"/>
      <c r="U307" s="671"/>
      <c r="V307" s="671"/>
      <c r="W307" s="671"/>
      <c r="X307" s="671"/>
      <c r="Y307" s="671"/>
      <c r="Z307" s="671"/>
      <c r="AA307" s="671"/>
      <c r="AB307" s="671"/>
    </row>
    <row r="308">
      <c r="A308" s="671"/>
      <c r="B308" s="671"/>
      <c r="C308" s="671"/>
      <c r="D308" s="671"/>
      <c r="E308" s="671"/>
      <c r="F308" s="671"/>
      <c r="G308" s="671"/>
      <c r="H308" s="671"/>
      <c r="I308" s="671"/>
      <c r="J308" s="671"/>
      <c r="K308" s="671"/>
      <c r="L308" s="671"/>
      <c r="M308" s="671"/>
      <c r="N308" s="671"/>
      <c r="O308" s="671"/>
      <c r="P308" s="671"/>
      <c r="Q308" s="671"/>
      <c r="R308" s="671"/>
      <c r="S308" s="671"/>
      <c r="T308" s="671"/>
      <c r="U308" s="671"/>
      <c r="V308" s="671"/>
      <c r="W308" s="671"/>
      <c r="X308" s="671"/>
      <c r="Y308" s="671"/>
      <c r="Z308" s="671"/>
      <c r="AA308" s="671"/>
      <c r="AB308" s="671"/>
    </row>
    <row r="309">
      <c r="A309" s="671"/>
      <c r="B309" s="671"/>
      <c r="C309" s="671"/>
      <c r="D309" s="671"/>
      <c r="E309" s="671"/>
      <c r="F309" s="671"/>
      <c r="G309" s="671"/>
      <c r="H309" s="671"/>
      <c r="I309" s="671"/>
      <c r="J309" s="671"/>
      <c r="K309" s="671"/>
      <c r="L309" s="671"/>
      <c r="M309" s="671"/>
      <c r="N309" s="671"/>
      <c r="O309" s="671"/>
      <c r="P309" s="671"/>
      <c r="Q309" s="671"/>
      <c r="R309" s="671"/>
      <c r="S309" s="671"/>
      <c r="T309" s="671"/>
      <c r="U309" s="671"/>
      <c r="V309" s="671"/>
      <c r="W309" s="671"/>
      <c r="X309" s="671"/>
      <c r="Y309" s="671"/>
      <c r="Z309" s="671"/>
      <c r="AA309" s="671"/>
      <c r="AB309" s="671"/>
    </row>
    <row r="310">
      <c r="A310" s="671"/>
      <c r="B310" s="671"/>
      <c r="C310" s="671"/>
      <c r="D310" s="671"/>
      <c r="E310" s="671"/>
      <c r="F310" s="671"/>
      <c r="G310" s="671"/>
      <c r="H310" s="671"/>
      <c r="I310" s="671"/>
      <c r="J310" s="671"/>
      <c r="K310" s="671"/>
      <c r="L310" s="671"/>
      <c r="M310" s="671"/>
      <c r="N310" s="671"/>
      <c r="O310" s="671"/>
      <c r="P310" s="671"/>
      <c r="Q310" s="671"/>
      <c r="R310" s="671"/>
      <c r="S310" s="671"/>
      <c r="T310" s="671"/>
      <c r="U310" s="671"/>
      <c r="V310" s="671"/>
      <c r="W310" s="671"/>
      <c r="X310" s="671"/>
      <c r="Y310" s="671"/>
      <c r="Z310" s="671"/>
      <c r="AA310" s="671"/>
      <c r="AB310" s="671"/>
    </row>
    <row r="311">
      <c r="A311" s="671"/>
      <c r="B311" s="671"/>
      <c r="C311" s="671"/>
      <c r="D311" s="671"/>
      <c r="E311" s="671"/>
      <c r="F311" s="671"/>
      <c r="G311" s="671"/>
      <c r="H311" s="671"/>
      <c r="I311" s="671"/>
      <c r="J311" s="671"/>
      <c r="K311" s="671"/>
      <c r="L311" s="671"/>
      <c r="M311" s="671"/>
      <c r="N311" s="671"/>
      <c r="O311" s="671"/>
      <c r="P311" s="671"/>
      <c r="Q311" s="671"/>
      <c r="R311" s="671"/>
      <c r="S311" s="671"/>
      <c r="T311" s="671"/>
      <c r="U311" s="671"/>
      <c r="V311" s="671"/>
      <c r="W311" s="671"/>
      <c r="X311" s="671"/>
      <c r="Y311" s="671"/>
      <c r="Z311" s="671"/>
      <c r="AA311" s="671"/>
      <c r="AB311" s="671"/>
    </row>
    <row r="312">
      <c r="A312" s="671"/>
      <c r="B312" s="671"/>
      <c r="C312" s="671"/>
      <c r="D312" s="671"/>
      <c r="E312" s="671"/>
      <c r="F312" s="671"/>
      <c r="G312" s="671"/>
      <c r="H312" s="671"/>
      <c r="I312" s="671"/>
      <c r="J312" s="671"/>
      <c r="K312" s="671"/>
      <c r="L312" s="671"/>
      <c r="M312" s="671"/>
      <c r="N312" s="671"/>
      <c r="O312" s="671"/>
      <c r="P312" s="671"/>
      <c r="Q312" s="671"/>
      <c r="R312" s="671"/>
      <c r="S312" s="671"/>
      <c r="T312" s="671"/>
      <c r="U312" s="671"/>
      <c r="V312" s="671"/>
      <c r="W312" s="671"/>
      <c r="X312" s="671"/>
      <c r="Y312" s="671"/>
      <c r="Z312" s="671"/>
      <c r="AA312" s="671"/>
      <c r="AB312" s="671"/>
    </row>
    <row r="313">
      <c r="A313" s="671"/>
      <c r="B313" s="671"/>
      <c r="C313" s="671"/>
      <c r="D313" s="671"/>
      <c r="E313" s="671"/>
      <c r="F313" s="671"/>
      <c r="G313" s="671"/>
      <c r="H313" s="671"/>
      <c r="I313" s="671"/>
      <c r="J313" s="671"/>
      <c r="K313" s="671"/>
      <c r="L313" s="671"/>
      <c r="M313" s="671"/>
      <c r="N313" s="671"/>
      <c r="O313" s="671"/>
      <c r="P313" s="671"/>
      <c r="Q313" s="671"/>
      <c r="R313" s="671"/>
      <c r="S313" s="671"/>
      <c r="T313" s="671"/>
      <c r="U313" s="671"/>
      <c r="V313" s="671"/>
      <c r="W313" s="671"/>
      <c r="X313" s="671"/>
      <c r="Y313" s="671"/>
      <c r="Z313" s="671"/>
      <c r="AA313" s="671"/>
      <c r="AB313" s="671"/>
    </row>
    <row r="314">
      <c r="A314" s="671"/>
      <c r="B314" s="671"/>
      <c r="C314" s="671"/>
      <c r="D314" s="671"/>
      <c r="E314" s="671"/>
      <c r="F314" s="671"/>
      <c r="G314" s="671"/>
      <c r="H314" s="671"/>
      <c r="I314" s="671"/>
      <c r="J314" s="671"/>
      <c r="K314" s="671"/>
      <c r="L314" s="671"/>
      <c r="M314" s="671"/>
      <c r="N314" s="671"/>
      <c r="O314" s="671"/>
      <c r="P314" s="671"/>
      <c r="Q314" s="671"/>
      <c r="R314" s="671"/>
      <c r="S314" s="671"/>
      <c r="T314" s="671"/>
      <c r="U314" s="671"/>
      <c r="V314" s="671"/>
      <c r="W314" s="671"/>
      <c r="X314" s="671"/>
      <c r="Y314" s="671"/>
      <c r="Z314" s="671"/>
      <c r="AA314" s="671"/>
      <c r="AB314" s="671"/>
    </row>
    <row r="315">
      <c r="A315" s="671"/>
      <c r="B315" s="671"/>
      <c r="C315" s="671"/>
      <c r="D315" s="671"/>
      <c r="E315" s="671"/>
      <c r="F315" s="671"/>
      <c r="G315" s="671"/>
      <c r="H315" s="671"/>
      <c r="I315" s="671"/>
      <c r="J315" s="671"/>
      <c r="K315" s="671"/>
      <c r="L315" s="671"/>
      <c r="M315" s="671"/>
      <c r="N315" s="671"/>
      <c r="O315" s="671"/>
      <c r="P315" s="671"/>
      <c r="Q315" s="671"/>
      <c r="R315" s="671"/>
      <c r="S315" s="671"/>
      <c r="T315" s="671"/>
      <c r="U315" s="671"/>
      <c r="V315" s="671"/>
      <c r="W315" s="671"/>
      <c r="X315" s="671"/>
      <c r="Y315" s="671"/>
      <c r="Z315" s="671"/>
      <c r="AA315" s="671"/>
      <c r="AB315" s="671"/>
    </row>
    <row r="316">
      <c r="A316" s="671"/>
      <c r="B316" s="671"/>
      <c r="C316" s="671"/>
      <c r="D316" s="671"/>
      <c r="E316" s="671"/>
      <c r="F316" s="671"/>
      <c r="G316" s="671"/>
      <c r="H316" s="671"/>
      <c r="I316" s="671"/>
      <c r="J316" s="671"/>
      <c r="K316" s="671"/>
      <c r="L316" s="671"/>
      <c r="M316" s="671"/>
      <c r="N316" s="671"/>
      <c r="O316" s="671"/>
      <c r="P316" s="671"/>
      <c r="Q316" s="671"/>
      <c r="R316" s="671"/>
      <c r="S316" s="671"/>
      <c r="T316" s="671"/>
      <c r="U316" s="671"/>
      <c r="V316" s="671"/>
      <c r="W316" s="671"/>
      <c r="X316" s="671"/>
      <c r="Y316" s="671"/>
      <c r="Z316" s="671"/>
      <c r="AA316" s="671"/>
      <c r="AB316" s="671"/>
    </row>
    <row r="317">
      <c r="A317" s="671"/>
      <c r="B317" s="671"/>
      <c r="C317" s="671"/>
      <c r="D317" s="671"/>
      <c r="E317" s="671"/>
      <c r="F317" s="671"/>
      <c r="G317" s="671"/>
      <c r="H317" s="671"/>
      <c r="I317" s="671"/>
      <c r="J317" s="671"/>
      <c r="K317" s="671"/>
      <c r="L317" s="671"/>
      <c r="M317" s="671"/>
      <c r="N317" s="671"/>
      <c r="O317" s="671"/>
      <c r="P317" s="671"/>
      <c r="Q317" s="671"/>
      <c r="R317" s="671"/>
      <c r="S317" s="671"/>
      <c r="T317" s="671"/>
      <c r="U317" s="671"/>
      <c r="V317" s="671"/>
      <c r="W317" s="671"/>
      <c r="X317" s="671"/>
      <c r="Y317" s="671"/>
      <c r="Z317" s="671"/>
      <c r="AA317" s="671"/>
      <c r="AB317" s="671"/>
    </row>
    <row r="318">
      <c r="A318" s="671"/>
      <c r="B318" s="671"/>
      <c r="C318" s="671"/>
      <c r="D318" s="671"/>
      <c r="E318" s="671"/>
      <c r="F318" s="671"/>
      <c r="G318" s="671"/>
      <c r="H318" s="671"/>
      <c r="I318" s="671"/>
      <c r="J318" s="671"/>
      <c r="K318" s="671"/>
      <c r="L318" s="671"/>
      <c r="M318" s="671"/>
      <c r="N318" s="671"/>
      <c r="O318" s="671"/>
      <c r="P318" s="671"/>
      <c r="Q318" s="671"/>
      <c r="R318" s="671"/>
      <c r="S318" s="671"/>
      <c r="T318" s="671"/>
      <c r="U318" s="671"/>
      <c r="V318" s="671"/>
      <c r="W318" s="671"/>
      <c r="X318" s="671"/>
      <c r="Y318" s="671"/>
      <c r="Z318" s="671"/>
      <c r="AA318" s="671"/>
      <c r="AB318" s="671"/>
    </row>
    <row r="319">
      <c r="A319" s="671"/>
      <c r="B319" s="671"/>
      <c r="C319" s="671"/>
      <c r="D319" s="671"/>
      <c r="E319" s="671"/>
      <c r="F319" s="671"/>
      <c r="G319" s="671"/>
      <c r="H319" s="671"/>
      <c r="I319" s="671"/>
      <c r="J319" s="671"/>
      <c r="K319" s="671"/>
      <c r="L319" s="671"/>
      <c r="M319" s="671"/>
      <c r="N319" s="671"/>
      <c r="O319" s="671"/>
      <c r="P319" s="671"/>
      <c r="Q319" s="671"/>
      <c r="R319" s="671"/>
      <c r="S319" s="671"/>
      <c r="T319" s="671"/>
      <c r="U319" s="671"/>
      <c r="V319" s="671"/>
      <c r="W319" s="671"/>
      <c r="X319" s="671"/>
      <c r="Y319" s="671"/>
      <c r="Z319" s="671"/>
      <c r="AA319" s="671"/>
      <c r="AB319" s="671"/>
    </row>
    <row r="320">
      <c r="A320" s="671"/>
      <c r="B320" s="671"/>
      <c r="C320" s="671"/>
      <c r="D320" s="671"/>
      <c r="E320" s="671"/>
      <c r="F320" s="671"/>
      <c r="G320" s="671"/>
      <c r="H320" s="671"/>
      <c r="I320" s="671"/>
      <c r="J320" s="671"/>
      <c r="K320" s="671"/>
      <c r="L320" s="671"/>
      <c r="M320" s="671"/>
      <c r="N320" s="671"/>
      <c r="O320" s="671"/>
      <c r="P320" s="671"/>
      <c r="Q320" s="671"/>
      <c r="R320" s="671"/>
      <c r="S320" s="671"/>
      <c r="T320" s="671"/>
      <c r="U320" s="671"/>
      <c r="V320" s="671"/>
      <c r="W320" s="671"/>
      <c r="X320" s="671"/>
      <c r="Y320" s="671"/>
      <c r="Z320" s="671"/>
      <c r="AA320" s="671"/>
      <c r="AB320" s="671"/>
    </row>
    <row r="321">
      <c r="A321" s="671"/>
      <c r="B321" s="671"/>
      <c r="C321" s="671"/>
      <c r="D321" s="671"/>
      <c r="E321" s="671"/>
      <c r="F321" s="671"/>
      <c r="G321" s="671"/>
      <c r="H321" s="671"/>
      <c r="I321" s="671"/>
      <c r="J321" s="671"/>
      <c r="K321" s="671"/>
      <c r="L321" s="671"/>
      <c r="M321" s="671"/>
      <c r="N321" s="671"/>
      <c r="O321" s="671"/>
      <c r="P321" s="671"/>
      <c r="Q321" s="671"/>
      <c r="R321" s="671"/>
      <c r="S321" s="671"/>
      <c r="T321" s="671"/>
      <c r="U321" s="671"/>
      <c r="V321" s="671"/>
      <c r="W321" s="671"/>
      <c r="X321" s="671"/>
      <c r="Y321" s="671"/>
      <c r="Z321" s="671"/>
      <c r="AA321" s="671"/>
      <c r="AB321" s="671"/>
    </row>
    <row r="322">
      <c r="A322" s="671"/>
      <c r="B322" s="671"/>
      <c r="C322" s="671"/>
      <c r="D322" s="671"/>
      <c r="E322" s="671"/>
      <c r="F322" s="671"/>
      <c r="G322" s="671"/>
      <c r="H322" s="671"/>
      <c r="I322" s="671"/>
      <c r="J322" s="671"/>
      <c r="K322" s="671"/>
      <c r="L322" s="671"/>
      <c r="M322" s="671"/>
      <c r="N322" s="671"/>
      <c r="O322" s="671"/>
      <c r="P322" s="671"/>
      <c r="Q322" s="671"/>
      <c r="R322" s="671"/>
      <c r="S322" s="671"/>
      <c r="T322" s="671"/>
      <c r="U322" s="671"/>
      <c r="V322" s="671"/>
      <c r="W322" s="671"/>
      <c r="X322" s="671"/>
      <c r="Y322" s="671"/>
      <c r="Z322" s="671"/>
      <c r="AA322" s="671"/>
      <c r="AB322" s="671"/>
    </row>
    <row r="323">
      <c r="A323" s="671"/>
      <c r="B323" s="671"/>
      <c r="C323" s="671"/>
      <c r="D323" s="671"/>
      <c r="E323" s="671"/>
      <c r="F323" s="671"/>
      <c r="G323" s="671"/>
      <c r="H323" s="671"/>
      <c r="I323" s="671"/>
      <c r="J323" s="671"/>
      <c r="K323" s="671"/>
      <c r="L323" s="671"/>
      <c r="M323" s="671"/>
      <c r="N323" s="671"/>
      <c r="O323" s="671"/>
      <c r="P323" s="671"/>
      <c r="Q323" s="671"/>
      <c r="R323" s="671"/>
      <c r="S323" s="671"/>
      <c r="T323" s="671"/>
      <c r="U323" s="671"/>
      <c r="V323" s="671"/>
      <c r="W323" s="671"/>
      <c r="X323" s="671"/>
      <c r="Y323" s="671"/>
      <c r="Z323" s="671"/>
      <c r="AA323" s="671"/>
      <c r="AB323" s="671"/>
    </row>
    <row r="324">
      <c r="A324" s="671"/>
      <c r="B324" s="671"/>
      <c r="C324" s="671"/>
      <c r="D324" s="671"/>
      <c r="E324" s="671"/>
      <c r="F324" s="671"/>
      <c r="G324" s="671"/>
      <c r="H324" s="671"/>
      <c r="I324" s="671"/>
      <c r="J324" s="671"/>
      <c r="K324" s="671"/>
      <c r="L324" s="671"/>
      <c r="M324" s="671"/>
      <c r="N324" s="671"/>
      <c r="O324" s="671"/>
      <c r="P324" s="671"/>
      <c r="Q324" s="671"/>
      <c r="R324" s="671"/>
      <c r="S324" s="671"/>
      <c r="T324" s="671"/>
      <c r="U324" s="671"/>
      <c r="V324" s="671"/>
      <c r="W324" s="671"/>
      <c r="X324" s="671"/>
      <c r="Y324" s="671"/>
      <c r="Z324" s="671"/>
      <c r="AA324" s="671"/>
      <c r="AB324" s="671"/>
    </row>
    <row r="325">
      <c r="A325" s="671"/>
      <c r="B325" s="671"/>
      <c r="C325" s="671"/>
      <c r="D325" s="671"/>
      <c r="E325" s="671"/>
      <c r="F325" s="671"/>
      <c r="G325" s="671"/>
      <c r="H325" s="671"/>
      <c r="I325" s="671"/>
      <c r="J325" s="671"/>
      <c r="K325" s="671"/>
      <c r="L325" s="671"/>
      <c r="M325" s="671"/>
      <c r="N325" s="671"/>
      <c r="O325" s="671"/>
      <c r="P325" s="671"/>
      <c r="Q325" s="671"/>
      <c r="R325" s="671"/>
      <c r="S325" s="671"/>
      <c r="T325" s="671"/>
      <c r="U325" s="671"/>
      <c r="V325" s="671"/>
      <c r="W325" s="671"/>
      <c r="X325" s="671"/>
      <c r="Y325" s="671"/>
      <c r="Z325" s="671"/>
      <c r="AA325" s="671"/>
      <c r="AB325" s="671"/>
    </row>
    <row r="326">
      <c r="A326" s="671"/>
      <c r="B326" s="671"/>
      <c r="C326" s="671"/>
      <c r="D326" s="671"/>
      <c r="E326" s="671"/>
      <c r="F326" s="671"/>
      <c r="G326" s="671"/>
      <c r="H326" s="671"/>
      <c r="I326" s="671"/>
      <c r="J326" s="671"/>
      <c r="K326" s="671"/>
      <c r="L326" s="671"/>
      <c r="M326" s="671"/>
      <c r="N326" s="671"/>
      <c r="O326" s="671"/>
      <c r="P326" s="671"/>
      <c r="Q326" s="671"/>
      <c r="R326" s="671"/>
      <c r="S326" s="671"/>
      <c r="T326" s="671"/>
      <c r="U326" s="671"/>
      <c r="V326" s="671"/>
      <c r="W326" s="671"/>
      <c r="X326" s="671"/>
      <c r="Y326" s="671"/>
      <c r="Z326" s="671"/>
      <c r="AA326" s="671"/>
      <c r="AB326" s="671"/>
    </row>
    <row r="327">
      <c r="A327" s="671"/>
      <c r="B327" s="671"/>
      <c r="C327" s="671"/>
      <c r="D327" s="671"/>
      <c r="E327" s="671"/>
      <c r="F327" s="671"/>
      <c r="G327" s="671"/>
      <c r="H327" s="671"/>
      <c r="I327" s="671"/>
      <c r="J327" s="671"/>
      <c r="K327" s="671"/>
      <c r="L327" s="671"/>
      <c r="M327" s="671"/>
      <c r="N327" s="671"/>
      <c r="O327" s="671"/>
      <c r="P327" s="671"/>
      <c r="Q327" s="671"/>
      <c r="R327" s="671"/>
      <c r="S327" s="671"/>
      <c r="T327" s="671"/>
      <c r="U327" s="671"/>
      <c r="V327" s="671"/>
      <c r="W327" s="671"/>
      <c r="X327" s="671"/>
      <c r="Y327" s="671"/>
      <c r="Z327" s="671"/>
      <c r="AA327" s="671"/>
      <c r="AB327" s="671"/>
    </row>
    <row r="328">
      <c r="A328" s="671"/>
      <c r="B328" s="671"/>
      <c r="C328" s="671"/>
      <c r="D328" s="671"/>
      <c r="E328" s="671"/>
      <c r="F328" s="671"/>
      <c r="G328" s="671"/>
      <c r="H328" s="671"/>
      <c r="I328" s="671"/>
      <c r="J328" s="671"/>
      <c r="K328" s="671"/>
      <c r="L328" s="671"/>
      <c r="M328" s="671"/>
      <c r="N328" s="671"/>
      <c r="O328" s="671"/>
      <c r="P328" s="671"/>
      <c r="Q328" s="671"/>
      <c r="R328" s="671"/>
      <c r="S328" s="671"/>
      <c r="T328" s="671"/>
      <c r="U328" s="671"/>
      <c r="V328" s="671"/>
      <c r="W328" s="671"/>
      <c r="X328" s="671"/>
      <c r="Y328" s="671"/>
      <c r="Z328" s="671"/>
      <c r="AA328" s="671"/>
      <c r="AB328" s="671"/>
    </row>
    <row r="329">
      <c r="A329" s="671"/>
      <c r="B329" s="671"/>
      <c r="C329" s="671"/>
      <c r="D329" s="671"/>
      <c r="E329" s="671"/>
      <c r="F329" s="671"/>
      <c r="G329" s="671"/>
      <c r="H329" s="671"/>
      <c r="I329" s="671"/>
      <c r="J329" s="671"/>
      <c r="K329" s="671"/>
      <c r="L329" s="671"/>
      <c r="M329" s="671"/>
      <c r="N329" s="671"/>
      <c r="O329" s="671"/>
      <c r="P329" s="671"/>
      <c r="Q329" s="671"/>
      <c r="R329" s="671"/>
      <c r="S329" s="671"/>
      <c r="T329" s="671"/>
      <c r="U329" s="671"/>
      <c r="V329" s="671"/>
      <c r="W329" s="671"/>
      <c r="X329" s="671"/>
      <c r="Y329" s="671"/>
      <c r="Z329" s="671"/>
      <c r="AA329" s="671"/>
      <c r="AB329" s="671"/>
    </row>
    <row r="330">
      <c r="A330" s="671"/>
      <c r="B330" s="671"/>
      <c r="C330" s="671"/>
      <c r="D330" s="671"/>
      <c r="E330" s="671"/>
      <c r="F330" s="671"/>
      <c r="G330" s="671"/>
      <c r="H330" s="671"/>
      <c r="I330" s="671"/>
      <c r="J330" s="671"/>
      <c r="K330" s="671"/>
      <c r="L330" s="671"/>
      <c r="M330" s="671"/>
      <c r="N330" s="671"/>
      <c r="O330" s="671"/>
      <c r="P330" s="671"/>
      <c r="Q330" s="671"/>
      <c r="R330" s="671"/>
      <c r="S330" s="671"/>
      <c r="T330" s="671"/>
      <c r="U330" s="671"/>
      <c r="V330" s="671"/>
      <c r="W330" s="671"/>
      <c r="X330" s="671"/>
      <c r="Y330" s="671"/>
      <c r="Z330" s="671"/>
      <c r="AA330" s="671"/>
      <c r="AB330" s="671"/>
    </row>
    <row r="331">
      <c r="A331" s="671"/>
      <c r="B331" s="671"/>
      <c r="C331" s="671"/>
      <c r="D331" s="671"/>
      <c r="E331" s="671"/>
      <c r="F331" s="671"/>
      <c r="G331" s="671"/>
      <c r="H331" s="671"/>
      <c r="I331" s="671"/>
      <c r="J331" s="671"/>
      <c r="K331" s="671"/>
      <c r="L331" s="671"/>
      <c r="M331" s="671"/>
      <c r="N331" s="671"/>
      <c r="O331" s="671"/>
      <c r="P331" s="671"/>
      <c r="Q331" s="671"/>
      <c r="R331" s="671"/>
      <c r="S331" s="671"/>
      <c r="T331" s="671"/>
      <c r="U331" s="671"/>
      <c r="V331" s="671"/>
      <c r="W331" s="671"/>
      <c r="X331" s="671"/>
      <c r="Y331" s="671"/>
      <c r="Z331" s="671"/>
      <c r="AA331" s="671"/>
      <c r="AB331" s="671"/>
    </row>
    <row r="332">
      <c r="A332" s="671"/>
      <c r="B332" s="671"/>
      <c r="C332" s="671"/>
      <c r="D332" s="671"/>
      <c r="E332" s="671"/>
      <c r="F332" s="671"/>
      <c r="G332" s="671"/>
      <c r="H332" s="671"/>
      <c r="I332" s="671"/>
      <c r="J332" s="671"/>
      <c r="K332" s="671"/>
      <c r="L332" s="671"/>
      <c r="M332" s="671"/>
      <c r="N332" s="671"/>
      <c r="O332" s="671"/>
      <c r="P332" s="671"/>
      <c r="Q332" s="671"/>
      <c r="R332" s="671"/>
      <c r="S332" s="671"/>
      <c r="T332" s="671"/>
      <c r="U332" s="671"/>
      <c r="V332" s="671"/>
      <c r="W332" s="671"/>
      <c r="X332" s="671"/>
      <c r="Y332" s="671"/>
      <c r="Z332" s="671"/>
      <c r="AA332" s="671"/>
      <c r="AB332" s="671"/>
    </row>
    <row r="333">
      <c r="A333" s="671"/>
      <c r="B333" s="671"/>
      <c r="C333" s="671"/>
      <c r="D333" s="671"/>
      <c r="E333" s="671"/>
      <c r="F333" s="671"/>
      <c r="G333" s="671"/>
      <c r="H333" s="671"/>
      <c r="I333" s="671"/>
      <c r="J333" s="671"/>
      <c r="K333" s="671"/>
      <c r="L333" s="671"/>
      <c r="M333" s="671"/>
      <c r="N333" s="671"/>
      <c r="O333" s="671"/>
      <c r="P333" s="671"/>
      <c r="Q333" s="671"/>
      <c r="R333" s="671"/>
      <c r="S333" s="671"/>
      <c r="T333" s="671"/>
      <c r="U333" s="671"/>
      <c r="V333" s="671"/>
      <c r="W333" s="671"/>
      <c r="X333" s="671"/>
      <c r="Y333" s="671"/>
      <c r="Z333" s="671"/>
      <c r="AA333" s="671"/>
      <c r="AB333" s="671"/>
    </row>
    <row r="334">
      <c r="A334" s="671"/>
      <c r="B334" s="671"/>
      <c r="C334" s="671"/>
      <c r="D334" s="671"/>
      <c r="E334" s="671"/>
      <c r="F334" s="671"/>
      <c r="G334" s="671"/>
      <c r="H334" s="671"/>
      <c r="I334" s="671"/>
      <c r="J334" s="671"/>
      <c r="K334" s="671"/>
      <c r="L334" s="671"/>
      <c r="M334" s="671"/>
      <c r="N334" s="671"/>
      <c r="O334" s="671"/>
      <c r="P334" s="671"/>
      <c r="Q334" s="671"/>
      <c r="R334" s="671"/>
      <c r="S334" s="671"/>
      <c r="T334" s="671"/>
      <c r="U334" s="671"/>
      <c r="V334" s="671"/>
      <c r="W334" s="671"/>
      <c r="X334" s="671"/>
      <c r="Y334" s="671"/>
      <c r="Z334" s="671"/>
      <c r="AA334" s="671"/>
      <c r="AB334" s="671"/>
    </row>
    <row r="335">
      <c r="A335" s="671"/>
      <c r="B335" s="671"/>
      <c r="C335" s="671"/>
      <c r="D335" s="671"/>
      <c r="E335" s="671"/>
      <c r="F335" s="671"/>
      <c r="G335" s="671"/>
      <c r="H335" s="671"/>
      <c r="I335" s="671"/>
      <c r="J335" s="671"/>
      <c r="K335" s="671"/>
      <c r="L335" s="671"/>
      <c r="M335" s="671"/>
      <c r="N335" s="671"/>
      <c r="O335" s="671"/>
      <c r="P335" s="671"/>
      <c r="Q335" s="671"/>
      <c r="R335" s="671"/>
      <c r="S335" s="671"/>
      <c r="T335" s="671"/>
      <c r="U335" s="671"/>
      <c r="V335" s="671"/>
      <c r="W335" s="671"/>
      <c r="X335" s="671"/>
      <c r="Y335" s="671"/>
      <c r="Z335" s="671"/>
      <c r="AA335" s="671"/>
      <c r="AB335" s="671"/>
    </row>
    <row r="336">
      <c r="A336" s="671"/>
      <c r="B336" s="671"/>
      <c r="C336" s="671"/>
      <c r="D336" s="671"/>
      <c r="E336" s="671"/>
      <c r="F336" s="671"/>
      <c r="G336" s="671"/>
      <c r="H336" s="671"/>
      <c r="I336" s="671"/>
      <c r="J336" s="671"/>
      <c r="K336" s="671"/>
      <c r="L336" s="671"/>
      <c r="M336" s="671"/>
      <c r="N336" s="671"/>
      <c r="O336" s="671"/>
      <c r="P336" s="671"/>
      <c r="Q336" s="671"/>
      <c r="R336" s="671"/>
      <c r="S336" s="671"/>
      <c r="T336" s="671"/>
      <c r="U336" s="671"/>
      <c r="V336" s="671"/>
      <c r="W336" s="671"/>
      <c r="X336" s="671"/>
      <c r="Y336" s="671"/>
      <c r="Z336" s="671"/>
      <c r="AA336" s="671"/>
      <c r="AB336" s="671"/>
    </row>
    <row r="337">
      <c r="A337" s="671"/>
      <c r="B337" s="671"/>
      <c r="C337" s="671"/>
      <c r="D337" s="671"/>
      <c r="E337" s="671"/>
      <c r="F337" s="671"/>
      <c r="G337" s="671"/>
      <c r="H337" s="671"/>
      <c r="I337" s="671"/>
      <c r="J337" s="671"/>
      <c r="K337" s="671"/>
      <c r="L337" s="671"/>
      <c r="M337" s="671"/>
      <c r="N337" s="671"/>
      <c r="O337" s="671"/>
      <c r="P337" s="671"/>
      <c r="Q337" s="671"/>
      <c r="R337" s="671"/>
      <c r="S337" s="671"/>
      <c r="T337" s="671"/>
      <c r="U337" s="671"/>
      <c r="V337" s="671"/>
      <c r="W337" s="671"/>
      <c r="X337" s="671"/>
      <c r="Y337" s="671"/>
      <c r="Z337" s="671"/>
      <c r="AA337" s="671"/>
      <c r="AB337" s="671"/>
    </row>
    <row r="338">
      <c r="A338" s="671"/>
      <c r="B338" s="671"/>
      <c r="C338" s="671"/>
      <c r="D338" s="671"/>
      <c r="E338" s="671"/>
      <c r="F338" s="671"/>
      <c r="G338" s="671"/>
      <c r="H338" s="671"/>
      <c r="I338" s="671"/>
      <c r="J338" s="671"/>
      <c r="K338" s="671"/>
      <c r="L338" s="671"/>
      <c r="M338" s="671"/>
      <c r="N338" s="671"/>
      <c r="O338" s="671"/>
      <c r="P338" s="671"/>
      <c r="Q338" s="671"/>
      <c r="R338" s="671"/>
      <c r="S338" s="671"/>
      <c r="T338" s="671"/>
      <c r="U338" s="671"/>
      <c r="V338" s="671"/>
      <c r="W338" s="671"/>
      <c r="X338" s="671"/>
      <c r="Y338" s="671"/>
      <c r="Z338" s="671"/>
      <c r="AA338" s="671"/>
      <c r="AB338" s="671"/>
    </row>
    <row r="339">
      <c r="A339" s="671"/>
      <c r="B339" s="671"/>
      <c r="C339" s="671"/>
      <c r="D339" s="671"/>
      <c r="E339" s="671"/>
      <c r="F339" s="671"/>
      <c r="G339" s="671"/>
      <c r="H339" s="671"/>
      <c r="I339" s="671"/>
      <c r="J339" s="671"/>
      <c r="K339" s="671"/>
      <c r="L339" s="671"/>
      <c r="M339" s="671"/>
      <c r="N339" s="671"/>
      <c r="O339" s="671"/>
      <c r="P339" s="671"/>
      <c r="Q339" s="671"/>
      <c r="R339" s="671"/>
      <c r="S339" s="671"/>
      <c r="T339" s="671"/>
      <c r="U339" s="671"/>
      <c r="V339" s="671"/>
      <c r="W339" s="671"/>
      <c r="X339" s="671"/>
      <c r="Y339" s="671"/>
      <c r="Z339" s="671"/>
      <c r="AA339" s="671"/>
      <c r="AB339" s="671"/>
    </row>
    <row r="340">
      <c r="A340" s="671"/>
      <c r="B340" s="671"/>
      <c r="C340" s="671"/>
      <c r="D340" s="671"/>
      <c r="E340" s="671"/>
      <c r="F340" s="671"/>
      <c r="G340" s="671"/>
      <c r="H340" s="671"/>
      <c r="I340" s="671"/>
      <c r="J340" s="671"/>
      <c r="K340" s="671"/>
      <c r="L340" s="671"/>
      <c r="M340" s="671"/>
      <c r="N340" s="671"/>
      <c r="O340" s="671"/>
      <c r="P340" s="671"/>
      <c r="Q340" s="671"/>
      <c r="R340" s="671"/>
      <c r="S340" s="671"/>
      <c r="T340" s="671"/>
      <c r="U340" s="671"/>
      <c r="V340" s="671"/>
      <c r="W340" s="671"/>
      <c r="X340" s="671"/>
      <c r="Y340" s="671"/>
      <c r="Z340" s="671"/>
      <c r="AA340" s="671"/>
      <c r="AB340" s="671"/>
    </row>
    <row r="341">
      <c r="A341" s="671"/>
      <c r="B341" s="671"/>
      <c r="C341" s="671"/>
      <c r="D341" s="671"/>
      <c r="E341" s="671"/>
      <c r="F341" s="671"/>
      <c r="G341" s="671"/>
      <c r="H341" s="671"/>
      <c r="I341" s="671"/>
      <c r="J341" s="671"/>
      <c r="K341" s="671"/>
      <c r="L341" s="671"/>
      <c r="M341" s="671"/>
      <c r="N341" s="671"/>
      <c r="O341" s="671"/>
      <c r="P341" s="671"/>
      <c r="Q341" s="671"/>
      <c r="R341" s="671"/>
      <c r="S341" s="671"/>
      <c r="T341" s="671"/>
      <c r="U341" s="671"/>
      <c r="V341" s="671"/>
      <c r="W341" s="671"/>
      <c r="X341" s="671"/>
      <c r="Y341" s="671"/>
      <c r="Z341" s="671"/>
      <c r="AA341" s="671"/>
      <c r="AB341" s="671"/>
    </row>
    <row r="342">
      <c r="A342" s="671"/>
      <c r="B342" s="671"/>
      <c r="C342" s="671"/>
      <c r="D342" s="671"/>
      <c r="E342" s="671"/>
      <c r="F342" s="671"/>
      <c r="G342" s="671"/>
      <c r="H342" s="671"/>
      <c r="I342" s="671"/>
      <c r="J342" s="671"/>
      <c r="K342" s="671"/>
      <c r="L342" s="671"/>
      <c r="M342" s="671"/>
      <c r="N342" s="671"/>
      <c r="O342" s="671"/>
      <c r="P342" s="671"/>
      <c r="Q342" s="671"/>
      <c r="R342" s="671"/>
      <c r="S342" s="671"/>
      <c r="T342" s="671"/>
      <c r="U342" s="671"/>
      <c r="V342" s="671"/>
      <c r="W342" s="671"/>
      <c r="X342" s="671"/>
      <c r="Y342" s="671"/>
      <c r="Z342" s="671"/>
      <c r="AA342" s="671"/>
      <c r="AB342" s="671"/>
    </row>
    <row r="343">
      <c r="A343" s="671"/>
      <c r="B343" s="671"/>
      <c r="C343" s="671"/>
      <c r="D343" s="671"/>
      <c r="E343" s="671"/>
      <c r="F343" s="671"/>
      <c r="G343" s="671"/>
      <c r="H343" s="671"/>
      <c r="I343" s="671"/>
      <c r="J343" s="671"/>
      <c r="K343" s="671"/>
      <c r="L343" s="671"/>
      <c r="M343" s="671"/>
      <c r="N343" s="671"/>
      <c r="O343" s="671"/>
      <c r="P343" s="671"/>
      <c r="Q343" s="671"/>
      <c r="R343" s="671"/>
      <c r="S343" s="671"/>
      <c r="T343" s="671"/>
      <c r="U343" s="671"/>
      <c r="V343" s="671"/>
      <c r="W343" s="671"/>
      <c r="X343" s="671"/>
      <c r="Y343" s="671"/>
      <c r="Z343" s="671"/>
      <c r="AA343" s="671"/>
      <c r="AB343" s="671"/>
    </row>
    <row r="344">
      <c r="A344" s="671"/>
      <c r="B344" s="671"/>
      <c r="C344" s="671"/>
      <c r="D344" s="671"/>
      <c r="E344" s="671"/>
      <c r="F344" s="671"/>
      <c r="G344" s="671"/>
      <c r="H344" s="671"/>
      <c r="I344" s="671"/>
      <c r="J344" s="671"/>
      <c r="K344" s="671"/>
      <c r="L344" s="671"/>
      <c r="M344" s="671"/>
      <c r="N344" s="671"/>
      <c r="O344" s="671"/>
      <c r="P344" s="671"/>
      <c r="Q344" s="671"/>
      <c r="R344" s="671"/>
      <c r="S344" s="671"/>
      <c r="T344" s="671"/>
      <c r="U344" s="671"/>
      <c r="V344" s="671"/>
      <c r="W344" s="671"/>
      <c r="X344" s="671"/>
      <c r="Y344" s="671"/>
      <c r="Z344" s="671"/>
      <c r="AA344" s="671"/>
      <c r="AB344" s="671"/>
    </row>
    <row r="345">
      <c r="A345" s="671"/>
      <c r="B345" s="671"/>
      <c r="C345" s="671"/>
      <c r="D345" s="671"/>
      <c r="E345" s="671"/>
      <c r="F345" s="671"/>
      <c r="G345" s="671"/>
      <c r="H345" s="671"/>
      <c r="I345" s="671"/>
      <c r="J345" s="671"/>
      <c r="K345" s="671"/>
      <c r="L345" s="671"/>
      <c r="M345" s="671"/>
      <c r="N345" s="671"/>
      <c r="O345" s="671"/>
      <c r="P345" s="671"/>
      <c r="Q345" s="671"/>
      <c r="R345" s="671"/>
      <c r="S345" s="671"/>
      <c r="T345" s="671"/>
      <c r="U345" s="671"/>
      <c r="V345" s="671"/>
      <c r="W345" s="671"/>
      <c r="X345" s="671"/>
      <c r="Y345" s="671"/>
      <c r="Z345" s="671"/>
      <c r="AA345" s="671"/>
      <c r="AB345" s="671"/>
    </row>
    <row r="346">
      <c r="A346" s="671"/>
      <c r="B346" s="671"/>
      <c r="C346" s="671"/>
      <c r="D346" s="671"/>
      <c r="E346" s="671"/>
      <c r="F346" s="671"/>
      <c r="G346" s="671"/>
      <c r="H346" s="671"/>
      <c r="I346" s="671"/>
      <c r="J346" s="671"/>
      <c r="K346" s="671"/>
      <c r="L346" s="671"/>
      <c r="M346" s="671"/>
      <c r="N346" s="671"/>
      <c r="O346" s="671"/>
      <c r="P346" s="671"/>
      <c r="Q346" s="671"/>
      <c r="R346" s="671"/>
      <c r="S346" s="671"/>
      <c r="T346" s="671"/>
      <c r="U346" s="671"/>
      <c r="V346" s="671"/>
      <c r="W346" s="671"/>
      <c r="X346" s="671"/>
      <c r="Y346" s="671"/>
      <c r="Z346" s="671"/>
      <c r="AA346" s="671"/>
      <c r="AB346" s="671"/>
    </row>
    <row r="347">
      <c r="A347" s="671"/>
      <c r="B347" s="671"/>
      <c r="C347" s="671"/>
      <c r="D347" s="671"/>
      <c r="E347" s="671"/>
      <c r="F347" s="671"/>
      <c r="G347" s="671"/>
      <c r="H347" s="671"/>
      <c r="I347" s="671"/>
      <c r="J347" s="671"/>
      <c r="K347" s="671"/>
      <c r="L347" s="671"/>
      <c r="M347" s="671"/>
      <c r="N347" s="671"/>
      <c r="O347" s="671"/>
      <c r="P347" s="671"/>
      <c r="Q347" s="671"/>
      <c r="R347" s="671"/>
      <c r="S347" s="671"/>
      <c r="T347" s="671"/>
      <c r="U347" s="671"/>
      <c r="V347" s="671"/>
      <c r="W347" s="671"/>
      <c r="X347" s="671"/>
      <c r="Y347" s="671"/>
      <c r="Z347" s="671"/>
      <c r="AA347" s="671"/>
      <c r="AB347" s="671"/>
    </row>
    <row r="348">
      <c r="A348" s="671"/>
      <c r="B348" s="671"/>
      <c r="C348" s="671"/>
      <c r="D348" s="671"/>
      <c r="E348" s="671"/>
      <c r="F348" s="671"/>
      <c r="G348" s="671"/>
      <c r="H348" s="671"/>
      <c r="I348" s="671"/>
      <c r="J348" s="671"/>
      <c r="K348" s="671"/>
      <c r="L348" s="671"/>
      <c r="M348" s="671"/>
      <c r="N348" s="671"/>
      <c r="O348" s="671"/>
      <c r="P348" s="671"/>
      <c r="Q348" s="671"/>
      <c r="R348" s="671"/>
      <c r="S348" s="671"/>
      <c r="T348" s="671"/>
      <c r="U348" s="671"/>
      <c r="V348" s="671"/>
      <c r="W348" s="671"/>
      <c r="X348" s="671"/>
      <c r="Y348" s="671"/>
      <c r="Z348" s="671"/>
      <c r="AA348" s="671"/>
      <c r="AB348" s="671"/>
    </row>
    <row r="349">
      <c r="A349" s="671"/>
      <c r="B349" s="671"/>
      <c r="C349" s="671"/>
      <c r="D349" s="671"/>
      <c r="E349" s="671"/>
      <c r="F349" s="671"/>
      <c r="G349" s="671"/>
      <c r="H349" s="671"/>
      <c r="I349" s="671"/>
      <c r="J349" s="671"/>
      <c r="K349" s="671"/>
      <c r="L349" s="671"/>
      <c r="M349" s="671"/>
      <c r="N349" s="671"/>
      <c r="O349" s="671"/>
      <c r="P349" s="671"/>
      <c r="Q349" s="671"/>
      <c r="R349" s="671"/>
      <c r="S349" s="671"/>
      <c r="T349" s="671"/>
      <c r="U349" s="671"/>
      <c r="V349" s="671"/>
      <c r="W349" s="671"/>
      <c r="X349" s="671"/>
      <c r="Y349" s="671"/>
      <c r="Z349" s="671"/>
      <c r="AA349" s="671"/>
      <c r="AB349" s="671"/>
    </row>
    <row r="350">
      <c r="A350" s="671"/>
      <c r="B350" s="671"/>
      <c r="C350" s="671"/>
      <c r="D350" s="671"/>
      <c r="E350" s="671"/>
      <c r="F350" s="671"/>
      <c r="G350" s="671"/>
      <c r="H350" s="671"/>
      <c r="I350" s="671"/>
      <c r="J350" s="671"/>
      <c r="K350" s="671"/>
      <c r="L350" s="671"/>
      <c r="M350" s="671"/>
      <c r="N350" s="671"/>
      <c r="O350" s="671"/>
      <c r="P350" s="671"/>
      <c r="Q350" s="671"/>
      <c r="R350" s="671"/>
      <c r="S350" s="671"/>
      <c r="T350" s="671"/>
      <c r="U350" s="671"/>
      <c r="V350" s="671"/>
      <c r="W350" s="671"/>
      <c r="X350" s="671"/>
      <c r="Y350" s="671"/>
      <c r="Z350" s="671"/>
      <c r="AA350" s="671"/>
      <c r="AB350" s="671"/>
    </row>
    <row r="351">
      <c r="A351" s="671"/>
      <c r="B351" s="671"/>
      <c r="C351" s="671"/>
      <c r="D351" s="671"/>
      <c r="E351" s="671"/>
      <c r="F351" s="671"/>
      <c r="G351" s="671"/>
      <c r="H351" s="671"/>
      <c r="I351" s="671"/>
      <c r="J351" s="671"/>
      <c r="K351" s="671"/>
      <c r="L351" s="671"/>
      <c r="M351" s="671"/>
      <c r="N351" s="671"/>
      <c r="O351" s="671"/>
      <c r="P351" s="671"/>
      <c r="Q351" s="671"/>
      <c r="R351" s="671"/>
      <c r="S351" s="671"/>
      <c r="T351" s="671"/>
      <c r="U351" s="671"/>
      <c r="V351" s="671"/>
      <c r="W351" s="671"/>
      <c r="X351" s="671"/>
      <c r="Y351" s="671"/>
      <c r="Z351" s="671"/>
      <c r="AA351" s="671"/>
      <c r="AB351" s="671"/>
    </row>
    <row r="352">
      <c r="A352" s="671"/>
      <c r="B352" s="671"/>
      <c r="C352" s="671"/>
      <c r="D352" s="671"/>
      <c r="E352" s="671"/>
      <c r="F352" s="671"/>
      <c r="G352" s="671"/>
      <c r="H352" s="671"/>
      <c r="I352" s="671"/>
      <c r="J352" s="671"/>
      <c r="K352" s="671"/>
      <c r="L352" s="671"/>
      <c r="M352" s="671"/>
      <c r="N352" s="671"/>
      <c r="O352" s="671"/>
      <c r="P352" s="671"/>
      <c r="Q352" s="671"/>
      <c r="R352" s="671"/>
      <c r="S352" s="671"/>
      <c r="T352" s="671"/>
      <c r="U352" s="671"/>
      <c r="V352" s="671"/>
      <c r="W352" s="671"/>
      <c r="X352" s="671"/>
      <c r="Y352" s="671"/>
      <c r="Z352" s="671"/>
      <c r="AA352" s="671"/>
      <c r="AB352" s="671"/>
    </row>
    <row r="353">
      <c r="A353" s="671"/>
      <c r="B353" s="671"/>
      <c r="C353" s="671"/>
      <c r="D353" s="671"/>
      <c r="E353" s="671"/>
      <c r="F353" s="671"/>
      <c r="G353" s="671"/>
      <c r="H353" s="671"/>
      <c r="I353" s="671"/>
      <c r="J353" s="671"/>
      <c r="K353" s="671"/>
      <c r="L353" s="671"/>
      <c r="M353" s="671"/>
      <c r="N353" s="671"/>
      <c r="O353" s="671"/>
      <c r="P353" s="671"/>
      <c r="Q353" s="671"/>
      <c r="R353" s="671"/>
      <c r="S353" s="671"/>
      <c r="T353" s="671"/>
      <c r="U353" s="671"/>
      <c r="V353" s="671"/>
      <c r="W353" s="671"/>
      <c r="X353" s="671"/>
      <c r="Y353" s="671"/>
      <c r="Z353" s="671"/>
      <c r="AA353" s="671"/>
      <c r="AB353" s="671"/>
    </row>
    <row r="354">
      <c r="A354" s="671"/>
      <c r="B354" s="671"/>
      <c r="C354" s="671"/>
      <c r="D354" s="671"/>
      <c r="E354" s="671"/>
      <c r="F354" s="671"/>
      <c r="G354" s="671"/>
      <c r="H354" s="671"/>
      <c r="I354" s="671"/>
      <c r="J354" s="671"/>
      <c r="K354" s="671"/>
      <c r="L354" s="671"/>
      <c r="M354" s="671"/>
      <c r="N354" s="671"/>
      <c r="O354" s="671"/>
      <c r="P354" s="671"/>
      <c r="Q354" s="671"/>
      <c r="R354" s="671"/>
      <c r="S354" s="671"/>
      <c r="T354" s="671"/>
      <c r="U354" s="671"/>
      <c r="V354" s="671"/>
      <c r="W354" s="671"/>
      <c r="X354" s="671"/>
      <c r="Y354" s="671"/>
      <c r="Z354" s="671"/>
      <c r="AA354" s="671"/>
      <c r="AB354" s="671"/>
    </row>
    <row r="355">
      <c r="A355" s="671"/>
      <c r="B355" s="671"/>
      <c r="C355" s="671"/>
      <c r="D355" s="671"/>
      <c r="E355" s="671"/>
      <c r="F355" s="671"/>
      <c r="G355" s="671"/>
      <c r="H355" s="671"/>
      <c r="I355" s="671"/>
      <c r="J355" s="671"/>
      <c r="K355" s="671"/>
      <c r="L355" s="671"/>
      <c r="M355" s="671"/>
      <c r="N355" s="671"/>
      <c r="O355" s="671"/>
      <c r="P355" s="671"/>
      <c r="Q355" s="671"/>
      <c r="R355" s="671"/>
      <c r="S355" s="671"/>
      <c r="T355" s="671"/>
      <c r="U355" s="671"/>
      <c r="V355" s="671"/>
      <c r="W355" s="671"/>
      <c r="X355" s="671"/>
      <c r="Y355" s="671"/>
      <c r="Z355" s="671"/>
      <c r="AA355" s="671"/>
      <c r="AB355" s="671"/>
    </row>
    <row r="356">
      <c r="A356" s="671"/>
      <c r="B356" s="671"/>
      <c r="C356" s="671"/>
      <c r="D356" s="671"/>
      <c r="E356" s="671"/>
      <c r="F356" s="671"/>
      <c r="G356" s="671"/>
      <c r="H356" s="671"/>
      <c r="I356" s="671"/>
      <c r="J356" s="671"/>
      <c r="K356" s="671"/>
      <c r="L356" s="671"/>
      <c r="M356" s="671"/>
      <c r="N356" s="671"/>
      <c r="O356" s="671"/>
      <c r="P356" s="671"/>
      <c r="Q356" s="671"/>
      <c r="R356" s="671"/>
      <c r="S356" s="671"/>
      <c r="T356" s="671"/>
      <c r="U356" s="671"/>
      <c r="V356" s="671"/>
      <c r="W356" s="671"/>
      <c r="X356" s="671"/>
      <c r="Y356" s="671"/>
      <c r="Z356" s="671"/>
      <c r="AA356" s="671"/>
      <c r="AB356" s="671"/>
    </row>
    <row r="357">
      <c r="A357" s="671"/>
      <c r="B357" s="671"/>
      <c r="C357" s="671"/>
      <c r="D357" s="671"/>
      <c r="E357" s="671"/>
      <c r="F357" s="671"/>
      <c r="G357" s="671"/>
      <c r="H357" s="671"/>
      <c r="I357" s="671"/>
      <c r="J357" s="671"/>
      <c r="K357" s="671"/>
      <c r="L357" s="671"/>
      <c r="M357" s="671"/>
      <c r="N357" s="671"/>
      <c r="O357" s="671"/>
      <c r="P357" s="671"/>
      <c r="Q357" s="671"/>
      <c r="R357" s="671"/>
      <c r="S357" s="671"/>
      <c r="T357" s="671"/>
      <c r="U357" s="671"/>
      <c r="V357" s="671"/>
      <c r="W357" s="671"/>
      <c r="X357" s="671"/>
      <c r="Y357" s="671"/>
      <c r="Z357" s="671"/>
      <c r="AA357" s="671"/>
      <c r="AB357" s="671"/>
    </row>
    <row r="358">
      <c r="A358" s="671"/>
      <c r="B358" s="671"/>
      <c r="C358" s="671"/>
      <c r="D358" s="671"/>
      <c r="E358" s="671"/>
      <c r="F358" s="671"/>
      <c r="G358" s="671"/>
      <c r="H358" s="671"/>
      <c r="I358" s="671"/>
      <c r="J358" s="671"/>
      <c r="K358" s="671"/>
      <c r="L358" s="671"/>
      <c r="M358" s="671"/>
      <c r="N358" s="671"/>
      <c r="O358" s="671"/>
      <c r="P358" s="671"/>
      <c r="Q358" s="671"/>
      <c r="R358" s="671"/>
      <c r="S358" s="671"/>
      <c r="T358" s="671"/>
      <c r="U358" s="671"/>
      <c r="V358" s="671"/>
      <c r="W358" s="671"/>
      <c r="X358" s="671"/>
      <c r="Y358" s="671"/>
      <c r="Z358" s="671"/>
      <c r="AA358" s="671"/>
      <c r="AB358" s="671"/>
    </row>
    <row r="359">
      <c r="A359" s="671"/>
      <c r="B359" s="671"/>
      <c r="C359" s="671"/>
      <c r="D359" s="671"/>
      <c r="E359" s="671"/>
      <c r="F359" s="671"/>
      <c r="G359" s="671"/>
      <c r="H359" s="671"/>
      <c r="I359" s="671"/>
      <c r="J359" s="671"/>
      <c r="K359" s="671"/>
      <c r="L359" s="671"/>
      <c r="M359" s="671"/>
      <c r="N359" s="671"/>
      <c r="O359" s="671"/>
      <c r="P359" s="671"/>
      <c r="Q359" s="671"/>
      <c r="R359" s="671"/>
      <c r="S359" s="671"/>
      <c r="T359" s="671"/>
      <c r="U359" s="671"/>
      <c r="V359" s="671"/>
      <c r="W359" s="671"/>
      <c r="X359" s="671"/>
      <c r="Y359" s="671"/>
      <c r="Z359" s="671"/>
      <c r="AA359" s="671"/>
      <c r="AB359" s="671"/>
    </row>
    <row r="360">
      <c r="A360" s="671"/>
      <c r="B360" s="671"/>
      <c r="C360" s="671"/>
      <c r="D360" s="671"/>
      <c r="E360" s="671"/>
      <c r="F360" s="671"/>
      <c r="G360" s="671"/>
      <c r="H360" s="671"/>
      <c r="I360" s="671"/>
      <c r="J360" s="671"/>
      <c r="K360" s="671"/>
      <c r="L360" s="671"/>
      <c r="M360" s="671"/>
      <c r="N360" s="671"/>
      <c r="O360" s="671"/>
      <c r="P360" s="671"/>
      <c r="Q360" s="671"/>
      <c r="R360" s="671"/>
      <c r="S360" s="671"/>
      <c r="T360" s="671"/>
      <c r="U360" s="671"/>
      <c r="V360" s="671"/>
      <c r="W360" s="671"/>
      <c r="X360" s="671"/>
      <c r="Y360" s="671"/>
      <c r="Z360" s="671"/>
      <c r="AA360" s="671"/>
      <c r="AB360" s="671"/>
    </row>
    <row r="361">
      <c r="A361" s="671"/>
      <c r="B361" s="671"/>
      <c r="C361" s="671"/>
      <c r="D361" s="671"/>
      <c r="E361" s="671"/>
      <c r="F361" s="671"/>
      <c r="G361" s="671"/>
      <c r="H361" s="671"/>
      <c r="I361" s="671"/>
      <c r="J361" s="671"/>
      <c r="K361" s="671"/>
      <c r="L361" s="671"/>
      <c r="M361" s="671"/>
      <c r="N361" s="671"/>
      <c r="O361" s="671"/>
      <c r="P361" s="671"/>
      <c r="Q361" s="671"/>
      <c r="R361" s="671"/>
      <c r="S361" s="671"/>
      <c r="T361" s="671"/>
      <c r="U361" s="671"/>
      <c r="V361" s="671"/>
      <c r="W361" s="671"/>
      <c r="X361" s="671"/>
      <c r="Y361" s="671"/>
      <c r="Z361" s="671"/>
      <c r="AA361" s="671"/>
      <c r="AB361" s="671"/>
    </row>
    <row r="362">
      <c r="A362" s="671"/>
      <c r="B362" s="671"/>
      <c r="C362" s="671"/>
      <c r="D362" s="671"/>
      <c r="E362" s="671"/>
      <c r="F362" s="671"/>
      <c r="G362" s="671"/>
      <c r="H362" s="671"/>
      <c r="I362" s="671"/>
      <c r="J362" s="671"/>
      <c r="K362" s="671"/>
      <c r="L362" s="671"/>
      <c r="M362" s="671"/>
      <c r="N362" s="671"/>
      <c r="O362" s="671"/>
      <c r="P362" s="671"/>
      <c r="Q362" s="671"/>
      <c r="R362" s="671"/>
      <c r="S362" s="671"/>
      <c r="T362" s="671"/>
      <c r="U362" s="671"/>
      <c r="V362" s="671"/>
      <c r="W362" s="671"/>
      <c r="X362" s="671"/>
      <c r="Y362" s="671"/>
      <c r="Z362" s="671"/>
      <c r="AA362" s="671"/>
      <c r="AB362" s="671"/>
    </row>
    <row r="363">
      <c r="A363" s="671"/>
      <c r="B363" s="671"/>
      <c r="C363" s="671"/>
      <c r="D363" s="671"/>
      <c r="E363" s="671"/>
      <c r="F363" s="671"/>
      <c r="G363" s="671"/>
      <c r="H363" s="671"/>
      <c r="I363" s="671"/>
      <c r="J363" s="671"/>
      <c r="K363" s="671"/>
      <c r="L363" s="671"/>
      <c r="M363" s="671"/>
      <c r="N363" s="671"/>
      <c r="O363" s="671"/>
      <c r="P363" s="671"/>
      <c r="Q363" s="671"/>
      <c r="R363" s="671"/>
      <c r="S363" s="671"/>
      <c r="T363" s="671"/>
      <c r="U363" s="671"/>
      <c r="V363" s="671"/>
      <c r="W363" s="671"/>
      <c r="X363" s="671"/>
      <c r="Y363" s="671"/>
      <c r="Z363" s="671"/>
      <c r="AA363" s="671"/>
      <c r="AB363" s="671"/>
    </row>
    <row r="364">
      <c r="A364" s="671"/>
      <c r="B364" s="671"/>
      <c r="C364" s="671"/>
      <c r="D364" s="671"/>
      <c r="E364" s="671"/>
      <c r="F364" s="671"/>
      <c r="G364" s="671"/>
      <c r="H364" s="671"/>
      <c r="I364" s="671"/>
      <c r="J364" s="671"/>
      <c r="K364" s="671"/>
      <c r="L364" s="671"/>
      <c r="M364" s="671"/>
      <c r="N364" s="671"/>
      <c r="O364" s="671"/>
      <c r="P364" s="671"/>
      <c r="Q364" s="671"/>
      <c r="R364" s="671"/>
      <c r="S364" s="671"/>
      <c r="T364" s="671"/>
      <c r="U364" s="671"/>
      <c r="V364" s="671"/>
      <c r="W364" s="671"/>
      <c r="X364" s="671"/>
      <c r="Y364" s="671"/>
      <c r="Z364" s="671"/>
      <c r="AA364" s="671"/>
      <c r="AB364" s="671"/>
    </row>
    <row r="365">
      <c r="A365" s="671"/>
      <c r="B365" s="671"/>
      <c r="C365" s="671"/>
      <c r="D365" s="671"/>
      <c r="E365" s="671"/>
      <c r="F365" s="671"/>
      <c r="G365" s="671"/>
      <c r="H365" s="671"/>
      <c r="I365" s="671"/>
      <c r="J365" s="671"/>
      <c r="K365" s="671"/>
      <c r="L365" s="671"/>
      <c r="M365" s="671"/>
      <c r="N365" s="671"/>
      <c r="O365" s="671"/>
      <c r="P365" s="671"/>
      <c r="Q365" s="671"/>
      <c r="R365" s="671"/>
      <c r="S365" s="671"/>
      <c r="T365" s="671"/>
      <c r="U365" s="671"/>
      <c r="V365" s="671"/>
      <c r="W365" s="671"/>
      <c r="X365" s="671"/>
      <c r="Y365" s="671"/>
      <c r="Z365" s="671"/>
      <c r="AA365" s="671"/>
      <c r="AB365" s="671"/>
    </row>
    <row r="366">
      <c r="A366" s="671"/>
      <c r="B366" s="671"/>
      <c r="C366" s="671"/>
      <c r="D366" s="671"/>
      <c r="E366" s="671"/>
      <c r="F366" s="671"/>
      <c r="G366" s="671"/>
      <c r="H366" s="671"/>
      <c r="I366" s="671"/>
      <c r="J366" s="671"/>
      <c r="K366" s="671"/>
      <c r="L366" s="671"/>
      <c r="M366" s="671"/>
      <c r="N366" s="671"/>
      <c r="O366" s="671"/>
      <c r="P366" s="671"/>
      <c r="Q366" s="671"/>
      <c r="R366" s="671"/>
      <c r="S366" s="671"/>
      <c r="T366" s="671"/>
      <c r="U366" s="671"/>
      <c r="V366" s="671"/>
      <c r="W366" s="671"/>
      <c r="X366" s="671"/>
      <c r="Y366" s="671"/>
      <c r="Z366" s="671"/>
      <c r="AA366" s="671"/>
      <c r="AB366" s="671"/>
    </row>
    <row r="367">
      <c r="A367" s="671"/>
      <c r="B367" s="671"/>
      <c r="C367" s="671"/>
      <c r="D367" s="671"/>
      <c r="E367" s="671"/>
      <c r="F367" s="671"/>
      <c r="G367" s="671"/>
      <c r="H367" s="671"/>
      <c r="I367" s="671"/>
      <c r="J367" s="671"/>
      <c r="K367" s="671"/>
      <c r="L367" s="671"/>
      <c r="M367" s="671"/>
      <c r="N367" s="671"/>
      <c r="O367" s="671"/>
      <c r="P367" s="671"/>
      <c r="Q367" s="671"/>
      <c r="R367" s="671"/>
      <c r="S367" s="671"/>
      <c r="T367" s="671"/>
      <c r="U367" s="671"/>
      <c r="V367" s="671"/>
      <c r="W367" s="671"/>
      <c r="X367" s="671"/>
      <c r="Y367" s="671"/>
      <c r="Z367" s="671"/>
      <c r="AA367" s="671"/>
      <c r="AB367" s="671"/>
    </row>
    <row r="368">
      <c r="A368" s="671"/>
      <c r="B368" s="671"/>
      <c r="C368" s="671"/>
      <c r="D368" s="671"/>
      <c r="E368" s="671"/>
      <c r="F368" s="671"/>
      <c r="G368" s="671"/>
      <c r="H368" s="671"/>
      <c r="I368" s="671"/>
      <c r="J368" s="671"/>
      <c r="K368" s="671"/>
      <c r="L368" s="671"/>
      <c r="M368" s="671"/>
      <c r="N368" s="671"/>
      <c r="O368" s="671"/>
      <c r="P368" s="671"/>
      <c r="Q368" s="671"/>
      <c r="R368" s="671"/>
      <c r="S368" s="671"/>
      <c r="T368" s="671"/>
      <c r="U368" s="671"/>
      <c r="V368" s="671"/>
      <c r="W368" s="671"/>
      <c r="X368" s="671"/>
      <c r="Y368" s="671"/>
      <c r="Z368" s="671"/>
      <c r="AA368" s="671"/>
      <c r="AB368" s="671"/>
    </row>
    <row r="369">
      <c r="A369" s="671"/>
      <c r="B369" s="671"/>
      <c r="C369" s="671"/>
      <c r="D369" s="671"/>
      <c r="E369" s="671"/>
      <c r="F369" s="671"/>
      <c r="G369" s="671"/>
      <c r="H369" s="671"/>
      <c r="I369" s="671"/>
      <c r="J369" s="671"/>
      <c r="K369" s="671"/>
      <c r="L369" s="671"/>
      <c r="M369" s="671"/>
      <c r="N369" s="671"/>
      <c r="O369" s="671"/>
      <c r="P369" s="671"/>
      <c r="Q369" s="671"/>
      <c r="R369" s="671"/>
      <c r="S369" s="671"/>
      <c r="T369" s="671"/>
      <c r="U369" s="671"/>
      <c r="V369" s="671"/>
      <c r="W369" s="671"/>
      <c r="X369" s="671"/>
      <c r="Y369" s="671"/>
      <c r="Z369" s="671"/>
      <c r="AA369" s="671"/>
      <c r="AB369" s="671"/>
    </row>
    <row r="370">
      <c r="A370" s="671"/>
      <c r="B370" s="671"/>
      <c r="C370" s="671"/>
      <c r="D370" s="671"/>
      <c r="E370" s="671"/>
      <c r="F370" s="671"/>
      <c r="G370" s="671"/>
      <c r="H370" s="671"/>
      <c r="I370" s="671"/>
      <c r="J370" s="671"/>
      <c r="K370" s="671"/>
      <c r="L370" s="671"/>
      <c r="M370" s="671"/>
      <c r="N370" s="671"/>
      <c r="O370" s="671"/>
      <c r="P370" s="671"/>
      <c r="Q370" s="671"/>
      <c r="R370" s="671"/>
      <c r="S370" s="671"/>
      <c r="T370" s="671"/>
      <c r="U370" s="671"/>
      <c r="V370" s="671"/>
      <c r="W370" s="671"/>
      <c r="X370" s="671"/>
      <c r="Y370" s="671"/>
      <c r="Z370" s="671"/>
      <c r="AA370" s="671"/>
      <c r="AB370" s="671"/>
    </row>
    <row r="371">
      <c r="A371" s="671"/>
      <c r="B371" s="671"/>
      <c r="C371" s="671"/>
      <c r="D371" s="671"/>
      <c r="E371" s="671"/>
      <c r="F371" s="671"/>
      <c r="G371" s="671"/>
      <c r="H371" s="671"/>
      <c r="I371" s="671"/>
      <c r="J371" s="671"/>
      <c r="K371" s="671"/>
      <c r="L371" s="671"/>
      <c r="M371" s="671"/>
      <c r="N371" s="671"/>
      <c r="O371" s="671"/>
      <c r="P371" s="671"/>
      <c r="Q371" s="671"/>
      <c r="R371" s="671"/>
      <c r="S371" s="671"/>
      <c r="T371" s="671"/>
      <c r="U371" s="671"/>
      <c r="V371" s="671"/>
      <c r="W371" s="671"/>
      <c r="X371" s="671"/>
      <c r="Y371" s="671"/>
      <c r="Z371" s="671"/>
      <c r="AA371" s="671"/>
      <c r="AB371" s="671"/>
    </row>
    <row r="372">
      <c r="A372" s="671"/>
      <c r="B372" s="671"/>
      <c r="C372" s="671"/>
      <c r="D372" s="671"/>
      <c r="E372" s="671"/>
      <c r="F372" s="671"/>
      <c r="G372" s="671"/>
      <c r="H372" s="671"/>
      <c r="I372" s="671"/>
      <c r="J372" s="671"/>
      <c r="K372" s="671"/>
      <c r="L372" s="671"/>
      <c r="M372" s="671"/>
      <c r="N372" s="671"/>
      <c r="O372" s="671"/>
      <c r="P372" s="671"/>
      <c r="Q372" s="671"/>
      <c r="R372" s="671"/>
      <c r="S372" s="671"/>
      <c r="T372" s="671"/>
      <c r="U372" s="671"/>
      <c r="V372" s="671"/>
      <c r="W372" s="671"/>
      <c r="X372" s="671"/>
      <c r="Y372" s="671"/>
      <c r="Z372" s="671"/>
      <c r="AA372" s="671"/>
      <c r="AB372" s="671"/>
    </row>
    <row r="373">
      <c r="A373" s="671"/>
      <c r="B373" s="671"/>
      <c r="C373" s="671"/>
      <c r="D373" s="671"/>
      <c r="E373" s="671"/>
      <c r="F373" s="671"/>
      <c r="G373" s="671"/>
      <c r="H373" s="671"/>
      <c r="I373" s="671"/>
      <c r="J373" s="671"/>
      <c r="K373" s="671"/>
      <c r="L373" s="671"/>
      <c r="M373" s="671"/>
      <c r="N373" s="671"/>
      <c r="O373" s="671"/>
      <c r="P373" s="671"/>
      <c r="Q373" s="671"/>
      <c r="R373" s="671"/>
      <c r="S373" s="671"/>
      <c r="T373" s="671"/>
      <c r="U373" s="671"/>
      <c r="V373" s="671"/>
      <c r="W373" s="671"/>
      <c r="X373" s="671"/>
      <c r="Y373" s="671"/>
      <c r="Z373" s="671"/>
      <c r="AA373" s="671"/>
      <c r="AB373" s="671"/>
    </row>
    <row r="374">
      <c r="A374" s="671"/>
      <c r="B374" s="671"/>
      <c r="C374" s="671"/>
      <c r="D374" s="671"/>
      <c r="E374" s="671"/>
      <c r="F374" s="671"/>
      <c r="G374" s="671"/>
      <c r="H374" s="671"/>
      <c r="I374" s="671"/>
      <c r="J374" s="671"/>
      <c r="K374" s="671"/>
      <c r="L374" s="671"/>
      <c r="M374" s="671"/>
      <c r="N374" s="671"/>
      <c r="O374" s="671"/>
      <c r="P374" s="671"/>
      <c r="Q374" s="671"/>
      <c r="R374" s="671"/>
      <c r="S374" s="671"/>
      <c r="T374" s="671"/>
      <c r="U374" s="671"/>
      <c r="V374" s="671"/>
      <c r="W374" s="671"/>
      <c r="X374" s="671"/>
      <c r="Y374" s="671"/>
      <c r="Z374" s="671"/>
      <c r="AA374" s="671"/>
      <c r="AB374" s="671"/>
    </row>
    <row r="375">
      <c r="A375" s="671"/>
      <c r="B375" s="671"/>
      <c r="C375" s="671"/>
      <c r="D375" s="671"/>
      <c r="E375" s="671"/>
      <c r="F375" s="671"/>
      <c r="G375" s="671"/>
      <c r="H375" s="671"/>
      <c r="I375" s="671"/>
      <c r="J375" s="671"/>
      <c r="K375" s="671"/>
      <c r="L375" s="671"/>
      <c r="M375" s="671"/>
      <c r="N375" s="671"/>
      <c r="O375" s="671"/>
      <c r="P375" s="671"/>
      <c r="Q375" s="671"/>
      <c r="R375" s="671"/>
      <c r="S375" s="671"/>
      <c r="T375" s="671"/>
      <c r="U375" s="671"/>
      <c r="V375" s="671"/>
      <c r="W375" s="671"/>
      <c r="X375" s="671"/>
      <c r="Y375" s="671"/>
      <c r="Z375" s="671"/>
      <c r="AA375" s="671"/>
      <c r="AB375" s="671"/>
    </row>
    <row r="376">
      <c r="A376" s="671"/>
      <c r="B376" s="671"/>
      <c r="C376" s="671"/>
      <c r="D376" s="671"/>
      <c r="E376" s="671"/>
      <c r="F376" s="671"/>
      <c r="G376" s="671"/>
      <c r="H376" s="671"/>
      <c r="I376" s="671"/>
      <c r="J376" s="671"/>
      <c r="K376" s="671"/>
      <c r="L376" s="671"/>
      <c r="M376" s="671"/>
      <c r="N376" s="671"/>
      <c r="O376" s="671"/>
      <c r="P376" s="671"/>
      <c r="Q376" s="671"/>
      <c r="R376" s="671"/>
      <c r="S376" s="671"/>
      <c r="T376" s="671"/>
      <c r="U376" s="671"/>
      <c r="V376" s="671"/>
      <c r="W376" s="671"/>
      <c r="X376" s="671"/>
      <c r="Y376" s="671"/>
      <c r="Z376" s="671"/>
      <c r="AA376" s="671"/>
      <c r="AB376" s="671"/>
    </row>
    <row r="377">
      <c r="A377" s="671"/>
      <c r="B377" s="671"/>
      <c r="C377" s="671"/>
      <c r="D377" s="671"/>
      <c r="E377" s="671"/>
      <c r="F377" s="671"/>
      <c r="G377" s="671"/>
      <c r="H377" s="671"/>
      <c r="I377" s="671"/>
      <c r="J377" s="671"/>
      <c r="K377" s="671"/>
      <c r="L377" s="671"/>
      <c r="M377" s="671"/>
      <c r="N377" s="671"/>
      <c r="O377" s="671"/>
      <c r="P377" s="671"/>
      <c r="Q377" s="671"/>
      <c r="R377" s="671"/>
      <c r="S377" s="671"/>
      <c r="T377" s="671"/>
      <c r="U377" s="671"/>
      <c r="V377" s="671"/>
      <c r="W377" s="671"/>
      <c r="X377" s="671"/>
      <c r="Y377" s="671"/>
      <c r="Z377" s="671"/>
      <c r="AA377" s="671"/>
      <c r="AB377" s="671"/>
    </row>
    <row r="378">
      <c r="A378" s="671"/>
      <c r="B378" s="671"/>
      <c r="C378" s="671"/>
      <c r="D378" s="671"/>
      <c r="E378" s="671"/>
      <c r="F378" s="671"/>
      <c r="G378" s="671"/>
      <c r="H378" s="671"/>
      <c r="I378" s="671"/>
      <c r="J378" s="671"/>
      <c r="K378" s="671"/>
      <c r="L378" s="671"/>
      <c r="M378" s="671"/>
      <c r="N378" s="671"/>
      <c r="O378" s="671"/>
      <c r="P378" s="671"/>
      <c r="Q378" s="671"/>
      <c r="R378" s="671"/>
      <c r="S378" s="671"/>
      <c r="T378" s="671"/>
      <c r="U378" s="671"/>
      <c r="V378" s="671"/>
      <c r="W378" s="671"/>
      <c r="X378" s="671"/>
      <c r="Y378" s="671"/>
      <c r="Z378" s="671"/>
      <c r="AA378" s="671"/>
      <c r="AB378" s="671"/>
    </row>
    <row r="379">
      <c r="A379" s="671"/>
      <c r="B379" s="671"/>
      <c r="C379" s="671"/>
      <c r="D379" s="671"/>
      <c r="E379" s="671"/>
      <c r="F379" s="671"/>
      <c r="G379" s="671"/>
      <c r="H379" s="671"/>
      <c r="I379" s="671"/>
      <c r="J379" s="671"/>
      <c r="K379" s="671"/>
      <c r="L379" s="671"/>
      <c r="M379" s="671"/>
      <c r="N379" s="671"/>
      <c r="O379" s="671"/>
      <c r="P379" s="671"/>
      <c r="Q379" s="671"/>
      <c r="R379" s="671"/>
      <c r="S379" s="671"/>
      <c r="T379" s="671"/>
      <c r="U379" s="671"/>
      <c r="V379" s="671"/>
      <c r="W379" s="671"/>
      <c r="X379" s="671"/>
      <c r="Y379" s="671"/>
      <c r="Z379" s="671"/>
      <c r="AA379" s="671"/>
      <c r="AB379" s="671"/>
    </row>
    <row r="380">
      <c r="A380" s="671"/>
      <c r="B380" s="671"/>
      <c r="C380" s="671"/>
      <c r="D380" s="671"/>
      <c r="E380" s="671"/>
      <c r="F380" s="671"/>
      <c r="G380" s="671"/>
      <c r="H380" s="671"/>
      <c r="I380" s="671"/>
      <c r="J380" s="671"/>
      <c r="K380" s="671"/>
      <c r="L380" s="671"/>
      <c r="M380" s="671"/>
      <c r="N380" s="671"/>
      <c r="O380" s="671"/>
      <c r="P380" s="671"/>
      <c r="Q380" s="671"/>
      <c r="R380" s="671"/>
      <c r="S380" s="671"/>
      <c r="T380" s="671"/>
      <c r="U380" s="671"/>
      <c r="V380" s="671"/>
      <c r="W380" s="671"/>
      <c r="X380" s="671"/>
      <c r="Y380" s="671"/>
      <c r="Z380" s="671"/>
      <c r="AA380" s="671"/>
      <c r="AB380" s="671"/>
    </row>
    <row r="381">
      <c r="A381" s="671"/>
      <c r="B381" s="671"/>
      <c r="C381" s="671"/>
      <c r="D381" s="671"/>
      <c r="E381" s="671"/>
      <c r="F381" s="671"/>
      <c r="G381" s="671"/>
      <c r="H381" s="671"/>
      <c r="I381" s="671"/>
      <c r="J381" s="671"/>
      <c r="K381" s="671"/>
      <c r="L381" s="671"/>
      <c r="M381" s="671"/>
      <c r="N381" s="671"/>
      <c r="O381" s="671"/>
      <c r="P381" s="671"/>
      <c r="Q381" s="671"/>
      <c r="R381" s="671"/>
      <c r="S381" s="671"/>
      <c r="T381" s="671"/>
      <c r="U381" s="671"/>
      <c r="V381" s="671"/>
      <c r="W381" s="671"/>
      <c r="X381" s="671"/>
      <c r="Y381" s="671"/>
      <c r="Z381" s="671"/>
      <c r="AA381" s="671"/>
      <c r="AB381" s="671"/>
    </row>
    <row r="382">
      <c r="A382" s="671"/>
      <c r="B382" s="671"/>
      <c r="C382" s="671"/>
      <c r="D382" s="671"/>
      <c r="E382" s="671"/>
      <c r="F382" s="671"/>
      <c r="G382" s="671"/>
      <c r="H382" s="671"/>
      <c r="I382" s="671"/>
      <c r="J382" s="671"/>
      <c r="K382" s="671"/>
      <c r="L382" s="671"/>
      <c r="M382" s="671"/>
      <c r="N382" s="671"/>
      <c r="O382" s="671"/>
      <c r="P382" s="671"/>
      <c r="Q382" s="671"/>
      <c r="R382" s="671"/>
      <c r="S382" s="671"/>
      <c r="T382" s="671"/>
      <c r="U382" s="671"/>
      <c r="V382" s="671"/>
      <c r="W382" s="671"/>
      <c r="X382" s="671"/>
      <c r="Y382" s="671"/>
      <c r="Z382" s="671"/>
      <c r="AA382" s="671"/>
      <c r="AB382" s="671"/>
    </row>
    <row r="383">
      <c r="A383" s="671"/>
      <c r="B383" s="671"/>
      <c r="C383" s="671"/>
      <c r="D383" s="671"/>
      <c r="E383" s="671"/>
      <c r="F383" s="671"/>
      <c r="G383" s="671"/>
      <c r="H383" s="671"/>
      <c r="I383" s="671"/>
      <c r="J383" s="671"/>
      <c r="K383" s="671"/>
      <c r="L383" s="671"/>
      <c r="M383" s="671"/>
      <c r="N383" s="671"/>
      <c r="O383" s="671"/>
      <c r="P383" s="671"/>
      <c r="Q383" s="671"/>
      <c r="R383" s="671"/>
      <c r="S383" s="671"/>
      <c r="T383" s="671"/>
      <c r="U383" s="671"/>
      <c r="V383" s="671"/>
      <c r="W383" s="671"/>
      <c r="X383" s="671"/>
      <c r="Y383" s="671"/>
      <c r="Z383" s="671"/>
      <c r="AA383" s="671"/>
      <c r="AB383" s="671"/>
    </row>
    <row r="384">
      <c r="A384" s="671"/>
      <c r="B384" s="671"/>
      <c r="C384" s="671"/>
      <c r="D384" s="671"/>
      <c r="E384" s="671"/>
      <c r="F384" s="671"/>
      <c r="G384" s="671"/>
      <c r="H384" s="671"/>
      <c r="I384" s="671"/>
      <c r="J384" s="671"/>
      <c r="K384" s="671"/>
      <c r="L384" s="671"/>
      <c r="M384" s="671"/>
      <c r="N384" s="671"/>
      <c r="O384" s="671"/>
      <c r="P384" s="671"/>
      <c r="Q384" s="671"/>
      <c r="R384" s="671"/>
      <c r="S384" s="671"/>
      <c r="T384" s="671"/>
      <c r="U384" s="671"/>
      <c r="V384" s="671"/>
      <c r="W384" s="671"/>
      <c r="X384" s="671"/>
      <c r="Y384" s="671"/>
      <c r="Z384" s="671"/>
      <c r="AA384" s="671"/>
      <c r="AB384" s="671"/>
    </row>
    <row r="385">
      <c r="A385" s="671"/>
      <c r="B385" s="671"/>
      <c r="C385" s="671"/>
      <c r="D385" s="671"/>
      <c r="E385" s="671"/>
      <c r="F385" s="671"/>
      <c r="G385" s="671"/>
      <c r="H385" s="671"/>
      <c r="I385" s="671"/>
      <c r="J385" s="671"/>
      <c r="K385" s="671"/>
      <c r="L385" s="671"/>
      <c r="M385" s="671"/>
      <c r="N385" s="671"/>
      <c r="O385" s="671"/>
      <c r="P385" s="671"/>
      <c r="Q385" s="671"/>
      <c r="R385" s="671"/>
      <c r="S385" s="671"/>
      <c r="T385" s="671"/>
      <c r="U385" s="671"/>
      <c r="V385" s="671"/>
      <c r="W385" s="671"/>
      <c r="X385" s="671"/>
      <c r="Y385" s="671"/>
      <c r="Z385" s="671"/>
      <c r="AA385" s="671"/>
      <c r="AB385" s="671"/>
    </row>
    <row r="386">
      <c r="A386" s="671"/>
      <c r="B386" s="671"/>
      <c r="C386" s="671"/>
      <c r="D386" s="671"/>
      <c r="E386" s="671"/>
      <c r="F386" s="671"/>
      <c r="G386" s="671"/>
      <c r="H386" s="671"/>
      <c r="I386" s="671"/>
      <c r="J386" s="671"/>
      <c r="K386" s="671"/>
      <c r="L386" s="671"/>
      <c r="M386" s="671"/>
      <c r="N386" s="671"/>
      <c r="O386" s="671"/>
      <c r="P386" s="671"/>
      <c r="Q386" s="671"/>
      <c r="R386" s="671"/>
      <c r="S386" s="671"/>
      <c r="T386" s="671"/>
      <c r="U386" s="671"/>
      <c r="V386" s="671"/>
      <c r="W386" s="671"/>
      <c r="X386" s="671"/>
      <c r="Y386" s="671"/>
      <c r="Z386" s="671"/>
      <c r="AA386" s="671"/>
      <c r="AB386" s="671"/>
    </row>
    <row r="387">
      <c r="A387" s="671"/>
      <c r="B387" s="671"/>
      <c r="C387" s="671"/>
      <c r="D387" s="671"/>
      <c r="E387" s="671"/>
      <c r="F387" s="671"/>
      <c r="G387" s="671"/>
      <c r="H387" s="671"/>
      <c r="I387" s="671"/>
      <c r="J387" s="671"/>
      <c r="K387" s="671"/>
      <c r="L387" s="671"/>
      <c r="M387" s="671"/>
      <c r="N387" s="671"/>
      <c r="O387" s="671"/>
      <c r="P387" s="671"/>
      <c r="Q387" s="671"/>
      <c r="R387" s="671"/>
      <c r="S387" s="671"/>
      <c r="T387" s="671"/>
      <c r="U387" s="671"/>
      <c r="V387" s="671"/>
      <c r="W387" s="671"/>
      <c r="X387" s="671"/>
      <c r="Y387" s="671"/>
      <c r="Z387" s="671"/>
      <c r="AA387" s="671"/>
      <c r="AB387" s="671"/>
    </row>
    <row r="388">
      <c r="A388" s="671"/>
      <c r="B388" s="671"/>
      <c r="C388" s="671"/>
      <c r="D388" s="671"/>
      <c r="E388" s="671"/>
      <c r="F388" s="671"/>
      <c r="G388" s="671"/>
      <c r="H388" s="671"/>
      <c r="I388" s="671"/>
      <c r="J388" s="671"/>
      <c r="K388" s="671"/>
      <c r="L388" s="671"/>
      <c r="M388" s="671"/>
      <c r="N388" s="671"/>
      <c r="O388" s="671"/>
      <c r="P388" s="671"/>
      <c r="Q388" s="671"/>
      <c r="R388" s="671"/>
      <c r="S388" s="671"/>
      <c r="T388" s="671"/>
      <c r="U388" s="671"/>
      <c r="V388" s="671"/>
      <c r="W388" s="671"/>
      <c r="X388" s="671"/>
      <c r="Y388" s="671"/>
      <c r="Z388" s="671"/>
      <c r="AA388" s="671"/>
      <c r="AB388" s="671"/>
    </row>
    <row r="389">
      <c r="A389" s="671"/>
      <c r="B389" s="671"/>
      <c r="C389" s="671"/>
      <c r="D389" s="671"/>
      <c r="E389" s="671"/>
      <c r="F389" s="671"/>
      <c r="G389" s="671"/>
      <c r="H389" s="671"/>
      <c r="I389" s="671"/>
      <c r="J389" s="671"/>
      <c r="K389" s="671"/>
      <c r="L389" s="671"/>
      <c r="M389" s="671"/>
      <c r="N389" s="671"/>
      <c r="O389" s="671"/>
      <c r="P389" s="671"/>
      <c r="Q389" s="671"/>
      <c r="R389" s="671"/>
      <c r="S389" s="671"/>
      <c r="T389" s="671"/>
      <c r="U389" s="671"/>
      <c r="V389" s="671"/>
      <c r="W389" s="671"/>
      <c r="X389" s="671"/>
      <c r="Y389" s="671"/>
      <c r="Z389" s="671"/>
      <c r="AA389" s="671"/>
      <c r="AB389" s="671"/>
    </row>
    <row r="390">
      <c r="A390" s="671"/>
      <c r="B390" s="671"/>
      <c r="C390" s="671"/>
      <c r="D390" s="671"/>
      <c r="E390" s="671"/>
      <c r="F390" s="671"/>
      <c r="G390" s="671"/>
      <c r="H390" s="671"/>
      <c r="I390" s="671"/>
      <c r="J390" s="671"/>
      <c r="K390" s="671"/>
      <c r="L390" s="671"/>
      <c r="M390" s="671"/>
      <c r="N390" s="671"/>
      <c r="O390" s="671"/>
      <c r="P390" s="671"/>
      <c r="Q390" s="671"/>
      <c r="R390" s="671"/>
      <c r="S390" s="671"/>
      <c r="T390" s="671"/>
      <c r="U390" s="671"/>
      <c r="V390" s="671"/>
      <c r="W390" s="671"/>
      <c r="X390" s="671"/>
      <c r="Y390" s="671"/>
      <c r="Z390" s="671"/>
      <c r="AA390" s="671"/>
      <c r="AB390" s="671"/>
    </row>
    <row r="391">
      <c r="A391" s="671"/>
      <c r="B391" s="671"/>
      <c r="C391" s="671"/>
      <c r="D391" s="671"/>
      <c r="E391" s="671"/>
      <c r="F391" s="671"/>
      <c r="G391" s="671"/>
      <c r="H391" s="671"/>
      <c r="I391" s="671"/>
      <c r="J391" s="671"/>
      <c r="K391" s="671"/>
      <c r="L391" s="671"/>
      <c r="M391" s="671"/>
      <c r="N391" s="671"/>
      <c r="O391" s="671"/>
      <c r="P391" s="671"/>
      <c r="Q391" s="671"/>
      <c r="R391" s="671"/>
      <c r="S391" s="671"/>
      <c r="T391" s="671"/>
      <c r="U391" s="671"/>
      <c r="V391" s="671"/>
      <c r="W391" s="671"/>
      <c r="X391" s="671"/>
      <c r="Y391" s="671"/>
      <c r="Z391" s="671"/>
      <c r="AA391" s="671"/>
      <c r="AB391" s="671"/>
    </row>
    <row r="392">
      <c r="A392" s="671"/>
      <c r="B392" s="671"/>
      <c r="C392" s="671"/>
      <c r="D392" s="671"/>
      <c r="E392" s="671"/>
      <c r="F392" s="671"/>
      <c r="G392" s="671"/>
      <c r="H392" s="671"/>
      <c r="I392" s="671"/>
      <c r="J392" s="671"/>
      <c r="K392" s="671"/>
      <c r="L392" s="671"/>
      <c r="M392" s="671"/>
      <c r="N392" s="671"/>
      <c r="O392" s="671"/>
      <c r="P392" s="671"/>
      <c r="Q392" s="671"/>
      <c r="R392" s="671"/>
      <c r="S392" s="671"/>
      <c r="T392" s="671"/>
      <c r="U392" s="671"/>
      <c r="V392" s="671"/>
      <c r="W392" s="671"/>
      <c r="X392" s="671"/>
      <c r="Y392" s="671"/>
      <c r="Z392" s="671"/>
      <c r="AA392" s="671"/>
      <c r="AB392" s="671"/>
    </row>
    <row r="393">
      <c r="A393" s="671"/>
      <c r="B393" s="671"/>
      <c r="C393" s="671"/>
      <c r="D393" s="671"/>
      <c r="E393" s="671"/>
      <c r="F393" s="671"/>
      <c r="G393" s="671"/>
      <c r="H393" s="671"/>
      <c r="I393" s="671"/>
      <c r="J393" s="671"/>
      <c r="K393" s="671"/>
      <c r="L393" s="671"/>
      <c r="M393" s="671"/>
      <c r="N393" s="671"/>
      <c r="O393" s="671"/>
      <c r="P393" s="671"/>
      <c r="Q393" s="671"/>
      <c r="R393" s="671"/>
      <c r="S393" s="671"/>
      <c r="T393" s="671"/>
      <c r="U393" s="671"/>
      <c r="V393" s="671"/>
      <c r="W393" s="671"/>
      <c r="X393" s="671"/>
      <c r="Y393" s="671"/>
      <c r="Z393" s="671"/>
      <c r="AA393" s="671"/>
      <c r="AB393" s="671"/>
    </row>
    <row r="394">
      <c r="A394" s="671"/>
      <c r="B394" s="671"/>
      <c r="C394" s="671"/>
      <c r="D394" s="671"/>
      <c r="E394" s="671"/>
      <c r="F394" s="671"/>
      <c r="G394" s="671"/>
      <c r="H394" s="671"/>
      <c r="I394" s="671"/>
      <c r="J394" s="671"/>
      <c r="K394" s="671"/>
      <c r="L394" s="671"/>
      <c r="M394" s="671"/>
      <c r="N394" s="671"/>
      <c r="O394" s="671"/>
      <c r="P394" s="671"/>
      <c r="Q394" s="671"/>
      <c r="R394" s="671"/>
      <c r="S394" s="671"/>
      <c r="T394" s="671"/>
      <c r="U394" s="671"/>
      <c r="V394" s="671"/>
      <c r="W394" s="671"/>
      <c r="X394" s="671"/>
      <c r="Y394" s="671"/>
      <c r="Z394" s="671"/>
      <c r="AA394" s="671"/>
      <c r="AB394" s="671"/>
    </row>
    <row r="395">
      <c r="A395" s="671"/>
      <c r="B395" s="671"/>
      <c r="C395" s="671"/>
      <c r="D395" s="671"/>
      <c r="E395" s="671"/>
      <c r="F395" s="671"/>
      <c r="G395" s="671"/>
      <c r="H395" s="671"/>
      <c r="I395" s="671"/>
      <c r="J395" s="671"/>
      <c r="K395" s="671"/>
      <c r="L395" s="671"/>
      <c r="M395" s="671"/>
      <c r="N395" s="671"/>
      <c r="O395" s="671"/>
      <c r="P395" s="671"/>
      <c r="Q395" s="671"/>
      <c r="R395" s="671"/>
      <c r="S395" s="671"/>
      <c r="T395" s="671"/>
      <c r="U395" s="671"/>
      <c r="V395" s="671"/>
      <c r="W395" s="671"/>
      <c r="X395" s="671"/>
      <c r="Y395" s="671"/>
      <c r="Z395" s="671"/>
      <c r="AA395" s="671"/>
      <c r="AB395" s="671"/>
    </row>
    <row r="396">
      <c r="A396" s="671"/>
      <c r="B396" s="671"/>
      <c r="C396" s="671"/>
      <c r="D396" s="671"/>
      <c r="E396" s="671"/>
      <c r="F396" s="671"/>
      <c r="G396" s="671"/>
      <c r="H396" s="671"/>
      <c r="I396" s="671"/>
      <c r="J396" s="671"/>
      <c r="K396" s="671"/>
      <c r="L396" s="671"/>
      <c r="M396" s="671"/>
      <c r="N396" s="671"/>
      <c r="O396" s="671"/>
      <c r="P396" s="671"/>
      <c r="Q396" s="671"/>
      <c r="R396" s="671"/>
      <c r="S396" s="671"/>
      <c r="T396" s="671"/>
      <c r="U396" s="671"/>
      <c r="V396" s="671"/>
      <c r="W396" s="671"/>
      <c r="X396" s="671"/>
      <c r="Y396" s="671"/>
      <c r="Z396" s="671"/>
      <c r="AA396" s="671"/>
      <c r="AB396" s="671"/>
    </row>
    <row r="397">
      <c r="A397" s="671"/>
      <c r="B397" s="671"/>
      <c r="C397" s="671"/>
      <c r="D397" s="671"/>
      <c r="E397" s="671"/>
      <c r="F397" s="671"/>
      <c r="G397" s="671"/>
      <c r="H397" s="671"/>
      <c r="I397" s="671"/>
      <c r="J397" s="671"/>
      <c r="K397" s="671"/>
      <c r="L397" s="671"/>
      <c r="M397" s="671"/>
      <c r="N397" s="671"/>
      <c r="O397" s="671"/>
      <c r="P397" s="671"/>
      <c r="Q397" s="671"/>
      <c r="R397" s="671"/>
      <c r="S397" s="671"/>
      <c r="T397" s="671"/>
      <c r="U397" s="671"/>
      <c r="V397" s="671"/>
      <c r="W397" s="671"/>
      <c r="X397" s="671"/>
      <c r="Y397" s="671"/>
      <c r="Z397" s="671"/>
      <c r="AA397" s="671"/>
      <c r="AB397" s="671"/>
    </row>
    <row r="398">
      <c r="A398" s="671"/>
      <c r="B398" s="671"/>
      <c r="C398" s="671"/>
      <c r="D398" s="671"/>
      <c r="E398" s="671"/>
      <c r="F398" s="671"/>
      <c r="G398" s="671"/>
      <c r="H398" s="671"/>
      <c r="I398" s="671"/>
      <c r="J398" s="671"/>
      <c r="K398" s="671"/>
      <c r="L398" s="671"/>
      <c r="M398" s="671"/>
      <c r="N398" s="671"/>
      <c r="O398" s="671"/>
      <c r="P398" s="671"/>
      <c r="Q398" s="671"/>
      <c r="R398" s="671"/>
      <c r="S398" s="671"/>
      <c r="T398" s="671"/>
      <c r="U398" s="671"/>
      <c r="V398" s="671"/>
      <c r="W398" s="671"/>
      <c r="X398" s="671"/>
      <c r="Y398" s="671"/>
      <c r="Z398" s="671"/>
      <c r="AA398" s="671"/>
      <c r="AB398" s="671"/>
    </row>
    <row r="399">
      <c r="A399" s="671"/>
      <c r="B399" s="671"/>
      <c r="C399" s="671"/>
      <c r="D399" s="671"/>
      <c r="E399" s="671"/>
      <c r="F399" s="671"/>
      <c r="G399" s="671"/>
      <c r="H399" s="671"/>
      <c r="I399" s="671"/>
      <c r="J399" s="671"/>
      <c r="K399" s="671"/>
      <c r="L399" s="671"/>
      <c r="M399" s="671"/>
      <c r="N399" s="671"/>
      <c r="O399" s="671"/>
      <c r="P399" s="671"/>
      <c r="Q399" s="671"/>
      <c r="R399" s="671"/>
      <c r="S399" s="671"/>
      <c r="T399" s="671"/>
      <c r="U399" s="671"/>
      <c r="V399" s="671"/>
      <c r="W399" s="671"/>
      <c r="X399" s="671"/>
      <c r="Y399" s="671"/>
      <c r="Z399" s="671"/>
      <c r="AA399" s="671"/>
      <c r="AB399" s="671"/>
    </row>
    <row r="400">
      <c r="A400" s="671"/>
      <c r="B400" s="671"/>
      <c r="C400" s="671"/>
      <c r="D400" s="671"/>
      <c r="E400" s="671"/>
      <c r="F400" s="671"/>
      <c r="G400" s="671"/>
      <c r="H400" s="671"/>
      <c r="I400" s="671"/>
      <c r="J400" s="671"/>
      <c r="K400" s="671"/>
      <c r="L400" s="671"/>
      <c r="M400" s="671"/>
      <c r="N400" s="671"/>
      <c r="O400" s="671"/>
      <c r="P400" s="671"/>
      <c r="Q400" s="671"/>
      <c r="R400" s="671"/>
      <c r="S400" s="671"/>
      <c r="T400" s="671"/>
      <c r="U400" s="671"/>
      <c r="V400" s="671"/>
      <c r="W400" s="671"/>
      <c r="X400" s="671"/>
      <c r="Y400" s="671"/>
      <c r="Z400" s="671"/>
      <c r="AA400" s="671"/>
      <c r="AB400" s="671"/>
    </row>
    <row r="401">
      <c r="A401" s="671"/>
      <c r="B401" s="671"/>
      <c r="C401" s="671"/>
      <c r="D401" s="671"/>
      <c r="E401" s="671"/>
      <c r="F401" s="671"/>
      <c r="G401" s="671"/>
      <c r="H401" s="671"/>
      <c r="I401" s="671"/>
      <c r="J401" s="671"/>
      <c r="K401" s="671"/>
      <c r="L401" s="671"/>
      <c r="M401" s="671"/>
      <c r="N401" s="671"/>
      <c r="O401" s="671"/>
      <c r="P401" s="671"/>
      <c r="Q401" s="671"/>
      <c r="R401" s="671"/>
      <c r="S401" s="671"/>
      <c r="T401" s="671"/>
      <c r="U401" s="671"/>
      <c r="V401" s="671"/>
      <c r="W401" s="671"/>
      <c r="X401" s="671"/>
      <c r="Y401" s="671"/>
      <c r="Z401" s="671"/>
      <c r="AA401" s="671"/>
      <c r="AB401" s="671"/>
    </row>
    <row r="402">
      <c r="A402" s="671"/>
      <c r="B402" s="671"/>
      <c r="C402" s="671"/>
      <c r="D402" s="671"/>
      <c r="E402" s="671"/>
      <c r="F402" s="671"/>
      <c r="G402" s="671"/>
      <c r="H402" s="671"/>
      <c r="I402" s="671"/>
      <c r="J402" s="671"/>
      <c r="K402" s="671"/>
      <c r="L402" s="671"/>
      <c r="M402" s="671"/>
      <c r="N402" s="671"/>
      <c r="O402" s="671"/>
      <c r="P402" s="671"/>
      <c r="Q402" s="671"/>
      <c r="R402" s="671"/>
      <c r="S402" s="671"/>
      <c r="T402" s="671"/>
      <c r="U402" s="671"/>
      <c r="V402" s="671"/>
      <c r="W402" s="671"/>
      <c r="X402" s="671"/>
      <c r="Y402" s="671"/>
      <c r="Z402" s="671"/>
      <c r="AA402" s="671"/>
      <c r="AB402" s="671"/>
    </row>
    <row r="403">
      <c r="A403" s="671"/>
      <c r="B403" s="671"/>
      <c r="C403" s="671"/>
      <c r="D403" s="671"/>
      <c r="E403" s="671"/>
      <c r="F403" s="671"/>
      <c r="G403" s="671"/>
      <c r="H403" s="671"/>
      <c r="I403" s="671"/>
      <c r="J403" s="671"/>
      <c r="K403" s="671"/>
      <c r="L403" s="671"/>
      <c r="M403" s="671"/>
      <c r="N403" s="671"/>
      <c r="O403" s="671"/>
      <c r="P403" s="671"/>
      <c r="Q403" s="671"/>
      <c r="R403" s="671"/>
      <c r="S403" s="671"/>
      <c r="T403" s="671"/>
      <c r="U403" s="671"/>
      <c r="V403" s="671"/>
      <c r="W403" s="671"/>
      <c r="X403" s="671"/>
      <c r="Y403" s="671"/>
      <c r="Z403" s="671"/>
      <c r="AA403" s="671"/>
      <c r="AB403" s="671"/>
    </row>
    <row r="404">
      <c r="A404" s="671"/>
      <c r="B404" s="671"/>
      <c r="C404" s="671"/>
      <c r="D404" s="671"/>
      <c r="E404" s="671"/>
      <c r="F404" s="671"/>
      <c r="G404" s="671"/>
      <c r="H404" s="671"/>
      <c r="I404" s="671"/>
      <c r="J404" s="671"/>
      <c r="K404" s="671"/>
      <c r="L404" s="671"/>
      <c r="M404" s="671"/>
      <c r="N404" s="671"/>
      <c r="O404" s="671"/>
      <c r="P404" s="671"/>
      <c r="Q404" s="671"/>
      <c r="R404" s="671"/>
      <c r="S404" s="671"/>
      <c r="T404" s="671"/>
      <c r="U404" s="671"/>
      <c r="V404" s="671"/>
      <c r="W404" s="671"/>
      <c r="X404" s="671"/>
      <c r="Y404" s="671"/>
      <c r="Z404" s="671"/>
      <c r="AA404" s="671"/>
      <c r="AB404" s="671"/>
    </row>
    <row r="405">
      <c r="A405" s="671"/>
      <c r="B405" s="671"/>
      <c r="C405" s="671"/>
      <c r="D405" s="671"/>
      <c r="E405" s="671"/>
      <c r="F405" s="671"/>
      <c r="G405" s="671"/>
      <c r="H405" s="671"/>
      <c r="I405" s="671"/>
      <c r="J405" s="671"/>
      <c r="K405" s="671"/>
      <c r="L405" s="671"/>
      <c r="M405" s="671"/>
      <c r="N405" s="671"/>
      <c r="O405" s="671"/>
      <c r="P405" s="671"/>
      <c r="Q405" s="671"/>
      <c r="R405" s="671"/>
      <c r="S405" s="671"/>
      <c r="T405" s="671"/>
      <c r="U405" s="671"/>
      <c r="V405" s="671"/>
      <c r="W405" s="671"/>
      <c r="X405" s="671"/>
      <c r="Y405" s="671"/>
      <c r="Z405" s="671"/>
      <c r="AA405" s="671"/>
      <c r="AB405" s="671"/>
    </row>
    <row r="406">
      <c r="A406" s="671"/>
      <c r="B406" s="671"/>
      <c r="C406" s="671"/>
      <c r="D406" s="671"/>
      <c r="E406" s="671"/>
      <c r="F406" s="671"/>
      <c r="G406" s="671"/>
      <c r="H406" s="671"/>
      <c r="I406" s="671"/>
      <c r="J406" s="671"/>
      <c r="K406" s="671"/>
      <c r="L406" s="671"/>
      <c r="M406" s="671"/>
      <c r="N406" s="671"/>
      <c r="O406" s="671"/>
      <c r="P406" s="671"/>
      <c r="Q406" s="671"/>
      <c r="R406" s="671"/>
      <c r="S406" s="671"/>
      <c r="T406" s="671"/>
      <c r="U406" s="671"/>
      <c r="V406" s="671"/>
      <c r="W406" s="671"/>
      <c r="X406" s="671"/>
      <c r="Y406" s="671"/>
      <c r="Z406" s="671"/>
      <c r="AA406" s="671"/>
      <c r="AB406" s="671"/>
    </row>
    <row r="407">
      <c r="A407" s="671"/>
      <c r="B407" s="671"/>
      <c r="C407" s="671"/>
      <c r="D407" s="671"/>
      <c r="E407" s="671"/>
      <c r="F407" s="671"/>
      <c r="G407" s="671"/>
      <c r="H407" s="671"/>
      <c r="I407" s="671"/>
      <c r="J407" s="671"/>
      <c r="K407" s="671"/>
      <c r="L407" s="671"/>
      <c r="M407" s="671"/>
      <c r="N407" s="671"/>
      <c r="O407" s="671"/>
      <c r="P407" s="671"/>
      <c r="Q407" s="671"/>
      <c r="R407" s="671"/>
      <c r="S407" s="671"/>
      <c r="T407" s="671"/>
      <c r="U407" s="671"/>
      <c r="V407" s="671"/>
      <c r="W407" s="671"/>
      <c r="X407" s="671"/>
      <c r="Y407" s="671"/>
      <c r="Z407" s="671"/>
      <c r="AA407" s="671"/>
      <c r="AB407" s="671"/>
    </row>
    <row r="408">
      <c r="A408" s="671"/>
      <c r="B408" s="671"/>
      <c r="C408" s="671"/>
      <c r="D408" s="671"/>
      <c r="E408" s="671"/>
      <c r="F408" s="671"/>
      <c r="G408" s="671"/>
      <c r="H408" s="671"/>
      <c r="I408" s="671"/>
      <c r="J408" s="671"/>
      <c r="K408" s="671"/>
      <c r="L408" s="671"/>
      <c r="M408" s="671"/>
      <c r="N408" s="671"/>
      <c r="O408" s="671"/>
      <c r="P408" s="671"/>
      <c r="Q408" s="671"/>
      <c r="R408" s="671"/>
      <c r="S408" s="671"/>
      <c r="T408" s="671"/>
      <c r="U408" s="671"/>
      <c r="V408" s="671"/>
      <c r="W408" s="671"/>
      <c r="X408" s="671"/>
      <c r="Y408" s="671"/>
      <c r="Z408" s="671"/>
      <c r="AA408" s="671"/>
      <c r="AB408" s="671"/>
    </row>
    <row r="409">
      <c r="A409" s="671"/>
      <c r="B409" s="671"/>
      <c r="C409" s="671"/>
      <c r="D409" s="671"/>
      <c r="E409" s="671"/>
      <c r="F409" s="671"/>
      <c r="G409" s="671"/>
      <c r="H409" s="671"/>
      <c r="I409" s="671"/>
      <c r="J409" s="671"/>
      <c r="K409" s="671"/>
      <c r="L409" s="671"/>
      <c r="M409" s="671"/>
      <c r="N409" s="671"/>
      <c r="O409" s="671"/>
      <c r="P409" s="671"/>
      <c r="Q409" s="671"/>
      <c r="R409" s="671"/>
      <c r="S409" s="671"/>
      <c r="T409" s="671"/>
      <c r="U409" s="671"/>
      <c r="V409" s="671"/>
      <c r="W409" s="671"/>
      <c r="X409" s="671"/>
      <c r="Y409" s="671"/>
      <c r="Z409" s="671"/>
      <c r="AA409" s="671"/>
      <c r="AB409" s="671"/>
    </row>
    <row r="410">
      <c r="A410" s="671"/>
      <c r="B410" s="671"/>
      <c r="C410" s="671"/>
      <c r="D410" s="671"/>
      <c r="E410" s="671"/>
      <c r="F410" s="671"/>
      <c r="G410" s="671"/>
      <c r="H410" s="671"/>
      <c r="I410" s="671"/>
      <c r="J410" s="671"/>
      <c r="K410" s="671"/>
      <c r="L410" s="671"/>
      <c r="M410" s="671"/>
      <c r="N410" s="671"/>
      <c r="O410" s="671"/>
      <c r="P410" s="671"/>
      <c r="Q410" s="671"/>
      <c r="R410" s="671"/>
      <c r="S410" s="671"/>
      <c r="T410" s="671"/>
      <c r="U410" s="671"/>
      <c r="V410" s="671"/>
      <c r="W410" s="671"/>
      <c r="X410" s="671"/>
      <c r="Y410" s="671"/>
      <c r="Z410" s="671"/>
      <c r="AA410" s="671"/>
      <c r="AB410" s="671"/>
    </row>
    <row r="411">
      <c r="A411" s="671"/>
      <c r="B411" s="671"/>
      <c r="C411" s="671"/>
      <c r="D411" s="671"/>
      <c r="E411" s="671"/>
      <c r="F411" s="671"/>
      <c r="G411" s="671"/>
      <c r="H411" s="671"/>
      <c r="I411" s="671"/>
      <c r="J411" s="671"/>
      <c r="K411" s="671"/>
      <c r="L411" s="671"/>
      <c r="M411" s="671"/>
      <c r="N411" s="671"/>
      <c r="O411" s="671"/>
      <c r="P411" s="671"/>
      <c r="Q411" s="671"/>
      <c r="R411" s="671"/>
      <c r="S411" s="671"/>
      <c r="T411" s="671"/>
      <c r="U411" s="671"/>
      <c r="V411" s="671"/>
      <c r="W411" s="671"/>
      <c r="X411" s="671"/>
      <c r="Y411" s="671"/>
      <c r="Z411" s="671"/>
      <c r="AA411" s="671"/>
      <c r="AB411" s="671"/>
    </row>
    <row r="412">
      <c r="A412" s="671"/>
      <c r="B412" s="671"/>
      <c r="C412" s="671"/>
      <c r="D412" s="671"/>
      <c r="E412" s="671"/>
      <c r="F412" s="671"/>
      <c r="G412" s="671"/>
      <c r="H412" s="671"/>
      <c r="I412" s="671"/>
      <c r="J412" s="671"/>
      <c r="K412" s="671"/>
      <c r="L412" s="671"/>
      <c r="M412" s="671"/>
      <c r="N412" s="671"/>
      <c r="O412" s="671"/>
      <c r="P412" s="671"/>
      <c r="Q412" s="671"/>
      <c r="R412" s="671"/>
      <c r="S412" s="671"/>
      <c r="T412" s="671"/>
      <c r="U412" s="671"/>
      <c r="V412" s="671"/>
      <c r="W412" s="671"/>
      <c r="X412" s="671"/>
      <c r="Y412" s="671"/>
      <c r="Z412" s="671"/>
      <c r="AA412" s="671"/>
      <c r="AB412" s="671"/>
    </row>
    <row r="413">
      <c r="A413" s="671"/>
      <c r="B413" s="671"/>
      <c r="C413" s="671"/>
      <c r="D413" s="671"/>
      <c r="E413" s="671"/>
      <c r="F413" s="671"/>
      <c r="G413" s="671"/>
      <c r="H413" s="671"/>
      <c r="I413" s="671"/>
      <c r="J413" s="671"/>
      <c r="K413" s="671"/>
      <c r="L413" s="671"/>
      <c r="M413" s="671"/>
      <c r="N413" s="671"/>
      <c r="O413" s="671"/>
      <c r="P413" s="671"/>
      <c r="Q413" s="671"/>
      <c r="R413" s="671"/>
      <c r="S413" s="671"/>
      <c r="T413" s="671"/>
      <c r="U413" s="671"/>
      <c r="V413" s="671"/>
      <c r="W413" s="671"/>
      <c r="X413" s="671"/>
      <c r="Y413" s="671"/>
      <c r="Z413" s="671"/>
      <c r="AA413" s="671"/>
      <c r="AB413" s="671"/>
    </row>
    <row r="414">
      <c r="A414" s="671"/>
      <c r="B414" s="671"/>
      <c r="C414" s="671"/>
      <c r="D414" s="671"/>
      <c r="E414" s="671"/>
      <c r="F414" s="671"/>
      <c r="G414" s="671"/>
      <c r="H414" s="671"/>
      <c r="I414" s="671"/>
      <c r="J414" s="671"/>
      <c r="K414" s="671"/>
      <c r="L414" s="671"/>
      <c r="M414" s="671"/>
      <c r="N414" s="671"/>
      <c r="O414" s="671"/>
      <c r="P414" s="671"/>
      <c r="Q414" s="671"/>
      <c r="R414" s="671"/>
      <c r="S414" s="671"/>
      <c r="T414" s="671"/>
      <c r="U414" s="671"/>
      <c r="V414" s="671"/>
      <c r="W414" s="671"/>
      <c r="X414" s="671"/>
      <c r="Y414" s="671"/>
      <c r="Z414" s="671"/>
      <c r="AA414" s="671"/>
      <c r="AB414" s="671"/>
    </row>
    <row r="415">
      <c r="A415" s="671"/>
      <c r="B415" s="671"/>
      <c r="C415" s="671"/>
      <c r="D415" s="671"/>
      <c r="E415" s="671"/>
      <c r="F415" s="671"/>
      <c r="G415" s="671"/>
      <c r="H415" s="671"/>
      <c r="I415" s="671"/>
      <c r="J415" s="671"/>
      <c r="K415" s="671"/>
      <c r="L415" s="671"/>
      <c r="M415" s="671"/>
      <c r="N415" s="671"/>
      <c r="O415" s="671"/>
      <c r="P415" s="671"/>
      <c r="Q415" s="671"/>
      <c r="R415" s="671"/>
      <c r="S415" s="671"/>
      <c r="T415" s="671"/>
      <c r="U415" s="671"/>
      <c r="V415" s="671"/>
      <c r="W415" s="671"/>
      <c r="X415" s="671"/>
      <c r="Y415" s="671"/>
      <c r="Z415" s="671"/>
      <c r="AA415" s="671"/>
      <c r="AB415" s="671"/>
    </row>
    <row r="416">
      <c r="A416" s="671"/>
      <c r="B416" s="671"/>
      <c r="C416" s="671"/>
      <c r="D416" s="671"/>
      <c r="E416" s="671"/>
      <c r="F416" s="671"/>
      <c r="G416" s="671"/>
      <c r="H416" s="671"/>
      <c r="I416" s="671"/>
      <c r="J416" s="671"/>
      <c r="K416" s="671"/>
      <c r="L416" s="671"/>
      <c r="M416" s="671"/>
      <c r="N416" s="671"/>
      <c r="O416" s="671"/>
      <c r="P416" s="671"/>
      <c r="Q416" s="671"/>
      <c r="R416" s="671"/>
      <c r="S416" s="671"/>
      <c r="T416" s="671"/>
      <c r="U416" s="671"/>
      <c r="V416" s="671"/>
      <c r="W416" s="671"/>
      <c r="X416" s="671"/>
      <c r="Y416" s="671"/>
      <c r="Z416" s="671"/>
      <c r="AA416" s="671"/>
      <c r="AB416" s="671"/>
    </row>
    <row r="417">
      <c r="A417" s="671"/>
      <c r="B417" s="671"/>
      <c r="C417" s="671"/>
      <c r="D417" s="671"/>
      <c r="E417" s="671"/>
      <c r="F417" s="671"/>
      <c r="G417" s="671"/>
      <c r="H417" s="671"/>
      <c r="I417" s="671"/>
      <c r="J417" s="671"/>
      <c r="K417" s="671"/>
      <c r="L417" s="671"/>
      <c r="M417" s="671"/>
      <c r="N417" s="671"/>
      <c r="O417" s="671"/>
      <c r="P417" s="671"/>
      <c r="Q417" s="671"/>
      <c r="R417" s="671"/>
      <c r="S417" s="671"/>
      <c r="T417" s="671"/>
      <c r="U417" s="671"/>
      <c r="V417" s="671"/>
      <c r="W417" s="671"/>
      <c r="X417" s="671"/>
      <c r="Y417" s="671"/>
      <c r="Z417" s="671"/>
      <c r="AA417" s="671"/>
      <c r="AB417" s="671"/>
    </row>
    <row r="418">
      <c r="A418" s="671"/>
      <c r="B418" s="671"/>
      <c r="C418" s="671"/>
      <c r="D418" s="671"/>
      <c r="E418" s="671"/>
      <c r="F418" s="671"/>
      <c r="G418" s="671"/>
      <c r="H418" s="671"/>
      <c r="I418" s="671"/>
      <c r="J418" s="671"/>
      <c r="K418" s="671"/>
      <c r="L418" s="671"/>
      <c r="M418" s="671"/>
      <c r="N418" s="671"/>
      <c r="O418" s="671"/>
      <c r="P418" s="671"/>
      <c r="Q418" s="671"/>
      <c r="R418" s="671"/>
      <c r="S418" s="671"/>
      <c r="T418" s="671"/>
      <c r="U418" s="671"/>
      <c r="V418" s="671"/>
      <c r="W418" s="671"/>
      <c r="X418" s="671"/>
      <c r="Y418" s="671"/>
      <c r="Z418" s="671"/>
      <c r="AA418" s="671"/>
      <c r="AB418" s="671"/>
    </row>
    <row r="419">
      <c r="A419" s="671"/>
      <c r="B419" s="671"/>
      <c r="C419" s="671"/>
      <c r="D419" s="671"/>
      <c r="E419" s="671"/>
      <c r="F419" s="671"/>
      <c r="G419" s="671"/>
      <c r="H419" s="671"/>
      <c r="I419" s="671"/>
      <c r="J419" s="671"/>
      <c r="K419" s="671"/>
      <c r="L419" s="671"/>
      <c r="M419" s="671"/>
      <c r="N419" s="671"/>
      <c r="O419" s="671"/>
      <c r="P419" s="671"/>
      <c r="Q419" s="671"/>
      <c r="R419" s="671"/>
      <c r="S419" s="671"/>
      <c r="T419" s="671"/>
      <c r="U419" s="671"/>
      <c r="V419" s="671"/>
      <c r="W419" s="671"/>
      <c r="X419" s="671"/>
      <c r="Y419" s="671"/>
      <c r="Z419" s="671"/>
      <c r="AA419" s="671"/>
      <c r="AB419" s="671"/>
    </row>
    <row r="420">
      <c r="A420" s="671"/>
      <c r="B420" s="671"/>
      <c r="C420" s="671"/>
      <c r="D420" s="671"/>
      <c r="E420" s="671"/>
      <c r="F420" s="671"/>
      <c r="G420" s="671"/>
      <c r="H420" s="671"/>
      <c r="I420" s="671"/>
      <c r="J420" s="671"/>
      <c r="K420" s="671"/>
      <c r="L420" s="671"/>
      <c r="M420" s="671"/>
      <c r="N420" s="671"/>
      <c r="O420" s="671"/>
      <c r="P420" s="671"/>
      <c r="Q420" s="671"/>
      <c r="R420" s="671"/>
      <c r="S420" s="671"/>
      <c r="T420" s="671"/>
      <c r="U420" s="671"/>
      <c r="V420" s="671"/>
      <c r="W420" s="671"/>
      <c r="X420" s="671"/>
      <c r="Y420" s="671"/>
      <c r="Z420" s="671"/>
      <c r="AA420" s="671"/>
      <c r="AB420" s="671"/>
    </row>
    <row r="421">
      <c r="A421" s="671"/>
      <c r="B421" s="671"/>
      <c r="C421" s="671"/>
      <c r="D421" s="671"/>
      <c r="E421" s="671"/>
      <c r="F421" s="671"/>
      <c r="G421" s="671"/>
      <c r="H421" s="671"/>
      <c r="I421" s="671"/>
      <c r="J421" s="671"/>
      <c r="K421" s="671"/>
      <c r="L421" s="671"/>
      <c r="M421" s="671"/>
      <c r="N421" s="671"/>
      <c r="O421" s="671"/>
      <c r="P421" s="671"/>
      <c r="Q421" s="671"/>
      <c r="R421" s="671"/>
      <c r="S421" s="671"/>
      <c r="T421" s="671"/>
      <c r="U421" s="671"/>
      <c r="V421" s="671"/>
      <c r="W421" s="671"/>
      <c r="X421" s="671"/>
      <c r="Y421" s="671"/>
      <c r="Z421" s="671"/>
      <c r="AA421" s="671"/>
      <c r="AB421" s="671"/>
    </row>
    <row r="422">
      <c r="A422" s="671"/>
      <c r="B422" s="671"/>
      <c r="C422" s="671"/>
      <c r="D422" s="671"/>
      <c r="E422" s="671"/>
      <c r="F422" s="671"/>
      <c r="G422" s="671"/>
      <c r="H422" s="671"/>
      <c r="I422" s="671"/>
      <c r="J422" s="671"/>
      <c r="K422" s="671"/>
      <c r="L422" s="671"/>
      <c r="M422" s="671"/>
      <c r="N422" s="671"/>
      <c r="O422" s="671"/>
      <c r="P422" s="671"/>
      <c r="Q422" s="671"/>
      <c r="R422" s="671"/>
      <c r="S422" s="671"/>
      <c r="T422" s="671"/>
      <c r="U422" s="671"/>
      <c r="V422" s="671"/>
      <c r="W422" s="671"/>
      <c r="X422" s="671"/>
      <c r="Y422" s="671"/>
      <c r="Z422" s="671"/>
      <c r="AA422" s="671"/>
      <c r="AB422" s="671"/>
    </row>
    <row r="423">
      <c r="A423" s="671"/>
      <c r="B423" s="671"/>
      <c r="C423" s="671"/>
      <c r="D423" s="671"/>
      <c r="E423" s="671"/>
      <c r="F423" s="671"/>
      <c r="G423" s="671"/>
      <c r="H423" s="671"/>
      <c r="I423" s="671"/>
      <c r="J423" s="671"/>
      <c r="K423" s="671"/>
      <c r="L423" s="671"/>
      <c r="M423" s="671"/>
      <c r="N423" s="671"/>
      <c r="O423" s="671"/>
      <c r="P423" s="671"/>
      <c r="Q423" s="671"/>
      <c r="R423" s="671"/>
      <c r="S423" s="671"/>
      <c r="T423" s="671"/>
      <c r="U423" s="671"/>
      <c r="V423" s="671"/>
      <c r="W423" s="671"/>
      <c r="X423" s="671"/>
      <c r="Y423" s="671"/>
      <c r="Z423" s="671"/>
      <c r="AA423" s="671"/>
      <c r="AB423" s="671"/>
    </row>
    <row r="424">
      <c r="A424" s="671"/>
      <c r="B424" s="671"/>
      <c r="C424" s="671"/>
      <c r="D424" s="671"/>
      <c r="E424" s="671"/>
      <c r="F424" s="671"/>
      <c r="G424" s="671"/>
      <c r="H424" s="671"/>
      <c r="I424" s="671"/>
      <c r="J424" s="671"/>
      <c r="K424" s="671"/>
      <c r="L424" s="671"/>
      <c r="M424" s="671"/>
      <c r="N424" s="671"/>
      <c r="O424" s="671"/>
      <c r="P424" s="671"/>
      <c r="Q424" s="671"/>
      <c r="R424" s="671"/>
      <c r="S424" s="671"/>
      <c r="T424" s="671"/>
      <c r="U424" s="671"/>
      <c r="V424" s="671"/>
      <c r="W424" s="671"/>
      <c r="X424" s="671"/>
      <c r="Y424" s="671"/>
      <c r="Z424" s="671"/>
      <c r="AA424" s="671"/>
      <c r="AB424" s="671"/>
    </row>
    <row r="425">
      <c r="A425" s="671"/>
      <c r="B425" s="671"/>
      <c r="C425" s="671"/>
      <c r="D425" s="671"/>
      <c r="E425" s="671"/>
      <c r="F425" s="671"/>
      <c r="G425" s="671"/>
      <c r="H425" s="671"/>
      <c r="I425" s="671"/>
      <c r="J425" s="671"/>
      <c r="K425" s="671"/>
      <c r="L425" s="671"/>
      <c r="M425" s="671"/>
      <c r="N425" s="671"/>
      <c r="O425" s="671"/>
      <c r="P425" s="671"/>
      <c r="Q425" s="671"/>
      <c r="R425" s="671"/>
      <c r="S425" s="671"/>
      <c r="T425" s="671"/>
      <c r="U425" s="671"/>
      <c r="V425" s="671"/>
      <c r="W425" s="671"/>
      <c r="X425" s="671"/>
      <c r="Y425" s="671"/>
      <c r="Z425" s="671"/>
      <c r="AA425" s="671"/>
      <c r="AB425" s="671"/>
    </row>
    <row r="426">
      <c r="A426" s="671"/>
      <c r="B426" s="671"/>
      <c r="C426" s="671"/>
      <c r="D426" s="671"/>
      <c r="E426" s="671"/>
      <c r="F426" s="671"/>
      <c r="G426" s="671"/>
      <c r="H426" s="671"/>
      <c r="I426" s="671"/>
      <c r="J426" s="671"/>
      <c r="K426" s="671"/>
      <c r="L426" s="671"/>
      <c r="M426" s="671"/>
      <c r="N426" s="671"/>
      <c r="O426" s="671"/>
      <c r="P426" s="671"/>
      <c r="Q426" s="671"/>
      <c r="R426" s="671"/>
      <c r="S426" s="671"/>
      <c r="T426" s="671"/>
      <c r="U426" s="671"/>
      <c r="V426" s="671"/>
      <c r="W426" s="671"/>
      <c r="X426" s="671"/>
      <c r="Y426" s="671"/>
      <c r="Z426" s="671"/>
      <c r="AA426" s="671"/>
      <c r="AB426" s="671"/>
    </row>
    <row r="427">
      <c r="A427" s="671"/>
      <c r="B427" s="671"/>
      <c r="C427" s="671"/>
      <c r="D427" s="671"/>
      <c r="E427" s="671"/>
      <c r="F427" s="671"/>
      <c r="G427" s="671"/>
      <c r="H427" s="671"/>
      <c r="I427" s="671"/>
      <c r="J427" s="671"/>
      <c r="K427" s="671"/>
      <c r="L427" s="671"/>
      <c r="M427" s="671"/>
      <c r="N427" s="671"/>
      <c r="O427" s="671"/>
      <c r="P427" s="671"/>
      <c r="Q427" s="671"/>
      <c r="R427" s="671"/>
      <c r="S427" s="671"/>
      <c r="T427" s="671"/>
      <c r="U427" s="671"/>
      <c r="V427" s="671"/>
      <c r="W427" s="671"/>
      <c r="X427" s="671"/>
      <c r="Y427" s="671"/>
      <c r="Z427" s="671"/>
      <c r="AA427" s="671"/>
      <c r="AB427" s="671"/>
    </row>
    <row r="428">
      <c r="A428" s="671"/>
      <c r="B428" s="671"/>
      <c r="C428" s="671"/>
      <c r="D428" s="671"/>
      <c r="E428" s="671"/>
      <c r="F428" s="671"/>
      <c r="G428" s="671"/>
      <c r="H428" s="671"/>
      <c r="I428" s="671"/>
      <c r="J428" s="671"/>
      <c r="K428" s="671"/>
      <c r="L428" s="671"/>
      <c r="M428" s="671"/>
      <c r="N428" s="671"/>
      <c r="O428" s="671"/>
      <c r="P428" s="671"/>
      <c r="Q428" s="671"/>
      <c r="R428" s="671"/>
      <c r="S428" s="671"/>
      <c r="T428" s="671"/>
      <c r="U428" s="671"/>
      <c r="V428" s="671"/>
      <c r="W428" s="671"/>
      <c r="X428" s="671"/>
      <c r="Y428" s="671"/>
      <c r="Z428" s="671"/>
      <c r="AA428" s="671"/>
      <c r="AB428" s="671"/>
    </row>
    <row r="429">
      <c r="A429" s="671"/>
      <c r="B429" s="671"/>
      <c r="C429" s="671"/>
      <c r="D429" s="671"/>
      <c r="E429" s="671"/>
      <c r="F429" s="671"/>
      <c r="G429" s="671"/>
      <c r="H429" s="671"/>
      <c r="I429" s="671"/>
      <c r="J429" s="671"/>
      <c r="K429" s="671"/>
      <c r="L429" s="671"/>
      <c r="M429" s="671"/>
      <c r="N429" s="671"/>
      <c r="O429" s="671"/>
      <c r="P429" s="671"/>
      <c r="Q429" s="671"/>
      <c r="R429" s="671"/>
      <c r="S429" s="671"/>
      <c r="T429" s="671"/>
      <c r="U429" s="671"/>
      <c r="V429" s="671"/>
      <c r="W429" s="671"/>
      <c r="X429" s="671"/>
      <c r="Y429" s="671"/>
      <c r="Z429" s="671"/>
      <c r="AA429" s="671"/>
      <c r="AB429" s="671"/>
    </row>
    <row r="430">
      <c r="A430" s="671"/>
      <c r="B430" s="671"/>
      <c r="C430" s="671"/>
      <c r="D430" s="671"/>
      <c r="E430" s="671"/>
      <c r="F430" s="671"/>
      <c r="G430" s="671"/>
      <c r="H430" s="671"/>
      <c r="I430" s="671"/>
      <c r="J430" s="671"/>
      <c r="K430" s="671"/>
      <c r="L430" s="671"/>
      <c r="M430" s="671"/>
      <c r="N430" s="671"/>
      <c r="O430" s="671"/>
      <c r="P430" s="671"/>
      <c r="Q430" s="671"/>
      <c r="R430" s="671"/>
      <c r="S430" s="671"/>
      <c r="T430" s="671"/>
      <c r="U430" s="671"/>
      <c r="V430" s="671"/>
      <c r="W430" s="671"/>
      <c r="X430" s="671"/>
      <c r="Y430" s="671"/>
      <c r="Z430" s="671"/>
      <c r="AA430" s="671"/>
      <c r="AB430" s="671"/>
    </row>
    <row r="431">
      <c r="A431" s="671"/>
      <c r="B431" s="671"/>
      <c r="C431" s="671"/>
      <c r="D431" s="671"/>
      <c r="E431" s="671"/>
      <c r="F431" s="671"/>
      <c r="G431" s="671"/>
      <c r="H431" s="671"/>
      <c r="I431" s="671"/>
      <c r="J431" s="671"/>
      <c r="K431" s="671"/>
      <c r="L431" s="671"/>
      <c r="M431" s="671"/>
      <c r="N431" s="671"/>
      <c r="O431" s="671"/>
      <c r="P431" s="671"/>
      <c r="Q431" s="671"/>
      <c r="R431" s="671"/>
      <c r="S431" s="671"/>
      <c r="T431" s="671"/>
      <c r="U431" s="671"/>
      <c r="V431" s="671"/>
      <c r="W431" s="671"/>
      <c r="X431" s="671"/>
      <c r="Y431" s="671"/>
      <c r="Z431" s="671"/>
      <c r="AA431" s="671"/>
      <c r="AB431" s="671"/>
    </row>
    <row r="432">
      <c r="A432" s="671"/>
      <c r="B432" s="671"/>
      <c r="C432" s="671"/>
      <c r="D432" s="671"/>
      <c r="E432" s="671"/>
      <c r="F432" s="671"/>
      <c r="G432" s="671"/>
      <c r="H432" s="671"/>
      <c r="I432" s="671"/>
      <c r="J432" s="671"/>
      <c r="K432" s="671"/>
      <c r="L432" s="671"/>
      <c r="M432" s="671"/>
      <c r="N432" s="671"/>
      <c r="O432" s="671"/>
      <c r="P432" s="671"/>
      <c r="Q432" s="671"/>
      <c r="R432" s="671"/>
      <c r="S432" s="671"/>
      <c r="T432" s="671"/>
      <c r="U432" s="671"/>
      <c r="V432" s="671"/>
      <c r="W432" s="671"/>
      <c r="X432" s="671"/>
      <c r="Y432" s="671"/>
      <c r="Z432" s="671"/>
      <c r="AA432" s="671"/>
      <c r="AB432" s="671"/>
    </row>
    <row r="433">
      <c r="A433" s="671"/>
      <c r="B433" s="671"/>
      <c r="C433" s="671"/>
      <c r="D433" s="671"/>
      <c r="E433" s="671"/>
      <c r="F433" s="671"/>
      <c r="G433" s="671"/>
      <c r="H433" s="671"/>
      <c r="I433" s="671"/>
      <c r="J433" s="671"/>
      <c r="K433" s="671"/>
      <c r="L433" s="671"/>
      <c r="M433" s="671"/>
      <c r="N433" s="671"/>
      <c r="O433" s="671"/>
      <c r="P433" s="671"/>
      <c r="Q433" s="671"/>
      <c r="R433" s="671"/>
      <c r="S433" s="671"/>
      <c r="T433" s="671"/>
      <c r="U433" s="671"/>
      <c r="V433" s="671"/>
      <c r="W433" s="671"/>
      <c r="X433" s="671"/>
      <c r="Y433" s="671"/>
      <c r="Z433" s="671"/>
      <c r="AA433" s="671"/>
      <c r="AB433" s="671"/>
    </row>
    <row r="434">
      <c r="A434" s="671"/>
      <c r="B434" s="671"/>
      <c r="C434" s="671"/>
      <c r="D434" s="671"/>
      <c r="E434" s="671"/>
      <c r="F434" s="671"/>
      <c r="G434" s="671"/>
      <c r="H434" s="671"/>
      <c r="I434" s="671"/>
      <c r="J434" s="671"/>
      <c r="K434" s="671"/>
      <c r="L434" s="671"/>
      <c r="M434" s="671"/>
      <c r="N434" s="671"/>
      <c r="O434" s="671"/>
      <c r="P434" s="671"/>
      <c r="Q434" s="671"/>
      <c r="R434" s="671"/>
      <c r="S434" s="671"/>
      <c r="T434" s="671"/>
      <c r="U434" s="671"/>
      <c r="V434" s="671"/>
      <c r="W434" s="671"/>
      <c r="X434" s="671"/>
      <c r="Y434" s="671"/>
      <c r="Z434" s="671"/>
      <c r="AA434" s="671"/>
      <c r="AB434" s="671"/>
    </row>
    <row r="435">
      <c r="A435" s="671"/>
      <c r="B435" s="671"/>
      <c r="C435" s="671"/>
      <c r="D435" s="671"/>
      <c r="E435" s="671"/>
      <c r="F435" s="671"/>
      <c r="G435" s="671"/>
      <c r="H435" s="671"/>
      <c r="I435" s="671"/>
      <c r="J435" s="671"/>
      <c r="K435" s="671"/>
      <c r="L435" s="671"/>
      <c r="M435" s="671"/>
      <c r="N435" s="671"/>
      <c r="O435" s="671"/>
      <c r="P435" s="671"/>
      <c r="Q435" s="671"/>
      <c r="R435" s="671"/>
      <c r="S435" s="671"/>
      <c r="T435" s="671"/>
      <c r="U435" s="671"/>
      <c r="V435" s="671"/>
      <c r="W435" s="671"/>
      <c r="X435" s="671"/>
      <c r="Y435" s="671"/>
      <c r="Z435" s="671"/>
      <c r="AA435" s="671"/>
      <c r="AB435" s="671"/>
    </row>
    <row r="436">
      <c r="A436" s="671"/>
      <c r="B436" s="671"/>
      <c r="C436" s="671"/>
      <c r="D436" s="671"/>
      <c r="E436" s="671"/>
      <c r="F436" s="671"/>
      <c r="G436" s="671"/>
      <c r="H436" s="671"/>
      <c r="I436" s="671"/>
      <c r="J436" s="671"/>
      <c r="K436" s="671"/>
      <c r="L436" s="671"/>
      <c r="M436" s="671"/>
      <c r="N436" s="671"/>
      <c r="O436" s="671"/>
      <c r="P436" s="671"/>
      <c r="Q436" s="671"/>
      <c r="R436" s="671"/>
      <c r="S436" s="671"/>
      <c r="T436" s="671"/>
      <c r="U436" s="671"/>
      <c r="V436" s="671"/>
      <c r="W436" s="671"/>
      <c r="X436" s="671"/>
      <c r="Y436" s="671"/>
      <c r="Z436" s="671"/>
      <c r="AA436" s="671"/>
      <c r="AB436" s="671"/>
    </row>
    <row r="437">
      <c r="A437" s="671"/>
      <c r="B437" s="671"/>
      <c r="C437" s="671"/>
      <c r="D437" s="671"/>
      <c r="E437" s="671"/>
      <c r="F437" s="671"/>
      <c r="G437" s="671"/>
      <c r="H437" s="671"/>
      <c r="I437" s="671"/>
      <c r="J437" s="671"/>
      <c r="K437" s="671"/>
      <c r="L437" s="671"/>
      <c r="M437" s="671"/>
      <c r="N437" s="671"/>
      <c r="O437" s="671"/>
      <c r="P437" s="671"/>
      <c r="Q437" s="671"/>
      <c r="R437" s="671"/>
      <c r="S437" s="671"/>
      <c r="T437" s="671"/>
      <c r="U437" s="671"/>
      <c r="V437" s="671"/>
      <c r="W437" s="671"/>
      <c r="X437" s="671"/>
      <c r="Y437" s="671"/>
      <c r="Z437" s="671"/>
      <c r="AA437" s="671"/>
      <c r="AB437" s="671"/>
    </row>
    <row r="438">
      <c r="A438" s="671"/>
      <c r="B438" s="671"/>
      <c r="C438" s="671"/>
      <c r="D438" s="671"/>
      <c r="E438" s="671"/>
      <c r="F438" s="671"/>
      <c r="G438" s="671"/>
      <c r="H438" s="671"/>
      <c r="I438" s="671"/>
      <c r="J438" s="671"/>
      <c r="K438" s="671"/>
      <c r="L438" s="671"/>
      <c r="M438" s="671"/>
      <c r="N438" s="671"/>
      <c r="O438" s="671"/>
      <c r="P438" s="671"/>
      <c r="Q438" s="671"/>
      <c r="R438" s="671"/>
      <c r="S438" s="671"/>
      <c r="T438" s="671"/>
      <c r="U438" s="671"/>
      <c r="V438" s="671"/>
      <c r="W438" s="671"/>
      <c r="X438" s="671"/>
      <c r="Y438" s="671"/>
      <c r="Z438" s="671"/>
      <c r="AA438" s="671"/>
      <c r="AB438" s="671"/>
    </row>
    <row r="439">
      <c r="A439" s="671"/>
      <c r="B439" s="671"/>
      <c r="C439" s="671"/>
      <c r="D439" s="671"/>
      <c r="E439" s="671"/>
      <c r="F439" s="671"/>
      <c r="G439" s="671"/>
      <c r="H439" s="671"/>
      <c r="I439" s="671"/>
      <c r="J439" s="671"/>
      <c r="K439" s="671"/>
      <c r="L439" s="671"/>
      <c r="M439" s="671"/>
      <c r="N439" s="671"/>
      <c r="O439" s="671"/>
      <c r="P439" s="671"/>
      <c r="Q439" s="671"/>
      <c r="R439" s="671"/>
      <c r="S439" s="671"/>
      <c r="T439" s="671"/>
      <c r="U439" s="671"/>
      <c r="V439" s="671"/>
      <c r="W439" s="671"/>
      <c r="X439" s="671"/>
      <c r="Y439" s="671"/>
      <c r="Z439" s="671"/>
      <c r="AA439" s="671"/>
      <c r="AB439" s="671"/>
    </row>
    <row r="440">
      <c r="A440" s="671"/>
      <c r="B440" s="671"/>
      <c r="C440" s="671"/>
      <c r="D440" s="671"/>
      <c r="E440" s="671"/>
      <c r="F440" s="671"/>
      <c r="G440" s="671"/>
      <c r="H440" s="671"/>
      <c r="I440" s="671"/>
      <c r="J440" s="671"/>
      <c r="K440" s="671"/>
      <c r="L440" s="671"/>
      <c r="M440" s="671"/>
      <c r="N440" s="671"/>
      <c r="O440" s="671"/>
      <c r="P440" s="671"/>
      <c r="Q440" s="671"/>
      <c r="R440" s="671"/>
      <c r="S440" s="671"/>
      <c r="T440" s="671"/>
      <c r="U440" s="671"/>
      <c r="V440" s="671"/>
      <c r="W440" s="671"/>
      <c r="X440" s="671"/>
      <c r="Y440" s="671"/>
      <c r="Z440" s="671"/>
      <c r="AA440" s="671"/>
      <c r="AB440" s="671"/>
    </row>
    <row r="441">
      <c r="A441" s="671"/>
      <c r="B441" s="671"/>
      <c r="C441" s="671"/>
      <c r="D441" s="671"/>
      <c r="E441" s="671"/>
      <c r="F441" s="671"/>
      <c r="G441" s="671"/>
      <c r="H441" s="671"/>
      <c r="I441" s="671"/>
      <c r="J441" s="671"/>
      <c r="K441" s="671"/>
      <c r="L441" s="671"/>
      <c r="M441" s="671"/>
      <c r="N441" s="671"/>
      <c r="O441" s="671"/>
      <c r="P441" s="671"/>
      <c r="Q441" s="671"/>
      <c r="R441" s="671"/>
      <c r="S441" s="671"/>
      <c r="T441" s="671"/>
      <c r="U441" s="671"/>
      <c r="V441" s="671"/>
      <c r="W441" s="671"/>
      <c r="X441" s="671"/>
      <c r="Y441" s="671"/>
      <c r="Z441" s="671"/>
      <c r="AA441" s="671"/>
      <c r="AB441" s="671"/>
    </row>
    <row r="442">
      <c r="A442" s="671"/>
      <c r="B442" s="671"/>
      <c r="C442" s="671"/>
      <c r="D442" s="671"/>
      <c r="E442" s="671"/>
      <c r="F442" s="671"/>
      <c r="G442" s="671"/>
      <c r="H442" s="671"/>
      <c r="I442" s="671"/>
      <c r="J442" s="671"/>
      <c r="K442" s="671"/>
      <c r="L442" s="671"/>
      <c r="M442" s="671"/>
      <c r="N442" s="671"/>
      <c r="O442" s="671"/>
      <c r="P442" s="671"/>
      <c r="Q442" s="671"/>
      <c r="R442" s="671"/>
      <c r="S442" s="671"/>
      <c r="T442" s="671"/>
      <c r="U442" s="671"/>
      <c r="V442" s="671"/>
      <c r="W442" s="671"/>
      <c r="X442" s="671"/>
      <c r="Y442" s="671"/>
      <c r="Z442" s="671"/>
      <c r="AA442" s="671"/>
      <c r="AB442" s="671"/>
    </row>
    <row r="443">
      <c r="A443" s="671"/>
      <c r="B443" s="671"/>
      <c r="C443" s="671"/>
      <c r="D443" s="671"/>
      <c r="E443" s="671"/>
      <c r="F443" s="671"/>
      <c r="G443" s="671"/>
      <c r="H443" s="671"/>
      <c r="I443" s="671"/>
      <c r="J443" s="671"/>
      <c r="K443" s="671"/>
      <c r="L443" s="671"/>
      <c r="M443" s="671"/>
      <c r="N443" s="671"/>
      <c r="O443" s="671"/>
      <c r="P443" s="671"/>
      <c r="Q443" s="671"/>
      <c r="R443" s="671"/>
      <c r="S443" s="671"/>
      <c r="T443" s="671"/>
      <c r="U443" s="671"/>
      <c r="V443" s="671"/>
      <c r="W443" s="671"/>
      <c r="X443" s="671"/>
      <c r="Y443" s="671"/>
      <c r="Z443" s="671"/>
      <c r="AA443" s="671"/>
      <c r="AB443" s="671"/>
    </row>
    <row r="444">
      <c r="A444" s="671"/>
      <c r="B444" s="671"/>
      <c r="C444" s="671"/>
      <c r="D444" s="671"/>
      <c r="E444" s="671"/>
      <c r="F444" s="671"/>
      <c r="G444" s="671"/>
      <c r="H444" s="671"/>
      <c r="I444" s="671"/>
      <c r="J444" s="671"/>
      <c r="K444" s="671"/>
      <c r="L444" s="671"/>
      <c r="M444" s="671"/>
      <c r="N444" s="671"/>
      <c r="O444" s="671"/>
      <c r="P444" s="671"/>
      <c r="Q444" s="671"/>
      <c r="R444" s="671"/>
      <c r="S444" s="671"/>
      <c r="T444" s="671"/>
      <c r="U444" s="671"/>
      <c r="V444" s="671"/>
      <c r="W444" s="671"/>
      <c r="X444" s="671"/>
      <c r="Y444" s="671"/>
      <c r="Z444" s="671"/>
      <c r="AA444" s="671"/>
      <c r="AB444" s="671"/>
    </row>
    <row r="445">
      <c r="A445" s="671"/>
      <c r="B445" s="671"/>
      <c r="C445" s="671"/>
      <c r="D445" s="671"/>
      <c r="E445" s="671"/>
      <c r="F445" s="671"/>
      <c r="G445" s="671"/>
      <c r="H445" s="671"/>
      <c r="I445" s="671"/>
      <c r="J445" s="671"/>
      <c r="K445" s="671"/>
      <c r="L445" s="671"/>
      <c r="M445" s="671"/>
      <c r="N445" s="671"/>
      <c r="O445" s="671"/>
      <c r="P445" s="671"/>
      <c r="Q445" s="671"/>
      <c r="R445" s="671"/>
      <c r="S445" s="671"/>
      <c r="T445" s="671"/>
      <c r="U445" s="671"/>
      <c r="V445" s="671"/>
      <c r="W445" s="671"/>
      <c r="X445" s="671"/>
      <c r="Y445" s="671"/>
      <c r="Z445" s="671"/>
      <c r="AA445" s="671"/>
      <c r="AB445" s="671"/>
    </row>
    <row r="446">
      <c r="A446" s="671"/>
      <c r="B446" s="671"/>
      <c r="C446" s="671"/>
      <c r="D446" s="671"/>
      <c r="E446" s="671"/>
      <c r="F446" s="671"/>
      <c r="G446" s="671"/>
      <c r="H446" s="671"/>
      <c r="I446" s="671"/>
      <c r="J446" s="671"/>
      <c r="K446" s="671"/>
      <c r="L446" s="671"/>
      <c r="M446" s="671"/>
      <c r="N446" s="671"/>
      <c r="O446" s="671"/>
      <c r="P446" s="671"/>
      <c r="Q446" s="671"/>
      <c r="R446" s="671"/>
      <c r="S446" s="671"/>
      <c r="T446" s="671"/>
      <c r="U446" s="671"/>
      <c r="V446" s="671"/>
      <c r="W446" s="671"/>
      <c r="X446" s="671"/>
      <c r="Y446" s="671"/>
      <c r="Z446" s="671"/>
      <c r="AA446" s="671"/>
      <c r="AB446" s="671"/>
    </row>
    <row r="447">
      <c r="A447" s="671"/>
      <c r="B447" s="671"/>
      <c r="C447" s="671"/>
      <c r="D447" s="671"/>
      <c r="E447" s="671"/>
      <c r="F447" s="671"/>
      <c r="G447" s="671"/>
      <c r="H447" s="671"/>
      <c r="I447" s="671"/>
      <c r="J447" s="671"/>
      <c r="K447" s="671"/>
      <c r="L447" s="671"/>
      <c r="M447" s="671"/>
      <c r="N447" s="671"/>
      <c r="O447" s="671"/>
      <c r="P447" s="671"/>
      <c r="Q447" s="671"/>
      <c r="R447" s="671"/>
      <c r="S447" s="671"/>
      <c r="T447" s="671"/>
      <c r="U447" s="671"/>
      <c r="V447" s="671"/>
      <c r="W447" s="671"/>
      <c r="X447" s="671"/>
      <c r="Y447" s="671"/>
      <c r="Z447" s="671"/>
      <c r="AA447" s="671"/>
      <c r="AB447" s="671"/>
    </row>
    <row r="448">
      <c r="A448" s="671"/>
      <c r="B448" s="671"/>
      <c r="C448" s="671"/>
      <c r="D448" s="671"/>
      <c r="E448" s="671"/>
      <c r="F448" s="671"/>
      <c r="G448" s="671"/>
      <c r="H448" s="671"/>
      <c r="I448" s="671"/>
      <c r="J448" s="671"/>
      <c r="K448" s="671"/>
      <c r="L448" s="671"/>
      <c r="M448" s="671"/>
      <c r="N448" s="671"/>
      <c r="O448" s="671"/>
      <c r="P448" s="671"/>
      <c r="Q448" s="671"/>
      <c r="R448" s="671"/>
      <c r="S448" s="671"/>
      <c r="T448" s="671"/>
      <c r="U448" s="671"/>
      <c r="V448" s="671"/>
      <c r="W448" s="671"/>
      <c r="X448" s="671"/>
      <c r="Y448" s="671"/>
      <c r="Z448" s="671"/>
      <c r="AA448" s="671"/>
      <c r="AB448" s="671"/>
    </row>
    <row r="449">
      <c r="A449" s="671"/>
      <c r="B449" s="671"/>
      <c r="C449" s="671"/>
      <c r="D449" s="671"/>
      <c r="E449" s="671"/>
      <c r="F449" s="671"/>
      <c r="G449" s="671"/>
      <c r="H449" s="671"/>
      <c r="I449" s="671"/>
      <c r="J449" s="671"/>
      <c r="K449" s="671"/>
      <c r="L449" s="671"/>
      <c r="M449" s="671"/>
      <c r="N449" s="671"/>
      <c r="O449" s="671"/>
      <c r="P449" s="671"/>
      <c r="Q449" s="671"/>
      <c r="R449" s="671"/>
      <c r="S449" s="671"/>
      <c r="T449" s="671"/>
      <c r="U449" s="671"/>
      <c r="V449" s="671"/>
      <c r="W449" s="671"/>
      <c r="X449" s="671"/>
      <c r="Y449" s="671"/>
      <c r="Z449" s="671"/>
      <c r="AA449" s="671"/>
      <c r="AB449" s="671"/>
    </row>
    <row r="450">
      <c r="A450" s="671"/>
      <c r="B450" s="671"/>
      <c r="C450" s="671"/>
      <c r="D450" s="671"/>
      <c r="E450" s="671"/>
      <c r="F450" s="671"/>
      <c r="G450" s="671"/>
      <c r="H450" s="671"/>
      <c r="I450" s="671"/>
      <c r="J450" s="671"/>
      <c r="K450" s="671"/>
      <c r="L450" s="671"/>
      <c r="M450" s="671"/>
      <c r="N450" s="671"/>
      <c r="O450" s="671"/>
      <c r="P450" s="671"/>
      <c r="Q450" s="671"/>
      <c r="R450" s="671"/>
      <c r="S450" s="671"/>
      <c r="T450" s="671"/>
      <c r="U450" s="671"/>
      <c r="V450" s="671"/>
      <c r="W450" s="671"/>
      <c r="X450" s="671"/>
      <c r="Y450" s="671"/>
      <c r="Z450" s="671"/>
      <c r="AA450" s="671"/>
      <c r="AB450" s="671"/>
    </row>
    <row r="451">
      <c r="A451" s="671"/>
      <c r="B451" s="671"/>
      <c r="C451" s="671"/>
      <c r="D451" s="671"/>
      <c r="E451" s="671"/>
      <c r="F451" s="671"/>
      <c r="G451" s="671"/>
      <c r="H451" s="671"/>
      <c r="I451" s="671"/>
      <c r="J451" s="671"/>
      <c r="K451" s="671"/>
      <c r="L451" s="671"/>
      <c r="M451" s="671"/>
      <c r="N451" s="671"/>
      <c r="O451" s="671"/>
      <c r="P451" s="671"/>
      <c r="Q451" s="671"/>
      <c r="R451" s="671"/>
      <c r="S451" s="671"/>
      <c r="T451" s="671"/>
      <c r="U451" s="671"/>
      <c r="V451" s="671"/>
      <c r="W451" s="671"/>
      <c r="X451" s="671"/>
      <c r="Y451" s="671"/>
      <c r="Z451" s="671"/>
      <c r="AA451" s="671"/>
      <c r="AB451" s="671"/>
    </row>
    <row r="452">
      <c r="A452" s="671"/>
      <c r="B452" s="671"/>
      <c r="C452" s="671"/>
      <c r="D452" s="671"/>
      <c r="E452" s="671"/>
      <c r="F452" s="671"/>
      <c r="G452" s="671"/>
      <c r="H452" s="671"/>
      <c r="I452" s="671"/>
      <c r="J452" s="671"/>
      <c r="K452" s="671"/>
      <c r="L452" s="671"/>
      <c r="M452" s="671"/>
      <c r="N452" s="671"/>
      <c r="O452" s="671"/>
      <c r="P452" s="671"/>
      <c r="Q452" s="671"/>
      <c r="R452" s="671"/>
      <c r="S452" s="671"/>
      <c r="T452" s="671"/>
      <c r="U452" s="671"/>
      <c r="V452" s="671"/>
      <c r="W452" s="671"/>
      <c r="X452" s="671"/>
      <c r="Y452" s="671"/>
      <c r="Z452" s="671"/>
      <c r="AA452" s="671"/>
      <c r="AB452" s="671"/>
    </row>
    <row r="453">
      <c r="A453" s="671"/>
      <c r="B453" s="671"/>
      <c r="C453" s="671"/>
      <c r="D453" s="671"/>
      <c r="E453" s="671"/>
      <c r="F453" s="671"/>
      <c r="G453" s="671"/>
      <c r="H453" s="671"/>
      <c r="I453" s="671"/>
      <c r="J453" s="671"/>
      <c r="K453" s="671"/>
      <c r="L453" s="671"/>
      <c r="M453" s="671"/>
      <c r="N453" s="671"/>
      <c r="O453" s="671"/>
      <c r="P453" s="671"/>
      <c r="Q453" s="671"/>
      <c r="R453" s="671"/>
      <c r="S453" s="671"/>
      <c r="T453" s="671"/>
      <c r="U453" s="671"/>
      <c r="V453" s="671"/>
      <c r="W453" s="671"/>
      <c r="X453" s="671"/>
      <c r="Y453" s="671"/>
      <c r="Z453" s="671"/>
      <c r="AA453" s="671"/>
      <c r="AB453" s="671"/>
    </row>
    <row r="454">
      <c r="A454" s="671"/>
      <c r="B454" s="671"/>
      <c r="C454" s="671"/>
      <c r="D454" s="671"/>
      <c r="E454" s="671"/>
      <c r="F454" s="671"/>
      <c r="G454" s="671"/>
      <c r="H454" s="671"/>
      <c r="I454" s="671"/>
      <c r="J454" s="671"/>
      <c r="K454" s="671"/>
      <c r="L454" s="671"/>
      <c r="M454" s="671"/>
      <c r="N454" s="671"/>
      <c r="O454" s="671"/>
      <c r="P454" s="671"/>
      <c r="Q454" s="671"/>
      <c r="R454" s="671"/>
      <c r="S454" s="671"/>
      <c r="T454" s="671"/>
      <c r="U454" s="671"/>
      <c r="V454" s="671"/>
      <c r="W454" s="671"/>
      <c r="X454" s="671"/>
      <c r="Y454" s="671"/>
      <c r="Z454" s="671"/>
      <c r="AA454" s="671"/>
      <c r="AB454" s="671"/>
    </row>
    <row r="455">
      <c r="A455" s="671"/>
      <c r="B455" s="671"/>
      <c r="C455" s="671"/>
      <c r="D455" s="671"/>
      <c r="E455" s="671"/>
      <c r="F455" s="671"/>
      <c r="G455" s="671"/>
      <c r="H455" s="671"/>
      <c r="I455" s="671"/>
      <c r="J455" s="671"/>
      <c r="K455" s="671"/>
      <c r="L455" s="671"/>
      <c r="M455" s="671"/>
      <c r="N455" s="671"/>
      <c r="O455" s="671"/>
      <c r="P455" s="671"/>
      <c r="Q455" s="671"/>
      <c r="R455" s="671"/>
      <c r="S455" s="671"/>
      <c r="T455" s="671"/>
      <c r="U455" s="671"/>
      <c r="V455" s="671"/>
      <c r="W455" s="671"/>
      <c r="X455" s="671"/>
      <c r="Y455" s="671"/>
      <c r="Z455" s="671"/>
      <c r="AA455" s="671"/>
      <c r="AB455" s="671"/>
    </row>
    <row r="456">
      <c r="A456" s="671"/>
      <c r="B456" s="671"/>
      <c r="C456" s="671"/>
      <c r="D456" s="671"/>
      <c r="E456" s="671"/>
      <c r="F456" s="671"/>
      <c r="G456" s="671"/>
      <c r="H456" s="671"/>
      <c r="I456" s="671"/>
      <c r="J456" s="671"/>
      <c r="K456" s="671"/>
      <c r="L456" s="671"/>
      <c r="M456" s="671"/>
      <c r="N456" s="671"/>
      <c r="O456" s="671"/>
      <c r="P456" s="671"/>
      <c r="Q456" s="671"/>
      <c r="R456" s="671"/>
      <c r="S456" s="671"/>
      <c r="T456" s="671"/>
      <c r="U456" s="671"/>
      <c r="V456" s="671"/>
      <c r="W456" s="671"/>
      <c r="X456" s="671"/>
      <c r="Y456" s="671"/>
      <c r="Z456" s="671"/>
      <c r="AA456" s="671"/>
      <c r="AB456" s="671"/>
    </row>
    <row r="457">
      <c r="A457" s="671"/>
      <c r="B457" s="671"/>
      <c r="C457" s="671"/>
      <c r="D457" s="671"/>
      <c r="E457" s="671"/>
      <c r="F457" s="671"/>
      <c r="G457" s="671"/>
      <c r="H457" s="671"/>
      <c r="I457" s="671"/>
      <c r="J457" s="671"/>
      <c r="K457" s="671"/>
      <c r="L457" s="671"/>
      <c r="M457" s="671"/>
      <c r="N457" s="671"/>
      <c r="O457" s="671"/>
      <c r="P457" s="671"/>
      <c r="Q457" s="671"/>
      <c r="R457" s="671"/>
      <c r="S457" s="671"/>
      <c r="T457" s="671"/>
      <c r="U457" s="671"/>
      <c r="V457" s="671"/>
      <c r="W457" s="671"/>
      <c r="X457" s="671"/>
      <c r="Y457" s="671"/>
      <c r="Z457" s="671"/>
      <c r="AA457" s="671"/>
      <c r="AB457" s="671"/>
    </row>
    <row r="458">
      <c r="A458" s="671"/>
      <c r="B458" s="671"/>
      <c r="C458" s="671"/>
      <c r="D458" s="671"/>
      <c r="E458" s="671"/>
      <c r="F458" s="671"/>
      <c r="G458" s="671"/>
      <c r="H458" s="671"/>
      <c r="I458" s="671"/>
      <c r="J458" s="671"/>
      <c r="K458" s="671"/>
      <c r="L458" s="671"/>
      <c r="M458" s="671"/>
      <c r="N458" s="671"/>
      <c r="O458" s="671"/>
      <c r="P458" s="671"/>
      <c r="Q458" s="671"/>
      <c r="R458" s="671"/>
      <c r="S458" s="671"/>
      <c r="T458" s="671"/>
      <c r="U458" s="671"/>
      <c r="V458" s="671"/>
      <c r="W458" s="671"/>
      <c r="X458" s="671"/>
      <c r="Y458" s="671"/>
      <c r="Z458" s="671"/>
      <c r="AA458" s="671"/>
      <c r="AB458" s="671"/>
    </row>
    <row r="459">
      <c r="A459" s="671"/>
      <c r="B459" s="671"/>
      <c r="C459" s="671"/>
      <c r="D459" s="671"/>
      <c r="E459" s="671"/>
      <c r="F459" s="671"/>
      <c r="G459" s="671"/>
      <c r="H459" s="671"/>
      <c r="I459" s="671"/>
      <c r="J459" s="671"/>
      <c r="K459" s="671"/>
      <c r="L459" s="671"/>
      <c r="M459" s="671"/>
      <c r="N459" s="671"/>
      <c r="O459" s="671"/>
      <c r="P459" s="671"/>
      <c r="Q459" s="671"/>
      <c r="R459" s="671"/>
      <c r="S459" s="671"/>
      <c r="T459" s="671"/>
      <c r="U459" s="671"/>
      <c r="V459" s="671"/>
      <c r="W459" s="671"/>
      <c r="X459" s="671"/>
      <c r="Y459" s="671"/>
      <c r="Z459" s="671"/>
      <c r="AA459" s="671"/>
      <c r="AB459" s="671"/>
    </row>
    <row r="460">
      <c r="A460" s="671"/>
      <c r="B460" s="671"/>
      <c r="C460" s="671"/>
      <c r="D460" s="671"/>
      <c r="E460" s="671"/>
      <c r="F460" s="671"/>
      <c r="G460" s="671"/>
      <c r="H460" s="671"/>
      <c r="I460" s="671"/>
      <c r="J460" s="671"/>
      <c r="K460" s="671"/>
      <c r="L460" s="671"/>
      <c r="M460" s="671"/>
      <c r="N460" s="671"/>
      <c r="O460" s="671"/>
      <c r="P460" s="671"/>
      <c r="Q460" s="671"/>
      <c r="R460" s="671"/>
      <c r="S460" s="671"/>
      <c r="T460" s="671"/>
      <c r="U460" s="671"/>
      <c r="V460" s="671"/>
      <c r="W460" s="671"/>
      <c r="X460" s="671"/>
      <c r="Y460" s="671"/>
      <c r="Z460" s="671"/>
      <c r="AA460" s="671"/>
      <c r="AB460" s="671"/>
    </row>
    <row r="461">
      <c r="A461" s="671"/>
      <c r="B461" s="671"/>
      <c r="C461" s="671"/>
      <c r="D461" s="671"/>
      <c r="E461" s="671"/>
      <c r="F461" s="671"/>
      <c r="G461" s="671"/>
      <c r="H461" s="671"/>
      <c r="I461" s="671"/>
      <c r="J461" s="671"/>
      <c r="K461" s="671"/>
      <c r="L461" s="671"/>
      <c r="M461" s="671"/>
      <c r="N461" s="671"/>
      <c r="O461" s="671"/>
      <c r="P461" s="671"/>
      <c r="Q461" s="671"/>
      <c r="R461" s="671"/>
      <c r="S461" s="671"/>
      <c r="T461" s="671"/>
      <c r="U461" s="671"/>
      <c r="V461" s="671"/>
      <c r="W461" s="671"/>
      <c r="X461" s="671"/>
      <c r="Y461" s="671"/>
      <c r="Z461" s="671"/>
      <c r="AA461" s="671"/>
      <c r="AB461" s="671"/>
    </row>
    <row r="462">
      <c r="A462" s="671"/>
      <c r="B462" s="671"/>
      <c r="C462" s="671"/>
      <c r="D462" s="671"/>
      <c r="E462" s="671"/>
      <c r="F462" s="671"/>
      <c r="G462" s="671"/>
      <c r="H462" s="671"/>
      <c r="I462" s="671"/>
      <c r="J462" s="671"/>
      <c r="K462" s="671"/>
      <c r="L462" s="671"/>
      <c r="M462" s="671"/>
      <c r="N462" s="671"/>
      <c r="O462" s="671"/>
      <c r="P462" s="671"/>
      <c r="Q462" s="671"/>
      <c r="R462" s="671"/>
      <c r="S462" s="671"/>
      <c r="T462" s="671"/>
      <c r="U462" s="671"/>
      <c r="V462" s="671"/>
      <c r="W462" s="671"/>
      <c r="X462" s="671"/>
      <c r="Y462" s="671"/>
      <c r="Z462" s="671"/>
      <c r="AA462" s="671"/>
      <c r="AB462" s="671"/>
    </row>
    <row r="463">
      <c r="A463" s="671"/>
      <c r="B463" s="671"/>
      <c r="C463" s="671"/>
      <c r="D463" s="671"/>
      <c r="E463" s="671"/>
      <c r="F463" s="671"/>
      <c r="G463" s="671"/>
      <c r="H463" s="671"/>
      <c r="I463" s="671"/>
      <c r="J463" s="671"/>
      <c r="K463" s="671"/>
      <c r="L463" s="671"/>
      <c r="M463" s="671"/>
      <c r="N463" s="671"/>
      <c r="O463" s="671"/>
      <c r="P463" s="671"/>
      <c r="Q463" s="671"/>
      <c r="R463" s="671"/>
      <c r="S463" s="671"/>
      <c r="T463" s="671"/>
      <c r="U463" s="671"/>
      <c r="V463" s="671"/>
      <c r="W463" s="671"/>
      <c r="X463" s="671"/>
      <c r="Y463" s="671"/>
      <c r="Z463" s="671"/>
      <c r="AA463" s="671"/>
      <c r="AB463" s="671"/>
    </row>
    <row r="464">
      <c r="A464" s="671"/>
      <c r="B464" s="671"/>
      <c r="C464" s="671"/>
      <c r="D464" s="671"/>
      <c r="E464" s="671"/>
      <c r="F464" s="671"/>
      <c r="G464" s="671"/>
      <c r="H464" s="671"/>
      <c r="I464" s="671"/>
      <c r="J464" s="671"/>
      <c r="K464" s="671"/>
      <c r="L464" s="671"/>
      <c r="M464" s="671"/>
      <c r="N464" s="671"/>
      <c r="O464" s="671"/>
      <c r="P464" s="671"/>
      <c r="Q464" s="671"/>
      <c r="R464" s="671"/>
      <c r="S464" s="671"/>
      <c r="T464" s="671"/>
      <c r="U464" s="671"/>
      <c r="V464" s="671"/>
      <c r="W464" s="671"/>
      <c r="X464" s="671"/>
      <c r="Y464" s="671"/>
      <c r="Z464" s="671"/>
      <c r="AA464" s="671"/>
      <c r="AB464" s="671"/>
    </row>
    <row r="465">
      <c r="A465" s="671"/>
      <c r="B465" s="671"/>
      <c r="C465" s="671"/>
      <c r="D465" s="671"/>
      <c r="E465" s="671"/>
      <c r="F465" s="671"/>
      <c r="G465" s="671"/>
      <c r="H465" s="671"/>
      <c r="I465" s="671"/>
      <c r="J465" s="671"/>
      <c r="K465" s="671"/>
      <c r="L465" s="671"/>
      <c r="M465" s="671"/>
      <c r="N465" s="671"/>
      <c r="O465" s="671"/>
      <c r="P465" s="671"/>
      <c r="Q465" s="671"/>
      <c r="R465" s="671"/>
      <c r="S465" s="671"/>
      <c r="T465" s="671"/>
      <c r="U465" s="671"/>
      <c r="V465" s="671"/>
      <c r="W465" s="671"/>
      <c r="X465" s="671"/>
      <c r="Y465" s="671"/>
      <c r="Z465" s="671"/>
      <c r="AA465" s="671"/>
      <c r="AB465" s="671"/>
    </row>
    <row r="466">
      <c r="A466" s="671"/>
      <c r="B466" s="671"/>
      <c r="C466" s="671"/>
      <c r="D466" s="671"/>
      <c r="E466" s="671"/>
      <c r="F466" s="671"/>
      <c r="G466" s="671"/>
      <c r="H466" s="671"/>
      <c r="I466" s="671"/>
      <c r="J466" s="671"/>
      <c r="K466" s="671"/>
      <c r="L466" s="671"/>
      <c r="M466" s="671"/>
      <c r="N466" s="671"/>
      <c r="O466" s="671"/>
      <c r="P466" s="671"/>
      <c r="Q466" s="671"/>
      <c r="R466" s="671"/>
      <c r="S466" s="671"/>
      <c r="T466" s="671"/>
      <c r="U466" s="671"/>
      <c r="V466" s="671"/>
      <c r="W466" s="671"/>
      <c r="X466" s="671"/>
      <c r="Y466" s="671"/>
      <c r="Z466" s="671"/>
      <c r="AA466" s="671"/>
      <c r="AB466" s="671"/>
    </row>
    <row r="467">
      <c r="A467" s="671"/>
      <c r="B467" s="671"/>
      <c r="C467" s="671"/>
      <c r="D467" s="671"/>
      <c r="E467" s="671"/>
      <c r="F467" s="671"/>
      <c r="G467" s="671"/>
      <c r="H467" s="671"/>
      <c r="I467" s="671"/>
      <c r="J467" s="671"/>
      <c r="K467" s="671"/>
      <c r="L467" s="671"/>
      <c r="M467" s="671"/>
      <c r="N467" s="671"/>
      <c r="O467" s="671"/>
      <c r="P467" s="671"/>
      <c r="Q467" s="671"/>
      <c r="R467" s="671"/>
      <c r="S467" s="671"/>
      <c r="T467" s="671"/>
      <c r="U467" s="671"/>
      <c r="V467" s="671"/>
      <c r="W467" s="671"/>
      <c r="X467" s="671"/>
      <c r="Y467" s="671"/>
      <c r="Z467" s="671"/>
      <c r="AA467" s="671"/>
      <c r="AB467" s="671"/>
    </row>
    <row r="468">
      <c r="A468" s="671"/>
      <c r="B468" s="671"/>
      <c r="C468" s="671"/>
      <c r="D468" s="671"/>
      <c r="E468" s="671"/>
      <c r="F468" s="671"/>
      <c r="G468" s="671"/>
      <c r="H468" s="671"/>
      <c r="I468" s="671"/>
      <c r="J468" s="671"/>
      <c r="K468" s="671"/>
      <c r="L468" s="671"/>
      <c r="M468" s="671"/>
      <c r="N468" s="671"/>
      <c r="O468" s="671"/>
      <c r="P468" s="671"/>
      <c r="Q468" s="671"/>
      <c r="R468" s="671"/>
      <c r="S468" s="671"/>
      <c r="T468" s="671"/>
      <c r="U468" s="671"/>
      <c r="V468" s="671"/>
      <c r="W468" s="671"/>
      <c r="X468" s="671"/>
      <c r="Y468" s="671"/>
      <c r="Z468" s="671"/>
      <c r="AA468" s="671"/>
      <c r="AB468" s="671"/>
    </row>
    <row r="469">
      <c r="A469" s="671"/>
      <c r="B469" s="671"/>
      <c r="C469" s="671"/>
      <c r="D469" s="671"/>
      <c r="E469" s="671"/>
      <c r="F469" s="671"/>
      <c r="G469" s="671"/>
      <c r="H469" s="671"/>
      <c r="I469" s="671"/>
      <c r="J469" s="671"/>
      <c r="K469" s="671"/>
      <c r="L469" s="671"/>
      <c r="M469" s="671"/>
      <c r="N469" s="671"/>
      <c r="O469" s="671"/>
      <c r="P469" s="671"/>
      <c r="Q469" s="671"/>
      <c r="R469" s="671"/>
      <c r="S469" s="671"/>
      <c r="T469" s="671"/>
      <c r="U469" s="671"/>
      <c r="V469" s="671"/>
      <c r="W469" s="671"/>
      <c r="X469" s="671"/>
      <c r="Y469" s="671"/>
      <c r="Z469" s="671"/>
      <c r="AA469" s="671"/>
      <c r="AB469" s="671"/>
    </row>
    <row r="470">
      <c r="A470" s="671"/>
      <c r="B470" s="671"/>
      <c r="C470" s="671"/>
      <c r="D470" s="671"/>
      <c r="E470" s="671"/>
      <c r="F470" s="671"/>
      <c r="G470" s="671"/>
      <c r="H470" s="671"/>
      <c r="I470" s="671"/>
      <c r="J470" s="671"/>
      <c r="K470" s="671"/>
      <c r="L470" s="671"/>
      <c r="M470" s="671"/>
      <c r="N470" s="671"/>
      <c r="O470" s="671"/>
      <c r="P470" s="671"/>
      <c r="Q470" s="671"/>
      <c r="R470" s="671"/>
      <c r="S470" s="671"/>
      <c r="T470" s="671"/>
      <c r="U470" s="671"/>
      <c r="V470" s="671"/>
      <c r="W470" s="671"/>
      <c r="X470" s="671"/>
      <c r="Y470" s="671"/>
      <c r="Z470" s="671"/>
      <c r="AA470" s="671"/>
      <c r="AB470" s="671"/>
    </row>
    <row r="471">
      <c r="A471" s="671"/>
      <c r="B471" s="671"/>
      <c r="C471" s="671"/>
      <c r="D471" s="671"/>
      <c r="E471" s="671"/>
      <c r="F471" s="671"/>
      <c r="G471" s="671"/>
      <c r="H471" s="671"/>
      <c r="I471" s="671"/>
      <c r="J471" s="671"/>
      <c r="K471" s="671"/>
      <c r="L471" s="671"/>
      <c r="M471" s="671"/>
      <c r="N471" s="671"/>
      <c r="O471" s="671"/>
      <c r="P471" s="671"/>
      <c r="Q471" s="671"/>
      <c r="R471" s="671"/>
      <c r="S471" s="671"/>
      <c r="T471" s="671"/>
      <c r="U471" s="671"/>
      <c r="V471" s="671"/>
      <c r="W471" s="671"/>
      <c r="X471" s="671"/>
      <c r="Y471" s="671"/>
      <c r="Z471" s="671"/>
      <c r="AA471" s="671"/>
      <c r="AB471" s="671"/>
    </row>
    <row r="472">
      <c r="A472" s="671"/>
      <c r="B472" s="671"/>
      <c r="C472" s="671"/>
      <c r="D472" s="671"/>
      <c r="E472" s="671"/>
      <c r="F472" s="671"/>
      <c r="G472" s="671"/>
      <c r="H472" s="671"/>
      <c r="I472" s="671"/>
      <c r="J472" s="671"/>
      <c r="K472" s="671"/>
      <c r="L472" s="671"/>
      <c r="M472" s="671"/>
      <c r="N472" s="671"/>
      <c r="O472" s="671"/>
      <c r="P472" s="671"/>
      <c r="Q472" s="671"/>
      <c r="R472" s="671"/>
      <c r="S472" s="671"/>
      <c r="T472" s="671"/>
      <c r="U472" s="671"/>
      <c r="V472" s="671"/>
      <c r="W472" s="671"/>
      <c r="X472" s="671"/>
      <c r="Y472" s="671"/>
      <c r="Z472" s="671"/>
      <c r="AA472" s="671"/>
      <c r="AB472" s="671"/>
    </row>
    <row r="473">
      <c r="A473" s="671"/>
      <c r="B473" s="671"/>
      <c r="C473" s="671"/>
      <c r="D473" s="671"/>
      <c r="E473" s="671"/>
      <c r="F473" s="671"/>
      <c r="G473" s="671"/>
      <c r="H473" s="671"/>
      <c r="I473" s="671"/>
      <c r="J473" s="671"/>
      <c r="K473" s="671"/>
      <c r="L473" s="671"/>
      <c r="M473" s="671"/>
      <c r="N473" s="671"/>
      <c r="O473" s="671"/>
      <c r="P473" s="671"/>
      <c r="Q473" s="671"/>
      <c r="R473" s="671"/>
      <c r="S473" s="671"/>
      <c r="T473" s="671"/>
      <c r="U473" s="671"/>
      <c r="V473" s="671"/>
      <c r="W473" s="671"/>
      <c r="X473" s="671"/>
      <c r="Y473" s="671"/>
      <c r="Z473" s="671"/>
      <c r="AA473" s="671"/>
      <c r="AB473" s="671"/>
    </row>
    <row r="474">
      <c r="A474" s="671"/>
      <c r="B474" s="671"/>
      <c r="C474" s="671"/>
      <c r="D474" s="671"/>
      <c r="E474" s="671"/>
      <c r="F474" s="671"/>
      <c r="G474" s="671"/>
      <c r="H474" s="671"/>
      <c r="I474" s="671"/>
      <c r="J474" s="671"/>
      <c r="K474" s="671"/>
      <c r="L474" s="671"/>
      <c r="M474" s="671"/>
      <c r="N474" s="671"/>
      <c r="O474" s="671"/>
      <c r="P474" s="671"/>
      <c r="Q474" s="671"/>
      <c r="R474" s="671"/>
      <c r="S474" s="671"/>
      <c r="T474" s="671"/>
      <c r="U474" s="671"/>
      <c r="V474" s="671"/>
      <c r="W474" s="671"/>
      <c r="X474" s="671"/>
      <c r="Y474" s="671"/>
      <c r="Z474" s="671"/>
      <c r="AA474" s="671"/>
      <c r="AB474" s="671"/>
    </row>
    <row r="475">
      <c r="A475" s="671"/>
      <c r="B475" s="671"/>
      <c r="C475" s="671"/>
      <c r="D475" s="671"/>
      <c r="E475" s="671"/>
      <c r="F475" s="671"/>
      <c r="G475" s="671"/>
      <c r="H475" s="671"/>
      <c r="I475" s="671"/>
      <c r="J475" s="671"/>
      <c r="K475" s="671"/>
      <c r="L475" s="671"/>
      <c r="M475" s="671"/>
      <c r="N475" s="671"/>
      <c r="O475" s="671"/>
      <c r="P475" s="671"/>
      <c r="Q475" s="671"/>
      <c r="R475" s="671"/>
      <c r="S475" s="671"/>
      <c r="T475" s="671"/>
      <c r="U475" s="671"/>
      <c r="V475" s="671"/>
      <c r="W475" s="671"/>
      <c r="X475" s="671"/>
      <c r="Y475" s="671"/>
      <c r="Z475" s="671"/>
      <c r="AA475" s="671"/>
      <c r="AB475" s="671"/>
    </row>
    <row r="476">
      <c r="A476" s="671"/>
      <c r="B476" s="671"/>
      <c r="C476" s="671"/>
      <c r="D476" s="671"/>
      <c r="E476" s="671"/>
      <c r="F476" s="671"/>
      <c r="G476" s="671"/>
      <c r="H476" s="671"/>
      <c r="I476" s="671"/>
      <c r="J476" s="671"/>
      <c r="K476" s="671"/>
      <c r="L476" s="671"/>
      <c r="M476" s="671"/>
      <c r="N476" s="671"/>
      <c r="O476" s="671"/>
      <c r="P476" s="671"/>
      <c r="Q476" s="671"/>
      <c r="R476" s="671"/>
      <c r="S476" s="671"/>
      <c r="T476" s="671"/>
      <c r="U476" s="671"/>
      <c r="V476" s="671"/>
      <c r="W476" s="671"/>
      <c r="X476" s="671"/>
      <c r="Y476" s="671"/>
      <c r="Z476" s="671"/>
      <c r="AA476" s="671"/>
      <c r="AB476" s="671"/>
    </row>
    <row r="477">
      <c r="A477" s="671"/>
      <c r="B477" s="671"/>
      <c r="C477" s="671"/>
      <c r="D477" s="671"/>
      <c r="E477" s="671"/>
      <c r="F477" s="671"/>
      <c r="G477" s="671"/>
      <c r="H477" s="671"/>
      <c r="I477" s="671"/>
      <c r="J477" s="671"/>
      <c r="K477" s="671"/>
      <c r="L477" s="671"/>
      <c r="M477" s="671"/>
      <c r="N477" s="671"/>
      <c r="O477" s="671"/>
      <c r="P477" s="671"/>
      <c r="Q477" s="671"/>
      <c r="R477" s="671"/>
      <c r="S477" s="671"/>
      <c r="T477" s="671"/>
      <c r="U477" s="671"/>
      <c r="V477" s="671"/>
      <c r="W477" s="671"/>
      <c r="X477" s="671"/>
      <c r="Y477" s="671"/>
      <c r="Z477" s="671"/>
      <c r="AA477" s="671"/>
      <c r="AB477" s="671"/>
    </row>
    <row r="478">
      <c r="A478" s="671"/>
      <c r="B478" s="671"/>
      <c r="C478" s="671"/>
      <c r="D478" s="671"/>
      <c r="E478" s="671"/>
      <c r="F478" s="671"/>
      <c r="G478" s="671"/>
      <c r="H478" s="671"/>
      <c r="I478" s="671"/>
      <c r="J478" s="671"/>
      <c r="K478" s="671"/>
      <c r="L478" s="671"/>
      <c r="M478" s="671"/>
      <c r="N478" s="671"/>
      <c r="O478" s="671"/>
      <c r="P478" s="671"/>
      <c r="Q478" s="671"/>
      <c r="R478" s="671"/>
      <c r="S478" s="671"/>
      <c r="T478" s="671"/>
      <c r="U478" s="671"/>
      <c r="V478" s="671"/>
      <c r="W478" s="671"/>
      <c r="X478" s="671"/>
      <c r="Y478" s="671"/>
      <c r="Z478" s="671"/>
      <c r="AA478" s="671"/>
      <c r="AB478" s="671"/>
    </row>
    <row r="479">
      <c r="A479" s="671"/>
      <c r="B479" s="671"/>
      <c r="C479" s="671"/>
      <c r="D479" s="671"/>
      <c r="E479" s="671"/>
      <c r="F479" s="671"/>
      <c r="G479" s="671"/>
      <c r="H479" s="671"/>
      <c r="I479" s="671"/>
      <c r="J479" s="671"/>
      <c r="K479" s="671"/>
      <c r="L479" s="671"/>
      <c r="M479" s="671"/>
      <c r="N479" s="671"/>
      <c r="O479" s="671"/>
      <c r="P479" s="671"/>
      <c r="Q479" s="671"/>
      <c r="R479" s="671"/>
      <c r="S479" s="671"/>
      <c r="T479" s="671"/>
      <c r="U479" s="671"/>
      <c r="V479" s="671"/>
      <c r="W479" s="671"/>
      <c r="X479" s="671"/>
      <c r="Y479" s="671"/>
      <c r="Z479" s="671"/>
      <c r="AA479" s="671"/>
      <c r="AB479" s="671"/>
    </row>
    <row r="480">
      <c r="A480" s="671"/>
      <c r="B480" s="671"/>
      <c r="C480" s="671"/>
      <c r="D480" s="671"/>
      <c r="E480" s="671"/>
      <c r="F480" s="671"/>
      <c r="G480" s="671"/>
      <c r="H480" s="671"/>
      <c r="I480" s="671"/>
      <c r="J480" s="671"/>
      <c r="K480" s="671"/>
      <c r="L480" s="671"/>
      <c r="M480" s="671"/>
      <c r="N480" s="671"/>
      <c r="O480" s="671"/>
      <c r="P480" s="671"/>
      <c r="Q480" s="671"/>
      <c r="R480" s="671"/>
      <c r="S480" s="671"/>
      <c r="T480" s="671"/>
      <c r="U480" s="671"/>
      <c r="V480" s="671"/>
      <c r="W480" s="671"/>
      <c r="X480" s="671"/>
      <c r="Y480" s="671"/>
      <c r="Z480" s="671"/>
      <c r="AA480" s="671"/>
      <c r="AB480" s="671"/>
    </row>
    <row r="481">
      <c r="A481" s="671"/>
      <c r="B481" s="671"/>
      <c r="C481" s="671"/>
      <c r="D481" s="671"/>
      <c r="E481" s="671"/>
      <c r="F481" s="671"/>
      <c r="G481" s="671"/>
      <c r="H481" s="671"/>
      <c r="I481" s="671"/>
      <c r="J481" s="671"/>
      <c r="K481" s="671"/>
      <c r="L481" s="671"/>
      <c r="M481" s="671"/>
      <c r="N481" s="671"/>
      <c r="O481" s="671"/>
      <c r="P481" s="671"/>
      <c r="Q481" s="671"/>
      <c r="R481" s="671"/>
      <c r="S481" s="671"/>
      <c r="T481" s="671"/>
      <c r="U481" s="671"/>
      <c r="V481" s="671"/>
      <c r="W481" s="671"/>
      <c r="X481" s="671"/>
      <c r="Y481" s="671"/>
      <c r="Z481" s="671"/>
      <c r="AA481" s="671"/>
      <c r="AB481" s="671"/>
    </row>
    <row r="482">
      <c r="A482" s="671"/>
      <c r="B482" s="671"/>
      <c r="C482" s="671"/>
      <c r="D482" s="671"/>
      <c r="E482" s="671"/>
      <c r="F482" s="671"/>
      <c r="G482" s="671"/>
      <c r="H482" s="671"/>
      <c r="I482" s="671"/>
      <c r="J482" s="671"/>
      <c r="K482" s="671"/>
      <c r="L482" s="671"/>
      <c r="M482" s="671"/>
      <c r="N482" s="671"/>
      <c r="O482" s="671"/>
      <c r="P482" s="671"/>
      <c r="Q482" s="671"/>
      <c r="R482" s="671"/>
      <c r="S482" s="671"/>
      <c r="T482" s="671"/>
      <c r="U482" s="671"/>
      <c r="V482" s="671"/>
      <c r="W482" s="671"/>
      <c r="X482" s="671"/>
      <c r="Y482" s="671"/>
      <c r="Z482" s="671"/>
      <c r="AA482" s="671"/>
      <c r="AB482" s="671"/>
    </row>
    <row r="483">
      <c r="A483" s="671"/>
      <c r="B483" s="671"/>
      <c r="C483" s="671"/>
      <c r="D483" s="671"/>
      <c r="E483" s="671"/>
      <c r="F483" s="671"/>
      <c r="G483" s="671"/>
      <c r="H483" s="671"/>
      <c r="I483" s="671"/>
      <c r="J483" s="671"/>
      <c r="K483" s="671"/>
      <c r="L483" s="671"/>
      <c r="M483" s="671"/>
      <c r="N483" s="671"/>
      <c r="O483" s="671"/>
      <c r="P483" s="671"/>
      <c r="Q483" s="671"/>
      <c r="R483" s="671"/>
      <c r="S483" s="671"/>
      <c r="T483" s="671"/>
      <c r="U483" s="671"/>
      <c r="V483" s="671"/>
      <c r="W483" s="671"/>
      <c r="X483" s="671"/>
      <c r="Y483" s="671"/>
      <c r="Z483" s="671"/>
      <c r="AA483" s="671"/>
      <c r="AB483" s="671"/>
    </row>
    <row r="484">
      <c r="A484" s="671"/>
      <c r="B484" s="671"/>
      <c r="C484" s="671"/>
      <c r="D484" s="671"/>
      <c r="E484" s="671"/>
      <c r="F484" s="671"/>
      <c r="G484" s="671"/>
      <c r="H484" s="671"/>
      <c r="I484" s="671"/>
      <c r="J484" s="671"/>
      <c r="K484" s="671"/>
      <c r="L484" s="671"/>
      <c r="M484" s="671"/>
      <c r="N484" s="671"/>
      <c r="O484" s="671"/>
      <c r="P484" s="671"/>
      <c r="Q484" s="671"/>
      <c r="R484" s="671"/>
      <c r="S484" s="671"/>
      <c r="T484" s="671"/>
      <c r="U484" s="671"/>
      <c r="V484" s="671"/>
      <c r="W484" s="671"/>
      <c r="X484" s="671"/>
      <c r="Y484" s="671"/>
      <c r="Z484" s="671"/>
      <c r="AA484" s="671"/>
      <c r="AB484" s="671"/>
    </row>
    <row r="485">
      <c r="A485" s="671"/>
      <c r="B485" s="671"/>
      <c r="C485" s="671"/>
      <c r="D485" s="671"/>
      <c r="E485" s="671"/>
      <c r="F485" s="671"/>
      <c r="G485" s="671"/>
      <c r="H485" s="671"/>
      <c r="I485" s="671"/>
      <c r="J485" s="671"/>
      <c r="K485" s="671"/>
      <c r="L485" s="671"/>
      <c r="M485" s="671"/>
      <c r="N485" s="671"/>
      <c r="O485" s="671"/>
      <c r="P485" s="671"/>
      <c r="Q485" s="671"/>
      <c r="R485" s="671"/>
      <c r="S485" s="671"/>
      <c r="T485" s="671"/>
      <c r="U485" s="671"/>
      <c r="V485" s="671"/>
      <c r="W485" s="671"/>
      <c r="X485" s="671"/>
      <c r="Y485" s="671"/>
      <c r="Z485" s="671"/>
      <c r="AA485" s="671"/>
      <c r="AB485" s="671"/>
    </row>
    <row r="486">
      <c r="A486" s="671"/>
      <c r="B486" s="671"/>
      <c r="C486" s="671"/>
      <c r="D486" s="671"/>
      <c r="E486" s="671"/>
      <c r="F486" s="671"/>
      <c r="G486" s="671"/>
      <c r="H486" s="671"/>
      <c r="I486" s="671"/>
      <c r="J486" s="671"/>
      <c r="K486" s="671"/>
      <c r="L486" s="671"/>
      <c r="M486" s="671"/>
      <c r="N486" s="671"/>
      <c r="O486" s="671"/>
      <c r="P486" s="671"/>
      <c r="Q486" s="671"/>
      <c r="R486" s="671"/>
      <c r="S486" s="671"/>
      <c r="T486" s="671"/>
      <c r="U486" s="671"/>
      <c r="V486" s="671"/>
      <c r="W486" s="671"/>
      <c r="X486" s="671"/>
      <c r="Y486" s="671"/>
      <c r="Z486" s="671"/>
      <c r="AA486" s="671"/>
      <c r="AB486" s="671"/>
    </row>
    <row r="487">
      <c r="A487" s="671"/>
      <c r="B487" s="671"/>
      <c r="C487" s="671"/>
      <c r="D487" s="671"/>
      <c r="E487" s="671"/>
      <c r="F487" s="671"/>
      <c r="G487" s="671"/>
      <c r="H487" s="671"/>
      <c r="I487" s="671"/>
      <c r="J487" s="671"/>
      <c r="K487" s="671"/>
      <c r="L487" s="671"/>
      <c r="M487" s="671"/>
      <c r="N487" s="671"/>
      <c r="O487" s="671"/>
      <c r="P487" s="671"/>
      <c r="Q487" s="671"/>
      <c r="R487" s="671"/>
      <c r="S487" s="671"/>
      <c r="T487" s="671"/>
      <c r="U487" s="671"/>
      <c r="V487" s="671"/>
      <c r="W487" s="671"/>
      <c r="X487" s="671"/>
      <c r="Y487" s="671"/>
      <c r="Z487" s="671"/>
      <c r="AA487" s="671"/>
      <c r="AB487" s="671"/>
    </row>
    <row r="488">
      <c r="A488" s="671"/>
      <c r="B488" s="671"/>
      <c r="C488" s="671"/>
      <c r="D488" s="671"/>
      <c r="E488" s="671"/>
      <c r="F488" s="671"/>
      <c r="G488" s="671"/>
      <c r="H488" s="671"/>
      <c r="I488" s="671"/>
      <c r="J488" s="671"/>
      <c r="K488" s="671"/>
      <c r="L488" s="671"/>
      <c r="M488" s="671"/>
      <c r="N488" s="671"/>
      <c r="O488" s="671"/>
      <c r="P488" s="671"/>
      <c r="Q488" s="671"/>
      <c r="R488" s="671"/>
      <c r="S488" s="671"/>
      <c r="T488" s="671"/>
      <c r="U488" s="671"/>
      <c r="V488" s="671"/>
      <c r="W488" s="671"/>
      <c r="X488" s="671"/>
      <c r="Y488" s="671"/>
      <c r="Z488" s="671"/>
      <c r="AA488" s="671"/>
      <c r="AB488" s="671"/>
    </row>
    <row r="489">
      <c r="A489" s="671"/>
      <c r="B489" s="671"/>
      <c r="C489" s="671"/>
      <c r="D489" s="671"/>
      <c r="E489" s="671"/>
      <c r="F489" s="671"/>
      <c r="G489" s="671"/>
      <c r="H489" s="671"/>
      <c r="I489" s="671"/>
      <c r="J489" s="671"/>
      <c r="K489" s="671"/>
      <c r="L489" s="671"/>
      <c r="M489" s="671"/>
      <c r="N489" s="671"/>
      <c r="O489" s="671"/>
      <c r="P489" s="671"/>
      <c r="Q489" s="671"/>
      <c r="R489" s="671"/>
      <c r="S489" s="671"/>
      <c r="T489" s="671"/>
      <c r="U489" s="671"/>
      <c r="V489" s="671"/>
      <c r="W489" s="671"/>
      <c r="X489" s="671"/>
      <c r="Y489" s="671"/>
      <c r="Z489" s="671"/>
      <c r="AA489" s="671"/>
      <c r="AB489" s="671"/>
    </row>
    <row r="490">
      <c r="A490" s="671"/>
      <c r="B490" s="671"/>
      <c r="C490" s="671"/>
      <c r="D490" s="671"/>
      <c r="E490" s="671"/>
      <c r="F490" s="671"/>
      <c r="G490" s="671"/>
      <c r="H490" s="671"/>
      <c r="I490" s="671"/>
      <c r="J490" s="671"/>
      <c r="K490" s="671"/>
      <c r="L490" s="671"/>
      <c r="M490" s="671"/>
      <c r="N490" s="671"/>
      <c r="O490" s="671"/>
      <c r="P490" s="671"/>
      <c r="Q490" s="671"/>
      <c r="R490" s="671"/>
      <c r="S490" s="671"/>
      <c r="T490" s="671"/>
      <c r="U490" s="671"/>
      <c r="V490" s="671"/>
      <c r="W490" s="671"/>
      <c r="X490" s="671"/>
      <c r="Y490" s="671"/>
      <c r="Z490" s="671"/>
      <c r="AA490" s="671"/>
      <c r="AB490" s="671"/>
    </row>
    <row r="491">
      <c r="A491" s="671"/>
      <c r="B491" s="671"/>
      <c r="C491" s="671"/>
      <c r="D491" s="671"/>
      <c r="E491" s="671"/>
      <c r="F491" s="671"/>
      <c r="G491" s="671"/>
      <c r="H491" s="671"/>
      <c r="I491" s="671"/>
      <c r="J491" s="671"/>
      <c r="K491" s="671"/>
      <c r="L491" s="671"/>
      <c r="M491" s="671"/>
      <c r="N491" s="671"/>
      <c r="O491" s="671"/>
      <c r="P491" s="671"/>
      <c r="Q491" s="671"/>
      <c r="R491" s="671"/>
      <c r="S491" s="671"/>
      <c r="T491" s="671"/>
      <c r="U491" s="671"/>
      <c r="V491" s="671"/>
      <c r="W491" s="671"/>
      <c r="X491" s="671"/>
      <c r="Y491" s="671"/>
      <c r="Z491" s="671"/>
      <c r="AA491" s="671"/>
      <c r="AB491" s="671"/>
    </row>
    <row r="492">
      <c r="A492" s="671"/>
      <c r="B492" s="671"/>
      <c r="C492" s="671"/>
      <c r="D492" s="671"/>
      <c r="E492" s="671"/>
      <c r="F492" s="671"/>
      <c r="G492" s="671"/>
      <c r="H492" s="671"/>
      <c r="I492" s="671"/>
      <c r="J492" s="671"/>
      <c r="K492" s="671"/>
      <c r="L492" s="671"/>
      <c r="M492" s="671"/>
      <c r="N492" s="671"/>
      <c r="O492" s="671"/>
      <c r="P492" s="671"/>
      <c r="Q492" s="671"/>
      <c r="R492" s="671"/>
      <c r="S492" s="671"/>
      <c r="T492" s="671"/>
      <c r="U492" s="671"/>
      <c r="V492" s="671"/>
      <c r="W492" s="671"/>
      <c r="X492" s="671"/>
      <c r="Y492" s="671"/>
      <c r="Z492" s="671"/>
      <c r="AA492" s="671"/>
      <c r="AB492" s="671"/>
    </row>
    <row r="493">
      <c r="A493" s="671"/>
      <c r="B493" s="671"/>
      <c r="C493" s="671"/>
      <c r="D493" s="671"/>
      <c r="E493" s="671"/>
      <c r="F493" s="671"/>
      <c r="G493" s="671"/>
      <c r="H493" s="671"/>
      <c r="I493" s="671"/>
      <c r="J493" s="671"/>
      <c r="K493" s="671"/>
      <c r="L493" s="671"/>
      <c r="M493" s="671"/>
      <c r="N493" s="671"/>
      <c r="O493" s="671"/>
      <c r="P493" s="671"/>
      <c r="Q493" s="671"/>
      <c r="R493" s="671"/>
      <c r="S493" s="671"/>
      <c r="T493" s="671"/>
      <c r="U493" s="671"/>
      <c r="V493" s="671"/>
      <c r="W493" s="671"/>
      <c r="X493" s="671"/>
      <c r="Y493" s="671"/>
      <c r="Z493" s="671"/>
      <c r="AA493" s="671"/>
      <c r="AB493" s="671"/>
    </row>
    <row r="494">
      <c r="A494" s="671"/>
      <c r="B494" s="671"/>
      <c r="C494" s="671"/>
      <c r="D494" s="671"/>
      <c r="E494" s="671"/>
      <c r="F494" s="671"/>
      <c r="G494" s="671"/>
      <c r="H494" s="671"/>
      <c r="I494" s="671"/>
      <c r="J494" s="671"/>
      <c r="K494" s="671"/>
      <c r="L494" s="671"/>
      <c r="M494" s="671"/>
      <c r="N494" s="671"/>
      <c r="O494" s="671"/>
      <c r="P494" s="671"/>
      <c r="Q494" s="671"/>
      <c r="R494" s="671"/>
      <c r="S494" s="671"/>
      <c r="T494" s="671"/>
      <c r="U494" s="671"/>
      <c r="V494" s="671"/>
      <c r="W494" s="671"/>
      <c r="X494" s="671"/>
      <c r="Y494" s="671"/>
      <c r="Z494" s="671"/>
      <c r="AA494" s="671"/>
      <c r="AB494" s="671"/>
    </row>
    <row r="495">
      <c r="A495" s="671"/>
      <c r="B495" s="671"/>
      <c r="C495" s="671"/>
      <c r="D495" s="671"/>
      <c r="E495" s="671"/>
      <c r="F495" s="671"/>
      <c r="G495" s="671"/>
      <c r="H495" s="671"/>
      <c r="I495" s="671"/>
      <c r="J495" s="671"/>
      <c r="K495" s="671"/>
      <c r="L495" s="671"/>
      <c r="M495" s="671"/>
      <c r="N495" s="671"/>
      <c r="O495" s="671"/>
      <c r="P495" s="671"/>
      <c r="Q495" s="671"/>
      <c r="R495" s="671"/>
      <c r="S495" s="671"/>
      <c r="T495" s="671"/>
      <c r="U495" s="671"/>
      <c r="V495" s="671"/>
      <c r="W495" s="671"/>
      <c r="X495" s="671"/>
      <c r="Y495" s="671"/>
      <c r="Z495" s="671"/>
      <c r="AA495" s="671"/>
      <c r="AB495" s="671"/>
    </row>
    <row r="496">
      <c r="A496" s="671"/>
      <c r="B496" s="671"/>
      <c r="C496" s="671"/>
      <c r="D496" s="671"/>
      <c r="E496" s="671"/>
      <c r="F496" s="671"/>
      <c r="G496" s="671"/>
      <c r="H496" s="671"/>
      <c r="I496" s="671"/>
      <c r="J496" s="671"/>
      <c r="K496" s="671"/>
      <c r="L496" s="671"/>
      <c r="M496" s="671"/>
      <c r="N496" s="671"/>
      <c r="O496" s="671"/>
      <c r="P496" s="671"/>
      <c r="Q496" s="671"/>
      <c r="R496" s="671"/>
      <c r="S496" s="671"/>
      <c r="T496" s="671"/>
      <c r="U496" s="671"/>
      <c r="V496" s="671"/>
      <c r="W496" s="671"/>
      <c r="X496" s="671"/>
      <c r="Y496" s="671"/>
      <c r="Z496" s="671"/>
      <c r="AA496" s="671"/>
      <c r="AB496" s="671"/>
    </row>
    <row r="497">
      <c r="A497" s="671"/>
      <c r="B497" s="671"/>
      <c r="C497" s="671"/>
      <c r="D497" s="671"/>
      <c r="E497" s="671"/>
      <c r="F497" s="671"/>
      <c r="G497" s="671"/>
      <c r="H497" s="671"/>
      <c r="I497" s="671"/>
      <c r="J497" s="671"/>
      <c r="K497" s="671"/>
      <c r="L497" s="671"/>
      <c r="M497" s="671"/>
      <c r="N497" s="671"/>
      <c r="O497" s="671"/>
      <c r="P497" s="671"/>
      <c r="Q497" s="671"/>
      <c r="R497" s="671"/>
      <c r="S497" s="671"/>
      <c r="T497" s="671"/>
      <c r="U497" s="671"/>
      <c r="V497" s="671"/>
      <c r="W497" s="671"/>
      <c r="X497" s="671"/>
      <c r="Y497" s="671"/>
      <c r="Z497" s="671"/>
      <c r="AA497" s="671"/>
      <c r="AB497" s="671"/>
    </row>
    <row r="498">
      <c r="A498" s="671"/>
      <c r="B498" s="671"/>
      <c r="C498" s="671"/>
      <c r="D498" s="671"/>
      <c r="E498" s="671"/>
      <c r="F498" s="671"/>
      <c r="G498" s="671"/>
      <c r="H498" s="671"/>
      <c r="I498" s="671"/>
      <c r="J498" s="671"/>
      <c r="K498" s="671"/>
      <c r="L498" s="671"/>
      <c r="M498" s="671"/>
      <c r="N498" s="671"/>
      <c r="O498" s="671"/>
      <c r="P498" s="671"/>
      <c r="Q498" s="671"/>
      <c r="R498" s="671"/>
      <c r="S498" s="671"/>
      <c r="T498" s="671"/>
      <c r="U498" s="671"/>
      <c r="V498" s="671"/>
      <c r="W498" s="671"/>
      <c r="X498" s="671"/>
      <c r="Y498" s="671"/>
      <c r="Z498" s="671"/>
      <c r="AA498" s="671"/>
      <c r="AB498" s="671"/>
    </row>
    <row r="499">
      <c r="A499" s="671"/>
      <c r="B499" s="671"/>
      <c r="C499" s="671"/>
      <c r="D499" s="671"/>
      <c r="E499" s="671"/>
      <c r="F499" s="671"/>
      <c r="G499" s="671"/>
      <c r="H499" s="671"/>
      <c r="I499" s="671"/>
      <c r="J499" s="671"/>
      <c r="K499" s="671"/>
      <c r="L499" s="671"/>
      <c r="M499" s="671"/>
      <c r="N499" s="671"/>
      <c r="O499" s="671"/>
      <c r="P499" s="671"/>
      <c r="Q499" s="671"/>
      <c r="R499" s="671"/>
      <c r="S499" s="671"/>
      <c r="T499" s="671"/>
      <c r="U499" s="671"/>
      <c r="V499" s="671"/>
      <c r="W499" s="671"/>
      <c r="X499" s="671"/>
      <c r="Y499" s="671"/>
      <c r="Z499" s="671"/>
      <c r="AA499" s="671"/>
      <c r="AB499" s="671"/>
    </row>
    <row r="500">
      <c r="A500" s="671"/>
      <c r="B500" s="671"/>
      <c r="C500" s="671"/>
      <c r="D500" s="671"/>
      <c r="E500" s="671"/>
      <c r="F500" s="671"/>
      <c r="G500" s="671"/>
      <c r="H500" s="671"/>
      <c r="I500" s="671"/>
      <c r="J500" s="671"/>
      <c r="K500" s="671"/>
      <c r="L500" s="671"/>
      <c r="M500" s="671"/>
      <c r="N500" s="671"/>
      <c r="O500" s="671"/>
      <c r="P500" s="671"/>
      <c r="Q500" s="671"/>
      <c r="R500" s="671"/>
      <c r="S500" s="671"/>
      <c r="T500" s="671"/>
      <c r="U500" s="671"/>
      <c r="V500" s="671"/>
      <c r="W500" s="671"/>
      <c r="X500" s="671"/>
      <c r="Y500" s="671"/>
      <c r="Z500" s="671"/>
      <c r="AA500" s="671"/>
      <c r="AB500" s="671"/>
    </row>
    <row r="501">
      <c r="A501" s="671"/>
      <c r="B501" s="671"/>
      <c r="C501" s="671"/>
      <c r="D501" s="671"/>
      <c r="E501" s="671"/>
      <c r="F501" s="671"/>
      <c r="G501" s="671"/>
      <c r="H501" s="671"/>
      <c r="I501" s="671"/>
      <c r="J501" s="671"/>
      <c r="K501" s="671"/>
      <c r="L501" s="671"/>
      <c r="M501" s="671"/>
      <c r="N501" s="671"/>
      <c r="O501" s="671"/>
      <c r="P501" s="671"/>
      <c r="Q501" s="671"/>
      <c r="R501" s="671"/>
      <c r="S501" s="671"/>
      <c r="T501" s="671"/>
      <c r="U501" s="671"/>
      <c r="V501" s="671"/>
      <c r="W501" s="671"/>
      <c r="X501" s="671"/>
      <c r="Y501" s="671"/>
      <c r="Z501" s="671"/>
      <c r="AA501" s="671"/>
      <c r="AB501" s="671"/>
    </row>
    <row r="502">
      <c r="A502" s="671"/>
      <c r="B502" s="671"/>
      <c r="C502" s="671"/>
      <c r="D502" s="671"/>
      <c r="E502" s="671"/>
      <c r="F502" s="671"/>
      <c r="G502" s="671"/>
      <c r="H502" s="671"/>
      <c r="I502" s="671"/>
      <c r="J502" s="671"/>
      <c r="K502" s="671"/>
      <c r="L502" s="671"/>
      <c r="M502" s="671"/>
      <c r="N502" s="671"/>
      <c r="O502" s="671"/>
      <c r="P502" s="671"/>
      <c r="Q502" s="671"/>
      <c r="R502" s="671"/>
      <c r="S502" s="671"/>
      <c r="T502" s="671"/>
      <c r="U502" s="671"/>
      <c r="V502" s="671"/>
      <c r="W502" s="671"/>
      <c r="X502" s="671"/>
      <c r="Y502" s="671"/>
      <c r="Z502" s="671"/>
      <c r="AA502" s="671"/>
      <c r="AB502" s="671"/>
    </row>
    <row r="503">
      <c r="A503" s="671"/>
      <c r="B503" s="671"/>
      <c r="C503" s="671"/>
      <c r="D503" s="671"/>
      <c r="E503" s="671"/>
      <c r="F503" s="671"/>
      <c r="G503" s="671"/>
      <c r="H503" s="671"/>
      <c r="I503" s="671"/>
      <c r="J503" s="671"/>
      <c r="K503" s="671"/>
      <c r="L503" s="671"/>
      <c r="M503" s="671"/>
      <c r="N503" s="671"/>
      <c r="O503" s="671"/>
      <c r="P503" s="671"/>
      <c r="Q503" s="671"/>
      <c r="R503" s="671"/>
      <c r="S503" s="671"/>
      <c r="T503" s="671"/>
      <c r="U503" s="671"/>
      <c r="V503" s="671"/>
      <c r="W503" s="671"/>
      <c r="X503" s="671"/>
      <c r="Y503" s="671"/>
      <c r="Z503" s="671"/>
      <c r="AA503" s="671"/>
      <c r="AB503" s="671"/>
    </row>
    <row r="504">
      <c r="A504" s="671"/>
      <c r="B504" s="671"/>
      <c r="C504" s="671"/>
      <c r="D504" s="671"/>
      <c r="E504" s="671"/>
      <c r="F504" s="671"/>
      <c r="G504" s="671"/>
      <c r="H504" s="671"/>
      <c r="I504" s="671"/>
      <c r="J504" s="671"/>
      <c r="K504" s="671"/>
      <c r="L504" s="671"/>
      <c r="M504" s="671"/>
      <c r="N504" s="671"/>
      <c r="O504" s="671"/>
      <c r="P504" s="671"/>
      <c r="Q504" s="671"/>
      <c r="R504" s="671"/>
      <c r="S504" s="671"/>
      <c r="T504" s="671"/>
      <c r="U504" s="671"/>
      <c r="V504" s="671"/>
      <c r="W504" s="671"/>
      <c r="X504" s="671"/>
      <c r="Y504" s="671"/>
      <c r="Z504" s="671"/>
      <c r="AA504" s="671"/>
      <c r="AB504" s="671"/>
    </row>
    <row r="505">
      <c r="A505" s="671"/>
      <c r="B505" s="671"/>
      <c r="C505" s="671"/>
      <c r="D505" s="671"/>
      <c r="E505" s="671"/>
      <c r="F505" s="671"/>
      <c r="G505" s="671"/>
      <c r="H505" s="671"/>
      <c r="I505" s="671"/>
      <c r="J505" s="671"/>
      <c r="K505" s="671"/>
      <c r="L505" s="671"/>
      <c r="M505" s="671"/>
      <c r="N505" s="671"/>
      <c r="O505" s="671"/>
      <c r="P505" s="671"/>
      <c r="Q505" s="671"/>
      <c r="R505" s="671"/>
      <c r="S505" s="671"/>
      <c r="T505" s="671"/>
      <c r="U505" s="671"/>
      <c r="V505" s="671"/>
      <c r="W505" s="671"/>
      <c r="X505" s="671"/>
      <c r="Y505" s="671"/>
      <c r="Z505" s="671"/>
      <c r="AA505" s="671"/>
      <c r="AB505" s="671"/>
    </row>
    <row r="506">
      <c r="A506" s="671"/>
      <c r="B506" s="671"/>
      <c r="C506" s="671"/>
      <c r="D506" s="671"/>
      <c r="E506" s="671"/>
      <c r="F506" s="671"/>
      <c r="G506" s="671"/>
      <c r="H506" s="671"/>
      <c r="I506" s="671"/>
      <c r="J506" s="671"/>
      <c r="K506" s="671"/>
      <c r="L506" s="671"/>
      <c r="M506" s="671"/>
      <c r="N506" s="671"/>
      <c r="O506" s="671"/>
      <c r="P506" s="671"/>
      <c r="Q506" s="671"/>
      <c r="R506" s="671"/>
      <c r="S506" s="671"/>
      <c r="T506" s="671"/>
      <c r="U506" s="671"/>
      <c r="V506" s="671"/>
      <c r="W506" s="671"/>
      <c r="X506" s="671"/>
      <c r="Y506" s="671"/>
      <c r="Z506" s="671"/>
      <c r="AA506" s="671"/>
      <c r="AB506" s="671"/>
    </row>
    <row r="507">
      <c r="A507" s="671"/>
      <c r="B507" s="671"/>
      <c r="C507" s="671"/>
      <c r="D507" s="671"/>
      <c r="E507" s="671"/>
      <c r="F507" s="671"/>
      <c r="G507" s="671"/>
      <c r="H507" s="671"/>
      <c r="I507" s="671"/>
      <c r="J507" s="671"/>
      <c r="K507" s="671"/>
      <c r="L507" s="671"/>
      <c r="M507" s="671"/>
      <c r="N507" s="671"/>
      <c r="O507" s="671"/>
      <c r="P507" s="671"/>
      <c r="Q507" s="671"/>
      <c r="R507" s="671"/>
      <c r="S507" s="671"/>
      <c r="T507" s="671"/>
      <c r="U507" s="671"/>
      <c r="V507" s="671"/>
      <c r="W507" s="671"/>
      <c r="X507" s="671"/>
      <c r="Y507" s="671"/>
      <c r="Z507" s="671"/>
      <c r="AA507" s="671"/>
      <c r="AB507" s="671"/>
    </row>
    <row r="508">
      <c r="A508" s="671"/>
      <c r="B508" s="671"/>
      <c r="C508" s="671"/>
      <c r="D508" s="671"/>
      <c r="E508" s="671"/>
      <c r="F508" s="671"/>
      <c r="G508" s="671"/>
      <c r="H508" s="671"/>
      <c r="I508" s="671"/>
      <c r="J508" s="671"/>
      <c r="K508" s="671"/>
      <c r="L508" s="671"/>
      <c r="M508" s="671"/>
      <c r="N508" s="671"/>
      <c r="O508" s="671"/>
      <c r="P508" s="671"/>
      <c r="Q508" s="671"/>
      <c r="R508" s="671"/>
      <c r="S508" s="671"/>
      <c r="T508" s="671"/>
      <c r="U508" s="671"/>
      <c r="V508" s="671"/>
      <c r="W508" s="671"/>
      <c r="X508" s="671"/>
      <c r="Y508" s="671"/>
      <c r="Z508" s="671"/>
      <c r="AA508" s="671"/>
      <c r="AB508" s="671"/>
    </row>
    <row r="509">
      <c r="A509" s="671"/>
      <c r="B509" s="671"/>
      <c r="C509" s="671"/>
      <c r="D509" s="671"/>
      <c r="E509" s="671"/>
      <c r="F509" s="671"/>
      <c r="G509" s="671"/>
      <c r="H509" s="671"/>
      <c r="I509" s="671"/>
      <c r="J509" s="671"/>
      <c r="K509" s="671"/>
      <c r="L509" s="671"/>
      <c r="M509" s="671"/>
      <c r="N509" s="671"/>
      <c r="O509" s="671"/>
      <c r="P509" s="671"/>
      <c r="Q509" s="671"/>
      <c r="R509" s="671"/>
      <c r="S509" s="671"/>
      <c r="T509" s="671"/>
      <c r="U509" s="671"/>
      <c r="V509" s="671"/>
      <c r="W509" s="671"/>
      <c r="X509" s="671"/>
      <c r="Y509" s="671"/>
      <c r="Z509" s="671"/>
      <c r="AA509" s="671"/>
      <c r="AB509" s="671"/>
    </row>
    <row r="510">
      <c r="A510" s="671"/>
      <c r="B510" s="671"/>
      <c r="C510" s="671"/>
      <c r="D510" s="671"/>
      <c r="E510" s="671"/>
      <c r="F510" s="671"/>
      <c r="G510" s="671"/>
      <c r="H510" s="671"/>
      <c r="I510" s="671"/>
      <c r="J510" s="671"/>
      <c r="K510" s="671"/>
      <c r="L510" s="671"/>
      <c r="M510" s="671"/>
      <c r="N510" s="671"/>
      <c r="O510" s="671"/>
      <c r="P510" s="671"/>
      <c r="Q510" s="671"/>
      <c r="R510" s="671"/>
      <c r="S510" s="671"/>
      <c r="T510" s="671"/>
      <c r="U510" s="671"/>
      <c r="V510" s="671"/>
      <c r="W510" s="671"/>
      <c r="X510" s="671"/>
      <c r="Y510" s="671"/>
      <c r="Z510" s="671"/>
      <c r="AA510" s="671"/>
      <c r="AB510" s="671"/>
    </row>
    <row r="511">
      <c r="A511" s="671"/>
      <c r="B511" s="671"/>
      <c r="C511" s="671"/>
      <c r="D511" s="671"/>
      <c r="E511" s="671"/>
      <c r="F511" s="671"/>
      <c r="G511" s="671"/>
      <c r="H511" s="671"/>
      <c r="I511" s="671"/>
      <c r="J511" s="671"/>
      <c r="K511" s="671"/>
      <c r="L511" s="671"/>
      <c r="M511" s="671"/>
      <c r="N511" s="671"/>
      <c r="O511" s="671"/>
      <c r="P511" s="671"/>
      <c r="Q511" s="671"/>
      <c r="R511" s="671"/>
      <c r="S511" s="671"/>
      <c r="T511" s="671"/>
      <c r="U511" s="671"/>
      <c r="V511" s="671"/>
      <c r="W511" s="671"/>
      <c r="X511" s="671"/>
      <c r="Y511" s="671"/>
      <c r="Z511" s="671"/>
      <c r="AA511" s="671"/>
      <c r="AB511" s="671"/>
    </row>
    <row r="512">
      <c r="A512" s="671"/>
      <c r="B512" s="671"/>
      <c r="C512" s="671"/>
      <c r="D512" s="671"/>
      <c r="E512" s="671"/>
      <c r="F512" s="671"/>
      <c r="G512" s="671"/>
      <c r="H512" s="671"/>
      <c r="I512" s="671"/>
      <c r="J512" s="671"/>
      <c r="K512" s="671"/>
      <c r="L512" s="671"/>
      <c r="M512" s="671"/>
      <c r="N512" s="671"/>
      <c r="O512" s="671"/>
      <c r="P512" s="671"/>
      <c r="Q512" s="671"/>
      <c r="R512" s="671"/>
      <c r="S512" s="671"/>
      <c r="T512" s="671"/>
      <c r="U512" s="671"/>
      <c r="V512" s="671"/>
      <c r="W512" s="671"/>
      <c r="X512" s="671"/>
      <c r="Y512" s="671"/>
      <c r="Z512" s="671"/>
      <c r="AA512" s="671"/>
      <c r="AB512" s="671"/>
    </row>
    <row r="513">
      <c r="A513" s="671"/>
      <c r="B513" s="671"/>
      <c r="C513" s="671"/>
      <c r="D513" s="671"/>
      <c r="E513" s="671"/>
      <c r="F513" s="671"/>
      <c r="G513" s="671"/>
      <c r="H513" s="671"/>
      <c r="I513" s="671"/>
      <c r="J513" s="671"/>
      <c r="K513" s="671"/>
      <c r="L513" s="671"/>
      <c r="M513" s="671"/>
      <c r="N513" s="671"/>
      <c r="O513" s="671"/>
      <c r="P513" s="671"/>
      <c r="Q513" s="671"/>
      <c r="R513" s="671"/>
      <c r="S513" s="671"/>
      <c r="T513" s="671"/>
      <c r="U513" s="671"/>
      <c r="V513" s="671"/>
      <c r="W513" s="671"/>
      <c r="X513" s="671"/>
      <c r="Y513" s="671"/>
      <c r="Z513" s="671"/>
      <c r="AA513" s="671"/>
      <c r="AB513" s="671"/>
    </row>
    <row r="514">
      <c r="A514" s="671"/>
      <c r="B514" s="671"/>
      <c r="C514" s="671"/>
      <c r="D514" s="671"/>
      <c r="E514" s="671"/>
      <c r="F514" s="671"/>
      <c r="G514" s="671"/>
      <c r="H514" s="671"/>
      <c r="I514" s="671"/>
      <c r="J514" s="671"/>
      <c r="K514" s="671"/>
      <c r="L514" s="671"/>
      <c r="M514" s="671"/>
      <c r="N514" s="671"/>
      <c r="O514" s="671"/>
      <c r="P514" s="671"/>
      <c r="Q514" s="671"/>
      <c r="R514" s="671"/>
      <c r="S514" s="671"/>
      <c r="T514" s="671"/>
      <c r="U514" s="671"/>
      <c r="V514" s="671"/>
      <c r="W514" s="671"/>
      <c r="X514" s="671"/>
      <c r="Y514" s="671"/>
      <c r="Z514" s="671"/>
      <c r="AA514" s="671"/>
      <c r="AB514" s="671"/>
    </row>
    <row r="515">
      <c r="A515" s="671"/>
      <c r="B515" s="671"/>
      <c r="C515" s="671"/>
      <c r="D515" s="671"/>
      <c r="E515" s="671"/>
      <c r="F515" s="671"/>
      <c r="G515" s="671"/>
      <c r="H515" s="671"/>
      <c r="I515" s="671"/>
      <c r="J515" s="671"/>
      <c r="K515" s="671"/>
      <c r="L515" s="671"/>
      <c r="M515" s="671"/>
      <c r="N515" s="671"/>
      <c r="O515" s="671"/>
      <c r="P515" s="671"/>
      <c r="Q515" s="671"/>
      <c r="R515" s="671"/>
      <c r="S515" s="671"/>
      <c r="T515" s="671"/>
      <c r="U515" s="671"/>
      <c r="V515" s="671"/>
      <c r="W515" s="671"/>
      <c r="X515" s="671"/>
      <c r="Y515" s="671"/>
      <c r="Z515" s="671"/>
      <c r="AA515" s="671"/>
      <c r="AB515" s="671"/>
    </row>
    <row r="516">
      <c r="A516" s="671"/>
      <c r="B516" s="671"/>
      <c r="C516" s="671"/>
      <c r="D516" s="671"/>
      <c r="E516" s="671"/>
      <c r="F516" s="671"/>
      <c r="G516" s="671"/>
      <c r="H516" s="671"/>
      <c r="I516" s="671"/>
      <c r="J516" s="671"/>
      <c r="K516" s="671"/>
      <c r="L516" s="671"/>
      <c r="M516" s="671"/>
      <c r="N516" s="671"/>
      <c r="O516" s="671"/>
      <c r="P516" s="671"/>
      <c r="Q516" s="671"/>
      <c r="R516" s="671"/>
      <c r="S516" s="671"/>
      <c r="T516" s="671"/>
      <c r="U516" s="671"/>
      <c r="V516" s="671"/>
      <c r="W516" s="671"/>
      <c r="X516" s="671"/>
      <c r="Y516" s="671"/>
      <c r="Z516" s="671"/>
      <c r="AA516" s="671"/>
      <c r="AB516" s="671"/>
    </row>
    <row r="517">
      <c r="A517" s="671"/>
      <c r="B517" s="671"/>
      <c r="C517" s="671"/>
      <c r="D517" s="671"/>
      <c r="E517" s="671"/>
      <c r="F517" s="671"/>
      <c r="G517" s="671"/>
      <c r="H517" s="671"/>
      <c r="I517" s="671"/>
      <c r="J517" s="671"/>
      <c r="K517" s="671"/>
      <c r="L517" s="671"/>
      <c r="M517" s="671"/>
      <c r="N517" s="671"/>
      <c r="O517" s="671"/>
      <c r="P517" s="671"/>
      <c r="Q517" s="671"/>
      <c r="R517" s="671"/>
      <c r="S517" s="671"/>
      <c r="T517" s="671"/>
      <c r="U517" s="671"/>
      <c r="V517" s="671"/>
      <c r="W517" s="671"/>
      <c r="X517" s="671"/>
      <c r="Y517" s="671"/>
      <c r="Z517" s="671"/>
      <c r="AA517" s="671"/>
      <c r="AB517" s="671"/>
    </row>
    <row r="518">
      <c r="A518" s="671"/>
      <c r="B518" s="671"/>
      <c r="C518" s="671"/>
      <c r="D518" s="671"/>
      <c r="E518" s="671"/>
      <c r="F518" s="671"/>
      <c r="G518" s="671"/>
      <c r="H518" s="671"/>
      <c r="I518" s="671"/>
      <c r="J518" s="671"/>
      <c r="K518" s="671"/>
      <c r="L518" s="671"/>
      <c r="M518" s="671"/>
      <c r="N518" s="671"/>
      <c r="O518" s="671"/>
      <c r="P518" s="671"/>
      <c r="Q518" s="671"/>
      <c r="R518" s="671"/>
      <c r="S518" s="671"/>
      <c r="T518" s="671"/>
      <c r="U518" s="671"/>
      <c r="V518" s="671"/>
      <c r="W518" s="671"/>
      <c r="X518" s="671"/>
      <c r="Y518" s="671"/>
      <c r="Z518" s="671"/>
      <c r="AA518" s="671"/>
      <c r="AB518" s="671"/>
    </row>
    <row r="519">
      <c r="A519" s="671"/>
      <c r="B519" s="671"/>
      <c r="C519" s="671"/>
      <c r="D519" s="671"/>
      <c r="E519" s="671"/>
      <c r="F519" s="671"/>
      <c r="G519" s="671"/>
      <c r="H519" s="671"/>
      <c r="I519" s="671"/>
      <c r="J519" s="671"/>
      <c r="K519" s="671"/>
      <c r="L519" s="671"/>
      <c r="M519" s="671"/>
      <c r="N519" s="671"/>
      <c r="O519" s="671"/>
      <c r="P519" s="671"/>
      <c r="Q519" s="671"/>
      <c r="R519" s="671"/>
      <c r="S519" s="671"/>
      <c r="T519" s="671"/>
      <c r="U519" s="671"/>
      <c r="V519" s="671"/>
      <c r="W519" s="671"/>
      <c r="X519" s="671"/>
      <c r="Y519" s="671"/>
      <c r="Z519" s="671"/>
      <c r="AA519" s="671"/>
      <c r="AB519" s="671"/>
    </row>
    <row r="520">
      <c r="A520" s="671"/>
      <c r="B520" s="671"/>
      <c r="C520" s="671"/>
      <c r="D520" s="671"/>
      <c r="E520" s="671"/>
      <c r="F520" s="671"/>
      <c r="G520" s="671"/>
      <c r="H520" s="671"/>
      <c r="I520" s="671"/>
      <c r="J520" s="671"/>
      <c r="K520" s="671"/>
      <c r="L520" s="671"/>
      <c r="M520" s="671"/>
      <c r="N520" s="671"/>
      <c r="O520" s="671"/>
      <c r="P520" s="671"/>
      <c r="Q520" s="671"/>
      <c r="R520" s="671"/>
      <c r="S520" s="671"/>
      <c r="T520" s="671"/>
      <c r="U520" s="671"/>
      <c r="V520" s="671"/>
      <c r="W520" s="671"/>
      <c r="X520" s="671"/>
      <c r="Y520" s="671"/>
      <c r="Z520" s="671"/>
      <c r="AA520" s="671"/>
      <c r="AB520" s="671"/>
    </row>
    <row r="521">
      <c r="A521" s="671"/>
      <c r="B521" s="671"/>
      <c r="C521" s="671"/>
      <c r="D521" s="671"/>
      <c r="E521" s="671"/>
      <c r="F521" s="671"/>
      <c r="G521" s="671"/>
      <c r="H521" s="671"/>
      <c r="I521" s="671"/>
      <c r="J521" s="671"/>
      <c r="K521" s="671"/>
      <c r="L521" s="671"/>
      <c r="M521" s="671"/>
      <c r="N521" s="671"/>
      <c r="O521" s="671"/>
      <c r="P521" s="671"/>
      <c r="Q521" s="671"/>
      <c r="R521" s="671"/>
      <c r="S521" s="671"/>
      <c r="T521" s="671"/>
      <c r="U521" s="671"/>
      <c r="V521" s="671"/>
      <c r="W521" s="671"/>
      <c r="X521" s="671"/>
      <c r="Y521" s="671"/>
      <c r="Z521" s="671"/>
      <c r="AA521" s="671"/>
      <c r="AB521" s="671"/>
    </row>
    <row r="522">
      <c r="A522" s="671"/>
      <c r="B522" s="671"/>
      <c r="C522" s="671"/>
      <c r="D522" s="671"/>
      <c r="E522" s="671"/>
      <c r="F522" s="671"/>
      <c r="G522" s="671"/>
      <c r="H522" s="671"/>
      <c r="I522" s="671"/>
      <c r="J522" s="671"/>
      <c r="K522" s="671"/>
      <c r="L522" s="671"/>
      <c r="M522" s="671"/>
      <c r="N522" s="671"/>
      <c r="O522" s="671"/>
      <c r="P522" s="671"/>
      <c r="Q522" s="671"/>
      <c r="R522" s="671"/>
      <c r="S522" s="671"/>
      <c r="T522" s="671"/>
      <c r="U522" s="671"/>
      <c r="V522" s="671"/>
      <c r="W522" s="671"/>
      <c r="X522" s="671"/>
      <c r="Y522" s="671"/>
      <c r="Z522" s="671"/>
      <c r="AA522" s="671"/>
      <c r="AB522" s="671"/>
    </row>
    <row r="523">
      <c r="A523" s="671"/>
      <c r="B523" s="671"/>
      <c r="C523" s="671"/>
      <c r="D523" s="671"/>
      <c r="E523" s="671"/>
      <c r="F523" s="671"/>
      <c r="G523" s="671"/>
      <c r="H523" s="671"/>
      <c r="I523" s="671"/>
      <c r="J523" s="671"/>
      <c r="K523" s="671"/>
      <c r="L523" s="671"/>
      <c r="M523" s="671"/>
      <c r="N523" s="671"/>
      <c r="O523" s="671"/>
      <c r="P523" s="671"/>
      <c r="Q523" s="671"/>
      <c r="R523" s="671"/>
      <c r="S523" s="671"/>
      <c r="T523" s="671"/>
      <c r="U523" s="671"/>
      <c r="V523" s="671"/>
      <c r="W523" s="671"/>
      <c r="X523" s="671"/>
      <c r="Y523" s="671"/>
      <c r="Z523" s="671"/>
      <c r="AA523" s="671"/>
      <c r="AB523" s="671"/>
    </row>
    <row r="524">
      <c r="A524" s="671"/>
      <c r="B524" s="671"/>
      <c r="C524" s="671"/>
      <c r="D524" s="671"/>
      <c r="E524" s="671"/>
      <c r="F524" s="671"/>
      <c r="G524" s="671"/>
      <c r="H524" s="671"/>
      <c r="I524" s="671"/>
      <c r="J524" s="671"/>
      <c r="K524" s="671"/>
      <c r="L524" s="671"/>
      <c r="M524" s="671"/>
      <c r="N524" s="671"/>
      <c r="O524" s="671"/>
      <c r="P524" s="671"/>
      <c r="Q524" s="671"/>
      <c r="R524" s="671"/>
      <c r="S524" s="671"/>
      <c r="T524" s="671"/>
      <c r="U524" s="671"/>
      <c r="V524" s="671"/>
      <c r="W524" s="671"/>
      <c r="X524" s="671"/>
      <c r="Y524" s="671"/>
      <c r="Z524" s="671"/>
      <c r="AA524" s="671"/>
      <c r="AB524" s="671"/>
    </row>
    <row r="525">
      <c r="A525" s="671"/>
      <c r="B525" s="671"/>
      <c r="C525" s="671"/>
      <c r="D525" s="671"/>
      <c r="E525" s="671"/>
      <c r="F525" s="671"/>
      <c r="G525" s="671"/>
      <c r="H525" s="671"/>
      <c r="I525" s="671"/>
      <c r="J525" s="671"/>
      <c r="K525" s="671"/>
      <c r="L525" s="671"/>
      <c r="M525" s="671"/>
      <c r="N525" s="671"/>
      <c r="O525" s="671"/>
      <c r="P525" s="671"/>
      <c r="Q525" s="671"/>
      <c r="R525" s="671"/>
      <c r="S525" s="671"/>
      <c r="T525" s="671"/>
      <c r="U525" s="671"/>
      <c r="V525" s="671"/>
      <c r="W525" s="671"/>
      <c r="X525" s="671"/>
      <c r="Y525" s="671"/>
      <c r="Z525" s="671"/>
      <c r="AA525" s="671"/>
      <c r="AB525" s="671"/>
    </row>
    <row r="526">
      <c r="A526" s="671"/>
      <c r="B526" s="671"/>
      <c r="C526" s="671"/>
      <c r="D526" s="671"/>
      <c r="E526" s="671"/>
      <c r="F526" s="671"/>
      <c r="G526" s="671"/>
      <c r="H526" s="671"/>
      <c r="I526" s="671"/>
      <c r="J526" s="671"/>
      <c r="K526" s="671"/>
      <c r="L526" s="671"/>
      <c r="M526" s="671"/>
      <c r="N526" s="671"/>
      <c r="O526" s="671"/>
      <c r="P526" s="671"/>
      <c r="Q526" s="671"/>
      <c r="R526" s="671"/>
      <c r="S526" s="671"/>
      <c r="T526" s="671"/>
      <c r="U526" s="671"/>
      <c r="V526" s="671"/>
      <c r="W526" s="671"/>
      <c r="X526" s="671"/>
      <c r="Y526" s="671"/>
      <c r="Z526" s="671"/>
      <c r="AA526" s="671"/>
      <c r="AB526" s="671"/>
    </row>
    <row r="527">
      <c r="A527" s="671"/>
      <c r="B527" s="671"/>
      <c r="C527" s="671"/>
      <c r="D527" s="671"/>
      <c r="E527" s="671"/>
      <c r="F527" s="671"/>
      <c r="G527" s="671"/>
      <c r="H527" s="671"/>
      <c r="I527" s="671"/>
      <c r="J527" s="671"/>
      <c r="K527" s="671"/>
      <c r="L527" s="671"/>
      <c r="M527" s="671"/>
      <c r="N527" s="671"/>
      <c r="O527" s="671"/>
      <c r="P527" s="671"/>
      <c r="Q527" s="671"/>
      <c r="R527" s="671"/>
      <c r="S527" s="671"/>
      <c r="T527" s="671"/>
      <c r="U527" s="671"/>
      <c r="V527" s="671"/>
      <c r="W527" s="671"/>
      <c r="X527" s="671"/>
      <c r="Y527" s="671"/>
      <c r="Z527" s="671"/>
      <c r="AA527" s="671"/>
      <c r="AB527" s="671"/>
    </row>
    <row r="528">
      <c r="A528" s="671"/>
      <c r="B528" s="671"/>
      <c r="C528" s="671"/>
      <c r="D528" s="671"/>
      <c r="E528" s="671"/>
      <c r="F528" s="671"/>
      <c r="G528" s="671"/>
      <c r="H528" s="671"/>
      <c r="I528" s="671"/>
      <c r="J528" s="671"/>
      <c r="K528" s="671"/>
      <c r="L528" s="671"/>
      <c r="M528" s="671"/>
      <c r="N528" s="671"/>
      <c r="O528" s="671"/>
      <c r="P528" s="671"/>
      <c r="Q528" s="671"/>
      <c r="R528" s="671"/>
      <c r="S528" s="671"/>
      <c r="T528" s="671"/>
      <c r="U528" s="671"/>
      <c r="V528" s="671"/>
      <c r="W528" s="671"/>
      <c r="X528" s="671"/>
      <c r="Y528" s="671"/>
      <c r="Z528" s="671"/>
      <c r="AA528" s="671"/>
      <c r="AB528" s="671"/>
    </row>
    <row r="529">
      <c r="A529" s="671"/>
      <c r="B529" s="671"/>
      <c r="C529" s="671"/>
      <c r="D529" s="671"/>
      <c r="E529" s="671"/>
      <c r="F529" s="671"/>
      <c r="G529" s="671"/>
      <c r="H529" s="671"/>
      <c r="I529" s="671"/>
      <c r="J529" s="671"/>
      <c r="K529" s="671"/>
      <c r="L529" s="671"/>
      <c r="M529" s="671"/>
      <c r="N529" s="671"/>
      <c r="O529" s="671"/>
      <c r="P529" s="671"/>
      <c r="Q529" s="671"/>
      <c r="R529" s="671"/>
      <c r="S529" s="671"/>
      <c r="T529" s="671"/>
      <c r="U529" s="671"/>
      <c r="V529" s="671"/>
      <c r="W529" s="671"/>
      <c r="X529" s="671"/>
      <c r="Y529" s="671"/>
      <c r="Z529" s="671"/>
      <c r="AA529" s="671"/>
      <c r="AB529" s="671"/>
    </row>
    <row r="530">
      <c r="A530" s="671"/>
      <c r="B530" s="671"/>
      <c r="C530" s="671"/>
      <c r="D530" s="671"/>
      <c r="E530" s="671"/>
      <c r="F530" s="671"/>
      <c r="G530" s="671"/>
      <c r="H530" s="671"/>
      <c r="I530" s="671"/>
      <c r="J530" s="671"/>
      <c r="K530" s="671"/>
      <c r="L530" s="671"/>
      <c r="M530" s="671"/>
      <c r="N530" s="671"/>
      <c r="O530" s="671"/>
      <c r="P530" s="671"/>
      <c r="Q530" s="671"/>
      <c r="R530" s="671"/>
      <c r="S530" s="671"/>
      <c r="T530" s="671"/>
      <c r="U530" s="671"/>
      <c r="V530" s="671"/>
      <c r="W530" s="671"/>
      <c r="X530" s="671"/>
      <c r="Y530" s="671"/>
      <c r="Z530" s="671"/>
      <c r="AA530" s="671"/>
      <c r="AB530" s="671"/>
    </row>
    <row r="531">
      <c r="A531" s="671"/>
      <c r="B531" s="671"/>
      <c r="C531" s="671"/>
      <c r="D531" s="671"/>
      <c r="E531" s="671"/>
      <c r="F531" s="671"/>
      <c r="G531" s="671"/>
      <c r="H531" s="671"/>
      <c r="I531" s="671"/>
      <c r="J531" s="671"/>
      <c r="K531" s="671"/>
      <c r="L531" s="671"/>
      <c r="M531" s="671"/>
      <c r="N531" s="671"/>
      <c r="O531" s="671"/>
      <c r="P531" s="671"/>
      <c r="Q531" s="671"/>
      <c r="R531" s="671"/>
      <c r="S531" s="671"/>
      <c r="T531" s="671"/>
      <c r="U531" s="671"/>
      <c r="V531" s="671"/>
      <c r="W531" s="671"/>
      <c r="X531" s="671"/>
      <c r="Y531" s="671"/>
      <c r="Z531" s="671"/>
      <c r="AA531" s="671"/>
      <c r="AB531" s="671"/>
    </row>
    <row r="532">
      <c r="A532" s="671"/>
      <c r="B532" s="671"/>
      <c r="C532" s="671"/>
      <c r="D532" s="671"/>
      <c r="E532" s="671"/>
      <c r="F532" s="671"/>
      <c r="G532" s="671"/>
      <c r="H532" s="671"/>
      <c r="I532" s="671"/>
      <c r="J532" s="671"/>
      <c r="K532" s="671"/>
      <c r="L532" s="671"/>
      <c r="M532" s="671"/>
      <c r="N532" s="671"/>
      <c r="O532" s="671"/>
      <c r="P532" s="671"/>
      <c r="Q532" s="671"/>
      <c r="R532" s="671"/>
      <c r="S532" s="671"/>
      <c r="T532" s="671"/>
      <c r="U532" s="671"/>
      <c r="V532" s="671"/>
      <c r="W532" s="671"/>
      <c r="X532" s="671"/>
      <c r="Y532" s="671"/>
      <c r="Z532" s="671"/>
      <c r="AA532" s="671"/>
      <c r="AB532" s="671"/>
    </row>
    <row r="533">
      <c r="A533" s="671"/>
      <c r="B533" s="671"/>
      <c r="C533" s="671"/>
      <c r="D533" s="671"/>
      <c r="E533" s="671"/>
      <c r="F533" s="671"/>
      <c r="G533" s="671"/>
      <c r="H533" s="671"/>
      <c r="I533" s="671"/>
      <c r="J533" s="671"/>
      <c r="K533" s="671"/>
      <c r="L533" s="671"/>
      <c r="M533" s="671"/>
      <c r="N533" s="671"/>
      <c r="O533" s="671"/>
      <c r="P533" s="671"/>
      <c r="Q533" s="671"/>
      <c r="R533" s="671"/>
      <c r="S533" s="671"/>
      <c r="T533" s="671"/>
      <c r="U533" s="671"/>
      <c r="V533" s="671"/>
      <c r="W533" s="671"/>
      <c r="X533" s="671"/>
      <c r="Y533" s="671"/>
      <c r="Z533" s="671"/>
      <c r="AA533" s="671"/>
      <c r="AB533" s="671"/>
    </row>
    <row r="534">
      <c r="A534" s="671"/>
      <c r="B534" s="671"/>
      <c r="C534" s="671"/>
      <c r="D534" s="671"/>
      <c r="E534" s="671"/>
      <c r="F534" s="671"/>
      <c r="G534" s="671"/>
      <c r="H534" s="671"/>
      <c r="I534" s="671"/>
      <c r="J534" s="671"/>
      <c r="K534" s="671"/>
      <c r="L534" s="671"/>
      <c r="M534" s="671"/>
      <c r="N534" s="671"/>
      <c r="O534" s="671"/>
      <c r="P534" s="671"/>
      <c r="Q534" s="671"/>
      <c r="R534" s="671"/>
      <c r="S534" s="671"/>
      <c r="T534" s="671"/>
      <c r="U534" s="671"/>
      <c r="V534" s="671"/>
      <c r="W534" s="671"/>
      <c r="X534" s="671"/>
      <c r="Y534" s="671"/>
      <c r="Z534" s="671"/>
      <c r="AA534" s="671"/>
      <c r="AB534" s="671"/>
    </row>
    <row r="535">
      <c r="A535" s="671"/>
      <c r="B535" s="671"/>
      <c r="C535" s="671"/>
      <c r="D535" s="671"/>
      <c r="E535" s="671"/>
      <c r="F535" s="671"/>
      <c r="G535" s="671"/>
      <c r="H535" s="671"/>
      <c r="I535" s="671"/>
      <c r="J535" s="671"/>
      <c r="K535" s="671"/>
      <c r="L535" s="671"/>
      <c r="M535" s="671"/>
      <c r="N535" s="671"/>
      <c r="O535" s="671"/>
      <c r="P535" s="671"/>
      <c r="Q535" s="671"/>
      <c r="R535" s="671"/>
      <c r="S535" s="671"/>
      <c r="T535" s="671"/>
      <c r="U535" s="671"/>
      <c r="V535" s="671"/>
      <c r="W535" s="671"/>
      <c r="X535" s="671"/>
      <c r="Y535" s="671"/>
      <c r="Z535" s="671"/>
      <c r="AA535" s="671"/>
      <c r="AB535" s="671"/>
    </row>
    <row r="536">
      <c r="A536" s="671"/>
      <c r="B536" s="671"/>
      <c r="C536" s="671"/>
      <c r="D536" s="671"/>
      <c r="E536" s="671"/>
      <c r="F536" s="671"/>
      <c r="G536" s="671"/>
      <c r="H536" s="671"/>
      <c r="I536" s="671"/>
      <c r="J536" s="671"/>
      <c r="K536" s="671"/>
      <c r="L536" s="671"/>
      <c r="M536" s="671"/>
      <c r="N536" s="671"/>
      <c r="O536" s="671"/>
      <c r="P536" s="671"/>
      <c r="Q536" s="671"/>
      <c r="R536" s="671"/>
      <c r="S536" s="671"/>
      <c r="T536" s="671"/>
      <c r="U536" s="671"/>
      <c r="V536" s="671"/>
      <c r="W536" s="671"/>
      <c r="X536" s="671"/>
      <c r="Y536" s="671"/>
      <c r="Z536" s="671"/>
      <c r="AA536" s="671"/>
      <c r="AB536" s="671"/>
    </row>
    <row r="537">
      <c r="A537" s="671"/>
      <c r="B537" s="671"/>
      <c r="C537" s="671"/>
      <c r="D537" s="671"/>
      <c r="E537" s="671"/>
      <c r="F537" s="671"/>
      <c r="G537" s="671"/>
      <c r="H537" s="671"/>
      <c r="I537" s="671"/>
      <c r="J537" s="671"/>
      <c r="K537" s="671"/>
      <c r="L537" s="671"/>
      <c r="M537" s="671"/>
      <c r="N537" s="671"/>
      <c r="O537" s="671"/>
      <c r="P537" s="671"/>
      <c r="Q537" s="671"/>
      <c r="R537" s="671"/>
      <c r="S537" s="671"/>
      <c r="T537" s="671"/>
      <c r="U537" s="671"/>
      <c r="V537" s="671"/>
      <c r="W537" s="671"/>
      <c r="X537" s="671"/>
      <c r="Y537" s="671"/>
      <c r="Z537" s="671"/>
      <c r="AA537" s="671"/>
      <c r="AB537" s="671"/>
    </row>
    <row r="538">
      <c r="A538" s="671"/>
      <c r="B538" s="671"/>
      <c r="C538" s="671"/>
      <c r="D538" s="671"/>
      <c r="E538" s="671"/>
      <c r="F538" s="671"/>
      <c r="G538" s="671"/>
      <c r="H538" s="671"/>
      <c r="I538" s="671"/>
      <c r="J538" s="671"/>
      <c r="K538" s="671"/>
      <c r="L538" s="671"/>
      <c r="M538" s="671"/>
      <c r="N538" s="671"/>
      <c r="O538" s="671"/>
      <c r="P538" s="671"/>
      <c r="Q538" s="671"/>
      <c r="R538" s="671"/>
      <c r="S538" s="671"/>
      <c r="T538" s="671"/>
      <c r="U538" s="671"/>
      <c r="V538" s="671"/>
      <c r="W538" s="671"/>
      <c r="X538" s="671"/>
      <c r="Y538" s="671"/>
      <c r="Z538" s="671"/>
      <c r="AA538" s="671"/>
      <c r="AB538" s="671"/>
    </row>
    <row r="539">
      <c r="A539" s="671"/>
      <c r="B539" s="671"/>
      <c r="C539" s="671"/>
      <c r="D539" s="671"/>
      <c r="E539" s="671"/>
      <c r="F539" s="671"/>
      <c r="G539" s="671"/>
      <c r="H539" s="671"/>
      <c r="I539" s="671"/>
      <c r="J539" s="671"/>
      <c r="K539" s="671"/>
      <c r="L539" s="671"/>
      <c r="M539" s="671"/>
      <c r="N539" s="671"/>
      <c r="O539" s="671"/>
      <c r="P539" s="671"/>
      <c r="Q539" s="671"/>
      <c r="R539" s="671"/>
      <c r="S539" s="671"/>
      <c r="T539" s="671"/>
      <c r="U539" s="671"/>
      <c r="V539" s="671"/>
      <c r="W539" s="671"/>
      <c r="X539" s="671"/>
      <c r="Y539" s="671"/>
      <c r="Z539" s="671"/>
      <c r="AA539" s="671"/>
      <c r="AB539" s="671"/>
    </row>
    <row r="540">
      <c r="A540" s="671"/>
      <c r="B540" s="671"/>
      <c r="C540" s="671"/>
      <c r="D540" s="671"/>
      <c r="E540" s="671"/>
      <c r="F540" s="671"/>
      <c r="G540" s="671"/>
      <c r="H540" s="671"/>
      <c r="I540" s="671"/>
      <c r="J540" s="671"/>
      <c r="K540" s="671"/>
      <c r="L540" s="671"/>
      <c r="M540" s="671"/>
      <c r="N540" s="671"/>
      <c r="O540" s="671"/>
      <c r="P540" s="671"/>
      <c r="Q540" s="671"/>
      <c r="R540" s="671"/>
      <c r="S540" s="671"/>
      <c r="T540" s="671"/>
      <c r="U540" s="671"/>
      <c r="V540" s="671"/>
      <c r="W540" s="671"/>
      <c r="X540" s="671"/>
      <c r="Y540" s="671"/>
      <c r="Z540" s="671"/>
      <c r="AA540" s="671"/>
      <c r="AB540" s="671"/>
    </row>
    <row r="541">
      <c r="A541" s="671"/>
      <c r="B541" s="671"/>
      <c r="C541" s="671"/>
      <c r="D541" s="671"/>
      <c r="E541" s="671"/>
      <c r="F541" s="671"/>
      <c r="G541" s="671"/>
      <c r="H541" s="671"/>
      <c r="I541" s="671"/>
      <c r="J541" s="671"/>
      <c r="K541" s="671"/>
      <c r="L541" s="671"/>
      <c r="M541" s="671"/>
      <c r="N541" s="671"/>
      <c r="O541" s="671"/>
      <c r="P541" s="671"/>
      <c r="Q541" s="671"/>
      <c r="R541" s="671"/>
      <c r="S541" s="671"/>
      <c r="T541" s="671"/>
      <c r="U541" s="671"/>
      <c r="V541" s="671"/>
      <c r="W541" s="671"/>
      <c r="X541" s="671"/>
      <c r="Y541" s="671"/>
      <c r="Z541" s="671"/>
      <c r="AA541" s="671"/>
      <c r="AB541" s="671"/>
    </row>
    <row r="542">
      <c r="A542" s="671"/>
      <c r="B542" s="671"/>
      <c r="C542" s="671"/>
      <c r="D542" s="671"/>
      <c r="E542" s="671"/>
      <c r="F542" s="671"/>
      <c r="G542" s="671"/>
      <c r="H542" s="671"/>
      <c r="I542" s="671"/>
      <c r="J542" s="671"/>
      <c r="K542" s="671"/>
      <c r="L542" s="671"/>
      <c r="M542" s="671"/>
      <c r="N542" s="671"/>
      <c r="O542" s="671"/>
      <c r="P542" s="671"/>
      <c r="Q542" s="671"/>
      <c r="R542" s="671"/>
      <c r="S542" s="671"/>
      <c r="T542" s="671"/>
      <c r="U542" s="671"/>
      <c r="V542" s="671"/>
      <c r="W542" s="671"/>
      <c r="X542" s="671"/>
      <c r="Y542" s="671"/>
      <c r="Z542" s="671"/>
      <c r="AA542" s="671"/>
      <c r="AB542" s="671"/>
    </row>
    <row r="543">
      <c r="A543" s="671"/>
      <c r="B543" s="671"/>
      <c r="C543" s="671"/>
      <c r="D543" s="671"/>
      <c r="E543" s="671"/>
      <c r="F543" s="671"/>
      <c r="G543" s="671"/>
      <c r="H543" s="671"/>
      <c r="I543" s="671"/>
      <c r="J543" s="671"/>
      <c r="K543" s="671"/>
      <c r="L543" s="671"/>
      <c r="M543" s="671"/>
      <c r="N543" s="671"/>
      <c r="O543" s="671"/>
      <c r="P543" s="671"/>
      <c r="Q543" s="671"/>
      <c r="R543" s="671"/>
      <c r="S543" s="671"/>
      <c r="T543" s="671"/>
      <c r="U543" s="671"/>
      <c r="V543" s="671"/>
      <c r="W543" s="671"/>
      <c r="X543" s="671"/>
      <c r="Y543" s="671"/>
      <c r="Z543" s="671"/>
      <c r="AA543" s="671"/>
      <c r="AB543" s="671"/>
    </row>
    <row r="544">
      <c r="A544" s="671"/>
      <c r="B544" s="671"/>
      <c r="C544" s="671"/>
      <c r="D544" s="671"/>
      <c r="E544" s="671"/>
      <c r="F544" s="671"/>
      <c r="G544" s="671"/>
      <c r="H544" s="671"/>
      <c r="I544" s="671"/>
      <c r="J544" s="671"/>
      <c r="K544" s="671"/>
      <c r="L544" s="671"/>
      <c r="M544" s="671"/>
      <c r="N544" s="671"/>
      <c r="O544" s="671"/>
      <c r="P544" s="671"/>
      <c r="Q544" s="671"/>
      <c r="R544" s="671"/>
      <c r="S544" s="671"/>
      <c r="T544" s="671"/>
      <c r="U544" s="671"/>
      <c r="V544" s="671"/>
      <c r="W544" s="671"/>
      <c r="X544" s="671"/>
      <c r="Y544" s="671"/>
      <c r="Z544" s="671"/>
      <c r="AA544" s="671"/>
      <c r="AB544" s="671"/>
    </row>
    <row r="545">
      <c r="A545" s="671"/>
      <c r="B545" s="671"/>
      <c r="C545" s="671"/>
      <c r="D545" s="671"/>
      <c r="E545" s="671"/>
      <c r="F545" s="671"/>
      <c r="G545" s="671"/>
      <c r="H545" s="671"/>
      <c r="I545" s="671"/>
      <c r="J545" s="671"/>
      <c r="K545" s="671"/>
      <c r="L545" s="671"/>
      <c r="M545" s="671"/>
      <c r="N545" s="671"/>
      <c r="O545" s="671"/>
      <c r="P545" s="671"/>
      <c r="Q545" s="671"/>
      <c r="R545" s="671"/>
      <c r="S545" s="671"/>
      <c r="T545" s="671"/>
      <c r="U545" s="671"/>
      <c r="V545" s="671"/>
      <c r="W545" s="671"/>
      <c r="X545" s="671"/>
      <c r="Y545" s="671"/>
      <c r="Z545" s="671"/>
      <c r="AA545" s="671"/>
      <c r="AB545" s="671"/>
    </row>
    <row r="546">
      <c r="A546" s="671"/>
      <c r="B546" s="671"/>
      <c r="C546" s="671"/>
      <c r="D546" s="671"/>
      <c r="E546" s="671"/>
      <c r="F546" s="671"/>
      <c r="G546" s="671"/>
      <c r="H546" s="671"/>
      <c r="I546" s="671"/>
      <c r="J546" s="671"/>
      <c r="K546" s="671"/>
      <c r="L546" s="671"/>
      <c r="M546" s="671"/>
      <c r="N546" s="671"/>
      <c r="O546" s="671"/>
      <c r="P546" s="671"/>
      <c r="Q546" s="671"/>
      <c r="R546" s="671"/>
      <c r="S546" s="671"/>
      <c r="T546" s="671"/>
      <c r="U546" s="671"/>
      <c r="V546" s="671"/>
      <c r="W546" s="671"/>
      <c r="X546" s="671"/>
      <c r="Y546" s="671"/>
      <c r="Z546" s="671"/>
      <c r="AA546" s="671"/>
      <c r="AB546" s="671"/>
    </row>
    <row r="547">
      <c r="A547" s="671"/>
      <c r="B547" s="671"/>
      <c r="C547" s="671"/>
      <c r="D547" s="671"/>
      <c r="E547" s="671"/>
      <c r="F547" s="671"/>
      <c r="G547" s="671"/>
      <c r="H547" s="671"/>
      <c r="I547" s="671"/>
      <c r="J547" s="671"/>
      <c r="K547" s="671"/>
      <c r="L547" s="671"/>
      <c r="M547" s="671"/>
      <c r="N547" s="671"/>
      <c r="O547" s="671"/>
      <c r="P547" s="671"/>
      <c r="Q547" s="671"/>
      <c r="R547" s="671"/>
      <c r="S547" s="671"/>
      <c r="T547" s="671"/>
      <c r="U547" s="671"/>
      <c r="V547" s="671"/>
      <c r="W547" s="671"/>
      <c r="X547" s="671"/>
      <c r="Y547" s="671"/>
      <c r="Z547" s="671"/>
      <c r="AA547" s="671"/>
      <c r="AB547" s="671"/>
    </row>
    <row r="548">
      <c r="A548" s="671"/>
      <c r="B548" s="671"/>
      <c r="C548" s="671"/>
      <c r="D548" s="671"/>
      <c r="E548" s="671"/>
      <c r="F548" s="671"/>
      <c r="G548" s="671"/>
      <c r="H548" s="671"/>
      <c r="I548" s="671"/>
      <c r="J548" s="671"/>
      <c r="K548" s="671"/>
      <c r="L548" s="671"/>
      <c r="M548" s="671"/>
      <c r="N548" s="671"/>
      <c r="O548" s="671"/>
      <c r="P548" s="671"/>
      <c r="Q548" s="671"/>
      <c r="R548" s="671"/>
      <c r="S548" s="671"/>
      <c r="T548" s="671"/>
      <c r="U548" s="671"/>
      <c r="V548" s="671"/>
      <c r="W548" s="671"/>
      <c r="X548" s="671"/>
      <c r="Y548" s="671"/>
      <c r="Z548" s="671"/>
      <c r="AA548" s="671"/>
      <c r="AB548" s="671"/>
    </row>
    <row r="549">
      <c r="A549" s="671"/>
      <c r="B549" s="671"/>
      <c r="C549" s="671"/>
      <c r="D549" s="671"/>
      <c r="E549" s="671"/>
      <c r="F549" s="671"/>
      <c r="G549" s="671"/>
      <c r="H549" s="671"/>
      <c r="I549" s="671"/>
      <c r="J549" s="671"/>
      <c r="K549" s="671"/>
      <c r="L549" s="671"/>
      <c r="M549" s="671"/>
      <c r="N549" s="671"/>
      <c r="O549" s="671"/>
      <c r="P549" s="671"/>
      <c r="Q549" s="671"/>
      <c r="R549" s="671"/>
      <c r="S549" s="671"/>
      <c r="T549" s="671"/>
      <c r="U549" s="671"/>
      <c r="V549" s="671"/>
      <c r="W549" s="671"/>
      <c r="X549" s="671"/>
      <c r="Y549" s="671"/>
      <c r="Z549" s="671"/>
      <c r="AA549" s="671"/>
      <c r="AB549" s="671"/>
    </row>
    <row r="550">
      <c r="A550" s="671"/>
      <c r="B550" s="671"/>
      <c r="C550" s="671"/>
      <c r="D550" s="671"/>
      <c r="E550" s="671"/>
      <c r="F550" s="671"/>
      <c r="G550" s="671"/>
      <c r="H550" s="671"/>
      <c r="I550" s="671"/>
      <c r="J550" s="671"/>
      <c r="K550" s="671"/>
      <c r="L550" s="671"/>
      <c r="M550" s="671"/>
      <c r="N550" s="671"/>
      <c r="O550" s="671"/>
      <c r="P550" s="671"/>
      <c r="Q550" s="671"/>
      <c r="R550" s="671"/>
      <c r="S550" s="671"/>
      <c r="T550" s="671"/>
      <c r="U550" s="671"/>
      <c r="V550" s="671"/>
      <c r="W550" s="671"/>
      <c r="X550" s="671"/>
      <c r="Y550" s="671"/>
      <c r="Z550" s="671"/>
      <c r="AA550" s="671"/>
      <c r="AB550" s="671"/>
    </row>
    <row r="551">
      <c r="A551" s="671"/>
      <c r="B551" s="671"/>
      <c r="C551" s="671"/>
      <c r="D551" s="671"/>
      <c r="E551" s="671"/>
      <c r="F551" s="671"/>
      <c r="G551" s="671"/>
      <c r="H551" s="671"/>
      <c r="I551" s="671"/>
      <c r="J551" s="671"/>
      <c r="K551" s="671"/>
      <c r="L551" s="671"/>
      <c r="M551" s="671"/>
      <c r="N551" s="671"/>
      <c r="O551" s="671"/>
      <c r="P551" s="671"/>
      <c r="Q551" s="671"/>
      <c r="R551" s="671"/>
      <c r="S551" s="671"/>
      <c r="T551" s="671"/>
      <c r="U551" s="671"/>
      <c r="V551" s="671"/>
      <c r="W551" s="671"/>
      <c r="X551" s="671"/>
      <c r="Y551" s="671"/>
      <c r="Z551" s="671"/>
      <c r="AA551" s="671"/>
      <c r="AB551" s="671"/>
    </row>
    <row r="552">
      <c r="A552" s="671"/>
      <c r="B552" s="671"/>
      <c r="C552" s="671"/>
      <c r="D552" s="671"/>
      <c r="E552" s="671"/>
      <c r="F552" s="671"/>
      <c r="G552" s="671"/>
      <c r="H552" s="671"/>
      <c r="I552" s="671"/>
      <c r="J552" s="671"/>
      <c r="K552" s="671"/>
      <c r="L552" s="671"/>
      <c r="M552" s="671"/>
      <c r="N552" s="671"/>
      <c r="O552" s="671"/>
      <c r="P552" s="671"/>
      <c r="Q552" s="671"/>
      <c r="R552" s="671"/>
      <c r="S552" s="671"/>
      <c r="T552" s="671"/>
      <c r="U552" s="671"/>
      <c r="V552" s="671"/>
      <c r="W552" s="671"/>
      <c r="X552" s="671"/>
      <c r="Y552" s="671"/>
      <c r="Z552" s="671"/>
      <c r="AA552" s="671"/>
      <c r="AB552" s="671"/>
    </row>
    <row r="553">
      <c r="A553" s="671"/>
      <c r="B553" s="671"/>
      <c r="C553" s="671"/>
      <c r="D553" s="671"/>
      <c r="E553" s="671"/>
      <c r="F553" s="671"/>
      <c r="G553" s="671"/>
      <c r="H553" s="671"/>
      <c r="I553" s="671"/>
      <c r="J553" s="671"/>
      <c r="K553" s="671"/>
      <c r="L553" s="671"/>
      <c r="M553" s="671"/>
      <c r="N553" s="671"/>
      <c r="O553" s="671"/>
      <c r="P553" s="671"/>
      <c r="Q553" s="671"/>
      <c r="R553" s="671"/>
      <c r="S553" s="671"/>
      <c r="T553" s="671"/>
      <c r="U553" s="671"/>
      <c r="V553" s="671"/>
      <c r="W553" s="671"/>
      <c r="X553" s="671"/>
      <c r="Y553" s="671"/>
      <c r="Z553" s="671"/>
      <c r="AA553" s="671"/>
      <c r="AB553" s="671"/>
    </row>
    <row r="554">
      <c r="A554" s="671"/>
      <c r="B554" s="671"/>
      <c r="C554" s="671"/>
      <c r="D554" s="671"/>
      <c r="E554" s="671"/>
      <c r="F554" s="671"/>
      <c r="G554" s="671"/>
      <c r="H554" s="671"/>
      <c r="I554" s="671"/>
      <c r="J554" s="671"/>
      <c r="K554" s="671"/>
      <c r="L554" s="671"/>
      <c r="M554" s="671"/>
      <c r="N554" s="671"/>
      <c r="O554" s="671"/>
      <c r="P554" s="671"/>
      <c r="Q554" s="671"/>
      <c r="R554" s="671"/>
      <c r="S554" s="671"/>
      <c r="T554" s="671"/>
      <c r="U554" s="671"/>
      <c r="V554" s="671"/>
      <c r="W554" s="671"/>
      <c r="X554" s="671"/>
      <c r="Y554" s="671"/>
      <c r="Z554" s="671"/>
      <c r="AA554" s="671"/>
      <c r="AB554" s="671"/>
    </row>
    <row r="555">
      <c r="A555" s="671"/>
      <c r="B555" s="671"/>
      <c r="C555" s="671"/>
      <c r="D555" s="671"/>
      <c r="E555" s="671"/>
      <c r="F555" s="671"/>
      <c r="G555" s="671"/>
      <c r="H555" s="671"/>
      <c r="I555" s="671"/>
      <c r="J555" s="671"/>
      <c r="K555" s="671"/>
      <c r="L555" s="671"/>
      <c r="M555" s="671"/>
      <c r="N555" s="671"/>
      <c r="O555" s="671"/>
      <c r="P555" s="671"/>
      <c r="Q555" s="671"/>
      <c r="R555" s="671"/>
      <c r="S555" s="671"/>
      <c r="T555" s="671"/>
      <c r="U555" s="671"/>
      <c r="V555" s="671"/>
      <c r="W555" s="671"/>
      <c r="X555" s="671"/>
      <c r="Y555" s="671"/>
      <c r="Z555" s="671"/>
      <c r="AA555" s="671"/>
      <c r="AB555" s="671"/>
    </row>
    <row r="556">
      <c r="A556" s="671"/>
      <c r="B556" s="671"/>
      <c r="C556" s="671"/>
      <c r="D556" s="671"/>
      <c r="E556" s="671"/>
      <c r="F556" s="671"/>
      <c r="G556" s="671"/>
      <c r="H556" s="671"/>
      <c r="I556" s="671"/>
      <c r="J556" s="671"/>
      <c r="K556" s="671"/>
      <c r="L556" s="671"/>
      <c r="M556" s="671"/>
      <c r="N556" s="671"/>
      <c r="O556" s="671"/>
      <c r="P556" s="671"/>
      <c r="Q556" s="671"/>
      <c r="R556" s="671"/>
      <c r="S556" s="671"/>
      <c r="T556" s="671"/>
      <c r="U556" s="671"/>
      <c r="V556" s="671"/>
      <c r="W556" s="671"/>
      <c r="X556" s="671"/>
      <c r="Y556" s="671"/>
      <c r="Z556" s="671"/>
      <c r="AA556" s="671"/>
      <c r="AB556" s="671"/>
    </row>
    <row r="557">
      <c r="A557" s="671"/>
      <c r="B557" s="671"/>
      <c r="C557" s="671"/>
      <c r="D557" s="671"/>
      <c r="E557" s="671"/>
      <c r="F557" s="671"/>
      <c r="G557" s="671"/>
      <c r="H557" s="671"/>
      <c r="I557" s="671"/>
      <c r="J557" s="671"/>
      <c r="K557" s="671"/>
      <c r="L557" s="671"/>
      <c r="M557" s="671"/>
      <c r="N557" s="671"/>
      <c r="O557" s="671"/>
      <c r="P557" s="671"/>
      <c r="Q557" s="671"/>
      <c r="R557" s="671"/>
      <c r="S557" s="671"/>
      <c r="T557" s="671"/>
      <c r="U557" s="671"/>
      <c r="V557" s="671"/>
      <c r="W557" s="671"/>
      <c r="X557" s="671"/>
      <c r="Y557" s="671"/>
      <c r="Z557" s="671"/>
      <c r="AA557" s="671"/>
      <c r="AB557" s="671"/>
    </row>
    <row r="558">
      <c r="A558" s="671"/>
      <c r="B558" s="671"/>
      <c r="C558" s="671"/>
      <c r="D558" s="671"/>
      <c r="E558" s="671"/>
      <c r="F558" s="671"/>
      <c r="G558" s="671"/>
      <c r="H558" s="671"/>
      <c r="I558" s="671"/>
      <c r="J558" s="671"/>
      <c r="K558" s="671"/>
      <c r="L558" s="671"/>
      <c r="M558" s="671"/>
      <c r="N558" s="671"/>
      <c r="O558" s="671"/>
      <c r="P558" s="671"/>
      <c r="Q558" s="671"/>
      <c r="R558" s="671"/>
      <c r="S558" s="671"/>
      <c r="T558" s="671"/>
      <c r="U558" s="671"/>
      <c r="V558" s="671"/>
      <c r="W558" s="671"/>
      <c r="X558" s="671"/>
      <c r="Y558" s="671"/>
      <c r="Z558" s="671"/>
      <c r="AA558" s="671"/>
      <c r="AB558" s="671"/>
    </row>
    <row r="559">
      <c r="A559" s="671"/>
      <c r="B559" s="671"/>
      <c r="C559" s="671"/>
      <c r="D559" s="671"/>
      <c r="E559" s="671"/>
      <c r="F559" s="671"/>
      <c r="G559" s="671"/>
      <c r="H559" s="671"/>
      <c r="I559" s="671"/>
      <c r="J559" s="671"/>
      <c r="K559" s="671"/>
      <c r="L559" s="671"/>
      <c r="M559" s="671"/>
      <c r="N559" s="671"/>
      <c r="O559" s="671"/>
      <c r="P559" s="671"/>
      <c r="Q559" s="671"/>
      <c r="R559" s="671"/>
      <c r="S559" s="671"/>
      <c r="T559" s="671"/>
      <c r="U559" s="671"/>
      <c r="V559" s="671"/>
      <c r="W559" s="671"/>
      <c r="X559" s="671"/>
      <c r="Y559" s="671"/>
      <c r="Z559" s="671"/>
      <c r="AA559" s="671"/>
      <c r="AB559" s="671"/>
    </row>
    <row r="560">
      <c r="A560" s="671"/>
      <c r="B560" s="671"/>
      <c r="C560" s="671"/>
      <c r="D560" s="671"/>
      <c r="E560" s="671"/>
      <c r="F560" s="671"/>
      <c r="G560" s="671"/>
      <c r="H560" s="671"/>
      <c r="I560" s="671"/>
      <c r="J560" s="671"/>
      <c r="K560" s="671"/>
      <c r="L560" s="671"/>
      <c r="M560" s="671"/>
      <c r="N560" s="671"/>
      <c r="O560" s="671"/>
      <c r="P560" s="671"/>
      <c r="Q560" s="671"/>
      <c r="R560" s="671"/>
      <c r="S560" s="671"/>
      <c r="T560" s="671"/>
      <c r="U560" s="671"/>
      <c r="V560" s="671"/>
      <c r="W560" s="671"/>
      <c r="X560" s="671"/>
      <c r="Y560" s="671"/>
      <c r="Z560" s="671"/>
      <c r="AA560" s="671"/>
      <c r="AB560" s="671"/>
    </row>
    <row r="561">
      <c r="A561" s="671"/>
      <c r="B561" s="671"/>
      <c r="C561" s="671"/>
      <c r="D561" s="671"/>
      <c r="E561" s="671"/>
      <c r="F561" s="671"/>
      <c r="G561" s="671"/>
      <c r="H561" s="671"/>
      <c r="I561" s="671"/>
      <c r="J561" s="671"/>
      <c r="K561" s="671"/>
      <c r="L561" s="671"/>
      <c r="M561" s="671"/>
      <c r="N561" s="671"/>
      <c r="O561" s="671"/>
      <c r="P561" s="671"/>
      <c r="Q561" s="671"/>
      <c r="R561" s="671"/>
      <c r="S561" s="671"/>
      <c r="T561" s="671"/>
      <c r="U561" s="671"/>
      <c r="V561" s="671"/>
      <c r="W561" s="671"/>
      <c r="X561" s="671"/>
      <c r="Y561" s="671"/>
      <c r="Z561" s="671"/>
      <c r="AA561" s="671"/>
      <c r="AB561" s="671"/>
    </row>
    <row r="562">
      <c r="A562" s="671"/>
      <c r="B562" s="671"/>
      <c r="C562" s="671"/>
      <c r="D562" s="671"/>
      <c r="E562" s="671"/>
      <c r="F562" s="671"/>
      <c r="G562" s="671"/>
      <c r="H562" s="671"/>
      <c r="I562" s="671"/>
      <c r="J562" s="671"/>
      <c r="K562" s="671"/>
      <c r="L562" s="671"/>
      <c r="M562" s="671"/>
      <c r="N562" s="671"/>
      <c r="O562" s="671"/>
      <c r="P562" s="671"/>
      <c r="Q562" s="671"/>
      <c r="R562" s="671"/>
      <c r="S562" s="671"/>
      <c r="T562" s="671"/>
      <c r="U562" s="671"/>
      <c r="V562" s="671"/>
      <c r="W562" s="671"/>
      <c r="X562" s="671"/>
      <c r="Y562" s="671"/>
      <c r="Z562" s="671"/>
      <c r="AA562" s="671"/>
      <c r="AB562" s="671"/>
    </row>
    <row r="563">
      <c r="A563" s="671"/>
      <c r="B563" s="671"/>
      <c r="C563" s="671"/>
      <c r="D563" s="671"/>
      <c r="E563" s="671"/>
      <c r="F563" s="671"/>
      <c r="G563" s="671"/>
      <c r="H563" s="671"/>
      <c r="I563" s="671"/>
      <c r="J563" s="671"/>
      <c r="K563" s="671"/>
      <c r="L563" s="671"/>
      <c r="M563" s="671"/>
      <c r="N563" s="671"/>
      <c r="O563" s="671"/>
      <c r="P563" s="671"/>
      <c r="Q563" s="671"/>
      <c r="R563" s="671"/>
      <c r="S563" s="671"/>
      <c r="T563" s="671"/>
      <c r="U563" s="671"/>
      <c r="V563" s="671"/>
      <c r="W563" s="671"/>
      <c r="X563" s="671"/>
      <c r="Y563" s="671"/>
      <c r="Z563" s="671"/>
      <c r="AA563" s="671"/>
      <c r="AB563" s="671"/>
    </row>
    <row r="564">
      <c r="A564" s="671"/>
      <c r="B564" s="671"/>
      <c r="C564" s="671"/>
      <c r="D564" s="671"/>
      <c r="E564" s="671"/>
      <c r="F564" s="671"/>
      <c r="G564" s="671"/>
      <c r="H564" s="671"/>
      <c r="I564" s="671"/>
      <c r="J564" s="671"/>
      <c r="K564" s="671"/>
      <c r="L564" s="671"/>
      <c r="M564" s="671"/>
      <c r="N564" s="671"/>
      <c r="O564" s="671"/>
      <c r="P564" s="671"/>
      <c r="Q564" s="671"/>
      <c r="R564" s="671"/>
      <c r="S564" s="671"/>
      <c r="T564" s="671"/>
      <c r="U564" s="671"/>
      <c r="V564" s="671"/>
      <c r="W564" s="671"/>
      <c r="X564" s="671"/>
      <c r="Y564" s="671"/>
      <c r="Z564" s="671"/>
      <c r="AA564" s="671"/>
      <c r="AB564" s="671"/>
    </row>
    <row r="565">
      <c r="A565" s="671"/>
      <c r="B565" s="671"/>
      <c r="C565" s="671"/>
      <c r="D565" s="671"/>
      <c r="E565" s="671"/>
      <c r="F565" s="671"/>
      <c r="G565" s="671"/>
      <c r="H565" s="671"/>
      <c r="I565" s="671"/>
      <c r="J565" s="671"/>
      <c r="K565" s="671"/>
      <c r="L565" s="671"/>
      <c r="M565" s="671"/>
      <c r="N565" s="671"/>
      <c r="O565" s="671"/>
      <c r="P565" s="671"/>
      <c r="Q565" s="671"/>
      <c r="R565" s="671"/>
      <c r="S565" s="671"/>
      <c r="T565" s="671"/>
      <c r="U565" s="671"/>
      <c r="V565" s="671"/>
      <c r="W565" s="671"/>
      <c r="X565" s="671"/>
      <c r="Y565" s="671"/>
      <c r="Z565" s="671"/>
      <c r="AA565" s="671"/>
      <c r="AB565" s="671"/>
    </row>
    <row r="566">
      <c r="A566" s="671"/>
      <c r="B566" s="671"/>
      <c r="C566" s="671"/>
      <c r="D566" s="671"/>
      <c r="E566" s="671"/>
      <c r="F566" s="671"/>
      <c r="G566" s="671"/>
      <c r="H566" s="671"/>
      <c r="I566" s="671"/>
      <c r="J566" s="671"/>
      <c r="K566" s="671"/>
      <c r="L566" s="671"/>
      <c r="M566" s="671"/>
      <c r="N566" s="671"/>
      <c r="O566" s="671"/>
      <c r="P566" s="671"/>
      <c r="Q566" s="671"/>
      <c r="R566" s="671"/>
      <c r="S566" s="671"/>
      <c r="T566" s="671"/>
      <c r="U566" s="671"/>
      <c r="V566" s="671"/>
      <c r="W566" s="671"/>
      <c r="X566" s="671"/>
      <c r="Y566" s="671"/>
      <c r="Z566" s="671"/>
      <c r="AA566" s="671"/>
      <c r="AB566" s="671"/>
    </row>
    <row r="567">
      <c r="A567" s="671"/>
      <c r="B567" s="671"/>
      <c r="C567" s="671"/>
      <c r="D567" s="671"/>
      <c r="E567" s="671"/>
      <c r="F567" s="671"/>
      <c r="G567" s="671"/>
      <c r="H567" s="671"/>
      <c r="I567" s="671"/>
      <c r="J567" s="671"/>
      <c r="K567" s="671"/>
      <c r="L567" s="671"/>
      <c r="M567" s="671"/>
      <c r="N567" s="671"/>
      <c r="O567" s="671"/>
      <c r="P567" s="671"/>
      <c r="Q567" s="671"/>
      <c r="R567" s="671"/>
      <c r="S567" s="671"/>
      <c r="T567" s="671"/>
      <c r="U567" s="671"/>
      <c r="V567" s="671"/>
      <c r="W567" s="671"/>
      <c r="X567" s="671"/>
      <c r="Y567" s="671"/>
      <c r="Z567" s="671"/>
      <c r="AA567" s="671"/>
      <c r="AB567" s="671"/>
    </row>
    <row r="568">
      <c r="A568" s="671"/>
      <c r="B568" s="671"/>
      <c r="C568" s="671"/>
      <c r="D568" s="671"/>
      <c r="E568" s="671"/>
      <c r="F568" s="671"/>
      <c r="G568" s="671"/>
      <c r="H568" s="671"/>
      <c r="I568" s="671"/>
      <c r="J568" s="671"/>
      <c r="K568" s="671"/>
      <c r="L568" s="671"/>
      <c r="M568" s="671"/>
      <c r="N568" s="671"/>
      <c r="O568" s="671"/>
      <c r="P568" s="671"/>
      <c r="Q568" s="671"/>
      <c r="R568" s="671"/>
      <c r="S568" s="671"/>
      <c r="T568" s="671"/>
      <c r="U568" s="671"/>
      <c r="V568" s="671"/>
      <c r="W568" s="671"/>
      <c r="X568" s="671"/>
      <c r="Y568" s="671"/>
      <c r="Z568" s="671"/>
      <c r="AA568" s="671"/>
      <c r="AB568" s="671"/>
    </row>
    <row r="569">
      <c r="A569" s="671"/>
      <c r="B569" s="671"/>
      <c r="C569" s="671"/>
      <c r="D569" s="671"/>
      <c r="E569" s="671"/>
      <c r="F569" s="671"/>
      <c r="G569" s="671"/>
      <c r="H569" s="671"/>
      <c r="I569" s="671"/>
      <c r="J569" s="671"/>
      <c r="K569" s="671"/>
      <c r="L569" s="671"/>
      <c r="M569" s="671"/>
      <c r="N569" s="671"/>
      <c r="O569" s="671"/>
      <c r="P569" s="671"/>
      <c r="Q569" s="671"/>
      <c r="R569" s="671"/>
      <c r="S569" s="671"/>
      <c r="T569" s="671"/>
      <c r="U569" s="671"/>
      <c r="V569" s="671"/>
      <c r="W569" s="671"/>
      <c r="X569" s="671"/>
      <c r="Y569" s="671"/>
      <c r="Z569" s="671"/>
      <c r="AA569" s="671"/>
      <c r="AB569" s="671"/>
    </row>
    <row r="570">
      <c r="A570" s="671"/>
      <c r="B570" s="671"/>
      <c r="C570" s="671"/>
      <c r="D570" s="671"/>
      <c r="E570" s="671"/>
      <c r="F570" s="671"/>
      <c r="G570" s="671"/>
      <c r="H570" s="671"/>
      <c r="I570" s="671"/>
      <c r="J570" s="671"/>
      <c r="K570" s="671"/>
      <c r="L570" s="671"/>
      <c r="M570" s="671"/>
      <c r="N570" s="671"/>
      <c r="O570" s="671"/>
      <c r="P570" s="671"/>
      <c r="Q570" s="671"/>
      <c r="R570" s="671"/>
      <c r="S570" s="671"/>
      <c r="T570" s="671"/>
      <c r="U570" s="671"/>
      <c r="V570" s="671"/>
      <c r="W570" s="671"/>
      <c r="X570" s="671"/>
      <c r="Y570" s="671"/>
      <c r="Z570" s="671"/>
      <c r="AA570" s="671"/>
      <c r="AB570" s="671"/>
    </row>
    <row r="571">
      <c r="A571" s="671"/>
      <c r="B571" s="671"/>
      <c r="C571" s="671"/>
      <c r="D571" s="671"/>
      <c r="E571" s="671"/>
      <c r="F571" s="671"/>
      <c r="G571" s="671"/>
      <c r="H571" s="671"/>
      <c r="I571" s="671"/>
      <c r="J571" s="671"/>
      <c r="K571" s="671"/>
      <c r="L571" s="671"/>
      <c r="M571" s="671"/>
      <c r="N571" s="671"/>
      <c r="O571" s="671"/>
      <c r="P571" s="671"/>
      <c r="Q571" s="671"/>
      <c r="R571" s="671"/>
      <c r="S571" s="671"/>
      <c r="T571" s="671"/>
      <c r="U571" s="671"/>
      <c r="V571" s="671"/>
      <c r="W571" s="671"/>
      <c r="X571" s="671"/>
      <c r="Y571" s="671"/>
      <c r="Z571" s="671"/>
      <c r="AA571" s="671"/>
      <c r="AB571" s="671"/>
    </row>
    <row r="572">
      <c r="A572" s="671"/>
      <c r="B572" s="671"/>
      <c r="C572" s="671"/>
      <c r="D572" s="671"/>
      <c r="E572" s="671"/>
      <c r="F572" s="671"/>
      <c r="G572" s="671"/>
      <c r="H572" s="671"/>
      <c r="I572" s="671"/>
      <c r="J572" s="671"/>
      <c r="K572" s="671"/>
      <c r="L572" s="671"/>
      <c r="M572" s="671"/>
      <c r="N572" s="671"/>
      <c r="O572" s="671"/>
      <c r="P572" s="671"/>
      <c r="Q572" s="671"/>
      <c r="R572" s="671"/>
      <c r="S572" s="671"/>
      <c r="T572" s="671"/>
      <c r="U572" s="671"/>
      <c r="V572" s="671"/>
      <c r="W572" s="671"/>
      <c r="X572" s="671"/>
      <c r="Y572" s="671"/>
      <c r="Z572" s="671"/>
      <c r="AA572" s="671"/>
      <c r="AB572" s="671"/>
    </row>
    <row r="573">
      <c r="A573" s="671"/>
      <c r="B573" s="671"/>
      <c r="C573" s="671"/>
      <c r="D573" s="671"/>
      <c r="E573" s="671"/>
      <c r="F573" s="671"/>
      <c r="G573" s="671"/>
      <c r="H573" s="671"/>
      <c r="I573" s="671"/>
      <c r="J573" s="671"/>
      <c r="K573" s="671"/>
      <c r="L573" s="671"/>
      <c r="M573" s="671"/>
      <c r="N573" s="671"/>
      <c r="O573" s="671"/>
      <c r="P573" s="671"/>
      <c r="Q573" s="671"/>
      <c r="R573" s="671"/>
      <c r="S573" s="671"/>
      <c r="T573" s="671"/>
      <c r="U573" s="671"/>
      <c r="V573" s="671"/>
      <c r="W573" s="671"/>
      <c r="X573" s="671"/>
      <c r="Y573" s="671"/>
      <c r="Z573" s="671"/>
      <c r="AA573" s="671"/>
      <c r="AB573" s="671"/>
    </row>
    <row r="574">
      <c r="A574" s="671"/>
      <c r="B574" s="671"/>
      <c r="C574" s="671"/>
      <c r="D574" s="671"/>
      <c r="E574" s="671"/>
      <c r="F574" s="671"/>
      <c r="G574" s="671"/>
      <c r="H574" s="671"/>
      <c r="I574" s="671"/>
      <c r="J574" s="671"/>
      <c r="K574" s="671"/>
      <c r="L574" s="671"/>
      <c r="M574" s="671"/>
      <c r="N574" s="671"/>
      <c r="O574" s="671"/>
      <c r="P574" s="671"/>
      <c r="Q574" s="671"/>
      <c r="R574" s="671"/>
      <c r="S574" s="671"/>
      <c r="T574" s="671"/>
      <c r="U574" s="671"/>
      <c r="V574" s="671"/>
      <c r="W574" s="671"/>
      <c r="X574" s="671"/>
      <c r="Y574" s="671"/>
      <c r="Z574" s="671"/>
      <c r="AA574" s="671"/>
      <c r="AB574" s="671"/>
    </row>
    <row r="575">
      <c r="A575" s="671"/>
      <c r="B575" s="671"/>
      <c r="C575" s="671"/>
      <c r="D575" s="671"/>
      <c r="E575" s="671"/>
      <c r="F575" s="671"/>
      <c r="G575" s="671"/>
      <c r="H575" s="671"/>
      <c r="I575" s="671"/>
      <c r="J575" s="671"/>
      <c r="K575" s="671"/>
      <c r="L575" s="671"/>
      <c r="M575" s="671"/>
      <c r="N575" s="671"/>
      <c r="O575" s="671"/>
      <c r="P575" s="671"/>
      <c r="Q575" s="671"/>
      <c r="R575" s="671"/>
      <c r="S575" s="671"/>
      <c r="T575" s="671"/>
      <c r="U575" s="671"/>
      <c r="V575" s="671"/>
      <c r="W575" s="671"/>
      <c r="X575" s="671"/>
      <c r="Y575" s="671"/>
      <c r="Z575" s="671"/>
      <c r="AA575" s="671"/>
      <c r="AB575" s="671"/>
    </row>
    <row r="576">
      <c r="A576" s="671"/>
      <c r="B576" s="671"/>
      <c r="C576" s="671"/>
      <c r="D576" s="671"/>
      <c r="E576" s="671"/>
      <c r="F576" s="671"/>
      <c r="G576" s="671"/>
      <c r="H576" s="671"/>
      <c r="I576" s="671"/>
      <c r="J576" s="671"/>
      <c r="K576" s="671"/>
      <c r="L576" s="671"/>
      <c r="M576" s="671"/>
      <c r="N576" s="671"/>
      <c r="O576" s="671"/>
      <c r="P576" s="671"/>
      <c r="Q576" s="671"/>
      <c r="R576" s="671"/>
      <c r="S576" s="671"/>
      <c r="T576" s="671"/>
      <c r="U576" s="671"/>
      <c r="V576" s="671"/>
      <c r="W576" s="671"/>
      <c r="X576" s="671"/>
      <c r="Y576" s="671"/>
      <c r="Z576" s="671"/>
      <c r="AA576" s="671"/>
      <c r="AB576" s="671"/>
    </row>
    <row r="577">
      <c r="A577" s="671"/>
      <c r="B577" s="671"/>
      <c r="C577" s="671"/>
      <c r="D577" s="671"/>
      <c r="E577" s="671"/>
      <c r="F577" s="671"/>
      <c r="G577" s="671"/>
      <c r="H577" s="671"/>
      <c r="I577" s="671"/>
      <c r="J577" s="671"/>
      <c r="K577" s="671"/>
      <c r="L577" s="671"/>
      <c r="M577" s="671"/>
      <c r="N577" s="671"/>
      <c r="O577" s="671"/>
      <c r="P577" s="671"/>
      <c r="Q577" s="671"/>
      <c r="R577" s="671"/>
      <c r="S577" s="671"/>
      <c r="T577" s="671"/>
      <c r="U577" s="671"/>
      <c r="V577" s="671"/>
      <c r="W577" s="671"/>
      <c r="X577" s="671"/>
      <c r="Y577" s="671"/>
      <c r="Z577" s="671"/>
      <c r="AA577" s="671"/>
      <c r="AB577" s="671"/>
    </row>
    <row r="578">
      <c r="A578" s="671"/>
      <c r="B578" s="671"/>
      <c r="C578" s="671"/>
      <c r="D578" s="671"/>
      <c r="E578" s="671"/>
      <c r="F578" s="671"/>
      <c r="G578" s="671"/>
      <c r="H578" s="671"/>
      <c r="I578" s="671"/>
      <c r="J578" s="671"/>
      <c r="K578" s="671"/>
      <c r="L578" s="671"/>
      <c r="M578" s="671"/>
      <c r="N578" s="671"/>
      <c r="O578" s="671"/>
      <c r="P578" s="671"/>
      <c r="Q578" s="671"/>
      <c r="R578" s="671"/>
      <c r="S578" s="671"/>
      <c r="T578" s="671"/>
      <c r="U578" s="671"/>
      <c r="V578" s="671"/>
      <c r="W578" s="671"/>
      <c r="X578" s="671"/>
      <c r="Y578" s="671"/>
      <c r="Z578" s="671"/>
      <c r="AA578" s="671"/>
      <c r="AB578" s="671"/>
    </row>
    <row r="579">
      <c r="A579" s="671"/>
      <c r="B579" s="671"/>
      <c r="C579" s="671"/>
      <c r="D579" s="671"/>
      <c r="E579" s="671"/>
      <c r="F579" s="671"/>
      <c r="G579" s="671"/>
      <c r="H579" s="671"/>
      <c r="I579" s="671"/>
      <c r="J579" s="671"/>
      <c r="K579" s="671"/>
      <c r="L579" s="671"/>
      <c r="M579" s="671"/>
      <c r="N579" s="671"/>
      <c r="O579" s="671"/>
      <c r="P579" s="671"/>
      <c r="Q579" s="671"/>
      <c r="R579" s="671"/>
      <c r="S579" s="671"/>
      <c r="T579" s="671"/>
      <c r="U579" s="671"/>
      <c r="V579" s="671"/>
      <c r="W579" s="671"/>
      <c r="X579" s="671"/>
      <c r="Y579" s="671"/>
      <c r="Z579" s="671"/>
      <c r="AA579" s="671"/>
      <c r="AB579" s="671"/>
    </row>
    <row r="580">
      <c r="A580" s="671"/>
      <c r="B580" s="671"/>
      <c r="C580" s="671"/>
      <c r="D580" s="671"/>
      <c r="E580" s="671"/>
      <c r="F580" s="671"/>
      <c r="G580" s="671"/>
      <c r="H580" s="671"/>
      <c r="I580" s="671"/>
      <c r="J580" s="671"/>
      <c r="K580" s="671"/>
      <c r="L580" s="671"/>
      <c r="M580" s="671"/>
      <c r="N580" s="671"/>
      <c r="O580" s="671"/>
      <c r="P580" s="671"/>
      <c r="Q580" s="671"/>
      <c r="R580" s="671"/>
      <c r="S580" s="671"/>
      <c r="T580" s="671"/>
      <c r="U580" s="671"/>
      <c r="V580" s="671"/>
      <c r="W580" s="671"/>
      <c r="X580" s="671"/>
      <c r="Y580" s="671"/>
      <c r="Z580" s="671"/>
      <c r="AA580" s="671"/>
      <c r="AB580" s="671"/>
    </row>
    <row r="581">
      <c r="A581" s="671"/>
      <c r="B581" s="671"/>
      <c r="C581" s="671"/>
      <c r="D581" s="671"/>
      <c r="E581" s="671"/>
      <c r="F581" s="671"/>
      <c r="G581" s="671"/>
      <c r="H581" s="671"/>
      <c r="I581" s="671"/>
      <c r="J581" s="671"/>
      <c r="K581" s="671"/>
      <c r="L581" s="671"/>
      <c r="M581" s="671"/>
      <c r="N581" s="671"/>
      <c r="O581" s="671"/>
      <c r="P581" s="671"/>
      <c r="Q581" s="671"/>
      <c r="R581" s="671"/>
      <c r="S581" s="671"/>
      <c r="T581" s="671"/>
      <c r="U581" s="671"/>
      <c r="V581" s="671"/>
      <c r="W581" s="671"/>
      <c r="X581" s="671"/>
      <c r="Y581" s="671"/>
      <c r="Z581" s="671"/>
      <c r="AA581" s="671"/>
      <c r="AB581" s="671"/>
    </row>
    <row r="582">
      <c r="A582" s="671"/>
      <c r="B582" s="671"/>
      <c r="C582" s="671"/>
      <c r="D582" s="671"/>
      <c r="E582" s="671"/>
      <c r="F582" s="671"/>
      <c r="G582" s="671"/>
      <c r="H582" s="671"/>
      <c r="I582" s="671"/>
      <c r="J582" s="671"/>
      <c r="K582" s="671"/>
      <c r="L582" s="671"/>
      <c r="M582" s="671"/>
      <c r="N582" s="671"/>
      <c r="O582" s="671"/>
      <c r="P582" s="671"/>
      <c r="Q582" s="671"/>
      <c r="R582" s="671"/>
      <c r="S582" s="671"/>
      <c r="T582" s="671"/>
      <c r="U582" s="671"/>
      <c r="V582" s="671"/>
      <c r="W582" s="671"/>
      <c r="X582" s="671"/>
      <c r="Y582" s="671"/>
      <c r="Z582" s="671"/>
      <c r="AA582" s="671"/>
      <c r="AB582" s="671"/>
    </row>
    <row r="583">
      <c r="A583" s="671"/>
      <c r="B583" s="671"/>
      <c r="C583" s="671"/>
      <c r="D583" s="671"/>
      <c r="E583" s="671"/>
      <c r="F583" s="671"/>
      <c r="G583" s="671"/>
      <c r="H583" s="671"/>
      <c r="I583" s="671"/>
      <c r="J583" s="671"/>
      <c r="K583" s="671"/>
      <c r="L583" s="671"/>
      <c r="M583" s="671"/>
      <c r="N583" s="671"/>
      <c r="O583" s="671"/>
      <c r="P583" s="671"/>
      <c r="Q583" s="671"/>
      <c r="R583" s="671"/>
      <c r="S583" s="671"/>
      <c r="T583" s="671"/>
      <c r="U583" s="671"/>
      <c r="V583" s="671"/>
      <c r="W583" s="671"/>
      <c r="X583" s="671"/>
      <c r="Y583" s="671"/>
      <c r="Z583" s="671"/>
      <c r="AA583" s="671"/>
      <c r="AB583" s="671"/>
    </row>
    <row r="584">
      <c r="A584" s="671"/>
      <c r="B584" s="671"/>
      <c r="C584" s="671"/>
      <c r="D584" s="671"/>
      <c r="E584" s="671"/>
      <c r="F584" s="671"/>
      <c r="G584" s="671"/>
      <c r="H584" s="671"/>
      <c r="I584" s="671"/>
      <c r="J584" s="671"/>
      <c r="K584" s="671"/>
      <c r="L584" s="671"/>
      <c r="M584" s="671"/>
      <c r="N584" s="671"/>
      <c r="O584" s="671"/>
      <c r="P584" s="671"/>
      <c r="Q584" s="671"/>
      <c r="R584" s="671"/>
      <c r="S584" s="671"/>
      <c r="T584" s="671"/>
      <c r="U584" s="671"/>
      <c r="V584" s="671"/>
      <c r="W584" s="671"/>
      <c r="X584" s="671"/>
      <c r="Y584" s="671"/>
      <c r="Z584" s="671"/>
      <c r="AA584" s="671"/>
      <c r="AB584" s="671"/>
    </row>
    <row r="585">
      <c r="A585" s="671"/>
      <c r="B585" s="671"/>
      <c r="C585" s="671"/>
      <c r="D585" s="671"/>
      <c r="E585" s="671"/>
      <c r="F585" s="671"/>
      <c r="G585" s="671"/>
      <c r="H585" s="671"/>
      <c r="I585" s="671"/>
      <c r="J585" s="671"/>
      <c r="K585" s="671"/>
      <c r="L585" s="671"/>
      <c r="M585" s="671"/>
      <c r="N585" s="671"/>
      <c r="O585" s="671"/>
      <c r="P585" s="671"/>
      <c r="Q585" s="671"/>
      <c r="R585" s="671"/>
      <c r="S585" s="671"/>
      <c r="T585" s="671"/>
      <c r="U585" s="671"/>
      <c r="V585" s="671"/>
      <c r="W585" s="671"/>
      <c r="X585" s="671"/>
      <c r="Y585" s="671"/>
      <c r="Z585" s="671"/>
      <c r="AA585" s="671"/>
      <c r="AB585" s="671"/>
    </row>
    <row r="586">
      <c r="A586" s="671"/>
      <c r="B586" s="671"/>
      <c r="C586" s="671"/>
      <c r="D586" s="671"/>
      <c r="E586" s="671"/>
      <c r="F586" s="671"/>
      <c r="G586" s="671"/>
      <c r="H586" s="671"/>
      <c r="I586" s="671"/>
      <c r="J586" s="671"/>
      <c r="K586" s="671"/>
      <c r="L586" s="671"/>
      <c r="M586" s="671"/>
      <c r="N586" s="671"/>
      <c r="O586" s="671"/>
      <c r="P586" s="671"/>
      <c r="Q586" s="671"/>
      <c r="R586" s="671"/>
      <c r="S586" s="671"/>
      <c r="T586" s="671"/>
      <c r="U586" s="671"/>
      <c r="V586" s="671"/>
      <c r="W586" s="671"/>
      <c r="X586" s="671"/>
      <c r="Y586" s="671"/>
      <c r="Z586" s="671"/>
      <c r="AA586" s="671"/>
      <c r="AB586" s="671"/>
    </row>
    <row r="587">
      <c r="A587" s="671"/>
      <c r="B587" s="671"/>
      <c r="C587" s="671"/>
      <c r="D587" s="671"/>
      <c r="E587" s="671"/>
      <c r="F587" s="671"/>
      <c r="G587" s="671"/>
      <c r="H587" s="671"/>
      <c r="I587" s="671"/>
      <c r="J587" s="671"/>
      <c r="K587" s="671"/>
      <c r="L587" s="671"/>
      <c r="M587" s="671"/>
      <c r="N587" s="671"/>
      <c r="O587" s="671"/>
      <c r="P587" s="671"/>
      <c r="Q587" s="671"/>
      <c r="R587" s="671"/>
      <c r="S587" s="671"/>
      <c r="T587" s="671"/>
      <c r="U587" s="671"/>
      <c r="V587" s="671"/>
      <c r="W587" s="671"/>
      <c r="X587" s="671"/>
      <c r="Y587" s="671"/>
      <c r="Z587" s="671"/>
      <c r="AA587" s="671"/>
      <c r="AB587" s="671"/>
    </row>
    <row r="588">
      <c r="A588" s="671"/>
      <c r="B588" s="671"/>
      <c r="C588" s="671"/>
      <c r="D588" s="671"/>
      <c r="E588" s="671"/>
      <c r="F588" s="671"/>
      <c r="G588" s="671"/>
      <c r="H588" s="671"/>
      <c r="I588" s="671"/>
      <c r="J588" s="671"/>
      <c r="K588" s="671"/>
      <c r="L588" s="671"/>
      <c r="M588" s="671"/>
      <c r="N588" s="671"/>
      <c r="O588" s="671"/>
      <c r="P588" s="671"/>
      <c r="Q588" s="671"/>
      <c r="R588" s="671"/>
      <c r="S588" s="671"/>
      <c r="T588" s="671"/>
      <c r="U588" s="671"/>
      <c r="V588" s="671"/>
      <c r="W588" s="671"/>
      <c r="X588" s="671"/>
      <c r="Y588" s="671"/>
      <c r="Z588" s="671"/>
      <c r="AA588" s="671"/>
      <c r="AB588" s="671"/>
    </row>
    <row r="589">
      <c r="A589" s="671"/>
      <c r="B589" s="671"/>
      <c r="C589" s="671"/>
      <c r="D589" s="671"/>
      <c r="E589" s="671"/>
      <c r="F589" s="671"/>
      <c r="G589" s="671"/>
      <c r="H589" s="671"/>
      <c r="I589" s="671"/>
      <c r="J589" s="671"/>
      <c r="K589" s="671"/>
      <c r="L589" s="671"/>
      <c r="M589" s="671"/>
      <c r="N589" s="671"/>
      <c r="O589" s="671"/>
      <c r="P589" s="671"/>
      <c r="Q589" s="671"/>
      <c r="R589" s="671"/>
      <c r="S589" s="671"/>
      <c r="T589" s="671"/>
      <c r="U589" s="671"/>
      <c r="V589" s="671"/>
      <c r="W589" s="671"/>
      <c r="X589" s="671"/>
      <c r="Y589" s="671"/>
      <c r="Z589" s="671"/>
      <c r="AA589" s="671"/>
      <c r="AB589" s="671"/>
    </row>
    <row r="590">
      <c r="A590" s="671"/>
      <c r="B590" s="671"/>
      <c r="C590" s="671"/>
      <c r="D590" s="671"/>
      <c r="E590" s="671"/>
      <c r="F590" s="671"/>
      <c r="G590" s="671"/>
      <c r="H590" s="671"/>
      <c r="I590" s="671"/>
      <c r="J590" s="671"/>
      <c r="K590" s="671"/>
      <c r="L590" s="671"/>
      <c r="M590" s="671"/>
      <c r="N590" s="671"/>
      <c r="O590" s="671"/>
      <c r="P590" s="671"/>
      <c r="Q590" s="671"/>
      <c r="R590" s="671"/>
      <c r="S590" s="671"/>
      <c r="T590" s="671"/>
      <c r="U590" s="671"/>
      <c r="V590" s="671"/>
      <c r="W590" s="671"/>
      <c r="X590" s="671"/>
      <c r="Y590" s="671"/>
      <c r="Z590" s="671"/>
      <c r="AA590" s="671"/>
      <c r="AB590" s="671"/>
    </row>
    <row r="591">
      <c r="A591" s="671"/>
      <c r="B591" s="671"/>
      <c r="C591" s="671"/>
      <c r="D591" s="671"/>
      <c r="E591" s="671"/>
      <c r="F591" s="671"/>
      <c r="G591" s="671"/>
      <c r="H591" s="671"/>
      <c r="I591" s="671"/>
      <c r="J591" s="671"/>
      <c r="K591" s="671"/>
      <c r="L591" s="671"/>
      <c r="M591" s="671"/>
      <c r="N591" s="671"/>
      <c r="O591" s="671"/>
      <c r="P591" s="671"/>
      <c r="Q591" s="671"/>
      <c r="R591" s="671"/>
      <c r="S591" s="671"/>
      <c r="T591" s="671"/>
      <c r="U591" s="671"/>
      <c r="V591" s="671"/>
      <c r="W591" s="671"/>
      <c r="X591" s="671"/>
      <c r="Y591" s="671"/>
      <c r="Z591" s="671"/>
      <c r="AA591" s="671"/>
      <c r="AB591" s="671"/>
    </row>
    <row r="592">
      <c r="A592" s="671"/>
      <c r="B592" s="671"/>
      <c r="C592" s="671"/>
      <c r="D592" s="671"/>
      <c r="E592" s="671"/>
      <c r="F592" s="671"/>
      <c r="G592" s="671"/>
      <c r="H592" s="671"/>
      <c r="I592" s="671"/>
      <c r="J592" s="671"/>
      <c r="K592" s="671"/>
      <c r="L592" s="671"/>
      <c r="M592" s="671"/>
      <c r="N592" s="671"/>
      <c r="O592" s="671"/>
      <c r="P592" s="671"/>
      <c r="Q592" s="671"/>
      <c r="R592" s="671"/>
      <c r="S592" s="671"/>
      <c r="T592" s="671"/>
      <c r="U592" s="671"/>
      <c r="V592" s="671"/>
      <c r="W592" s="671"/>
      <c r="X592" s="671"/>
      <c r="Y592" s="671"/>
      <c r="Z592" s="671"/>
      <c r="AA592" s="671"/>
      <c r="AB592" s="671"/>
    </row>
    <row r="593">
      <c r="A593" s="671"/>
      <c r="B593" s="671"/>
      <c r="C593" s="671"/>
      <c r="D593" s="671"/>
      <c r="E593" s="671"/>
      <c r="F593" s="671"/>
      <c r="G593" s="671"/>
      <c r="H593" s="671"/>
      <c r="I593" s="671"/>
      <c r="J593" s="671"/>
      <c r="K593" s="671"/>
      <c r="L593" s="671"/>
      <c r="M593" s="671"/>
      <c r="N593" s="671"/>
      <c r="O593" s="671"/>
      <c r="P593" s="671"/>
      <c r="Q593" s="671"/>
      <c r="R593" s="671"/>
      <c r="S593" s="671"/>
      <c r="T593" s="671"/>
      <c r="U593" s="671"/>
      <c r="V593" s="671"/>
      <c r="W593" s="671"/>
      <c r="X593" s="671"/>
      <c r="Y593" s="671"/>
      <c r="Z593" s="671"/>
      <c r="AA593" s="671"/>
      <c r="AB593" s="671"/>
    </row>
    <row r="594">
      <c r="A594" s="671"/>
      <c r="B594" s="671"/>
      <c r="C594" s="671"/>
      <c r="D594" s="671"/>
      <c r="E594" s="671"/>
      <c r="F594" s="671"/>
      <c r="G594" s="671"/>
      <c r="H594" s="671"/>
      <c r="I594" s="671"/>
      <c r="J594" s="671"/>
      <c r="K594" s="671"/>
      <c r="L594" s="671"/>
      <c r="M594" s="671"/>
      <c r="N594" s="671"/>
      <c r="O594" s="671"/>
      <c r="P594" s="671"/>
      <c r="Q594" s="671"/>
      <c r="R594" s="671"/>
      <c r="S594" s="671"/>
      <c r="T594" s="671"/>
      <c r="U594" s="671"/>
      <c r="V594" s="671"/>
      <c r="W594" s="671"/>
      <c r="X594" s="671"/>
      <c r="Y594" s="671"/>
      <c r="Z594" s="671"/>
      <c r="AA594" s="671"/>
      <c r="AB594" s="671"/>
    </row>
    <row r="595">
      <c r="A595" s="671"/>
      <c r="B595" s="671"/>
      <c r="C595" s="671"/>
      <c r="D595" s="671"/>
      <c r="E595" s="671"/>
      <c r="F595" s="671"/>
      <c r="G595" s="671"/>
      <c r="H595" s="671"/>
      <c r="I595" s="671"/>
      <c r="J595" s="671"/>
      <c r="K595" s="671"/>
      <c r="L595" s="671"/>
      <c r="M595" s="671"/>
      <c r="N595" s="671"/>
      <c r="O595" s="671"/>
      <c r="P595" s="671"/>
      <c r="Q595" s="671"/>
      <c r="R595" s="671"/>
      <c r="S595" s="671"/>
      <c r="T595" s="671"/>
      <c r="U595" s="671"/>
      <c r="V595" s="671"/>
      <c r="W595" s="671"/>
      <c r="X595" s="671"/>
      <c r="Y595" s="671"/>
      <c r="Z595" s="671"/>
      <c r="AA595" s="671"/>
      <c r="AB595" s="671"/>
    </row>
    <row r="596">
      <c r="A596" s="671"/>
      <c r="B596" s="671"/>
      <c r="C596" s="671"/>
      <c r="D596" s="671"/>
      <c r="E596" s="671"/>
      <c r="F596" s="671"/>
      <c r="G596" s="671"/>
      <c r="H596" s="671"/>
      <c r="I596" s="671"/>
      <c r="J596" s="671"/>
      <c r="K596" s="671"/>
      <c r="L596" s="671"/>
      <c r="M596" s="671"/>
      <c r="N596" s="671"/>
      <c r="O596" s="671"/>
      <c r="P596" s="671"/>
      <c r="Q596" s="671"/>
      <c r="R596" s="671"/>
      <c r="S596" s="671"/>
      <c r="T596" s="671"/>
      <c r="U596" s="671"/>
      <c r="V596" s="671"/>
      <c r="W596" s="671"/>
      <c r="X596" s="671"/>
      <c r="Y596" s="671"/>
      <c r="Z596" s="671"/>
      <c r="AA596" s="671"/>
      <c r="AB596" s="671"/>
    </row>
    <row r="597">
      <c r="A597" s="671"/>
      <c r="B597" s="671"/>
      <c r="C597" s="671"/>
      <c r="D597" s="671"/>
      <c r="E597" s="671"/>
      <c r="F597" s="671"/>
      <c r="G597" s="671"/>
      <c r="H597" s="671"/>
      <c r="I597" s="671"/>
      <c r="J597" s="671"/>
      <c r="K597" s="671"/>
      <c r="L597" s="671"/>
      <c r="M597" s="671"/>
      <c r="N597" s="671"/>
      <c r="O597" s="671"/>
      <c r="P597" s="671"/>
      <c r="Q597" s="671"/>
      <c r="R597" s="671"/>
      <c r="S597" s="671"/>
      <c r="T597" s="671"/>
      <c r="U597" s="671"/>
      <c r="V597" s="671"/>
      <c r="W597" s="671"/>
      <c r="X597" s="671"/>
      <c r="Y597" s="671"/>
      <c r="Z597" s="671"/>
      <c r="AA597" s="671"/>
      <c r="AB597" s="671"/>
    </row>
    <row r="598">
      <c r="A598" s="671"/>
      <c r="B598" s="671"/>
      <c r="C598" s="671"/>
      <c r="D598" s="671"/>
      <c r="E598" s="671"/>
      <c r="F598" s="671"/>
      <c r="G598" s="671"/>
      <c r="H598" s="671"/>
      <c r="I598" s="671"/>
      <c r="J598" s="671"/>
      <c r="K598" s="671"/>
      <c r="L598" s="671"/>
      <c r="M598" s="671"/>
      <c r="N598" s="671"/>
      <c r="O598" s="671"/>
      <c r="P598" s="671"/>
      <c r="Q598" s="671"/>
      <c r="R598" s="671"/>
      <c r="S598" s="671"/>
      <c r="T598" s="671"/>
      <c r="U598" s="671"/>
      <c r="V598" s="671"/>
      <c r="W598" s="671"/>
      <c r="X598" s="671"/>
      <c r="Y598" s="671"/>
      <c r="Z598" s="671"/>
      <c r="AA598" s="671"/>
      <c r="AB598" s="671"/>
    </row>
    <row r="599">
      <c r="A599" s="671"/>
      <c r="B599" s="671"/>
      <c r="C599" s="671"/>
      <c r="D599" s="671"/>
      <c r="E599" s="671"/>
      <c r="F599" s="671"/>
      <c r="G599" s="671"/>
      <c r="H599" s="671"/>
      <c r="I599" s="671"/>
      <c r="J599" s="671"/>
      <c r="K599" s="671"/>
      <c r="L599" s="671"/>
      <c r="M599" s="671"/>
      <c r="N599" s="671"/>
      <c r="O599" s="671"/>
      <c r="P599" s="671"/>
      <c r="Q599" s="671"/>
      <c r="R599" s="671"/>
      <c r="S599" s="671"/>
      <c r="T599" s="671"/>
      <c r="U599" s="671"/>
      <c r="V599" s="671"/>
      <c r="W599" s="671"/>
      <c r="X599" s="671"/>
      <c r="Y599" s="671"/>
      <c r="Z599" s="671"/>
      <c r="AA599" s="671"/>
      <c r="AB599" s="671"/>
    </row>
    <row r="600">
      <c r="A600" s="671"/>
      <c r="B600" s="671"/>
      <c r="C600" s="671"/>
      <c r="D600" s="671"/>
      <c r="E600" s="671"/>
      <c r="F600" s="671"/>
      <c r="G600" s="671"/>
      <c r="H600" s="671"/>
      <c r="I600" s="671"/>
      <c r="J600" s="671"/>
      <c r="K600" s="671"/>
      <c r="L600" s="671"/>
      <c r="M600" s="671"/>
      <c r="N600" s="671"/>
      <c r="O600" s="671"/>
      <c r="P600" s="671"/>
      <c r="Q600" s="671"/>
      <c r="R600" s="671"/>
      <c r="S600" s="671"/>
      <c r="T600" s="671"/>
      <c r="U600" s="671"/>
      <c r="V600" s="671"/>
      <c r="W600" s="671"/>
      <c r="X600" s="671"/>
      <c r="Y600" s="671"/>
      <c r="Z600" s="671"/>
      <c r="AA600" s="671"/>
      <c r="AB600" s="671"/>
    </row>
    <row r="601">
      <c r="A601" s="671"/>
      <c r="B601" s="671"/>
      <c r="C601" s="671"/>
      <c r="D601" s="671"/>
      <c r="E601" s="671"/>
      <c r="F601" s="671"/>
      <c r="G601" s="671"/>
      <c r="H601" s="671"/>
      <c r="I601" s="671"/>
      <c r="J601" s="671"/>
      <c r="K601" s="671"/>
      <c r="L601" s="671"/>
      <c r="M601" s="671"/>
      <c r="N601" s="671"/>
      <c r="O601" s="671"/>
      <c r="P601" s="671"/>
      <c r="Q601" s="671"/>
      <c r="R601" s="671"/>
      <c r="S601" s="671"/>
      <c r="T601" s="671"/>
      <c r="U601" s="671"/>
      <c r="V601" s="671"/>
      <c r="W601" s="671"/>
      <c r="X601" s="671"/>
      <c r="Y601" s="671"/>
      <c r="Z601" s="671"/>
      <c r="AA601" s="671"/>
      <c r="AB601" s="671"/>
    </row>
    <row r="602">
      <c r="A602" s="671"/>
      <c r="B602" s="671"/>
      <c r="C602" s="671"/>
      <c r="D602" s="671"/>
      <c r="E602" s="671"/>
      <c r="F602" s="671"/>
      <c r="G602" s="671"/>
      <c r="H602" s="671"/>
      <c r="I602" s="671"/>
      <c r="J602" s="671"/>
      <c r="K602" s="671"/>
      <c r="L602" s="671"/>
      <c r="M602" s="671"/>
      <c r="N602" s="671"/>
      <c r="O602" s="671"/>
      <c r="P602" s="671"/>
      <c r="Q602" s="671"/>
      <c r="R602" s="671"/>
      <c r="S602" s="671"/>
      <c r="T602" s="671"/>
      <c r="U602" s="671"/>
      <c r="V602" s="671"/>
      <c r="W602" s="671"/>
      <c r="X602" s="671"/>
      <c r="Y602" s="671"/>
      <c r="Z602" s="671"/>
      <c r="AA602" s="671"/>
      <c r="AB602" s="671"/>
    </row>
    <row r="603">
      <c r="A603" s="671"/>
      <c r="B603" s="671"/>
      <c r="C603" s="671"/>
      <c r="D603" s="671"/>
      <c r="E603" s="671"/>
      <c r="F603" s="671"/>
      <c r="G603" s="671"/>
      <c r="H603" s="671"/>
      <c r="I603" s="671"/>
      <c r="J603" s="671"/>
      <c r="K603" s="671"/>
      <c r="L603" s="671"/>
      <c r="M603" s="671"/>
      <c r="N603" s="671"/>
      <c r="O603" s="671"/>
      <c r="P603" s="671"/>
      <c r="Q603" s="671"/>
      <c r="R603" s="671"/>
      <c r="S603" s="671"/>
      <c r="T603" s="671"/>
      <c r="U603" s="671"/>
      <c r="V603" s="671"/>
      <c r="W603" s="671"/>
      <c r="X603" s="671"/>
      <c r="Y603" s="671"/>
      <c r="Z603" s="671"/>
      <c r="AA603" s="671"/>
      <c r="AB603" s="671"/>
    </row>
    <row r="604">
      <c r="A604" s="671"/>
      <c r="B604" s="671"/>
      <c r="C604" s="671"/>
      <c r="D604" s="671"/>
      <c r="E604" s="671"/>
      <c r="F604" s="671"/>
      <c r="G604" s="671"/>
      <c r="H604" s="671"/>
      <c r="I604" s="671"/>
      <c r="J604" s="671"/>
      <c r="K604" s="671"/>
      <c r="L604" s="671"/>
      <c r="M604" s="671"/>
      <c r="N604" s="671"/>
      <c r="O604" s="671"/>
      <c r="P604" s="671"/>
      <c r="Q604" s="671"/>
      <c r="R604" s="671"/>
      <c r="S604" s="671"/>
      <c r="T604" s="671"/>
      <c r="U604" s="671"/>
      <c r="V604" s="671"/>
      <c r="W604" s="671"/>
      <c r="X604" s="671"/>
      <c r="Y604" s="671"/>
      <c r="Z604" s="671"/>
      <c r="AA604" s="671"/>
      <c r="AB604" s="671"/>
    </row>
    <row r="605">
      <c r="A605" s="671"/>
      <c r="B605" s="671"/>
      <c r="C605" s="671"/>
      <c r="D605" s="671"/>
      <c r="E605" s="671"/>
      <c r="F605" s="671"/>
      <c r="G605" s="671"/>
      <c r="H605" s="671"/>
      <c r="I605" s="671"/>
      <c r="J605" s="671"/>
      <c r="K605" s="671"/>
      <c r="L605" s="671"/>
      <c r="M605" s="671"/>
      <c r="N605" s="671"/>
      <c r="O605" s="671"/>
      <c r="P605" s="671"/>
      <c r="Q605" s="671"/>
      <c r="R605" s="671"/>
      <c r="S605" s="671"/>
      <c r="T605" s="671"/>
      <c r="U605" s="671"/>
      <c r="V605" s="671"/>
      <c r="W605" s="671"/>
      <c r="X605" s="671"/>
      <c r="Y605" s="671"/>
      <c r="Z605" s="671"/>
      <c r="AA605" s="671"/>
      <c r="AB605" s="671"/>
    </row>
    <row r="606">
      <c r="A606" s="671"/>
      <c r="B606" s="671"/>
      <c r="C606" s="671"/>
      <c r="D606" s="671"/>
      <c r="E606" s="671"/>
      <c r="F606" s="671"/>
      <c r="G606" s="671"/>
      <c r="H606" s="671"/>
      <c r="I606" s="671"/>
      <c r="J606" s="671"/>
      <c r="K606" s="671"/>
      <c r="L606" s="671"/>
      <c r="M606" s="671"/>
      <c r="N606" s="671"/>
      <c r="O606" s="671"/>
      <c r="P606" s="671"/>
      <c r="Q606" s="671"/>
      <c r="R606" s="671"/>
      <c r="S606" s="671"/>
      <c r="T606" s="671"/>
      <c r="U606" s="671"/>
      <c r="V606" s="671"/>
      <c r="W606" s="671"/>
      <c r="X606" s="671"/>
      <c r="Y606" s="671"/>
      <c r="Z606" s="671"/>
      <c r="AA606" s="671"/>
      <c r="AB606" s="671"/>
    </row>
    <row r="607">
      <c r="A607" s="671"/>
      <c r="B607" s="671"/>
      <c r="C607" s="671"/>
      <c r="D607" s="671"/>
      <c r="E607" s="671"/>
      <c r="F607" s="671"/>
      <c r="G607" s="671"/>
      <c r="H607" s="671"/>
      <c r="I607" s="671"/>
      <c r="J607" s="671"/>
      <c r="K607" s="671"/>
      <c r="L607" s="671"/>
      <c r="M607" s="671"/>
      <c r="N607" s="671"/>
      <c r="O607" s="671"/>
      <c r="P607" s="671"/>
      <c r="Q607" s="671"/>
      <c r="R607" s="671"/>
      <c r="S607" s="671"/>
      <c r="T607" s="671"/>
      <c r="U607" s="671"/>
      <c r="V607" s="671"/>
      <c r="W607" s="671"/>
      <c r="X607" s="671"/>
      <c r="Y607" s="671"/>
      <c r="Z607" s="671"/>
      <c r="AA607" s="671"/>
      <c r="AB607" s="671"/>
    </row>
    <row r="608">
      <c r="A608" s="671"/>
      <c r="B608" s="671"/>
      <c r="C608" s="671"/>
      <c r="D608" s="671"/>
      <c r="E608" s="671"/>
      <c r="F608" s="671"/>
      <c r="G608" s="671"/>
      <c r="H608" s="671"/>
      <c r="I608" s="671"/>
      <c r="J608" s="671"/>
      <c r="K608" s="671"/>
      <c r="L608" s="671"/>
      <c r="M608" s="671"/>
      <c r="N608" s="671"/>
      <c r="O608" s="671"/>
      <c r="P608" s="671"/>
      <c r="Q608" s="671"/>
      <c r="R608" s="671"/>
      <c r="S608" s="671"/>
      <c r="T608" s="671"/>
      <c r="U608" s="671"/>
      <c r="V608" s="671"/>
      <c r="W608" s="671"/>
      <c r="X608" s="671"/>
      <c r="Y608" s="671"/>
      <c r="Z608" s="671"/>
      <c r="AA608" s="671"/>
      <c r="AB608" s="671"/>
    </row>
    <row r="609">
      <c r="A609" s="671"/>
      <c r="B609" s="671"/>
      <c r="C609" s="671"/>
      <c r="D609" s="671"/>
      <c r="E609" s="671"/>
      <c r="F609" s="671"/>
      <c r="G609" s="671"/>
      <c r="H609" s="671"/>
      <c r="I609" s="671"/>
      <c r="J609" s="671"/>
      <c r="K609" s="671"/>
      <c r="L609" s="671"/>
      <c r="M609" s="671"/>
      <c r="N609" s="671"/>
      <c r="O609" s="671"/>
      <c r="P609" s="671"/>
      <c r="Q609" s="671"/>
      <c r="R609" s="671"/>
      <c r="S609" s="671"/>
      <c r="T609" s="671"/>
      <c r="U609" s="671"/>
      <c r="V609" s="671"/>
      <c r="W609" s="671"/>
      <c r="X609" s="671"/>
      <c r="Y609" s="671"/>
      <c r="Z609" s="671"/>
      <c r="AA609" s="671"/>
      <c r="AB609" s="671"/>
    </row>
    <row r="610">
      <c r="A610" s="671"/>
      <c r="B610" s="671"/>
      <c r="C610" s="671"/>
      <c r="D610" s="671"/>
      <c r="E610" s="671"/>
      <c r="F610" s="671"/>
      <c r="G610" s="671"/>
      <c r="H610" s="671"/>
      <c r="I610" s="671"/>
      <c r="J610" s="671"/>
      <c r="K610" s="671"/>
      <c r="L610" s="671"/>
      <c r="M610" s="671"/>
      <c r="N610" s="671"/>
      <c r="O610" s="671"/>
      <c r="P610" s="671"/>
      <c r="Q610" s="671"/>
      <c r="R610" s="671"/>
      <c r="S610" s="671"/>
      <c r="T610" s="671"/>
      <c r="U610" s="671"/>
      <c r="V610" s="671"/>
      <c r="W610" s="671"/>
      <c r="X610" s="671"/>
      <c r="Y610" s="671"/>
      <c r="Z610" s="671"/>
      <c r="AA610" s="671"/>
      <c r="AB610" s="671"/>
    </row>
    <row r="611">
      <c r="A611" s="671"/>
      <c r="B611" s="671"/>
      <c r="C611" s="671"/>
      <c r="D611" s="671"/>
      <c r="E611" s="671"/>
      <c r="F611" s="671"/>
      <c r="G611" s="671"/>
      <c r="H611" s="671"/>
      <c r="I611" s="671"/>
      <c r="J611" s="671"/>
      <c r="K611" s="671"/>
      <c r="L611" s="671"/>
      <c r="M611" s="671"/>
      <c r="N611" s="671"/>
      <c r="O611" s="671"/>
      <c r="P611" s="671"/>
      <c r="Q611" s="671"/>
      <c r="R611" s="671"/>
      <c r="S611" s="671"/>
      <c r="T611" s="671"/>
      <c r="U611" s="671"/>
      <c r="V611" s="671"/>
      <c r="W611" s="671"/>
      <c r="X611" s="671"/>
      <c r="Y611" s="671"/>
      <c r="Z611" s="671"/>
      <c r="AA611" s="671"/>
      <c r="AB611" s="671"/>
    </row>
    <row r="612">
      <c r="A612" s="671"/>
      <c r="B612" s="671"/>
      <c r="C612" s="671"/>
      <c r="D612" s="671"/>
      <c r="E612" s="671"/>
      <c r="F612" s="671"/>
      <c r="G612" s="671"/>
      <c r="H612" s="671"/>
      <c r="I612" s="671"/>
      <c r="J612" s="671"/>
      <c r="K612" s="671"/>
      <c r="L612" s="671"/>
      <c r="M612" s="671"/>
      <c r="N612" s="671"/>
      <c r="O612" s="671"/>
      <c r="P612" s="671"/>
      <c r="Q612" s="671"/>
      <c r="R612" s="671"/>
      <c r="S612" s="671"/>
      <c r="T612" s="671"/>
      <c r="U612" s="671"/>
      <c r="V612" s="671"/>
      <c r="W612" s="671"/>
      <c r="X612" s="671"/>
      <c r="Y612" s="671"/>
      <c r="Z612" s="671"/>
      <c r="AA612" s="671"/>
      <c r="AB612" s="671"/>
    </row>
    <row r="613">
      <c r="A613" s="671"/>
      <c r="B613" s="671"/>
      <c r="C613" s="671"/>
      <c r="D613" s="671"/>
      <c r="E613" s="671"/>
      <c r="F613" s="671"/>
      <c r="G613" s="671"/>
      <c r="H613" s="671"/>
      <c r="I613" s="671"/>
      <c r="J613" s="671"/>
      <c r="K613" s="671"/>
      <c r="L613" s="671"/>
      <c r="M613" s="671"/>
      <c r="N613" s="671"/>
      <c r="O613" s="671"/>
      <c r="P613" s="671"/>
      <c r="Q613" s="671"/>
      <c r="R613" s="671"/>
      <c r="S613" s="671"/>
      <c r="T613" s="671"/>
      <c r="U613" s="671"/>
      <c r="V613" s="671"/>
      <c r="W613" s="671"/>
      <c r="X613" s="671"/>
      <c r="Y613" s="671"/>
      <c r="Z613" s="671"/>
      <c r="AA613" s="671"/>
      <c r="AB613" s="671"/>
    </row>
    <row r="614">
      <c r="A614" s="671"/>
      <c r="B614" s="671"/>
      <c r="C614" s="671"/>
      <c r="D614" s="671"/>
      <c r="E614" s="671"/>
      <c r="F614" s="671"/>
      <c r="G614" s="671"/>
      <c r="H614" s="671"/>
      <c r="I614" s="671"/>
      <c r="J614" s="671"/>
      <c r="K614" s="671"/>
      <c r="L614" s="671"/>
      <c r="M614" s="671"/>
      <c r="N614" s="671"/>
      <c r="O614" s="671"/>
      <c r="P614" s="671"/>
      <c r="Q614" s="671"/>
      <c r="R614" s="671"/>
      <c r="S614" s="671"/>
      <c r="T614" s="671"/>
      <c r="U614" s="671"/>
      <c r="V614" s="671"/>
      <c r="W614" s="671"/>
      <c r="X614" s="671"/>
      <c r="Y614" s="671"/>
      <c r="Z614" s="671"/>
      <c r="AA614" s="671"/>
      <c r="AB614" s="671"/>
    </row>
    <row r="615">
      <c r="A615" s="671"/>
      <c r="B615" s="671"/>
      <c r="C615" s="671"/>
      <c r="D615" s="671"/>
      <c r="E615" s="671"/>
      <c r="F615" s="671"/>
      <c r="G615" s="671"/>
      <c r="H615" s="671"/>
      <c r="I615" s="671"/>
      <c r="J615" s="671"/>
      <c r="K615" s="671"/>
      <c r="L615" s="671"/>
      <c r="M615" s="671"/>
      <c r="N615" s="671"/>
      <c r="O615" s="671"/>
      <c r="P615" s="671"/>
      <c r="Q615" s="671"/>
      <c r="R615" s="671"/>
      <c r="S615" s="671"/>
      <c r="T615" s="671"/>
      <c r="U615" s="671"/>
      <c r="V615" s="671"/>
      <c r="W615" s="671"/>
      <c r="X615" s="671"/>
      <c r="Y615" s="671"/>
      <c r="Z615" s="671"/>
      <c r="AA615" s="671"/>
      <c r="AB615" s="671"/>
    </row>
    <row r="616">
      <c r="A616" s="671"/>
      <c r="B616" s="671"/>
      <c r="C616" s="671"/>
      <c r="D616" s="671"/>
      <c r="E616" s="671"/>
      <c r="F616" s="671"/>
      <c r="G616" s="671"/>
      <c r="H616" s="671"/>
      <c r="I616" s="671"/>
      <c r="J616" s="671"/>
      <c r="K616" s="671"/>
      <c r="L616" s="671"/>
      <c r="M616" s="671"/>
      <c r="N616" s="671"/>
      <c r="O616" s="671"/>
      <c r="P616" s="671"/>
      <c r="Q616" s="671"/>
      <c r="R616" s="671"/>
      <c r="S616" s="671"/>
      <c r="T616" s="671"/>
      <c r="U616" s="671"/>
      <c r="V616" s="671"/>
      <c r="W616" s="671"/>
      <c r="X616" s="671"/>
      <c r="Y616" s="671"/>
      <c r="Z616" s="671"/>
      <c r="AA616" s="671"/>
      <c r="AB616" s="671"/>
    </row>
    <row r="617">
      <c r="A617" s="671"/>
      <c r="B617" s="671"/>
      <c r="C617" s="671"/>
      <c r="D617" s="671"/>
      <c r="E617" s="671"/>
      <c r="F617" s="671"/>
      <c r="G617" s="671"/>
      <c r="H617" s="671"/>
      <c r="I617" s="671"/>
      <c r="J617" s="671"/>
      <c r="K617" s="671"/>
      <c r="L617" s="671"/>
      <c r="M617" s="671"/>
      <c r="N617" s="671"/>
      <c r="O617" s="671"/>
      <c r="P617" s="671"/>
      <c r="Q617" s="671"/>
      <c r="R617" s="671"/>
      <c r="S617" s="671"/>
      <c r="T617" s="671"/>
      <c r="U617" s="671"/>
      <c r="V617" s="671"/>
      <c r="W617" s="671"/>
      <c r="X617" s="671"/>
      <c r="Y617" s="671"/>
      <c r="Z617" s="671"/>
      <c r="AA617" s="671"/>
      <c r="AB617" s="671"/>
    </row>
    <row r="618">
      <c r="A618" s="671"/>
      <c r="B618" s="671"/>
      <c r="C618" s="671"/>
      <c r="D618" s="671"/>
      <c r="E618" s="671"/>
      <c r="F618" s="671"/>
      <c r="G618" s="671"/>
      <c r="H618" s="671"/>
      <c r="I618" s="671"/>
      <c r="J618" s="671"/>
      <c r="K618" s="671"/>
      <c r="L618" s="671"/>
      <c r="M618" s="671"/>
      <c r="N618" s="671"/>
      <c r="O618" s="671"/>
      <c r="P618" s="671"/>
      <c r="Q618" s="671"/>
      <c r="R618" s="671"/>
      <c r="S618" s="671"/>
      <c r="T618" s="671"/>
      <c r="U618" s="671"/>
      <c r="V618" s="671"/>
      <c r="W618" s="671"/>
      <c r="X618" s="671"/>
      <c r="Y618" s="671"/>
      <c r="Z618" s="671"/>
      <c r="AA618" s="671"/>
      <c r="AB618" s="671"/>
    </row>
    <row r="619">
      <c r="A619" s="671"/>
      <c r="B619" s="671"/>
      <c r="C619" s="671"/>
      <c r="D619" s="671"/>
      <c r="E619" s="671"/>
      <c r="F619" s="671"/>
      <c r="G619" s="671"/>
      <c r="H619" s="671"/>
      <c r="I619" s="671"/>
      <c r="J619" s="671"/>
      <c r="K619" s="671"/>
      <c r="L619" s="671"/>
      <c r="M619" s="671"/>
      <c r="N619" s="671"/>
      <c r="O619" s="671"/>
      <c r="P619" s="671"/>
      <c r="Q619" s="671"/>
      <c r="R619" s="671"/>
      <c r="S619" s="671"/>
      <c r="T619" s="671"/>
      <c r="U619" s="671"/>
      <c r="V619" s="671"/>
      <c r="W619" s="671"/>
      <c r="X619" s="671"/>
      <c r="Y619" s="671"/>
      <c r="Z619" s="671"/>
      <c r="AA619" s="671"/>
      <c r="AB619" s="671"/>
    </row>
    <row r="620">
      <c r="A620" s="671"/>
      <c r="B620" s="671"/>
      <c r="C620" s="671"/>
      <c r="D620" s="671"/>
      <c r="E620" s="671"/>
      <c r="F620" s="671"/>
      <c r="G620" s="671"/>
      <c r="H620" s="671"/>
      <c r="I620" s="671"/>
      <c r="J620" s="671"/>
      <c r="K620" s="671"/>
      <c r="L620" s="671"/>
      <c r="M620" s="671"/>
      <c r="N620" s="671"/>
      <c r="O620" s="671"/>
      <c r="P620" s="671"/>
      <c r="Q620" s="671"/>
      <c r="R620" s="671"/>
      <c r="S620" s="671"/>
      <c r="T620" s="671"/>
      <c r="U620" s="671"/>
      <c r="V620" s="671"/>
      <c r="W620" s="671"/>
      <c r="X620" s="671"/>
      <c r="Y620" s="671"/>
      <c r="Z620" s="671"/>
      <c r="AA620" s="671"/>
      <c r="AB620" s="671"/>
    </row>
    <row r="621">
      <c r="A621" s="671"/>
      <c r="B621" s="671"/>
      <c r="C621" s="671"/>
      <c r="D621" s="671"/>
      <c r="E621" s="671"/>
      <c r="F621" s="671"/>
      <c r="G621" s="671"/>
      <c r="H621" s="671"/>
      <c r="I621" s="671"/>
      <c r="J621" s="671"/>
      <c r="K621" s="671"/>
      <c r="L621" s="671"/>
      <c r="M621" s="671"/>
      <c r="N621" s="671"/>
      <c r="O621" s="671"/>
      <c r="P621" s="671"/>
      <c r="Q621" s="671"/>
      <c r="R621" s="671"/>
      <c r="S621" s="671"/>
      <c r="T621" s="671"/>
      <c r="U621" s="671"/>
      <c r="V621" s="671"/>
      <c r="W621" s="671"/>
      <c r="X621" s="671"/>
      <c r="Y621" s="671"/>
      <c r="Z621" s="671"/>
      <c r="AA621" s="671"/>
      <c r="AB621" s="671"/>
    </row>
    <row r="622">
      <c r="A622" s="671"/>
      <c r="B622" s="671"/>
      <c r="C622" s="671"/>
      <c r="D622" s="671"/>
      <c r="E622" s="671"/>
      <c r="F622" s="671"/>
      <c r="G622" s="671"/>
      <c r="H622" s="671"/>
      <c r="I622" s="671"/>
      <c r="J622" s="671"/>
      <c r="K622" s="671"/>
      <c r="L622" s="671"/>
      <c r="M622" s="671"/>
      <c r="N622" s="671"/>
      <c r="O622" s="671"/>
      <c r="P622" s="671"/>
      <c r="Q622" s="671"/>
      <c r="R622" s="671"/>
      <c r="S622" s="671"/>
      <c r="T622" s="671"/>
      <c r="U622" s="671"/>
      <c r="V622" s="671"/>
      <c r="W622" s="671"/>
      <c r="X622" s="671"/>
      <c r="Y622" s="671"/>
      <c r="Z622" s="671"/>
      <c r="AA622" s="671"/>
      <c r="AB622" s="671"/>
    </row>
    <row r="623">
      <c r="A623" s="671"/>
      <c r="B623" s="671"/>
      <c r="C623" s="671"/>
      <c r="D623" s="671"/>
      <c r="E623" s="671"/>
      <c r="F623" s="671"/>
      <c r="G623" s="671"/>
      <c r="H623" s="671"/>
      <c r="I623" s="671"/>
      <c r="J623" s="671"/>
      <c r="K623" s="671"/>
      <c r="L623" s="671"/>
      <c r="M623" s="671"/>
      <c r="N623" s="671"/>
      <c r="O623" s="671"/>
      <c r="P623" s="671"/>
      <c r="Q623" s="671"/>
      <c r="R623" s="671"/>
      <c r="S623" s="671"/>
      <c r="T623" s="671"/>
      <c r="U623" s="671"/>
      <c r="V623" s="671"/>
      <c r="W623" s="671"/>
      <c r="X623" s="671"/>
      <c r="Y623" s="671"/>
      <c r="Z623" s="671"/>
      <c r="AA623" s="671"/>
      <c r="AB623" s="671"/>
    </row>
    <row r="624">
      <c r="A624" s="671"/>
      <c r="B624" s="671"/>
      <c r="C624" s="671"/>
      <c r="D624" s="671"/>
      <c r="E624" s="671"/>
      <c r="F624" s="671"/>
      <c r="G624" s="671"/>
      <c r="H624" s="671"/>
      <c r="I624" s="671"/>
      <c r="J624" s="671"/>
      <c r="K624" s="671"/>
      <c r="L624" s="671"/>
      <c r="M624" s="671"/>
      <c r="N624" s="671"/>
      <c r="O624" s="671"/>
      <c r="P624" s="671"/>
      <c r="Q624" s="671"/>
      <c r="R624" s="671"/>
      <c r="S624" s="671"/>
      <c r="T624" s="671"/>
      <c r="U624" s="671"/>
      <c r="V624" s="671"/>
      <c r="W624" s="671"/>
      <c r="X624" s="671"/>
      <c r="Y624" s="671"/>
      <c r="Z624" s="671"/>
      <c r="AA624" s="671"/>
      <c r="AB624" s="671"/>
    </row>
    <row r="625">
      <c r="A625" s="671"/>
      <c r="B625" s="671"/>
      <c r="C625" s="671"/>
      <c r="D625" s="671"/>
      <c r="E625" s="671"/>
      <c r="F625" s="671"/>
      <c r="G625" s="671"/>
      <c r="H625" s="671"/>
      <c r="I625" s="671"/>
      <c r="J625" s="671"/>
      <c r="K625" s="671"/>
      <c r="L625" s="671"/>
      <c r="M625" s="671"/>
      <c r="N625" s="671"/>
      <c r="O625" s="671"/>
      <c r="P625" s="671"/>
      <c r="Q625" s="671"/>
      <c r="R625" s="671"/>
      <c r="S625" s="671"/>
      <c r="T625" s="671"/>
      <c r="U625" s="671"/>
      <c r="V625" s="671"/>
      <c r="W625" s="671"/>
      <c r="X625" s="671"/>
      <c r="Y625" s="671"/>
      <c r="Z625" s="671"/>
      <c r="AA625" s="671"/>
      <c r="AB625" s="671"/>
    </row>
    <row r="626">
      <c r="A626" s="671"/>
      <c r="B626" s="671"/>
      <c r="C626" s="671"/>
      <c r="D626" s="671"/>
      <c r="E626" s="671"/>
      <c r="F626" s="671"/>
      <c r="G626" s="671"/>
      <c r="H626" s="671"/>
      <c r="I626" s="671"/>
      <c r="J626" s="671"/>
      <c r="K626" s="671"/>
      <c r="L626" s="671"/>
      <c r="M626" s="671"/>
      <c r="N626" s="671"/>
      <c r="O626" s="671"/>
      <c r="P626" s="671"/>
      <c r="Q626" s="671"/>
      <c r="R626" s="671"/>
      <c r="S626" s="671"/>
      <c r="T626" s="671"/>
      <c r="U626" s="671"/>
      <c r="V626" s="671"/>
      <c r="W626" s="671"/>
      <c r="X626" s="671"/>
      <c r="Y626" s="671"/>
      <c r="Z626" s="671"/>
      <c r="AA626" s="671"/>
      <c r="AB626" s="671"/>
    </row>
    <row r="627">
      <c r="A627" s="671"/>
      <c r="B627" s="671"/>
      <c r="C627" s="671"/>
      <c r="D627" s="671"/>
      <c r="E627" s="671"/>
      <c r="F627" s="671"/>
      <c r="G627" s="671"/>
      <c r="H627" s="671"/>
      <c r="I627" s="671"/>
      <c r="J627" s="671"/>
      <c r="K627" s="671"/>
      <c r="L627" s="671"/>
      <c r="M627" s="671"/>
      <c r="N627" s="671"/>
      <c r="O627" s="671"/>
      <c r="P627" s="671"/>
      <c r="Q627" s="671"/>
      <c r="R627" s="671"/>
      <c r="S627" s="671"/>
      <c r="T627" s="671"/>
      <c r="U627" s="671"/>
      <c r="V627" s="671"/>
      <c r="W627" s="671"/>
      <c r="X627" s="671"/>
      <c r="Y627" s="671"/>
      <c r="Z627" s="671"/>
      <c r="AA627" s="671"/>
      <c r="AB627" s="671"/>
    </row>
    <row r="628">
      <c r="A628" s="671"/>
      <c r="B628" s="671"/>
      <c r="C628" s="671"/>
      <c r="D628" s="671"/>
      <c r="E628" s="671"/>
      <c r="F628" s="671"/>
      <c r="G628" s="671"/>
      <c r="H628" s="671"/>
      <c r="I628" s="671"/>
      <c r="J628" s="671"/>
      <c r="K628" s="671"/>
      <c r="L628" s="671"/>
      <c r="M628" s="671"/>
      <c r="N628" s="671"/>
      <c r="O628" s="671"/>
      <c r="P628" s="671"/>
      <c r="Q628" s="671"/>
      <c r="R628" s="671"/>
      <c r="S628" s="671"/>
      <c r="T628" s="671"/>
      <c r="U628" s="671"/>
      <c r="V628" s="671"/>
      <c r="W628" s="671"/>
      <c r="X628" s="671"/>
      <c r="Y628" s="671"/>
      <c r="Z628" s="671"/>
      <c r="AA628" s="671"/>
      <c r="AB628" s="671"/>
    </row>
    <row r="629">
      <c r="A629" s="671"/>
      <c r="B629" s="671"/>
      <c r="C629" s="671"/>
      <c r="D629" s="671"/>
      <c r="E629" s="671"/>
      <c r="F629" s="671"/>
      <c r="G629" s="671"/>
      <c r="H629" s="671"/>
      <c r="I629" s="671"/>
      <c r="J629" s="671"/>
      <c r="K629" s="671"/>
      <c r="L629" s="671"/>
      <c r="M629" s="671"/>
      <c r="N629" s="671"/>
      <c r="O629" s="671"/>
      <c r="P629" s="671"/>
      <c r="Q629" s="671"/>
      <c r="R629" s="671"/>
      <c r="S629" s="671"/>
      <c r="T629" s="671"/>
      <c r="U629" s="671"/>
      <c r="V629" s="671"/>
      <c r="W629" s="671"/>
      <c r="X629" s="671"/>
      <c r="Y629" s="671"/>
      <c r="Z629" s="671"/>
      <c r="AA629" s="671"/>
      <c r="AB629" s="671"/>
    </row>
    <row r="630">
      <c r="A630" s="671"/>
      <c r="B630" s="671"/>
      <c r="C630" s="671"/>
      <c r="D630" s="671"/>
      <c r="E630" s="671"/>
      <c r="F630" s="671"/>
      <c r="G630" s="671"/>
      <c r="H630" s="671"/>
      <c r="I630" s="671"/>
      <c r="J630" s="671"/>
      <c r="K630" s="671"/>
      <c r="L630" s="671"/>
      <c r="M630" s="671"/>
      <c r="N630" s="671"/>
      <c r="O630" s="671"/>
      <c r="P630" s="671"/>
      <c r="Q630" s="671"/>
      <c r="R630" s="671"/>
      <c r="S630" s="671"/>
      <c r="T630" s="671"/>
      <c r="U630" s="671"/>
      <c r="V630" s="671"/>
      <c r="W630" s="671"/>
      <c r="X630" s="671"/>
      <c r="Y630" s="671"/>
      <c r="Z630" s="671"/>
      <c r="AA630" s="671"/>
      <c r="AB630" s="671"/>
    </row>
    <row r="631">
      <c r="A631" s="671"/>
      <c r="B631" s="671"/>
      <c r="C631" s="671"/>
      <c r="D631" s="671"/>
      <c r="E631" s="671"/>
      <c r="F631" s="671"/>
      <c r="G631" s="671"/>
      <c r="H631" s="671"/>
      <c r="I631" s="671"/>
      <c r="J631" s="671"/>
      <c r="K631" s="671"/>
      <c r="L631" s="671"/>
      <c r="M631" s="671"/>
      <c r="N631" s="671"/>
      <c r="O631" s="671"/>
      <c r="P631" s="671"/>
      <c r="Q631" s="671"/>
      <c r="R631" s="671"/>
      <c r="S631" s="671"/>
      <c r="T631" s="671"/>
      <c r="U631" s="671"/>
      <c r="V631" s="671"/>
      <c r="W631" s="671"/>
      <c r="X631" s="671"/>
      <c r="Y631" s="671"/>
      <c r="Z631" s="671"/>
      <c r="AA631" s="671"/>
      <c r="AB631" s="671"/>
    </row>
    <row r="632">
      <c r="A632" s="671"/>
      <c r="B632" s="671"/>
      <c r="C632" s="671"/>
      <c r="D632" s="671"/>
      <c r="E632" s="671"/>
      <c r="F632" s="671"/>
      <c r="G632" s="671"/>
      <c r="H632" s="671"/>
      <c r="I632" s="671"/>
      <c r="J632" s="671"/>
      <c r="K632" s="671"/>
      <c r="L632" s="671"/>
      <c r="M632" s="671"/>
      <c r="N632" s="671"/>
      <c r="O632" s="671"/>
      <c r="P632" s="671"/>
      <c r="Q632" s="671"/>
      <c r="R632" s="671"/>
      <c r="S632" s="671"/>
      <c r="T632" s="671"/>
      <c r="U632" s="671"/>
      <c r="V632" s="671"/>
      <c r="W632" s="671"/>
      <c r="X632" s="671"/>
      <c r="Y632" s="671"/>
      <c r="Z632" s="671"/>
      <c r="AA632" s="671"/>
      <c r="AB632" s="671"/>
    </row>
    <row r="633">
      <c r="A633" s="671"/>
      <c r="B633" s="671"/>
      <c r="C633" s="671"/>
      <c r="D633" s="671"/>
      <c r="E633" s="671"/>
      <c r="F633" s="671"/>
      <c r="G633" s="671"/>
      <c r="H633" s="671"/>
      <c r="I633" s="671"/>
      <c r="J633" s="671"/>
      <c r="K633" s="671"/>
      <c r="L633" s="671"/>
      <c r="M633" s="671"/>
      <c r="N633" s="671"/>
      <c r="O633" s="671"/>
      <c r="P633" s="671"/>
      <c r="Q633" s="671"/>
      <c r="R633" s="671"/>
      <c r="S633" s="671"/>
      <c r="T633" s="671"/>
      <c r="U633" s="671"/>
      <c r="V633" s="671"/>
      <c r="W633" s="671"/>
      <c r="X633" s="671"/>
      <c r="Y633" s="671"/>
      <c r="Z633" s="671"/>
      <c r="AA633" s="671"/>
      <c r="AB633" s="671"/>
    </row>
    <row r="634">
      <c r="A634" s="671"/>
      <c r="B634" s="671"/>
      <c r="C634" s="671"/>
      <c r="D634" s="671"/>
      <c r="E634" s="671"/>
      <c r="F634" s="671"/>
      <c r="G634" s="671"/>
      <c r="H634" s="671"/>
      <c r="I634" s="671"/>
      <c r="J634" s="671"/>
      <c r="K634" s="671"/>
      <c r="L634" s="671"/>
      <c r="M634" s="671"/>
      <c r="N634" s="671"/>
      <c r="O634" s="671"/>
      <c r="P634" s="671"/>
      <c r="Q634" s="671"/>
      <c r="R634" s="671"/>
      <c r="S634" s="671"/>
      <c r="T634" s="671"/>
      <c r="U634" s="671"/>
      <c r="V634" s="671"/>
      <c r="W634" s="671"/>
      <c r="X634" s="671"/>
      <c r="Y634" s="671"/>
      <c r="Z634" s="671"/>
      <c r="AA634" s="671"/>
      <c r="AB634" s="671"/>
    </row>
    <row r="635">
      <c r="A635" s="671"/>
      <c r="B635" s="671"/>
      <c r="C635" s="671"/>
      <c r="D635" s="671"/>
      <c r="E635" s="671"/>
      <c r="F635" s="671"/>
      <c r="G635" s="671"/>
      <c r="H635" s="671"/>
      <c r="I635" s="671"/>
      <c r="J635" s="671"/>
      <c r="K635" s="671"/>
      <c r="L635" s="671"/>
      <c r="M635" s="671"/>
      <c r="N635" s="671"/>
      <c r="O635" s="671"/>
      <c r="P635" s="671"/>
      <c r="Q635" s="671"/>
      <c r="R635" s="671"/>
      <c r="S635" s="671"/>
      <c r="T635" s="671"/>
      <c r="U635" s="671"/>
      <c r="V635" s="671"/>
      <c r="W635" s="671"/>
      <c r="X635" s="671"/>
      <c r="Y635" s="671"/>
      <c r="Z635" s="671"/>
      <c r="AA635" s="671"/>
      <c r="AB635" s="671"/>
    </row>
    <row r="636">
      <c r="A636" s="671"/>
      <c r="B636" s="671"/>
      <c r="C636" s="671"/>
      <c r="D636" s="671"/>
      <c r="E636" s="671"/>
      <c r="F636" s="671"/>
      <c r="G636" s="671"/>
      <c r="H636" s="671"/>
      <c r="I636" s="671"/>
      <c r="J636" s="671"/>
      <c r="K636" s="671"/>
      <c r="L636" s="671"/>
      <c r="M636" s="671"/>
      <c r="N636" s="671"/>
      <c r="O636" s="671"/>
      <c r="P636" s="671"/>
      <c r="Q636" s="671"/>
      <c r="R636" s="671"/>
      <c r="S636" s="671"/>
      <c r="T636" s="671"/>
      <c r="U636" s="671"/>
      <c r="V636" s="671"/>
      <c r="W636" s="671"/>
      <c r="X636" s="671"/>
      <c r="Y636" s="671"/>
      <c r="Z636" s="671"/>
      <c r="AA636" s="671"/>
      <c r="AB636" s="671"/>
    </row>
    <row r="637">
      <c r="A637" s="671"/>
      <c r="B637" s="671"/>
      <c r="C637" s="671"/>
      <c r="D637" s="671"/>
      <c r="E637" s="671"/>
      <c r="F637" s="671"/>
      <c r="G637" s="671"/>
      <c r="H637" s="671"/>
      <c r="I637" s="671"/>
      <c r="J637" s="671"/>
      <c r="K637" s="671"/>
      <c r="L637" s="671"/>
      <c r="M637" s="671"/>
      <c r="N637" s="671"/>
      <c r="O637" s="671"/>
      <c r="P637" s="671"/>
      <c r="Q637" s="671"/>
      <c r="R637" s="671"/>
      <c r="S637" s="671"/>
      <c r="T637" s="671"/>
      <c r="U637" s="671"/>
      <c r="V637" s="671"/>
      <c r="W637" s="671"/>
      <c r="X637" s="671"/>
      <c r="Y637" s="671"/>
      <c r="Z637" s="671"/>
      <c r="AA637" s="671"/>
      <c r="AB637" s="671"/>
    </row>
    <row r="638">
      <c r="A638" s="671"/>
      <c r="B638" s="671"/>
      <c r="C638" s="671"/>
      <c r="D638" s="671"/>
      <c r="E638" s="671"/>
      <c r="F638" s="671"/>
      <c r="G638" s="671"/>
      <c r="H638" s="671"/>
      <c r="I638" s="671"/>
      <c r="J638" s="671"/>
      <c r="K638" s="671"/>
      <c r="L638" s="671"/>
      <c r="M638" s="671"/>
      <c r="N638" s="671"/>
      <c r="O638" s="671"/>
      <c r="P638" s="671"/>
      <c r="Q638" s="671"/>
      <c r="R638" s="671"/>
      <c r="S638" s="671"/>
      <c r="T638" s="671"/>
      <c r="U638" s="671"/>
      <c r="V638" s="671"/>
      <c r="W638" s="671"/>
      <c r="X638" s="671"/>
      <c r="Y638" s="671"/>
      <c r="Z638" s="671"/>
      <c r="AA638" s="671"/>
      <c r="AB638" s="671"/>
    </row>
    <row r="639">
      <c r="A639" s="671"/>
      <c r="B639" s="671"/>
      <c r="C639" s="671"/>
      <c r="D639" s="671"/>
      <c r="E639" s="671"/>
      <c r="F639" s="671"/>
      <c r="G639" s="671"/>
      <c r="H639" s="671"/>
      <c r="I639" s="671"/>
      <c r="J639" s="671"/>
      <c r="K639" s="671"/>
      <c r="L639" s="671"/>
      <c r="M639" s="671"/>
      <c r="N639" s="671"/>
      <c r="O639" s="671"/>
      <c r="P639" s="671"/>
      <c r="Q639" s="671"/>
      <c r="R639" s="671"/>
      <c r="S639" s="671"/>
      <c r="T639" s="671"/>
      <c r="U639" s="671"/>
      <c r="V639" s="671"/>
      <c r="W639" s="671"/>
      <c r="X639" s="671"/>
      <c r="Y639" s="671"/>
      <c r="Z639" s="671"/>
      <c r="AA639" s="671"/>
      <c r="AB639" s="671"/>
    </row>
    <row r="640">
      <c r="A640" s="671"/>
      <c r="B640" s="671"/>
      <c r="C640" s="671"/>
      <c r="D640" s="671"/>
      <c r="E640" s="671"/>
      <c r="F640" s="671"/>
      <c r="G640" s="671"/>
      <c r="H640" s="671"/>
      <c r="I640" s="671"/>
      <c r="J640" s="671"/>
      <c r="K640" s="671"/>
      <c r="L640" s="671"/>
      <c r="M640" s="671"/>
      <c r="N640" s="671"/>
      <c r="O640" s="671"/>
      <c r="P640" s="671"/>
      <c r="Q640" s="671"/>
      <c r="R640" s="671"/>
      <c r="S640" s="671"/>
      <c r="T640" s="671"/>
      <c r="U640" s="671"/>
      <c r="V640" s="671"/>
      <c r="W640" s="671"/>
      <c r="X640" s="671"/>
      <c r="Y640" s="671"/>
      <c r="Z640" s="671"/>
      <c r="AA640" s="671"/>
      <c r="AB640" s="671"/>
    </row>
    <row r="641">
      <c r="A641" s="671"/>
      <c r="B641" s="671"/>
      <c r="C641" s="671"/>
      <c r="D641" s="671"/>
      <c r="E641" s="671"/>
      <c r="F641" s="671"/>
      <c r="G641" s="671"/>
      <c r="H641" s="671"/>
      <c r="I641" s="671"/>
      <c r="J641" s="671"/>
      <c r="K641" s="671"/>
      <c r="L641" s="671"/>
      <c r="M641" s="671"/>
      <c r="N641" s="671"/>
      <c r="O641" s="671"/>
      <c r="P641" s="671"/>
      <c r="Q641" s="671"/>
      <c r="R641" s="671"/>
      <c r="S641" s="671"/>
      <c r="T641" s="671"/>
      <c r="U641" s="671"/>
      <c r="V641" s="671"/>
      <c r="W641" s="671"/>
      <c r="X641" s="671"/>
      <c r="Y641" s="671"/>
      <c r="Z641" s="671"/>
      <c r="AA641" s="671"/>
      <c r="AB641" s="671"/>
    </row>
    <row r="642">
      <c r="A642" s="671"/>
      <c r="B642" s="671"/>
      <c r="C642" s="671"/>
      <c r="D642" s="671"/>
      <c r="E642" s="671"/>
      <c r="F642" s="671"/>
      <c r="G642" s="671"/>
      <c r="H642" s="671"/>
      <c r="I642" s="671"/>
      <c r="J642" s="671"/>
      <c r="K642" s="671"/>
      <c r="L642" s="671"/>
      <c r="M642" s="671"/>
      <c r="N642" s="671"/>
      <c r="O642" s="671"/>
      <c r="P642" s="671"/>
      <c r="Q642" s="671"/>
      <c r="R642" s="671"/>
      <c r="S642" s="671"/>
      <c r="T642" s="671"/>
      <c r="U642" s="671"/>
      <c r="V642" s="671"/>
      <c r="W642" s="671"/>
      <c r="X642" s="671"/>
      <c r="Y642" s="671"/>
      <c r="Z642" s="671"/>
      <c r="AA642" s="671"/>
      <c r="AB642" s="671"/>
    </row>
    <row r="643">
      <c r="A643" s="671"/>
      <c r="B643" s="671"/>
      <c r="C643" s="671"/>
      <c r="D643" s="671"/>
      <c r="E643" s="671"/>
      <c r="F643" s="671"/>
      <c r="G643" s="671"/>
      <c r="H643" s="671"/>
      <c r="I643" s="671"/>
      <c r="J643" s="671"/>
      <c r="K643" s="671"/>
      <c r="L643" s="671"/>
      <c r="M643" s="671"/>
      <c r="N643" s="671"/>
      <c r="O643" s="671"/>
      <c r="P643" s="671"/>
      <c r="Q643" s="671"/>
      <c r="R643" s="671"/>
      <c r="S643" s="671"/>
      <c r="T643" s="671"/>
      <c r="U643" s="671"/>
      <c r="V643" s="671"/>
      <c r="W643" s="671"/>
      <c r="X643" s="671"/>
      <c r="Y643" s="671"/>
      <c r="Z643" s="671"/>
      <c r="AA643" s="671"/>
      <c r="AB643" s="671"/>
    </row>
    <row r="644">
      <c r="A644" s="671"/>
      <c r="B644" s="671"/>
      <c r="C644" s="671"/>
      <c r="D644" s="671"/>
      <c r="E644" s="671"/>
      <c r="F644" s="671"/>
      <c r="G644" s="671"/>
      <c r="H644" s="671"/>
      <c r="I644" s="671"/>
      <c r="J644" s="671"/>
      <c r="K644" s="671"/>
      <c r="L644" s="671"/>
      <c r="M644" s="671"/>
      <c r="N644" s="671"/>
      <c r="O644" s="671"/>
      <c r="P644" s="671"/>
      <c r="Q644" s="671"/>
      <c r="R644" s="671"/>
      <c r="S644" s="671"/>
      <c r="T644" s="671"/>
      <c r="U644" s="671"/>
      <c r="V644" s="671"/>
      <c r="W644" s="671"/>
      <c r="X644" s="671"/>
      <c r="Y644" s="671"/>
      <c r="Z644" s="671"/>
      <c r="AA644" s="671"/>
      <c r="AB644" s="671"/>
    </row>
    <row r="645">
      <c r="A645" s="671"/>
      <c r="B645" s="671"/>
      <c r="C645" s="671"/>
      <c r="D645" s="671"/>
      <c r="E645" s="671"/>
      <c r="F645" s="671"/>
      <c r="G645" s="671"/>
      <c r="H645" s="671"/>
      <c r="I645" s="671"/>
      <c r="J645" s="671"/>
      <c r="K645" s="671"/>
      <c r="L645" s="671"/>
      <c r="M645" s="671"/>
      <c r="N645" s="671"/>
      <c r="O645" s="671"/>
      <c r="P645" s="671"/>
      <c r="Q645" s="671"/>
      <c r="R645" s="671"/>
      <c r="S645" s="671"/>
      <c r="T645" s="671"/>
      <c r="U645" s="671"/>
      <c r="V645" s="671"/>
      <c r="W645" s="671"/>
      <c r="X645" s="671"/>
      <c r="Y645" s="671"/>
      <c r="Z645" s="671"/>
      <c r="AA645" s="671"/>
      <c r="AB645" s="671"/>
    </row>
    <row r="646">
      <c r="A646" s="671"/>
      <c r="B646" s="671"/>
      <c r="C646" s="671"/>
      <c r="D646" s="671"/>
      <c r="E646" s="671"/>
      <c r="F646" s="671"/>
      <c r="G646" s="671"/>
      <c r="H646" s="671"/>
      <c r="I646" s="671"/>
      <c r="J646" s="671"/>
      <c r="K646" s="671"/>
      <c r="L646" s="671"/>
      <c r="M646" s="671"/>
      <c r="N646" s="671"/>
      <c r="O646" s="671"/>
      <c r="P646" s="671"/>
      <c r="Q646" s="671"/>
      <c r="R646" s="671"/>
      <c r="S646" s="671"/>
      <c r="T646" s="671"/>
      <c r="U646" s="671"/>
      <c r="V646" s="671"/>
      <c r="W646" s="671"/>
      <c r="X646" s="671"/>
      <c r="Y646" s="671"/>
      <c r="Z646" s="671"/>
      <c r="AA646" s="671"/>
      <c r="AB646" s="671"/>
    </row>
    <row r="647">
      <c r="A647" s="671"/>
      <c r="B647" s="671"/>
      <c r="C647" s="671"/>
      <c r="D647" s="671"/>
      <c r="E647" s="671"/>
      <c r="F647" s="671"/>
      <c r="G647" s="671"/>
      <c r="H647" s="671"/>
      <c r="I647" s="671"/>
      <c r="J647" s="671"/>
      <c r="K647" s="671"/>
      <c r="L647" s="671"/>
      <c r="M647" s="671"/>
      <c r="N647" s="671"/>
      <c r="O647" s="671"/>
      <c r="P647" s="671"/>
      <c r="Q647" s="671"/>
      <c r="R647" s="671"/>
      <c r="S647" s="671"/>
      <c r="T647" s="671"/>
      <c r="U647" s="671"/>
      <c r="V647" s="671"/>
      <c r="W647" s="671"/>
      <c r="X647" s="671"/>
      <c r="Y647" s="671"/>
      <c r="Z647" s="671"/>
      <c r="AA647" s="671"/>
      <c r="AB647" s="671"/>
    </row>
    <row r="648">
      <c r="A648" s="671"/>
      <c r="B648" s="671"/>
      <c r="C648" s="671"/>
      <c r="D648" s="671"/>
      <c r="E648" s="671"/>
      <c r="F648" s="671"/>
      <c r="G648" s="671"/>
      <c r="H648" s="671"/>
      <c r="I648" s="671"/>
      <c r="J648" s="671"/>
      <c r="K648" s="671"/>
      <c r="L648" s="671"/>
      <c r="M648" s="671"/>
      <c r="N648" s="671"/>
      <c r="O648" s="671"/>
      <c r="P648" s="671"/>
      <c r="Q648" s="671"/>
      <c r="R648" s="671"/>
      <c r="S648" s="671"/>
      <c r="T648" s="671"/>
      <c r="U648" s="671"/>
      <c r="V648" s="671"/>
      <c r="W648" s="671"/>
      <c r="X648" s="671"/>
      <c r="Y648" s="671"/>
      <c r="Z648" s="671"/>
      <c r="AA648" s="671"/>
      <c r="AB648" s="671"/>
    </row>
    <row r="649">
      <c r="A649" s="671"/>
      <c r="B649" s="671"/>
      <c r="C649" s="671"/>
      <c r="D649" s="671"/>
      <c r="E649" s="671"/>
      <c r="F649" s="671"/>
      <c r="G649" s="671"/>
      <c r="H649" s="671"/>
      <c r="I649" s="671"/>
      <c r="J649" s="671"/>
      <c r="K649" s="671"/>
      <c r="L649" s="671"/>
      <c r="M649" s="671"/>
      <c r="N649" s="671"/>
      <c r="O649" s="671"/>
      <c r="P649" s="671"/>
      <c r="Q649" s="671"/>
      <c r="R649" s="671"/>
      <c r="S649" s="671"/>
      <c r="T649" s="671"/>
      <c r="U649" s="671"/>
      <c r="V649" s="671"/>
      <c r="W649" s="671"/>
      <c r="X649" s="671"/>
      <c r="Y649" s="671"/>
      <c r="Z649" s="671"/>
      <c r="AA649" s="671"/>
      <c r="AB649" s="671"/>
    </row>
    <row r="650">
      <c r="A650" s="671"/>
      <c r="B650" s="671"/>
      <c r="C650" s="671"/>
      <c r="D650" s="671"/>
      <c r="E650" s="671"/>
      <c r="F650" s="671"/>
      <c r="G650" s="671"/>
      <c r="H650" s="671"/>
      <c r="I650" s="671"/>
      <c r="J650" s="671"/>
      <c r="K650" s="671"/>
      <c r="L650" s="671"/>
      <c r="M650" s="671"/>
      <c r="N650" s="671"/>
      <c r="O650" s="671"/>
      <c r="P650" s="671"/>
      <c r="Q650" s="671"/>
      <c r="R650" s="671"/>
      <c r="S650" s="671"/>
      <c r="T650" s="671"/>
      <c r="U650" s="671"/>
      <c r="V650" s="671"/>
      <c r="W650" s="671"/>
      <c r="X650" s="671"/>
      <c r="Y650" s="671"/>
      <c r="Z650" s="671"/>
      <c r="AA650" s="671"/>
      <c r="AB650" s="671"/>
    </row>
    <row r="651">
      <c r="A651" s="671"/>
      <c r="B651" s="671"/>
      <c r="C651" s="671"/>
      <c r="D651" s="671"/>
      <c r="E651" s="671"/>
      <c r="F651" s="671"/>
      <c r="G651" s="671"/>
      <c r="H651" s="671"/>
      <c r="I651" s="671"/>
      <c r="J651" s="671"/>
      <c r="K651" s="671"/>
      <c r="L651" s="671"/>
      <c r="M651" s="671"/>
      <c r="N651" s="671"/>
      <c r="O651" s="671"/>
      <c r="P651" s="671"/>
      <c r="Q651" s="671"/>
      <c r="R651" s="671"/>
      <c r="S651" s="671"/>
      <c r="T651" s="671"/>
      <c r="U651" s="671"/>
      <c r="V651" s="671"/>
      <c r="W651" s="671"/>
      <c r="X651" s="671"/>
      <c r="Y651" s="671"/>
      <c r="Z651" s="671"/>
      <c r="AA651" s="671"/>
      <c r="AB651" s="671"/>
    </row>
    <row r="652">
      <c r="A652" s="671"/>
      <c r="B652" s="671"/>
      <c r="C652" s="671"/>
      <c r="D652" s="671"/>
      <c r="E652" s="671"/>
      <c r="F652" s="671"/>
      <c r="G652" s="671"/>
      <c r="H652" s="671"/>
      <c r="I652" s="671"/>
      <c r="J652" s="671"/>
      <c r="K652" s="671"/>
      <c r="L652" s="671"/>
      <c r="M652" s="671"/>
      <c r="N652" s="671"/>
      <c r="O652" s="671"/>
      <c r="P652" s="671"/>
      <c r="Q652" s="671"/>
      <c r="R652" s="671"/>
      <c r="S652" s="671"/>
      <c r="T652" s="671"/>
      <c r="U652" s="671"/>
      <c r="V652" s="671"/>
      <c r="W652" s="671"/>
      <c r="X652" s="671"/>
      <c r="Y652" s="671"/>
      <c r="Z652" s="671"/>
      <c r="AA652" s="671"/>
      <c r="AB652" s="671"/>
    </row>
    <row r="653">
      <c r="A653" s="671"/>
      <c r="B653" s="671"/>
      <c r="C653" s="671"/>
      <c r="D653" s="671"/>
      <c r="E653" s="671"/>
      <c r="F653" s="671"/>
      <c r="G653" s="671"/>
      <c r="H653" s="671"/>
      <c r="I653" s="671"/>
      <c r="J653" s="671"/>
      <c r="K653" s="671"/>
      <c r="L653" s="671"/>
      <c r="M653" s="671"/>
      <c r="N653" s="671"/>
      <c r="O653" s="671"/>
      <c r="P653" s="671"/>
      <c r="Q653" s="671"/>
      <c r="R653" s="671"/>
      <c r="S653" s="671"/>
      <c r="T653" s="671"/>
      <c r="U653" s="671"/>
      <c r="V653" s="671"/>
      <c r="W653" s="671"/>
      <c r="X653" s="671"/>
      <c r="Y653" s="671"/>
      <c r="Z653" s="671"/>
      <c r="AA653" s="671"/>
      <c r="AB653" s="671"/>
    </row>
    <row r="654">
      <c r="A654" s="671"/>
      <c r="B654" s="671"/>
      <c r="C654" s="671"/>
      <c r="D654" s="671"/>
      <c r="E654" s="671"/>
      <c r="F654" s="671"/>
      <c r="G654" s="671"/>
      <c r="H654" s="671"/>
      <c r="I654" s="671"/>
      <c r="J654" s="671"/>
      <c r="K654" s="671"/>
      <c r="L654" s="671"/>
      <c r="M654" s="671"/>
      <c r="N654" s="671"/>
      <c r="O654" s="671"/>
      <c r="P654" s="671"/>
      <c r="Q654" s="671"/>
      <c r="R654" s="671"/>
      <c r="S654" s="671"/>
      <c r="T654" s="671"/>
      <c r="U654" s="671"/>
      <c r="V654" s="671"/>
      <c r="W654" s="671"/>
      <c r="X654" s="671"/>
      <c r="Y654" s="671"/>
      <c r="Z654" s="671"/>
      <c r="AA654" s="671"/>
      <c r="AB654" s="671"/>
    </row>
    <row r="655">
      <c r="A655" s="671"/>
      <c r="B655" s="671"/>
      <c r="C655" s="671"/>
      <c r="D655" s="671"/>
      <c r="E655" s="671"/>
      <c r="F655" s="671"/>
      <c r="G655" s="671"/>
      <c r="H655" s="671"/>
      <c r="I655" s="671"/>
      <c r="J655" s="671"/>
      <c r="K655" s="671"/>
      <c r="L655" s="671"/>
      <c r="M655" s="671"/>
      <c r="N655" s="671"/>
      <c r="O655" s="671"/>
      <c r="P655" s="671"/>
      <c r="Q655" s="671"/>
      <c r="R655" s="671"/>
      <c r="S655" s="671"/>
      <c r="T655" s="671"/>
      <c r="U655" s="671"/>
      <c r="V655" s="671"/>
      <c r="W655" s="671"/>
      <c r="X655" s="671"/>
      <c r="Y655" s="671"/>
      <c r="Z655" s="671"/>
      <c r="AA655" s="671"/>
      <c r="AB655" s="671"/>
    </row>
    <row r="656">
      <c r="A656" s="671"/>
      <c r="B656" s="671"/>
      <c r="C656" s="671"/>
      <c r="D656" s="671"/>
      <c r="E656" s="671"/>
      <c r="F656" s="671"/>
      <c r="G656" s="671"/>
      <c r="H656" s="671"/>
      <c r="I656" s="671"/>
      <c r="J656" s="671"/>
      <c r="K656" s="671"/>
      <c r="L656" s="671"/>
      <c r="M656" s="671"/>
      <c r="N656" s="671"/>
      <c r="O656" s="671"/>
      <c r="P656" s="671"/>
      <c r="Q656" s="671"/>
      <c r="R656" s="671"/>
      <c r="S656" s="671"/>
      <c r="T656" s="671"/>
      <c r="U656" s="671"/>
      <c r="V656" s="671"/>
      <c r="W656" s="671"/>
      <c r="X656" s="671"/>
      <c r="Y656" s="671"/>
      <c r="Z656" s="671"/>
      <c r="AA656" s="671"/>
      <c r="AB656" s="671"/>
    </row>
    <row r="657">
      <c r="A657" s="671"/>
      <c r="B657" s="671"/>
      <c r="C657" s="671"/>
      <c r="D657" s="671"/>
      <c r="E657" s="671"/>
      <c r="F657" s="671"/>
      <c r="G657" s="671"/>
      <c r="H657" s="671"/>
      <c r="I657" s="671"/>
      <c r="J657" s="671"/>
      <c r="K657" s="671"/>
      <c r="L657" s="671"/>
      <c r="M657" s="671"/>
      <c r="N657" s="671"/>
      <c r="O657" s="671"/>
      <c r="P657" s="671"/>
      <c r="Q657" s="671"/>
      <c r="R657" s="671"/>
      <c r="S657" s="671"/>
      <c r="T657" s="671"/>
      <c r="U657" s="671"/>
      <c r="V657" s="671"/>
      <c r="W657" s="671"/>
      <c r="X657" s="671"/>
      <c r="Y657" s="671"/>
      <c r="Z657" s="671"/>
      <c r="AA657" s="671"/>
      <c r="AB657" s="671"/>
    </row>
    <row r="658">
      <c r="A658" s="671"/>
      <c r="B658" s="671"/>
      <c r="C658" s="671"/>
      <c r="D658" s="671"/>
      <c r="E658" s="671"/>
      <c r="F658" s="671"/>
      <c r="G658" s="671"/>
      <c r="H658" s="671"/>
      <c r="I658" s="671"/>
      <c r="J658" s="671"/>
      <c r="K658" s="671"/>
      <c r="L658" s="671"/>
      <c r="M658" s="671"/>
      <c r="N658" s="671"/>
      <c r="O658" s="671"/>
      <c r="P658" s="671"/>
      <c r="Q658" s="671"/>
      <c r="R658" s="671"/>
      <c r="S658" s="671"/>
      <c r="T658" s="671"/>
      <c r="U658" s="671"/>
      <c r="V658" s="671"/>
      <c r="W658" s="671"/>
      <c r="X658" s="671"/>
      <c r="Y658" s="671"/>
      <c r="Z658" s="671"/>
      <c r="AA658" s="671"/>
      <c r="AB658" s="671"/>
    </row>
    <row r="659">
      <c r="A659" s="671"/>
      <c r="B659" s="671"/>
      <c r="C659" s="671"/>
      <c r="D659" s="671"/>
      <c r="E659" s="671"/>
      <c r="F659" s="671"/>
      <c r="G659" s="671"/>
      <c r="H659" s="671"/>
      <c r="I659" s="671"/>
      <c r="J659" s="671"/>
      <c r="K659" s="671"/>
      <c r="L659" s="671"/>
      <c r="M659" s="671"/>
      <c r="N659" s="671"/>
      <c r="O659" s="671"/>
      <c r="P659" s="671"/>
      <c r="Q659" s="671"/>
      <c r="R659" s="671"/>
      <c r="S659" s="671"/>
      <c r="T659" s="671"/>
      <c r="U659" s="671"/>
      <c r="V659" s="671"/>
      <c r="W659" s="671"/>
      <c r="X659" s="671"/>
      <c r="Y659" s="671"/>
      <c r="Z659" s="671"/>
      <c r="AA659" s="671"/>
      <c r="AB659" s="671"/>
    </row>
    <row r="660">
      <c r="A660" s="671"/>
      <c r="B660" s="671"/>
      <c r="C660" s="671"/>
      <c r="D660" s="671"/>
      <c r="E660" s="671"/>
      <c r="F660" s="671"/>
      <c r="G660" s="671"/>
      <c r="H660" s="671"/>
      <c r="I660" s="671"/>
      <c r="J660" s="671"/>
      <c r="K660" s="671"/>
      <c r="L660" s="671"/>
      <c r="M660" s="671"/>
      <c r="N660" s="671"/>
      <c r="O660" s="671"/>
      <c r="P660" s="671"/>
      <c r="Q660" s="671"/>
      <c r="R660" s="671"/>
      <c r="S660" s="671"/>
      <c r="T660" s="671"/>
      <c r="U660" s="671"/>
      <c r="V660" s="671"/>
      <c r="W660" s="671"/>
      <c r="X660" s="671"/>
      <c r="Y660" s="671"/>
      <c r="Z660" s="671"/>
      <c r="AA660" s="671"/>
      <c r="AB660" s="671"/>
    </row>
    <row r="661">
      <c r="A661" s="671"/>
      <c r="B661" s="671"/>
      <c r="C661" s="671"/>
      <c r="D661" s="671"/>
      <c r="E661" s="671"/>
      <c r="F661" s="671"/>
      <c r="G661" s="671"/>
      <c r="H661" s="671"/>
      <c r="I661" s="671"/>
      <c r="J661" s="671"/>
      <c r="K661" s="671"/>
      <c r="L661" s="671"/>
      <c r="M661" s="671"/>
      <c r="N661" s="671"/>
      <c r="O661" s="671"/>
      <c r="P661" s="671"/>
      <c r="Q661" s="671"/>
      <c r="R661" s="671"/>
      <c r="S661" s="671"/>
      <c r="T661" s="671"/>
      <c r="U661" s="671"/>
      <c r="V661" s="671"/>
      <c r="W661" s="671"/>
      <c r="X661" s="671"/>
      <c r="Y661" s="671"/>
      <c r="Z661" s="671"/>
      <c r="AA661" s="671"/>
      <c r="AB661" s="671"/>
    </row>
    <row r="662">
      <c r="A662" s="671"/>
      <c r="B662" s="671"/>
      <c r="C662" s="671"/>
      <c r="D662" s="671"/>
      <c r="E662" s="671"/>
      <c r="F662" s="671"/>
      <c r="G662" s="671"/>
      <c r="H662" s="671"/>
      <c r="I662" s="671"/>
      <c r="J662" s="671"/>
      <c r="K662" s="671"/>
      <c r="L662" s="671"/>
      <c r="M662" s="671"/>
      <c r="N662" s="671"/>
      <c r="O662" s="671"/>
      <c r="P662" s="671"/>
      <c r="Q662" s="671"/>
      <c r="R662" s="671"/>
      <c r="S662" s="671"/>
      <c r="T662" s="671"/>
      <c r="U662" s="671"/>
      <c r="V662" s="671"/>
      <c r="W662" s="671"/>
      <c r="X662" s="671"/>
      <c r="Y662" s="671"/>
      <c r="Z662" s="671"/>
      <c r="AA662" s="671"/>
      <c r="AB662" s="671"/>
    </row>
    <row r="663">
      <c r="A663" s="671"/>
      <c r="B663" s="671"/>
      <c r="C663" s="671"/>
      <c r="D663" s="671"/>
      <c r="E663" s="671"/>
      <c r="F663" s="671"/>
      <c r="G663" s="671"/>
      <c r="H663" s="671"/>
      <c r="I663" s="671"/>
      <c r="J663" s="671"/>
      <c r="K663" s="671"/>
      <c r="L663" s="671"/>
      <c r="M663" s="671"/>
      <c r="N663" s="671"/>
      <c r="O663" s="671"/>
      <c r="P663" s="671"/>
      <c r="Q663" s="671"/>
      <c r="R663" s="671"/>
      <c r="S663" s="671"/>
      <c r="T663" s="671"/>
      <c r="U663" s="671"/>
      <c r="V663" s="671"/>
      <c r="W663" s="671"/>
      <c r="X663" s="671"/>
      <c r="Y663" s="671"/>
      <c r="Z663" s="671"/>
      <c r="AA663" s="671"/>
      <c r="AB663" s="671"/>
    </row>
    <row r="664">
      <c r="A664" s="671"/>
      <c r="B664" s="671"/>
      <c r="C664" s="671"/>
      <c r="D664" s="671"/>
      <c r="E664" s="671"/>
      <c r="F664" s="671"/>
      <c r="G664" s="671"/>
      <c r="H664" s="671"/>
      <c r="I664" s="671"/>
      <c r="J664" s="671"/>
      <c r="K664" s="671"/>
      <c r="L664" s="671"/>
      <c r="M664" s="671"/>
      <c r="N664" s="671"/>
      <c r="O664" s="671"/>
      <c r="P664" s="671"/>
      <c r="Q664" s="671"/>
      <c r="R664" s="671"/>
      <c r="S664" s="671"/>
      <c r="T664" s="671"/>
      <c r="U664" s="671"/>
      <c r="V664" s="671"/>
      <c r="W664" s="671"/>
      <c r="X664" s="671"/>
      <c r="Y664" s="671"/>
      <c r="Z664" s="671"/>
      <c r="AA664" s="671"/>
      <c r="AB664" s="671"/>
    </row>
    <row r="665">
      <c r="A665" s="671"/>
      <c r="B665" s="671"/>
      <c r="C665" s="671"/>
      <c r="D665" s="671"/>
      <c r="E665" s="671"/>
      <c r="F665" s="671"/>
      <c r="G665" s="671"/>
      <c r="H665" s="671"/>
      <c r="I665" s="671"/>
      <c r="J665" s="671"/>
      <c r="K665" s="671"/>
      <c r="L665" s="671"/>
      <c r="M665" s="671"/>
      <c r="N665" s="671"/>
      <c r="O665" s="671"/>
      <c r="P665" s="671"/>
      <c r="Q665" s="671"/>
      <c r="R665" s="671"/>
      <c r="S665" s="671"/>
      <c r="T665" s="671"/>
      <c r="U665" s="671"/>
      <c r="V665" s="671"/>
      <c r="W665" s="671"/>
      <c r="X665" s="671"/>
      <c r="Y665" s="671"/>
      <c r="Z665" s="671"/>
      <c r="AA665" s="671"/>
      <c r="AB665" s="671"/>
    </row>
    <row r="666">
      <c r="A666" s="671"/>
      <c r="B666" s="671"/>
      <c r="C666" s="671"/>
      <c r="D666" s="671"/>
      <c r="E666" s="671"/>
      <c r="F666" s="671"/>
      <c r="G666" s="671"/>
      <c r="H666" s="671"/>
      <c r="I666" s="671"/>
      <c r="J666" s="671"/>
      <c r="K666" s="671"/>
      <c r="L666" s="671"/>
      <c r="M666" s="671"/>
      <c r="N666" s="671"/>
      <c r="O666" s="671"/>
      <c r="P666" s="671"/>
      <c r="Q666" s="671"/>
      <c r="R666" s="671"/>
      <c r="S666" s="671"/>
      <c r="T666" s="671"/>
      <c r="U666" s="671"/>
      <c r="V666" s="671"/>
      <c r="W666" s="671"/>
      <c r="X666" s="671"/>
      <c r="Y666" s="671"/>
      <c r="Z666" s="671"/>
      <c r="AA666" s="671"/>
      <c r="AB666" s="671"/>
    </row>
    <row r="667">
      <c r="A667" s="671"/>
      <c r="B667" s="671"/>
      <c r="C667" s="671"/>
      <c r="D667" s="671"/>
      <c r="E667" s="671"/>
      <c r="F667" s="671"/>
      <c r="G667" s="671"/>
      <c r="H667" s="671"/>
      <c r="I667" s="671"/>
      <c r="J667" s="671"/>
      <c r="K667" s="671"/>
      <c r="L667" s="671"/>
      <c r="M667" s="671"/>
      <c r="N667" s="671"/>
      <c r="O667" s="671"/>
      <c r="P667" s="671"/>
      <c r="Q667" s="671"/>
      <c r="R667" s="671"/>
      <c r="S667" s="671"/>
      <c r="T667" s="671"/>
      <c r="U667" s="671"/>
      <c r="V667" s="671"/>
      <c r="W667" s="671"/>
      <c r="X667" s="671"/>
      <c r="Y667" s="671"/>
      <c r="Z667" s="671"/>
      <c r="AA667" s="671"/>
      <c r="AB667" s="671"/>
    </row>
    <row r="668">
      <c r="A668" s="671"/>
      <c r="B668" s="671"/>
      <c r="C668" s="671"/>
      <c r="D668" s="671"/>
      <c r="E668" s="671"/>
      <c r="F668" s="671"/>
      <c r="G668" s="671"/>
      <c r="H668" s="671"/>
      <c r="I668" s="671"/>
      <c r="J668" s="671"/>
      <c r="K668" s="671"/>
      <c r="L668" s="671"/>
      <c r="M668" s="671"/>
      <c r="N668" s="671"/>
      <c r="O668" s="671"/>
      <c r="P668" s="671"/>
      <c r="Q668" s="671"/>
      <c r="R668" s="671"/>
      <c r="S668" s="671"/>
      <c r="T668" s="671"/>
      <c r="U668" s="671"/>
      <c r="V668" s="671"/>
      <c r="W668" s="671"/>
      <c r="X668" s="671"/>
      <c r="Y668" s="671"/>
      <c r="Z668" s="671"/>
      <c r="AA668" s="671"/>
      <c r="AB668" s="671"/>
    </row>
    <row r="669">
      <c r="A669" s="671"/>
      <c r="B669" s="671"/>
      <c r="C669" s="671"/>
      <c r="D669" s="671"/>
      <c r="E669" s="671"/>
      <c r="F669" s="671"/>
      <c r="G669" s="671"/>
      <c r="H669" s="671"/>
      <c r="I669" s="671"/>
      <c r="J669" s="671"/>
      <c r="K669" s="671"/>
      <c r="L669" s="671"/>
      <c r="M669" s="671"/>
      <c r="N669" s="671"/>
      <c r="O669" s="671"/>
      <c r="P669" s="671"/>
      <c r="Q669" s="671"/>
      <c r="R669" s="671"/>
      <c r="S669" s="671"/>
      <c r="T669" s="671"/>
      <c r="U669" s="671"/>
      <c r="V669" s="671"/>
      <c r="W669" s="671"/>
      <c r="X669" s="671"/>
      <c r="Y669" s="671"/>
      <c r="Z669" s="671"/>
      <c r="AA669" s="671"/>
      <c r="AB669" s="671"/>
    </row>
    <row r="670">
      <c r="A670" s="671"/>
      <c r="B670" s="671"/>
      <c r="C670" s="671"/>
      <c r="D670" s="671"/>
      <c r="E670" s="671"/>
      <c r="F670" s="671"/>
      <c r="G670" s="671"/>
      <c r="H670" s="671"/>
      <c r="I670" s="671"/>
      <c r="J670" s="671"/>
      <c r="K670" s="671"/>
      <c r="L670" s="671"/>
      <c r="M670" s="671"/>
      <c r="N670" s="671"/>
      <c r="O670" s="671"/>
      <c r="P670" s="671"/>
      <c r="Q670" s="671"/>
      <c r="R670" s="671"/>
      <c r="S670" s="671"/>
      <c r="T670" s="671"/>
      <c r="U670" s="671"/>
      <c r="V670" s="671"/>
      <c r="W670" s="671"/>
      <c r="X670" s="671"/>
      <c r="Y670" s="671"/>
      <c r="Z670" s="671"/>
      <c r="AA670" s="671"/>
      <c r="AB670" s="671"/>
    </row>
    <row r="671">
      <c r="A671" s="671"/>
      <c r="B671" s="671"/>
      <c r="C671" s="671"/>
      <c r="D671" s="671"/>
      <c r="E671" s="671"/>
      <c r="F671" s="671"/>
      <c r="G671" s="671"/>
      <c r="H671" s="671"/>
      <c r="I671" s="671"/>
      <c r="J671" s="671"/>
      <c r="K671" s="671"/>
      <c r="L671" s="671"/>
      <c r="M671" s="671"/>
      <c r="N671" s="671"/>
      <c r="O671" s="671"/>
      <c r="P671" s="671"/>
      <c r="Q671" s="671"/>
      <c r="R671" s="671"/>
      <c r="S671" s="671"/>
      <c r="T671" s="671"/>
      <c r="U671" s="671"/>
      <c r="V671" s="671"/>
      <c r="W671" s="671"/>
      <c r="X671" s="671"/>
      <c r="Y671" s="671"/>
      <c r="Z671" s="671"/>
      <c r="AA671" s="671"/>
      <c r="AB671" s="671"/>
    </row>
    <row r="672">
      <c r="A672" s="671"/>
      <c r="B672" s="671"/>
      <c r="C672" s="671"/>
      <c r="D672" s="671"/>
      <c r="E672" s="671"/>
      <c r="F672" s="671"/>
      <c r="G672" s="671"/>
      <c r="H672" s="671"/>
      <c r="I672" s="671"/>
      <c r="J672" s="671"/>
      <c r="K672" s="671"/>
      <c r="L672" s="671"/>
      <c r="M672" s="671"/>
      <c r="N672" s="671"/>
      <c r="O672" s="671"/>
      <c r="P672" s="671"/>
      <c r="Q672" s="671"/>
      <c r="R672" s="671"/>
      <c r="S672" s="671"/>
      <c r="T672" s="671"/>
      <c r="U672" s="671"/>
      <c r="V672" s="671"/>
      <c r="W672" s="671"/>
      <c r="X672" s="671"/>
      <c r="Y672" s="671"/>
      <c r="Z672" s="671"/>
      <c r="AA672" s="671"/>
      <c r="AB672" s="671"/>
    </row>
    <row r="673">
      <c r="A673" s="671"/>
      <c r="B673" s="671"/>
      <c r="C673" s="671"/>
      <c r="D673" s="671"/>
      <c r="E673" s="671"/>
      <c r="F673" s="671"/>
      <c r="G673" s="671"/>
      <c r="H673" s="671"/>
      <c r="I673" s="671"/>
      <c r="J673" s="671"/>
      <c r="K673" s="671"/>
      <c r="L673" s="671"/>
      <c r="M673" s="671"/>
      <c r="N673" s="671"/>
      <c r="O673" s="671"/>
      <c r="P673" s="671"/>
      <c r="Q673" s="671"/>
      <c r="R673" s="671"/>
      <c r="S673" s="671"/>
      <c r="T673" s="671"/>
      <c r="U673" s="671"/>
      <c r="V673" s="671"/>
      <c r="W673" s="671"/>
      <c r="X673" s="671"/>
      <c r="Y673" s="671"/>
      <c r="Z673" s="671"/>
      <c r="AA673" s="671"/>
      <c r="AB673" s="671"/>
    </row>
    <row r="674">
      <c r="A674" s="671"/>
      <c r="B674" s="671"/>
      <c r="C674" s="671"/>
      <c r="D674" s="671"/>
      <c r="E674" s="671"/>
      <c r="F674" s="671"/>
      <c r="G674" s="671"/>
      <c r="H674" s="671"/>
      <c r="I674" s="671"/>
      <c r="J674" s="671"/>
      <c r="K674" s="671"/>
      <c r="L674" s="671"/>
      <c r="M674" s="671"/>
      <c r="N674" s="671"/>
      <c r="O674" s="671"/>
      <c r="P674" s="671"/>
      <c r="Q674" s="671"/>
      <c r="R674" s="671"/>
      <c r="S674" s="671"/>
      <c r="T674" s="671"/>
      <c r="U674" s="671"/>
      <c r="V674" s="671"/>
      <c r="W674" s="671"/>
      <c r="X674" s="671"/>
      <c r="Y674" s="671"/>
      <c r="Z674" s="671"/>
      <c r="AA674" s="671"/>
      <c r="AB674" s="671"/>
    </row>
    <row r="675">
      <c r="A675" s="671"/>
      <c r="B675" s="671"/>
      <c r="C675" s="671"/>
      <c r="D675" s="671"/>
      <c r="E675" s="671"/>
      <c r="F675" s="671"/>
      <c r="G675" s="671"/>
      <c r="H675" s="671"/>
      <c r="I675" s="671"/>
      <c r="J675" s="671"/>
      <c r="K675" s="671"/>
      <c r="L675" s="671"/>
      <c r="M675" s="671"/>
      <c r="N675" s="671"/>
      <c r="O675" s="671"/>
      <c r="P675" s="671"/>
      <c r="Q675" s="671"/>
      <c r="R675" s="671"/>
      <c r="S675" s="671"/>
      <c r="T675" s="671"/>
      <c r="U675" s="671"/>
      <c r="V675" s="671"/>
      <c r="W675" s="671"/>
      <c r="X675" s="671"/>
      <c r="Y675" s="671"/>
      <c r="Z675" s="671"/>
      <c r="AA675" s="671"/>
      <c r="AB675" s="671"/>
    </row>
    <row r="676">
      <c r="A676" s="671"/>
      <c r="B676" s="671"/>
      <c r="C676" s="671"/>
      <c r="D676" s="671"/>
      <c r="E676" s="671"/>
      <c r="F676" s="671"/>
      <c r="G676" s="671"/>
      <c r="H676" s="671"/>
      <c r="I676" s="671"/>
      <c r="J676" s="671"/>
      <c r="K676" s="671"/>
      <c r="L676" s="671"/>
      <c r="M676" s="671"/>
      <c r="N676" s="671"/>
      <c r="O676" s="671"/>
      <c r="P676" s="671"/>
      <c r="Q676" s="671"/>
      <c r="R676" s="671"/>
      <c r="S676" s="671"/>
      <c r="T676" s="671"/>
      <c r="U676" s="671"/>
      <c r="V676" s="671"/>
      <c r="W676" s="671"/>
      <c r="X676" s="671"/>
      <c r="Y676" s="671"/>
      <c r="Z676" s="671"/>
      <c r="AA676" s="671"/>
      <c r="AB676" s="671"/>
    </row>
    <row r="677">
      <c r="A677" s="671"/>
      <c r="B677" s="671"/>
      <c r="C677" s="671"/>
      <c r="D677" s="671"/>
      <c r="E677" s="671"/>
      <c r="F677" s="671"/>
      <c r="G677" s="671"/>
      <c r="H677" s="671"/>
      <c r="I677" s="671"/>
      <c r="J677" s="671"/>
      <c r="K677" s="671"/>
      <c r="L677" s="671"/>
      <c r="M677" s="671"/>
      <c r="N677" s="671"/>
      <c r="O677" s="671"/>
      <c r="P677" s="671"/>
      <c r="Q677" s="671"/>
      <c r="R677" s="671"/>
      <c r="S677" s="671"/>
      <c r="T677" s="671"/>
      <c r="U677" s="671"/>
      <c r="V677" s="671"/>
      <c r="W677" s="671"/>
      <c r="X677" s="671"/>
      <c r="Y677" s="671"/>
      <c r="Z677" s="671"/>
      <c r="AA677" s="671"/>
      <c r="AB677" s="671"/>
    </row>
    <row r="678">
      <c r="A678" s="671"/>
      <c r="B678" s="671"/>
      <c r="C678" s="671"/>
      <c r="D678" s="671"/>
      <c r="E678" s="671"/>
      <c r="F678" s="671"/>
      <c r="G678" s="671"/>
      <c r="H678" s="671"/>
      <c r="I678" s="671"/>
      <c r="J678" s="671"/>
      <c r="K678" s="671"/>
      <c r="L678" s="671"/>
      <c r="M678" s="671"/>
      <c r="N678" s="671"/>
      <c r="O678" s="671"/>
      <c r="P678" s="671"/>
      <c r="Q678" s="671"/>
      <c r="R678" s="671"/>
      <c r="S678" s="671"/>
      <c r="T678" s="671"/>
      <c r="U678" s="671"/>
      <c r="V678" s="671"/>
      <c r="W678" s="671"/>
      <c r="X678" s="671"/>
      <c r="Y678" s="671"/>
      <c r="Z678" s="671"/>
      <c r="AA678" s="671"/>
      <c r="AB678" s="671"/>
    </row>
    <row r="679">
      <c r="A679" s="671"/>
      <c r="B679" s="671"/>
      <c r="C679" s="671"/>
      <c r="D679" s="671"/>
      <c r="E679" s="671"/>
      <c r="F679" s="671"/>
      <c r="G679" s="671"/>
      <c r="H679" s="671"/>
      <c r="I679" s="671"/>
      <c r="J679" s="671"/>
      <c r="K679" s="671"/>
      <c r="L679" s="671"/>
      <c r="M679" s="671"/>
      <c r="N679" s="671"/>
      <c r="O679" s="671"/>
      <c r="P679" s="671"/>
      <c r="Q679" s="671"/>
      <c r="R679" s="671"/>
      <c r="S679" s="671"/>
      <c r="T679" s="671"/>
      <c r="U679" s="671"/>
      <c r="V679" s="671"/>
      <c r="W679" s="671"/>
      <c r="X679" s="671"/>
      <c r="Y679" s="671"/>
      <c r="Z679" s="671"/>
      <c r="AA679" s="671"/>
      <c r="AB679" s="671"/>
    </row>
    <row r="680">
      <c r="A680" s="671"/>
      <c r="B680" s="671"/>
      <c r="C680" s="671"/>
      <c r="D680" s="671"/>
      <c r="E680" s="671"/>
      <c r="F680" s="671"/>
      <c r="G680" s="671"/>
      <c r="H680" s="671"/>
      <c r="I680" s="671"/>
      <c r="J680" s="671"/>
      <c r="K680" s="671"/>
      <c r="L680" s="671"/>
      <c r="M680" s="671"/>
      <c r="N680" s="671"/>
      <c r="O680" s="671"/>
      <c r="P680" s="671"/>
      <c r="Q680" s="671"/>
      <c r="R680" s="671"/>
      <c r="S680" s="671"/>
      <c r="T680" s="671"/>
      <c r="U680" s="671"/>
      <c r="V680" s="671"/>
      <c r="W680" s="671"/>
      <c r="X680" s="671"/>
      <c r="Y680" s="671"/>
      <c r="Z680" s="671"/>
      <c r="AA680" s="671"/>
      <c r="AB680" s="671"/>
    </row>
    <row r="681">
      <c r="A681" s="671"/>
      <c r="B681" s="671"/>
      <c r="C681" s="671"/>
      <c r="D681" s="671"/>
      <c r="E681" s="671"/>
      <c r="F681" s="671"/>
      <c r="G681" s="671"/>
      <c r="H681" s="671"/>
      <c r="I681" s="671"/>
      <c r="J681" s="671"/>
      <c r="K681" s="671"/>
      <c r="L681" s="671"/>
      <c r="M681" s="671"/>
      <c r="N681" s="671"/>
      <c r="O681" s="671"/>
      <c r="P681" s="671"/>
      <c r="Q681" s="671"/>
      <c r="R681" s="671"/>
      <c r="S681" s="671"/>
      <c r="T681" s="671"/>
      <c r="U681" s="671"/>
      <c r="V681" s="671"/>
      <c r="W681" s="671"/>
      <c r="X681" s="671"/>
      <c r="Y681" s="671"/>
      <c r="Z681" s="671"/>
      <c r="AA681" s="671"/>
      <c r="AB681" s="671"/>
    </row>
    <row r="682">
      <c r="A682" s="671"/>
      <c r="B682" s="671"/>
      <c r="C682" s="671"/>
      <c r="D682" s="671"/>
      <c r="E682" s="671"/>
      <c r="F682" s="671"/>
      <c r="G682" s="671"/>
      <c r="H682" s="671"/>
      <c r="I682" s="671"/>
      <c r="J682" s="671"/>
      <c r="K682" s="671"/>
      <c r="L682" s="671"/>
      <c r="M682" s="671"/>
      <c r="N682" s="671"/>
      <c r="O682" s="671"/>
      <c r="P682" s="671"/>
      <c r="Q682" s="671"/>
      <c r="R682" s="671"/>
      <c r="S682" s="671"/>
      <c r="T682" s="671"/>
      <c r="U682" s="671"/>
      <c r="V682" s="671"/>
      <c r="W682" s="671"/>
      <c r="X682" s="671"/>
      <c r="Y682" s="671"/>
      <c r="Z682" s="671"/>
      <c r="AA682" s="671"/>
      <c r="AB682" s="671"/>
    </row>
    <row r="683">
      <c r="A683" s="671"/>
      <c r="B683" s="671"/>
      <c r="C683" s="671"/>
      <c r="D683" s="671"/>
      <c r="E683" s="671"/>
      <c r="F683" s="671"/>
      <c r="G683" s="671"/>
      <c r="H683" s="671"/>
      <c r="I683" s="671"/>
      <c r="J683" s="671"/>
      <c r="K683" s="671"/>
      <c r="L683" s="671"/>
      <c r="M683" s="671"/>
      <c r="N683" s="671"/>
      <c r="O683" s="671"/>
      <c r="P683" s="671"/>
      <c r="Q683" s="671"/>
      <c r="R683" s="671"/>
      <c r="S683" s="671"/>
      <c r="T683" s="671"/>
      <c r="U683" s="671"/>
      <c r="V683" s="671"/>
      <c r="W683" s="671"/>
      <c r="X683" s="671"/>
      <c r="Y683" s="671"/>
      <c r="Z683" s="671"/>
      <c r="AA683" s="671"/>
      <c r="AB683" s="671"/>
    </row>
    <row r="684">
      <c r="A684" s="671"/>
      <c r="B684" s="671"/>
      <c r="C684" s="671"/>
      <c r="D684" s="671"/>
      <c r="E684" s="671"/>
      <c r="F684" s="671"/>
      <c r="G684" s="671"/>
      <c r="H684" s="671"/>
      <c r="I684" s="671"/>
      <c r="J684" s="671"/>
      <c r="K684" s="671"/>
      <c r="L684" s="671"/>
      <c r="M684" s="671"/>
      <c r="N684" s="671"/>
      <c r="O684" s="671"/>
      <c r="P684" s="671"/>
      <c r="Q684" s="671"/>
      <c r="R684" s="671"/>
      <c r="S684" s="671"/>
      <c r="T684" s="671"/>
      <c r="U684" s="671"/>
      <c r="V684" s="671"/>
      <c r="W684" s="671"/>
      <c r="X684" s="671"/>
      <c r="Y684" s="671"/>
      <c r="Z684" s="671"/>
      <c r="AA684" s="671"/>
      <c r="AB684" s="671"/>
    </row>
    <row r="685">
      <c r="A685" s="671"/>
      <c r="B685" s="671"/>
      <c r="C685" s="671"/>
      <c r="D685" s="671"/>
      <c r="E685" s="671"/>
      <c r="F685" s="671"/>
      <c r="G685" s="671"/>
      <c r="H685" s="671"/>
      <c r="I685" s="671"/>
      <c r="J685" s="671"/>
      <c r="K685" s="671"/>
      <c r="L685" s="671"/>
      <c r="M685" s="671"/>
      <c r="N685" s="671"/>
      <c r="O685" s="671"/>
      <c r="P685" s="671"/>
      <c r="Q685" s="671"/>
      <c r="R685" s="671"/>
      <c r="S685" s="671"/>
      <c r="T685" s="671"/>
      <c r="U685" s="671"/>
      <c r="V685" s="671"/>
      <c r="W685" s="671"/>
      <c r="X685" s="671"/>
      <c r="Y685" s="671"/>
      <c r="Z685" s="671"/>
      <c r="AA685" s="671"/>
      <c r="AB685" s="671"/>
    </row>
    <row r="686">
      <c r="A686" s="671"/>
      <c r="B686" s="671"/>
      <c r="C686" s="671"/>
      <c r="D686" s="671"/>
      <c r="E686" s="671"/>
      <c r="F686" s="671"/>
      <c r="G686" s="671"/>
      <c r="H686" s="671"/>
      <c r="I686" s="671"/>
      <c r="J686" s="671"/>
      <c r="K686" s="671"/>
      <c r="L686" s="671"/>
      <c r="M686" s="671"/>
      <c r="N686" s="671"/>
      <c r="O686" s="671"/>
      <c r="P686" s="671"/>
      <c r="Q686" s="671"/>
      <c r="R686" s="671"/>
      <c r="S686" s="671"/>
      <c r="T686" s="671"/>
      <c r="U686" s="671"/>
      <c r="V686" s="671"/>
      <c r="W686" s="671"/>
      <c r="X686" s="671"/>
      <c r="Y686" s="671"/>
      <c r="Z686" s="671"/>
      <c r="AA686" s="671"/>
      <c r="AB686" s="671"/>
    </row>
    <row r="687">
      <c r="A687" s="671"/>
      <c r="B687" s="671"/>
      <c r="C687" s="671"/>
      <c r="D687" s="671"/>
      <c r="E687" s="671"/>
      <c r="F687" s="671"/>
      <c r="G687" s="671"/>
      <c r="H687" s="671"/>
      <c r="I687" s="671"/>
      <c r="J687" s="671"/>
      <c r="K687" s="671"/>
      <c r="L687" s="671"/>
      <c r="M687" s="671"/>
      <c r="N687" s="671"/>
      <c r="O687" s="671"/>
      <c r="P687" s="671"/>
      <c r="Q687" s="671"/>
      <c r="R687" s="671"/>
      <c r="S687" s="671"/>
      <c r="T687" s="671"/>
      <c r="U687" s="671"/>
      <c r="V687" s="671"/>
      <c r="W687" s="671"/>
      <c r="X687" s="671"/>
      <c r="Y687" s="671"/>
      <c r="Z687" s="671"/>
      <c r="AA687" s="671"/>
      <c r="AB687" s="671"/>
    </row>
    <row r="688">
      <c r="A688" s="671"/>
      <c r="B688" s="671"/>
      <c r="C688" s="671"/>
      <c r="D688" s="671"/>
      <c r="E688" s="671"/>
      <c r="F688" s="671"/>
      <c r="G688" s="671"/>
      <c r="H688" s="671"/>
      <c r="I688" s="671"/>
      <c r="J688" s="671"/>
      <c r="K688" s="671"/>
      <c r="L688" s="671"/>
      <c r="M688" s="671"/>
      <c r="N688" s="671"/>
      <c r="O688" s="671"/>
      <c r="P688" s="671"/>
      <c r="Q688" s="671"/>
      <c r="R688" s="671"/>
      <c r="S688" s="671"/>
      <c r="T688" s="671"/>
      <c r="U688" s="671"/>
      <c r="V688" s="671"/>
      <c r="W688" s="671"/>
      <c r="X688" s="671"/>
      <c r="Y688" s="671"/>
      <c r="Z688" s="671"/>
      <c r="AA688" s="671"/>
      <c r="AB688" s="671"/>
    </row>
    <row r="689">
      <c r="A689" s="671"/>
      <c r="B689" s="671"/>
      <c r="C689" s="671"/>
      <c r="D689" s="671"/>
      <c r="E689" s="671"/>
      <c r="F689" s="671"/>
      <c r="G689" s="671"/>
      <c r="H689" s="671"/>
      <c r="I689" s="671"/>
      <c r="J689" s="671"/>
      <c r="K689" s="671"/>
      <c r="L689" s="671"/>
      <c r="M689" s="671"/>
      <c r="N689" s="671"/>
      <c r="O689" s="671"/>
      <c r="P689" s="671"/>
      <c r="Q689" s="671"/>
      <c r="R689" s="671"/>
      <c r="S689" s="671"/>
      <c r="T689" s="671"/>
      <c r="U689" s="671"/>
      <c r="V689" s="671"/>
      <c r="W689" s="671"/>
      <c r="X689" s="671"/>
      <c r="Y689" s="671"/>
      <c r="Z689" s="671"/>
      <c r="AA689" s="671"/>
      <c r="AB689" s="671"/>
    </row>
    <row r="690">
      <c r="A690" s="671"/>
      <c r="B690" s="671"/>
      <c r="C690" s="671"/>
      <c r="D690" s="671"/>
      <c r="E690" s="671"/>
      <c r="F690" s="671"/>
      <c r="G690" s="671"/>
      <c r="H690" s="671"/>
      <c r="I690" s="671"/>
      <c r="J690" s="671"/>
      <c r="K690" s="671"/>
      <c r="L690" s="671"/>
      <c r="M690" s="671"/>
      <c r="N690" s="671"/>
      <c r="O690" s="671"/>
      <c r="P690" s="671"/>
      <c r="Q690" s="671"/>
      <c r="R690" s="671"/>
      <c r="S690" s="671"/>
      <c r="T690" s="671"/>
      <c r="U690" s="671"/>
      <c r="V690" s="671"/>
      <c r="W690" s="671"/>
      <c r="X690" s="671"/>
      <c r="Y690" s="671"/>
      <c r="Z690" s="671"/>
      <c r="AA690" s="671"/>
      <c r="AB690" s="671"/>
    </row>
    <row r="691">
      <c r="A691" s="671"/>
      <c r="B691" s="671"/>
      <c r="C691" s="671"/>
      <c r="D691" s="671"/>
      <c r="E691" s="671"/>
      <c r="F691" s="671"/>
      <c r="G691" s="671"/>
      <c r="H691" s="671"/>
      <c r="I691" s="671"/>
      <c r="J691" s="671"/>
      <c r="K691" s="671"/>
      <c r="L691" s="671"/>
      <c r="M691" s="671"/>
      <c r="N691" s="671"/>
      <c r="O691" s="671"/>
      <c r="P691" s="671"/>
      <c r="Q691" s="671"/>
      <c r="R691" s="671"/>
      <c r="S691" s="671"/>
      <c r="T691" s="671"/>
      <c r="U691" s="671"/>
      <c r="V691" s="671"/>
      <c r="W691" s="671"/>
      <c r="X691" s="671"/>
      <c r="Y691" s="671"/>
      <c r="Z691" s="671"/>
      <c r="AA691" s="671"/>
      <c r="AB691" s="671"/>
    </row>
    <row r="692">
      <c r="A692" s="671"/>
      <c r="B692" s="671"/>
      <c r="C692" s="671"/>
      <c r="D692" s="671"/>
      <c r="E692" s="671"/>
      <c r="F692" s="671"/>
      <c r="G692" s="671"/>
      <c r="H692" s="671"/>
      <c r="I692" s="671"/>
      <c r="J692" s="671"/>
      <c r="K692" s="671"/>
      <c r="L692" s="671"/>
      <c r="M692" s="671"/>
      <c r="N692" s="671"/>
      <c r="O692" s="671"/>
      <c r="P692" s="671"/>
      <c r="Q692" s="671"/>
      <c r="R692" s="671"/>
      <c r="S692" s="671"/>
      <c r="T692" s="671"/>
      <c r="U692" s="671"/>
      <c r="V692" s="671"/>
      <c r="W692" s="671"/>
      <c r="X692" s="671"/>
      <c r="Y692" s="671"/>
      <c r="Z692" s="671"/>
      <c r="AA692" s="671"/>
      <c r="AB692" s="671"/>
    </row>
    <row r="693">
      <c r="A693" s="671"/>
      <c r="B693" s="671"/>
      <c r="C693" s="671"/>
      <c r="D693" s="671"/>
      <c r="E693" s="671"/>
      <c r="F693" s="671"/>
      <c r="G693" s="671"/>
      <c r="H693" s="671"/>
      <c r="I693" s="671"/>
      <c r="J693" s="671"/>
      <c r="K693" s="671"/>
      <c r="L693" s="671"/>
      <c r="M693" s="671"/>
      <c r="N693" s="671"/>
      <c r="O693" s="671"/>
      <c r="P693" s="671"/>
      <c r="Q693" s="671"/>
      <c r="R693" s="671"/>
      <c r="S693" s="671"/>
      <c r="T693" s="671"/>
      <c r="U693" s="671"/>
      <c r="V693" s="671"/>
      <c r="W693" s="671"/>
      <c r="X693" s="671"/>
      <c r="Y693" s="671"/>
      <c r="Z693" s="671"/>
      <c r="AA693" s="671"/>
      <c r="AB693" s="671"/>
    </row>
    <row r="694">
      <c r="A694" s="671"/>
      <c r="B694" s="671"/>
      <c r="C694" s="671"/>
      <c r="D694" s="671"/>
      <c r="E694" s="671"/>
      <c r="F694" s="671"/>
      <c r="G694" s="671"/>
      <c r="H694" s="671"/>
      <c r="I694" s="671"/>
      <c r="J694" s="671"/>
      <c r="K694" s="671"/>
      <c r="L694" s="671"/>
      <c r="M694" s="671"/>
      <c r="N694" s="671"/>
      <c r="O694" s="671"/>
      <c r="P694" s="671"/>
      <c r="Q694" s="671"/>
      <c r="R694" s="671"/>
      <c r="S694" s="671"/>
      <c r="T694" s="671"/>
      <c r="U694" s="671"/>
      <c r="V694" s="671"/>
      <c r="W694" s="671"/>
      <c r="X694" s="671"/>
      <c r="Y694" s="671"/>
      <c r="Z694" s="671"/>
      <c r="AA694" s="671"/>
      <c r="AB694" s="671"/>
    </row>
    <row r="695">
      <c r="A695" s="671"/>
      <c r="B695" s="671"/>
      <c r="C695" s="671"/>
      <c r="D695" s="671"/>
      <c r="E695" s="671"/>
      <c r="F695" s="671"/>
      <c r="G695" s="671"/>
      <c r="H695" s="671"/>
      <c r="I695" s="671"/>
      <c r="J695" s="671"/>
      <c r="K695" s="671"/>
      <c r="L695" s="671"/>
      <c r="M695" s="671"/>
      <c r="N695" s="671"/>
      <c r="O695" s="671"/>
      <c r="P695" s="671"/>
      <c r="Q695" s="671"/>
      <c r="R695" s="671"/>
      <c r="S695" s="671"/>
      <c r="T695" s="671"/>
      <c r="U695" s="671"/>
      <c r="V695" s="671"/>
      <c r="W695" s="671"/>
      <c r="X695" s="671"/>
      <c r="Y695" s="671"/>
      <c r="Z695" s="671"/>
      <c r="AA695" s="671"/>
      <c r="AB695" s="671"/>
    </row>
    <row r="696">
      <c r="A696" s="671"/>
      <c r="B696" s="671"/>
      <c r="C696" s="671"/>
      <c r="D696" s="671"/>
      <c r="E696" s="671"/>
      <c r="F696" s="671"/>
      <c r="G696" s="671"/>
      <c r="H696" s="671"/>
      <c r="I696" s="671"/>
      <c r="J696" s="671"/>
      <c r="K696" s="671"/>
      <c r="L696" s="671"/>
      <c r="M696" s="671"/>
      <c r="N696" s="671"/>
      <c r="O696" s="671"/>
      <c r="P696" s="671"/>
      <c r="Q696" s="671"/>
      <c r="R696" s="671"/>
      <c r="S696" s="671"/>
      <c r="T696" s="671"/>
      <c r="U696" s="671"/>
      <c r="V696" s="671"/>
      <c r="W696" s="671"/>
      <c r="X696" s="671"/>
      <c r="Y696" s="671"/>
      <c r="Z696" s="671"/>
      <c r="AA696" s="671"/>
      <c r="AB696" s="671"/>
    </row>
    <row r="697">
      <c r="A697" s="671"/>
      <c r="B697" s="671"/>
      <c r="C697" s="671"/>
      <c r="D697" s="671"/>
      <c r="E697" s="671"/>
      <c r="F697" s="671"/>
      <c r="G697" s="671"/>
      <c r="H697" s="671"/>
      <c r="I697" s="671"/>
      <c r="J697" s="671"/>
      <c r="K697" s="671"/>
      <c r="L697" s="671"/>
      <c r="M697" s="671"/>
      <c r="N697" s="671"/>
      <c r="O697" s="671"/>
      <c r="P697" s="671"/>
      <c r="Q697" s="671"/>
      <c r="R697" s="671"/>
      <c r="S697" s="671"/>
      <c r="T697" s="671"/>
      <c r="U697" s="671"/>
      <c r="V697" s="671"/>
      <c r="W697" s="671"/>
      <c r="X697" s="671"/>
      <c r="Y697" s="671"/>
      <c r="Z697" s="671"/>
      <c r="AA697" s="671"/>
      <c r="AB697" s="671"/>
    </row>
    <row r="698">
      <c r="A698" s="671"/>
      <c r="B698" s="671"/>
      <c r="C698" s="671"/>
      <c r="D698" s="671"/>
      <c r="E698" s="671"/>
      <c r="F698" s="671"/>
      <c r="G698" s="671"/>
      <c r="H698" s="671"/>
      <c r="I698" s="671"/>
      <c r="J698" s="671"/>
      <c r="K698" s="671"/>
      <c r="L698" s="671"/>
      <c r="M698" s="671"/>
      <c r="N698" s="671"/>
      <c r="O698" s="671"/>
      <c r="P698" s="671"/>
      <c r="Q698" s="671"/>
      <c r="R698" s="671"/>
      <c r="S698" s="671"/>
      <c r="T698" s="671"/>
      <c r="U698" s="671"/>
      <c r="V698" s="671"/>
      <c r="W698" s="671"/>
      <c r="X698" s="671"/>
      <c r="Y698" s="671"/>
      <c r="Z698" s="671"/>
      <c r="AA698" s="671"/>
      <c r="AB698" s="671"/>
    </row>
    <row r="699">
      <c r="A699" s="671"/>
      <c r="B699" s="671"/>
      <c r="C699" s="671"/>
      <c r="D699" s="671"/>
      <c r="E699" s="671"/>
      <c r="F699" s="671"/>
      <c r="G699" s="671"/>
      <c r="H699" s="671"/>
      <c r="I699" s="671"/>
      <c r="J699" s="671"/>
      <c r="K699" s="671"/>
      <c r="L699" s="671"/>
      <c r="M699" s="671"/>
      <c r="N699" s="671"/>
      <c r="O699" s="671"/>
      <c r="P699" s="671"/>
      <c r="Q699" s="671"/>
      <c r="R699" s="671"/>
      <c r="S699" s="671"/>
      <c r="T699" s="671"/>
      <c r="U699" s="671"/>
      <c r="V699" s="671"/>
      <c r="W699" s="671"/>
      <c r="X699" s="671"/>
      <c r="Y699" s="671"/>
      <c r="Z699" s="671"/>
      <c r="AA699" s="671"/>
      <c r="AB699" s="671"/>
    </row>
    <row r="700">
      <c r="A700" s="671"/>
      <c r="B700" s="671"/>
      <c r="C700" s="671"/>
      <c r="D700" s="671"/>
      <c r="E700" s="671"/>
      <c r="F700" s="671"/>
      <c r="G700" s="671"/>
      <c r="H700" s="671"/>
      <c r="I700" s="671"/>
      <c r="J700" s="671"/>
      <c r="K700" s="671"/>
      <c r="L700" s="671"/>
      <c r="M700" s="671"/>
      <c r="N700" s="671"/>
      <c r="O700" s="671"/>
      <c r="P700" s="671"/>
      <c r="Q700" s="671"/>
      <c r="R700" s="671"/>
      <c r="S700" s="671"/>
      <c r="T700" s="671"/>
      <c r="U700" s="671"/>
      <c r="V700" s="671"/>
      <c r="W700" s="671"/>
      <c r="X700" s="671"/>
      <c r="Y700" s="671"/>
      <c r="Z700" s="671"/>
      <c r="AA700" s="671"/>
      <c r="AB700" s="671"/>
    </row>
    <row r="701">
      <c r="A701" s="671"/>
      <c r="B701" s="671"/>
      <c r="C701" s="671"/>
      <c r="D701" s="671"/>
      <c r="E701" s="671"/>
      <c r="F701" s="671"/>
      <c r="G701" s="671"/>
      <c r="H701" s="671"/>
      <c r="I701" s="671"/>
      <c r="J701" s="671"/>
      <c r="K701" s="671"/>
      <c r="L701" s="671"/>
      <c r="M701" s="671"/>
      <c r="N701" s="671"/>
      <c r="O701" s="671"/>
      <c r="P701" s="671"/>
      <c r="Q701" s="671"/>
      <c r="R701" s="671"/>
      <c r="S701" s="671"/>
      <c r="T701" s="671"/>
      <c r="U701" s="671"/>
      <c r="V701" s="671"/>
      <c r="W701" s="671"/>
      <c r="X701" s="671"/>
      <c r="Y701" s="671"/>
      <c r="Z701" s="671"/>
      <c r="AA701" s="671"/>
      <c r="AB701" s="671"/>
    </row>
    <row r="702">
      <c r="A702" s="671"/>
      <c r="B702" s="671"/>
      <c r="C702" s="671"/>
      <c r="D702" s="671"/>
      <c r="E702" s="671"/>
      <c r="F702" s="671"/>
      <c r="G702" s="671"/>
      <c r="H702" s="671"/>
      <c r="I702" s="671"/>
      <c r="J702" s="671"/>
      <c r="K702" s="671"/>
      <c r="L702" s="671"/>
      <c r="M702" s="671"/>
      <c r="N702" s="671"/>
      <c r="O702" s="671"/>
      <c r="P702" s="671"/>
      <c r="Q702" s="671"/>
      <c r="R702" s="671"/>
      <c r="S702" s="671"/>
      <c r="T702" s="671"/>
      <c r="U702" s="671"/>
      <c r="V702" s="671"/>
      <c r="W702" s="671"/>
      <c r="X702" s="671"/>
      <c r="Y702" s="671"/>
      <c r="Z702" s="671"/>
      <c r="AA702" s="671"/>
      <c r="AB702" s="671"/>
    </row>
    <row r="703">
      <c r="A703" s="671"/>
      <c r="B703" s="671"/>
      <c r="C703" s="671"/>
      <c r="D703" s="671"/>
      <c r="E703" s="671"/>
      <c r="F703" s="671"/>
      <c r="G703" s="671"/>
      <c r="H703" s="671"/>
      <c r="I703" s="671"/>
      <c r="J703" s="671"/>
      <c r="K703" s="671"/>
      <c r="L703" s="671"/>
      <c r="M703" s="671"/>
      <c r="N703" s="671"/>
      <c r="O703" s="671"/>
      <c r="P703" s="671"/>
      <c r="Q703" s="671"/>
      <c r="R703" s="671"/>
      <c r="S703" s="671"/>
      <c r="T703" s="671"/>
      <c r="U703" s="671"/>
      <c r="V703" s="671"/>
      <c r="W703" s="671"/>
      <c r="X703" s="671"/>
      <c r="Y703" s="671"/>
      <c r="Z703" s="671"/>
      <c r="AA703" s="671"/>
      <c r="AB703" s="671"/>
    </row>
    <row r="704">
      <c r="A704" s="671"/>
      <c r="B704" s="671"/>
      <c r="C704" s="671"/>
      <c r="D704" s="671"/>
      <c r="E704" s="671"/>
      <c r="F704" s="671"/>
      <c r="G704" s="671"/>
      <c r="H704" s="671"/>
      <c r="I704" s="671"/>
      <c r="J704" s="671"/>
      <c r="K704" s="671"/>
      <c r="L704" s="671"/>
      <c r="M704" s="671"/>
      <c r="N704" s="671"/>
      <c r="O704" s="671"/>
      <c r="P704" s="671"/>
      <c r="Q704" s="671"/>
      <c r="R704" s="671"/>
      <c r="S704" s="671"/>
      <c r="T704" s="671"/>
      <c r="U704" s="671"/>
      <c r="V704" s="671"/>
      <c r="W704" s="671"/>
      <c r="X704" s="671"/>
      <c r="Y704" s="671"/>
      <c r="Z704" s="671"/>
      <c r="AA704" s="671"/>
      <c r="AB704" s="671"/>
    </row>
    <row r="705">
      <c r="A705" s="671"/>
      <c r="B705" s="671"/>
      <c r="C705" s="671"/>
      <c r="D705" s="671"/>
      <c r="E705" s="671"/>
      <c r="F705" s="671"/>
      <c r="G705" s="671"/>
      <c r="H705" s="671"/>
      <c r="I705" s="671"/>
      <c r="J705" s="671"/>
      <c r="K705" s="671"/>
      <c r="L705" s="671"/>
      <c r="M705" s="671"/>
      <c r="N705" s="671"/>
      <c r="O705" s="671"/>
      <c r="P705" s="671"/>
      <c r="Q705" s="671"/>
      <c r="R705" s="671"/>
      <c r="S705" s="671"/>
      <c r="T705" s="671"/>
      <c r="U705" s="671"/>
      <c r="V705" s="671"/>
      <c r="W705" s="671"/>
      <c r="X705" s="671"/>
      <c r="Y705" s="671"/>
      <c r="Z705" s="671"/>
      <c r="AA705" s="671"/>
      <c r="AB705" s="671"/>
    </row>
    <row r="706">
      <c r="A706" s="671"/>
      <c r="B706" s="671"/>
      <c r="C706" s="671"/>
      <c r="D706" s="671"/>
      <c r="E706" s="671"/>
      <c r="F706" s="671"/>
      <c r="G706" s="671"/>
      <c r="H706" s="671"/>
      <c r="I706" s="671"/>
      <c r="J706" s="671"/>
      <c r="K706" s="671"/>
      <c r="L706" s="671"/>
      <c r="M706" s="671"/>
      <c r="N706" s="671"/>
      <c r="O706" s="671"/>
      <c r="P706" s="671"/>
      <c r="Q706" s="671"/>
      <c r="R706" s="671"/>
      <c r="S706" s="671"/>
      <c r="T706" s="671"/>
      <c r="U706" s="671"/>
      <c r="V706" s="671"/>
      <c r="W706" s="671"/>
      <c r="X706" s="671"/>
      <c r="Y706" s="671"/>
      <c r="Z706" s="671"/>
      <c r="AA706" s="671"/>
      <c r="AB706" s="671"/>
    </row>
    <row r="707">
      <c r="A707" s="671"/>
      <c r="B707" s="671"/>
      <c r="C707" s="671"/>
      <c r="D707" s="671"/>
      <c r="E707" s="671"/>
      <c r="F707" s="671"/>
      <c r="G707" s="671"/>
      <c r="H707" s="671"/>
      <c r="I707" s="671"/>
      <c r="J707" s="671"/>
      <c r="K707" s="671"/>
      <c r="L707" s="671"/>
      <c r="M707" s="671"/>
      <c r="N707" s="671"/>
      <c r="O707" s="671"/>
      <c r="P707" s="671"/>
      <c r="Q707" s="671"/>
      <c r="R707" s="671"/>
      <c r="S707" s="671"/>
      <c r="T707" s="671"/>
      <c r="U707" s="671"/>
      <c r="V707" s="671"/>
      <c r="W707" s="671"/>
      <c r="X707" s="671"/>
      <c r="Y707" s="671"/>
      <c r="Z707" s="671"/>
      <c r="AA707" s="671"/>
      <c r="AB707" s="671"/>
    </row>
    <row r="708">
      <c r="A708" s="671"/>
      <c r="B708" s="671"/>
      <c r="C708" s="671"/>
      <c r="D708" s="671"/>
      <c r="E708" s="671"/>
      <c r="F708" s="671"/>
      <c r="G708" s="671"/>
      <c r="H708" s="671"/>
      <c r="I708" s="671"/>
      <c r="J708" s="671"/>
      <c r="K708" s="671"/>
      <c r="L708" s="671"/>
      <c r="M708" s="671"/>
      <c r="N708" s="671"/>
      <c r="O708" s="671"/>
      <c r="P708" s="671"/>
      <c r="Q708" s="671"/>
      <c r="R708" s="671"/>
      <c r="S708" s="671"/>
      <c r="T708" s="671"/>
      <c r="U708" s="671"/>
      <c r="V708" s="671"/>
      <c r="W708" s="671"/>
      <c r="X708" s="671"/>
      <c r="Y708" s="671"/>
      <c r="Z708" s="671"/>
      <c r="AA708" s="671"/>
      <c r="AB708" s="671"/>
    </row>
    <row r="709">
      <c r="A709" s="671"/>
      <c r="B709" s="671"/>
      <c r="C709" s="671"/>
      <c r="D709" s="671"/>
      <c r="E709" s="671"/>
      <c r="F709" s="671"/>
      <c r="G709" s="671"/>
      <c r="H709" s="671"/>
      <c r="I709" s="671"/>
      <c r="J709" s="671"/>
      <c r="K709" s="671"/>
      <c r="L709" s="671"/>
      <c r="M709" s="671"/>
      <c r="N709" s="671"/>
      <c r="O709" s="671"/>
      <c r="P709" s="671"/>
      <c r="Q709" s="671"/>
      <c r="R709" s="671"/>
      <c r="S709" s="671"/>
      <c r="T709" s="671"/>
      <c r="U709" s="671"/>
      <c r="V709" s="671"/>
      <c r="W709" s="671"/>
      <c r="X709" s="671"/>
      <c r="Y709" s="671"/>
      <c r="Z709" s="671"/>
      <c r="AA709" s="671"/>
      <c r="AB709" s="671"/>
    </row>
    <row r="710">
      <c r="A710" s="671"/>
      <c r="B710" s="671"/>
      <c r="C710" s="671"/>
      <c r="D710" s="671"/>
      <c r="E710" s="671"/>
      <c r="F710" s="671"/>
      <c r="G710" s="671"/>
      <c r="H710" s="671"/>
      <c r="I710" s="671"/>
      <c r="J710" s="671"/>
      <c r="K710" s="671"/>
      <c r="L710" s="671"/>
      <c r="M710" s="671"/>
      <c r="N710" s="671"/>
      <c r="O710" s="671"/>
      <c r="P710" s="671"/>
      <c r="Q710" s="671"/>
      <c r="R710" s="671"/>
      <c r="S710" s="671"/>
      <c r="T710" s="671"/>
      <c r="U710" s="671"/>
      <c r="V710" s="671"/>
      <c r="W710" s="671"/>
      <c r="X710" s="671"/>
      <c r="Y710" s="671"/>
      <c r="Z710" s="671"/>
      <c r="AA710" s="671"/>
      <c r="AB710" s="671"/>
    </row>
    <row r="711">
      <c r="A711" s="671"/>
      <c r="B711" s="671"/>
      <c r="C711" s="671"/>
      <c r="D711" s="671"/>
      <c r="E711" s="671"/>
      <c r="F711" s="671"/>
      <c r="G711" s="671"/>
      <c r="H711" s="671"/>
      <c r="I711" s="671"/>
      <c r="J711" s="671"/>
      <c r="K711" s="671"/>
      <c r="L711" s="671"/>
      <c r="M711" s="671"/>
      <c r="N711" s="671"/>
      <c r="O711" s="671"/>
      <c r="P711" s="671"/>
      <c r="Q711" s="671"/>
      <c r="R711" s="671"/>
      <c r="S711" s="671"/>
      <c r="T711" s="671"/>
      <c r="U711" s="671"/>
      <c r="V711" s="671"/>
      <c r="W711" s="671"/>
      <c r="X711" s="671"/>
      <c r="Y711" s="671"/>
      <c r="Z711" s="671"/>
      <c r="AA711" s="671"/>
      <c r="AB711" s="671"/>
    </row>
    <row r="712">
      <c r="A712" s="671"/>
      <c r="B712" s="671"/>
      <c r="C712" s="671"/>
      <c r="D712" s="671"/>
      <c r="E712" s="671"/>
      <c r="F712" s="671"/>
      <c r="G712" s="671"/>
      <c r="H712" s="671"/>
      <c r="I712" s="671"/>
      <c r="J712" s="671"/>
      <c r="K712" s="671"/>
      <c r="L712" s="671"/>
      <c r="M712" s="671"/>
      <c r="N712" s="671"/>
      <c r="O712" s="671"/>
      <c r="P712" s="671"/>
      <c r="Q712" s="671"/>
      <c r="R712" s="671"/>
      <c r="S712" s="671"/>
      <c r="T712" s="671"/>
      <c r="U712" s="671"/>
      <c r="V712" s="671"/>
      <c r="W712" s="671"/>
      <c r="X712" s="671"/>
      <c r="Y712" s="671"/>
      <c r="Z712" s="671"/>
      <c r="AA712" s="671"/>
      <c r="AB712" s="671"/>
    </row>
    <row r="713">
      <c r="A713" s="671"/>
      <c r="B713" s="671"/>
      <c r="C713" s="671"/>
      <c r="D713" s="671"/>
      <c r="E713" s="671"/>
      <c r="F713" s="671"/>
      <c r="G713" s="671"/>
      <c r="H713" s="671"/>
      <c r="I713" s="671"/>
      <c r="J713" s="671"/>
      <c r="K713" s="671"/>
      <c r="L713" s="671"/>
      <c r="M713" s="671"/>
      <c r="N713" s="671"/>
      <c r="O713" s="671"/>
      <c r="P713" s="671"/>
      <c r="Q713" s="671"/>
      <c r="R713" s="671"/>
      <c r="S713" s="671"/>
      <c r="T713" s="671"/>
      <c r="U713" s="671"/>
      <c r="V713" s="671"/>
      <c r="W713" s="671"/>
      <c r="X713" s="671"/>
      <c r="Y713" s="671"/>
      <c r="Z713" s="671"/>
      <c r="AA713" s="671"/>
      <c r="AB713" s="671"/>
    </row>
    <row r="714">
      <c r="A714" s="671"/>
      <c r="B714" s="671"/>
      <c r="C714" s="671"/>
      <c r="D714" s="671"/>
      <c r="E714" s="671"/>
      <c r="F714" s="671"/>
      <c r="G714" s="671"/>
      <c r="H714" s="671"/>
      <c r="I714" s="671"/>
      <c r="J714" s="671"/>
      <c r="K714" s="671"/>
      <c r="L714" s="671"/>
      <c r="M714" s="671"/>
      <c r="N714" s="671"/>
      <c r="O714" s="671"/>
      <c r="P714" s="671"/>
      <c r="Q714" s="671"/>
      <c r="R714" s="671"/>
      <c r="S714" s="671"/>
      <c r="T714" s="671"/>
      <c r="U714" s="671"/>
      <c r="V714" s="671"/>
      <c r="W714" s="671"/>
      <c r="X714" s="671"/>
      <c r="Y714" s="671"/>
      <c r="Z714" s="671"/>
      <c r="AA714" s="671"/>
      <c r="AB714" s="671"/>
    </row>
    <row r="715">
      <c r="A715" s="671"/>
      <c r="B715" s="671"/>
      <c r="C715" s="671"/>
      <c r="D715" s="671"/>
      <c r="E715" s="671"/>
      <c r="F715" s="671"/>
      <c r="G715" s="671"/>
      <c r="H715" s="671"/>
      <c r="I715" s="671"/>
      <c r="J715" s="671"/>
      <c r="K715" s="671"/>
      <c r="L715" s="671"/>
      <c r="M715" s="671"/>
      <c r="N715" s="671"/>
      <c r="O715" s="671"/>
      <c r="P715" s="671"/>
      <c r="Q715" s="671"/>
      <c r="R715" s="671"/>
      <c r="S715" s="671"/>
      <c r="T715" s="671"/>
      <c r="U715" s="671"/>
      <c r="V715" s="671"/>
      <c r="W715" s="671"/>
      <c r="X715" s="671"/>
      <c r="Y715" s="671"/>
      <c r="Z715" s="671"/>
      <c r="AA715" s="671"/>
      <c r="AB715" s="671"/>
    </row>
    <row r="716">
      <c r="A716" s="671"/>
      <c r="B716" s="671"/>
      <c r="C716" s="671"/>
      <c r="D716" s="671"/>
      <c r="E716" s="671"/>
      <c r="F716" s="671"/>
      <c r="G716" s="671"/>
      <c r="H716" s="671"/>
      <c r="I716" s="671"/>
      <c r="J716" s="671"/>
      <c r="K716" s="671"/>
      <c r="L716" s="671"/>
      <c r="M716" s="671"/>
      <c r="N716" s="671"/>
      <c r="O716" s="671"/>
      <c r="P716" s="671"/>
      <c r="Q716" s="671"/>
      <c r="R716" s="671"/>
      <c r="S716" s="671"/>
      <c r="T716" s="671"/>
      <c r="U716" s="671"/>
      <c r="V716" s="671"/>
      <c r="W716" s="671"/>
      <c r="X716" s="671"/>
      <c r="Y716" s="671"/>
      <c r="Z716" s="671"/>
      <c r="AA716" s="671"/>
      <c r="AB716" s="671"/>
    </row>
    <row r="717">
      <c r="A717" s="671"/>
      <c r="B717" s="671"/>
      <c r="C717" s="671"/>
      <c r="D717" s="671"/>
      <c r="E717" s="671"/>
      <c r="F717" s="671"/>
      <c r="G717" s="671"/>
      <c r="H717" s="671"/>
      <c r="I717" s="671"/>
      <c r="J717" s="671"/>
      <c r="K717" s="671"/>
      <c r="L717" s="671"/>
      <c r="M717" s="671"/>
      <c r="N717" s="671"/>
      <c r="O717" s="671"/>
      <c r="P717" s="671"/>
      <c r="Q717" s="671"/>
      <c r="R717" s="671"/>
      <c r="S717" s="671"/>
      <c r="T717" s="671"/>
      <c r="U717" s="671"/>
      <c r="V717" s="671"/>
      <c r="W717" s="671"/>
      <c r="X717" s="671"/>
      <c r="Y717" s="671"/>
      <c r="Z717" s="671"/>
      <c r="AA717" s="671"/>
      <c r="AB717" s="671"/>
    </row>
    <row r="718">
      <c r="A718" s="671"/>
      <c r="B718" s="671"/>
      <c r="C718" s="671"/>
      <c r="D718" s="671"/>
      <c r="E718" s="671"/>
      <c r="F718" s="671"/>
      <c r="G718" s="671"/>
      <c r="H718" s="671"/>
      <c r="I718" s="671"/>
      <c r="J718" s="671"/>
      <c r="K718" s="671"/>
      <c r="L718" s="671"/>
      <c r="M718" s="671"/>
      <c r="N718" s="671"/>
      <c r="O718" s="671"/>
      <c r="P718" s="671"/>
      <c r="Q718" s="671"/>
      <c r="R718" s="671"/>
      <c r="S718" s="671"/>
      <c r="T718" s="671"/>
      <c r="U718" s="671"/>
      <c r="V718" s="671"/>
      <c r="W718" s="671"/>
      <c r="X718" s="671"/>
      <c r="Y718" s="671"/>
      <c r="Z718" s="671"/>
      <c r="AA718" s="671"/>
      <c r="AB718" s="671"/>
    </row>
    <row r="719">
      <c r="A719" s="671"/>
      <c r="B719" s="671"/>
      <c r="C719" s="671"/>
      <c r="D719" s="671"/>
      <c r="E719" s="671"/>
      <c r="F719" s="671"/>
      <c r="G719" s="671"/>
      <c r="H719" s="671"/>
      <c r="I719" s="671"/>
      <c r="J719" s="671"/>
      <c r="K719" s="671"/>
      <c r="L719" s="671"/>
      <c r="M719" s="671"/>
      <c r="N719" s="671"/>
      <c r="O719" s="671"/>
      <c r="P719" s="671"/>
      <c r="Q719" s="671"/>
      <c r="R719" s="671"/>
      <c r="S719" s="671"/>
      <c r="T719" s="671"/>
      <c r="U719" s="671"/>
      <c r="V719" s="671"/>
      <c r="W719" s="671"/>
      <c r="X719" s="671"/>
      <c r="Y719" s="671"/>
      <c r="Z719" s="671"/>
      <c r="AA719" s="671"/>
      <c r="AB719" s="671"/>
    </row>
    <row r="720">
      <c r="A720" s="671"/>
      <c r="B720" s="671"/>
      <c r="C720" s="671"/>
      <c r="D720" s="671"/>
      <c r="E720" s="671"/>
      <c r="F720" s="671"/>
      <c r="G720" s="671"/>
      <c r="H720" s="671"/>
      <c r="I720" s="671"/>
      <c r="J720" s="671"/>
      <c r="K720" s="671"/>
      <c r="L720" s="671"/>
      <c r="M720" s="671"/>
      <c r="N720" s="671"/>
      <c r="O720" s="671"/>
      <c r="P720" s="671"/>
      <c r="Q720" s="671"/>
      <c r="R720" s="671"/>
      <c r="S720" s="671"/>
      <c r="T720" s="671"/>
      <c r="U720" s="671"/>
      <c r="V720" s="671"/>
      <c r="W720" s="671"/>
      <c r="X720" s="671"/>
      <c r="Y720" s="671"/>
      <c r="Z720" s="671"/>
      <c r="AA720" s="671"/>
      <c r="AB720" s="671"/>
    </row>
    <row r="721">
      <c r="A721" s="671"/>
      <c r="B721" s="671"/>
      <c r="C721" s="671"/>
      <c r="D721" s="671"/>
      <c r="E721" s="671"/>
      <c r="F721" s="671"/>
      <c r="G721" s="671"/>
      <c r="H721" s="671"/>
      <c r="I721" s="671"/>
      <c r="J721" s="671"/>
      <c r="K721" s="671"/>
      <c r="L721" s="671"/>
      <c r="M721" s="671"/>
      <c r="N721" s="671"/>
      <c r="O721" s="671"/>
      <c r="P721" s="671"/>
      <c r="Q721" s="671"/>
      <c r="R721" s="671"/>
      <c r="S721" s="671"/>
      <c r="T721" s="671"/>
      <c r="U721" s="671"/>
      <c r="V721" s="671"/>
      <c r="W721" s="671"/>
      <c r="X721" s="671"/>
      <c r="Y721" s="671"/>
      <c r="Z721" s="671"/>
      <c r="AA721" s="671"/>
      <c r="AB721" s="671"/>
    </row>
    <row r="722">
      <c r="A722" s="671"/>
      <c r="B722" s="671"/>
      <c r="C722" s="671"/>
      <c r="D722" s="671"/>
      <c r="E722" s="671"/>
      <c r="F722" s="671"/>
      <c r="G722" s="671"/>
      <c r="H722" s="671"/>
      <c r="I722" s="671"/>
      <c r="J722" s="671"/>
      <c r="K722" s="671"/>
      <c r="L722" s="671"/>
      <c r="M722" s="671"/>
      <c r="N722" s="671"/>
      <c r="O722" s="671"/>
      <c r="P722" s="671"/>
      <c r="Q722" s="671"/>
      <c r="R722" s="671"/>
      <c r="S722" s="671"/>
      <c r="T722" s="671"/>
      <c r="U722" s="671"/>
      <c r="V722" s="671"/>
      <c r="W722" s="671"/>
      <c r="X722" s="671"/>
      <c r="Y722" s="671"/>
      <c r="Z722" s="671"/>
      <c r="AA722" s="671"/>
      <c r="AB722" s="671"/>
    </row>
    <row r="723">
      <c r="A723" s="671"/>
      <c r="B723" s="671"/>
      <c r="C723" s="671"/>
      <c r="D723" s="671"/>
      <c r="E723" s="671"/>
      <c r="F723" s="671"/>
      <c r="G723" s="671"/>
      <c r="H723" s="671"/>
      <c r="I723" s="671"/>
      <c r="J723" s="671"/>
      <c r="K723" s="671"/>
      <c r="L723" s="671"/>
      <c r="M723" s="671"/>
      <c r="N723" s="671"/>
      <c r="O723" s="671"/>
      <c r="P723" s="671"/>
      <c r="Q723" s="671"/>
      <c r="R723" s="671"/>
      <c r="S723" s="671"/>
      <c r="T723" s="671"/>
      <c r="U723" s="671"/>
      <c r="V723" s="671"/>
      <c r="W723" s="671"/>
      <c r="X723" s="671"/>
      <c r="Y723" s="671"/>
      <c r="Z723" s="671"/>
      <c r="AA723" s="671"/>
      <c r="AB723" s="671"/>
    </row>
    <row r="724">
      <c r="A724" s="671"/>
      <c r="B724" s="671"/>
      <c r="C724" s="671"/>
      <c r="D724" s="671"/>
      <c r="E724" s="671"/>
      <c r="F724" s="671"/>
      <c r="G724" s="671"/>
      <c r="H724" s="671"/>
      <c r="I724" s="671"/>
      <c r="J724" s="671"/>
      <c r="K724" s="671"/>
      <c r="L724" s="671"/>
      <c r="M724" s="671"/>
      <c r="N724" s="671"/>
      <c r="O724" s="671"/>
      <c r="P724" s="671"/>
      <c r="Q724" s="671"/>
      <c r="R724" s="671"/>
      <c r="S724" s="671"/>
      <c r="T724" s="671"/>
      <c r="U724" s="671"/>
      <c r="V724" s="671"/>
      <c r="W724" s="671"/>
      <c r="X724" s="671"/>
      <c r="Y724" s="671"/>
      <c r="Z724" s="671"/>
      <c r="AA724" s="671"/>
      <c r="AB724" s="671"/>
    </row>
    <row r="725">
      <c r="A725" s="671"/>
      <c r="B725" s="671"/>
      <c r="C725" s="671"/>
      <c r="D725" s="671"/>
      <c r="E725" s="671"/>
      <c r="F725" s="671"/>
      <c r="G725" s="671"/>
      <c r="H725" s="671"/>
      <c r="I725" s="671"/>
      <c r="J725" s="671"/>
      <c r="K725" s="671"/>
      <c r="L725" s="671"/>
      <c r="M725" s="671"/>
      <c r="N725" s="671"/>
      <c r="O725" s="671"/>
      <c r="P725" s="671"/>
      <c r="Q725" s="671"/>
      <c r="R725" s="671"/>
      <c r="S725" s="671"/>
      <c r="T725" s="671"/>
      <c r="U725" s="671"/>
      <c r="V725" s="671"/>
      <c r="W725" s="671"/>
      <c r="X725" s="671"/>
      <c r="Y725" s="671"/>
      <c r="Z725" s="671"/>
      <c r="AA725" s="671"/>
      <c r="AB725" s="671"/>
    </row>
    <row r="726">
      <c r="A726" s="671"/>
      <c r="B726" s="671"/>
      <c r="C726" s="671"/>
      <c r="D726" s="671"/>
      <c r="E726" s="671"/>
      <c r="F726" s="671"/>
      <c r="G726" s="671"/>
      <c r="H726" s="671"/>
      <c r="I726" s="671"/>
      <c r="J726" s="671"/>
      <c r="K726" s="671"/>
      <c r="L726" s="671"/>
      <c r="M726" s="671"/>
      <c r="N726" s="671"/>
      <c r="O726" s="671"/>
      <c r="P726" s="671"/>
      <c r="Q726" s="671"/>
      <c r="R726" s="671"/>
      <c r="S726" s="671"/>
      <c r="T726" s="671"/>
      <c r="U726" s="671"/>
      <c r="V726" s="671"/>
      <c r="W726" s="671"/>
      <c r="X726" s="671"/>
      <c r="Y726" s="671"/>
      <c r="Z726" s="671"/>
      <c r="AA726" s="671"/>
      <c r="AB726" s="671"/>
    </row>
    <row r="727">
      <c r="A727" s="671"/>
      <c r="B727" s="671"/>
      <c r="C727" s="671"/>
      <c r="D727" s="671"/>
      <c r="E727" s="671"/>
      <c r="F727" s="671"/>
      <c r="G727" s="671"/>
      <c r="H727" s="671"/>
      <c r="I727" s="671"/>
      <c r="J727" s="671"/>
      <c r="K727" s="671"/>
      <c r="L727" s="671"/>
      <c r="M727" s="671"/>
      <c r="N727" s="671"/>
      <c r="O727" s="671"/>
      <c r="P727" s="671"/>
      <c r="Q727" s="671"/>
      <c r="R727" s="671"/>
      <c r="S727" s="671"/>
      <c r="T727" s="671"/>
      <c r="U727" s="671"/>
      <c r="V727" s="671"/>
      <c r="W727" s="671"/>
      <c r="X727" s="671"/>
      <c r="Y727" s="671"/>
      <c r="Z727" s="671"/>
      <c r="AA727" s="671"/>
      <c r="AB727" s="671"/>
    </row>
    <row r="728">
      <c r="A728" s="671"/>
      <c r="B728" s="671"/>
      <c r="C728" s="671"/>
      <c r="D728" s="671"/>
      <c r="E728" s="671"/>
      <c r="F728" s="671"/>
      <c r="G728" s="671"/>
      <c r="H728" s="671"/>
      <c r="I728" s="671"/>
      <c r="J728" s="671"/>
      <c r="K728" s="671"/>
      <c r="L728" s="671"/>
      <c r="M728" s="671"/>
      <c r="N728" s="671"/>
      <c r="O728" s="671"/>
      <c r="P728" s="671"/>
      <c r="Q728" s="671"/>
      <c r="R728" s="671"/>
      <c r="S728" s="671"/>
      <c r="T728" s="671"/>
      <c r="U728" s="671"/>
      <c r="V728" s="671"/>
      <c r="W728" s="671"/>
      <c r="X728" s="671"/>
      <c r="Y728" s="671"/>
      <c r="Z728" s="671"/>
      <c r="AA728" s="671"/>
      <c r="AB728" s="671"/>
    </row>
    <row r="729">
      <c r="A729" s="671"/>
      <c r="B729" s="671"/>
      <c r="C729" s="671"/>
      <c r="D729" s="671"/>
      <c r="E729" s="671"/>
      <c r="F729" s="671"/>
      <c r="G729" s="671"/>
      <c r="H729" s="671"/>
      <c r="I729" s="671"/>
      <c r="J729" s="671"/>
      <c r="K729" s="671"/>
      <c r="L729" s="671"/>
      <c r="M729" s="671"/>
      <c r="N729" s="671"/>
      <c r="O729" s="671"/>
      <c r="P729" s="671"/>
      <c r="Q729" s="671"/>
      <c r="R729" s="671"/>
      <c r="S729" s="671"/>
      <c r="T729" s="671"/>
      <c r="U729" s="671"/>
      <c r="V729" s="671"/>
      <c r="W729" s="671"/>
      <c r="X729" s="671"/>
      <c r="Y729" s="671"/>
      <c r="Z729" s="671"/>
      <c r="AA729" s="671"/>
      <c r="AB729" s="671"/>
    </row>
    <row r="730">
      <c r="A730" s="671"/>
      <c r="B730" s="671"/>
      <c r="C730" s="671"/>
      <c r="D730" s="671"/>
      <c r="E730" s="671"/>
      <c r="F730" s="671"/>
      <c r="G730" s="671"/>
      <c r="H730" s="671"/>
      <c r="I730" s="671"/>
      <c r="J730" s="671"/>
      <c r="K730" s="671"/>
      <c r="L730" s="671"/>
      <c r="M730" s="671"/>
      <c r="N730" s="671"/>
      <c r="O730" s="671"/>
      <c r="P730" s="671"/>
      <c r="Q730" s="671"/>
      <c r="R730" s="671"/>
      <c r="S730" s="671"/>
      <c r="T730" s="671"/>
      <c r="U730" s="671"/>
      <c r="V730" s="671"/>
      <c r="W730" s="671"/>
      <c r="X730" s="671"/>
      <c r="Y730" s="671"/>
      <c r="Z730" s="671"/>
      <c r="AA730" s="671"/>
      <c r="AB730" s="671"/>
    </row>
    <row r="731">
      <c r="A731" s="671"/>
      <c r="B731" s="671"/>
      <c r="C731" s="671"/>
      <c r="D731" s="671"/>
      <c r="E731" s="671"/>
      <c r="F731" s="671"/>
      <c r="G731" s="671"/>
      <c r="H731" s="671"/>
      <c r="I731" s="671"/>
      <c r="J731" s="671"/>
      <c r="K731" s="671"/>
      <c r="L731" s="671"/>
      <c r="M731" s="671"/>
      <c r="N731" s="671"/>
      <c r="O731" s="671"/>
      <c r="P731" s="671"/>
      <c r="Q731" s="671"/>
      <c r="R731" s="671"/>
      <c r="S731" s="671"/>
      <c r="T731" s="671"/>
      <c r="U731" s="671"/>
      <c r="V731" s="671"/>
      <c r="W731" s="671"/>
      <c r="X731" s="671"/>
      <c r="Y731" s="671"/>
      <c r="Z731" s="671"/>
      <c r="AA731" s="671"/>
      <c r="AB731" s="671"/>
    </row>
    <row r="732">
      <c r="A732" s="671"/>
      <c r="B732" s="671"/>
      <c r="C732" s="671"/>
      <c r="D732" s="671"/>
      <c r="E732" s="671"/>
      <c r="F732" s="671"/>
      <c r="G732" s="671"/>
      <c r="H732" s="671"/>
      <c r="I732" s="671"/>
      <c r="J732" s="671"/>
      <c r="K732" s="671"/>
      <c r="L732" s="671"/>
      <c r="M732" s="671"/>
      <c r="N732" s="671"/>
      <c r="O732" s="671"/>
      <c r="P732" s="671"/>
      <c r="Q732" s="671"/>
      <c r="R732" s="671"/>
      <c r="S732" s="671"/>
      <c r="T732" s="671"/>
      <c r="U732" s="671"/>
      <c r="V732" s="671"/>
      <c r="W732" s="671"/>
      <c r="X732" s="671"/>
      <c r="Y732" s="671"/>
      <c r="Z732" s="671"/>
      <c r="AA732" s="671"/>
      <c r="AB732" s="671"/>
    </row>
    <row r="733">
      <c r="A733" s="671"/>
      <c r="B733" s="671"/>
      <c r="C733" s="671"/>
      <c r="D733" s="671"/>
      <c r="E733" s="671"/>
      <c r="F733" s="671"/>
      <c r="G733" s="671"/>
      <c r="H733" s="671"/>
      <c r="I733" s="671"/>
      <c r="J733" s="671"/>
      <c r="K733" s="671"/>
      <c r="L733" s="671"/>
      <c r="M733" s="671"/>
      <c r="N733" s="671"/>
      <c r="O733" s="671"/>
      <c r="P733" s="671"/>
      <c r="Q733" s="671"/>
      <c r="R733" s="671"/>
      <c r="S733" s="671"/>
      <c r="T733" s="671"/>
      <c r="U733" s="671"/>
      <c r="V733" s="671"/>
      <c r="W733" s="671"/>
      <c r="X733" s="671"/>
      <c r="Y733" s="671"/>
      <c r="Z733" s="671"/>
      <c r="AA733" s="671"/>
      <c r="AB733" s="671"/>
    </row>
    <row r="734">
      <c r="A734" s="671"/>
      <c r="B734" s="671"/>
      <c r="C734" s="671"/>
      <c r="D734" s="671"/>
      <c r="E734" s="671"/>
      <c r="F734" s="671"/>
      <c r="G734" s="671"/>
      <c r="H734" s="671"/>
      <c r="I734" s="671"/>
      <c r="J734" s="671"/>
      <c r="K734" s="671"/>
      <c r="L734" s="671"/>
      <c r="M734" s="671"/>
      <c r="N734" s="671"/>
      <c r="O734" s="671"/>
      <c r="P734" s="671"/>
      <c r="Q734" s="671"/>
      <c r="R734" s="671"/>
      <c r="S734" s="671"/>
      <c r="T734" s="671"/>
      <c r="U734" s="671"/>
      <c r="V734" s="671"/>
      <c r="W734" s="671"/>
      <c r="X734" s="671"/>
      <c r="Y734" s="671"/>
      <c r="Z734" s="671"/>
      <c r="AA734" s="671"/>
      <c r="AB734" s="671"/>
    </row>
    <row r="735">
      <c r="A735" s="671"/>
      <c r="B735" s="671"/>
      <c r="C735" s="671"/>
      <c r="D735" s="671"/>
      <c r="E735" s="671"/>
      <c r="F735" s="671"/>
      <c r="G735" s="671"/>
      <c r="H735" s="671"/>
      <c r="I735" s="671"/>
      <c r="J735" s="671"/>
      <c r="K735" s="671"/>
      <c r="L735" s="671"/>
      <c r="M735" s="671"/>
      <c r="N735" s="671"/>
      <c r="O735" s="671"/>
      <c r="P735" s="671"/>
      <c r="Q735" s="671"/>
      <c r="R735" s="671"/>
      <c r="S735" s="671"/>
      <c r="T735" s="671"/>
      <c r="U735" s="671"/>
      <c r="V735" s="671"/>
      <c r="W735" s="671"/>
      <c r="X735" s="671"/>
      <c r="Y735" s="671"/>
      <c r="Z735" s="671"/>
      <c r="AA735" s="671"/>
      <c r="AB735" s="671"/>
    </row>
    <row r="736">
      <c r="A736" s="671"/>
      <c r="B736" s="671"/>
      <c r="C736" s="671"/>
      <c r="D736" s="671"/>
      <c r="E736" s="671"/>
      <c r="F736" s="671"/>
      <c r="G736" s="671"/>
      <c r="H736" s="671"/>
      <c r="I736" s="671"/>
      <c r="J736" s="671"/>
      <c r="K736" s="671"/>
      <c r="L736" s="671"/>
      <c r="M736" s="671"/>
      <c r="N736" s="671"/>
      <c r="O736" s="671"/>
      <c r="P736" s="671"/>
      <c r="Q736" s="671"/>
      <c r="R736" s="671"/>
      <c r="S736" s="671"/>
      <c r="T736" s="671"/>
      <c r="U736" s="671"/>
      <c r="V736" s="671"/>
      <c r="W736" s="671"/>
      <c r="X736" s="671"/>
      <c r="Y736" s="671"/>
      <c r="Z736" s="671"/>
      <c r="AA736" s="671"/>
      <c r="AB736" s="671"/>
    </row>
    <row r="737">
      <c r="A737" s="671"/>
      <c r="B737" s="671"/>
      <c r="C737" s="671"/>
      <c r="D737" s="671"/>
      <c r="E737" s="671"/>
      <c r="F737" s="671"/>
      <c r="G737" s="671"/>
      <c r="H737" s="671"/>
      <c r="I737" s="671"/>
      <c r="J737" s="671"/>
      <c r="K737" s="671"/>
      <c r="L737" s="671"/>
      <c r="M737" s="671"/>
      <c r="N737" s="671"/>
      <c r="O737" s="671"/>
      <c r="P737" s="671"/>
      <c r="Q737" s="671"/>
      <c r="R737" s="671"/>
      <c r="S737" s="671"/>
      <c r="T737" s="671"/>
      <c r="U737" s="671"/>
      <c r="V737" s="671"/>
      <c r="W737" s="671"/>
      <c r="X737" s="671"/>
      <c r="Y737" s="671"/>
      <c r="Z737" s="671"/>
      <c r="AA737" s="671"/>
      <c r="AB737" s="671"/>
    </row>
    <row r="738">
      <c r="A738" s="671"/>
      <c r="B738" s="671"/>
      <c r="C738" s="671"/>
      <c r="D738" s="671"/>
      <c r="E738" s="671"/>
      <c r="F738" s="671"/>
      <c r="G738" s="671"/>
      <c r="H738" s="671"/>
      <c r="I738" s="671"/>
      <c r="J738" s="671"/>
      <c r="K738" s="671"/>
      <c r="L738" s="671"/>
      <c r="M738" s="671"/>
      <c r="N738" s="671"/>
      <c r="O738" s="671"/>
      <c r="P738" s="671"/>
      <c r="Q738" s="671"/>
      <c r="R738" s="671"/>
      <c r="S738" s="671"/>
      <c r="T738" s="671"/>
      <c r="U738" s="671"/>
      <c r="V738" s="671"/>
      <c r="W738" s="671"/>
      <c r="X738" s="671"/>
      <c r="Y738" s="671"/>
      <c r="Z738" s="671"/>
      <c r="AA738" s="671"/>
      <c r="AB738" s="671"/>
    </row>
    <row r="739">
      <c r="A739" s="671"/>
      <c r="B739" s="671"/>
      <c r="C739" s="671"/>
      <c r="D739" s="671"/>
      <c r="E739" s="671"/>
      <c r="F739" s="671"/>
      <c r="G739" s="671"/>
      <c r="H739" s="671"/>
      <c r="I739" s="671"/>
      <c r="J739" s="671"/>
      <c r="K739" s="671"/>
      <c r="L739" s="671"/>
      <c r="M739" s="671"/>
      <c r="N739" s="671"/>
      <c r="O739" s="671"/>
      <c r="P739" s="671"/>
      <c r="Q739" s="671"/>
      <c r="R739" s="671"/>
      <c r="S739" s="671"/>
      <c r="T739" s="671"/>
      <c r="U739" s="671"/>
      <c r="V739" s="671"/>
      <c r="W739" s="671"/>
      <c r="X739" s="671"/>
      <c r="Y739" s="671"/>
      <c r="Z739" s="671"/>
      <c r="AA739" s="671"/>
      <c r="AB739" s="671"/>
    </row>
    <row r="740">
      <c r="A740" s="671"/>
      <c r="B740" s="671"/>
      <c r="C740" s="671"/>
      <c r="D740" s="671"/>
      <c r="E740" s="671"/>
      <c r="F740" s="671"/>
      <c r="G740" s="671"/>
      <c r="H740" s="671"/>
      <c r="I740" s="671"/>
      <c r="J740" s="671"/>
      <c r="K740" s="671"/>
      <c r="L740" s="671"/>
      <c r="M740" s="671"/>
      <c r="N740" s="671"/>
      <c r="O740" s="671"/>
      <c r="P740" s="671"/>
      <c r="Q740" s="671"/>
      <c r="R740" s="671"/>
      <c r="S740" s="671"/>
      <c r="T740" s="671"/>
      <c r="U740" s="671"/>
      <c r="V740" s="671"/>
      <c r="W740" s="671"/>
      <c r="X740" s="671"/>
      <c r="Y740" s="671"/>
      <c r="Z740" s="671"/>
      <c r="AA740" s="671"/>
      <c r="AB740" s="671"/>
    </row>
    <row r="741">
      <c r="A741" s="671"/>
      <c r="B741" s="671"/>
      <c r="C741" s="671"/>
      <c r="D741" s="671"/>
      <c r="E741" s="671"/>
      <c r="F741" s="671"/>
      <c r="G741" s="671"/>
      <c r="H741" s="671"/>
      <c r="I741" s="671"/>
      <c r="J741" s="671"/>
      <c r="K741" s="671"/>
      <c r="L741" s="671"/>
      <c r="M741" s="671"/>
      <c r="N741" s="671"/>
      <c r="O741" s="671"/>
      <c r="P741" s="671"/>
      <c r="Q741" s="671"/>
      <c r="R741" s="671"/>
      <c r="S741" s="671"/>
      <c r="T741" s="671"/>
      <c r="U741" s="671"/>
      <c r="V741" s="671"/>
      <c r="W741" s="671"/>
      <c r="X741" s="671"/>
      <c r="Y741" s="671"/>
      <c r="Z741" s="671"/>
      <c r="AA741" s="671"/>
      <c r="AB741" s="671"/>
    </row>
    <row r="742">
      <c r="A742" s="671"/>
      <c r="B742" s="671"/>
      <c r="C742" s="671"/>
      <c r="D742" s="671"/>
      <c r="E742" s="671"/>
      <c r="F742" s="671"/>
      <c r="G742" s="671"/>
      <c r="H742" s="671"/>
      <c r="I742" s="671"/>
      <c r="J742" s="671"/>
      <c r="K742" s="671"/>
      <c r="L742" s="671"/>
      <c r="M742" s="671"/>
      <c r="N742" s="671"/>
      <c r="O742" s="671"/>
      <c r="P742" s="671"/>
      <c r="Q742" s="671"/>
      <c r="R742" s="671"/>
      <c r="S742" s="671"/>
      <c r="T742" s="671"/>
      <c r="U742" s="671"/>
      <c r="V742" s="671"/>
      <c r="W742" s="671"/>
      <c r="X742" s="671"/>
      <c r="Y742" s="671"/>
      <c r="Z742" s="671"/>
      <c r="AA742" s="671"/>
      <c r="AB742" s="671"/>
    </row>
    <row r="743">
      <c r="A743" s="671"/>
      <c r="B743" s="671"/>
      <c r="C743" s="671"/>
      <c r="D743" s="671"/>
      <c r="E743" s="671"/>
      <c r="F743" s="671"/>
      <c r="G743" s="671"/>
      <c r="H743" s="671"/>
      <c r="I743" s="671"/>
      <c r="J743" s="671"/>
      <c r="K743" s="671"/>
      <c r="L743" s="671"/>
      <c r="M743" s="671"/>
      <c r="N743" s="671"/>
      <c r="O743" s="671"/>
      <c r="P743" s="671"/>
      <c r="Q743" s="671"/>
      <c r="R743" s="671"/>
      <c r="S743" s="671"/>
      <c r="T743" s="671"/>
      <c r="U743" s="671"/>
      <c r="V743" s="671"/>
      <c r="W743" s="671"/>
      <c r="X743" s="671"/>
      <c r="Y743" s="671"/>
      <c r="Z743" s="671"/>
      <c r="AA743" s="671"/>
      <c r="AB743" s="671"/>
    </row>
    <row r="744">
      <c r="A744" s="671"/>
      <c r="B744" s="671"/>
      <c r="C744" s="671"/>
      <c r="D744" s="671"/>
      <c r="E744" s="671"/>
      <c r="F744" s="671"/>
      <c r="G744" s="671"/>
      <c r="H744" s="671"/>
      <c r="I744" s="671"/>
      <c r="J744" s="671"/>
      <c r="K744" s="671"/>
      <c r="L744" s="671"/>
      <c r="M744" s="671"/>
      <c r="N744" s="671"/>
      <c r="O744" s="671"/>
      <c r="P744" s="671"/>
      <c r="Q744" s="671"/>
      <c r="R744" s="671"/>
      <c r="S744" s="671"/>
      <c r="T744" s="671"/>
      <c r="U744" s="671"/>
      <c r="V744" s="671"/>
      <c r="W744" s="671"/>
      <c r="X744" s="671"/>
      <c r="Y744" s="671"/>
      <c r="Z744" s="671"/>
      <c r="AA744" s="671"/>
      <c r="AB744" s="671"/>
    </row>
    <row r="745">
      <c r="A745" s="671"/>
      <c r="B745" s="671"/>
      <c r="C745" s="671"/>
      <c r="D745" s="671"/>
      <c r="E745" s="671"/>
      <c r="F745" s="671"/>
      <c r="G745" s="671"/>
      <c r="H745" s="671"/>
      <c r="I745" s="671"/>
      <c r="J745" s="671"/>
      <c r="K745" s="671"/>
      <c r="L745" s="671"/>
      <c r="M745" s="671"/>
      <c r="N745" s="671"/>
      <c r="O745" s="671"/>
      <c r="P745" s="671"/>
      <c r="Q745" s="671"/>
      <c r="R745" s="671"/>
      <c r="S745" s="671"/>
      <c r="T745" s="671"/>
      <c r="U745" s="671"/>
      <c r="V745" s="671"/>
      <c r="W745" s="671"/>
      <c r="X745" s="671"/>
      <c r="Y745" s="671"/>
      <c r="Z745" s="671"/>
      <c r="AA745" s="671"/>
      <c r="AB745" s="671"/>
    </row>
    <row r="746">
      <c r="A746" s="671"/>
      <c r="B746" s="671"/>
      <c r="C746" s="671"/>
      <c r="D746" s="671"/>
      <c r="E746" s="671"/>
      <c r="F746" s="671"/>
      <c r="G746" s="671"/>
      <c r="H746" s="671"/>
      <c r="I746" s="671"/>
      <c r="J746" s="671"/>
      <c r="K746" s="671"/>
      <c r="L746" s="671"/>
      <c r="M746" s="671"/>
      <c r="N746" s="671"/>
      <c r="O746" s="671"/>
      <c r="P746" s="671"/>
      <c r="Q746" s="671"/>
      <c r="R746" s="671"/>
      <c r="S746" s="671"/>
      <c r="T746" s="671"/>
      <c r="U746" s="671"/>
      <c r="V746" s="671"/>
      <c r="W746" s="671"/>
      <c r="X746" s="671"/>
      <c r="Y746" s="671"/>
      <c r="Z746" s="671"/>
      <c r="AA746" s="671"/>
      <c r="AB746" s="671"/>
    </row>
    <row r="747">
      <c r="A747" s="671"/>
      <c r="B747" s="671"/>
      <c r="C747" s="671"/>
      <c r="D747" s="671"/>
      <c r="E747" s="671"/>
      <c r="F747" s="671"/>
      <c r="G747" s="671"/>
      <c r="H747" s="671"/>
      <c r="I747" s="671"/>
      <c r="J747" s="671"/>
      <c r="K747" s="671"/>
      <c r="L747" s="671"/>
      <c r="M747" s="671"/>
      <c r="N747" s="671"/>
      <c r="O747" s="671"/>
      <c r="P747" s="671"/>
      <c r="Q747" s="671"/>
      <c r="R747" s="671"/>
      <c r="S747" s="671"/>
      <c r="T747" s="671"/>
      <c r="U747" s="671"/>
      <c r="V747" s="671"/>
      <c r="W747" s="671"/>
      <c r="X747" s="671"/>
      <c r="Y747" s="671"/>
      <c r="Z747" s="671"/>
      <c r="AA747" s="671"/>
      <c r="AB747" s="671"/>
    </row>
    <row r="748">
      <c r="A748" s="671"/>
      <c r="B748" s="671"/>
      <c r="C748" s="671"/>
      <c r="D748" s="671"/>
      <c r="E748" s="671"/>
      <c r="F748" s="671"/>
      <c r="G748" s="671"/>
      <c r="H748" s="671"/>
      <c r="I748" s="671"/>
      <c r="J748" s="671"/>
      <c r="K748" s="671"/>
      <c r="L748" s="671"/>
      <c r="M748" s="671"/>
      <c r="N748" s="671"/>
      <c r="O748" s="671"/>
      <c r="P748" s="671"/>
      <c r="Q748" s="671"/>
      <c r="R748" s="671"/>
      <c r="S748" s="671"/>
      <c r="T748" s="671"/>
      <c r="U748" s="671"/>
      <c r="V748" s="671"/>
      <c r="W748" s="671"/>
      <c r="X748" s="671"/>
      <c r="Y748" s="671"/>
      <c r="Z748" s="671"/>
      <c r="AA748" s="671"/>
      <c r="AB748" s="671"/>
    </row>
    <row r="749">
      <c r="A749" s="671"/>
      <c r="B749" s="671"/>
      <c r="C749" s="671"/>
      <c r="D749" s="671"/>
      <c r="E749" s="671"/>
      <c r="F749" s="671"/>
      <c r="G749" s="671"/>
      <c r="H749" s="671"/>
      <c r="I749" s="671"/>
      <c r="J749" s="671"/>
      <c r="K749" s="671"/>
      <c r="L749" s="671"/>
      <c r="M749" s="671"/>
      <c r="N749" s="671"/>
      <c r="O749" s="671"/>
      <c r="P749" s="671"/>
      <c r="Q749" s="671"/>
      <c r="R749" s="671"/>
      <c r="S749" s="671"/>
      <c r="T749" s="671"/>
      <c r="U749" s="671"/>
      <c r="V749" s="671"/>
      <c r="W749" s="671"/>
      <c r="X749" s="671"/>
      <c r="Y749" s="671"/>
      <c r="Z749" s="671"/>
      <c r="AA749" s="671"/>
      <c r="AB749" s="671"/>
    </row>
    <row r="750">
      <c r="A750" s="671"/>
      <c r="B750" s="671"/>
      <c r="C750" s="671"/>
      <c r="D750" s="671"/>
      <c r="E750" s="671"/>
      <c r="F750" s="671"/>
      <c r="G750" s="671"/>
      <c r="H750" s="671"/>
      <c r="I750" s="671"/>
      <c r="J750" s="671"/>
      <c r="K750" s="671"/>
      <c r="L750" s="671"/>
      <c r="M750" s="671"/>
      <c r="N750" s="671"/>
      <c r="O750" s="671"/>
      <c r="P750" s="671"/>
      <c r="Q750" s="671"/>
      <c r="R750" s="671"/>
      <c r="S750" s="671"/>
      <c r="T750" s="671"/>
      <c r="U750" s="671"/>
      <c r="V750" s="671"/>
      <c r="W750" s="671"/>
      <c r="X750" s="671"/>
      <c r="Y750" s="671"/>
      <c r="Z750" s="671"/>
      <c r="AA750" s="671"/>
      <c r="AB750" s="671"/>
    </row>
    <row r="751">
      <c r="A751" s="671"/>
      <c r="B751" s="671"/>
      <c r="C751" s="671"/>
      <c r="D751" s="671"/>
      <c r="E751" s="671"/>
      <c r="F751" s="671"/>
      <c r="G751" s="671"/>
      <c r="H751" s="671"/>
      <c r="I751" s="671"/>
      <c r="J751" s="671"/>
      <c r="K751" s="671"/>
      <c r="L751" s="671"/>
      <c r="M751" s="671"/>
      <c r="N751" s="671"/>
      <c r="O751" s="671"/>
      <c r="P751" s="671"/>
      <c r="Q751" s="671"/>
      <c r="R751" s="671"/>
      <c r="S751" s="671"/>
      <c r="T751" s="671"/>
      <c r="U751" s="671"/>
      <c r="V751" s="671"/>
      <c r="W751" s="671"/>
      <c r="X751" s="671"/>
      <c r="Y751" s="671"/>
      <c r="Z751" s="671"/>
      <c r="AA751" s="671"/>
      <c r="AB751" s="671"/>
    </row>
    <row r="752">
      <c r="A752" s="671"/>
      <c r="B752" s="671"/>
      <c r="C752" s="671"/>
      <c r="D752" s="671"/>
      <c r="E752" s="671"/>
      <c r="F752" s="671"/>
      <c r="G752" s="671"/>
      <c r="H752" s="671"/>
      <c r="I752" s="671"/>
      <c r="J752" s="671"/>
      <c r="K752" s="671"/>
      <c r="L752" s="671"/>
      <c r="M752" s="671"/>
      <c r="N752" s="671"/>
      <c r="O752" s="671"/>
      <c r="P752" s="671"/>
      <c r="Q752" s="671"/>
      <c r="R752" s="671"/>
      <c r="S752" s="671"/>
      <c r="T752" s="671"/>
      <c r="U752" s="671"/>
      <c r="V752" s="671"/>
      <c r="W752" s="671"/>
      <c r="X752" s="671"/>
      <c r="Y752" s="671"/>
      <c r="Z752" s="671"/>
      <c r="AA752" s="671"/>
      <c r="AB752" s="671"/>
    </row>
    <row r="753">
      <c r="A753" s="671"/>
      <c r="B753" s="671"/>
      <c r="C753" s="671"/>
      <c r="D753" s="671"/>
      <c r="E753" s="671"/>
      <c r="F753" s="671"/>
      <c r="G753" s="671"/>
      <c r="H753" s="671"/>
      <c r="I753" s="671"/>
      <c r="J753" s="671"/>
      <c r="K753" s="671"/>
      <c r="L753" s="671"/>
      <c r="M753" s="671"/>
      <c r="N753" s="671"/>
      <c r="O753" s="671"/>
      <c r="P753" s="671"/>
      <c r="Q753" s="671"/>
      <c r="R753" s="671"/>
      <c r="S753" s="671"/>
      <c r="T753" s="671"/>
      <c r="U753" s="671"/>
      <c r="V753" s="671"/>
      <c r="W753" s="671"/>
      <c r="X753" s="671"/>
      <c r="Y753" s="671"/>
      <c r="Z753" s="671"/>
      <c r="AA753" s="671"/>
      <c r="AB753" s="671"/>
    </row>
    <row r="754">
      <c r="A754" s="671"/>
      <c r="B754" s="671"/>
      <c r="C754" s="671"/>
      <c r="D754" s="671"/>
      <c r="E754" s="671"/>
      <c r="F754" s="671"/>
      <c r="G754" s="671"/>
      <c r="H754" s="671"/>
      <c r="I754" s="671"/>
      <c r="J754" s="671"/>
      <c r="K754" s="671"/>
      <c r="L754" s="671"/>
      <c r="M754" s="671"/>
      <c r="N754" s="671"/>
      <c r="O754" s="671"/>
      <c r="P754" s="671"/>
      <c r="Q754" s="671"/>
      <c r="R754" s="671"/>
      <c r="S754" s="671"/>
      <c r="T754" s="671"/>
      <c r="U754" s="671"/>
      <c r="V754" s="671"/>
      <c r="W754" s="671"/>
      <c r="X754" s="671"/>
      <c r="Y754" s="671"/>
      <c r="Z754" s="671"/>
      <c r="AA754" s="671"/>
      <c r="AB754" s="671"/>
    </row>
    <row r="755">
      <c r="A755" s="671"/>
      <c r="B755" s="671"/>
      <c r="C755" s="671"/>
      <c r="D755" s="671"/>
      <c r="E755" s="671"/>
      <c r="F755" s="671"/>
      <c r="G755" s="671"/>
      <c r="H755" s="671"/>
      <c r="I755" s="671"/>
      <c r="J755" s="671"/>
      <c r="K755" s="671"/>
      <c r="L755" s="671"/>
      <c r="M755" s="671"/>
      <c r="N755" s="671"/>
      <c r="O755" s="671"/>
      <c r="P755" s="671"/>
      <c r="Q755" s="671"/>
      <c r="R755" s="671"/>
      <c r="S755" s="671"/>
      <c r="T755" s="671"/>
      <c r="U755" s="671"/>
      <c r="V755" s="671"/>
      <c r="W755" s="671"/>
      <c r="X755" s="671"/>
      <c r="Y755" s="671"/>
      <c r="Z755" s="671"/>
      <c r="AA755" s="671"/>
      <c r="AB755" s="671"/>
    </row>
    <row r="756">
      <c r="A756" s="671"/>
      <c r="B756" s="671"/>
      <c r="C756" s="671"/>
      <c r="D756" s="671"/>
      <c r="E756" s="671"/>
      <c r="F756" s="671"/>
      <c r="G756" s="671"/>
      <c r="H756" s="671"/>
      <c r="I756" s="671"/>
      <c r="J756" s="671"/>
      <c r="K756" s="671"/>
      <c r="L756" s="671"/>
      <c r="M756" s="671"/>
      <c r="N756" s="671"/>
      <c r="O756" s="671"/>
      <c r="P756" s="671"/>
      <c r="Q756" s="671"/>
      <c r="R756" s="671"/>
      <c r="S756" s="671"/>
      <c r="T756" s="671"/>
      <c r="U756" s="671"/>
      <c r="V756" s="671"/>
      <c r="W756" s="671"/>
      <c r="X756" s="671"/>
      <c r="Y756" s="671"/>
      <c r="Z756" s="671"/>
      <c r="AA756" s="671"/>
      <c r="AB756" s="671"/>
    </row>
    <row r="757">
      <c r="A757" s="671"/>
      <c r="B757" s="671"/>
      <c r="C757" s="671"/>
      <c r="D757" s="671"/>
      <c r="E757" s="671"/>
      <c r="F757" s="671"/>
      <c r="G757" s="671"/>
      <c r="H757" s="671"/>
      <c r="I757" s="671"/>
      <c r="J757" s="671"/>
      <c r="K757" s="671"/>
      <c r="L757" s="671"/>
      <c r="M757" s="671"/>
      <c r="N757" s="671"/>
      <c r="O757" s="671"/>
      <c r="P757" s="671"/>
      <c r="Q757" s="671"/>
      <c r="R757" s="671"/>
      <c r="S757" s="671"/>
      <c r="T757" s="671"/>
      <c r="U757" s="671"/>
      <c r="V757" s="671"/>
      <c r="W757" s="671"/>
      <c r="X757" s="671"/>
      <c r="Y757" s="671"/>
      <c r="Z757" s="671"/>
      <c r="AA757" s="671"/>
      <c r="AB757" s="671"/>
    </row>
    <row r="758">
      <c r="A758" s="671"/>
      <c r="B758" s="671"/>
      <c r="C758" s="671"/>
      <c r="D758" s="671"/>
      <c r="E758" s="671"/>
      <c r="F758" s="671"/>
      <c r="G758" s="671"/>
      <c r="H758" s="671"/>
      <c r="I758" s="671"/>
      <c r="J758" s="671"/>
      <c r="K758" s="671"/>
      <c r="L758" s="671"/>
      <c r="M758" s="671"/>
      <c r="N758" s="671"/>
      <c r="O758" s="671"/>
      <c r="P758" s="671"/>
      <c r="Q758" s="671"/>
      <c r="R758" s="671"/>
      <c r="S758" s="671"/>
      <c r="T758" s="671"/>
      <c r="U758" s="671"/>
      <c r="V758" s="671"/>
      <c r="W758" s="671"/>
      <c r="X758" s="671"/>
      <c r="Y758" s="671"/>
      <c r="Z758" s="671"/>
      <c r="AA758" s="671"/>
      <c r="AB758" s="671"/>
    </row>
    <row r="759">
      <c r="A759" s="671"/>
      <c r="B759" s="671"/>
      <c r="C759" s="671"/>
      <c r="D759" s="671"/>
      <c r="E759" s="671"/>
      <c r="F759" s="671"/>
      <c r="G759" s="671"/>
      <c r="H759" s="671"/>
      <c r="I759" s="671"/>
      <c r="J759" s="671"/>
      <c r="K759" s="671"/>
      <c r="L759" s="671"/>
      <c r="M759" s="671"/>
      <c r="N759" s="671"/>
      <c r="O759" s="671"/>
      <c r="P759" s="671"/>
      <c r="Q759" s="671"/>
      <c r="R759" s="671"/>
      <c r="S759" s="671"/>
      <c r="T759" s="671"/>
      <c r="U759" s="671"/>
      <c r="V759" s="671"/>
      <c r="W759" s="671"/>
      <c r="X759" s="671"/>
      <c r="Y759" s="671"/>
      <c r="Z759" s="671"/>
      <c r="AA759" s="671"/>
      <c r="AB759" s="671"/>
    </row>
    <row r="760">
      <c r="A760" s="671"/>
      <c r="B760" s="671"/>
      <c r="C760" s="671"/>
      <c r="D760" s="671"/>
      <c r="E760" s="671"/>
      <c r="F760" s="671"/>
      <c r="G760" s="671"/>
      <c r="H760" s="671"/>
      <c r="I760" s="671"/>
      <c r="J760" s="671"/>
      <c r="K760" s="671"/>
      <c r="L760" s="671"/>
      <c r="M760" s="671"/>
      <c r="N760" s="671"/>
      <c r="O760" s="671"/>
      <c r="P760" s="671"/>
      <c r="Q760" s="671"/>
      <c r="R760" s="671"/>
      <c r="S760" s="671"/>
      <c r="T760" s="671"/>
      <c r="U760" s="671"/>
      <c r="V760" s="671"/>
      <c r="W760" s="671"/>
      <c r="X760" s="671"/>
      <c r="Y760" s="671"/>
      <c r="Z760" s="671"/>
      <c r="AA760" s="671"/>
      <c r="AB760" s="671"/>
    </row>
    <row r="761">
      <c r="A761" s="671"/>
      <c r="B761" s="671"/>
      <c r="C761" s="671"/>
      <c r="D761" s="671"/>
      <c r="E761" s="671"/>
      <c r="F761" s="671"/>
      <c r="G761" s="671"/>
      <c r="H761" s="671"/>
      <c r="I761" s="671"/>
      <c r="J761" s="671"/>
      <c r="K761" s="671"/>
      <c r="L761" s="671"/>
      <c r="M761" s="671"/>
      <c r="N761" s="671"/>
      <c r="O761" s="671"/>
      <c r="P761" s="671"/>
      <c r="Q761" s="671"/>
      <c r="R761" s="671"/>
      <c r="S761" s="671"/>
      <c r="T761" s="671"/>
      <c r="U761" s="671"/>
      <c r="V761" s="671"/>
      <c r="W761" s="671"/>
      <c r="X761" s="671"/>
      <c r="Y761" s="671"/>
      <c r="Z761" s="671"/>
      <c r="AA761" s="671"/>
      <c r="AB761" s="671"/>
    </row>
    <row r="762">
      <c r="A762" s="671"/>
      <c r="B762" s="671"/>
      <c r="C762" s="671"/>
      <c r="D762" s="671"/>
      <c r="E762" s="671"/>
      <c r="F762" s="671"/>
      <c r="G762" s="671"/>
      <c r="H762" s="671"/>
      <c r="I762" s="671"/>
      <c r="J762" s="671"/>
      <c r="K762" s="671"/>
      <c r="L762" s="671"/>
      <c r="M762" s="671"/>
      <c r="N762" s="671"/>
      <c r="O762" s="671"/>
      <c r="P762" s="671"/>
      <c r="Q762" s="671"/>
      <c r="R762" s="671"/>
      <c r="S762" s="671"/>
      <c r="T762" s="671"/>
      <c r="U762" s="671"/>
      <c r="V762" s="671"/>
      <c r="W762" s="671"/>
      <c r="X762" s="671"/>
      <c r="Y762" s="671"/>
      <c r="Z762" s="671"/>
      <c r="AA762" s="671"/>
      <c r="AB762" s="671"/>
    </row>
    <row r="763">
      <c r="A763" s="671"/>
      <c r="B763" s="671"/>
      <c r="C763" s="671"/>
      <c r="D763" s="671"/>
      <c r="E763" s="671"/>
      <c r="F763" s="671"/>
      <c r="G763" s="671"/>
      <c r="H763" s="671"/>
      <c r="I763" s="671"/>
      <c r="J763" s="671"/>
      <c r="K763" s="671"/>
      <c r="L763" s="671"/>
      <c r="M763" s="671"/>
      <c r="N763" s="671"/>
      <c r="O763" s="671"/>
      <c r="P763" s="671"/>
      <c r="Q763" s="671"/>
      <c r="R763" s="671"/>
      <c r="S763" s="671"/>
      <c r="T763" s="671"/>
      <c r="U763" s="671"/>
      <c r="V763" s="671"/>
      <c r="W763" s="671"/>
      <c r="X763" s="671"/>
      <c r="Y763" s="671"/>
      <c r="Z763" s="671"/>
      <c r="AA763" s="671"/>
      <c r="AB763" s="671"/>
    </row>
    <row r="764">
      <c r="A764" s="671"/>
      <c r="B764" s="671"/>
      <c r="C764" s="671"/>
      <c r="D764" s="671"/>
      <c r="E764" s="671"/>
      <c r="F764" s="671"/>
      <c r="G764" s="671"/>
      <c r="H764" s="671"/>
      <c r="I764" s="671"/>
      <c r="J764" s="671"/>
      <c r="K764" s="671"/>
      <c r="L764" s="671"/>
      <c r="M764" s="671"/>
      <c r="N764" s="671"/>
      <c r="O764" s="671"/>
      <c r="P764" s="671"/>
      <c r="Q764" s="671"/>
      <c r="R764" s="671"/>
      <c r="S764" s="671"/>
      <c r="T764" s="671"/>
      <c r="U764" s="671"/>
      <c r="V764" s="671"/>
      <c r="W764" s="671"/>
      <c r="X764" s="671"/>
      <c r="Y764" s="671"/>
      <c r="Z764" s="671"/>
      <c r="AA764" s="671"/>
      <c r="AB764" s="671"/>
    </row>
    <row r="765">
      <c r="A765" s="671"/>
      <c r="B765" s="671"/>
      <c r="C765" s="671"/>
      <c r="D765" s="671"/>
      <c r="E765" s="671"/>
      <c r="F765" s="671"/>
      <c r="G765" s="671"/>
      <c r="H765" s="671"/>
      <c r="I765" s="671"/>
      <c r="J765" s="671"/>
      <c r="K765" s="671"/>
      <c r="L765" s="671"/>
      <c r="M765" s="671"/>
      <c r="N765" s="671"/>
      <c r="O765" s="671"/>
      <c r="P765" s="671"/>
      <c r="Q765" s="671"/>
      <c r="R765" s="671"/>
      <c r="S765" s="671"/>
      <c r="T765" s="671"/>
      <c r="U765" s="671"/>
      <c r="V765" s="671"/>
      <c r="W765" s="671"/>
      <c r="X765" s="671"/>
      <c r="Y765" s="671"/>
      <c r="Z765" s="671"/>
      <c r="AA765" s="671"/>
      <c r="AB765" s="671"/>
    </row>
    <row r="766">
      <c r="A766" s="671"/>
      <c r="B766" s="671"/>
      <c r="C766" s="671"/>
      <c r="D766" s="671"/>
      <c r="E766" s="671"/>
      <c r="F766" s="671"/>
      <c r="G766" s="671"/>
      <c r="H766" s="671"/>
      <c r="I766" s="671"/>
      <c r="J766" s="671"/>
      <c r="K766" s="671"/>
      <c r="L766" s="671"/>
      <c r="M766" s="671"/>
      <c r="N766" s="671"/>
      <c r="O766" s="671"/>
      <c r="P766" s="671"/>
      <c r="Q766" s="671"/>
      <c r="R766" s="671"/>
      <c r="S766" s="671"/>
      <c r="T766" s="671"/>
      <c r="U766" s="671"/>
      <c r="V766" s="671"/>
      <c r="W766" s="671"/>
      <c r="X766" s="671"/>
      <c r="Y766" s="671"/>
      <c r="Z766" s="671"/>
      <c r="AA766" s="671"/>
      <c r="AB766" s="671"/>
    </row>
    <row r="767">
      <c r="A767" s="671"/>
      <c r="B767" s="671"/>
      <c r="C767" s="671"/>
      <c r="D767" s="671"/>
      <c r="E767" s="671"/>
      <c r="F767" s="671"/>
      <c r="G767" s="671"/>
      <c r="H767" s="671"/>
      <c r="I767" s="671"/>
      <c r="J767" s="671"/>
      <c r="K767" s="671"/>
      <c r="L767" s="671"/>
      <c r="M767" s="671"/>
      <c r="N767" s="671"/>
      <c r="O767" s="671"/>
      <c r="P767" s="671"/>
      <c r="Q767" s="671"/>
      <c r="R767" s="671"/>
      <c r="S767" s="671"/>
      <c r="T767" s="671"/>
      <c r="U767" s="671"/>
      <c r="V767" s="671"/>
      <c r="W767" s="671"/>
      <c r="X767" s="671"/>
      <c r="Y767" s="671"/>
      <c r="Z767" s="671"/>
      <c r="AA767" s="671"/>
      <c r="AB767" s="671"/>
    </row>
    <row r="768">
      <c r="A768" s="671"/>
      <c r="B768" s="671"/>
      <c r="C768" s="671"/>
      <c r="D768" s="671"/>
      <c r="E768" s="671"/>
      <c r="F768" s="671"/>
      <c r="G768" s="671"/>
      <c r="H768" s="671"/>
      <c r="I768" s="671"/>
      <c r="J768" s="671"/>
      <c r="K768" s="671"/>
      <c r="L768" s="671"/>
      <c r="M768" s="671"/>
      <c r="N768" s="671"/>
      <c r="O768" s="671"/>
      <c r="P768" s="671"/>
      <c r="Q768" s="671"/>
      <c r="R768" s="671"/>
      <c r="S768" s="671"/>
      <c r="T768" s="671"/>
      <c r="U768" s="671"/>
      <c r="V768" s="671"/>
      <c r="W768" s="671"/>
      <c r="X768" s="671"/>
      <c r="Y768" s="671"/>
      <c r="Z768" s="671"/>
      <c r="AA768" s="671"/>
      <c r="AB768" s="671"/>
    </row>
    <row r="769">
      <c r="A769" s="671"/>
      <c r="B769" s="671"/>
      <c r="C769" s="671"/>
      <c r="D769" s="671"/>
      <c r="E769" s="671"/>
      <c r="F769" s="671"/>
      <c r="G769" s="671"/>
      <c r="H769" s="671"/>
      <c r="I769" s="671"/>
      <c r="J769" s="671"/>
      <c r="K769" s="671"/>
      <c r="L769" s="671"/>
      <c r="M769" s="671"/>
      <c r="N769" s="671"/>
      <c r="O769" s="671"/>
      <c r="P769" s="671"/>
      <c r="Q769" s="671"/>
      <c r="R769" s="671"/>
      <c r="S769" s="671"/>
      <c r="T769" s="671"/>
      <c r="U769" s="671"/>
      <c r="V769" s="671"/>
      <c r="W769" s="671"/>
      <c r="X769" s="671"/>
      <c r="Y769" s="671"/>
      <c r="Z769" s="671"/>
      <c r="AA769" s="671"/>
      <c r="AB769" s="671"/>
    </row>
    <row r="770">
      <c r="A770" s="671"/>
      <c r="B770" s="671"/>
      <c r="C770" s="671"/>
      <c r="D770" s="671"/>
      <c r="E770" s="671"/>
      <c r="F770" s="671"/>
      <c r="G770" s="671"/>
      <c r="H770" s="671"/>
      <c r="I770" s="671"/>
      <c r="J770" s="671"/>
      <c r="K770" s="671"/>
      <c r="L770" s="671"/>
      <c r="M770" s="671"/>
      <c r="N770" s="671"/>
      <c r="O770" s="671"/>
      <c r="P770" s="671"/>
      <c r="Q770" s="671"/>
      <c r="R770" s="671"/>
      <c r="S770" s="671"/>
      <c r="T770" s="671"/>
      <c r="U770" s="671"/>
      <c r="V770" s="671"/>
      <c r="W770" s="671"/>
      <c r="X770" s="671"/>
      <c r="Y770" s="671"/>
      <c r="Z770" s="671"/>
      <c r="AA770" s="671"/>
      <c r="AB770" s="671"/>
    </row>
    <row r="771">
      <c r="A771" s="671"/>
      <c r="B771" s="671"/>
      <c r="C771" s="671"/>
      <c r="D771" s="671"/>
      <c r="E771" s="671"/>
      <c r="F771" s="671"/>
      <c r="G771" s="671"/>
      <c r="H771" s="671"/>
      <c r="I771" s="671"/>
      <c r="J771" s="671"/>
      <c r="K771" s="671"/>
      <c r="L771" s="671"/>
      <c r="M771" s="671"/>
      <c r="N771" s="671"/>
      <c r="O771" s="671"/>
      <c r="P771" s="671"/>
      <c r="Q771" s="671"/>
      <c r="R771" s="671"/>
      <c r="S771" s="671"/>
      <c r="T771" s="671"/>
      <c r="U771" s="671"/>
      <c r="V771" s="671"/>
      <c r="W771" s="671"/>
      <c r="X771" s="671"/>
      <c r="Y771" s="671"/>
      <c r="Z771" s="671"/>
      <c r="AA771" s="671"/>
      <c r="AB771" s="671"/>
    </row>
    <row r="772">
      <c r="A772" s="671"/>
      <c r="B772" s="671"/>
      <c r="C772" s="671"/>
      <c r="D772" s="671"/>
      <c r="E772" s="671"/>
      <c r="F772" s="671"/>
      <c r="G772" s="671"/>
      <c r="H772" s="671"/>
      <c r="I772" s="671"/>
      <c r="J772" s="671"/>
      <c r="K772" s="671"/>
      <c r="L772" s="671"/>
      <c r="M772" s="671"/>
      <c r="N772" s="671"/>
      <c r="O772" s="671"/>
      <c r="P772" s="671"/>
      <c r="Q772" s="671"/>
      <c r="R772" s="671"/>
      <c r="S772" s="671"/>
      <c r="T772" s="671"/>
      <c r="U772" s="671"/>
      <c r="V772" s="671"/>
      <c r="W772" s="671"/>
      <c r="X772" s="671"/>
      <c r="Y772" s="671"/>
      <c r="Z772" s="671"/>
      <c r="AA772" s="671"/>
      <c r="AB772" s="671"/>
    </row>
    <row r="773">
      <c r="A773" s="671"/>
      <c r="B773" s="671"/>
      <c r="C773" s="671"/>
      <c r="D773" s="671"/>
      <c r="E773" s="671"/>
      <c r="F773" s="671"/>
      <c r="G773" s="671"/>
      <c r="H773" s="671"/>
      <c r="I773" s="671"/>
      <c r="J773" s="671"/>
      <c r="K773" s="671"/>
      <c r="L773" s="671"/>
      <c r="M773" s="671"/>
      <c r="N773" s="671"/>
      <c r="O773" s="671"/>
      <c r="P773" s="671"/>
      <c r="Q773" s="671"/>
      <c r="R773" s="671"/>
      <c r="S773" s="671"/>
      <c r="T773" s="671"/>
      <c r="U773" s="671"/>
      <c r="V773" s="671"/>
      <c r="W773" s="671"/>
      <c r="X773" s="671"/>
      <c r="Y773" s="671"/>
      <c r="Z773" s="671"/>
      <c r="AA773" s="671"/>
      <c r="AB773" s="671"/>
    </row>
    <row r="774">
      <c r="A774" s="671"/>
      <c r="B774" s="671"/>
      <c r="C774" s="671"/>
      <c r="D774" s="671"/>
      <c r="E774" s="671"/>
      <c r="F774" s="671"/>
      <c r="G774" s="671"/>
      <c r="H774" s="671"/>
      <c r="I774" s="671"/>
      <c r="J774" s="671"/>
      <c r="K774" s="671"/>
      <c r="L774" s="671"/>
      <c r="M774" s="671"/>
      <c r="N774" s="671"/>
      <c r="O774" s="671"/>
      <c r="P774" s="671"/>
      <c r="Q774" s="671"/>
      <c r="R774" s="671"/>
      <c r="S774" s="671"/>
      <c r="T774" s="671"/>
      <c r="U774" s="671"/>
      <c r="V774" s="671"/>
      <c r="W774" s="671"/>
      <c r="X774" s="671"/>
      <c r="Y774" s="671"/>
      <c r="Z774" s="671"/>
      <c r="AA774" s="671"/>
      <c r="AB774" s="671"/>
    </row>
    <row r="775">
      <c r="A775" s="671"/>
      <c r="B775" s="671"/>
      <c r="C775" s="671"/>
      <c r="D775" s="671"/>
      <c r="E775" s="671"/>
      <c r="F775" s="671"/>
      <c r="G775" s="671"/>
      <c r="H775" s="671"/>
      <c r="I775" s="671"/>
      <c r="J775" s="671"/>
      <c r="K775" s="671"/>
      <c r="L775" s="671"/>
      <c r="M775" s="671"/>
      <c r="N775" s="671"/>
      <c r="O775" s="671"/>
      <c r="P775" s="671"/>
      <c r="Q775" s="671"/>
      <c r="R775" s="671"/>
      <c r="S775" s="671"/>
      <c r="T775" s="671"/>
      <c r="U775" s="671"/>
      <c r="V775" s="671"/>
      <c r="W775" s="671"/>
      <c r="X775" s="671"/>
      <c r="Y775" s="671"/>
      <c r="Z775" s="671"/>
      <c r="AA775" s="671"/>
      <c r="AB775" s="671"/>
    </row>
    <row r="776">
      <c r="A776" s="671"/>
      <c r="B776" s="671"/>
      <c r="C776" s="671"/>
      <c r="D776" s="671"/>
      <c r="E776" s="671"/>
      <c r="F776" s="671"/>
      <c r="G776" s="671"/>
      <c r="H776" s="671"/>
      <c r="I776" s="671"/>
      <c r="J776" s="671"/>
      <c r="K776" s="671"/>
      <c r="L776" s="671"/>
      <c r="M776" s="671"/>
      <c r="N776" s="671"/>
      <c r="O776" s="671"/>
      <c r="P776" s="671"/>
      <c r="Q776" s="671"/>
      <c r="R776" s="671"/>
      <c r="S776" s="671"/>
      <c r="T776" s="671"/>
      <c r="U776" s="671"/>
      <c r="V776" s="671"/>
      <c r="W776" s="671"/>
      <c r="X776" s="671"/>
      <c r="Y776" s="671"/>
      <c r="Z776" s="671"/>
      <c r="AA776" s="671"/>
      <c r="AB776" s="671"/>
    </row>
    <row r="777">
      <c r="A777" s="671"/>
      <c r="B777" s="671"/>
      <c r="C777" s="671"/>
      <c r="D777" s="671"/>
      <c r="E777" s="671"/>
      <c r="F777" s="671"/>
      <c r="G777" s="671"/>
      <c r="H777" s="671"/>
      <c r="I777" s="671"/>
      <c r="J777" s="671"/>
      <c r="K777" s="671"/>
      <c r="L777" s="671"/>
      <c r="M777" s="671"/>
      <c r="N777" s="671"/>
      <c r="O777" s="671"/>
      <c r="P777" s="671"/>
      <c r="Q777" s="671"/>
      <c r="R777" s="671"/>
      <c r="S777" s="671"/>
      <c r="T777" s="671"/>
      <c r="U777" s="671"/>
      <c r="V777" s="671"/>
      <c r="W777" s="671"/>
      <c r="X777" s="671"/>
      <c r="Y777" s="671"/>
      <c r="Z777" s="671"/>
      <c r="AA777" s="671"/>
      <c r="AB777" s="671"/>
    </row>
    <row r="778">
      <c r="A778" s="671"/>
      <c r="B778" s="671"/>
      <c r="C778" s="671"/>
      <c r="D778" s="671"/>
      <c r="E778" s="671"/>
      <c r="F778" s="671"/>
      <c r="G778" s="671"/>
      <c r="H778" s="671"/>
      <c r="I778" s="671"/>
      <c r="J778" s="671"/>
      <c r="K778" s="671"/>
      <c r="L778" s="671"/>
      <c r="M778" s="671"/>
      <c r="N778" s="671"/>
      <c r="O778" s="671"/>
      <c r="P778" s="671"/>
      <c r="Q778" s="671"/>
      <c r="R778" s="671"/>
      <c r="S778" s="671"/>
      <c r="T778" s="671"/>
      <c r="U778" s="671"/>
      <c r="V778" s="671"/>
      <c r="W778" s="671"/>
      <c r="X778" s="671"/>
      <c r="Y778" s="671"/>
      <c r="Z778" s="671"/>
      <c r="AA778" s="671"/>
      <c r="AB778" s="671"/>
    </row>
    <row r="779">
      <c r="A779" s="671"/>
      <c r="B779" s="671"/>
      <c r="C779" s="671"/>
      <c r="D779" s="671"/>
      <c r="E779" s="671"/>
      <c r="F779" s="671"/>
      <c r="G779" s="671"/>
      <c r="H779" s="671"/>
      <c r="I779" s="671"/>
      <c r="J779" s="671"/>
      <c r="K779" s="671"/>
      <c r="L779" s="671"/>
      <c r="M779" s="671"/>
      <c r="N779" s="671"/>
      <c r="O779" s="671"/>
      <c r="P779" s="671"/>
      <c r="Q779" s="671"/>
      <c r="R779" s="671"/>
      <c r="S779" s="671"/>
      <c r="T779" s="671"/>
      <c r="U779" s="671"/>
      <c r="V779" s="671"/>
      <c r="W779" s="671"/>
      <c r="X779" s="671"/>
      <c r="Y779" s="671"/>
      <c r="Z779" s="671"/>
      <c r="AA779" s="671"/>
      <c r="AB779" s="671"/>
    </row>
    <row r="780">
      <c r="A780" s="671"/>
      <c r="B780" s="671"/>
      <c r="C780" s="671"/>
      <c r="D780" s="671"/>
      <c r="E780" s="671"/>
      <c r="F780" s="671"/>
      <c r="G780" s="671"/>
      <c r="H780" s="671"/>
      <c r="I780" s="671"/>
      <c r="J780" s="671"/>
      <c r="K780" s="671"/>
      <c r="L780" s="671"/>
      <c r="M780" s="671"/>
      <c r="N780" s="671"/>
      <c r="O780" s="671"/>
      <c r="P780" s="671"/>
      <c r="Q780" s="671"/>
      <c r="R780" s="671"/>
      <c r="S780" s="671"/>
      <c r="T780" s="671"/>
      <c r="U780" s="671"/>
      <c r="V780" s="671"/>
      <c r="W780" s="671"/>
      <c r="X780" s="671"/>
      <c r="Y780" s="671"/>
      <c r="Z780" s="671"/>
      <c r="AA780" s="671"/>
      <c r="AB780" s="671"/>
    </row>
    <row r="781">
      <c r="A781" s="671"/>
      <c r="B781" s="671"/>
      <c r="C781" s="671"/>
      <c r="D781" s="671"/>
      <c r="E781" s="671"/>
      <c r="F781" s="671"/>
      <c r="G781" s="671"/>
      <c r="H781" s="671"/>
      <c r="I781" s="671"/>
      <c r="J781" s="671"/>
      <c r="K781" s="671"/>
      <c r="L781" s="671"/>
      <c r="M781" s="671"/>
      <c r="N781" s="671"/>
      <c r="O781" s="671"/>
      <c r="P781" s="671"/>
      <c r="Q781" s="671"/>
      <c r="R781" s="671"/>
      <c r="S781" s="671"/>
      <c r="T781" s="671"/>
      <c r="U781" s="671"/>
      <c r="V781" s="671"/>
      <c r="W781" s="671"/>
      <c r="X781" s="671"/>
      <c r="Y781" s="671"/>
      <c r="Z781" s="671"/>
      <c r="AA781" s="671"/>
      <c r="AB781" s="671"/>
    </row>
    <row r="782">
      <c r="A782" s="671"/>
      <c r="B782" s="671"/>
      <c r="C782" s="671"/>
      <c r="D782" s="671"/>
      <c r="E782" s="671"/>
      <c r="F782" s="671"/>
      <c r="G782" s="671"/>
      <c r="H782" s="671"/>
      <c r="I782" s="671"/>
      <c r="J782" s="671"/>
      <c r="K782" s="671"/>
      <c r="L782" s="671"/>
      <c r="M782" s="671"/>
      <c r="N782" s="671"/>
      <c r="O782" s="671"/>
      <c r="P782" s="671"/>
      <c r="Q782" s="671"/>
      <c r="R782" s="671"/>
      <c r="S782" s="671"/>
      <c r="T782" s="671"/>
      <c r="U782" s="671"/>
      <c r="V782" s="671"/>
      <c r="W782" s="671"/>
      <c r="X782" s="671"/>
      <c r="Y782" s="671"/>
      <c r="Z782" s="671"/>
      <c r="AA782" s="671"/>
      <c r="AB782" s="671"/>
    </row>
    <row r="783">
      <c r="A783" s="671"/>
      <c r="B783" s="671"/>
      <c r="C783" s="671"/>
      <c r="D783" s="671"/>
      <c r="E783" s="671"/>
      <c r="F783" s="671"/>
      <c r="G783" s="671"/>
      <c r="H783" s="671"/>
      <c r="I783" s="671"/>
      <c r="J783" s="671"/>
      <c r="K783" s="671"/>
      <c r="L783" s="671"/>
      <c r="M783" s="671"/>
      <c r="N783" s="671"/>
      <c r="O783" s="671"/>
      <c r="P783" s="671"/>
      <c r="Q783" s="671"/>
      <c r="R783" s="671"/>
      <c r="S783" s="671"/>
      <c r="T783" s="671"/>
      <c r="U783" s="671"/>
      <c r="V783" s="671"/>
      <c r="W783" s="671"/>
      <c r="X783" s="671"/>
      <c r="Y783" s="671"/>
      <c r="Z783" s="671"/>
      <c r="AA783" s="671"/>
      <c r="AB783" s="671"/>
    </row>
    <row r="784">
      <c r="A784" s="671"/>
      <c r="B784" s="671"/>
      <c r="C784" s="671"/>
      <c r="D784" s="671"/>
      <c r="E784" s="671"/>
      <c r="F784" s="671"/>
      <c r="G784" s="671"/>
      <c r="H784" s="671"/>
      <c r="I784" s="671"/>
      <c r="J784" s="671"/>
      <c r="K784" s="671"/>
      <c r="L784" s="671"/>
      <c r="M784" s="671"/>
      <c r="N784" s="671"/>
      <c r="O784" s="671"/>
      <c r="P784" s="671"/>
      <c r="Q784" s="671"/>
      <c r="R784" s="671"/>
      <c r="S784" s="671"/>
      <c r="T784" s="671"/>
      <c r="U784" s="671"/>
      <c r="V784" s="671"/>
      <c r="W784" s="671"/>
      <c r="X784" s="671"/>
      <c r="Y784" s="671"/>
      <c r="Z784" s="671"/>
      <c r="AA784" s="671"/>
      <c r="AB784" s="671"/>
    </row>
    <row r="785">
      <c r="A785" s="671"/>
      <c r="B785" s="671"/>
      <c r="C785" s="671"/>
      <c r="D785" s="671"/>
      <c r="E785" s="671"/>
      <c r="F785" s="671"/>
      <c r="G785" s="671"/>
      <c r="H785" s="671"/>
      <c r="I785" s="671"/>
      <c r="J785" s="671"/>
      <c r="K785" s="671"/>
      <c r="L785" s="671"/>
      <c r="M785" s="671"/>
      <c r="N785" s="671"/>
      <c r="O785" s="671"/>
      <c r="P785" s="671"/>
      <c r="Q785" s="671"/>
      <c r="R785" s="671"/>
      <c r="S785" s="671"/>
      <c r="T785" s="671"/>
      <c r="U785" s="671"/>
      <c r="V785" s="671"/>
      <c r="W785" s="671"/>
      <c r="X785" s="671"/>
      <c r="Y785" s="671"/>
      <c r="Z785" s="671"/>
      <c r="AA785" s="671"/>
      <c r="AB785" s="671"/>
    </row>
    <row r="786">
      <c r="A786" s="671"/>
      <c r="B786" s="671"/>
      <c r="C786" s="671"/>
      <c r="D786" s="671"/>
      <c r="E786" s="671"/>
      <c r="F786" s="671"/>
      <c r="G786" s="671"/>
      <c r="H786" s="671"/>
      <c r="I786" s="671"/>
      <c r="J786" s="671"/>
      <c r="K786" s="671"/>
      <c r="L786" s="671"/>
      <c r="M786" s="671"/>
      <c r="N786" s="671"/>
      <c r="O786" s="671"/>
      <c r="P786" s="671"/>
      <c r="Q786" s="671"/>
      <c r="R786" s="671"/>
      <c r="S786" s="671"/>
      <c r="T786" s="671"/>
      <c r="U786" s="671"/>
      <c r="V786" s="671"/>
      <c r="W786" s="671"/>
      <c r="X786" s="671"/>
      <c r="Y786" s="671"/>
      <c r="Z786" s="671"/>
      <c r="AA786" s="671"/>
      <c r="AB786" s="671"/>
    </row>
    <row r="787">
      <c r="A787" s="671"/>
      <c r="B787" s="671"/>
      <c r="C787" s="671"/>
      <c r="D787" s="671"/>
      <c r="E787" s="671"/>
      <c r="F787" s="671"/>
      <c r="G787" s="671"/>
      <c r="H787" s="671"/>
      <c r="I787" s="671"/>
      <c r="J787" s="671"/>
      <c r="K787" s="671"/>
      <c r="L787" s="671"/>
      <c r="M787" s="671"/>
      <c r="N787" s="671"/>
      <c r="O787" s="671"/>
      <c r="P787" s="671"/>
      <c r="Q787" s="671"/>
      <c r="R787" s="671"/>
      <c r="S787" s="671"/>
      <c r="T787" s="671"/>
      <c r="U787" s="671"/>
      <c r="V787" s="671"/>
      <c r="W787" s="671"/>
      <c r="X787" s="671"/>
      <c r="Y787" s="671"/>
      <c r="Z787" s="671"/>
      <c r="AA787" s="671"/>
      <c r="AB787" s="671"/>
    </row>
    <row r="788">
      <c r="A788" s="671"/>
      <c r="B788" s="671"/>
      <c r="C788" s="671"/>
      <c r="D788" s="671"/>
      <c r="E788" s="671"/>
      <c r="F788" s="671"/>
      <c r="G788" s="671"/>
      <c r="H788" s="671"/>
      <c r="I788" s="671"/>
      <c r="J788" s="671"/>
      <c r="K788" s="671"/>
      <c r="L788" s="671"/>
      <c r="M788" s="671"/>
      <c r="N788" s="671"/>
      <c r="O788" s="671"/>
      <c r="P788" s="671"/>
      <c r="Q788" s="671"/>
      <c r="R788" s="671"/>
      <c r="S788" s="671"/>
      <c r="T788" s="671"/>
      <c r="U788" s="671"/>
      <c r="V788" s="671"/>
      <c r="W788" s="671"/>
      <c r="X788" s="671"/>
      <c r="Y788" s="671"/>
      <c r="Z788" s="671"/>
      <c r="AA788" s="671"/>
      <c r="AB788" s="671"/>
    </row>
    <row r="789">
      <c r="A789" s="671"/>
      <c r="B789" s="671"/>
      <c r="C789" s="671"/>
      <c r="D789" s="671"/>
      <c r="E789" s="671"/>
      <c r="F789" s="671"/>
      <c r="G789" s="671"/>
      <c r="H789" s="671"/>
      <c r="I789" s="671"/>
      <c r="J789" s="671"/>
      <c r="K789" s="671"/>
      <c r="L789" s="671"/>
      <c r="M789" s="671"/>
      <c r="N789" s="671"/>
      <c r="O789" s="671"/>
      <c r="P789" s="671"/>
      <c r="Q789" s="671"/>
      <c r="R789" s="671"/>
      <c r="S789" s="671"/>
      <c r="T789" s="671"/>
      <c r="U789" s="671"/>
      <c r="V789" s="671"/>
      <c r="W789" s="671"/>
      <c r="X789" s="671"/>
      <c r="Y789" s="671"/>
      <c r="Z789" s="671"/>
      <c r="AA789" s="671"/>
      <c r="AB789" s="671"/>
    </row>
    <row r="790">
      <c r="A790" s="671"/>
      <c r="B790" s="671"/>
      <c r="C790" s="671"/>
      <c r="D790" s="671"/>
      <c r="E790" s="671"/>
      <c r="F790" s="671"/>
      <c r="G790" s="671"/>
      <c r="H790" s="671"/>
      <c r="I790" s="671"/>
      <c r="J790" s="671"/>
      <c r="K790" s="671"/>
      <c r="L790" s="671"/>
      <c r="M790" s="671"/>
      <c r="N790" s="671"/>
      <c r="O790" s="671"/>
      <c r="P790" s="671"/>
      <c r="Q790" s="671"/>
      <c r="R790" s="671"/>
      <c r="S790" s="671"/>
      <c r="T790" s="671"/>
      <c r="U790" s="671"/>
      <c r="V790" s="671"/>
      <c r="W790" s="671"/>
      <c r="X790" s="671"/>
      <c r="Y790" s="671"/>
      <c r="Z790" s="671"/>
      <c r="AA790" s="671"/>
      <c r="AB790" s="671"/>
    </row>
    <row r="791">
      <c r="A791" s="671"/>
      <c r="B791" s="671"/>
      <c r="C791" s="671"/>
      <c r="D791" s="671"/>
      <c r="E791" s="671"/>
      <c r="F791" s="671"/>
      <c r="G791" s="671"/>
      <c r="H791" s="671"/>
      <c r="I791" s="671"/>
      <c r="J791" s="671"/>
      <c r="K791" s="671"/>
      <c r="L791" s="671"/>
      <c r="M791" s="671"/>
      <c r="N791" s="671"/>
      <c r="O791" s="671"/>
      <c r="P791" s="671"/>
      <c r="Q791" s="671"/>
      <c r="R791" s="671"/>
      <c r="S791" s="671"/>
      <c r="T791" s="671"/>
      <c r="U791" s="671"/>
      <c r="V791" s="671"/>
      <c r="W791" s="671"/>
      <c r="X791" s="671"/>
      <c r="Y791" s="671"/>
      <c r="Z791" s="671"/>
      <c r="AA791" s="671"/>
      <c r="AB791" s="671"/>
    </row>
    <row r="792">
      <c r="A792" s="671"/>
      <c r="B792" s="671"/>
      <c r="C792" s="671"/>
      <c r="D792" s="671"/>
      <c r="E792" s="671"/>
      <c r="F792" s="671"/>
      <c r="G792" s="671"/>
      <c r="H792" s="671"/>
      <c r="I792" s="671"/>
      <c r="J792" s="671"/>
      <c r="K792" s="671"/>
      <c r="L792" s="671"/>
      <c r="M792" s="671"/>
      <c r="N792" s="671"/>
      <c r="O792" s="671"/>
      <c r="P792" s="671"/>
      <c r="Q792" s="671"/>
      <c r="R792" s="671"/>
      <c r="S792" s="671"/>
      <c r="T792" s="671"/>
      <c r="U792" s="671"/>
      <c r="V792" s="671"/>
      <c r="W792" s="671"/>
      <c r="X792" s="671"/>
      <c r="Y792" s="671"/>
      <c r="Z792" s="671"/>
      <c r="AA792" s="671"/>
      <c r="AB792" s="671"/>
    </row>
    <row r="793">
      <c r="A793" s="671"/>
      <c r="B793" s="671"/>
      <c r="C793" s="671"/>
      <c r="D793" s="671"/>
      <c r="E793" s="671"/>
      <c r="F793" s="671"/>
      <c r="G793" s="671"/>
      <c r="H793" s="671"/>
      <c r="I793" s="671"/>
      <c r="J793" s="671"/>
      <c r="K793" s="671"/>
      <c r="L793" s="671"/>
      <c r="M793" s="671"/>
      <c r="N793" s="671"/>
      <c r="O793" s="671"/>
      <c r="P793" s="671"/>
      <c r="Q793" s="671"/>
      <c r="R793" s="671"/>
      <c r="S793" s="671"/>
      <c r="T793" s="671"/>
      <c r="U793" s="671"/>
      <c r="V793" s="671"/>
      <c r="W793" s="671"/>
      <c r="X793" s="671"/>
      <c r="Y793" s="671"/>
      <c r="Z793" s="671"/>
      <c r="AA793" s="671"/>
      <c r="AB793" s="671"/>
    </row>
    <row r="794">
      <c r="A794" s="671"/>
      <c r="B794" s="671"/>
      <c r="C794" s="671"/>
      <c r="D794" s="671"/>
      <c r="E794" s="671"/>
      <c r="F794" s="671"/>
      <c r="G794" s="671"/>
      <c r="H794" s="671"/>
      <c r="I794" s="671"/>
      <c r="J794" s="671"/>
      <c r="K794" s="671"/>
      <c r="L794" s="671"/>
      <c r="M794" s="671"/>
      <c r="N794" s="671"/>
      <c r="O794" s="671"/>
      <c r="P794" s="671"/>
      <c r="Q794" s="671"/>
      <c r="R794" s="671"/>
      <c r="S794" s="671"/>
      <c r="T794" s="671"/>
      <c r="U794" s="671"/>
      <c r="V794" s="671"/>
      <c r="W794" s="671"/>
      <c r="X794" s="671"/>
      <c r="Y794" s="671"/>
      <c r="Z794" s="671"/>
      <c r="AA794" s="671"/>
      <c r="AB794" s="671"/>
    </row>
    <row r="795">
      <c r="A795" s="671"/>
      <c r="B795" s="671"/>
      <c r="C795" s="671"/>
      <c r="D795" s="671"/>
      <c r="E795" s="671"/>
      <c r="F795" s="671"/>
      <c r="G795" s="671"/>
      <c r="H795" s="671"/>
      <c r="I795" s="671"/>
      <c r="J795" s="671"/>
      <c r="K795" s="671"/>
      <c r="L795" s="671"/>
      <c r="M795" s="671"/>
      <c r="N795" s="671"/>
      <c r="O795" s="671"/>
      <c r="P795" s="671"/>
      <c r="Q795" s="671"/>
      <c r="R795" s="671"/>
      <c r="S795" s="671"/>
      <c r="T795" s="671"/>
      <c r="U795" s="671"/>
      <c r="V795" s="671"/>
      <c r="W795" s="671"/>
      <c r="X795" s="671"/>
      <c r="Y795" s="671"/>
      <c r="Z795" s="671"/>
      <c r="AA795" s="671"/>
      <c r="AB795" s="671"/>
    </row>
    <row r="796">
      <c r="A796" s="671"/>
      <c r="B796" s="671"/>
      <c r="C796" s="671"/>
      <c r="D796" s="671"/>
      <c r="E796" s="671"/>
      <c r="F796" s="671"/>
      <c r="G796" s="671"/>
      <c r="H796" s="671"/>
      <c r="I796" s="671"/>
      <c r="J796" s="671"/>
      <c r="K796" s="671"/>
      <c r="L796" s="671"/>
      <c r="M796" s="671"/>
      <c r="N796" s="671"/>
      <c r="O796" s="671"/>
      <c r="P796" s="671"/>
      <c r="Q796" s="671"/>
      <c r="R796" s="671"/>
      <c r="S796" s="671"/>
      <c r="T796" s="671"/>
      <c r="U796" s="671"/>
      <c r="V796" s="671"/>
      <c r="W796" s="671"/>
      <c r="X796" s="671"/>
      <c r="Y796" s="671"/>
      <c r="Z796" s="671"/>
      <c r="AA796" s="671"/>
      <c r="AB796" s="671"/>
    </row>
    <row r="797">
      <c r="A797" s="671"/>
      <c r="B797" s="671"/>
      <c r="C797" s="671"/>
      <c r="D797" s="671"/>
      <c r="E797" s="671"/>
      <c r="F797" s="671"/>
      <c r="G797" s="671"/>
      <c r="H797" s="671"/>
      <c r="I797" s="671"/>
      <c r="J797" s="671"/>
      <c r="K797" s="671"/>
      <c r="L797" s="671"/>
      <c r="M797" s="671"/>
      <c r="N797" s="671"/>
      <c r="O797" s="671"/>
      <c r="P797" s="671"/>
      <c r="Q797" s="671"/>
      <c r="R797" s="671"/>
      <c r="S797" s="671"/>
      <c r="T797" s="671"/>
      <c r="U797" s="671"/>
      <c r="V797" s="671"/>
      <c r="W797" s="671"/>
      <c r="X797" s="671"/>
      <c r="Y797" s="671"/>
      <c r="Z797" s="671"/>
      <c r="AA797" s="671"/>
      <c r="AB797" s="671"/>
    </row>
    <row r="798">
      <c r="A798" s="671"/>
      <c r="B798" s="671"/>
      <c r="C798" s="671"/>
      <c r="D798" s="671"/>
      <c r="E798" s="671"/>
      <c r="F798" s="671"/>
      <c r="G798" s="671"/>
      <c r="H798" s="671"/>
      <c r="I798" s="671"/>
      <c r="J798" s="671"/>
      <c r="K798" s="671"/>
      <c r="L798" s="671"/>
      <c r="M798" s="671"/>
      <c r="N798" s="671"/>
      <c r="O798" s="671"/>
      <c r="P798" s="671"/>
      <c r="Q798" s="671"/>
      <c r="R798" s="671"/>
      <c r="S798" s="671"/>
      <c r="T798" s="671"/>
      <c r="U798" s="671"/>
      <c r="V798" s="671"/>
      <c r="W798" s="671"/>
      <c r="X798" s="671"/>
      <c r="Y798" s="671"/>
      <c r="Z798" s="671"/>
      <c r="AA798" s="671"/>
      <c r="AB798" s="671"/>
    </row>
    <row r="799">
      <c r="A799" s="671"/>
      <c r="B799" s="671"/>
      <c r="C799" s="671"/>
      <c r="D799" s="671"/>
      <c r="E799" s="671"/>
      <c r="F799" s="671"/>
      <c r="G799" s="671"/>
      <c r="H799" s="671"/>
      <c r="I799" s="671"/>
      <c r="J799" s="671"/>
      <c r="K799" s="671"/>
      <c r="L799" s="671"/>
      <c r="M799" s="671"/>
      <c r="N799" s="671"/>
      <c r="O799" s="671"/>
      <c r="P799" s="671"/>
      <c r="Q799" s="671"/>
      <c r="R799" s="671"/>
      <c r="S799" s="671"/>
      <c r="T799" s="671"/>
      <c r="U799" s="671"/>
      <c r="V799" s="671"/>
      <c r="W799" s="671"/>
      <c r="X799" s="671"/>
      <c r="Y799" s="671"/>
      <c r="Z799" s="671"/>
      <c r="AA799" s="671"/>
      <c r="AB799" s="671"/>
    </row>
    <row r="800">
      <c r="A800" s="671"/>
      <c r="B800" s="671"/>
      <c r="C800" s="671"/>
      <c r="D800" s="671"/>
      <c r="E800" s="671"/>
      <c r="F800" s="671"/>
      <c r="G800" s="671"/>
      <c r="H800" s="671"/>
      <c r="I800" s="671"/>
      <c r="J800" s="671"/>
      <c r="K800" s="671"/>
      <c r="L800" s="671"/>
      <c r="M800" s="671"/>
      <c r="N800" s="671"/>
      <c r="O800" s="671"/>
      <c r="P800" s="671"/>
      <c r="Q800" s="671"/>
      <c r="R800" s="671"/>
      <c r="S800" s="671"/>
      <c r="T800" s="671"/>
      <c r="U800" s="671"/>
      <c r="V800" s="671"/>
      <c r="W800" s="671"/>
      <c r="X800" s="671"/>
      <c r="Y800" s="671"/>
      <c r="Z800" s="671"/>
      <c r="AA800" s="671"/>
      <c r="AB800" s="671"/>
    </row>
    <row r="801">
      <c r="A801" s="671"/>
      <c r="B801" s="671"/>
      <c r="C801" s="671"/>
      <c r="D801" s="671"/>
      <c r="E801" s="671"/>
      <c r="F801" s="671"/>
      <c r="G801" s="671"/>
      <c r="H801" s="671"/>
      <c r="I801" s="671"/>
      <c r="J801" s="671"/>
      <c r="K801" s="671"/>
      <c r="L801" s="671"/>
      <c r="M801" s="671"/>
      <c r="N801" s="671"/>
      <c r="O801" s="671"/>
      <c r="P801" s="671"/>
      <c r="Q801" s="671"/>
      <c r="R801" s="671"/>
      <c r="S801" s="671"/>
      <c r="T801" s="671"/>
      <c r="U801" s="671"/>
      <c r="V801" s="671"/>
      <c r="W801" s="671"/>
      <c r="X801" s="671"/>
      <c r="Y801" s="671"/>
      <c r="Z801" s="671"/>
      <c r="AA801" s="671"/>
      <c r="AB801" s="671"/>
    </row>
    <row r="802">
      <c r="A802" s="671"/>
      <c r="B802" s="671"/>
      <c r="C802" s="671"/>
      <c r="D802" s="671"/>
      <c r="E802" s="671"/>
      <c r="F802" s="671"/>
      <c r="G802" s="671"/>
      <c r="H802" s="671"/>
      <c r="I802" s="671"/>
      <c r="J802" s="671"/>
      <c r="K802" s="671"/>
      <c r="L802" s="671"/>
      <c r="M802" s="671"/>
      <c r="N802" s="671"/>
      <c r="O802" s="671"/>
      <c r="P802" s="671"/>
      <c r="Q802" s="671"/>
      <c r="R802" s="671"/>
      <c r="S802" s="671"/>
      <c r="T802" s="671"/>
      <c r="U802" s="671"/>
      <c r="V802" s="671"/>
      <c r="W802" s="671"/>
      <c r="X802" s="671"/>
      <c r="Y802" s="671"/>
      <c r="Z802" s="671"/>
      <c r="AA802" s="671"/>
      <c r="AB802" s="671"/>
    </row>
    <row r="803">
      <c r="A803" s="671"/>
      <c r="B803" s="671"/>
      <c r="C803" s="671"/>
      <c r="D803" s="671"/>
      <c r="E803" s="671"/>
      <c r="F803" s="671"/>
      <c r="G803" s="671"/>
      <c r="H803" s="671"/>
      <c r="I803" s="671"/>
      <c r="J803" s="671"/>
      <c r="K803" s="671"/>
      <c r="L803" s="671"/>
      <c r="M803" s="671"/>
      <c r="N803" s="671"/>
      <c r="O803" s="671"/>
      <c r="P803" s="671"/>
      <c r="Q803" s="671"/>
      <c r="R803" s="671"/>
      <c r="S803" s="671"/>
      <c r="T803" s="671"/>
      <c r="U803" s="671"/>
      <c r="V803" s="671"/>
      <c r="W803" s="671"/>
      <c r="X803" s="671"/>
      <c r="Y803" s="671"/>
      <c r="Z803" s="671"/>
      <c r="AA803" s="671"/>
      <c r="AB803" s="671"/>
    </row>
    <row r="804">
      <c r="A804" s="671"/>
      <c r="B804" s="671"/>
      <c r="C804" s="671"/>
      <c r="D804" s="671"/>
      <c r="E804" s="671"/>
      <c r="F804" s="671"/>
      <c r="G804" s="671"/>
      <c r="H804" s="671"/>
      <c r="I804" s="671"/>
      <c r="J804" s="671"/>
      <c r="K804" s="671"/>
      <c r="L804" s="671"/>
      <c r="M804" s="671"/>
      <c r="N804" s="671"/>
      <c r="O804" s="671"/>
      <c r="P804" s="671"/>
      <c r="Q804" s="671"/>
      <c r="R804" s="671"/>
      <c r="S804" s="671"/>
      <c r="T804" s="671"/>
      <c r="U804" s="671"/>
      <c r="V804" s="671"/>
      <c r="W804" s="671"/>
      <c r="X804" s="671"/>
      <c r="Y804" s="671"/>
      <c r="Z804" s="671"/>
      <c r="AA804" s="671"/>
      <c r="AB804" s="671"/>
    </row>
    <row r="805">
      <c r="A805" s="671"/>
      <c r="B805" s="671"/>
      <c r="C805" s="671"/>
      <c r="D805" s="671"/>
      <c r="E805" s="671"/>
      <c r="F805" s="671"/>
      <c r="G805" s="671"/>
      <c r="H805" s="671"/>
      <c r="I805" s="671"/>
      <c r="J805" s="671"/>
      <c r="K805" s="671"/>
      <c r="L805" s="671"/>
      <c r="M805" s="671"/>
      <c r="N805" s="671"/>
      <c r="O805" s="671"/>
      <c r="P805" s="671"/>
      <c r="Q805" s="671"/>
      <c r="R805" s="671"/>
      <c r="S805" s="671"/>
      <c r="T805" s="671"/>
      <c r="U805" s="671"/>
      <c r="V805" s="671"/>
      <c r="W805" s="671"/>
      <c r="X805" s="671"/>
      <c r="Y805" s="671"/>
      <c r="Z805" s="671"/>
      <c r="AA805" s="671"/>
      <c r="AB805" s="671"/>
    </row>
    <row r="806">
      <c r="A806" s="671"/>
      <c r="B806" s="671"/>
      <c r="C806" s="671"/>
      <c r="D806" s="671"/>
      <c r="E806" s="671"/>
      <c r="F806" s="671"/>
      <c r="G806" s="671"/>
      <c r="H806" s="671"/>
      <c r="I806" s="671"/>
      <c r="J806" s="671"/>
      <c r="K806" s="671"/>
      <c r="L806" s="671"/>
      <c r="M806" s="671"/>
      <c r="N806" s="671"/>
      <c r="O806" s="671"/>
      <c r="P806" s="671"/>
      <c r="Q806" s="671"/>
      <c r="R806" s="671"/>
      <c r="S806" s="671"/>
      <c r="T806" s="671"/>
      <c r="U806" s="671"/>
      <c r="V806" s="671"/>
      <c r="W806" s="671"/>
      <c r="X806" s="671"/>
      <c r="Y806" s="671"/>
      <c r="Z806" s="671"/>
      <c r="AA806" s="671"/>
      <c r="AB806" s="671"/>
    </row>
    <row r="807">
      <c r="A807" s="671"/>
      <c r="B807" s="671"/>
      <c r="C807" s="671"/>
      <c r="D807" s="671"/>
      <c r="E807" s="671"/>
      <c r="F807" s="671"/>
      <c r="G807" s="671"/>
      <c r="H807" s="671"/>
      <c r="I807" s="671"/>
      <c r="J807" s="671"/>
      <c r="K807" s="671"/>
      <c r="L807" s="671"/>
      <c r="M807" s="671"/>
      <c r="N807" s="671"/>
      <c r="O807" s="671"/>
      <c r="P807" s="671"/>
      <c r="Q807" s="671"/>
      <c r="R807" s="671"/>
      <c r="S807" s="671"/>
      <c r="T807" s="671"/>
      <c r="U807" s="671"/>
      <c r="V807" s="671"/>
      <c r="W807" s="671"/>
      <c r="X807" s="671"/>
      <c r="Y807" s="671"/>
      <c r="Z807" s="671"/>
      <c r="AA807" s="671"/>
      <c r="AB807" s="671"/>
    </row>
    <row r="808">
      <c r="A808" s="671"/>
      <c r="B808" s="671"/>
      <c r="C808" s="671"/>
      <c r="D808" s="671"/>
      <c r="E808" s="671"/>
      <c r="F808" s="671"/>
      <c r="G808" s="671"/>
      <c r="H808" s="671"/>
      <c r="I808" s="671"/>
      <c r="J808" s="671"/>
      <c r="K808" s="671"/>
      <c r="L808" s="671"/>
      <c r="M808" s="671"/>
      <c r="N808" s="671"/>
      <c r="O808" s="671"/>
      <c r="P808" s="671"/>
      <c r="Q808" s="671"/>
      <c r="R808" s="671"/>
      <c r="S808" s="671"/>
      <c r="T808" s="671"/>
      <c r="U808" s="671"/>
      <c r="V808" s="671"/>
      <c r="W808" s="671"/>
      <c r="X808" s="671"/>
      <c r="Y808" s="671"/>
      <c r="Z808" s="671"/>
      <c r="AA808" s="671"/>
      <c r="AB808" s="671"/>
    </row>
    <row r="809">
      <c r="A809" s="671"/>
      <c r="B809" s="671"/>
      <c r="C809" s="671"/>
      <c r="D809" s="671"/>
      <c r="E809" s="671"/>
      <c r="F809" s="671"/>
      <c r="G809" s="671"/>
      <c r="H809" s="671"/>
      <c r="I809" s="671"/>
      <c r="J809" s="671"/>
      <c r="K809" s="671"/>
      <c r="L809" s="671"/>
      <c r="M809" s="671"/>
      <c r="N809" s="671"/>
      <c r="O809" s="671"/>
      <c r="P809" s="671"/>
      <c r="Q809" s="671"/>
      <c r="R809" s="671"/>
      <c r="S809" s="671"/>
      <c r="T809" s="671"/>
      <c r="U809" s="671"/>
      <c r="V809" s="671"/>
      <c r="W809" s="671"/>
      <c r="X809" s="671"/>
      <c r="Y809" s="671"/>
      <c r="Z809" s="671"/>
      <c r="AA809" s="671"/>
      <c r="AB809" s="671"/>
    </row>
    <row r="810">
      <c r="A810" s="671"/>
      <c r="B810" s="671"/>
      <c r="C810" s="671"/>
      <c r="D810" s="671"/>
      <c r="E810" s="671"/>
      <c r="F810" s="671"/>
      <c r="G810" s="671"/>
      <c r="H810" s="671"/>
      <c r="I810" s="671"/>
      <c r="J810" s="671"/>
      <c r="K810" s="671"/>
      <c r="L810" s="671"/>
      <c r="M810" s="671"/>
      <c r="N810" s="671"/>
      <c r="O810" s="671"/>
      <c r="P810" s="671"/>
      <c r="Q810" s="671"/>
      <c r="R810" s="671"/>
      <c r="S810" s="671"/>
      <c r="T810" s="671"/>
      <c r="U810" s="671"/>
      <c r="V810" s="671"/>
      <c r="W810" s="671"/>
      <c r="X810" s="671"/>
      <c r="Y810" s="671"/>
      <c r="Z810" s="671"/>
      <c r="AA810" s="671"/>
      <c r="AB810" s="671"/>
    </row>
    <row r="811">
      <c r="A811" s="671"/>
      <c r="B811" s="671"/>
      <c r="C811" s="671"/>
      <c r="D811" s="671"/>
      <c r="E811" s="671"/>
      <c r="F811" s="671"/>
      <c r="G811" s="671"/>
      <c r="H811" s="671"/>
      <c r="I811" s="671"/>
      <c r="J811" s="671"/>
      <c r="K811" s="671"/>
      <c r="L811" s="671"/>
      <c r="M811" s="671"/>
      <c r="N811" s="671"/>
      <c r="O811" s="671"/>
      <c r="P811" s="671"/>
      <c r="Q811" s="671"/>
      <c r="R811" s="671"/>
      <c r="S811" s="671"/>
      <c r="T811" s="671"/>
      <c r="U811" s="671"/>
      <c r="V811" s="671"/>
      <c r="W811" s="671"/>
      <c r="X811" s="671"/>
      <c r="Y811" s="671"/>
      <c r="Z811" s="671"/>
      <c r="AA811" s="671"/>
      <c r="AB811" s="671"/>
    </row>
    <row r="812">
      <c r="A812" s="671"/>
      <c r="B812" s="671"/>
      <c r="C812" s="671"/>
      <c r="D812" s="671"/>
      <c r="E812" s="671"/>
      <c r="F812" s="671"/>
      <c r="G812" s="671"/>
      <c r="H812" s="671"/>
      <c r="I812" s="671"/>
      <c r="J812" s="671"/>
      <c r="K812" s="671"/>
      <c r="L812" s="671"/>
      <c r="M812" s="671"/>
      <c r="N812" s="671"/>
      <c r="O812" s="671"/>
      <c r="P812" s="671"/>
      <c r="Q812" s="671"/>
      <c r="R812" s="671"/>
      <c r="S812" s="671"/>
      <c r="T812" s="671"/>
      <c r="U812" s="671"/>
      <c r="V812" s="671"/>
      <c r="W812" s="671"/>
      <c r="X812" s="671"/>
      <c r="Y812" s="671"/>
      <c r="Z812" s="671"/>
      <c r="AA812" s="671"/>
      <c r="AB812" s="671"/>
    </row>
    <row r="813">
      <c r="A813" s="671"/>
      <c r="B813" s="671"/>
      <c r="C813" s="671"/>
      <c r="D813" s="671"/>
      <c r="E813" s="671"/>
      <c r="F813" s="671"/>
      <c r="G813" s="671"/>
      <c r="H813" s="671"/>
      <c r="I813" s="671"/>
      <c r="J813" s="671"/>
      <c r="K813" s="671"/>
      <c r="L813" s="671"/>
      <c r="M813" s="671"/>
      <c r="N813" s="671"/>
      <c r="O813" s="671"/>
      <c r="P813" s="671"/>
      <c r="Q813" s="671"/>
      <c r="R813" s="671"/>
      <c r="S813" s="671"/>
      <c r="T813" s="671"/>
      <c r="U813" s="671"/>
      <c r="V813" s="671"/>
      <c r="W813" s="671"/>
      <c r="X813" s="671"/>
      <c r="Y813" s="671"/>
      <c r="Z813" s="671"/>
      <c r="AA813" s="671"/>
      <c r="AB813" s="671"/>
    </row>
    <row r="814">
      <c r="A814" s="671"/>
      <c r="B814" s="671"/>
      <c r="C814" s="671"/>
      <c r="D814" s="671"/>
      <c r="E814" s="671"/>
      <c r="F814" s="671"/>
      <c r="G814" s="671"/>
      <c r="H814" s="671"/>
      <c r="I814" s="671"/>
      <c r="J814" s="671"/>
      <c r="K814" s="671"/>
      <c r="L814" s="671"/>
      <c r="M814" s="671"/>
      <c r="N814" s="671"/>
      <c r="O814" s="671"/>
      <c r="P814" s="671"/>
      <c r="Q814" s="671"/>
      <c r="R814" s="671"/>
      <c r="S814" s="671"/>
      <c r="T814" s="671"/>
      <c r="U814" s="671"/>
      <c r="V814" s="671"/>
      <c r="W814" s="671"/>
      <c r="X814" s="671"/>
      <c r="Y814" s="671"/>
      <c r="Z814" s="671"/>
      <c r="AA814" s="671"/>
      <c r="AB814" s="671"/>
    </row>
    <row r="815">
      <c r="A815" s="671"/>
      <c r="B815" s="671"/>
      <c r="C815" s="671"/>
      <c r="D815" s="671"/>
      <c r="E815" s="671"/>
      <c r="F815" s="671"/>
      <c r="G815" s="671"/>
      <c r="H815" s="671"/>
      <c r="I815" s="671"/>
      <c r="J815" s="671"/>
      <c r="K815" s="671"/>
      <c r="L815" s="671"/>
      <c r="M815" s="671"/>
      <c r="N815" s="671"/>
      <c r="O815" s="671"/>
      <c r="P815" s="671"/>
      <c r="Q815" s="671"/>
      <c r="R815" s="671"/>
      <c r="S815" s="671"/>
      <c r="T815" s="671"/>
      <c r="U815" s="671"/>
      <c r="V815" s="671"/>
      <c r="W815" s="671"/>
      <c r="X815" s="671"/>
      <c r="Y815" s="671"/>
      <c r="Z815" s="671"/>
      <c r="AA815" s="671"/>
      <c r="AB815" s="671"/>
    </row>
    <row r="816">
      <c r="A816" s="671"/>
      <c r="B816" s="671"/>
      <c r="C816" s="671"/>
      <c r="D816" s="671"/>
      <c r="E816" s="671"/>
      <c r="F816" s="671"/>
      <c r="G816" s="671"/>
      <c r="H816" s="671"/>
      <c r="I816" s="671"/>
      <c r="J816" s="671"/>
      <c r="K816" s="671"/>
      <c r="L816" s="671"/>
      <c r="M816" s="671"/>
      <c r="N816" s="671"/>
      <c r="O816" s="671"/>
      <c r="P816" s="671"/>
      <c r="Q816" s="671"/>
      <c r="R816" s="671"/>
      <c r="S816" s="671"/>
      <c r="T816" s="671"/>
      <c r="U816" s="671"/>
      <c r="V816" s="671"/>
      <c r="W816" s="671"/>
      <c r="X816" s="671"/>
      <c r="Y816" s="671"/>
      <c r="Z816" s="671"/>
      <c r="AA816" s="671"/>
      <c r="AB816" s="671"/>
    </row>
    <row r="817">
      <c r="A817" s="671"/>
      <c r="B817" s="671"/>
      <c r="C817" s="671"/>
      <c r="D817" s="671"/>
      <c r="E817" s="671"/>
      <c r="F817" s="671"/>
      <c r="G817" s="671"/>
      <c r="H817" s="671"/>
      <c r="I817" s="671"/>
      <c r="J817" s="671"/>
      <c r="K817" s="671"/>
      <c r="L817" s="671"/>
      <c r="M817" s="671"/>
      <c r="N817" s="671"/>
      <c r="O817" s="671"/>
      <c r="P817" s="671"/>
      <c r="Q817" s="671"/>
      <c r="R817" s="671"/>
      <c r="S817" s="671"/>
      <c r="T817" s="671"/>
      <c r="U817" s="671"/>
      <c r="V817" s="671"/>
      <c r="W817" s="671"/>
      <c r="X817" s="671"/>
      <c r="Y817" s="671"/>
      <c r="Z817" s="671"/>
      <c r="AA817" s="671"/>
      <c r="AB817" s="671"/>
    </row>
    <row r="818">
      <c r="A818" s="671"/>
      <c r="B818" s="671"/>
      <c r="C818" s="671"/>
      <c r="D818" s="671"/>
      <c r="E818" s="671"/>
      <c r="F818" s="671"/>
      <c r="G818" s="671"/>
      <c r="H818" s="671"/>
      <c r="I818" s="671"/>
      <c r="J818" s="671"/>
      <c r="K818" s="671"/>
      <c r="L818" s="671"/>
      <c r="M818" s="671"/>
      <c r="N818" s="671"/>
      <c r="O818" s="671"/>
      <c r="P818" s="671"/>
      <c r="Q818" s="671"/>
      <c r="R818" s="671"/>
      <c r="S818" s="671"/>
      <c r="T818" s="671"/>
      <c r="U818" s="671"/>
      <c r="V818" s="671"/>
      <c r="W818" s="671"/>
      <c r="X818" s="671"/>
      <c r="Y818" s="671"/>
      <c r="Z818" s="671"/>
      <c r="AA818" s="671"/>
      <c r="AB818" s="671"/>
    </row>
    <row r="819">
      <c r="A819" s="671"/>
      <c r="B819" s="671"/>
      <c r="C819" s="671"/>
      <c r="D819" s="671"/>
      <c r="E819" s="671"/>
      <c r="F819" s="671"/>
      <c r="G819" s="671"/>
      <c r="H819" s="671"/>
      <c r="I819" s="671"/>
      <c r="J819" s="671"/>
      <c r="K819" s="671"/>
      <c r="L819" s="671"/>
      <c r="M819" s="671"/>
      <c r="N819" s="671"/>
      <c r="O819" s="671"/>
      <c r="P819" s="671"/>
      <c r="Q819" s="671"/>
      <c r="R819" s="671"/>
      <c r="S819" s="671"/>
      <c r="T819" s="671"/>
      <c r="U819" s="671"/>
      <c r="V819" s="671"/>
      <c r="W819" s="671"/>
      <c r="X819" s="671"/>
      <c r="Y819" s="671"/>
      <c r="Z819" s="671"/>
      <c r="AA819" s="671"/>
      <c r="AB819" s="671"/>
    </row>
    <row r="820">
      <c r="A820" s="671"/>
      <c r="B820" s="671"/>
      <c r="C820" s="671"/>
      <c r="D820" s="671"/>
      <c r="E820" s="671"/>
      <c r="F820" s="671"/>
      <c r="G820" s="671"/>
      <c r="H820" s="671"/>
      <c r="I820" s="671"/>
      <c r="J820" s="671"/>
      <c r="K820" s="671"/>
      <c r="L820" s="671"/>
      <c r="M820" s="671"/>
      <c r="N820" s="671"/>
      <c r="O820" s="671"/>
      <c r="P820" s="671"/>
      <c r="Q820" s="671"/>
      <c r="R820" s="671"/>
      <c r="S820" s="671"/>
      <c r="T820" s="671"/>
      <c r="U820" s="671"/>
      <c r="V820" s="671"/>
      <c r="W820" s="671"/>
      <c r="X820" s="671"/>
      <c r="Y820" s="671"/>
      <c r="Z820" s="671"/>
      <c r="AA820" s="671"/>
      <c r="AB820" s="671"/>
    </row>
    <row r="821">
      <c r="A821" s="671"/>
      <c r="B821" s="671"/>
      <c r="C821" s="671"/>
      <c r="D821" s="671"/>
      <c r="E821" s="671"/>
      <c r="F821" s="671"/>
      <c r="G821" s="671"/>
      <c r="H821" s="671"/>
      <c r="I821" s="671"/>
      <c r="J821" s="671"/>
      <c r="K821" s="671"/>
      <c r="L821" s="671"/>
      <c r="M821" s="671"/>
      <c r="N821" s="671"/>
      <c r="O821" s="671"/>
      <c r="P821" s="671"/>
      <c r="Q821" s="671"/>
      <c r="R821" s="671"/>
      <c r="S821" s="671"/>
      <c r="T821" s="671"/>
      <c r="U821" s="671"/>
      <c r="V821" s="671"/>
      <c r="W821" s="671"/>
      <c r="X821" s="671"/>
      <c r="Y821" s="671"/>
      <c r="Z821" s="671"/>
      <c r="AA821" s="671"/>
      <c r="AB821" s="671"/>
    </row>
    <row r="822">
      <c r="A822" s="671"/>
      <c r="B822" s="671"/>
      <c r="C822" s="671"/>
      <c r="D822" s="671"/>
      <c r="E822" s="671"/>
      <c r="F822" s="671"/>
      <c r="G822" s="671"/>
      <c r="H822" s="671"/>
      <c r="I822" s="671"/>
      <c r="J822" s="671"/>
      <c r="K822" s="671"/>
      <c r="L822" s="671"/>
      <c r="M822" s="671"/>
      <c r="N822" s="671"/>
      <c r="O822" s="671"/>
      <c r="P822" s="671"/>
      <c r="Q822" s="671"/>
      <c r="R822" s="671"/>
      <c r="S822" s="671"/>
      <c r="T822" s="671"/>
      <c r="U822" s="671"/>
      <c r="V822" s="671"/>
      <c r="W822" s="671"/>
      <c r="X822" s="671"/>
      <c r="Y822" s="671"/>
      <c r="Z822" s="671"/>
      <c r="AA822" s="671"/>
      <c r="AB822" s="671"/>
    </row>
    <row r="823">
      <c r="A823" s="671"/>
      <c r="B823" s="671"/>
      <c r="C823" s="671"/>
      <c r="D823" s="671"/>
      <c r="E823" s="671"/>
      <c r="F823" s="671"/>
      <c r="G823" s="671"/>
      <c r="H823" s="671"/>
      <c r="I823" s="671"/>
      <c r="J823" s="671"/>
      <c r="K823" s="671"/>
      <c r="L823" s="671"/>
      <c r="M823" s="671"/>
      <c r="N823" s="671"/>
      <c r="O823" s="671"/>
      <c r="P823" s="671"/>
      <c r="Q823" s="671"/>
      <c r="R823" s="671"/>
      <c r="S823" s="671"/>
      <c r="T823" s="671"/>
      <c r="U823" s="671"/>
      <c r="V823" s="671"/>
      <c r="W823" s="671"/>
      <c r="X823" s="671"/>
      <c r="Y823" s="671"/>
      <c r="Z823" s="671"/>
      <c r="AA823" s="671"/>
      <c r="AB823" s="671"/>
    </row>
    <row r="824">
      <c r="A824" s="671"/>
      <c r="B824" s="671"/>
      <c r="C824" s="671"/>
      <c r="D824" s="671"/>
      <c r="E824" s="671"/>
      <c r="F824" s="671"/>
      <c r="G824" s="671"/>
      <c r="H824" s="671"/>
      <c r="I824" s="671"/>
      <c r="J824" s="671"/>
      <c r="K824" s="671"/>
      <c r="L824" s="671"/>
      <c r="M824" s="671"/>
      <c r="N824" s="671"/>
      <c r="O824" s="671"/>
      <c r="P824" s="671"/>
      <c r="Q824" s="671"/>
      <c r="R824" s="671"/>
      <c r="S824" s="671"/>
      <c r="T824" s="671"/>
      <c r="U824" s="671"/>
      <c r="V824" s="671"/>
      <c r="W824" s="671"/>
      <c r="X824" s="671"/>
      <c r="Y824" s="671"/>
      <c r="Z824" s="671"/>
      <c r="AA824" s="671"/>
      <c r="AB824" s="671"/>
    </row>
    <row r="825">
      <c r="A825" s="671"/>
      <c r="B825" s="671"/>
      <c r="C825" s="671"/>
      <c r="D825" s="671"/>
      <c r="E825" s="671"/>
      <c r="F825" s="671"/>
      <c r="G825" s="671"/>
      <c r="H825" s="671"/>
      <c r="I825" s="671"/>
      <c r="J825" s="671"/>
      <c r="K825" s="671"/>
      <c r="L825" s="671"/>
      <c r="M825" s="671"/>
      <c r="N825" s="671"/>
      <c r="O825" s="671"/>
      <c r="P825" s="671"/>
      <c r="Q825" s="671"/>
      <c r="R825" s="671"/>
      <c r="S825" s="671"/>
      <c r="T825" s="671"/>
      <c r="U825" s="671"/>
      <c r="V825" s="671"/>
      <c r="W825" s="671"/>
      <c r="X825" s="671"/>
      <c r="Y825" s="671"/>
      <c r="Z825" s="671"/>
      <c r="AA825" s="671"/>
      <c r="AB825" s="671"/>
    </row>
    <row r="826">
      <c r="A826" s="671"/>
      <c r="B826" s="671"/>
      <c r="C826" s="671"/>
      <c r="D826" s="671"/>
      <c r="E826" s="671"/>
      <c r="F826" s="671"/>
      <c r="G826" s="671"/>
      <c r="H826" s="671"/>
      <c r="I826" s="671"/>
      <c r="J826" s="671"/>
      <c r="K826" s="671"/>
      <c r="L826" s="671"/>
      <c r="M826" s="671"/>
      <c r="N826" s="671"/>
      <c r="O826" s="671"/>
      <c r="P826" s="671"/>
      <c r="Q826" s="671"/>
      <c r="R826" s="671"/>
      <c r="S826" s="671"/>
      <c r="T826" s="671"/>
      <c r="U826" s="671"/>
      <c r="V826" s="671"/>
      <c r="W826" s="671"/>
      <c r="X826" s="671"/>
      <c r="Y826" s="671"/>
      <c r="Z826" s="671"/>
      <c r="AA826" s="671"/>
      <c r="AB826" s="671"/>
    </row>
    <row r="827">
      <c r="A827" s="671"/>
      <c r="B827" s="671"/>
      <c r="C827" s="671"/>
      <c r="D827" s="671"/>
      <c r="E827" s="671"/>
      <c r="F827" s="671"/>
      <c r="G827" s="671"/>
      <c r="H827" s="671"/>
      <c r="I827" s="671"/>
      <c r="J827" s="671"/>
      <c r="K827" s="671"/>
      <c r="L827" s="671"/>
      <c r="M827" s="671"/>
      <c r="N827" s="671"/>
      <c r="O827" s="671"/>
      <c r="P827" s="671"/>
      <c r="Q827" s="671"/>
      <c r="R827" s="671"/>
      <c r="S827" s="671"/>
      <c r="T827" s="671"/>
      <c r="U827" s="671"/>
      <c r="V827" s="671"/>
      <c r="W827" s="671"/>
      <c r="X827" s="671"/>
      <c r="Y827" s="671"/>
      <c r="Z827" s="671"/>
      <c r="AA827" s="671"/>
      <c r="AB827" s="671"/>
    </row>
    <row r="828">
      <c r="A828" s="671"/>
      <c r="B828" s="671"/>
      <c r="C828" s="671"/>
      <c r="D828" s="671"/>
      <c r="E828" s="671"/>
      <c r="F828" s="671"/>
      <c r="G828" s="671"/>
      <c r="H828" s="671"/>
      <c r="I828" s="671"/>
      <c r="J828" s="671"/>
      <c r="K828" s="671"/>
      <c r="L828" s="671"/>
      <c r="M828" s="671"/>
      <c r="N828" s="671"/>
      <c r="O828" s="671"/>
      <c r="P828" s="671"/>
      <c r="Q828" s="671"/>
      <c r="R828" s="671"/>
      <c r="S828" s="671"/>
      <c r="T828" s="671"/>
      <c r="U828" s="671"/>
      <c r="V828" s="671"/>
      <c r="W828" s="671"/>
      <c r="X828" s="671"/>
      <c r="Y828" s="671"/>
      <c r="Z828" s="671"/>
      <c r="AA828" s="671"/>
      <c r="AB828" s="671"/>
    </row>
    <row r="829">
      <c r="A829" s="671"/>
      <c r="B829" s="671"/>
      <c r="C829" s="671"/>
      <c r="D829" s="671"/>
      <c r="E829" s="671"/>
      <c r="F829" s="671"/>
      <c r="G829" s="671"/>
      <c r="H829" s="671"/>
      <c r="I829" s="671"/>
      <c r="J829" s="671"/>
      <c r="K829" s="671"/>
      <c r="L829" s="671"/>
      <c r="M829" s="671"/>
      <c r="N829" s="671"/>
      <c r="O829" s="671"/>
      <c r="P829" s="671"/>
      <c r="Q829" s="671"/>
      <c r="R829" s="671"/>
      <c r="S829" s="671"/>
      <c r="T829" s="671"/>
      <c r="U829" s="671"/>
      <c r="V829" s="671"/>
      <c r="W829" s="671"/>
      <c r="X829" s="671"/>
      <c r="Y829" s="671"/>
      <c r="Z829" s="671"/>
      <c r="AA829" s="671"/>
      <c r="AB829" s="671"/>
    </row>
    <row r="830">
      <c r="A830" s="671"/>
      <c r="B830" s="671"/>
      <c r="C830" s="671"/>
      <c r="D830" s="671"/>
      <c r="E830" s="671"/>
      <c r="F830" s="671"/>
      <c r="G830" s="671"/>
      <c r="H830" s="671"/>
      <c r="I830" s="671"/>
      <c r="J830" s="671"/>
      <c r="K830" s="671"/>
      <c r="L830" s="671"/>
      <c r="M830" s="671"/>
      <c r="N830" s="671"/>
      <c r="O830" s="671"/>
      <c r="P830" s="671"/>
      <c r="Q830" s="671"/>
      <c r="R830" s="671"/>
      <c r="S830" s="671"/>
      <c r="T830" s="671"/>
      <c r="U830" s="671"/>
      <c r="V830" s="671"/>
      <c r="W830" s="671"/>
      <c r="X830" s="671"/>
      <c r="Y830" s="671"/>
      <c r="Z830" s="671"/>
      <c r="AA830" s="671"/>
      <c r="AB830" s="671"/>
    </row>
    <row r="831">
      <c r="A831" s="671"/>
      <c r="B831" s="671"/>
      <c r="C831" s="671"/>
      <c r="D831" s="671"/>
      <c r="E831" s="671"/>
      <c r="F831" s="671"/>
      <c r="G831" s="671"/>
      <c r="H831" s="671"/>
      <c r="I831" s="671"/>
      <c r="J831" s="671"/>
      <c r="K831" s="671"/>
      <c r="L831" s="671"/>
      <c r="M831" s="671"/>
      <c r="N831" s="671"/>
      <c r="O831" s="671"/>
      <c r="P831" s="671"/>
      <c r="Q831" s="671"/>
      <c r="R831" s="671"/>
      <c r="S831" s="671"/>
      <c r="T831" s="671"/>
      <c r="U831" s="671"/>
      <c r="V831" s="671"/>
      <c r="W831" s="671"/>
      <c r="X831" s="671"/>
      <c r="Y831" s="671"/>
      <c r="Z831" s="671"/>
      <c r="AA831" s="671"/>
      <c r="AB831" s="671"/>
    </row>
    <row r="832">
      <c r="A832" s="671"/>
      <c r="B832" s="671"/>
      <c r="C832" s="671"/>
      <c r="D832" s="671"/>
      <c r="E832" s="671"/>
      <c r="F832" s="671"/>
      <c r="G832" s="671"/>
      <c r="H832" s="671"/>
      <c r="I832" s="671"/>
      <c r="J832" s="671"/>
      <c r="K832" s="671"/>
      <c r="L832" s="671"/>
      <c r="M832" s="671"/>
      <c r="N832" s="671"/>
      <c r="O832" s="671"/>
      <c r="P832" s="671"/>
      <c r="Q832" s="671"/>
      <c r="R832" s="671"/>
      <c r="S832" s="671"/>
      <c r="T832" s="671"/>
      <c r="U832" s="671"/>
      <c r="V832" s="671"/>
      <c r="W832" s="671"/>
      <c r="X832" s="671"/>
      <c r="Y832" s="671"/>
      <c r="Z832" s="671"/>
      <c r="AA832" s="671"/>
      <c r="AB832" s="671"/>
    </row>
    <row r="833">
      <c r="A833" s="671"/>
      <c r="B833" s="671"/>
      <c r="C833" s="671"/>
      <c r="D833" s="671"/>
      <c r="E833" s="671"/>
      <c r="F833" s="671"/>
      <c r="G833" s="671"/>
      <c r="H833" s="671"/>
      <c r="I833" s="671"/>
      <c r="J833" s="671"/>
      <c r="K833" s="671"/>
      <c r="L833" s="671"/>
      <c r="M833" s="671"/>
      <c r="N833" s="671"/>
      <c r="O833" s="671"/>
      <c r="P833" s="671"/>
      <c r="Q833" s="671"/>
      <c r="R833" s="671"/>
      <c r="S833" s="671"/>
      <c r="T833" s="671"/>
      <c r="U833" s="671"/>
      <c r="V833" s="671"/>
      <c r="W833" s="671"/>
      <c r="X833" s="671"/>
      <c r="Y833" s="671"/>
      <c r="Z833" s="671"/>
      <c r="AA833" s="671"/>
      <c r="AB833" s="671"/>
    </row>
    <row r="834">
      <c r="A834" s="671"/>
      <c r="B834" s="671"/>
      <c r="C834" s="671"/>
      <c r="D834" s="671"/>
      <c r="E834" s="671"/>
      <c r="F834" s="671"/>
      <c r="G834" s="671"/>
      <c r="H834" s="671"/>
      <c r="I834" s="671"/>
      <c r="J834" s="671"/>
      <c r="K834" s="671"/>
      <c r="L834" s="671"/>
      <c r="M834" s="671"/>
      <c r="N834" s="671"/>
      <c r="O834" s="671"/>
      <c r="P834" s="671"/>
      <c r="Q834" s="671"/>
      <c r="R834" s="671"/>
      <c r="S834" s="671"/>
      <c r="T834" s="671"/>
      <c r="U834" s="671"/>
      <c r="V834" s="671"/>
      <c r="W834" s="671"/>
      <c r="X834" s="671"/>
      <c r="Y834" s="671"/>
      <c r="Z834" s="671"/>
      <c r="AA834" s="671"/>
      <c r="AB834" s="671"/>
    </row>
    <row r="835">
      <c r="A835" s="671"/>
      <c r="B835" s="671"/>
      <c r="C835" s="671"/>
      <c r="D835" s="671"/>
      <c r="E835" s="671"/>
      <c r="F835" s="671"/>
      <c r="G835" s="671"/>
      <c r="H835" s="671"/>
      <c r="I835" s="671"/>
      <c r="J835" s="671"/>
      <c r="K835" s="671"/>
      <c r="L835" s="671"/>
      <c r="M835" s="671"/>
      <c r="N835" s="671"/>
      <c r="O835" s="671"/>
      <c r="P835" s="671"/>
      <c r="Q835" s="671"/>
      <c r="R835" s="671"/>
      <c r="S835" s="671"/>
      <c r="T835" s="671"/>
      <c r="U835" s="671"/>
      <c r="V835" s="671"/>
      <c r="W835" s="671"/>
      <c r="X835" s="671"/>
      <c r="Y835" s="671"/>
      <c r="Z835" s="671"/>
      <c r="AA835" s="671"/>
      <c r="AB835" s="671"/>
    </row>
    <row r="836">
      <c r="A836" s="671"/>
      <c r="B836" s="671"/>
      <c r="C836" s="671"/>
      <c r="D836" s="671"/>
      <c r="E836" s="671"/>
      <c r="F836" s="671"/>
      <c r="G836" s="671"/>
      <c r="H836" s="671"/>
      <c r="I836" s="671"/>
      <c r="J836" s="671"/>
      <c r="K836" s="671"/>
      <c r="L836" s="671"/>
      <c r="M836" s="671"/>
      <c r="N836" s="671"/>
      <c r="O836" s="671"/>
      <c r="P836" s="671"/>
      <c r="Q836" s="671"/>
      <c r="R836" s="671"/>
      <c r="S836" s="671"/>
      <c r="T836" s="671"/>
      <c r="U836" s="671"/>
      <c r="V836" s="671"/>
      <c r="W836" s="671"/>
      <c r="X836" s="671"/>
      <c r="Y836" s="671"/>
      <c r="Z836" s="671"/>
      <c r="AA836" s="671"/>
      <c r="AB836" s="671"/>
    </row>
    <row r="837">
      <c r="A837" s="671"/>
      <c r="B837" s="671"/>
      <c r="C837" s="671"/>
      <c r="D837" s="671"/>
      <c r="E837" s="671"/>
      <c r="F837" s="671"/>
      <c r="G837" s="671"/>
      <c r="H837" s="671"/>
      <c r="I837" s="671"/>
      <c r="J837" s="671"/>
      <c r="K837" s="671"/>
      <c r="L837" s="671"/>
      <c r="M837" s="671"/>
      <c r="N837" s="671"/>
      <c r="O837" s="671"/>
      <c r="P837" s="671"/>
      <c r="Q837" s="671"/>
      <c r="R837" s="671"/>
      <c r="S837" s="671"/>
      <c r="T837" s="671"/>
      <c r="U837" s="671"/>
      <c r="V837" s="671"/>
      <c r="W837" s="671"/>
      <c r="X837" s="671"/>
      <c r="Y837" s="671"/>
      <c r="Z837" s="671"/>
      <c r="AA837" s="671"/>
      <c r="AB837" s="671"/>
    </row>
    <row r="838">
      <c r="A838" s="671"/>
      <c r="B838" s="671"/>
      <c r="C838" s="671"/>
      <c r="D838" s="671"/>
      <c r="E838" s="671"/>
      <c r="F838" s="671"/>
      <c r="G838" s="671"/>
      <c r="H838" s="671"/>
      <c r="I838" s="671"/>
      <c r="J838" s="671"/>
      <c r="K838" s="671"/>
      <c r="L838" s="671"/>
      <c r="M838" s="671"/>
      <c r="N838" s="671"/>
      <c r="O838" s="671"/>
      <c r="P838" s="671"/>
      <c r="Q838" s="671"/>
      <c r="R838" s="671"/>
      <c r="S838" s="671"/>
      <c r="T838" s="671"/>
      <c r="U838" s="671"/>
      <c r="V838" s="671"/>
      <c r="W838" s="671"/>
      <c r="X838" s="671"/>
      <c r="Y838" s="671"/>
      <c r="Z838" s="671"/>
      <c r="AA838" s="671"/>
      <c r="AB838" s="671"/>
    </row>
    <row r="839">
      <c r="A839" s="671"/>
      <c r="B839" s="671"/>
      <c r="C839" s="671"/>
      <c r="D839" s="671"/>
      <c r="E839" s="671"/>
      <c r="F839" s="671"/>
      <c r="G839" s="671"/>
      <c r="H839" s="671"/>
      <c r="I839" s="671"/>
      <c r="J839" s="671"/>
      <c r="K839" s="671"/>
      <c r="L839" s="671"/>
      <c r="M839" s="671"/>
      <c r="N839" s="671"/>
      <c r="O839" s="671"/>
      <c r="P839" s="671"/>
      <c r="Q839" s="671"/>
      <c r="R839" s="671"/>
      <c r="S839" s="671"/>
      <c r="T839" s="671"/>
      <c r="U839" s="671"/>
      <c r="V839" s="671"/>
      <c r="W839" s="671"/>
      <c r="X839" s="671"/>
      <c r="Y839" s="671"/>
      <c r="Z839" s="671"/>
      <c r="AA839" s="671"/>
      <c r="AB839" s="671"/>
    </row>
    <row r="840">
      <c r="A840" s="671"/>
      <c r="B840" s="671"/>
      <c r="C840" s="671"/>
      <c r="D840" s="671"/>
      <c r="E840" s="671"/>
      <c r="F840" s="671"/>
      <c r="G840" s="671"/>
      <c r="H840" s="671"/>
      <c r="I840" s="671"/>
      <c r="J840" s="671"/>
      <c r="K840" s="671"/>
      <c r="L840" s="671"/>
      <c r="M840" s="671"/>
      <c r="N840" s="671"/>
      <c r="O840" s="671"/>
      <c r="P840" s="671"/>
      <c r="Q840" s="671"/>
      <c r="R840" s="671"/>
      <c r="S840" s="671"/>
      <c r="T840" s="671"/>
      <c r="U840" s="671"/>
      <c r="V840" s="671"/>
      <c r="W840" s="671"/>
      <c r="X840" s="671"/>
      <c r="Y840" s="671"/>
      <c r="Z840" s="671"/>
      <c r="AA840" s="671"/>
      <c r="AB840" s="671"/>
    </row>
    <row r="841">
      <c r="A841" s="671"/>
      <c r="B841" s="671"/>
      <c r="C841" s="671"/>
      <c r="D841" s="671"/>
      <c r="E841" s="671"/>
      <c r="F841" s="671"/>
      <c r="G841" s="671"/>
      <c r="H841" s="671"/>
      <c r="I841" s="671"/>
      <c r="J841" s="671"/>
      <c r="K841" s="671"/>
      <c r="L841" s="671"/>
      <c r="M841" s="671"/>
      <c r="N841" s="671"/>
      <c r="O841" s="671"/>
      <c r="P841" s="671"/>
      <c r="Q841" s="671"/>
      <c r="R841" s="671"/>
      <c r="S841" s="671"/>
      <c r="T841" s="671"/>
      <c r="U841" s="671"/>
      <c r="V841" s="671"/>
      <c r="W841" s="671"/>
      <c r="X841" s="671"/>
      <c r="Y841" s="671"/>
      <c r="Z841" s="671"/>
      <c r="AA841" s="671"/>
      <c r="AB841" s="671"/>
    </row>
    <row r="842">
      <c r="A842" s="671"/>
      <c r="B842" s="671"/>
      <c r="C842" s="671"/>
      <c r="D842" s="671"/>
      <c r="E842" s="671"/>
      <c r="F842" s="671"/>
      <c r="G842" s="671"/>
      <c r="H842" s="671"/>
      <c r="I842" s="671"/>
      <c r="J842" s="671"/>
      <c r="K842" s="671"/>
      <c r="L842" s="671"/>
      <c r="M842" s="671"/>
      <c r="N842" s="671"/>
      <c r="O842" s="671"/>
      <c r="P842" s="671"/>
      <c r="Q842" s="671"/>
      <c r="R842" s="671"/>
      <c r="S842" s="671"/>
      <c r="T842" s="671"/>
      <c r="U842" s="671"/>
      <c r="V842" s="671"/>
      <c r="W842" s="671"/>
      <c r="X842" s="671"/>
      <c r="Y842" s="671"/>
      <c r="Z842" s="671"/>
      <c r="AA842" s="671"/>
      <c r="AB842" s="671"/>
    </row>
    <row r="843">
      <c r="A843" s="671"/>
      <c r="B843" s="671"/>
      <c r="C843" s="671"/>
      <c r="D843" s="671"/>
      <c r="E843" s="671"/>
      <c r="F843" s="671"/>
      <c r="G843" s="671"/>
      <c r="H843" s="671"/>
      <c r="I843" s="671"/>
      <c r="J843" s="671"/>
      <c r="K843" s="671"/>
      <c r="L843" s="671"/>
      <c r="M843" s="671"/>
      <c r="N843" s="671"/>
      <c r="O843" s="671"/>
      <c r="P843" s="671"/>
      <c r="Q843" s="671"/>
      <c r="R843" s="671"/>
      <c r="S843" s="671"/>
      <c r="T843" s="671"/>
      <c r="U843" s="671"/>
      <c r="V843" s="671"/>
      <c r="W843" s="671"/>
      <c r="X843" s="671"/>
      <c r="Y843" s="671"/>
      <c r="Z843" s="671"/>
      <c r="AA843" s="671"/>
      <c r="AB843" s="671"/>
    </row>
    <row r="844">
      <c r="A844" s="671"/>
      <c r="B844" s="671"/>
      <c r="C844" s="671"/>
      <c r="D844" s="671"/>
      <c r="E844" s="671"/>
      <c r="F844" s="671"/>
      <c r="G844" s="671"/>
      <c r="H844" s="671"/>
      <c r="I844" s="671"/>
      <c r="J844" s="671"/>
      <c r="K844" s="671"/>
      <c r="L844" s="671"/>
      <c r="M844" s="671"/>
      <c r="N844" s="671"/>
      <c r="O844" s="671"/>
      <c r="P844" s="671"/>
      <c r="Q844" s="671"/>
      <c r="R844" s="671"/>
      <c r="S844" s="671"/>
      <c r="T844" s="671"/>
      <c r="U844" s="671"/>
      <c r="V844" s="671"/>
      <c r="W844" s="671"/>
      <c r="X844" s="671"/>
      <c r="Y844" s="671"/>
      <c r="Z844" s="671"/>
      <c r="AA844" s="671"/>
      <c r="AB844" s="671"/>
    </row>
    <row r="845">
      <c r="A845" s="671"/>
      <c r="B845" s="671"/>
      <c r="C845" s="671"/>
      <c r="D845" s="671"/>
      <c r="E845" s="671"/>
      <c r="F845" s="671"/>
      <c r="G845" s="671"/>
      <c r="H845" s="671"/>
      <c r="I845" s="671"/>
      <c r="J845" s="671"/>
      <c r="K845" s="671"/>
      <c r="L845" s="671"/>
      <c r="M845" s="671"/>
      <c r="N845" s="671"/>
      <c r="O845" s="671"/>
      <c r="P845" s="671"/>
      <c r="Q845" s="671"/>
      <c r="R845" s="671"/>
      <c r="S845" s="671"/>
      <c r="T845" s="671"/>
      <c r="U845" s="671"/>
      <c r="V845" s="671"/>
      <c r="W845" s="671"/>
      <c r="X845" s="671"/>
      <c r="Y845" s="671"/>
      <c r="Z845" s="671"/>
      <c r="AA845" s="671"/>
      <c r="AB845" s="671"/>
    </row>
    <row r="846">
      <c r="A846" s="671"/>
      <c r="B846" s="671"/>
      <c r="C846" s="671"/>
      <c r="D846" s="671"/>
      <c r="E846" s="671"/>
      <c r="F846" s="671"/>
      <c r="G846" s="671"/>
      <c r="H846" s="671"/>
      <c r="I846" s="671"/>
      <c r="J846" s="671"/>
      <c r="K846" s="671"/>
      <c r="L846" s="671"/>
      <c r="M846" s="671"/>
      <c r="N846" s="671"/>
      <c r="O846" s="671"/>
      <c r="P846" s="671"/>
      <c r="Q846" s="671"/>
      <c r="R846" s="671"/>
      <c r="S846" s="671"/>
      <c r="T846" s="671"/>
      <c r="U846" s="671"/>
      <c r="V846" s="671"/>
      <c r="W846" s="671"/>
      <c r="X846" s="671"/>
      <c r="Y846" s="671"/>
      <c r="Z846" s="671"/>
      <c r="AA846" s="671"/>
      <c r="AB846" s="671"/>
    </row>
    <row r="847">
      <c r="A847" s="671"/>
      <c r="B847" s="671"/>
      <c r="C847" s="671"/>
      <c r="D847" s="671"/>
      <c r="E847" s="671"/>
      <c r="F847" s="671"/>
      <c r="G847" s="671"/>
      <c r="H847" s="671"/>
      <c r="I847" s="671"/>
      <c r="J847" s="671"/>
      <c r="K847" s="671"/>
      <c r="L847" s="671"/>
      <c r="M847" s="671"/>
      <c r="N847" s="671"/>
      <c r="O847" s="671"/>
      <c r="P847" s="671"/>
      <c r="Q847" s="671"/>
      <c r="R847" s="671"/>
      <c r="S847" s="671"/>
      <c r="T847" s="671"/>
      <c r="U847" s="671"/>
      <c r="V847" s="671"/>
      <c r="W847" s="671"/>
      <c r="X847" s="671"/>
      <c r="Y847" s="671"/>
      <c r="Z847" s="671"/>
      <c r="AA847" s="671"/>
      <c r="AB847" s="671"/>
    </row>
    <row r="848">
      <c r="A848" s="671"/>
      <c r="B848" s="671"/>
      <c r="C848" s="671"/>
      <c r="D848" s="671"/>
      <c r="E848" s="671"/>
      <c r="F848" s="671"/>
      <c r="G848" s="671"/>
      <c r="H848" s="671"/>
      <c r="I848" s="671"/>
      <c r="J848" s="671"/>
      <c r="K848" s="671"/>
      <c r="L848" s="671"/>
      <c r="M848" s="671"/>
      <c r="N848" s="671"/>
      <c r="O848" s="671"/>
      <c r="P848" s="671"/>
      <c r="Q848" s="671"/>
      <c r="R848" s="671"/>
      <c r="S848" s="671"/>
      <c r="T848" s="671"/>
      <c r="U848" s="671"/>
      <c r="V848" s="671"/>
      <c r="W848" s="671"/>
      <c r="X848" s="671"/>
      <c r="Y848" s="671"/>
      <c r="Z848" s="671"/>
      <c r="AA848" s="671"/>
      <c r="AB848" s="671"/>
    </row>
    <row r="849">
      <c r="A849" s="671"/>
      <c r="B849" s="671"/>
      <c r="C849" s="671"/>
      <c r="D849" s="671"/>
      <c r="E849" s="671"/>
      <c r="F849" s="671"/>
      <c r="G849" s="671"/>
      <c r="H849" s="671"/>
      <c r="I849" s="671"/>
      <c r="J849" s="671"/>
      <c r="K849" s="671"/>
      <c r="L849" s="671"/>
      <c r="M849" s="671"/>
      <c r="N849" s="671"/>
      <c r="O849" s="671"/>
      <c r="P849" s="671"/>
      <c r="Q849" s="671"/>
      <c r="R849" s="671"/>
      <c r="S849" s="671"/>
      <c r="T849" s="671"/>
      <c r="U849" s="671"/>
      <c r="V849" s="671"/>
      <c r="W849" s="671"/>
      <c r="X849" s="671"/>
      <c r="Y849" s="671"/>
      <c r="Z849" s="671"/>
      <c r="AA849" s="671"/>
      <c r="AB849" s="671"/>
    </row>
    <row r="850">
      <c r="A850" s="671"/>
      <c r="B850" s="671"/>
      <c r="C850" s="671"/>
      <c r="D850" s="671"/>
      <c r="E850" s="671"/>
      <c r="F850" s="671"/>
      <c r="G850" s="671"/>
      <c r="H850" s="671"/>
      <c r="I850" s="671"/>
      <c r="J850" s="671"/>
      <c r="K850" s="671"/>
      <c r="L850" s="671"/>
      <c r="M850" s="671"/>
      <c r="N850" s="671"/>
      <c r="O850" s="671"/>
      <c r="P850" s="671"/>
      <c r="Q850" s="671"/>
      <c r="R850" s="671"/>
      <c r="S850" s="671"/>
      <c r="T850" s="671"/>
      <c r="U850" s="671"/>
      <c r="V850" s="671"/>
      <c r="W850" s="671"/>
      <c r="X850" s="671"/>
      <c r="Y850" s="671"/>
      <c r="Z850" s="671"/>
      <c r="AA850" s="671"/>
      <c r="AB850" s="671"/>
    </row>
    <row r="851">
      <c r="A851" s="671"/>
      <c r="B851" s="671"/>
      <c r="C851" s="671"/>
      <c r="D851" s="671"/>
      <c r="E851" s="671"/>
      <c r="F851" s="671"/>
      <c r="G851" s="671"/>
      <c r="H851" s="671"/>
      <c r="I851" s="671"/>
      <c r="J851" s="671"/>
      <c r="K851" s="671"/>
      <c r="L851" s="671"/>
      <c r="M851" s="671"/>
      <c r="N851" s="671"/>
      <c r="O851" s="671"/>
      <c r="P851" s="671"/>
      <c r="Q851" s="671"/>
      <c r="R851" s="671"/>
      <c r="S851" s="671"/>
      <c r="T851" s="671"/>
      <c r="U851" s="671"/>
      <c r="V851" s="671"/>
      <c r="W851" s="671"/>
      <c r="X851" s="671"/>
      <c r="Y851" s="671"/>
      <c r="Z851" s="671"/>
      <c r="AA851" s="671"/>
      <c r="AB851" s="671"/>
    </row>
    <row r="852">
      <c r="A852" s="671"/>
      <c r="B852" s="671"/>
      <c r="C852" s="671"/>
      <c r="D852" s="671"/>
      <c r="E852" s="671"/>
      <c r="F852" s="671"/>
      <c r="G852" s="671"/>
      <c r="H852" s="671"/>
      <c r="I852" s="671"/>
      <c r="J852" s="671"/>
      <c r="K852" s="671"/>
      <c r="L852" s="671"/>
      <c r="M852" s="671"/>
      <c r="N852" s="671"/>
      <c r="O852" s="671"/>
      <c r="P852" s="671"/>
      <c r="Q852" s="671"/>
      <c r="R852" s="671"/>
      <c r="S852" s="671"/>
      <c r="T852" s="671"/>
      <c r="U852" s="671"/>
      <c r="V852" s="671"/>
      <c r="W852" s="671"/>
      <c r="X852" s="671"/>
      <c r="Y852" s="671"/>
      <c r="Z852" s="671"/>
      <c r="AA852" s="671"/>
      <c r="AB852" s="671"/>
    </row>
    <row r="853">
      <c r="A853" s="671"/>
      <c r="B853" s="671"/>
      <c r="C853" s="671"/>
      <c r="D853" s="671"/>
      <c r="E853" s="671"/>
      <c r="F853" s="671"/>
      <c r="G853" s="671"/>
      <c r="H853" s="671"/>
      <c r="I853" s="671"/>
      <c r="J853" s="671"/>
      <c r="K853" s="671"/>
      <c r="L853" s="671"/>
      <c r="M853" s="671"/>
      <c r="N853" s="671"/>
      <c r="O853" s="671"/>
      <c r="P853" s="671"/>
      <c r="Q853" s="671"/>
      <c r="R853" s="671"/>
      <c r="S853" s="671"/>
      <c r="T853" s="671"/>
      <c r="U853" s="671"/>
      <c r="V853" s="671"/>
      <c r="W853" s="671"/>
      <c r="X853" s="671"/>
      <c r="Y853" s="671"/>
      <c r="Z853" s="671"/>
      <c r="AA853" s="671"/>
      <c r="AB853" s="671"/>
    </row>
    <row r="854">
      <c r="A854" s="671"/>
      <c r="B854" s="671"/>
      <c r="C854" s="671"/>
      <c r="D854" s="671"/>
      <c r="E854" s="671"/>
      <c r="F854" s="671"/>
      <c r="G854" s="671"/>
      <c r="H854" s="671"/>
      <c r="I854" s="671"/>
      <c r="J854" s="671"/>
      <c r="K854" s="671"/>
      <c r="L854" s="671"/>
      <c r="M854" s="671"/>
      <c r="N854" s="671"/>
      <c r="O854" s="671"/>
      <c r="P854" s="671"/>
      <c r="Q854" s="671"/>
      <c r="R854" s="671"/>
      <c r="S854" s="671"/>
      <c r="T854" s="671"/>
      <c r="U854" s="671"/>
      <c r="V854" s="671"/>
      <c r="W854" s="671"/>
      <c r="X854" s="671"/>
      <c r="Y854" s="671"/>
      <c r="Z854" s="671"/>
      <c r="AA854" s="671"/>
      <c r="AB854" s="671"/>
    </row>
    <row r="855">
      <c r="A855" s="671"/>
      <c r="B855" s="671"/>
      <c r="C855" s="671"/>
      <c r="D855" s="671"/>
      <c r="E855" s="671"/>
      <c r="F855" s="671"/>
      <c r="G855" s="671"/>
      <c r="H855" s="671"/>
      <c r="I855" s="671"/>
      <c r="J855" s="671"/>
      <c r="K855" s="671"/>
      <c r="L855" s="671"/>
      <c r="M855" s="671"/>
      <c r="N855" s="671"/>
      <c r="O855" s="671"/>
      <c r="P855" s="671"/>
      <c r="Q855" s="671"/>
      <c r="R855" s="671"/>
      <c r="S855" s="671"/>
      <c r="T855" s="671"/>
      <c r="U855" s="671"/>
      <c r="V855" s="671"/>
      <c r="W855" s="671"/>
      <c r="X855" s="671"/>
      <c r="Y855" s="671"/>
      <c r="Z855" s="671"/>
      <c r="AA855" s="671"/>
      <c r="AB855" s="671"/>
    </row>
    <row r="856">
      <c r="A856" s="671"/>
      <c r="B856" s="671"/>
      <c r="C856" s="671"/>
      <c r="D856" s="671"/>
      <c r="E856" s="671"/>
      <c r="F856" s="671"/>
      <c r="G856" s="671"/>
      <c r="H856" s="671"/>
      <c r="I856" s="671"/>
      <c r="J856" s="671"/>
      <c r="K856" s="671"/>
      <c r="L856" s="671"/>
      <c r="M856" s="671"/>
      <c r="N856" s="671"/>
      <c r="O856" s="671"/>
      <c r="P856" s="671"/>
      <c r="Q856" s="671"/>
      <c r="R856" s="671"/>
      <c r="S856" s="671"/>
      <c r="T856" s="671"/>
      <c r="U856" s="671"/>
      <c r="V856" s="671"/>
      <c r="W856" s="671"/>
      <c r="X856" s="671"/>
      <c r="Y856" s="671"/>
      <c r="Z856" s="671"/>
      <c r="AA856" s="671"/>
      <c r="AB856" s="671"/>
    </row>
    <row r="857">
      <c r="A857" s="671"/>
      <c r="B857" s="671"/>
      <c r="C857" s="671"/>
      <c r="D857" s="671"/>
      <c r="E857" s="671"/>
      <c r="F857" s="671"/>
      <c r="G857" s="671"/>
      <c r="H857" s="671"/>
      <c r="I857" s="671"/>
      <c r="J857" s="671"/>
      <c r="K857" s="671"/>
      <c r="L857" s="671"/>
      <c r="M857" s="671"/>
      <c r="N857" s="671"/>
      <c r="O857" s="671"/>
      <c r="P857" s="671"/>
      <c r="Q857" s="671"/>
      <c r="R857" s="671"/>
      <c r="S857" s="671"/>
      <c r="T857" s="671"/>
      <c r="U857" s="671"/>
      <c r="V857" s="671"/>
      <c r="W857" s="671"/>
      <c r="X857" s="671"/>
      <c r="Y857" s="671"/>
      <c r="Z857" s="671"/>
      <c r="AA857" s="671"/>
      <c r="AB857" s="671"/>
    </row>
    <row r="858">
      <c r="A858" s="671"/>
      <c r="B858" s="671"/>
      <c r="C858" s="671"/>
      <c r="D858" s="671"/>
      <c r="E858" s="671"/>
      <c r="F858" s="671"/>
      <c r="G858" s="671"/>
      <c r="H858" s="671"/>
      <c r="I858" s="671"/>
      <c r="J858" s="671"/>
      <c r="K858" s="671"/>
      <c r="L858" s="671"/>
      <c r="M858" s="671"/>
      <c r="N858" s="671"/>
      <c r="O858" s="671"/>
      <c r="P858" s="671"/>
      <c r="Q858" s="671"/>
      <c r="R858" s="671"/>
      <c r="S858" s="671"/>
      <c r="T858" s="671"/>
      <c r="U858" s="671"/>
      <c r="V858" s="671"/>
      <c r="W858" s="671"/>
      <c r="X858" s="671"/>
      <c r="Y858" s="671"/>
      <c r="Z858" s="671"/>
      <c r="AA858" s="671"/>
      <c r="AB858" s="671"/>
    </row>
    <row r="859">
      <c r="A859" s="671"/>
      <c r="B859" s="671"/>
      <c r="C859" s="671"/>
      <c r="D859" s="671"/>
      <c r="E859" s="671"/>
      <c r="F859" s="671"/>
      <c r="G859" s="671"/>
      <c r="H859" s="671"/>
      <c r="I859" s="671"/>
      <c r="J859" s="671"/>
      <c r="K859" s="671"/>
      <c r="L859" s="671"/>
      <c r="M859" s="671"/>
      <c r="N859" s="671"/>
      <c r="O859" s="671"/>
      <c r="P859" s="671"/>
      <c r="Q859" s="671"/>
      <c r="R859" s="671"/>
      <c r="S859" s="671"/>
      <c r="T859" s="671"/>
      <c r="U859" s="671"/>
      <c r="V859" s="671"/>
      <c r="W859" s="671"/>
      <c r="X859" s="671"/>
      <c r="Y859" s="671"/>
      <c r="Z859" s="671"/>
      <c r="AA859" s="671"/>
      <c r="AB859" s="671"/>
    </row>
    <row r="860">
      <c r="A860" s="671"/>
      <c r="B860" s="671"/>
      <c r="C860" s="671"/>
      <c r="D860" s="671"/>
      <c r="E860" s="671"/>
      <c r="F860" s="671"/>
      <c r="G860" s="671"/>
      <c r="H860" s="671"/>
      <c r="I860" s="671"/>
      <c r="J860" s="671"/>
      <c r="K860" s="671"/>
      <c r="L860" s="671"/>
      <c r="M860" s="671"/>
      <c r="N860" s="671"/>
      <c r="O860" s="671"/>
      <c r="P860" s="671"/>
      <c r="Q860" s="671"/>
      <c r="R860" s="671"/>
      <c r="S860" s="671"/>
      <c r="T860" s="671"/>
      <c r="U860" s="671"/>
      <c r="V860" s="671"/>
      <c r="W860" s="671"/>
      <c r="X860" s="671"/>
      <c r="Y860" s="671"/>
      <c r="Z860" s="671"/>
      <c r="AA860" s="671"/>
      <c r="AB860" s="671"/>
    </row>
    <row r="861">
      <c r="A861" s="671"/>
      <c r="B861" s="671"/>
      <c r="C861" s="671"/>
      <c r="D861" s="671"/>
      <c r="E861" s="671"/>
      <c r="F861" s="671"/>
      <c r="G861" s="671"/>
      <c r="H861" s="671"/>
      <c r="I861" s="671"/>
      <c r="J861" s="671"/>
      <c r="K861" s="671"/>
      <c r="L861" s="671"/>
      <c r="M861" s="671"/>
      <c r="N861" s="671"/>
      <c r="O861" s="671"/>
      <c r="P861" s="671"/>
      <c r="Q861" s="671"/>
      <c r="R861" s="671"/>
      <c r="S861" s="671"/>
      <c r="T861" s="671"/>
      <c r="U861" s="671"/>
      <c r="V861" s="671"/>
      <c r="W861" s="671"/>
      <c r="X861" s="671"/>
      <c r="Y861" s="671"/>
      <c r="Z861" s="671"/>
      <c r="AA861" s="671"/>
      <c r="AB861" s="671"/>
    </row>
    <row r="862">
      <c r="A862" s="671"/>
      <c r="B862" s="671"/>
      <c r="C862" s="671"/>
      <c r="D862" s="671"/>
      <c r="E862" s="671"/>
      <c r="F862" s="671"/>
      <c r="G862" s="671"/>
      <c r="H862" s="671"/>
      <c r="I862" s="671"/>
      <c r="J862" s="671"/>
      <c r="K862" s="671"/>
      <c r="L862" s="671"/>
      <c r="M862" s="671"/>
      <c r="N862" s="671"/>
      <c r="O862" s="671"/>
      <c r="P862" s="671"/>
      <c r="Q862" s="671"/>
      <c r="R862" s="671"/>
      <c r="S862" s="671"/>
      <c r="T862" s="671"/>
      <c r="U862" s="671"/>
      <c r="V862" s="671"/>
      <c r="W862" s="671"/>
      <c r="X862" s="671"/>
      <c r="Y862" s="671"/>
      <c r="Z862" s="671"/>
      <c r="AA862" s="671"/>
      <c r="AB862" s="671"/>
    </row>
    <row r="863">
      <c r="A863" s="671"/>
      <c r="B863" s="671"/>
      <c r="C863" s="671"/>
      <c r="D863" s="671"/>
      <c r="E863" s="671"/>
      <c r="F863" s="671"/>
      <c r="G863" s="671"/>
      <c r="H863" s="671"/>
      <c r="I863" s="671"/>
      <c r="J863" s="671"/>
      <c r="K863" s="671"/>
      <c r="L863" s="671"/>
      <c r="M863" s="671"/>
      <c r="N863" s="671"/>
      <c r="O863" s="671"/>
      <c r="P863" s="671"/>
      <c r="Q863" s="671"/>
      <c r="R863" s="671"/>
      <c r="S863" s="671"/>
      <c r="T863" s="671"/>
      <c r="U863" s="671"/>
      <c r="V863" s="671"/>
      <c r="W863" s="671"/>
      <c r="X863" s="671"/>
      <c r="Y863" s="671"/>
      <c r="Z863" s="671"/>
      <c r="AA863" s="671"/>
      <c r="AB863" s="671"/>
    </row>
    <row r="864">
      <c r="A864" s="671"/>
      <c r="B864" s="671"/>
      <c r="C864" s="671"/>
      <c r="D864" s="671"/>
      <c r="E864" s="671"/>
      <c r="F864" s="671"/>
      <c r="G864" s="671"/>
      <c r="H864" s="671"/>
      <c r="I864" s="671"/>
      <c r="J864" s="671"/>
      <c r="K864" s="671"/>
      <c r="L864" s="671"/>
      <c r="M864" s="671"/>
      <c r="N864" s="671"/>
      <c r="O864" s="671"/>
      <c r="P864" s="671"/>
      <c r="Q864" s="671"/>
      <c r="R864" s="671"/>
      <c r="S864" s="671"/>
      <c r="T864" s="671"/>
      <c r="U864" s="671"/>
      <c r="V864" s="671"/>
      <c r="W864" s="671"/>
      <c r="X864" s="671"/>
      <c r="Y864" s="671"/>
      <c r="Z864" s="671"/>
      <c r="AA864" s="671"/>
      <c r="AB864" s="671"/>
    </row>
    <row r="865">
      <c r="A865" s="671"/>
      <c r="B865" s="671"/>
      <c r="C865" s="671"/>
      <c r="D865" s="671"/>
      <c r="E865" s="671"/>
      <c r="F865" s="671"/>
      <c r="G865" s="671"/>
      <c r="H865" s="671"/>
      <c r="I865" s="671"/>
      <c r="J865" s="671"/>
      <c r="K865" s="671"/>
      <c r="L865" s="671"/>
      <c r="M865" s="671"/>
      <c r="N865" s="671"/>
      <c r="O865" s="671"/>
      <c r="P865" s="671"/>
      <c r="Q865" s="671"/>
      <c r="R865" s="671"/>
      <c r="S865" s="671"/>
      <c r="T865" s="671"/>
      <c r="U865" s="671"/>
      <c r="V865" s="671"/>
      <c r="W865" s="671"/>
      <c r="X865" s="671"/>
      <c r="Y865" s="671"/>
      <c r="Z865" s="671"/>
      <c r="AA865" s="671"/>
      <c r="AB865" s="671"/>
    </row>
    <row r="866">
      <c r="A866" s="671"/>
      <c r="B866" s="671"/>
      <c r="C866" s="671"/>
      <c r="D866" s="671"/>
      <c r="E866" s="671"/>
      <c r="F866" s="671"/>
      <c r="G866" s="671"/>
      <c r="H866" s="671"/>
      <c r="I866" s="671"/>
      <c r="J866" s="671"/>
      <c r="K866" s="671"/>
      <c r="L866" s="671"/>
      <c r="M866" s="671"/>
      <c r="N866" s="671"/>
      <c r="O866" s="671"/>
      <c r="P866" s="671"/>
      <c r="Q866" s="671"/>
      <c r="R866" s="671"/>
      <c r="S866" s="671"/>
      <c r="T866" s="671"/>
      <c r="U866" s="671"/>
      <c r="V866" s="671"/>
      <c r="W866" s="671"/>
      <c r="X866" s="671"/>
      <c r="Y866" s="671"/>
      <c r="Z866" s="671"/>
      <c r="AA866" s="671"/>
      <c r="AB866" s="671"/>
    </row>
    <row r="867">
      <c r="A867" s="671"/>
      <c r="B867" s="671"/>
      <c r="C867" s="671"/>
      <c r="D867" s="671"/>
      <c r="E867" s="671"/>
      <c r="F867" s="671"/>
      <c r="G867" s="671"/>
      <c r="H867" s="671"/>
      <c r="I867" s="671"/>
      <c r="J867" s="671"/>
      <c r="K867" s="671"/>
      <c r="L867" s="671"/>
      <c r="M867" s="671"/>
      <c r="N867" s="671"/>
      <c r="O867" s="671"/>
      <c r="P867" s="671"/>
      <c r="Q867" s="671"/>
      <c r="R867" s="671"/>
      <c r="S867" s="671"/>
      <c r="T867" s="671"/>
      <c r="U867" s="671"/>
      <c r="V867" s="671"/>
      <c r="W867" s="671"/>
      <c r="X867" s="671"/>
      <c r="Y867" s="671"/>
      <c r="Z867" s="671"/>
      <c r="AA867" s="671"/>
      <c r="AB867" s="671"/>
    </row>
    <row r="868">
      <c r="A868" s="671"/>
      <c r="B868" s="671"/>
      <c r="C868" s="671"/>
      <c r="D868" s="671"/>
      <c r="E868" s="671"/>
      <c r="F868" s="671"/>
      <c r="G868" s="671"/>
      <c r="H868" s="671"/>
      <c r="I868" s="671"/>
      <c r="J868" s="671"/>
      <c r="K868" s="671"/>
      <c r="L868" s="671"/>
      <c r="M868" s="671"/>
      <c r="N868" s="671"/>
      <c r="O868" s="671"/>
      <c r="P868" s="671"/>
      <c r="Q868" s="671"/>
      <c r="R868" s="671"/>
      <c r="S868" s="671"/>
      <c r="T868" s="671"/>
      <c r="U868" s="671"/>
      <c r="V868" s="671"/>
      <c r="W868" s="671"/>
      <c r="X868" s="671"/>
      <c r="Y868" s="671"/>
      <c r="Z868" s="671"/>
      <c r="AA868" s="671"/>
      <c r="AB868" s="671"/>
    </row>
    <row r="869">
      <c r="A869" s="671"/>
      <c r="B869" s="671"/>
      <c r="C869" s="671"/>
      <c r="D869" s="671"/>
      <c r="E869" s="671"/>
      <c r="F869" s="671"/>
      <c r="G869" s="671"/>
      <c r="H869" s="671"/>
      <c r="I869" s="671"/>
      <c r="J869" s="671"/>
      <c r="K869" s="671"/>
      <c r="L869" s="671"/>
      <c r="M869" s="671"/>
      <c r="N869" s="671"/>
      <c r="O869" s="671"/>
      <c r="P869" s="671"/>
      <c r="Q869" s="671"/>
      <c r="R869" s="671"/>
      <c r="S869" s="671"/>
      <c r="T869" s="671"/>
      <c r="U869" s="671"/>
      <c r="V869" s="671"/>
      <c r="W869" s="671"/>
      <c r="X869" s="671"/>
      <c r="Y869" s="671"/>
      <c r="Z869" s="671"/>
      <c r="AA869" s="671"/>
      <c r="AB869" s="671"/>
    </row>
    <row r="870">
      <c r="A870" s="671"/>
      <c r="B870" s="671"/>
      <c r="C870" s="671"/>
      <c r="D870" s="671"/>
      <c r="E870" s="671"/>
      <c r="F870" s="671"/>
      <c r="G870" s="671"/>
      <c r="H870" s="671"/>
      <c r="I870" s="671"/>
      <c r="J870" s="671"/>
      <c r="K870" s="671"/>
      <c r="L870" s="671"/>
      <c r="M870" s="671"/>
      <c r="N870" s="671"/>
      <c r="O870" s="671"/>
      <c r="P870" s="671"/>
      <c r="Q870" s="671"/>
      <c r="R870" s="671"/>
      <c r="S870" s="671"/>
      <c r="T870" s="671"/>
      <c r="U870" s="671"/>
      <c r="V870" s="671"/>
      <c r="W870" s="671"/>
      <c r="X870" s="671"/>
      <c r="Y870" s="671"/>
      <c r="Z870" s="671"/>
      <c r="AA870" s="671"/>
      <c r="AB870" s="671"/>
    </row>
    <row r="871">
      <c r="A871" s="671"/>
      <c r="B871" s="671"/>
      <c r="C871" s="671"/>
      <c r="D871" s="671"/>
      <c r="E871" s="671"/>
      <c r="F871" s="671"/>
      <c r="G871" s="671"/>
      <c r="H871" s="671"/>
      <c r="I871" s="671"/>
      <c r="J871" s="671"/>
      <c r="K871" s="671"/>
      <c r="L871" s="671"/>
      <c r="M871" s="671"/>
      <c r="N871" s="671"/>
      <c r="O871" s="671"/>
      <c r="P871" s="671"/>
      <c r="Q871" s="671"/>
      <c r="R871" s="671"/>
      <c r="S871" s="671"/>
      <c r="T871" s="671"/>
      <c r="U871" s="671"/>
      <c r="V871" s="671"/>
      <c r="W871" s="671"/>
      <c r="X871" s="671"/>
      <c r="Y871" s="671"/>
      <c r="Z871" s="671"/>
      <c r="AA871" s="671"/>
      <c r="AB871" s="671"/>
    </row>
    <row r="872">
      <c r="A872" s="671"/>
      <c r="B872" s="671"/>
      <c r="C872" s="671"/>
      <c r="D872" s="671"/>
      <c r="E872" s="671"/>
      <c r="F872" s="671"/>
      <c r="G872" s="671"/>
      <c r="H872" s="671"/>
      <c r="I872" s="671"/>
      <c r="J872" s="671"/>
      <c r="K872" s="671"/>
      <c r="L872" s="671"/>
      <c r="M872" s="671"/>
      <c r="N872" s="671"/>
      <c r="O872" s="671"/>
      <c r="P872" s="671"/>
      <c r="Q872" s="671"/>
      <c r="R872" s="671"/>
      <c r="S872" s="671"/>
      <c r="T872" s="671"/>
      <c r="U872" s="671"/>
      <c r="V872" s="671"/>
      <c r="W872" s="671"/>
      <c r="X872" s="671"/>
      <c r="Y872" s="671"/>
      <c r="Z872" s="671"/>
      <c r="AA872" s="671"/>
      <c r="AB872" s="671"/>
    </row>
    <row r="873">
      <c r="A873" s="671"/>
      <c r="B873" s="671"/>
      <c r="C873" s="671"/>
      <c r="D873" s="671"/>
      <c r="E873" s="671"/>
      <c r="F873" s="671"/>
      <c r="G873" s="671"/>
      <c r="H873" s="671"/>
      <c r="I873" s="671"/>
      <c r="J873" s="671"/>
      <c r="K873" s="671"/>
      <c r="L873" s="671"/>
      <c r="M873" s="671"/>
      <c r="N873" s="671"/>
      <c r="O873" s="671"/>
      <c r="P873" s="671"/>
      <c r="Q873" s="671"/>
      <c r="R873" s="671"/>
      <c r="S873" s="671"/>
      <c r="T873" s="671"/>
      <c r="U873" s="671"/>
      <c r="V873" s="671"/>
      <c r="W873" s="671"/>
      <c r="X873" s="671"/>
      <c r="Y873" s="671"/>
      <c r="Z873" s="671"/>
      <c r="AA873" s="671"/>
      <c r="AB873" s="671"/>
    </row>
    <row r="874">
      <c r="A874" s="671"/>
      <c r="B874" s="671"/>
      <c r="C874" s="671"/>
      <c r="D874" s="671"/>
      <c r="E874" s="671"/>
      <c r="F874" s="671"/>
      <c r="G874" s="671"/>
      <c r="H874" s="671"/>
      <c r="I874" s="671"/>
      <c r="J874" s="671"/>
      <c r="K874" s="671"/>
      <c r="L874" s="671"/>
      <c r="M874" s="671"/>
      <c r="N874" s="671"/>
      <c r="O874" s="671"/>
      <c r="P874" s="671"/>
      <c r="Q874" s="671"/>
      <c r="R874" s="671"/>
      <c r="S874" s="671"/>
      <c r="T874" s="671"/>
      <c r="U874" s="671"/>
      <c r="V874" s="671"/>
      <c r="W874" s="671"/>
      <c r="X874" s="671"/>
      <c r="Y874" s="671"/>
      <c r="Z874" s="671"/>
      <c r="AA874" s="671"/>
      <c r="AB874" s="671"/>
    </row>
    <row r="875">
      <c r="A875" s="671"/>
      <c r="B875" s="671"/>
      <c r="C875" s="671"/>
      <c r="D875" s="671"/>
      <c r="E875" s="671"/>
      <c r="F875" s="671"/>
      <c r="G875" s="671"/>
      <c r="H875" s="671"/>
      <c r="I875" s="671"/>
      <c r="J875" s="671"/>
      <c r="K875" s="671"/>
      <c r="L875" s="671"/>
      <c r="M875" s="671"/>
      <c r="N875" s="671"/>
      <c r="O875" s="671"/>
      <c r="P875" s="671"/>
      <c r="Q875" s="671"/>
      <c r="R875" s="671"/>
      <c r="S875" s="671"/>
      <c r="T875" s="671"/>
      <c r="U875" s="671"/>
      <c r="V875" s="671"/>
      <c r="W875" s="671"/>
      <c r="X875" s="671"/>
      <c r="Y875" s="671"/>
      <c r="Z875" s="671"/>
      <c r="AA875" s="671"/>
      <c r="AB875" s="671"/>
    </row>
    <row r="876">
      <c r="A876" s="671"/>
      <c r="B876" s="671"/>
      <c r="C876" s="671"/>
      <c r="D876" s="671"/>
      <c r="E876" s="671"/>
      <c r="F876" s="671"/>
      <c r="G876" s="671"/>
      <c r="H876" s="671"/>
      <c r="I876" s="671"/>
      <c r="J876" s="671"/>
      <c r="K876" s="671"/>
      <c r="L876" s="671"/>
      <c r="M876" s="671"/>
      <c r="N876" s="671"/>
      <c r="O876" s="671"/>
      <c r="P876" s="671"/>
      <c r="Q876" s="671"/>
      <c r="R876" s="671"/>
      <c r="S876" s="671"/>
      <c r="T876" s="671"/>
      <c r="U876" s="671"/>
      <c r="V876" s="671"/>
      <c r="W876" s="671"/>
      <c r="X876" s="671"/>
      <c r="Y876" s="671"/>
      <c r="Z876" s="671"/>
      <c r="AA876" s="671"/>
      <c r="AB876" s="671"/>
    </row>
    <row r="877">
      <c r="A877" s="671"/>
      <c r="B877" s="671"/>
      <c r="C877" s="671"/>
      <c r="D877" s="671"/>
      <c r="E877" s="671"/>
      <c r="F877" s="671"/>
      <c r="G877" s="671"/>
      <c r="H877" s="671"/>
      <c r="I877" s="671"/>
      <c r="J877" s="671"/>
      <c r="K877" s="671"/>
      <c r="L877" s="671"/>
      <c r="M877" s="671"/>
      <c r="N877" s="671"/>
      <c r="O877" s="671"/>
      <c r="P877" s="671"/>
      <c r="Q877" s="671"/>
      <c r="R877" s="671"/>
      <c r="S877" s="671"/>
      <c r="T877" s="671"/>
      <c r="U877" s="671"/>
      <c r="V877" s="671"/>
      <c r="W877" s="671"/>
      <c r="X877" s="671"/>
      <c r="Y877" s="671"/>
      <c r="Z877" s="671"/>
      <c r="AA877" s="671"/>
      <c r="AB877" s="671"/>
    </row>
    <row r="878">
      <c r="A878" s="671"/>
      <c r="B878" s="671"/>
      <c r="C878" s="671"/>
      <c r="D878" s="671"/>
      <c r="E878" s="671"/>
      <c r="F878" s="671"/>
      <c r="G878" s="671"/>
      <c r="H878" s="671"/>
      <c r="I878" s="671"/>
      <c r="J878" s="671"/>
      <c r="K878" s="671"/>
      <c r="L878" s="671"/>
      <c r="M878" s="671"/>
      <c r="N878" s="671"/>
      <c r="O878" s="671"/>
      <c r="P878" s="671"/>
      <c r="Q878" s="671"/>
      <c r="R878" s="671"/>
      <c r="S878" s="671"/>
      <c r="T878" s="671"/>
      <c r="U878" s="671"/>
      <c r="V878" s="671"/>
      <c r="W878" s="671"/>
      <c r="X878" s="671"/>
      <c r="Y878" s="671"/>
      <c r="Z878" s="671"/>
      <c r="AA878" s="671"/>
      <c r="AB878" s="671"/>
    </row>
    <row r="879">
      <c r="A879" s="671"/>
      <c r="B879" s="671"/>
      <c r="C879" s="671"/>
      <c r="D879" s="671"/>
      <c r="E879" s="671"/>
      <c r="F879" s="671"/>
      <c r="G879" s="671"/>
      <c r="H879" s="671"/>
      <c r="I879" s="671"/>
      <c r="J879" s="671"/>
      <c r="K879" s="671"/>
      <c r="L879" s="671"/>
      <c r="M879" s="671"/>
      <c r="N879" s="671"/>
      <c r="O879" s="671"/>
      <c r="P879" s="671"/>
      <c r="Q879" s="671"/>
      <c r="R879" s="671"/>
      <c r="S879" s="671"/>
      <c r="T879" s="671"/>
      <c r="U879" s="671"/>
      <c r="V879" s="671"/>
      <c r="W879" s="671"/>
      <c r="X879" s="671"/>
      <c r="Y879" s="671"/>
      <c r="Z879" s="671"/>
      <c r="AA879" s="671"/>
      <c r="AB879" s="671"/>
    </row>
    <row r="880">
      <c r="A880" s="671"/>
      <c r="B880" s="671"/>
      <c r="C880" s="671"/>
      <c r="D880" s="671"/>
      <c r="E880" s="671"/>
      <c r="F880" s="671"/>
      <c r="G880" s="671"/>
      <c r="H880" s="671"/>
      <c r="I880" s="671"/>
      <c r="J880" s="671"/>
      <c r="K880" s="671"/>
      <c r="L880" s="671"/>
      <c r="M880" s="671"/>
      <c r="N880" s="671"/>
      <c r="O880" s="671"/>
      <c r="P880" s="671"/>
      <c r="Q880" s="671"/>
      <c r="R880" s="671"/>
      <c r="S880" s="671"/>
      <c r="T880" s="671"/>
      <c r="U880" s="671"/>
      <c r="V880" s="671"/>
      <c r="W880" s="671"/>
      <c r="X880" s="671"/>
      <c r="Y880" s="671"/>
      <c r="Z880" s="671"/>
      <c r="AA880" s="671"/>
      <c r="AB880" s="671"/>
    </row>
    <row r="881">
      <c r="A881" s="671"/>
      <c r="B881" s="671"/>
      <c r="C881" s="671"/>
      <c r="D881" s="671"/>
      <c r="E881" s="671"/>
      <c r="F881" s="671"/>
      <c r="G881" s="671"/>
      <c r="H881" s="671"/>
      <c r="I881" s="671"/>
      <c r="J881" s="671"/>
      <c r="K881" s="671"/>
      <c r="L881" s="671"/>
      <c r="M881" s="671"/>
      <c r="N881" s="671"/>
      <c r="O881" s="671"/>
      <c r="P881" s="671"/>
      <c r="Q881" s="671"/>
      <c r="R881" s="671"/>
      <c r="S881" s="671"/>
      <c r="T881" s="671"/>
      <c r="U881" s="671"/>
      <c r="V881" s="671"/>
      <c r="W881" s="671"/>
      <c r="X881" s="671"/>
      <c r="Y881" s="671"/>
      <c r="Z881" s="671"/>
      <c r="AA881" s="671"/>
      <c r="AB881" s="671"/>
    </row>
    <row r="882">
      <c r="A882" s="671"/>
      <c r="B882" s="671"/>
      <c r="C882" s="671"/>
      <c r="D882" s="671"/>
      <c r="E882" s="671"/>
      <c r="F882" s="671"/>
      <c r="G882" s="671"/>
      <c r="H882" s="671"/>
      <c r="I882" s="671"/>
      <c r="J882" s="671"/>
      <c r="K882" s="671"/>
      <c r="L882" s="671"/>
      <c r="M882" s="671"/>
      <c r="N882" s="671"/>
      <c r="O882" s="671"/>
      <c r="P882" s="671"/>
      <c r="Q882" s="671"/>
      <c r="R882" s="671"/>
      <c r="S882" s="671"/>
      <c r="T882" s="671"/>
      <c r="U882" s="671"/>
      <c r="V882" s="671"/>
      <c r="W882" s="671"/>
      <c r="X882" s="671"/>
      <c r="Y882" s="671"/>
      <c r="Z882" s="671"/>
      <c r="AA882" s="671"/>
      <c r="AB882" s="671"/>
    </row>
    <row r="883">
      <c r="A883" s="671"/>
      <c r="B883" s="671"/>
      <c r="C883" s="671"/>
      <c r="D883" s="671"/>
      <c r="E883" s="671"/>
      <c r="F883" s="671"/>
      <c r="G883" s="671"/>
      <c r="H883" s="671"/>
      <c r="I883" s="671"/>
      <c r="J883" s="671"/>
      <c r="K883" s="671"/>
      <c r="L883" s="671"/>
      <c r="M883" s="671"/>
      <c r="N883" s="671"/>
      <c r="O883" s="671"/>
      <c r="P883" s="671"/>
      <c r="Q883" s="671"/>
      <c r="R883" s="671"/>
      <c r="S883" s="671"/>
      <c r="T883" s="671"/>
      <c r="U883" s="671"/>
      <c r="V883" s="671"/>
      <c r="W883" s="671"/>
      <c r="X883" s="671"/>
      <c r="Y883" s="671"/>
      <c r="Z883" s="671"/>
      <c r="AA883" s="671"/>
      <c r="AB883" s="671"/>
    </row>
    <row r="884">
      <c r="A884" s="671"/>
      <c r="B884" s="671"/>
      <c r="C884" s="671"/>
      <c r="D884" s="671"/>
      <c r="E884" s="671"/>
      <c r="F884" s="671"/>
      <c r="G884" s="671"/>
      <c r="H884" s="671"/>
      <c r="I884" s="671"/>
      <c r="J884" s="671"/>
      <c r="K884" s="671"/>
      <c r="L884" s="671"/>
      <c r="M884" s="671"/>
      <c r="N884" s="671"/>
      <c r="O884" s="671"/>
      <c r="P884" s="671"/>
      <c r="Q884" s="671"/>
      <c r="R884" s="671"/>
      <c r="S884" s="671"/>
      <c r="T884" s="671"/>
      <c r="U884" s="671"/>
      <c r="V884" s="671"/>
      <c r="W884" s="671"/>
      <c r="X884" s="671"/>
      <c r="Y884" s="671"/>
      <c r="Z884" s="671"/>
      <c r="AA884" s="671"/>
      <c r="AB884" s="671"/>
    </row>
    <row r="885">
      <c r="A885" s="671"/>
      <c r="B885" s="671"/>
      <c r="C885" s="671"/>
      <c r="D885" s="671"/>
      <c r="E885" s="671"/>
      <c r="F885" s="671"/>
      <c r="G885" s="671"/>
      <c r="H885" s="671"/>
      <c r="I885" s="671"/>
      <c r="J885" s="671"/>
      <c r="K885" s="671"/>
      <c r="L885" s="671"/>
      <c r="M885" s="671"/>
      <c r="N885" s="671"/>
      <c r="O885" s="671"/>
      <c r="P885" s="671"/>
      <c r="Q885" s="671"/>
      <c r="R885" s="671"/>
      <c r="S885" s="671"/>
      <c r="T885" s="671"/>
      <c r="U885" s="671"/>
      <c r="V885" s="671"/>
      <c r="W885" s="671"/>
      <c r="X885" s="671"/>
      <c r="Y885" s="671"/>
      <c r="Z885" s="671"/>
      <c r="AA885" s="671"/>
      <c r="AB885" s="671"/>
    </row>
    <row r="886">
      <c r="A886" s="671"/>
      <c r="B886" s="671"/>
      <c r="C886" s="671"/>
      <c r="D886" s="671"/>
      <c r="E886" s="671"/>
      <c r="F886" s="671"/>
      <c r="G886" s="671"/>
      <c r="H886" s="671"/>
      <c r="I886" s="671"/>
      <c r="J886" s="671"/>
      <c r="K886" s="671"/>
      <c r="L886" s="671"/>
      <c r="M886" s="671"/>
      <c r="N886" s="671"/>
      <c r="O886" s="671"/>
      <c r="P886" s="671"/>
      <c r="Q886" s="671"/>
      <c r="R886" s="671"/>
      <c r="S886" s="671"/>
      <c r="T886" s="671"/>
      <c r="U886" s="671"/>
      <c r="V886" s="671"/>
      <c r="W886" s="671"/>
      <c r="X886" s="671"/>
      <c r="Y886" s="671"/>
      <c r="Z886" s="671"/>
      <c r="AA886" s="671"/>
      <c r="AB886" s="671"/>
    </row>
    <row r="887">
      <c r="A887" s="671"/>
      <c r="B887" s="671"/>
      <c r="C887" s="671"/>
      <c r="D887" s="671"/>
      <c r="E887" s="671"/>
      <c r="F887" s="671"/>
      <c r="G887" s="671"/>
      <c r="H887" s="671"/>
      <c r="I887" s="671"/>
      <c r="J887" s="671"/>
      <c r="K887" s="671"/>
      <c r="L887" s="671"/>
      <c r="M887" s="671"/>
      <c r="N887" s="671"/>
      <c r="O887" s="671"/>
      <c r="P887" s="671"/>
      <c r="Q887" s="671"/>
      <c r="R887" s="671"/>
      <c r="S887" s="671"/>
      <c r="T887" s="671"/>
      <c r="U887" s="671"/>
      <c r="V887" s="671"/>
      <c r="W887" s="671"/>
      <c r="X887" s="671"/>
      <c r="Y887" s="671"/>
      <c r="Z887" s="671"/>
      <c r="AA887" s="671"/>
      <c r="AB887" s="671"/>
    </row>
    <row r="888">
      <c r="A888" s="671"/>
      <c r="B888" s="671"/>
      <c r="C888" s="671"/>
      <c r="D888" s="671"/>
      <c r="E888" s="671"/>
      <c r="F888" s="671"/>
      <c r="G888" s="671"/>
      <c r="H888" s="671"/>
      <c r="I888" s="671"/>
      <c r="J888" s="671"/>
      <c r="K888" s="671"/>
      <c r="L888" s="671"/>
      <c r="M888" s="671"/>
      <c r="N888" s="671"/>
      <c r="O888" s="671"/>
      <c r="P888" s="671"/>
      <c r="Q888" s="671"/>
      <c r="R888" s="671"/>
      <c r="S888" s="671"/>
      <c r="T888" s="671"/>
      <c r="U888" s="671"/>
      <c r="V888" s="671"/>
      <c r="W888" s="671"/>
      <c r="X888" s="671"/>
      <c r="Y888" s="671"/>
      <c r="Z888" s="671"/>
      <c r="AA888" s="671"/>
      <c r="AB888" s="671"/>
    </row>
    <row r="889">
      <c r="A889" s="671"/>
      <c r="B889" s="671"/>
      <c r="C889" s="671"/>
      <c r="D889" s="671"/>
      <c r="E889" s="671"/>
      <c r="F889" s="671"/>
      <c r="G889" s="671"/>
      <c r="H889" s="671"/>
      <c r="I889" s="671"/>
      <c r="J889" s="671"/>
      <c r="K889" s="671"/>
      <c r="L889" s="671"/>
      <c r="M889" s="671"/>
      <c r="N889" s="671"/>
      <c r="O889" s="671"/>
      <c r="P889" s="671"/>
      <c r="Q889" s="671"/>
      <c r="R889" s="671"/>
      <c r="S889" s="671"/>
      <c r="T889" s="671"/>
      <c r="U889" s="671"/>
      <c r="V889" s="671"/>
      <c r="W889" s="671"/>
      <c r="X889" s="671"/>
      <c r="Y889" s="671"/>
      <c r="Z889" s="671"/>
      <c r="AA889" s="671"/>
      <c r="AB889" s="671"/>
    </row>
    <row r="890">
      <c r="A890" s="671"/>
      <c r="B890" s="671"/>
      <c r="C890" s="671"/>
      <c r="D890" s="671"/>
      <c r="E890" s="671"/>
      <c r="F890" s="671"/>
      <c r="G890" s="671"/>
      <c r="H890" s="671"/>
      <c r="I890" s="671"/>
      <c r="J890" s="671"/>
      <c r="K890" s="671"/>
      <c r="L890" s="671"/>
      <c r="M890" s="671"/>
      <c r="N890" s="671"/>
      <c r="O890" s="671"/>
      <c r="P890" s="671"/>
      <c r="Q890" s="671"/>
      <c r="R890" s="671"/>
      <c r="S890" s="671"/>
      <c r="T890" s="671"/>
      <c r="U890" s="671"/>
      <c r="V890" s="671"/>
      <c r="W890" s="671"/>
      <c r="X890" s="671"/>
      <c r="Y890" s="671"/>
      <c r="Z890" s="671"/>
      <c r="AA890" s="671"/>
      <c r="AB890" s="671"/>
    </row>
    <row r="891">
      <c r="A891" s="671"/>
      <c r="B891" s="671"/>
      <c r="C891" s="671"/>
      <c r="D891" s="671"/>
      <c r="E891" s="671"/>
      <c r="F891" s="671"/>
      <c r="G891" s="671"/>
      <c r="H891" s="671"/>
      <c r="I891" s="671"/>
      <c r="J891" s="671"/>
      <c r="K891" s="671"/>
      <c r="L891" s="671"/>
      <c r="M891" s="671"/>
      <c r="N891" s="671"/>
      <c r="O891" s="671"/>
      <c r="P891" s="671"/>
      <c r="Q891" s="671"/>
      <c r="R891" s="671"/>
      <c r="S891" s="671"/>
      <c r="T891" s="671"/>
      <c r="U891" s="671"/>
      <c r="V891" s="671"/>
      <c r="W891" s="671"/>
      <c r="X891" s="671"/>
      <c r="Y891" s="671"/>
      <c r="Z891" s="671"/>
      <c r="AA891" s="671"/>
      <c r="AB891" s="671"/>
    </row>
    <row r="892">
      <c r="A892" s="671"/>
      <c r="B892" s="671"/>
      <c r="C892" s="671"/>
      <c r="D892" s="671"/>
      <c r="E892" s="671"/>
      <c r="F892" s="671"/>
      <c r="G892" s="671"/>
      <c r="H892" s="671"/>
      <c r="I892" s="671"/>
      <c r="J892" s="671"/>
      <c r="K892" s="671"/>
      <c r="L892" s="671"/>
      <c r="M892" s="671"/>
      <c r="N892" s="671"/>
      <c r="O892" s="671"/>
      <c r="P892" s="671"/>
      <c r="Q892" s="671"/>
      <c r="R892" s="671"/>
      <c r="S892" s="671"/>
      <c r="T892" s="671"/>
      <c r="U892" s="671"/>
      <c r="V892" s="671"/>
      <c r="W892" s="671"/>
      <c r="X892" s="671"/>
      <c r="Y892" s="671"/>
      <c r="Z892" s="671"/>
      <c r="AA892" s="671"/>
      <c r="AB892" s="671"/>
    </row>
    <row r="893">
      <c r="A893" s="671"/>
      <c r="B893" s="671"/>
      <c r="C893" s="671"/>
      <c r="D893" s="671"/>
      <c r="E893" s="671"/>
      <c r="F893" s="671"/>
      <c r="G893" s="671"/>
      <c r="H893" s="671"/>
      <c r="I893" s="671"/>
      <c r="J893" s="671"/>
      <c r="K893" s="671"/>
      <c r="L893" s="671"/>
      <c r="M893" s="671"/>
      <c r="N893" s="671"/>
      <c r="O893" s="671"/>
      <c r="P893" s="671"/>
      <c r="Q893" s="671"/>
      <c r="R893" s="671"/>
      <c r="S893" s="671"/>
      <c r="T893" s="671"/>
      <c r="U893" s="671"/>
      <c r="V893" s="671"/>
      <c r="W893" s="671"/>
      <c r="X893" s="671"/>
      <c r="Y893" s="671"/>
      <c r="Z893" s="671"/>
      <c r="AA893" s="671"/>
      <c r="AB893" s="671"/>
    </row>
    <row r="894">
      <c r="A894" s="671"/>
      <c r="B894" s="671"/>
      <c r="C894" s="671"/>
      <c r="D894" s="671"/>
      <c r="E894" s="671"/>
      <c r="F894" s="671"/>
      <c r="G894" s="671"/>
      <c r="H894" s="671"/>
      <c r="I894" s="671"/>
      <c r="J894" s="671"/>
      <c r="K894" s="671"/>
      <c r="L894" s="671"/>
      <c r="M894" s="671"/>
      <c r="N894" s="671"/>
      <c r="O894" s="671"/>
      <c r="P894" s="671"/>
      <c r="Q894" s="671"/>
      <c r="R894" s="671"/>
      <c r="S894" s="671"/>
      <c r="T894" s="671"/>
      <c r="U894" s="671"/>
      <c r="V894" s="671"/>
      <c r="W894" s="671"/>
      <c r="X894" s="671"/>
      <c r="Y894" s="671"/>
      <c r="Z894" s="671"/>
      <c r="AA894" s="671"/>
      <c r="AB894" s="671"/>
    </row>
    <row r="895">
      <c r="A895" s="671"/>
      <c r="B895" s="671"/>
      <c r="C895" s="671"/>
      <c r="D895" s="671"/>
      <c r="E895" s="671"/>
      <c r="F895" s="671"/>
      <c r="G895" s="671"/>
      <c r="H895" s="671"/>
      <c r="I895" s="671"/>
      <c r="J895" s="671"/>
      <c r="K895" s="671"/>
      <c r="L895" s="671"/>
      <c r="M895" s="671"/>
      <c r="N895" s="671"/>
      <c r="O895" s="671"/>
      <c r="P895" s="671"/>
      <c r="Q895" s="671"/>
      <c r="R895" s="671"/>
      <c r="S895" s="671"/>
      <c r="T895" s="671"/>
      <c r="U895" s="671"/>
      <c r="V895" s="671"/>
      <c r="W895" s="671"/>
      <c r="X895" s="671"/>
      <c r="Y895" s="671"/>
      <c r="Z895" s="671"/>
      <c r="AA895" s="671"/>
      <c r="AB895" s="671"/>
    </row>
    <row r="896">
      <c r="A896" s="671"/>
      <c r="B896" s="671"/>
      <c r="C896" s="671"/>
      <c r="D896" s="671"/>
      <c r="E896" s="671"/>
      <c r="F896" s="671"/>
      <c r="G896" s="671"/>
      <c r="H896" s="671"/>
      <c r="I896" s="671"/>
      <c r="J896" s="671"/>
      <c r="K896" s="671"/>
      <c r="L896" s="671"/>
      <c r="M896" s="671"/>
      <c r="N896" s="671"/>
      <c r="O896" s="671"/>
      <c r="P896" s="671"/>
      <c r="Q896" s="671"/>
      <c r="R896" s="671"/>
      <c r="S896" s="671"/>
      <c r="T896" s="671"/>
      <c r="U896" s="671"/>
      <c r="V896" s="671"/>
      <c r="W896" s="671"/>
      <c r="X896" s="671"/>
      <c r="Y896" s="671"/>
      <c r="Z896" s="671"/>
      <c r="AA896" s="671"/>
      <c r="AB896" s="671"/>
    </row>
    <row r="897">
      <c r="A897" s="671"/>
      <c r="B897" s="671"/>
      <c r="C897" s="671"/>
      <c r="D897" s="671"/>
      <c r="E897" s="671"/>
      <c r="F897" s="671"/>
      <c r="G897" s="671"/>
      <c r="H897" s="671"/>
      <c r="I897" s="671"/>
      <c r="J897" s="671"/>
      <c r="K897" s="671"/>
      <c r="L897" s="671"/>
      <c r="M897" s="671"/>
      <c r="N897" s="671"/>
      <c r="O897" s="671"/>
      <c r="P897" s="671"/>
      <c r="Q897" s="671"/>
      <c r="R897" s="671"/>
      <c r="S897" s="671"/>
      <c r="T897" s="671"/>
      <c r="U897" s="671"/>
      <c r="V897" s="671"/>
      <c r="W897" s="671"/>
      <c r="X897" s="671"/>
      <c r="Y897" s="671"/>
      <c r="Z897" s="671"/>
      <c r="AA897" s="671"/>
      <c r="AB897" s="671"/>
    </row>
    <row r="898">
      <c r="A898" s="671"/>
      <c r="B898" s="671"/>
      <c r="C898" s="671"/>
      <c r="D898" s="671"/>
      <c r="E898" s="671"/>
      <c r="F898" s="671"/>
      <c r="G898" s="671"/>
      <c r="H898" s="671"/>
      <c r="I898" s="671"/>
      <c r="J898" s="671"/>
      <c r="K898" s="671"/>
      <c r="L898" s="671"/>
      <c r="M898" s="671"/>
      <c r="N898" s="671"/>
      <c r="O898" s="671"/>
      <c r="P898" s="671"/>
      <c r="Q898" s="671"/>
      <c r="R898" s="671"/>
      <c r="S898" s="671"/>
      <c r="T898" s="671"/>
      <c r="U898" s="671"/>
      <c r="V898" s="671"/>
      <c r="W898" s="671"/>
      <c r="X898" s="671"/>
      <c r="Y898" s="671"/>
      <c r="Z898" s="671"/>
      <c r="AA898" s="671"/>
      <c r="AB898" s="671"/>
    </row>
    <row r="899">
      <c r="A899" s="671"/>
      <c r="B899" s="671"/>
      <c r="C899" s="671"/>
      <c r="D899" s="671"/>
      <c r="E899" s="671"/>
      <c r="F899" s="671"/>
      <c r="G899" s="671"/>
      <c r="H899" s="671"/>
      <c r="I899" s="671"/>
      <c r="J899" s="671"/>
      <c r="K899" s="671"/>
      <c r="L899" s="671"/>
      <c r="M899" s="671"/>
      <c r="N899" s="671"/>
      <c r="O899" s="671"/>
      <c r="P899" s="671"/>
      <c r="Q899" s="671"/>
      <c r="R899" s="671"/>
      <c r="S899" s="671"/>
      <c r="T899" s="671"/>
      <c r="U899" s="671"/>
      <c r="V899" s="671"/>
      <c r="W899" s="671"/>
      <c r="X899" s="671"/>
      <c r="Y899" s="671"/>
      <c r="Z899" s="671"/>
      <c r="AA899" s="671"/>
      <c r="AB899" s="671"/>
    </row>
    <row r="900">
      <c r="A900" s="671"/>
      <c r="B900" s="671"/>
      <c r="C900" s="671"/>
      <c r="D900" s="671"/>
      <c r="E900" s="671"/>
      <c r="F900" s="671"/>
      <c r="G900" s="671"/>
      <c r="H900" s="671"/>
      <c r="I900" s="671"/>
      <c r="J900" s="671"/>
      <c r="K900" s="671"/>
      <c r="L900" s="671"/>
      <c r="M900" s="671"/>
      <c r="N900" s="671"/>
      <c r="O900" s="671"/>
      <c r="P900" s="671"/>
      <c r="Q900" s="671"/>
      <c r="R900" s="671"/>
      <c r="S900" s="671"/>
      <c r="T900" s="671"/>
      <c r="U900" s="671"/>
      <c r="V900" s="671"/>
      <c r="W900" s="671"/>
      <c r="X900" s="671"/>
      <c r="Y900" s="671"/>
      <c r="Z900" s="671"/>
      <c r="AA900" s="671"/>
      <c r="AB900" s="671"/>
    </row>
    <row r="901">
      <c r="A901" s="671"/>
      <c r="B901" s="671"/>
      <c r="C901" s="671"/>
      <c r="D901" s="671"/>
      <c r="E901" s="671"/>
      <c r="F901" s="671"/>
      <c r="G901" s="671"/>
      <c r="H901" s="671"/>
      <c r="I901" s="671"/>
      <c r="J901" s="671"/>
      <c r="K901" s="671"/>
      <c r="L901" s="671"/>
      <c r="M901" s="671"/>
      <c r="N901" s="671"/>
      <c r="O901" s="671"/>
      <c r="P901" s="671"/>
      <c r="Q901" s="671"/>
      <c r="R901" s="671"/>
      <c r="S901" s="671"/>
      <c r="T901" s="671"/>
      <c r="U901" s="671"/>
      <c r="V901" s="671"/>
      <c r="W901" s="671"/>
      <c r="X901" s="671"/>
      <c r="Y901" s="671"/>
      <c r="Z901" s="671"/>
      <c r="AA901" s="671"/>
      <c r="AB901" s="671"/>
    </row>
    <row r="902">
      <c r="A902" s="671"/>
      <c r="B902" s="671"/>
      <c r="C902" s="671"/>
      <c r="D902" s="671"/>
      <c r="E902" s="671"/>
      <c r="F902" s="671"/>
      <c r="G902" s="671"/>
      <c r="H902" s="671"/>
      <c r="I902" s="671"/>
      <c r="J902" s="671"/>
      <c r="K902" s="671"/>
      <c r="L902" s="671"/>
      <c r="M902" s="671"/>
      <c r="N902" s="671"/>
      <c r="O902" s="671"/>
      <c r="P902" s="671"/>
      <c r="Q902" s="671"/>
      <c r="R902" s="671"/>
      <c r="S902" s="671"/>
      <c r="T902" s="671"/>
      <c r="U902" s="671"/>
      <c r="V902" s="671"/>
      <c r="W902" s="671"/>
      <c r="X902" s="671"/>
      <c r="Y902" s="671"/>
      <c r="Z902" s="671"/>
      <c r="AA902" s="671"/>
      <c r="AB902" s="671"/>
    </row>
    <row r="903">
      <c r="A903" s="671"/>
      <c r="B903" s="671"/>
      <c r="C903" s="671"/>
      <c r="D903" s="671"/>
      <c r="E903" s="671"/>
      <c r="F903" s="671"/>
      <c r="G903" s="671"/>
      <c r="H903" s="671"/>
      <c r="I903" s="671"/>
      <c r="J903" s="671"/>
      <c r="K903" s="671"/>
      <c r="L903" s="671"/>
      <c r="M903" s="671"/>
      <c r="N903" s="671"/>
      <c r="O903" s="671"/>
      <c r="P903" s="671"/>
      <c r="Q903" s="671"/>
      <c r="R903" s="671"/>
      <c r="S903" s="671"/>
      <c r="T903" s="671"/>
      <c r="U903" s="671"/>
      <c r="V903" s="671"/>
      <c r="W903" s="671"/>
      <c r="X903" s="671"/>
      <c r="Y903" s="671"/>
      <c r="Z903" s="671"/>
      <c r="AA903" s="671"/>
      <c r="AB903" s="671"/>
    </row>
    <row r="904">
      <c r="A904" s="671"/>
      <c r="B904" s="671"/>
      <c r="C904" s="671"/>
      <c r="D904" s="671"/>
      <c r="E904" s="671"/>
      <c r="F904" s="671"/>
      <c r="G904" s="671"/>
      <c r="H904" s="671"/>
      <c r="I904" s="671"/>
      <c r="J904" s="671"/>
      <c r="K904" s="671"/>
      <c r="L904" s="671"/>
      <c r="M904" s="671"/>
      <c r="N904" s="671"/>
      <c r="O904" s="671"/>
      <c r="P904" s="671"/>
      <c r="Q904" s="671"/>
      <c r="R904" s="671"/>
      <c r="S904" s="671"/>
      <c r="T904" s="671"/>
      <c r="U904" s="671"/>
      <c r="V904" s="671"/>
      <c r="W904" s="671"/>
      <c r="X904" s="671"/>
      <c r="Y904" s="671"/>
      <c r="Z904" s="671"/>
      <c r="AA904" s="671"/>
      <c r="AB904" s="671"/>
    </row>
    <row r="905">
      <c r="A905" s="671"/>
      <c r="B905" s="671"/>
      <c r="C905" s="671"/>
      <c r="D905" s="671"/>
      <c r="E905" s="671"/>
      <c r="F905" s="671"/>
      <c r="G905" s="671"/>
      <c r="H905" s="671"/>
      <c r="I905" s="671"/>
      <c r="J905" s="671"/>
      <c r="K905" s="671"/>
      <c r="L905" s="671"/>
      <c r="M905" s="671"/>
      <c r="N905" s="671"/>
      <c r="O905" s="671"/>
      <c r="P905" s="671"/>
      <c r="Q905" s="671"/>
      <c r="R905" s="671"/>
      <c r="S905" s="671"/>
      <c r="T905" s="671"/>
      <c r="U905" s="671"/>
      <c r="V905" s="671"/>
      <c r="W905" s="671"/>
      <c r="X905" s="671"/>
      <c r="Y905" s="671"/>
      <c r="Z905" s="671"/>
      <c r="AA905" s="671"/>
      <c r="AB905" s="671"/>
    </row>
    <row r="906">
      <c r="A906" s="671"/>
      <c r="B906" s="671"/>
      <c r="C906" s="671"/>
      <c r="D906" s="671"/>
      <c r="E906" s="671"/>
      <c r="F906" s="671"/>
      <c r="G906" s="671"/>
      <c r="H906" s="671"/>
      <c r="I906" s="671"/>
      <c r="J906" s="671"/>
      <c r="K906" s="671"/>
      <c r="L906" s="671"/>
      <c r="M906" s="671"/>
      <c r="N906" s="671"/>
      <c r="O906" s="671"/>
      <c r="P906" s="671"/>
      <c r="Q906" s="671"/>
      <c r="R906" s="671"/>
      <c r="S906" s="671"/>
      <c r="T906" s="671"/>
      <c r="U906" s="671"/>
      <c r="V906" s="671"/>
      <c r="W906" s="671"/>
      <c r="X906" s="671"/>
      <c r="Y906" s="671"/>
      <c r="Z906" s="671"/>
      <c r="AA906" s="671"/>
      <c r="AB906" s="671"/>
    </row>
    <row r="907">
      <c r="A907" s="671"/>
      <c r="B907" s="671"/>
      <c r="C907" s="671"/>
      <c r="D907" s="671"/>
      <c r="E907" s="671"/>
      <c r="F907" s="671"/>
      <c r="G907" s="671"/>
      <c r="H907" s="671"/>
      <c r="I907" s="671"/>
      <c r="J907" s="671"/>
      <c r="K907" s="671"/>
      <c r="L907" s="671"/>
      <c r="M907" s="671"/>
      <c r="N907" s="671"/>
      <c r="O907" s="671"/>
      <c r="P907" s="671"/>
      <c r="Q907" s="671"/>
      <c r="R907" s="671"/>
      <c r="S907" s="671"/>
      <c r="T907" s="671"/>
      <c r="U907" s="671"/>
      <c r="V907" s="671"/>
      <c r="W907" s="671"/>
      <c r="X907" s="671"/>
      <c r="Y907" s="671"/>
      <c r="Z907" s="671"/>
      <c r="AA907" s="671"/>
      <c r="AB907" s="671"/>
    </row>
    <row r="908">
      <c r="A908" s="671"/>
      <c r="B908" s="671"/>
      <c r="C908" s="671"/>
      <c r="D908" s="671"/>
      <c r="E908" s="671"/>
      <c r="F908" s="671"/>
      <c r="G908" s="671"/>
      <c r="H908" s="671"/>
      <c r="I908" s="671"/>
      <c r="J908" s="671"/>
      <c r="K908" s="671"/>
      <c r="L908" s="671"/>
      <c r="M908" s="671"/>
      <c r="N908" s="671"/>
      <c r="O908" s="671"/>
      <c r="P908" s="671"/>
      <c r="Q908" s="671"/>
      <c r="R908" s="671"/>
      <c r="S908" s="671"/>
      <c r="T908" s="671"/>
      <c r="U908" s="671"/>
      <c r="V908" s="671"/>
      <c r="W908" s="671"/>
      <c r="X908" s="671"/>
      <c r="Y908" s="671"/>
      <c r="Z908" s="671"/>
      <c r="AA908" s="671"/>
      <c r="AB908" s="671"/>
    </row>
    <row r="909">
      <c r="A909" s="671"/>
      <c r="B909" s="671"/>
      <c r="C909" s="671"/>
      <c r="D909" s="671"/>
      <c r="E909" s="671"/>
      <c r="F909" s="671"/>
      <c r="G909" s="671"/>
      <c r="H909" s="671"/>
      <c r="I909" s="671"/>
      <c r="J909" s="671"/>
      <c r="K909" s="671"/>
      <c r="L909" s="671"/>
      <c r="M909" s="671"/>
      <c r="N909" s="671"/>
      <c r="O909" s="671"/>
      <c r="P909" s="671"/>
      <c r="Q909" s="671"/>
      <c r="R909" s="671"/>
      <c r="S909" s="671"/>
      <c r="T909" s="671"/>
      <c r="U909" s="671"/>
      <c r="V909" s="671"/>
      <c r="W909" s="671"/>
      <c r="X909" s="671"/>
      <c r="Y909" s="671"/>
      <c r="Z909" s="671"/>
      <c r="AA909" s="671"/>
      <c r="AB909" s="671"/>
    </row>
    <row r="910">
      <c r="A910" s="671"/>
      <c r="B910" s="671"/>
      <c r="C910" s="671"/>
      <c r="D910" s="671"/>
      <c r="E910" s="671"/>
      <c r="F910" s="671"/>
      <c r="G910" s="671"/>
      <c r="H910" s="671"/>
      <c r="I910" s="671"/>
      <c r="J910" s="671"/>
      <c r="K910" s="671"/>
      <c r="L910" s="671"/>
      <c r="M910" s="671"/>
      <c r="N910" s="671"/>
      <c r="O910" s="671"/>
      <c r="P910" s="671"/>
      <c r="Q910" s="671"/>
      <c r="R910" s="671"/>
      <c r="S910" s="671"/>
      <c r="T910" s="671"/>
      <c r="U910" s="671"/>
      <c r="V910" s="671"/>
      <c r="W910" s="671"/>
      <c r="X910" s="671"/>
      <c r="Y910" s="671"/>
      <c r="Z910" s="671"/>
      <c r="AA910" s="671"/>
      <c r="AB910" s="671"/>
    </row>
    <row r="911">
      <c r="A911" s="671"/>
      <c r="B911" s="671"/>
      <c r="C911" s="671"/>
      <c r="D911" s="671"/>
      <c r="E911" s="671"/>
      <c r="F911" s="671"/>
      <c r="G911" s="671"/>
      <c r="H911" s="671"/>
      <c r="I911" s="671"/>
      <c r="J911" s="671"/>
      <c r="K911" s="671"/>
      <c r="L911" s="671"/>
      <c r="M911" s="671"/>
      <c r="N911" s="671"/>
      <c r="O911" s="671"/>
      <c r="P911" s="671"/>
      <c r="Q911" s="671"/>
      <c r="R911" s="671"/>
      <c r="S911" s="671"/>
      <c r="T911" s="671"/>
      <c r="U911" s="671"/>
      <c r="V911" s="671"/>
      <c r="W911" s="671"/>
      <c r="X911" s="671"/>
      <c r="Y911" s="671"/>
      <c r="Z911" s="671"/>
      <c r="AA911" s="671"/>
      <c r="AB911" s="671"/>
    </row>
    <row r="912">
      <c r="A912" s="671"/>
      <c r="B912" s="671"/>
      <c r="C912" s="671"/>
      <c r="D912" s="671"/>
      <c r="E912" s="671"/>
      <c r="F912" s="671"/>
      <c r="G912" s="671"/>
      <c r="H912" s="671"/>
      <c r="I912" s="671"/>
      <c r="J912" s="671"/>
      <c r="K912" s="671"/>
      <c r="L912" s="671"/>
      <c r="M912" s="671"/>
      <c r="N912" s="671"/>
      <c r="O912" s="671"/>
      <c r="P912" s="671"/>
      <c r="Q912" s="671"/>
      <c r="R912" s="671"/>
      <c r="S912" s="671"/>
      <c r="T912" s="671"/>
      <c r="U912" s="671"/>
      <c r="V912" s="671"/>
      <c r="W912" s="671"/>
      <c r="X912" s="671"/>
      <c r="Y912" s="671"/>
      <c r="Z912" s="671"/>
      <c r="AA912" s="671"/>
      <c r="AB912" s="671"/>
    </row>
    <row r="913">
      <c r="A913" s="671"/>
      <c r="B913" s="671"/>
      <c r="C913" s="671"/>
      <c r="D913" s="671"/>
      <c r="E913" s="671"/>
      <c r="F913" s="671"/>
      <c r="G913" s="671"/>
      <c r="H913" s="671"/>
      <c r="I913" s="671"/>
      <c r="J913" s="671"/>
      <c r="K913" s="671"/>
      <c r="L913" s="671"/>
      <c r="M913" s="671"/>
      <c r="N913" s="671"/>
      <c r="O913" s="671"/>
      <c r="P913" s="671"/>
      <c r="Q913" s="671"/>
      <c r="R913" s="671"/>
      <c r="S913" s="671"/>
      <c r="T913" s="671"/>
      <c r="U913" s="671"/>
      <c r="V913" s="671"/>
      <c r="W913" s="671"/>
      <c r="X913" s="671"/>
      <c r="Y913" s="671"/>
      <c r="Z913" s="671"/>
      <c r="AA913" s="671"/>
      <c r="AB913" s="671"/>
    </row>
    <row r="914">
      <c r="A914" s="671"/>
      <c r="B914" s="671"/>
      <c r="C914" s="671"/>
      <c r="D914" s="671"/>
      <c r="E914" s="671"/>
      <c r="F914" s="671"/>
      <c r="G914" s="671"/>
      <c r="H914" s="671"/>
      <c r="I914" s="671"/>
      <c r="J914" s="671"/>
      <c r="K914" s="671"/>
      <c r="L914" s="671"/>
      <c r="M914" s="671"/>
      <c r="N914" s="671"/>
      <c r="O914" s="671"/>
      <c r="P914" s="671"/>
      <c r="Q914" s="671"/>
      <c r="R914" s="671"/>
      <c r="S914" s="671"/>
      <c r="T914" s="671"/>
      <c r="U914" s="671"/>
      <c r="V914" s="671"/>
      <c r="W914" s="671"/>
      <c r="X914" s="671"/>
      <c r="Y914" s="671"/>
      <c r="Z914" s="671"/>
      <c r="AA914" s="671"/>
      <c r="AB914" s="671"/>
    </row>
    <row r="915">
      <c r="A915" s="671"/>
      <c r="B915" s="671"/>
      <c r="C915" s="671"/>
      <c r="D915" s="671"/>
      <c r="E915" s="671"/>
      <c r="F915" s="671"/>
      <c r="G915" s="671"/>
      <c r="H915" s="671"/>
      <c r="I915" s="671"/>
      <c r="J915" s="671"/>
      <c r="K915" s="671"/>
      <c r="L915" s="671"/>
      <c r="M915" s="671"/>
      <c r="N915" s="671"/>
      <c r="O915" s="671"/>
      <c r="P915" s="671"/>
      <c r="Q915" s="671"/>
      <c r="R915" s="671"/>
      <c r="S915" s="671"/>
      <c r="T915" s="671"/>
      <c r="U915" s="671"/>
      <c r="V915" s="671"/>
      <c r="W915" s="671"/>
      <c r="X915" s="671"/>
      <c r="Y915" s="671"/>
      <c r="Z915" s="671"/>
      <c r="AA915" s="671"/>
      <c r="AB915" s="671"/>
    </row>
    <row r="916">
      <c r="A916" s="671"/>
      <c r="B916" s="671"/>
      <c r="C916" s="671"/>
      <c r="D916" s="671"/>
      <c r="E916" s="671"/>
      <c r="F916" s="671"/>
      <c r="G916" s="671"/>
      <c r="H916" s="671"/>
      <c r="I916" s="671"/>
      <c r="J916" s="671"/>
      <c r="K916" s="671"/>
      <c r="L916" s="671"/>
      <c r="M916" s="671"/>
      <c r="N916" s="671"/>
      <c r="O916" s="671"/>
      <c r="P916" s="671"/>
      <c r="Q916" s="671"/>
      <c r="R916" s="671"/>
      <c r="S916" s="671"/>
      <c r="T916" s="671"/>
      <c r="U916" s="671"/>
      <c r="V916" s="671"/>
      <c r="W916" s="671"/>
      <c r="X916" s="671"/>
      <c r="Y916" s="671"/>
      <c r="Z916" s="671"/>
      <c r="AA916" s="671"/>
      <c r="AB916" s="671"/>
    </row>
    <row r="917">
      <c r="A917" s="671"/>
      <c r="B917" s="671"/>
      <c r="C917" s="671"/>
      <c r="D917" s="671"/>
      <c r="E917" s="671"/>
      <c r="F917" s="671"/>
      <c r="G917" s="671"/>
      <c r="H917" s="671"/>
      <c r="I917" s="671"/>
      <c r="J917" s="671"/>
      <c r="K917" s="671"/>
      <c r="L917" s="671"/>
      <c r="M917" s="671"/>
      <c r="N917" s="671"/>
      <c r="O917" s="671"/>
      <c r="P917" s="671"/>
      <c r="Q917" s="671"/>
      <c r="R917" s="671"/>
      <c r="S917" s="671"/>
      <c r="T917" s="671"/>
      <c r="U917" s="671"/>
      <c r="V917" s="671"/>
      <c r="W917" s="671"/>
      <c r="X917" s="671"/>
      <c r="Y917" s="671"/>
      <c r="Z917" s="671"/>
      <c r="AA917" s="671"/>
      <c r="AB917" s="671"/>
    </row>
    <row r="918">
      <c r="A918" s="671"/>
      <c r="B918" s="671"/>
      <c r="C918" s="671"/>
      <c r="D918" s="671"/>
      <c r="E918" s="671"/>
      <c r="F918" s="671"/>
      <c r="G918" s="671"/>
      <c r="H918" s="671"/>
      <c r="I918" s="671"/>
      <c r="J918" s="671"/>
      <c r="K918" s="671"/>
      <c r="L918" s="671"/>
      <c r="M918" s="671"/>
      <c r="N918" s="671"/>
      <c r="O918" s="671"/>
      <c r="P918" s="671"/>
      <c r="Q918" s="671"/>
      <c r="R918" s="671"/>
      <c r="S918" s="671"/>
      <c r="T918" s="671"/>
      <c r="U918" s="671"/>
      <c r="V918" s="671"/>
      <c r="W918" s="671"/>
      <c r="X918" s="671"/>
      <c r="Y918" s="671"/>
      <c r="Z918" s="671"/>
      <c r="AA918" s="671"/>
      <c r="AB918" s="671"/>
    </row>
    <row r="919">
      <c r="A919" s="671"/>
      <c r="B919" s="671"/>
      <c r="C919" s="671"/>
      <c r="D919" s="671"/>
      <c r="E919" s="671"/>
      <c r="F919" s="671"/>
      <c r="G919" s="671"/>
      <c r="H919" s="671"/>
      <c r="I919" s="671"/>
      <c r="J919" s="671"/>
      <c r="K919" s="671"/>
      <c r="L919" s="671"/>
      <c r="M919" s="671"/>
      <c r="N919" s="671"/>
      <c r="O919" s="671"/>
      <c r="P919" s="671"/>
      <c r="Q919" s="671"/>
      <c r="R919" s="671"/>
      <c r="S919" s="671"/>
      <c r="T919" s="671"/>
      <c r="U919" s="671"/>
      <c r="V919" s="671"/>
      <c r="W919" s="671"/>
      <c r="X919" s="671"/>
      <c r="Y919" s="671"/>
      <c r="Z919" s="671"/>
      <c r="AA919" s="671"/>
      <c r="AB919" s="671"/>
    </row>
    <row r="920">
      <c r="A920" s="671"/>
      <c r="B920" s="671"/>
      <c r="C920" s="671"/>
      <c r="D920" s="671"/>
      <c r="E920" s="671"/>
      <c r="F920" s="671"/>
      <c r="G920" s="671"/>
      <c r="H920" s="671"/>
      <c r="I920" s="671"/>
      <c r="J920" s="671"/>
      <c r="K920" s="671"/>
      <c r="L920" s="671"/>
      <c r="M920" s="671"/>
      <c r="N920" s="671"/>
      <c r="O920" s="671"/>
      <c r="P920" s="671"/>
      <c r="Q920" s="671"/>
      <c r="R920" s="671"/>
      <c r="S920" s="671"/>
      <c r="T920" s="671"/>
      <c r="U920" s="671"/>
      <c r="V920" s="671"/>
      <c r="W920" s="671"/>
      <c r="X920" s="671"/>
      <c r="Y920" s="671"/>
      <c r="Z920" s="671"/>
      <c r="AA920" s="671"/>
      <c r="AB920" s="671"/>
    </row>
    <row r="921">
      <c r="A921" s="671"/>
      <c r="B921" s="671"/>
      <c r="C921" s="671"/>
      <c r="D921" s="671"/>
      <c r="E921" s="671"/>
      <c r="F921" s="671"/>
      <c r="G921" s="671"/>
      <c r="H921" s="671"/>
      <c r="I921" s="671"/>
      <c r="J921" s="671"/>
      <c r="K921" s="671"/>
      <c r="L921" s="671"/>
      <c r="M921" s="671"/>
      <c r="N921" s="671"/>
      <c r="O921" s="671"/>
      <c r="P921" s="671"/>
      <c r="Q921" s="671"/>
      <c r="R921" s="671"/>
      <c r="S921" s="671"/>
      <c r="T921" s="671"/>
      <c r="U921" s="671"/>
      <c r="V921" s="671"/>
      <c r="W921" s="671"/>
      <c r="X921" s="671"/>
      <c r="Y921" s="671"/>
      <c r="Z921" s="671"/>
      <c r="AA921" s="671"/>
      <c r="AB921" s="671"/>
    </row>
    <row r="922">
      <c r="A922" s="671"/>
      <c r="B922" s="671"/>
      <c r="C922" s="671"/>
      <c r="D922" s="671"/>
      <c r="E922" s="671"/>
      <c r="F922" s="671"/>
      <c r="G922" s="671"/>
      <c r="H922" s="671"/>
      <c r="I922" s="671"/>
      <c r="J922" s="671"/>
      <c r="K922" s="671"/>
      <c r="L922" s="671"/>
      <c r="M922" s="671"/>
      <c r="N922" s="671"/>
      <c r="O922" s="671"/>
      <c r="P922" s="671"/>
      <c r="Q922" s="671"/>
      <c r="R922" s="671"/>
      <c r="S922" s="671"/>
      <c r="T922" s="671"/>
      <c r="U922" s="671"/>
      <c r="V922" s="671"/>
      <c r="W922" s="671"/>
      <c r="X922" s="671"/>
      <c r="Y922" s="671"/>
      <c r="Z922" s="671"/>
      <c r="AA922" s="671"/>
      <c r="AB922" s="671"/>
    </row>
    <row r="923">
      <c r="A923" s="671"/>
      <c r="B923" s="671"/>
      <c r="C923" s="671"/>
      <c r="D923" s="671"/>
      <c r="E923" s="671"/>
      <c r="F923" s="671"/>
      <c r="G923" s="671"/>
      <c r="H923" s="671"/>
      <c r="I923" s="671"/>
      <c r="J923" s="671"/>
      <c r="K923" s="671"/>
      <c r="L923" s="671"/>
      <c r="M923" s="671"/>
      <c r="N923" s="671"/>
      <c r="O923" s="671"/>
      <c r="P923" s="671"/>
      <c r="Q923" s="671"/>
      <c r="R923" s="671"/>
      <c r="S923" s="671"/>
      <c r="T923" s="671"/>
      <c r="U923" s="671"/>
      <c r="V923" s="671"/>
      <c r="W923" s="671"/>
      <c r="X923" s="671"/>
      <c r="Y923" s="671"/>
      <c r="Z923" s="671"/>
      <c r="AA923" s="671"/>
      <c r="AB923" s="671"/>
    </row>
    <row r="924">
      <c r="A924" s="671"/>
      <c r="B924" s="671"/>
      <c r="C924" s="671"/>
      <c r="D924" s="671"/>
      <c r="E924" s="671"/>
      <c r="F924" s="671"/>
      <c r="G924" s="671"/>
      <c r="H924" s="671"/>
      <c r="I924" s="671"/>
      <c r="J924" s="671"/>
      <c r="K924" s="671"/>
      <c r="L924" s="671"/>
      <c r="M924" s="671"/>
      <c r="N924" s="671"/>
      <c r="O924" s="671"/>
      <c r="P924" s="671"/>
      <c r="Q924" s="671"/>
      <c r="R924" s="671"/>
      <c r="S924" s="671"/>
      <c r="T924" s="671"/>
      <c r="U924" s="671"/>
      <c r="V924" s="671"/>
      <c r="W924" s="671"/>
      <c r="X924" s="671"/>
      <c r="Y924" s="671"/>
      <c r="Z924" s="671"/>
      <c r="AA924" s="671"/>
      <c r="AB924" s="671"/>
    </row>
    <row r="925">
      <c r="A925" s="671"/>
      <c r="B925" s="671"/>
      <c r="C925" s="671"/>
      <c r="D925" s="671"/>
      <c r="E925" s="671"/>
      <c r="F925" s="671"/>
      <c r="G925" s="671"/>
      <c r="H925" s="671"/>
      <c r="I925" s="671"/>
      <c r="J925" s="671"/>
      <c r="K925" s="671"/>
      <c r="L925" s="671"/>
      <c r="M925" s="671"/>
      <c r="N925" s="671"/>
      <c r="O925" s="671"/>
      <c r="P925" s="671"/>
      <c r="Q925" s="671"/>
      <c r="R925" s="671"/>
      <c r="S925" s="671"/>
      <c r="T925" s="671"/>
      <c r="U925" s="671"/>
      <c r="V925" s="671"/>
      <c r="W925" s="671"/>
      <c r="X925" s="671"/>
      <c r="Y925" s="671"/>
      <c r="Z925" s="671"/>
      <c r="AA925" s="671"/>
      <c r="AB925" s="671"/>
    </row>
    <row r="926">
      <c r="A926" s="671"/>
      <c r="B926" s="671"/>
      <c r="C926" s="671"/>
      <c r="D926" s="671"/>
      <c r="E926" s="671"/>
      <c r="F926" s="671"/>
      <c r="G926" s="671"/>
      <c r="H926" s="671"/>
      <c r="I926" s="671"/>
      <c r="J926" s="671"/>
      <c r="K926" s="671"/>
      <c r="L926" s="671"/>
      <c r="M926" s="671"/>
      <c r="N926" s="671"/>
      <c r="O926" s="671"/>
      <c r="P926" s="671"/>
      <c r="Q926" s="671"/>
      <c r="R926" s="671"/>
      <c r="S926" s="671"/>
      <c r="T926" s="671"/>
      <c r="U926" s="671"/>
      <c r="V926" s="671"/>
      <c r="W926" s="671"/>
      <c r="X926" s="671"/>
      <c r="Y926" s="671"/>
      <c r="Z926" s="671"/>
      <c r="AA926" s="671"/>
      <c r="AB926" s="671"/>
    </row>
    <row r="927">
      <c r="A927" s="671"/>
      <c r="B927" s="671"/>
      <c r="C927" s="671"/>
      <c r="D927" s="671"/>
      <c r="E927" s="671"/>
      <c r="F927" s="671"/>
      <c r="G927" s="671"/>
      <c r="H927" s="671"/>
      <c r="I927" s="671"/>
      <c r="J927" s="671"/>
      <c r="K927" s="671"/>
      <c r="L927" s="671"/>
      <c r="M927" s="671"/>
      <c r="N927" s="671"/>
      <c r="O927" s="671"/>
      <c r="P927" s="671"/>
      <c r="Q927" s="671"/>
      <c r="R927" s="671"/>
      <c r="S927" s="671"/>
      <c r="T927" s="671"/>
      <c r="U927" s="671"/>
      <c r="V927" s="671"/>
      <c r="W927" s="671"/>
      <c r="X927" s="671"/>
      <c r="Y927" s="671"/>
      <c r="Z927" s="671"/>
      <c r="AA927" s="671"/>
      <c r="AB927" s="671"/>
    </row>
    <row r="928">
      <c r="A928" s="671"/>
      <c r="B928" s="671"/>
      <c r="C928" s="671"/>
      <c r="D928" s="671"/>
      <c r="E928" s="671"/>
      <c r="F928" s="671"/>
      <c r="G928" s="671"/>
      <c r="H928" s="671"/>
      <c r="I928" s="671"/>
      <c r="J928" s="671"/>
      <c r="K928" s="671"/>
      <c r="L928" s="671"/>
      <c r="M928" s="671"/>
      <c r="N928" s="671"/>
      <c r="O928" s="671"/>
      <c r="P928" s="671"/>
      <c r="Q928" s="671"/>
      <c r="R928" s="671"/>
      <c r="S928" s="671"/>
      <c r="T928" s="671"/>
      <c r="U928" s="671"/>
      <c r="V928" s="671"/>
      <c r="W928" s="671"/>
      <c r="X928" s="671"/>
      <c r="Y928" s="671"/>
      <c r="Z928" s="671"/>
      <c r="AA928" s="671"/>
      <c r="AB928" s="671"/>
    </row>
    <row r="929">
      <c r="A929" s="671"/>
      <c r="B929" s="671"/>
      <c r="C929" s="671"/>
      <c r="D929" s="671"/>
      <c r="E929" s="671"/>
      <c r="F929" s="671"/>
      <c r="G929" s="671"/>
      <c r="H929" s="671"/>
      <c r="I929" s="671"/>
      <c r="J929" s="671"/>
      <c r="K929" s="671"/>
      <c r="L929" s="671"/>
      <c r="M929" s="671"/>
      <c r="N929" s="671"/>
      <c r="O929" s="671"/>
      <c r="P929" s="671"/>
      <c r="Q929" s="671"/>
      <c r="R929" s="671"/>
      <c r="S929" s="671"/>
      <c r="T929" s="671"/>
      <c r="U929" s="671"/>
      <c r="V929" s="671"/>
      <c r="W929" s="671"/>
      <c r="X929" s="671"/>
      <c r="Y929" s="671"/>
      <c r="Z929" s="671"/>
      <c r="AA929" s="671"/>
      <c r="AB929" s="671"/>
    </row>
    <row r="930">
      <c r="A930" s="671"/>
      <c r="B930" s="671"/>
      <c r="C930" s="671"/>
      <c r="D930" s="671"/>
      <c r="E930" s="671"/>
      <c r="F930" s="671"/>
      <c r="G930" s="671"/>
      <c r="H930" s="671"/>
      <c r="I930" s="671"/>
      <c r="J930" s="671"/>
      <c r="K930" s="671"/>
      <c r="L930" s="671"/>
      <c r="M930" s="671"/>
      <c r="N930" s="671"/>
      <c r="O930" s="671"/>
      <c r="P930" s="671"/>
      <c r="Q930" s="671"/>
      <c r="R930" s="671"/>
      <c r="S930" s="671"/>
      <c r="T930" s="671"/>
      <c r="U930" s="671"/>
      <c r="V930" s="671"/>
      <c r="W930" s="671"/>
      <c r="X930" s="671"/>
      <c r="Y930" s="671"/>
      <c r="Z930" s="671"/>
      <c r="AA930" s="671"/>
      <c r="AB930" s="671"/>
    </row>
    <row r="931">
      <c r="A931" s="671"/>
      <c r="B931" s="671"/>
      <c r="C931" s="671"/>
      <c r="D931" s="671"/>
      <c r="E931" s="671"/>
      <c r="F931" s="671"/>
      <c r="G931" s="671"/>
      <c r="H931" s="671"/>
      <c r="I931" s="671"/>
      <c r="J931" s="671"/>
      <c r="K931" s="671"/>
      <c r="L931" s="671"/>
      <c r="M931" s="671"/>
      <c r="N931" s="671"/>
      <c r="O931" s="671"/>
      <c r="P931" s="671"/>
      <c r="Q931" s="671"/>
      <c r="R931" s="671"/>
      <c r="S931" s="671"/>
      <c r="T931" s="671"/>
      <c r="U931" s="671"/>
      <c r="V931" s="671"/>
      <c r="W931" s="671"/>
      <c r="X931" s="671"/>
      <c r="Y931" s="671"/>
      <c r="Z931" s="671"/>
      <c r="AA931" s="671"/>
      <c r="AB931" s="671"/>
    </row>
    <row r="932">
      <c r="A932" s="671"/>
      <c r="B932" s="671"/>
      <c r="C932" s="671"/>
      <c r="D932" s="671"/>
      <c r="E932" s="671"/>
      <c r="F932" s="671"/>
      <c r="G932" s="671"/>
      <c r="H932" s="671"/>
      <c r="I932" s="671"/>
      <c r="J932" s="671"/>
      <c r="K932" s="671"/>
      <c r="L932" s="671"/>
      <c r="M932" s="671"/>
      <c r="N932" s="671"/>
      <c r="O932" s="671"/>
      <c r="P932" s="671"/>
      <c r="Q932" s="671"/>
      <c r="R932" s="671"/>
      <c r="S932" s="671"/>
      <c r="T932" s="671"/>
      <c r="U932" s="671"/>
      <c r="V932" s="671"/>
      <c r="W932" s="671"/>
      <c r="X932" s="671"/>
      <c r="Y932" s="671"/>
      <c r="Z932" s="671"/>
      <c r="AA932" s="671"/>
      <c r="AB932" s="671"/>
    </row>
    <row r="933">
      <c r="A933" s="671"/>
      <c r="B933" s="671"/>
      <c r="C933" s="671"/>
      <c r="D933" s="671"/>
      <c r="E933" s="671"/>
      <c r="F933" s="671"/>
      <c r="G933" s="671"/>
      <c r="H933" s="671"/>
      <c r="I933" s="671"/>
      <c r="J933" s="671"/>
      <c r="K933" s="671"/>
      <c r="L933" s="671"/>
      <c r="M933" s="671"/>
      <c r="N933" s="671"/>
      <c r="O933" s="671"/>
      <c r="P933" s="671"/>
      <c r="Q933" s="671"/>
      <c r="R933" s="671"/>
      <c r="S933" s="671"/>
      <c r="T933" s="671"/>
      <c r="U933" s="671"/>
      <c r="V933" s="671"/>
      <c r="W933" s="671"/>
      <c r="X933" s="671"/>
      <c r="Y933" s="671"/>
      <c r="Z933" s="671"/>
      <c r="AA933" s="671"/>
      <c r="AB933" s="671"/>
    </row>
    <row r="934">
      <c r="A934" s="671"/>
      <c r="B934" s="671"/>
      <c r="C934" s="671"/>
      <c r="D934" s="671"/>
      <c r="E934" s="671"/>
      <c r="F934" s="671"/>
      <c r="G934" s="671"/>
      <c r="H934" s="671"/>
      <c r="I934" s="671"/>
      <c r="J934" s="671"/>
      <c r="K934" s="671"/>
      <c r="L934" s="671"/>
      <c r="M934" s="671"/>
      <c r="N934" s="671"/>
      <c r="O934" s="671"/>
      <c r="P934" s="671"/>
      <c r="Q934" s="671"/>
      <c r="R934" s="671"/>
      <c r="S934" s="671"/>
      <c r="T934" s="671"/>
      <c r="U934" s="671"/>
      <c r="V934" s="671"/>
      <c r="W934" s="671"/>
      <c r="X934" s="671"/>
      <c r="Y934" s="671"/>
      <c r="Z934" s="671"/>
      <c r="AA934" s="671"/>
      <c r="AB934" s="671"/>
    </row>
    <row r="935">
      <c r="A935" s="671"/>
      <c r="B935" s="671"/>
      <c r="C935" s="671"/>
      <c r="D935" s="671"/>
      <c r="E935" s="671"/>
      <c r="F935" s="671"/>
      <c r="G935" s="671"/>
      <c r="H935" s="671"/>
      <c r="I935" s="671"/>
      <c r="J935" s="671"/>
      <c r="K935" s="671"/>
      <c r="L935" s="671"/>
      <c r="M935" s="671"/>
      <c r="N935" s="671"/>
      <c r="O935" s="671"/>
      <c r="P935" s="671"/>
      <c r="Q935" s="671"/>
      <c r="R935" s="671"/>
      <c r="S935" s="671"/>
      <c r="T935" s="671"/>
      <c r="U935" s="671"/>
      <c r="V935" s="671"/>
      <c r="W935" s="671"/>
      <c r="X935" s="671"/>
      <c r="Y935" s="671"/>
      <c r="Z935" s="671"/>
      <c r="AA935" s="671"/>
      <c r="AB935" s="671"/>
    </row>
    <row r="936">
      <c r="A936" s="671"/>
      <c r="B936" s="671"/>
      <c r="C936" s="671"/>
      <c r="D936" s="671"/>
      <c r="E936" s="671"/>
      <c r="F936" s="671"/>
      <c r="G936" s="671"/>
      <c r="H936" s="671"/>
      <c r="I936" s="671"/>
      <c r="J936" s="671"/>
      <c r="K936" s="671"/>
      <c r="L936" s="671"/>
      <c r="M936" s="671"/>
      <c r="N936" s="671"/>
      <c r="O936" s="671"/>
      <c r="P936" s="671"/>
      <c r="Q936" s="671"/>
      <c r="R936" s="671"/>
      <c r="S936" s="671"/>
      <c r="T936" s="671"/>
      <c r="U936" s="671"/>
      <c r="V936" s="671"/>
      <c r="W936" s="671"/>
      <c r="X936" s="671"/>
      <c r="Y936" s="671"/>
      <c r="Z936" s="671"/>
      <c r="AA936" s="671"/>
      <c r="AB936" s="671"/>
    </row>
    <row r="937">
      <c r="A937" s="671"/>
      <c r="B937" s="671"/>
      <c r="C937" s="671"/>
      <c r="D937" s="671"/>
      <c r="E937" s="671"/>
      <c r="F937" s="671"/>
      <c r="G937" s="671"/>
      <c r="H937" s="671"/>
      <c r="I937" s="671"/>
      <c r="J937" s="671"/>
      <c r="K937" s="671"/>
      <c r="L937" s="671"/>
      <c r="M937" s="671"/>
      <c r="N937" s="671"/>
      <c r="O937" s="671"/>
      <c r="P937" s="671"/>
      <c r="Q937" s="671"/>
      <c r="R937" s="671"/>
      <c r="S937" s="671"/>
      <c r="T937" s="671"/>
      <c r="U937" s="671"/>
      <c r="V937" s="671"/>
      <c r="W937" s="671"/>
      <c r="X937" s="671"/>
      <c r="Y937" s="671"/>
      <c r="Z937" s="671"/>
      <c r="AA937" s="671"/>
      <c r="AB937" s="671"/>
    </row>
    <row r="938">
      <c r="A938" s="671"/>
      <c r="B938" s="671"/>
      <c r="C938" s="671"/>
      <c r="D938" s="671"/>
      <c r="E938" s="671"/>
      <c r="F938" s="671"/>
      <c r="G938" s="671"/>
      <c r="H938" s="671"/>
      <c r="I938" s="671"/>
      <c r="J938" s="671"/>
      <c r="K938" s="671"/>
      <c r="L938" s="671"/>
      <c r="M938" s="671"/>
      <c r="N938" s="671"/>
      <c r="O938" s="671"/>
      <c r="P938" s="671"/>
      <c r="Q938" s="671"/>
      <c r="R938" s="671"/>
      <c r="S938" s="671"/>
      <c r="T938" s="671"/>
      <c r="U938" s="671"/>
      <c r="V938" s="671"/>
      <c r="W938" s="671"/>
      <c r="X938" s="671"/>
      <c r="Y938" s="671"/>
      <c r="Z938" s="671"/>
      <c r="AA938" s="671"/>
      <c r="AB938" s="671"/>
    </row>
    <row r="939">
      <c r="A939" s="671"/>
      <c r="B939" s="671"/>
      <c r="C939" s="671"/>
      <c r="D939" s="671"/>
      <c r="E939" s="671"/>
      <c r="F939" s="671"/>
      <c r="G939" s="671"/>
      <c r="H939" s="671"/>
      <c r="I939" s="671"/>
      <c r="J939" s="671"/>
      <c r="K939" s="671"/>
      <c r="L939" s="671"/>
      <c r="M939" s="671"/>
      <c r="N939" s="671"/>
      <c r="O939" s="671"/>
      <c r="P939" s="671"/>
      <c r="Q939" s="671"/>
      <c r="R939" s="671"/>
      <c r="S939" s="671"/>
      <c r="T939" s="671"/>
      <c r="U939" s="671"/>
      <c r="V939" s="671"/>
      <c r="W939" s="671"/>
      <c r="X939" s="671"/>
      <c r="Y939" s="671"/>
      <c r="Z939" s="671"/>
      <c r="AA939" s="671"/>
      <c r="AB939" s="671"/>
    </row>
    <row r="940">
      <c r="A940" s="671"/>
      <c r="B940" s="671"/>
      <c r="C940" s="671"/>
      <c r="D940" s="671"/>
      <c r="E940" s="671"/>
      <c r="F940" s="671"/>
      <c r="G940" s="671"/>
      <c r="H940" s="671"/>
      <c r="I940" s="671"/>
      <c r="J940" s="671"/>
      <c r="K940" s="671"/>
      <c r="L940" s="671"/>
      <c r="M940" s="671"/>
      <c r="N940" s="671"/>
      <c r="O940" s="671"/>
      <c r="P940" s="671"/>
      <c r="Q940" s="671"/>
      <c r="R940" s="671"/>
      <c r="S940" s="671"/>
      <c r="T940" s="671"/>
      <c r="U940" s="671"/>
      <c r="V940" s="671"/>
      <c r="W940" s="671"/>
      <c r="X940" s="671"/>
      <c r="Y940" s="671"/>
      <c r="Z940" s="671"/>
      <c r="AA940" s="671"/>
      <c r="AB940" s="671"/>
    </row>
    <row r="941">
      <c r="A941" s="671"/>
      <c r="B941" s="671"/>
      <c r="C941" s="671"/>
      <c r="D941" s="671"/>
      <c r="E941" s="671"/>
      <c r="F941" s="671"/>
      <c r="G941" s="671"/>
      <c r="H941" s="671"/>
      <c r="I941" s="671"/>
      <c r="J941" s="671"/>
      <c r="K941" s="671"/>
      <c r="L941" s="671"/>
      <c r="M941" s="671"/>
      <c r="N941" s="671"/>
      <c r="O941" s="671"/>
      <c r="P941" s="671"/>
      <c r="Q941" s="671"/>
      <c r="R941" s="671"/>
      <c r="S941" s="671"/>
      <c r="T941" s="671"/>
      <c r="U941" s="671"/>
      <c r="V941" s="671"/>
      <c r="W941" s="671"/>
      <c r="X941" s="671"/>
      <c r="Y941" s="671"/>
      <c r="Z941" s="671"/>
      <c r="AA941" s="671"/>
      <c r="AB941" s="671"/>
    </row>
    <row r="942">
      <c r="A942" s="671"/>
      <c r="B942" s="671"/>
      <c r="C942" s="671"/>
      <c r="D942" s="671"/>
      <c r="E942" s="671"/>
      <c r="F942" s="671"/>
      <c r="G942" s="671"/>
      <c r="H942" s="671"/>
      <c r="I942" s="671"/>
      <c r="J942" s="671"/>
      <c r="K942" s="671"/>
      <c r="L942" s="671"/>
      <c r="M942" s="671"/>
      <c r="N942" s="671"/>
      <c r="O942" s="671"/>
      <c r="P942" s="671"/>
      <c r="Q942" s="671"/>
      <c r="R942" s="671"/>
      <c r="S942" s="671"/>
      <c r="T942" s="671"/>
      <c r="U942" s="671"/>
      <c r="V942" s="671"/>
      <c r="W942" s="671"/>
      <c r="X942" s="671"/>
      <c r="Y942" s="671"/>
      <c r="Z942" s="671"/>
      <c r="AA942" s="671"/>
      <c r="AB942" s="671"/>
    </row>
    <row r="943">
      <c r="A943" s="671"/>
      <c r="B943" s="671"/>
      <c r="C943" s="671"/>
      <c r="D943" s="671"/>
      <c r="E943" s="671"/>
      <c r="F943" s="671"/>
      <c r="G943" s="671"/>
      <c r="H943" s="671"/>
      <c r="I943" s="671"/>
      <c r="J943" s="671"/>
      <c r="K943" s="671"/>
      <c r="L943" s="671"/>
      <c r="M943" s="671"/>
      <c r="N943" s="671"/>
      <c r="O943" s="671"/>
      <c r="P943" s="671"/>
      <c r="Q943" s="671"/>
      <c r="R943" s="671"/>
      <c r="S943" s="671"/>
      <c r="T943" s="671"/>
      <c r="U943" s="671"/>
      <c r="V943" s="671"/>
      <c r="W943" s="671"/>
      <c r="X943" s="671"/>
      <c r="Y943" s="671"/>
      <c r="Z943" s="671"/>
      <c r="AA943" s="671"/>
      <c r="AB943" s="671"/>
    </row>
    <row r="944">
      <c r="A944" s="671"/>
      <c r="B944" s="671"/>
      <c r="C944" s="671"/>
      <c r="D944" s="671"/>
      <c r="E944" s="671"/>
      <c r="F944" s="671"/>
      <c r="G944" s="671"/>
      <c r="H944" s="671"/>
      <c r="I944" s="671"/>
      <c r="J944" s="671"/>
      <c r="K944" s="671"/>
      <c r="L944" s="671"/>
      <c r="M944" s="671"/>
      <c r="N944" s="671"/>
      <c r="O944" s="671"/>
      <c r="P944" s="671"/>
      <c r="Q944" s="671"/>
      <c r="R944" s="671"/>
      <c r="S944" s="671"/>
      <c r="T944" s="671"/>
      <c r="U944" s="671"/>
      <c r="V944" s="671"/>
      <c r="W944" s="671"/>
      <c r="X944" s="671"/>
      <c r="Y944" s="671"/>
      <c r="Z944" s="671"/>
      <c r="AA944" s="671"/>
      <c r="AB944" s="671"/>
    </row>
    <row r="945">
      <c r="A945" s="671"/>
      <c r="B945" s="671"/>
      <c r="C945" s="671"/>
      <c r="D945" s="671"/>
      <c r="E945" s="671"/>
      <c r="F945" s="671"/>
      <c r="G945" s="671"/>
      <c r="H945" s="671"/>
      <c r="I945" s="671"/>
      <c r="J945" s="671"/>
      <c r="K945" s="671"/>
      <c r="L945" s="671"/>
      <c r="M945" s="671"/>
      <c r="N945" s="671"/>
      <c r="O945" s="671"/>
      <c r="P945" s="671"/>
      <c r="Q945" s="671"/>
      <c r="R945" s="671"/>
      <c r="S945" s="671"/>
      <c r="T945" s="671"/>
      <c r="U945" s="671"/>
      <c r="V945" s="671"/>
      <c r="W945" s="671"/>
      <c r="X945" s="671"/>
      <c r="Y945" s="671"/>
      <c r="Z945" s="671"/>
      <c r="AA945" s="671"/>
      <c r="AB945" s="671"/>
    </row>
    <row r="946">
      <c r="A946" s="671"/>
      <c r="B946" s="671"/>
      <c r="C946" s="671"/>
      <c r="D946" s="671"/>
      <c r="E946" s="671"/>
      <c r="F946" s="671"/>
      <c r="G946" s="671"/>
      <c r="H946" s="671"/>
      <c r="I946" s="671"/>
      <c r="J946" s="671"/>
      <c r="K946" s="671"/>
      <c r="L946" s="671"/>
      <c r="M946" s="671"/>
      <c r="N946" s="671"/>
      <c r="O946" s="671"/>
      <c r="P946" s="671"/>
      <c r="Q946" s="671"/>
      <c r="R946" s="671"/>
      <c r="S946" s="671"/>
      <c r="T946" s="671"/>
      <c r="U946" s="671"/>
      <c r="V946" s="671"/>
      <c r="W946" s="671"/>
      <c r="X946" s="671"/>
      <c r="Y946" s="671"/>
      <c r="Z946" s="671"/>
      <c r="AA946" s="671"/>
      <c r="AB946" s="671"/>
    </row>
    <row r="947">
      <c r="A947" s="671"/>
      <c r="B947" s="671"/>
      <c r="C947" s="671"/>
      <c r="D947" s="671"/>
      <c r="E947" s="671"/>
      <c r="F947" s="671"/>
      <c r="G947" s="671"/>
      <c r="H947" s="671"/>
      <c r="I947" s="671"/>
      <c r="J947" s="671"/>
      <c r="K947" s="671"/>
      <c r="L947" s="671"/>
      <c r="M947" s="671"/>
      <c r="N947" s="671"/>
      <c r="O947" s="671"/>
      <c r="P947" s="671"/>
      <c r="Q947" s="671"/>
      <c r="R947" s="671"/>
      <c r="S947" s="671"/>
      <c r="T947" s="671"/>
      <c r="U947" s="671"/>
      <c r="V947" s="671"/>
      <c r="W947" s="671"/>
      <c r="X947" s="671"/>
      <c r="Y947" s="671"/>
      <c r="Z947" s="671"/>
      <c r="AA947" s="671"/>
      <c r="AB947" s="671"/>
    </row>
    <row r="948">
      <c r="A948" s="671"/>
      <c r="B948" s="671"/>
      <c r="C948" s="671"/>
      <c r="D948" s="671"/>
      <c r="E948" s="671"/>
      <c r="F948" s="671"/>
      <c r="G948" s="671"/>
      <c r="H948" s="671"/>
      <c r="I948" s="671"/>
      <c r="J948" s="671"/>
      <c r="K948" s="671"/>
      <c r="L948" s="671"/>
      <c r="M948" s="671"/>
      <c r="N948" s="671"/>
      <c r="O948" s="671"/>
      <c r="P948" s="671"/>
      <c r="Q948" s="671"/>
      <c r="R948" s="671"/>
      <c r="S948" s="671"/>
      <c r="T948" s="671"/>
      <c r="U948" s="671"/>
      <c r="V948" s="671"/>
      <c r="W948" s="671"/>
      <c r="X948" s="671"/>
      <c r="Y948" s="671"/>
      <c r="Z948" s="671"/>
      <c r="AA948" s="671"/>
      <c r="AB948" s="671"/>
    </row>
    <row r="949">
      <c r="A949" s="671"/>
      <c r="B949" s="671"/>
      <c r="C949" s="671"/>
      <c r="D949" s="671"/>
      <c r="E949" s="671"/>
      <c r="F949" s="671"/>
      <c r="G949" s="671"/>
      <c r="H949" s="671"/>
      <c r="I949" s="671"/>
      <c r="J949" s="671"/>
      <c r="K949" s="671"/>
      <c r="L949" s="671"/>
      <c r="M949" s="671"/>
      <c r="N949" s="671"/>
      <c r="O949" s="671"/>
      <c r="P949" s="671"/>
      <c r="Q949" s="671"/>
      <c r="R949" s="671"/>
      <c r="S949" s="671"/>
      <c r="T949" s="671"/>
      <c r="U949" s="671"/>
      <c r="V949" s="671"/>
      <c r="W949" s="671"/>
      <c r="X949" s="671"/>
      <c r="Y949" s="671"/>
      <c r="Z949" s="671"/>
      <c r="AA949" s="671"/>
      <c r="AB949" s="671"/>
    </row>
    <row r="950">
      <c r="A950" s="671"/>
      <c r="B950" s="671"/>
      <c r="C950" s="671"/>
      <c r="D950" s="671"/>
      <c r="E950" s="671"/>
      <c r="F950" s="671"/>
      <c r="G950" s="671"/>
      <c r="H950" s="671"/>
      <c r="I950" s="671"/>
      <c r="J950" s="671"/>
      <c r="K950" s="671"/>
      <c r="L950" s="671"/>
      <c r="M950" s="671"/>
      <c r="N950" s="671"/>
      <c r="O950" s="671"/>
      <c r="P950" s="671"/>
      <c r="Q950" s="671"/>
      <c r="R950" s="671"/>
      <c r="S950" s="671"/>
      <c r="T950" s="671"/>
      <c r="U950" s="671"/>
      <c r="V950" s="671"/>
      <c r="W950" s="671"/>
      <c r="X950" s="671"/>
      <c r="Y950" s="671"/>
      <c r="Z950" s="671"/>
      <c r="AA950" s="671"/>
      <c r="AB950" s="671"/>
    </row>
    <row r="951">
      <c r="A951" s="671"/>
      <c r="B951" s="671"/>
      <c r="C951" s="671"/>
      <c r="D951" s="671"/>
      <c r="E951" s="671"/>
      <c r="F951" s="671"/>
      <c r="G951" s="671"/>
      <c r="H951" s="671"/>
      <c r="I951" s="671"/>
      <c r="J951" s="671"/>
      <c r="K951" s="671"/>
      <c r="L951" s="671"/>
      <c r="M951" s="671"/>
      <c r="N951" s="671"/>
      <c r="O951" s="671"/>
      <c r="P951" s="671"/>
      <c r="Q951" s="671"/>
      <c r="R951" s="671"/>
      <c r="S951" s="671"/>
      <c r="T951" s="671"/>
      <c r="U951" s="671"/>
      <c r="V951" s="671"/>
      <c r="W951" s="671"/>
      <c r="X951" s="671"/>
      <c r="Y951" s="671"/>
      <c r="Z951" s="671"/>
      <c r="AA951" s="671"/>
      <c r="AB951" s="671"/>
    </row>
    <row r="952">
      <c r="A952" s="671"/>
      <c r="B952" s="671"/>
      <c r="C952" s="671"/>
      <c r="D952" s="671"/>
      <c r="E952" s="671"/>
      <c r="F952" s="671"/>
      <c r="G952" s="671"/>
      <c r="H952" s="671"/>
      <c r="I952" s="671"/>
      <c r="J952" s="671"/>
      <c r="K952" s="671"/>
      <c r="L952" s="671"/>
      <c r="M952" s="671"/>
      <c r="N952" s="671"/>
      <c r="O952" s="671"/>
      <c r="P952" s="671"/>
      <c r="Q952" s="671"/>
      <c r="R952" s="671"/>
      <c r="S952" s="671"/>
      <c r="T952" s="671"/>
      <c r="U952" s="671"/>
      <c r="V952" s="671"/>
      <c r="W952" s="671"/>
      <c r="X952" s="671"/>
      <c r="Y952" s="671"/>
      <c r="Z952" s="671"/>
      <c r="AA952" s="671"/>
      <c r="AB952" s="671"/>
    </row>
    <row r="953">
      <c r="A953" s="671"/>
      <c r="B953" s="671"/>
      <c r="C953" s="671"/>
      <c r="D953" s="671"/>
      <c r="E953" s="671"/>
      <c r="F953" s="671"/>
      <c r="G953" s="671"/>
      <c r="H953" s="671"/>
      <c r="I953" s="671"/>
      <c r="J953" s="671"/>
      <c r="K953" s="671"/>
      <c r="L953" s="671"/>
      <c r="M953" s="671"/>
      <c r="N953" s="671"/>
      <c r="O953" s="671"/>
      <c r="P953" s="671"/>
      <c r="Q953" s="671"/>
      <c r="R953" s="671"/>
      <c r="S953" s="671"/>
      <c r="T953" s="671"/>
      <c r="U953" s="671"/>
      <c r="V953" s="671"/>
      <c r="W953" s="671"/>
      <c r="X953" s="671"/>
      <c r="Y953" s="671"/>
      <c r="Z953" s="671"/>
      <c r="AA953" s="671"/>
      <c r="AB953" s="671"/>
    </row>
    <row r="954">
      <c r="A954" s="671"/>
      <c r="B954" s="671"/>
      <c r="C954" s="671"/>
      <c r="D954" s="671"/>
      <c r="E954" s="671"/>
      <c r="F954" s="671"/>
      <c r="G954" s="671"/>
      <c r="H954" s="671"/>
      <c r="I954" s="671"/>
      <c r="J954" s="671"/>
      <c r="K954" s="671"/>
      <c r="L954" s="671"/>
      <c r="M954" s="671"/>
      <c r="N954" s="671"/>
      <c r="O954" s="671"/>
      <c r="P954" s="671"/>
      <c r="Q954" s="671"/>
      <c r="R954" s="671"/>
      <c r="S954" s="671"/>
      <c r="T954" s="671"/>
      <c r="U954" s="671"/>
      <c r="V954" s="671"/>
      <c r="W954" s="671"/>
      <c r="X954" s="671"/>
      <c r="Y954" s="671"/>
      <c r="Z954" s="671"/>
      <c r="AA954" s="671"/>
      <c r="AB954" s="671"/>
    </row>
    <row r="955">
      <c r="A955" s="671"/>
      <c r="B955" s="671"/>
      <c r="C955" s="671"/>
      <c r="D955" s="671"/>
      <c r="E955" s="671"/>
      <c r="F955" s="671"/>
      <c r="G955" s="671"/>
      <c r="H955" s="671"/>
      <c r="I955" s="671"/>
      <c r="J955" s="671"/>
      <c r="K955" s="671"/>
      <c r="L955" s="671"/>
      <c r="M955" s="671"/>
      <c r="N955" s="671"/>
      <c r="O955" s="671"/>
      <c r="P955" s="671"/>
      <c r="Q955" s="671"/>
      <c r="R955" s="671"/>
      <c r="S955" s="671"/>
      <c r="T955" s="671"/>
      <c r="U955" s="671"/>
      <c r="V955" s="671"/>
      <c r="W955" s="671"/>
      <c r="X955" s="671"/>
      <c r="Y955" s="671"/>
      <c r="Z955" s="671"/>
      <c r="AA955" s="671"/>
      <c r="AB955" s="671"/>
    </row>
    <row r="956">
      <c r="A956" s="671"/>
      <c r="B956" s="671"/>
      <c r="C956" s="671"/>
      <c r="D956" s="671"/>
      <c r="E956" s="671"/>
      <c r="F956" s="671"/>
      <c r="G956" s="671"/>
      <c r="H956" s="671"/>
      <c r="I956" s="671"/>
      <c r="J956" s="671"/>
      <c r="K956" s="671"/>
      <c r="L956" s="671"/>
      <c r="M956" s="671"/>
      <c r="N956" s="671"/>
      <c r="O956" s="671"/>
      <c r="P956" s="671"/>
      <c r="Q956" s="671"/>
      <c r="R956" s="671"/>
      <c r="S956" s="671"/>
      <c r="T956" s="671"/>
      <c r="U956" s="671"/>
      <c r="V956" s="671"/>
      <c r="W956" s="671"/>
      <c r="X956" s="671"/>
      <c r="Y956" s="671"/>
      <c r="Z956" s="671"/>
      <c r="AA956" s="671"/>
      <c r="AB956" s="671"/>
    </row>
    <row r="957">
      <c r="A957" s="671"/>
      <c r="B957" s="671"/>
      <c r="C957" s="671"/>
      <c r="D957" s="671"/>
      <c r="E957" s="671"/>
      <c r="F957" s="671"/>
      <c r="G957" s="671"/>
      <c r="H957" s="671"/>
      <c r="I957" s="671"/>
      <c r="J957" s="671"/>
      <c r="K957" s="671"/>
      <c r="L957" s="671"/>
      <c r="M957" s="671"/>
      <c r="N957" s="671"/>
      <c r="O957" s="671"/>
      <c r="P957" s="671"/>
      <c r="Q957" s="671"/>
      <c r="R957" s="671"/>
      <c r="S957" s="671"/>
      <c r="T957" s="671"/>
      <c r="U957" s="671"/>
      <c r="V957" s="671"/>
      <c r="W957" s="671"/>
      <c r="X957" s="671"/>
      <c r="Y957" s="671"/>
      <c r="Z957" s="671"/>
      <c r="AA957" s="671"/>
      <c r="AB957" s="671"/>
    </row>
    <row r="958">
      <c r="A958" s="671"/>
      <c r="B958" s="671"/>
      <c r="C958" s="671"/>
      <c r="D958" s="671"/>
      <c r="E958" s="671"/>
      <c r="F958" s="671"/>
      <c r="G958" s="671"/>
      <c r="H958" s="671"/>
      <c r="I958" s="671"/>
      <c r="J958" s="671"/>
      <c r="K958" s="671"/>
      <c r="L958" s="671"/>
      <c r="M958" s="671"/>
      <c r="N958" s="671"/>
      <c r="O958" s="671"/>
      <c r="P958" s="671"/>
      <c r="Q958" s="671"/>
      <c r="R958" s="671"/>
      <c r="S958" s="671"/>
      <c r="T958" s="671"/>
      <c r="U958" s="671"/>
      <c r="V958" s="671"/>
      <c r="W958" s="671"/>
      <c r="X958" s="671"/>
      <c r="Y958" s="671"/>
      <c r="Z958" s="671"/>
      <c r="AA958" s="671"/>
      <c r="AB958" s="671"/>
    </row>
    <row r="959">
      <c r="A959" s="671"/>
      <c r="B959" s="671"/>
      <c r="C959" s="671"/>
      <c r="D959" s="671"/>
      <c r="E959" s="671"/>
      <c r="F959" s="671"/>
      <c r="G959" s="671"/>
      <c r="H959" s="671"/>
      <c r="I959" s="671"/>
      <c r="J959" s="671"/>
      <c r="K959" s="671"/>
      <c r="L959" s="671"/>
      <c r="M959" s="671"/>
      <c r="N959" s="671"/>
      <c r="O959" s="671"/>
      <c r="P959" s="671"/>
      <c r="Q959" s="671"/>
      <c r="R959" s="671"/>
      <c r="S959" s="671"/>
      <c r="T959" s="671"/>
      <c r="U959" s="671"/>
      <c r="V959" s="671"/>
      <c r="W959" s="671"/>
      <c r="X959" s="671"/>
      <c r="Y959" s="671"/>
      <c r="Z959" s="671"/>
      <c r="AA959" s="671"/>
      <c r="AB959" s="671"/>
    </row>
    <row r="960">
      <c r="A960" s="671"/>
      <c r="B960" s="671"/>
      <c r="C960" s="671"/>
      <c r="D960" s="671"/>
      <c r="E960" s="671"/>
      <c r="F960" s="671"/>
      <c r="G960" s="671"/>
      <c r="H960" s="671"/>
      <c r="I960" s="671"/>
      <c r="J960" s="671"/>
      <c r="K960" s="671"/>
      <c r="L960" s="671"/>
      <c r="M960" s="671"/>
      <c r="N960" s="671"/>
      <c r="O960" s="671"/>
      <c r="P960" s="671"/>
      <c r="Q960" s="671"/>
      <c r="R960" s="671"/>
      <c r="S960" s="671"/>
      <c r="T960" s="671"/>
      <c r="U960" s="671"/>
      <c r="V960" s="671"/>
      <c r="W960" s="671"/>
      <c r="X960" s="671"/>
      <c r="Y960" s="671"/>
      <c r="Z960" s="671"/>
      <c r="AA960" s="671"/>
      <c r="AB960" s="671"/>
    </row>
    <row r="961">
      <c r="A961" s="671"/>
      <c r="B961" s="671"/>
      <c r="C961" s="671"/>
      <c r="D961" s="671"/>
      <c r="E961" s="671"/>
      <c r="F961" s="671"/>
      <c r="G961" s="671"/>
      <c r="H961" s="671"/>
      <c r="I961" s="671"/>
      <c r="J961" s="671"/>
      <c r="K961" s="671"/>
      <c r="L961" s="671"/>
      <c r="M961" s="671"/>
      <c r="N961" s="671"/>
      <c r="O961" s="671"/>
      <c r="P961" s="671"/>
      <c r="Q961" s="671"/>
      <c r="R961" s="671"/>
      <c r="S961" s="671"/>
      <c r="T961" s="671"/>
      <c r="U961" s="671"/>
      <c r="V961" s="671"/>
      <c r="W961" s="671"/>
      <c r="X961" s="671"/>
      <c r="Y961" s="671"/>
      <c r="Z961" s="671"/>
      <c r="AA961" s="671"/>
      <c r="AB961" s="671"/>
    </row>
    <row r="962">
      <c r="A962" s="671"/>
      <c r="B962" s="671"/>
      <c r="C962" s="671"/>
      <c r="D962" s="671"/>
      <c r="E962" s="671"/>
      <c r="F962" s="671"/>
      <c r="G962" s="671"/>
      <c r="H962" s="671"/>
      <c r="I962" s="671"/>
      <c r="J962" s="671"/>
      <c r="K962" s="671"/>
      <c r="L962" s="671"/>
      <c r="M962" s="671"/>
      <c r="N962" s="671"/>
      <c r="O962" s="671"/>
      <c r="P962" s="671"/>
      <c r="Q962" s="671"/>
      <c r="R962" s="671"/>
      <c r="S962" s="671"/>
      <c r="T962" s="671"/>
      <c r="U962" s="671"/>
      <c r="V962" s="671"/>
      <c r="W962" s="671"/>
      <c r="X962" s="671"/>
      <c r="Y962" s="671"/>
      <c r="Z962" s="671"/>
      <c r="AA962" s="671"/>
      <c r="AB962" s="671"/>
    </row>
    <row r="963">
      <c r="A963" s="671"/>
      <c r="B963" s="671"/>
      <c r="C963" s="671"/>
      <c r="D963" s="671"/>
      <c r="E963" s="671"/>
      <c r="F963" s="671"/>
      <c r="G963" s="671"/>
      <c r="H963" s="671"/>
      <c r="I963" s="671"/>
      <c r="J963" s="671"/>
      <c r="K963" s="671"/>
      <c r="L963" s="671"/>
      <c r="M963" s="671"/>
      <c r="N963" s="671"/>
      <c r="O963" s="671"/>
      <c r="P963" s="671"/>
      <c r="Q963" s="671"/>
      <c r="R963" s="671"/>
      <c r="S963" s="671"/>
      <c r="T963" s="671"/>
      <c r="U963" s="671"/>
      <c r="V963" s="671"/>
      <c r="W963" s="671"/>
      <c r="X963" s="671"/>
      <c r="Y963" s="671"/>
      <c r="Z963" s="671"/>
      <c r="AA963" s="671"/>
      <c r="AB963" s="671"/>
    </row>
    <row r="964">
      <c r="A964" s="671"/>
      <c r="B964" s="671"/>
      <c r="C964" s="671"/>
      <c r="D964" s="671"/>
      <c r="E964" s="671"/>
      <c r="F964" s="671"/>
      <c r="G964" s="671"/>
      <c r="H964" s="671"/>
      <c r="I964" s="671"/>
      <c r="J964" s="671"/>
      <c r="K964" s="671"/>
      <c r="L964" s="671"/>
      <c r="M964" s="671"/>
      <c r="N964" s="671"/>
      <c r="O964" s="671"/>
      <c r="P964" s="671"/>
      <c r="Q964" s="671"/>
      <c r="R964" s="671"/>
      <c r="S964" s="671"/>
      <c r="T964" s="671"/>
      <c r="U964" s="671"/>
      <c r="V964" s="671"/>
      <c r="W964" s="671"/>
      <c r="X964" s="671"/>
      <c r="Y964" s="671"/>
      <c r="Z964" s="671"/>
      <c r="AA964" s="671"/>
      <c r="AB964" s="671"/>
    </row>
    <row r="965">
      <c r="A965" s="671"/>
      <c r="B965" s="671"/>
      <c r="C965" s="671"/>
      <c r="D965" s="671"/>
      <c r="E965" s="671"/>
      <c r="F965" s="671"/>
      <c r="G965" s="671"/>
      <c r="H965" s="671"/>
      <c r="I965" s="671"/>
      <c r="J965" s="671"/>
      <c r="K965" s="671"/>
      <c r="L965" s="671"/>
      <c r="M965" s="671"/>
      <c r="N965" s="671"/>
      <c r="O965" s="671"/>
      <c r="P965" s="671"/>
      <c r="Q965" s="671"/>
      <c r="R965" s="671"/>
      <c r="S965" s="671"/>
      <c r="T965" s="671"/>
      <c r="U965" s="671"/>
      <c r="V965" s="671"/>
      <c r="W965" s="671"/>
      <c r="X965" s="671"/>
      <c r="Y965" s="671"/>
      <c r="Z965" s="671"/>
      <c r="AA965" s="671"/>
      <c r="AB965" s="671"/>
    </row>
    <row r="966">
      <c r="A966" s="671"/>
      <c r="B966" s="671"/>
      <c r="C966" s="671"/>
      <c r="D966" s="671"/>
      <c r="E966" s="671"/>
      <c r="F966" s="671"/>
      <c r="G966" s="671"/>
      <c r="H966" s="671"/>
      <c r="I966" s="671"/>
      <c r="J966" s="671"/>
      <c r="K966" s="671"/>
      <c r="L966" s="671"/>
      <c r="M966" s="671"/>
      <c r="N966" s="671"/>
      <c r="O966" s="671"/>
      <c r="P966" s="671"/>
      <c r="Q966" s="671"/>
      <c r="R966" s="671"/>
      <c r="S966" s="671"/>
      <c r="T966" s="671"/>
      <c r="U966" s="671"/>
      <c r="V966" s="671"/>
      <c r="W966" s="671"/>
      <c r="X966" s="671"/>
      <c r="Y966" s="671"/>
      <c r="Z966" s="671"/>
      <c r="AA966" s="671"/>
      <c r="AB966" s="671"/>
    </row>
    <row r="967">
      <c r="A967" s="671"/>
      <c r="B967" s="671"/>
      <c r="C967" s="671"/>
      <c r="D967" s="671"/>
      <c r="E967" s="671"/>
      <c r="F967" s="671"/>
      <c r="G967" s="671"/>
      <c r="H967" s="671"/>
      <c r="I967" s="671"/>
      <c r="J967" s="671"/>
      <c r="K967" s="671"/>
      <c r="L967" s="671"/>
      <c r="M967" s="671"/>
      <c r="N967" s="671"/>
      <c r="O967" s="671"/>
      <c r="P967" s="671"/>
      <c r="Q967" s="671"/>
      <c r="R967" s="671"/>
      <c r="S967" s="671"/>
      <c r="T967" s="671"/>
      <c r="U967" s="671"/>
      <c r="V967" s="671"/>
      <c r="W967" s="671"/>
      <c r="X967" s="671"/>
      <c r="Y967" s="671"/>
      <c r="Z967" s="671"/>
      <c r="AA967" s="671"/>
      <c r="AB967" s="671"/>
    </row>
    <row r="968">
      <c r="A968" s="671"/>
      <c r="B968" s="671"/>
      <c r="C968" s="671"/>
      <c r="D968" s="671"/>
      <c r="E968" s="671"/>
      <c r="F968" s="671"/>
      <c r="G968" s="671"/>
      <c r="H968" s="671"/>
      <c r="I968" s="671"/>
      <c r="J968" s="671"/>
      <c r="K968" s="671"/>
      <c r="L968" s="671"/>
      <c r="M968" s="671"/>
      <c r="N968" s="671"/>
      <c r="O968" s="671"/>
      <c r="P968" s="671"/>
      <c r="Q968" s="671"/>
      <c r="R968" s="671"/>
      <c r="S968" s="671"/>
      <c r="T968" s="671"/>
      <c r="U968" s="671"/>
      <c r="V968" s="671"/>
      <c r="W968" s="671"/>
      <c r="X968" s="671"/>
      <c r="Y968" s="671"/>
      <c r="Z968" s="671"/>
      <c r="AA968" s="671"/>
      <c r="AB968" s="671"/>
    </row>
    <row r="969">
      <c r="A969" s="671"/>
      <c r="B969" s="671"/>
      <c r="C969" s="671"/>
      <c r="D969" s="671"/>
      <c r="E969" s="671"/>
      <c r="F969" s="671"/>
      <c r="G969" s="671"/>
      <c r="H969" s="671"/>
      <c r="I969" s="671"/>
      <c r="J969" s="671"/>
      <c r="K969" s="671"/>
      <c r="L969" s="671"/>
      <c r="M969" s="671"/>
      <c r="N969" s="671"/>
      <c r="O969" s="671"/>
      <c r="P969" s="671"/>
      <c r="Q969" s="671"/>
      <c r="R969" s="671"/>
      <c r="S969" s="671"/>
      <c r="T969" s="671"/>
      <c r="U969" s="671"/>
      <c r="V969" s="671"/>
      <c r="W969" s="671"/>
      <c r="X969" s="671"/>
      <c r="Y969" s="671"/>
      <c r="Z969" s="671"/>
      <c r="AA969" s="671"/>
      <c r="AB969" s="671"/>
    </row>
    <row r="970">
      <c r="A970" s="671"/>
      <c r="B970" s="671"/>
      <c r="C970" s="671"/>
      <c r="D970" s="671"/>
      <c r="E970" s="671"/>
      <c r="F970" s="671"/>
      <c r="G970" s="671"/>
      <c r="H970" s="671"/>
      <c r="I970" s="671"/>
      <c r="J970" s="671"/>
      <c r="K970" s="671"/>
      <c r="L970" s="671"/>
      <c r="M970" s="671"/>
      <c r="N970" s="671"/>
      <c r="O970" s="671"/>
      <c r="P970" s="671"/>
      <c r="Q970" s="671"/>
      <c r="R970" s="671"/>
      <c r="S970" s="671"/>
      <c r="T970" s="671"/>
      <c r="U970" s="671"/>
      <c r="V970" s="671"/>
      <c r="W970" s="671"/>
      <c r="X970" s="671"/>
      <c r="Y970" s="671"/>
      <c r="Z970" s="671"/>
      <c r="AA970" s="671"/>
      <c r="AB970" s="671"/>
    </row>
    <row r="971">
      <c r="A971" s="671"/>
      <c r="B971" s="671"/>
      <c r="C971" s="671"/>
      <c r="D971" s="671"/>
      <c r="E971" s="671"/>
      <c r="F971" s="671"/>
      <c r="G971" s="671"/>
      <c r="H971" s="671"/>
      <c r="I971" s="671"/>
      <c r="J971" s="671"/>
      <c r="K971" s="671"/>
      <c r="L971" s="671"/>
      <c r="M971" s="671"/>
      <c r="N971" s="671"/>
      <c r="O971" s="671"/>
      <c r="P971" s="671"/>
      <c r="Q971" s="671"/>
      <c r="R971" s="671"/>
      <c r="S971" s="671"/>
      <c r="T971" s="671"/>
      <c r="U971" s="671"/>
      <c r="V971" s="671"/>
      <c r="W971" s="671"/>
      <c r="X971" s="671"/>
      <c r="Y971" s="671"/>
      <c r="Z971" s="671"/>
      <c r="AA971" s="671"/>
      <c r="AB971" s="671"/>
    </row>
    <row r="972">
      <c r="A972" s="671"/>
      <c r="B972" s="671"/>
      <c r="C972" s="671"/>
      <c r="D972" s="671"/>
      <c r="E972" s="671"/>
      <c r="F972" s="671"/>
      <c r="G972" s="671"/>
      <c r="H972" s="671"/>
      <c r="I972" s="671"/>
      <c r="J972" s="671"/>
      <c r="K972" s="671"/>
      <c r="L972" s="671"/>
      <c r="M972" s="671"/>
      <c r="N972" s="671"/>
      <c r="O972" s="671"/>
      <c r="P972" s="671"/>
      <c r="Q972" s="671"/>
      <c r="R972" s="671"/>
      <c r="S972" s="671"/>
      <c r="T972" s="671"/>
      <c r="U972" s="671"/>
      <c r="V972" s="671"/>
      <c r="W972" s="671"/>
      <c r="X972" s="671"/>
      <c r="Y972" s="671"/>
      <c r="Z972" s="671"/>
      <c r="AA972" s="671"/>
      <c r="AB972" s="671"/>
    </row>
    <row r="973">
      <c r="A973" s="671"/>
      <c r="B973" s="671"/>
      <c r="C973" s="671"/>
      <c r="D973" s="671"/>
      <c r="E973" s="671"/>
      <c r="F973" s="671"/>
      <c r="G973" s="671"/>
      <c r="H973" s="671"/>
      <c r="I973" s="671"/>
      <c r="J973" s="671"/>
      <c r="K973" s="671"/>
      <c r="L973" s="671"/>
      <c r="M973" s="671"/>
      <c r="N973" s="671"/>
      <c r="O973" s="671"/>
      <c r="P973" s="671"/>
      <c r="Q973" s="671"/>
      <c r="R973" s="671"/>
      <c r="S973" s="671"/>
      <c r="T973" s="671"/>
      <c r="U973" s="671"/>
      <c r="V973" s="671"/>
      <c r="W973" s="671"/>
      <c r="X973" s="671"/>
      <c r="Y973" s="671"/>
      <c r="Z973" s="671"/>
      <c r="AA973" s="671"/>
      <c r="AB973" s="671"/>
    </row>
    <row r="974">
      <c r="A974" s="671"/>
      <c r="B974" s="671"/>
      <c r="C974" s="671"/>
      <c r="D974" s="671"/>
      <c r="E974" s="671"/>
      <c r="F974" s="671"/>
      <c r="G974" s="671"/>
      <c r="H974" s="671"/>
      <c r="I974" s="671"/>
      <c r="J974" s="671"/>
      <c r="K974" s="671"/>
      <c r="L974" s="671"/>
      <c r="M974" s="671"/>
      <c r="N974" s="671"/>
      <c r="O974" s="671"/>
      <c r="P974" s="671"/>
      <c r="Q974" s="671"/>
      <c r="R974" s="671"/>
      <c r="S974" s="671"/>
      <c r="T974" s="671"/>
      <c r="U974" s="671"/>
      <c r="V974" s="671"/>
      <c r="W974" s="671"/>
      <c r="X974" s="671"/>
      <c r="Y974" s="671"/>
      <c r="Z974" s="671"/>
      <c r="AA974" s="671"/>
      <c r="AB974" s="671"/>
    </row>
    <row r="975">
      <c r="A975" s="671"/>
      <c r="B975" s="671"/>
      <c r="C975" s="671"/>
      <c r="D975" s="671"/>
      <c r="E975" s="671"/>
      <c r="F975" s="671"/>
      <c r="G975" s="671"/>
      <c r="H975" s="671"/>
      <c r="I975" s="671"/>
      <c r="J975" s="671"/>
      <c r="K975" s="671"/>
      <c r="L975" s="671"/>
      <c r="M975" s="671"/>
      <c r="N975" s="671"/>
      <c r="O975" s="671"/>
      <c r="P975" s="671"/>
      <c r="Q975" s="671"/>
      <c r="R975" s="671"/>
      <c r="S975" s="671"/>
      <c r="T975" s="671"/>
      <c r="U975" s="671"/>
      <c r="V975" s="671"/>
      <c r="W975" s="671"/>
      <c r="X975" s="671"/>
      <c r="Y975" s="671"/>
      <c r="Z975" s="671"/>
      <c r="AA975" s="671"/>
      <c r="AB975" s="671"/>
    </row>
    <row r="976">
      <c r="A976" s="671"/>
      <c r="B976" s="671"/>
      <c r="C976" s="671"/>
      <c r="D976" s="671"/>
      <c r="E976" s="671"/>
      <c r="F976" s="671"/>
      <c r="G976" s="671"/>
      <c r="H976" s="671"/>
      <c r="I976" s="671"/>
      <c r="J976" s="671"/>
      <c r="K976" s="671"/>
      <c r="L976" s="671"/>
      <c r="M976" s="671"/>
      <c r="N976" s="671"/>
      <c r="O976" s="671"/>
      <c r="P976" s="671"/>
      <c r="Q976" s="671"/>
      <c r="R976" s="671"/>
      <c r="S976" s="671"/>
      <c r="T976" s="671"/>
      <c r="U976" s="671"/>
      <c r="V976" s="671"/>
      <c r="W976" s="671"/>
      <c r="X976" s="671"/>
      <c r="Y976" s="671"/>
      <c r="Z976" s="671"/>
      <c r="AA976" s="671"/>
      <c r="AB976" s="671"/>
    </row>
    <row r="977">
      <c r="A977" s="671"/>
      <c r="B977" s="671"/>
      <c r="C977" s="671"/>
      <c r="D977" s="671"/>
      <c r="E977" s="671"/>
      <c r="F977" s="671"/>
      <c r="G977" s="671"/>
      <c r="H977" s="671"/>
      <c r="I977" s="671"/>
      <c r="J977" s="671"/>
      <c r="K977" s="671"/>
      <c r="L977" s="671"/>
      <c r="M977" s="671"/>
      <c r="N977" s="671"/>
      <c r="O977" s="671"/>
      <c r="P977" s="671"/>
      <c r="Q977" s="671"/>
      <c r="R977" s="671"/>
      <c r="S977" s="671"/>
      <c r="T977" s="671"/>
      <c r="U977" s="671"/>
      <c r="V977" s="671"/>
      <c r="W977" s="671"/>
      <c r="X977" s="671"/>
      <c r="Y977" s="671"/>
      <c r="Z977" s="671"/>
      <c r="AA977" s="671"/>
      <c r="AB977" s="671"/>
    </row>
    <row r="978">
      <c r="A978" s="671"/>
      <c r="B978" s="671"/>
      <c r="C978" s="671"/>
      <c r="D978" s="671"/>
      <c r="E978" s="671"/>
      <c r="F978" s="671"/>
      <c r="G978" s="671"/>
      <c r="H978" s="671"/>
      <c r="I978" s="671"/>
      <c r="J978" s="671"/>
      <c r="K978" s="671"/>
      <c r="L978" s="671"/>
      <c r="M978" s="671"/>
      <c r="N978" s="671"/>
      <c r="O978" s="671"/>
      <c r="P978" s="671"/>
      <c r="Q978" s="671"/>
      <c r="R978" s="671"/>
      <c r="S978" s="671"/>
      <c r="T978" s="671"/>
      <c r="U978" s="671"/>
      <c r="V978" s="671"/>
      <c r="W978" s="671"/>
      <c r="X978" s="671"/>
      <c r="Y978" s="671"/>
      <c r="Z978" s="671"/>
      <c r="AA978" s="671"/>
      <c r="AB978" s="671"/>
    </row>
    <row r="979">
      <c r="A979" s="671"/>
      <c r="B979" s="671"/>
      <c r="C979" s="671"/>
      <c r="D979" s="671"/>
      <c r="E979" s="671"/>
      <c r="F979" s="671"/>
      <c r="G979" s="671"/>
      <c r="H979" s="671"/>
      <c r="I979" s="671"/>
      <c r="J979" s="671"/>
      <c r="K979" s="671"/>
      <c r="L979" s="671"/>
      <c r="M979" s="671"/>
      <c r="N979" s="671"/>
      <c r="O979" s="671"/>
      <c r="P979" s="671"/>
      <c r="Q979" s="671"/>
      <c r="R979" s="671"/>
      <c r="S979" s="671"/>
      <c r="T979" s="671"/>
      <c r="U979" s="671"/>
      <c r="V979" s="671"/>
      <c r="W979" s="671"/>
      <c r="X979" s="671"/>
      <c r="Y979" s="671"/>
      <c r="Z979" s="671"/>
      <c r="AA979" s="671"/>
      <c r="AB979" s="671"/>
    </row>
    <row r="980">
      <c r="A980" s="671"/>
      <c r="B980" s="671"/>
      <c r="C980" s="671"/>
      <c r="D980" s="671"/>
      <c r="E980" s="671"/>
      <c r="F980" s="671"/>
      <c r="G980" s="671"/>
      <c r="H980" s="671"/>
      <c r="I980" s="671"/>
      <c r="J980" s="671"/>
      <c r="K980" s="671"/>
      <c r="L980" s="671"/>
      <c r="M980" s="671"/>
      <c r="N980" s="671"/>
      <c r="O980" s="671"/>
      <c r="P980" s="671"/>
      <c r="Q980" s="671"/>
      <c r="R980" s="671"/>
      <c r="S980" s="671"/>
      <c r="T980" s="671"/>
      <c r="U980" s="671"/>
      <c r="V980" s="671"/>
      <c r="W980" s="671"/>
      <c r="X980" s="671"/>
      <c r="Y980" s="671"/>
      <c r="Z980" s="671"/>
      <c r="AA980" s="671"/>
      <c r="AB980" s="671"/>
    </row>
    <row r="981">
      <c r="A981" s="671"/>
      <c r="B981" s="671"/>
      <c r="C981" s="671"/>
      <c r="D981" s="671"/>
      <c r="E981" s="671"/>
      <c r="F981" s="671"/>
      <c r="G981" s="671"/>
      <c r="H981" s="671"/>
      <c r="I981" s="671"/>
      <c r="J981" s="671"/>
      <c r="K981" s="671"/>
      <c r="L981" s="671"/>
      <c r="M981" s="671"/>
      <c r="N981" s="671"/>
      <c r="O981" s="671"/>
      <c r="P981" s="671"/>
      <c r="Q981" s="671"/>
      <c r="R981" s="671"/>
      <c r="S981" s="671"/>
      <c r="T981" s="671"/>
      <c r="U981" s="671"/>
      <c r="V981" s="671"/>
      <c r="W981" s="671"/>
      <c r="X981" s="671"/>
      <c r="Y981" s="671"/>
      <c r="Z981" s="671"/>
      <c r="AA981" s="671"/>
      <c r="AB981" s="671"/>
    </row>
    <row r="982">
      <c r="A982" s="671"/>
      <c r="B982" s="671"/>
      <c r="C982" s="671"/>
      <c r="D982" s="671"/>
      <c r="E982" s="671"/>
      <c r="F982" s="671"/>
      <c r="G982" s="671"/>
      <c r="H982" s="671"/>
      <c r="I982" s="671"/>
      <c r="J982" s="671"/>
      <c r="K982" s="671"/>
      <c r="L982" s="671"/>
      <c r="M982" s="671"/>
      <c r="N982" s="671"/>
      <c r="O982" s="671"/>
      <c r="P982" s="671"/>
      <c r="Q982" s="671"/>
      <c r="R982" s="671"/>
      <c r="S982" s="671"/>
      <c r="T982" s="671"/>
      <c r="U982" s="671"/>
      <c r="V982" s="671"/>
      <c r="W982" s="671"/>
      <c r="X982" s="671"/>
      <c r="Y982" s="671"/>
      <c r="Z982" s="671"/>
      <c r="AA982" s="671"/>
      <c r="AB982" s="671"/>
    </row>
    <row r="983">
      <c r="A983" s="671"/>
      <c r="B983" s="671"/>
      <c r="C983" s="671"/>
      <c r="D983" s="671"/>
      <c r="E983" s="671"/>
      <c r="F983" s="671"/>
      <c r="G983" s="671"/>
      <c r="H983" s="671"/>
      <c r="I983" s="671"/>
      <c r="J983" s="671"/>
      <c r="K983" s="671"/>
      <c r="L983" s="671"/>
      <c r="M983" s="671"/>
      <c r="N983" s="671"/>
      <c r="O983" s="671"/>
      <c r="P983" s="671"/>
      <c r="Q983" s="671"/>
      <c r="R983" s="671"/>
      <c r="S983" s="671"/>
      <c r="T983" s="671"/>
      <c r="U983" s="671"/>
      <c r="V983" s="671"/>
      <c r="W983" s="671"/>
      <c r="X983" s="671"/>
      <c r="Y983" s="671"/>
      <c r="Z983" s="671"/>
      <c r="AA983" s="671"/>
      <c r="AB983" s="671"/>
    </row>
    <row r="984">
      <c r="A984" s="671"/>
      <c r="B984" s="671"/>
      <c r="C984" s="671"/>
      <c r="D984" s="671"/>
      <c r="E984" s="671"/>
      <c r="F984" s="671"/>
      <c r="G984" s="671"/>
      <c r="H984" s="671"/>
      <c r="I984" s="671"/>
      <c r="J984" s="671"/>
      <c r="K984" s="671"/>
      <c r="L984" s="671"/>
      <c r="M984" s="671"/>
      <c r="N984" s="671"/>
      <c r="O984" s="671"/>
      <c r="P984" s="671"/>
      <c r="Q984" s="671"/>
      <c r="R984" s="671"/>
      <c r="S984" s="671"/>
      <c r="T984" s="671"/>
      <c r="U984" s="671"/>
      <c r="V984" s="671"/>
      <c r="W984" s="671"/>
      <c r="X984" s="671"/>
      <c r="Y984" s="671"/>
      <c r="Z984" s="671"/>
      <c r="AA984" s="671"/>
      <c r="AB984" s="671"/>
    </row>
    <row r="985">
      <c r="A985" s="671"/>
      <c r="B985" s="671"/>
      <c r="C985" s="671"/>
      <c r="D985" s="671"/>
      <c r="E985" s="671"/>
      <c r="F985" s="671"/>
      <c r="G985" s="671"/>
      <c r="H985" s="671"/>
      <c r="I985" s="671"/>
      <c r="J985" s="671"/>
      <c r="K985" s="671"/>
      <c r="L985" s="671"/>
      <c r="M985" s="671"/>
      <c r="N985" s="671"/>
      <c r="O985" s="671"/>
      <c r="P985" s="671"/>
      <c r="Q985" s="671"/>
      <c r="R985" s="671"/>
      <c r="S985" s="671"/>
      <c r="T985" s="671"/>
      <c r="U985" s="671"/>
      <c r="V985" s="671"/>
      <c r="W985" s="671"/>
      <c r="X985" s="671"/>
      <c r="Y985" s="671"/>
      <c r="Z985" s="671"/>
      <c r="AA985" s="671"/>
      <c r="AB985" s="671"/>
    </row>
    <row r="986">
      <c r="A986" s="671"/>
      <c r="B986" s="671"/>
      <c r="C986" s="671"/>
      <c r="D986" s="671"/>
      <c r="E986" s="671"/>
      <c r="F986" s="671"/>
      <c r="G986" s="671"/>
      <c r="H986" s="671"/>
      <c r="I986" s="671"/>
      <c r="J986" s="671"/>
      <c r="K986" s="671"/>
      <c r="L986" s="671"/>
      <c r="M986" s="671"/>
      <c r="N986" s="671"/>
      <c r="O986" s="671"/>
      <c r="P986" s="671"/>
      <c r="Q986" s="671"/>
      <c r="R986" s="671"/>
      <c r="S986" s="671"/>
      <c r="T986" s="671"/>
      <c r="U986" s="671"/>
      <c r="V986" s="671"/>
      <c r="W986" s="671"/>
      <c r="X986" s="671"/>
      <c r="Y986" s="671"/>
      <c r="Z986" s="671"/>
      <c r="AA986" s="671"/>
      <c r="AB986" s="671"/>
    </row>
    <row r="987">
      <c r="A987" s="671"/>
      <c r="B987" s="671"/>
      <c r="C987" s="671"/>
      <c r="D987" s="671"/>
      <c r="E987" s="671"/>
      <c r="F987" s="671"/>
      <c r="G987" s="671"/>
      <c r="H987" s="671"/>
      <c r="I987" s="671"/>
      <c r="J987" s="671"/>
      <c r="K987" s="671"/>
      <c r="L987" s="671"/>
      <c r="M987" s="671"/>
      <c r="N987" s="671"/>
      <c r="O987" s="671"/>
      <c r="P987" s="671"/>
      <c r="Q987" s="671"/>
      <c r="R987" s="671"/>
      <c r="S987" s="671"/>
      <c r="T987" s="671"/>
      <c r="U987" s="671"/>
      <c r="V987" s="671"/>
      <c r="W987" s="671"/>
      <c r="X987" s="671"/>
      <c r="Y987" s="671"/>
      <c r="Z987" s="671"/>
      <c r="AA987" s="671"/>
      <c r="AB987" s="671"/>
    </row>
    <row r="988">
      <c r="A988" s="671"/>
      <c r="B988" s="671"/>
      <c r="C988" s="671"/>
      <c r="D988" s="671"/>
      <c r="E988" s="671"/>
      <c r="F988" s="671"/>
      <c r="G988" s="671"/>
      <c r="H988" s="671"/>
      <c r="I988" s="671"/>
      <c r="J988" s="671"/>
      <c r="K988" s="671"/>
      <c r="L988" s="671"/>
      <c r="M988" s="671"/>
      <c r="N988" s="671"/>
      <c r="O988" s="671"/>
      <c r="P988" s="671"/>
      <c r="Q988" s="671"/>
      <c r="R988" s="671"/>
      <c r="S988" s="671"/>
      <c r="T988" s="671"/>
      <c r="U988" s="671"/>
      <c r="V988" s="671"/>
      <c r="W988" s="671"/>
      <c r="X988" s="671"/>
      <c r="Y988" s="671"/>
      <c r="Z988" s="671"/>
      <c r="AA988" s="671"/>
      <c r="AB988" s="671"/>
    </row>
    <row r="989">
      <c r="A989" s="671"/>
      <c r="B989" s="671"/>
      <c r="C989" s="671"/>
      <c r="D989" s="671"/>
      <c r="E989" s="671"/>
      <c r="F989" s="671"/>
      <c r="G989" s="671"/>
      <c r="H989" s="671"/>
      <c r="I989" s="671"/>
      <c r="J989" s="671"/>
      <c r="K989" s="671"/>
      <c r="L989" s="671"/>
      <c r="M989" s="671"/>
      <c r="N989" s="671"/>
      <c r="O989" s="671"/>
      <c r="P989" s="671"/>
      <c r="Q989" s="671"/>
      <c r="R989" s="671"/>
      <c r="S989" s="671"/>
      <c r="T989" s="671"/>
      <c r="U989" s="671"/>
      <c r="V989" s="671"/>
      <c r="W989" s="671"/>
      <c r="X989" s="671"/>
      <c r="Y989" s="671"/>
      <c r="Z989" s="671"/>
      <c r="AA989" s="671"/>
      <c r="AB989" s="671"/>
    </row>
    <row r="990">
      <c r="A990" s="671"/>
      <c r="B990" s="671"/>
      <c r="C990" s="671"/>
      <c r="D990" s="671"/>
      <c r="E990" s="671"/>
      <c r="F990" s="671"/>
      <c r="G990" s="671"/>
      <c r="H990" s="671"/>
      <c r="I990" s="671"/>
      <c r="J990" s="671"/>
      <c r="K990" s="671"/>
      <c r="L990" s="671"/>
      <c r="M990" s="671"/>
      <c r="N990" s="671"/>
      <c r="O990" s="671"/>
      <c r="P990" s="671"/>
      <c r="Q990" s="671"/>
      <c r="R990" s="671"/>
      <c r="S990" s="671"/>
      <c r="T990" s="671"/>
      <c r="U990" s="671"/>
      <c r="V990" s="671"/>
      <c r="W990" s="671"/>
      <c r="X990" s="671"/>
      <c r="Y990" s="671"/>
      <c r="Z990" s="671"/>
      <c r="AA990" s="671"/>
      <c r="AB990" s="671"/>
    </row>
    <row r="991">
      <c r="A991" s="671"/>
      <c r="B991" s="671"/>
      <c r="C991" s="671"/>
      <c r="D991" s="671"/>
      <c r="E991" s="671"/>
      <c r="F991" s="671"/>
      <c r="G991" s="671"/>
      <c r="H991" s="671"/>
      <c r="I991" s="671"/>
      <c r="J991" s="671"/>
      <c r="K991" s="671"/>
      <c r="L991" s="671"/>
      <c r="M991" s="671"/>
      <c r="N991" s="671"/>
      <c r="O991" s="671"/>
      <c r="P991" s="671"/>
      <c r="Q991" s="671"/>
      <c r="R991" s="671"/>
      <c r="S991" s="671"/>
      <c r="T991" s="671"/>
      <c r="U991" s="671"/>
      <c r="V991" s="671"/>
      <c r="W991" s="671"/>
      <c r="X991" s="671"/>
      <c r="Y991" s="671"/>
      <c r="Z991" s="671"/>
      <c r="AA991" s="671"/>
      <c r="AB991" s="671"/>
    </row>
    <row r="992">
      <c r="A992" s="671"/>
      <c r="B992" s="671"/>
      <c r="C992" s="671"/>
      <c r="D992" s="671"/>
      <c r="E992" s="671"/>
      <c r="F992" s="671"/>
      <c r="G992" s="671"/>
      <c r="H992" s="671"/>
      <c r="I992" s="671"/>
      <c r="J992" s="671"/>
      <c r="K992" s="671"/>
      <c r="L992" s="671"/>
      <c r="M992" s="671"/>
      <c r="N992" s="671"/>
      <c r="O992" s="671"/>
      <c r="P992" s="671"/>
      <c r="Q992" s="671"/>
      <c r="R992" s="671"/>
      <c r="S992" s="671"/>
      <c r="T992" s="671"/>
      <c r="U992" s="671"/>
      <c r="V992" s="671"/>
      <c r="W992" s="671"/>
      <c r="X992" s="671"/>
      <c r="Y992" s="671"/>
      <c r="Z992" s="671"/>
      <c r="AA992" s="671"/>
      <c r="AB992" s="671"/>
    </row>
    <row r="993">
      <c r="A993" s="671"/>
      <c r="B993" s="671"/>
      <c r="C993" s="671"/>
      <c r="D993" s="671"/>
      <c r="E993" s="671"/>
      <c r="F993" s="671"/>
      <c r="G993" s="671"/>
      <c r="H993" s="671"/>
      <c r="I993" s="671"/>
      <c r="J993" s="671"/>
      <c r="K993" s="671"/>
      <c r="L993" s="671"/>
      <c r="M993" s="671"/>
      <c r="N993" s="671"/>
      <c r="O993" s="671"/>
      <c r="P993" s="671"/>
      <c r="Q993" s="671"/>
      <c r="R993" s="671"/>
      <c r="S993" s="671"/>
      <c r="T993" s="671"/>
      <c r="U993" s="671"/>
      <c r="V993" s="671"/>
      <c r="W993" s="671"/>
      <c r="X993" s="671"/>
      <c r="Y993" s="671"/>
      <c r="Z993" s="671"/>
      <c r="AA993" s="671"/>
      <c r="AB993" s="671"/>
    </row>
    <row r="994">
      <c r="A994" s="671"/>
      <c r="B994" s="671"/>
      <c r="C994" s="671"/>
      <c r="D994" s="671"/>
      <c r="E994" s="671"/>
      <c r="F994" s="671"/>
      <c r="G994" s="671"/>
      <c r="H994" s="671"/>
      <c r="I994" s="671"/>
      <c r="J994" s="671"/>
      <c r="K994" s="671"/>
      <c r="L994" s="671"/>
      <c r="M994" s="671"/>
      <c r="N994" s="671"/>
      <c r="O994" s="671"/>
      <c r="P994" s="671"/>
      <c r="Q994" s="671"/>
      <c r="R994" s="671"/>
      <c r="S994" s="671"/>
      <c r="T994" s="671"/>
      <c r="U994" s="671"/>
      <c r="V994" s="671"/>
      <c r="W994" s="671"/>
      <c r="X994" s="671"/>
      <c r="Y994" s="671"/>
      <c r="Z994" s="671"/>
      <c r="AA994" s="671"/>
      <c r="AB994" s="671"/>
    </row>
    <row r="995">
      <c r="A995" s="671"/>
      <c r="B995" s="671"/>
      <c r="C995" s="671"/>
      <c r="D995" s="671"/>
      <c r="E995" s="671"/>
      <c r="F995" s="671"/>
      <c r="G995" s="671"/>
      <c r="H995" s="671"/>
      <c r="I995" s="671"/>
      <c r="J995" s="671"/>
      <c r="K995" s="671"/>
      <c r="L995" s="671"/>
      <c r="M995" s="671"/>
      <c r="N995" s="671"/>
      <c r="O995" s="671"/>
      <c r="P995" s="671"/>
      <c r="Q995" s="671"/>
      <c r="R995" s="671"/>
      <c r="S995" s="671"/>
      <c r="T995" s="671"/>
      <c r="U995" s="671"/>
      <c r="V995" s="671"/>
      <c r="W995" s="671"/>
      <c r="X995" s="671"/>
      <c r="Y995" s="671"/>
      <c r="Z995" s="671"/>
      <c r="AA995" s="671"/>
      <c r="AB995" s="671"/>
    </row>
    <row r="996">
      <c r="A996" s="671"/>
      <c r="B996" s="671"/>
      <c r="C996" s="671"/>
      <c r="D996" s="671"/>
      <c r="E996" s="671"/>
      <c r="F996" s="671"/>
      <c r="G996" s="671"/>
      <c r="H996" s="671"/>
      <c r="I996" s="671"/>
      <c r="J996" s="671"/>
      <c r="K996" s="671"/>
      <c r="L996" s="671"/>
      <c r="M996" s="671"/>
      <c r="N996" s="671"/>
      <c r="O996" s="671"/>
      <c r="P996" s="671"/>
      <c r="Q996" s="671"/>
      <c r="R996" s="671"/>
      <c r="S996" s="671"/>
      <c r="T996" s="671"/>
      <c r="U996" s="671"/>
      <c r="V996" s="671"/>
      <c r="W996" s="671"/>
      <c r="X996" s="671"/>
      <c r="Y996" s="671"/>
      <c r="Z996" s="671"/>
      <c r="AA996" s="671"/>
      <c r="AB996" s="671"/>
    </row>
  </sheetData>
  <mergeCells count="110">
    <mergeCell ref="H8:H9"/>
    <mergeCell ref="I8:I9"/>
    <mergeCell ref="K8:K9"/>
    <mergeCell ref="L8:L9"/>
    <mergeCell ref="A8:A9"/>
    <mergeCell ref="B8:B9"/>
    <mergeCell ref="C8:C9"/>
    <mergeCell ref="D8:D9"/>
    <mergeCell ref="E8:E9"/>
    <mergeCell ref="F8:F9"/>
    <mergeCell ref="G8:G9"/>
    <mergeCell ref="H10:H11"/>
    <mergeCell ref="I10:I11"/>
    <mergeCell ref="K10:K11"/>
    <mergeCell ref="L10:L11"/>
    <mergeCell ref="A10:A11"/>
    <mergeCell ref="B10:B11"/>
    <mergeCell ref="C10:C11"/>
    <mergeCell ref="D10:D11"/>
    <mergeCell ref="E10:E11"/>
    <mergeCell ref="F10:F11"/>
    <mergeCell ref="G10:G11"/>
    <mergeCell ref="H12:H13"/>
    <mergeCell ref="I12:I13"/>
    <mergeCell ref="K12:K13"/>
    <mergeCell ref="L12:L13"/>
    <mergeCell ref="A12:A13"/>
    <mergeCell ref="B12:B13"/>
    <mergeCell ref="C12:C13"/>
    <mergeCell ref="D12:D13"/>
    <mergeCell ref="E12:E13"/>
    <mergeCell ref="F12:F13"/>
    <mergeCell ref="G12:G13"/>
    <mergeCell ref="H15:H16"/>
    <mergeCell ref="I15:I16"/>
    <mergeCell ref="K15:K16"/>
    <mergeCell ref="L15:L16"/>
    <mergeCell ref="A15:A16"/>
    <mergeCell ref="B15:B16"/>
    <mergeCell ref="C15:C16"/>
    <mergeCell ref="D15:D16"/>
    <mergeCell ref="E15:E16"/>
    <mergeCell ref="F15:F16"/>
    <mergeCell ref="G15:G16"/>
    <mergeCell ref="H17:H18"/>
    <mergeCell ref="I17:I18"/>
    <mergeCell ref="K17:K18"/>
    <mergeCell ref="L17:L18"/>
    <mergeCell ref="A17:A18"/>
    <mergeCell ref="B17:B18"/>
    <mergeCell ref="C17:C18"/>
    <mergeCell ref="D17:D18"/>
    <mergeCell ref="E17:E18"/>
    <mergeCell ref="F17:F18"/>
    <mergeCell ref="G17:G18"/>
    <mergeCell ref="H19:H20"/>
    <mergeCell ref="I19:I20"/>
    <mergeCell ref="K19:K20"/>
    <mergeCell ref="L19:L20"/>
    <mergeCell ref="A19:A20"/>
    <mergeCell ref="B19:B20"/>
    <mergeCell ref="C19:C20"/>
    <mergeCell ref="D19:D20"/>
    <mergeCell ref="E19:E20"/>
    <mergeCell ref="F19:F20"/>
    <mergeCell ref="G19:G20"/>
    <mergeCell ref="H2:H3"/>
    <mergeCell ref="I2:I3"/>
    <mergeCell ref="K2:K3"/>
    <mergeCell ref="L2:L3"/>
    <mergeCell ref="A2:A3"/>
    <mergeCell ref="B2:B3"/>
    <mergeCell ref="C2:C3"/>
    <mergeCell ref="D2:D3"/>
    <mergeCell ref="E2:E3"/>
    <mergeCell ref="F2:F3"/>
    <mergeCell ref="G2:G3"/>
    <mergeCell ref="H4:H5"/>
    <mergeCell ref="I4:I5"/>
    <mergeCell ref="K4:K5"/>
    <mergeCell ref="L4:L5"/>
    <mergeCell ref="A4:A5"/>
    <mergeCell ref="B4:B5"/>
    <mergeCell ref="C4:C5"/>
    <mergeCell ref="D4:D5"/>
    <mergeCell ref="E4:E5"/>
    <mergeCell ref="F4:F5"/>
    <mergeCell ref="G4:G5"/>
    <mergeCell ref="H6:H7"/>
    <mergeCell ref="I6:I7"/>
    <mergeCell ref="K6:K7"/>
    <mergeCell ref="L6:L7"/>
    <mergeCell ref="A6:A7"/>
    <mergeCell ref="B6:B7"/>
    <mergeCell ref="C6:C7"/>
    <mergeCell ref="D6:D7"/>
    <mergeCell ref="E6:E7"/>
    <mergeCell ref="F6:F7"/>
    <mergeCell ref="G6:G7"/>
    <mergeCell ref="H21:H22"/>
    <mergeCell ref="I21:I22"/>
    <mergeCell ref="K21:K22"/>
    <mergeCell ref="L21:L22"/>
    <mergeCell ref="A21:A22"/>
    <mergeCell ref="B21:B22"/>
    <mergeCell ref="C21:C22"/>
    <mergeCell ref="D21:D22"/>
    <mergeCell ref="E21:E22"/>
    <mergeCell ref="F21:F22"/>
    <mergeCell ref="G21:G22"/>
  </mergeCells>
  <dataValidations>
    <dataValidation type="list" allowBlank="1" showErrorMessage="1" sqref="E2 E4 E6 E8 E10 E12 E15 E17 E19">
      <formula1>"Tiktok,Facebook,Instagram,TikTok &amp; Facebook"</formula1>
    </dataValidation>
    <dataValidation type="list" allowBlank="1" showErrorMessage="1" sqref="K2 K4 K6 K8 K10 K12 K14:K15 K17 K19">
      <formula1>"Nano,Macro,Micro"</formula1>
    </dataValidation>
  </dataValidations>
  <hyperlinks>
    <hyperlink r:id="rId1" ref="C2"/>
    <hyperlink r:id="rId2" ref="C4"/>
    <hyperlink r:id="rId3" ref="C6"/>
    <hyperlink r:id="rId4" ref="C8"/>
    <hyperlink r:id="rId5" ref="C10"/>
    <hyperlink r:id="rId6" ref="C12"/>
    <hyperlink r:id="rId7" ref="B14"/>
    <hyperlink r:id="rId8" ref="C14"/>
    <hyperlink r:id="rId9" ref="C15"/>
    <hyperlink r:id="rId10" ref="C17"/>
    <hyperlink r:id="rId11" ref="C19"/>
    <hyperlink r:id="rId12" ref="B21"/>
    <hyperlink r:id="rId13" ref="C21"/>
  </hyperlinks>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1.5"/>
    <col customWidth="1" min="21" max="22" width="13.25"/>
  </cols>
  <sheetData>
    <row r="1" outlineLevel="1">
      <c r="A1" s="1" t="s">
        <v>1933</v>
      </c>
      <c r="B1" s="2"/>
      <c r="C1" s="2"/>
      <c r="D1" s="3"/>
      <c r="E1" s="2"/>
      <c r="F1" s="4"/>
      <c r="G1" s="2"/>
      <c r="H1" s="2"/>
      <c r="I1" s="2"/>
      <c r="J1" s="2"/>
      <c r="K1" s="5"/>
      <c r="L1" s="6"/>
      <c r="M1" s="6"/>
      <c r="N1" s="6"/>
      <c r="O1" s="6"/>
      <c r="P1" s="6"/>
      <c r="Q1" s="6"/>
      <c r="R1" s="7"/>
      <c r="S1" s="8"/>
      <c r="T1" s="8"/>
      <c r="U1" s="8"/>
      <c r="V1" s="8"/>
    </row>
    <row r="2" outlineLevel="1">
      <c r="A2" s="10"/>
      <c r="B2" s="11"/>
      <c r="C2" s="11"/>
      <c r="D2" s="11"/>
      <c r="E2" s="2"/>
      <c r="F2" s="4"/>
      <c r="G2" s="2"/>
      <c r="H2" s="2"/>
      <c r="I2" s="2"/>
      <c r="J2" s="2"/>
      <c r="K2" s="5"/>
      <c r="L2" s="6"/>
      <c r="M2" s="6"/>
      <c r="N2" s="6"/>
      <c r="O2" s="6"/>
      <c r="P2" s="6"/>
      <c r="Q2" s="6"/>
      <c r="R2" s="7"/>
      <c r="S2" s="8"/>
      <c r="T2" s="8"/>
      <c r="U2" s="8"/>
      <c r="V2" s="8"/>
    </row>
    <row r="3" ht="27.0" customHeight="1" outlineLevel="1">
      <c r="A3" s="12" t="s">
        <v>1</v>
      </c>
      <c r="B3" s="13" t="s">
        <v>2</v>
      </c>
      <c r="C3" s="14" t="s">
        <v>3</v>
      </c>
      <c r="D3" s="14" t="s">
        <v>4</v>
      </c>
      <c r="E3" s="15" t="s">
        <v>5</v>
      </c>
      <c r="J3" s="6"/>
      <c r="K3" s="2"/>
      <c r="L3" s="5"/>
      <c r="M3" s="6"/>
      <c r="N3" s="6"/>
      <c r="O3" s="6"/>
      <c r="P3" s="6"/>
      <c r="Q3" s="6"/>
      <c r="R3" s="6"/>
      <c r="S3" s="7"/>
      <c r="T3" s="7"/>
      <c r="U3" s="7"/>
      <c r="V3" s="7"/>
    </row>
    <row r="4" ht="27.0" customHeight="1" outlineLevel="1">
      <c r="A4" s="17"/>
      <c r="B4" s="18"/>
      <c r="C4" s="19" t="s">
        <v>6</v>
      </c>
      <c r="D4" s="20">
        <f>sum(D5,D7,D9:D10)</f>
        <v>39</v>
      </c>
      <c r="E4" s="20">
        <f>Sum(E5:E11)</f>
        <v>601000000</v>
      </c>
      <c r="J4" s="2"/>
      <c r="K4" s="2"/>
      <c r="L4" s="5"/>
      <c r="M4" s="6"/>
      <c r="N4" s="6"/>
      <c r="O4" s="6"/>
      <c r="P4" s="6"/>
      <c r="Q4" s="6"/>
      <c r="R4" s="6"/>
      <c r="S4" s="7"/>
      <c r="T4" s="7"/>
      <c r="U4" s="7"/>
      <c r="V4" s="7"/>
    </row>
    <row r="5" ht="27.0" customHeight="1" outlineLevel="1">
      <c r="A5" s="675">
        <v>1.0</v>
      </c>
      <c r="B5" s="22" t="str">
        <f>A20</f>
        <v>FOODY REVIEWER</v>
      </c>
      <c r="C5" s="23" t="s">
        <v>7</v>
      </c>
      <c r="D5" s="24">
        <f t="shared" ref="D5:D6" si="1">K20</f>
        <v>8</v>
      </c>
      <c r="E5" s="25">
        <f>Q20</f>
        <v>171000000</v>
      </c>
      <c r="J5" s="2"/>
      <c r="K5" s="2"/>
      <c r="L5" s="5"/>
      <c r="M5" s="6"/>
      <c r="N5" s="6"/>
      <c r="O5" s="6"/>
      <c r="P5" s="6"/>
      <c r="Q5" s="6"/>
      <c r="R5" s="6"/>
      <c r="S5" s="7"/>
      <c r="T5" s="7"/>
      <c r="U5" s="7"/>
      <c r="V5" s="7"/>
    </row>
    <row r="6" ht="27.0" customHeight="1" outlineLevel="1">
      <c r="A6" s="26"/>
      <c r="B6" s="26"/>
      <c r="C6" s="23" t="s">
        <v>8</v>
      </c>
      <c r="D6" s="24">
        <f t="shared" si="1"/>
        <v>5</v>
      </c>
      <c r="E6" s="26"/>
      <c r="J6" s="2"/>
      <c r="K6" s="2"/>
      <c r="L6" s="5"/>
      <c r="M6" s="6"/>
      <c r="N6" s="6"/>
      <c r="O6" s="6"/>
      <c r="P6" s="6"/>
      <c r="Q6" s="6"/>
      <c r="R6" s="6"/>
      <c r="S6" s="7"/>
      <c r="T6" s="7"/>
      <c r="U6" s="7"/>
      <c r="V6" s="7"/>
    </row>
    <row r="7" ht="27.0" customHeight="1" outlineLevel="1">
      <c r="A7" s="676">
        <v>2.0</v>
      </c>
      <c r="B7" s="22" t="str">
        <f>A42</f>
        <v>FOODY UGC</v>
      </c>
      <c r="C7" s="23" t="s">
        <v>7</v>
      </c>
      <c r="D7" s="24">
        <f t="shared" ref="D7:D8" si="2">K42</f>
        <v>21</v>
      </c>
      <c r="E7" s="25">
        <f>Q42</f>
        <v>194000000</v>
      </c>
      <c r="J7" s="2"/>
      <c r="K7" s="2"/>
      <c r="L7" s="5"/>
      <c r="M7" s="6"/>
      <c r="N7" s="6"/>
      <c r="O7" s="6"/>
      <c r="P7" s="6"/>
      <c r="Q7" s="6"/>
      <c r="R7" s="6"/>
      <c r="S7" s="7"/>
      <c r="T7" s="7"/>
      <c r="U7" s="7"/>
      <c r="V7" s="7"/>
    </row>
    <row r="8" ht="27.0" customHeight="1" outlineLevel="1">
      <c r="A8" s="26"/>
      <c r="B8" s="26"/>
      <c r="C8" s="23" t="s">
        <v>8</v>
      </c>
      <c r="D8" s="28">
        <f t="shared" si="2"/>
        <v>21</v>
      </c>
      <c r="E8" s="26"/>
      <c r="J8" s="2"/>
      <c r="K8" s="2"/>
      <c r="L8" s="5"/>
      <c r="M8" s="6"/>
      <c r="N8" s="6"/>
      <c r="O8" s="6"/>
      <c r="P8" s="6"/>
      <c r="Q8" s="6"/>
      <c r="R8" s="6"/>
      <c r="S8" s="7"/>
      <c r="T8" s="7"/>
      <c r="U8" s="7"/>
      <c r="V8" s="7"/>
    </row>
    <row r="9" ht="27.0" customHeight="1" outlineLevel="1">
      <c r="A9" s="676">
        <v>3.0</v>
      </c>
      <c r="B9" s="22" t="str">
        <f>A96</f>
        <v>FOODY COMMUNITY</v>
      </c>
      <c r="C9" s="23" t="s">
        <v>9</v>
      </c>
      <c r="D9" s="28">
        <f>K97</f>
        <v>5</v>
      </c>
      <c r="E9" s="25">
        <f>Q96</f>
        <v>216000000</v>
      </c>
      <c r="J9" s="2"/>
      <c r="K9" s="2"/>
      <c r="L9" s="5"/>
      <c r="M9" s="6"/>
      <c r="N9" s="6"/>
      <c r="O9" s="6"/>
      <c r="P9" s="6"/>
      <c r="Q9" s="6"/>
      <c r="R9" s="6"/>
      <c r="S9" s="7"/>
      <c r="T9" s="7"/>
      <c r="U9" s="7"/>
      <c r="V9" s="7"/>
    </row>
    <row r="10" ht="27.0" customHeight="1" outlineLevel="1">
      <c r="A10" s="26"/>
      <c r="B10" s="26"/>
      <c r="C10" s="29" t="s">
        <v>10</v>
      </c>
      <c r="D10" s="28">
        <f>K96</f>
        <v>5</v>
      </c>
      <c r="E10" s="26"/>
      <c r="J10" s="2"/>
      <c r="K10" s="2"/>
      <c r="L10" s="5"/>
      <c r="M10" s="6"/>
      <c r="N10" s="6"/>
      <c r="O10" s="6"/>
      <c r="P10" s="6"/>
      <c r="Q10" s="6"/>
      <c r="R10" s="6"/>
      <c r="S10" s="7"/>
      <c r="T10" s="7"/>
      <c r="U10" s="7"/>
      <c r="V10" s="7"/>
    </row>
    <row r="11" ht="27.0" customHeight="1" outlineLevel="1">
      <c r="A11" s="677">
        <v>4.0</v>
      </c>
      <c r="B11" s="31" t="str">
        <f>A108</f>
        <v>SEEDING PACKAGE</v>
      </c>
      <c r="C11" s="29" t="s">
        <v>11</v>
      </c>
      <c r="D11" s="28">
        <f>K109</f>
        <v>2000</v>
      </c>
      <c r="E11" s="32">
        <f>Q108</f>
        <v>20000000</v>
      </c>
      <c r="J11" s="2"/>
      <c r="K11" s="2"/>
      <c r="L11" s="5"/>
      <c r="M11" s="6"/>
      <c r="N11" s="6"/>
      <c r="O11" s="6"/>
      <c r="P11" s="6"/>
      <c r="Q11" s="6"/>
      <c r="R11" s="6"/>
      <c r="S11" s="7"/>
      <c r="T11" s="7"/>
      <c r="U11" s="7"/>
      <c r="V11" s="7"/>
    </row>
    <row r="12" ht="27.0" customHeight="1" outlineLevel="1">
      <c r="A12" s="33"/>
      <c r="B12" s="34" t="s">
        <v>12</v>
      </c>
      <c r="C12" s="35"/>
      <c r="D12" s="35"/>
      <c r="E12" s="36">
        <f>E4</f>
        <v>601000000</v>
      </c>
      <c r="K12" s="2"/>
      <c r="L12" s="5"/>
      <c r="M12" s="6"/>
      <c r="N12" s="6"/>
      <c r="O12" s="6"/>
      <c r="P12" s="6"/>
      <c r="Q12" s="6"/>
      <c r="R12" s="681"/>
      <c r="S12" s="7"/>
      <c r="T12" s="7"/>
      <c r="U12" s="7"/>
      <c r="V12" s="7"/>
    </row>
    <row r="13" ht="27.0" customHeight="1" outlineLevel="1">
      <c r="A13" s="38"/>
      <c r="B13" s="34" t="s">
        <v>13</v>
      </c>
      <c r="C13" s="39"/>
      <c r="D13" s="40">
        <v>0.12</v>
      </c>
      <c r="E13" s="41">
        <f>E12*D13</f>
        <v>72120000</v>
      </c>
      <c r="J13" s="42"/>
      <c r="K13" s="42"/>
      <c r="L13" s="43"/>
      <c r="M13" s="43"/>
      <c r="N13" s="43"/>
      <c r="O13" s="43"/>
      <c r="P13" s="43"/>
      <c r="Q13" s="43"/>
      <c r="R13" s="7"/>
      <c r="S13" s="8"/>
      <c r="T13" s="8"/>
      <c r="U13" s="8"/>
      <c r="V13" s="8"/>
    </row>
    <row r="14" ht="27.0" customHeight="1" outlineLevel="1">
      <c r="A14" s="38"/>
      <c r="B14" s="34" t="s">
        <v>14</v>
      </c>
      <c r="C14" s="39"/>
      <c r="D14" s="39"/>
      <c r="E14" s="41">
        <f>sum(E12:E13)</f>
        <v>673120000</v>
      </c>
      <c r="J14" s="42"/>
      <c r="K14" s="42"/>
      <c r="L14" s="43"/>
      <c r="M14" s="43"/>
      <c r="N14" s="43"/>
      <c r="O14" s="43"/>
      <c r="P14" s="43"/>
      <c r="Q14" s="43"/>
      <c r="R14" s="7"/>
      <c r="S14" s="8"/>
      <c r="T14" s="8"/>
      <c r="U14" s="8"/>
      <c r="V14" s="8"/>
    </row>
    <row r="15" ht="27.0" customHeight="1" outlineLevel="1">
      <c r="A15" s="38"/>
      <c r="B15" s="34" t="s">
        <v>15</v>
      </c>
      <c r="C15" s="39"/>
      <c r="D15" s="39"/>
      <c r="E15" s="41">
        <f>E14*1.08</f>
        <v>726969600</v>
      </c>
      <c r="J15" s="42"/>
      <c r="K15" s="42"/>
      <c r="L15" s="43"/>
      <c r="M15" s="43"/>
      <c r="N15" s="43"/>
      <c r="O15" s="43"/>
      <c r="P15" s="43"/>
      <c r="Q15" s="43"/>
      <c r="R15" s="7"/>
      <c r="S15" s="8"/>
      <c r="T15" s="8"/>
      <c r="U15" s="8"/>
      <c r="V15" s="8"/>
    </row>
    <row r="16" outlineLevel="1">
      <c r="A16" s="38"/>
      <c r="B16" s="44"/>
      <c r="C16" s="42"/>
      <c r="D16" s="42"/>
      <c r="E16" s="42"/>
      <c r="J16" s="42"/>
      <c r="K16" s="42"/>
      <c r="L16" s="43"/>
      <c r="M16" s="43"/>
      <c r="N16" s="43"/>
      <c r="O16" s="43"/>
      <c r="P16" s="43"/>
      <c r="Q16" s="43"/>
      <c r="R16" s="7"/>
      <c r="S16" s="8"/>
      <c r="T16" s="8"/>
      <c r="U16" s="8"/>
      <c r="V16" s="8"/>
    </row>
    <row r="17" outlineLevel="1">
      <c r="R17" s="892"/>
      <c r="S17" s="8"/>
      <c r="T17" s="8"/>
      <c r="U17" s="8"/>
      <c r="V17" s="8"/>
    </row>
    <row r="18" ht="44.25" customHeight="1" outlineLevel="1">
      <c r="A18" s="43"/>
      <c r="B18" s="43"/>
      <c r="C18" s="43"/>
      <c r="D18" s="43"/>
      <c r="E18" s="43"/>
      <c r="G18" s="43"/>
      <c r="H18" s="43"/>
      <c r="K18" s="43"/>
      <c r="L18" s="43"/>
      <c r="M18" s="43"/>
      <c r="N18" s="43"/>
      <c r="O18" s="43"/>
      <c r="P18" s="43"/>
      <c r="Q18" s="43"/>
      <c r="R18" s="690"/>
      <c r="S18" s="47"/>
      <c r="T18" s="47"/>
      <c r="U18" s="47"/>
      <c r="V18" s="47"/>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34</v>
      </c>
      <c r="U19" s="54"/>
      <c r="V19" s="54"/>
    </row>
    <row r="20" ht="30.0" customHeight="1">
      <c r="A20" s="55" t="s">
        <v>35</v>
      </c>
      <c r="B20" s="56"/>
      <c r="C20" s="57"/>
      <c r="D20" s="58"/>
      <c r="E20" s="59"/>
      <c r="F20" s="60"/>
      <c r="G20" s="61"/>
      <c r="H20" s="61"/>
      <c r="I20" s="62"/>
      <c r="J20" s="63" t="s">
        <v>7</v>
      </c>
      <c r="K20" s="64">
        <f>SUMIFS(K22:K41,J22:J41,"Video Post")</f>
        <v>8</v>
      </c>
      <c r="L20" s="65"/>
      <c r="M20" s="66">
        <f t="shared" ref="M20:N20" si="3">sumif($I$22:$I$41,"TRUE",M22:M41)</f>
        <v>690000</v>
      </c>
      <c r="N20" s="66">
        <f t="shared" si="3"/>
        <v>24200</v>
      </c>
      <c r="O20" s="65"/>
      <c r="P20" s="65"/>
      <c r="Q20" s="66">
        <f>sum(Q22:Q41)</f>
        <v>171000000</v>
      </c>
      <c r="R20" s="67"/>
      <c r="S20" s="1129"/>
      <c r="T20" s="1129"/>
      <c r="U20" s="69"/>
      <c r="V20" s="69"/>
    </row>
    <row r="21" ht="30.0" customHeight="1">
      <c r="A21" s="70"/>
      <c r="B21" s="71"/>
      <c r="C21" s="57"/>
      <c r="D21" s="58"/>
      <c r="E21" s="59"/>
      <c r="F21" s="60"/>
      <c r="G21" s="61"/>
      <c r="H21" s="61"/>
      <c r="I21" s="62"/>
      <c r="J21" s="63" t="s">
        <v>8</v>
      </c>
      <c r="K21" s="64">
        <f>SUMIFS(K22:K41,J22:J41,"Tháng")</f>
        <v>5</v>
      </c>
      <c r="L21" s="65"/>
      <c r="M21" s="72"/>
      <c r="N21" s="72"/>
      <c r="O21" s="65"/>
      <c r="P21" s="65"/>
      <c r="Q21" s="72"/>
      <c r="R21" s="67"/>
      <c r="S21" s="1130"/>
      <c r="T21" s="1130"/>
      <c r="U21" s="69"/>
      <c r="V21" s="69"/>
    </row>
    <row r="22" ht="114.75" customHeight="1" outlineLevel="1">
      <c r="A22" s="73" t="s">
        <v>36</v>
      </c>
      <c r="B22" s="74" t="s">
        <v>37</v>
      </c>
      <c r="C22" s="75" t="s">
        <v>38</v>
      </c>
      <c r="D22" s="76" t="s">
        <v>39</v>
      </c>
      <c r="E22" s="77" t="s">
        <v>40</v>
      </c>
      <c r="F22" s="78" t="s">
        <v>21</v>
      </c>
      <c r="G22" s="79" t="s">
        <v>41</v>
      </c>
      <c r="H22" s="80" t="s">
        <v>1934</v>
      </c>
      <c r="I22" s="81" t="b">
        <v>1</v>
      </c>
      <c r="J22" s="82" t="s">
        <v>7</v>
      </c>
      <c r="K22" s="83">
        <f t="shared" ref="K22:K41" si="4">if(I22=True,1,if(I22=False,0))</f>
        <v>1</v>
      </c>
      <c r="L22" s="84">
        <v>1.6E7</v>
      </c>
      <c r="M22" s="84">
        <v>50000.0</v>
      </c>
      <c r="N22" s="84">
        <v>3000.0</v>
      </c>
      <c r="O22" s="84">
        <f t="shared" ref="O22:O32" si="5">IFERROR(Q22/M22,"-")</f>
        <v>320</v>
      </c>
      <c r="P22" s="84">
        <f t="shared" ref="P22:P32" si="6">IFERROR(Q22/N22,"-")</f>
        <v>5333.333333</v>
      </c>
      <c r="Q22" s="84">
        <f t="shared" ref="Q22:Q41" si="7">iferror(L22*K22,"-")</f>
        <v>16000000</v>
      </c>
      <c r="R22" s="75" t="s">
        <v>1935</v>
      </c>
      <c r="S22" s="85" t="s">
        <v>44</v>
      </c>
      <c r="T22" s="86" t="s">
        <v>45</v>
      </c>
      <c r="U22" s="87"/>
      <c r="V22" s="87"/>
    </row>
    <row r="23" ht="114.75" customHeight="1" outlineLevel="1">
      <c r="A23" s="72"/>
      <c r="B23" s="72"/>
      <c r="C23" s="72"/>
      <c r="D23" s="72"/>
      <c r="E23" s="72"/>
      <c r="F23" s="72"/>
      <c r="G23" s="72"/>
      <c r="H23" s="88" t="s">
        <v>1936</v>
      </c>
      <c r="I23" s="81" t="b">
        <v>1</v>
      </c>
      <c r="J23" s="82" t="s">
        <v>47</v>
      </c>
      <c r="K23" s="83">
        <f t="shared" si="4"/>
        <v>1</v>
      </c>
      <c r="L23" s="84">
        <v>8000000.0</v>
      </c>
      <c r="M23" s="84">
        <v>0.0</v>
      </c>
      <c r="N23" s="84">
        <v>0.0</v>
      </c>
      <c r="O23" s="84" t="str">
        <f t="shared" si="5"/>
        <v>-</v>
      </c>
      <c r="P23" s="84" t="str">
        <f t="shared" si="6"/>
        <v>-</v>
      </c>
      <c r="Q23" s="84">
        <f t="shared" si="7"/>
        <v>8000000</v>
      </c>
      <c r="R23" s="72"/>
      <c r="S23" s="72"/>
      <c r="T23" s="72"/>
      <c r="U23" s="87"/>
      <c r="V23" s="87"/>
    </row>
    <row r="24" ht="114.75" customHeight="1" outlineLevel="1">
      <c r="A24" s="73" t="s">
        <v>36</v>
      </c>
      <c r="B24" s="89" t="s">
        <v>48</v>
      </c>
      <c r="C24" s="75" t="s">
        <v>38</v>
      </c>
      <c r="D24" s="76" t="s">
        <v>49</v>
      </c>
      <c r="E24" s="77" t="s">
        <v>40</v>
      </c>
      <c r="F24" s="78" t="s">
        <v>21</v>
      </c>
      <c r="G24" s="79" t="s">
        <v>50</v>
      </c>
      <c r="H24" s="80" t="s">
        <v>1937</v>
      </c>
      <c r="I24" s="81" t="b">
        <v>1</v>
      </c>
      <c r="J24" s="82" t="s">
        <v>7</v>
      </c>
      <c r="K24" s="83">
        <f t="shared" si="4"/>
        <v>1</v>
      </c>
      <c r="L24" s="84">
        <v>1.2E7</v>
      </c>
      <c r="M24" s="84">
        <v>100000.0</v>
      </c>
      <c r="N24" s="84">
        <v>3000.0</v>
      </c>
      <c r="O24" s="84">
        <f t="shared" si="5"/>
        <v>120</v>
      </c>
      <c r="P24" s="84">
        <f t="shared" si="6"/>
        <v>4000</v>
      </c>
      <c r="Q24" s="84">
        <f t="shared" si="7"/>
        <v>12000000</v>
      </c>
      <c r="R24" s="75" t="s">
        <v>1938</v>
      </c>
      <c r="S24" s="85" t="s">
        <v>53</v>
      </c>
      <c r="T24" s="86" t="s">
        <v>45</v>
      </c>
      <c r="U24" s="87"/>
      <c r="V24" s="87"/>
    </row>
    <row r="25" ht="114.75" customHeight="1" outlineLevel="1">
      <c r="A25" s="72"/>
      <c r="B25" s="72"/>
      <c r="C25" s="72"/>
      <c r="D25" s="72"/>
      <c r="E25" s="72"/>
      <c r="F25" s="72"/>
      <c r="G25" s="72"/>
      <c r="H25" s="88" t="s">
        <v>1939</v>
      </c>
      <c r="I25" s="81" t="b">
        <v>1</v>
      </c>
      <c r="J25" s="82" t="s">
        <v>47</v>
      </c>
      <c r="K25" s="83">
        <f t="shared" si="4"/>
        <v>1</v>
      </c>
      <c r="L25" s="90">
        <v>6000000.0</v>
      </c>
      <c r="M25" s="84">
        <v>0.0</v>
      </c>
      <c r="N25" s="84">
        <v>0.0</v>
      </c>
      <c r="O25" s="84" t="str">
        <f t="shared" si="5"/>
        <v>-</v>
      </c>
      <c r="P25" s="84" t="str">
        <f t="shared" si="6"/>
        <v>-</v>
      </c>
      <c r="Q25" s="84">
        <f t="shared" si="7"/>
        <v>6000000</v>
      </c>
      <c r="R25" s="72"/>
      <c r="S25" s="72"/>
      <c r="T25" s="72"/>
      <c r="U25" s="9"/>
      <c r="V25" s="9"/>
    </row>
    <row r="26" ht="114.75" customHeight="1" outlineLevel="1">
      <c r="A26" s="73" t="s">
        <v>36</v>
      </c>
      <c r="B26" s="89" t="s">
        <v>55</v>
      </c>
      <c r="C26" s="75" t="s">
        <v>38</v>
      </c>
      <c r="D26" s="76" t="s">
        <v>56</v>
      </c>
      <c r="E26" s="77" t="s">
        <v>40</v>
      </c>
      <c r="F26" s="78" t="s">
        <v>21</v>
      </c>
      <c r="G26" s="79" t="s">
        <v>50</v>
      </c>
      <c r="H26" s="80" t="s">
        <v>1940</v>
      </c>
      <c r="I26" s="81" t="b">
        <v>1</v>
      </c>
      <c r="J26" s="82" t="s">
        <v>7</v>
      </c>
      <c r="K26" s="83">
        <f t="shared" si="4"/>
        <v>1</v>
      </c>
      <c r="L26" s="84">
        <v>2.0E7</v>
      </c>
      <c r="M26" s="84">
        <v>130000.0</v>
      </c>
      <c r="N26" s="84">
        <v>4000.0</v>
      </c>
      <c r="O26" s="84">
        <f t="shared" si="5"/>
        <v>153.8461538</v>
      </c>
      <c r="P26" s="84">
        <f t="shared" si="6"/>
        <v>5000</v>
      </c>
      <c r="Q26" s="84">
        <f t="shared" si="7"/>
        <v>20000000</v>
      </c>
      <c r="R26" s="75" t="s">
        <v>1941</v>
      </c>
      <c r="S26" s="85" t="s">
        <v>59</v>
      </c>
      <c r="T26" s="86" t="s">
        <v>45</v>
      </c>
      <c r="U26" s="87"/>
      <c r="V26" s="87"/>
    </row>
    <row r="27" ht="114.75" customHeight="1" outlineLevel="1">
      <c r="A27" s="72"/>
      <c r="B27" s="72"/>
      <c r="C27" s="72"/>
      <c r="D27" s="72"/>
      <c r="E27" s="72"/>
      <c r="F27" s="72"/>
      <c r="G27" s="72"/>
      <c r="H27" s="88" t="s">
        <v>1942</v>
      </c>
      <c r="I27" s="81" t="b">
        <v>1</v>
      </c>
      <c r="J27" s="82" t="s">
        <v>47</v>
      </c>
      <c r="K27" s="83">
        <f t="shared" si="4"/>
        <v>1</v>
      </c>
      <c r="L27" s="84">
        <v>1.3E7</v>
      </c>
      <c r="M27" s="84">
        <v>0.0</v>
      </c>
      <c r="N27" s="84">
        <v>0.0</v>
      </c>
      <c r="O27" s="84" t="str">
        <f t="shared" si="5"/>
        <v>-</v>
      </c>
      <c r="P27" s="84" t="str">
        <f t="shared" si="6"/>
        <v>-</v>
      </c>
      <c r="Q27" s="84">
        <f t="shared" si="7"/>
        <v>13000000</v>
      </c>
      <c r="R27" s="72"/>
      <c r="S27" s="72"/>
      <c r="T27" s="72"/>
      <c r="U27" s="9"/>
      <c r="V27" s="9"/>
    </row>
    <row r="28" ht="114.75" customHeight="1" outlineLevel="1">
      <c r="A28" s="73" t="s">
        <v>36</v>
      </c>
      <c r="B28" s="89" t="s">
        <v>61</v>
      </c>
      <c r="C28" s="75" t="s">
        <v>38</v>
      </c>
      <c r="D28" s="76" t="s">
        <v>62</v>
      </c>
      <c r="E28" s="77" t="s">
        <v>40</v>
      </c>
      <c r="F28" s="78" t="s">
        <v>21</v>
      </c>
      <c r="G28" s="79" t="s">
        <v>50</v>
      </c>
      <c r="H28" s="80" t="s">
        <v>1943</v>
      </c>
      <c r="I28" s="81" t="b">
        <v>1</v>
      </c>
      <c r="J28" s="82" t="s">
        <v>7</v>
      </c>
      <c r="K28" s="83">
        <f t="shared" si="4"/>
        <v>1</v>
      </c>
      <c r="L28" s="84">
        <v>8000000.0</v>
      </c>
      <c r="M28" s="84">
        <v>30000.0</v>
      </c>
      <c r="N28" s="84">
        <v>1200.0</v>
      </c>
      <c r="O28" s="84">
        <f t="shared" si="5"/>
        <v>266.6666667</v>
      </c>
      <c r="P28" s="84">
        <f t="shared" si="6"/>
        <v>6666.666667</v>
      </c>
      <c r="Q28" s="84">
        <f t="shared" si="7"/>
        <v>8000000</v>
      </c>
      <c r="R28" s="75" t="s">
        <v>1944</v>
      </c>
      <c r="S28" s="85" t="s">
        <v>65</v>
      </c>
      <c r="T28" s="86" t="s">
        <v>45</v>
      </c>
      <c r="U28" s="87"/>
      <c r="V28" s="87"/>
    </row>
    <row r="29" ht="114.75" customHeight="1" outlineLevel="1">
      <c r="A29" s="72"/>
      <c r="B29" s="72"/>
      <c r="C29" s="72"/>
      <c r="D29" s="72"/>
      <c r="E29" s="72"/>
      <c r="F29" s="72"/>
      <c r="G29" s="72"/>
      <c r="H29" s="88" t="s">
        <v>1945</v>
      </c>
      <c r="I29" s="81" t="b">
        <v>1</v>
      </c>
      <c r="J29" s="82" t="s">
        <v>47</v>
      </c>
      <c r="K29" s="83">
        <f t="shared" si="4"/>
        <v>1</v>
      </c>
      <c r="L29" s="90">
        <v>4000000.0</v>
      </c>
      <c r="M29" s="84">
        <v>0.0</v>
      </c>
      <c r="N29" s="84">
        <v>0.0</v>
      </c>
      <c r="O29" s="84" t="str">
        <f t="shared" si="5"/>
        <v>-</v>
      </c>
      <c r="P29" s="84" t="str">
        <f t="shared" si="6"/>
        <v>-</v>
      </c>
      <c r="Q29" s="84">
        <f t="shared" si="7"/>
        <v>4000000</v>
      </c>
      <c r="R29" s="72"/>
      <c r="S29" s="72"/>
      <c r="T29" s="72"/>
      <c r="U29" s="9"/>
      <c r="V29" s="9"/>
    </row>
    <row r="30" ht="114.75" customHeight="1" outlineLevel="1">
      <c r="A30" s="73" t="s">
        <v>36</v>
      </c>
      <c r="B30" s="89" t="s">
        <v>67</v>
      </c>
      <c r="C30" s="75" t="s">
        <v>38</v>
      </c>
      <c r="D30" s="76" t="s">
        <v>68</v>
      </c>
      <c r="E30" s="77" t="s">
        <v>40</v>
      </c>
      <c r="F30" s="78" t="s">
        <v>21</v>
      </c>
      <c r="G30" s="79" t="s">
        <v>50</v>
      </c>
      <c r="H30" s="80" t="s">
        <v>1946</v>
      </c>
      <c r="I30" s="81" t="b">
        <v>1</v>
      </c>
      <c r="J30" s="82" t="s">
        <v>7</v>
      </c>
      <c r="K30" s="83">
        <f t="shared" si="4"/>
        <v>1</v>
      </c>
      <c r="L30" s="84">
        <v>1.0E7</v>
      </c>
      <c r="M30" s="84">
        <v>50000.0</v>
      </c>
      <c r="N30" s="84">
        <v>3000.0</v>
      </c>
      <c r="O30" s="84">
        <f t="shared" si="5"/>
        <v>200</v>
      </c>
      <c r="P30" s="84">
        <f t="shared" si="6"/>
        <v>3333.333333</v>
      </c>
      <c r="Q30" s="84">
        <f t="shared" si="7"/>
        <v>10000000</v>
      </c>
      <c r="R30" s="75" t="s">
        <v>1947</v>
      </c>
      <c r="S30" s="85" t="s">
        <v>71</v>
      </c>
      <c r="T30" s="86" t="s">
        <v>45</v>
      </c>
      <c r="U30" s="87"/>
      <c r="V30" s="87"/>
    </row>
    <row r="31" ht="114.75" customHeight="1" outlineLevel="1">
      <c r="A31" s="72"/>
      <c r="B31" s="72"/>
      <c r="C31" s="72"/>
      <c r="D31" s="72"/>
      <c r="E31" s="72"/>
      <c r="F31" s="72"/>
      <c r="G31" s="72"/>
      <c r="H31" s="88" t="s">
        <v>1948</v>
      </c>
      <c r="I31" s="81" t="b">
        <v>1</v>
      </c>
      <c r="J31" s="82" t="s">
        <v>47</v>
      </c>
      <c r="K31" s="83">
        <f t="shared" si="4"/>
        <v>1</v>
      </c>
      <c r="L31" s="90">
        <v>5000000.0</v>
      </c>
      <c r="M31" s="84">
        <v>0.0</v>
      </c>
      <c r="N31" s="84">
        <v>0.0</v>
      </c>
      <c r="O31" s="84" t="str">
        <f t="shared" si="5"/>
        <v>-</v>
      </c>
      <c r="P31" s="84" t="str">
        <f t="shared" si="6"/>
        <v>-</v>
      </c>
      <c r="Q31" s="84">
        <f t="shared" si="7"/>
        <v>5000000</v>
      </c>
      <c r="R31" s="72"/>
      <c r="S31" s="72"/>
      <c r="T31" s="72"/>
      <c r="U31" s="9"/>
      <c r="V31" s="9"/>
    </row>
    <row r="32" ht="114.75" customHeight="1" outlineLevel="1">
      <c r="A32" s="73" t="s">
        <v>73</v>
      </c>
      <c r="B32" s="91" t="s">
        <v>74</v>
      </c>
      <c r="C32" s="75" t="s">
        <v>38</v>
      </c>
      <c r="D32" s="76" t="s">
        <v>75</v>
      </c>
      <c r="E32" s="77" t="s">
        <v>40</v>
      </c>
      <c r="F32" s="78" t="s">
        <v>21</v>
      </c>
      <c r="G32" s="79" t="s">
        <v>50</v>
      </c>
      <c r="H32" s="80" t="s">
        <v>1949</v>
      </c>
      <c r="I32" s="81" t="b">
        <v>1</v>
      </c>
      <c r="J32" s="82" t="s">
        <v>7</v>
      </c>
      <c r="K32" s="83">
        <f t="shared" si="4"/>
        <v>1</v>
      </c>
      <c r="L32" s="84">
        <v>3.0E7</v>
      </c>
      <c r="M32" s="84">
        <v>80000.0</v>
      </c>
      <c r="N32" s="84">
        <v>4000.0</v>
      </c>
      <c r="O32" s="84">
        <f t="shared" si="5"/>
        <v>375</v>
      </c>
      <c r="P32" s="84">
        <f t="shared" si="6"/>
        <v>7500</v>
      </c>
      <c r="Q32" s="84">
        <f t="shared" si="7"/>
        <v>30000000</v>
      </c>
      <c r="R32" s="75" t="s">
        <v>1950</v>
      </c>
      <c r="S32" s="92" t="s">
        <v>78</v>
      </c>
      <c r="T32" s="153" t="s">
        <v>222</v>
      </c>
      <c r="U32" s="9"/>
      <c r="V32" s="9"/>
    </row>
    <row r="33" ht="114.75" customHeight="1" outlineLevel="1">
      <c r="A33" s="72"/>
      <c r="B33" s="72"/>
      <c r="C33" s="72"/>
      <c r="D33" s="72"/>
      <c r="E33" s="72"/>
      <c r="F33" s="72"/>
      <c r="G33" s="72"/>
      <c r="H33" s="88" t="s">
        <v>1951</v>
      </c>
      <c r="I33" s="81" t="b">
        <v>0</v>
      </c>
      <c r="J33" s="82" t="s">
        <v>47</v>
      </c>
      <c r="K33" s="83">
        <f t="shared" si="4"/>
        <v>0</v>
      </c>
      <c r="L33" s="84">
        <v>1.7E7</v>
      </c>
      <c r="M33" s="84">
        <v>0.0</v>
      </c>
      <c r="N33" s="84">
        <v>0.0</v>
      </c>
      <c r="O33" s="84" t="s">
        <v>81</v>
      </c>
      <c r="P33" s="84" t="s">
        <v>81</v>
      </c>
      <c r="Q33" s="84">
        <f t="shared" si="7"/>
        <v>0</v>
      </c>
      <c r="R33" s="72"/>
      <c r="S33" s="72"/>
      <c r="T33" s="72"/>
      <c r="U33" s="9"/>
      <c r="V33" s="9"/>
    </row>
    <row r="34" ht="114.75" customHeight="1" outlineLevel="1">
      <c r="A34" s="73" t="s">
        <v>73</v>
      </c>
      <c r="B34" s="95" t="s">
        <v>82</v>
      </c>
      <c r="C34" s="75" t="s">
        <v>38</v>
      </c>
      <c r="D34" s="76" t="s">
        <v>83</v>
      </c>
      <c r="E34" s="77" t="s">
        <v>40</v>
      </c>
      <c r="F34" s="78" t="s">
        <v>21</v>
      </c>
      <c r="G34" s="79" t="s">
        <v>50</v>
      </c>
      <c r="H34" s="80" t="s">
        <v>1952</v>
      </c>
      <c r="I34" s="81" t="b">
        <v>1</v>
      </c>
      <c r="J34" s="82" t="s">
        <v>7</v>
      </c>
      <c r="K34" s="83">
        <f t="shared" si="4"/>
        <v>1</v>
      </c>
      <c r="L34" s="84">
        <v>2.2E7</v>
      </c>
      <c r="M34" s="84">
        <v>100000.0</v>
      </c>
      <c r="N34" s="84">
        <v>2000.0</v>
      </c>
      <c r="O34" s="84">
        <f t="shared" ref="O34:O41" si="8">IFERROR(Q34/M34,"-")</f>
        <v>220</v>
      </c>
      <c r="P34" s="84">
        <f t="shared" ref="P34:P41" si="9">IFERROR(Q34/N34,"-")</f>
        <v>11000</v>
      </c>
      <c r="Q34" s="84">
        <f t="shared" si="7"/>
        <v>22000000</v>
      </c>
      <c r="R34" s="75" t="s">
        <v>1953</v>
      </c>
      <c r="S34" s="85" t="s">
        <v>86</v>
      </c>
      <c r="T34" s="153" t="s">
        <v>222</v>
      </c>
      <c r="U34" s="87"/>
      <c r="V34" s="87"/>
    </row>
    <row r="35" ht="114.75" customHeight="1" outlineLevel="1">
      <c r="A35" s="72"/>
      <c r="B35" s="72"/>
      <c r="C35" s="72"/>
      <c r="D35" s="72"/>
      <c r="E35" s="72"/>
      <c r="F35" s="72"/>
      <c r="G35" s="72"/>
      <c r="H35" s="88" t="s">
        <v>1954</v>
      </c>
      <c r="I35" s="81" t="b">
        <v>0</v>
      </c>
      <c r="J35" s="82" t="s">
        <v>47</v>
      </c>
      <c r="K35" s="83">
        <f t="shared" si="4"/>
        <v>0</v>
      </c>
      <c r="L35" s="84">
        <v>1.3E7</v>
      </c>
      <c r="M35" s="84">
        <v>0.0</v>
      </c>
      <c r="N35" s="84">
        <v>0.0</v>
      </c>
      <c r="O35" s="84" t="str">
        <f t="shared" si="8"/>
        <v>-</v>
      </c>
      <c r="P35" s="84" t="str">
        <f t="shared" si="9"/>
        <v>-</v>
      </c>
      <c r="Q35" s="84">
        <f t="shared" si="7"/>
        <v>0</v>
      </c>
      <c r="R35" s="72"/>
      <c r="S35" s="72"/>
      <c r="T35" s="72"/>
      <c r="U35" s="9"/>
      <c r="V35" s="9"/>
    </row>
    <row r="36" ht="114.75" customHeight="1" outlineLevel="1">
      <c r="A36" s="73" t="s">
        <v>73</v>
      </c>
      <c r="B36" s="91" t="s">
        <v>89</v>
      </c>
      <c r="C36" s="75" t="s">
        <v>38</v>
      </c>
      <c r="D36" s="76" t="s">
        <v>90</v>
      </c>
      <c r="E36" s="77" t="s">
        <v>40</v>
      </c>
      <c r="F36" s="78" t="s">
        <v>21</v>
      </c>
      <c r="G36" s="79" t="s">
        <v>50</v>
      </c>
      <c r="H36" s="80" t="s">
        <v>1955</v>
      </c>
      <c r="I36" s="81" t="b">
        <v>1</v>
      </c>
      <c r="J36" s="82" t="s">
        <v>7</v>
      </c>
      <c r="K36" s="83">
        <f t="shared" si="4"/>
        <v>1</v>
      </c>
      <c r="L36" s="84">
        <v>1.7E7</v>
      </c>
      <c r="M36" s="84">
        <v>150000.0</v>
      </c>
      <c r="N36" s="84">
        <v>4000.0</v>
      </c>
      <c r="O36" s="84">
        <f t="shared" si="8"/>
        <v>113.3333333</v>
      </c>
      <c r="P36" s="84">
        <f t="shared" si="9"/>
        <v>4250</v>
      </c>
      <c r="Q36" s="84">
        <f t="shared" si="7"/>
        <v>17000000</v>
      </c>
      <c r="R36" s="75" t="s">
        <v>1956</v>
      </c>
      <c r="S36" s="85" t="s">
        <v>93</v>
      </c>
      <c r="T36" s="153" t="s">
        <v>222</v>
      </c>
      <c r="U36" s="9"/>
      <c r="V36" s="9"/>
    </row>
    <row r="37" ht="114.75" customHeight="1" outlineLevel="1">
      <c r="A37" s="72"/>
      <c r="B37" s="72"/>
      <c r="C37" s="72"/>
      <c r="D37" s="72"/>
      <c r="E37" s="72"/>
      <c r="F37" s="72"/>
      <c r="G37" s="72"/>
      <c r="H37" s="88" t="s">
        <v>1957</v>
      </c>
      <c r="I37" s="81" t="b">
        <v>0</v>
      </c>
      <c r="J37" s="82" t="s">
        <v>47</v>
      </c>
      <c r="K37" s="83">
        <f t="shared" si="4"/>
        <v>0</v>
      </c>
      <c r="L37" s="84">
        <v>7000000.0</v>
      </c>
      <c r="M37" s="84">
        <v>0.0</v>
      </c>
      <c r="N37" s="84">
        <v>0.0</v>
      </c>
      <c r="O37" s="84" t="str">
        <f t="shared" si="8"/>
        <v>-</v>
      </c>
      <c r="P37" s="84" t="str">
        <f t="shared" si="9"/>
        <v>-</v>
      </c>
      <c r="Q37" s="84">
        <f t="shared" si="7"/>
        <v>0</v>
      </c>
      <c r="R37" s="72"/>
      <c r="S37" s="72"/>
      <c r="T37" s="72"/>
      <c r="U37" s="9"/>
      <c r="V37" s="9"/>
    </row>
    <row r="38" ht="114.75" customHeight="1" outlineLevel="1">
      <c r="A38" s="73" t="s">
        <v>73</v>
      </c>
      <c r="B38" s="96" t="s">
        <v>95</v>
      </c>
      <c r="C38" s="75" t="s">
        <v>38</v>
      </c>
      <c r="D38" s="76" t="s">
        <v>96</v>
      </c>
      <c r="E38" s="77" t="s">
        <v>40</v>
      </c>
      <c r="F38" s="78" t="s">
        <v>21</v>
      </c>
      <c r="G38" s="79" t="s">
        <v>50</v>
      </c>
      <c r="H38" s="80" t="s">
        <v>1958</v>
      </c>
      <c r="I38" s="1131" t="b">
        <v>0</v>
      </c>
      <c r="J38" s="82" t="s">
        <v>7</v>
      </c>
      <c r="K38" s="83">
        <f t="shared" si="4"/>
        <v>0</v>
      </c>
      <c r="L38" s="84">
        <v>1.7E7</v>
      </c>
      <c r="M38" s="84">
        <v>45000.0</v>
      </c>
      <c r="N38" s="84">
        <v>2000.0</v>
      </c>
      <c r="O38" s="84">
        <f t="shared" si="8"/>
        <v>0</v>
      </c>
      <c r="P38" s="84">
        <f t="shared" si="9"/>
        <v>0</v>
      </c>
      <c r="Q38" s="84">
        <f t="shared" si="7"/>
        <v>0</v>
      </c>
      <c r="R38" s="75" t="s">
        <v>1959</v>
      </c>
      <c r="S38" s="85" t="s">
        <v>99</v>
      </c>
      <c r="T38" s="153" t="s">
        <v>222</v>
      </c>
      <c r="U38" s="9"/>
      <c r="V38" s="9"/>
    </row>
    <row r="39" ht="114.75" customHeight="1" outlineLevel="1">
      <c r="A39" s="72"/>
      <c r="B39" s="72"/>
      <c r="C39" s="72"/>
      <c r="D39" s="72"/>
      <c r="E39" s="72"/>
      <c r="F39" s="72"/>
      <c r="G39" s="72"/>
      <c r="H39" s="88" t="s">
        <v>1960</v>
      </c>
      <c r="I39" s="1131" t="b">
        <v>0</v>
      </c>
      <c r="J39" s="98" t="s">
        <v>47</v>
      </c>
      <c r="K39" s="99">
        <f t="shared" si="4"/>
        <v>0</v>
      </c>
      <c r="L39" s="84">
        <v>1.0E7</v>
      </c>
      <c r="M39" s="100">
        <v>0.0</v>
      </c>
      <c r="N39" s="100">
        <v>0.0</v>
      </c>
      <c r="O39" s="100" t="str">
        <f t="shared" si="8"/>
        <v>-</v>
      </c>
      <c r="P39" s="100" t="str">
        <f t="shared" si="9"/>
        <v>-</v>
      </c>
      <c r="Q39" s="84">
        <f t="shared" si="7"/>
        <v>0</v>
      </c>
      <c r="R39" s="72"/>
      <c r="S39" s="72"/>
      <c r="T39" s="72"/>
      <c r="U39" s="9"/>
      <c r="V39" s="9"/>
    </row>
    <row r="40" ht="114.75" customHeight="1" outlineLevel="1">
      <c r="A40" s="73" t="s">
        <v>186</v>
      </c>
      <c r="B40" s="152" t="s">
        <v>1455</v>
      </c>
      <c r="C40" s="75" t="s">
        <v>38</v>
      </c>
      <c r="D40" s="76" t="s">
        <v>1456</v>
      </c>
      <c r="E40" s="77" t="s">
        <v>40</v>
      </c>
      <c r="F40" s="78" t="s">
        <v>21</v>
      </c>
      <c r="G40" s="79" t="s">
        <v>50</v>
      </c>
      <c r="H40" s="80" t="s">
        <v>1961</v>
      </c>
      <c r="I40" s="1131" t="b">
        <v>0</v>
      </c>
      <c r="J40" s="82" t="s">
        <v>7</v>
      </c>
      <c r="K40" s="83">
        <f t="shared" si="4"/>
        <v>0</v>
      </c>
      <c r="L40" s="84">
        <v>3.9E7</v>
      </c>
      <c r="M40" s="84">
        <v>110000.0</v>
      </c>
      <c r="N40" s="84">
        <v>4000.0</v>
      </c>
      <c r="O40" s="84">
        <f t="shared" si="8"/>
        <v>0</v>
      </c>
      <c r="P40" s="84">
        <f t="shared" si="9"/>
        <v>0</v>
      </c>
      <c r="Q40" s="84">
        <f t="shared" si="7"/>
        <v>0</v>
      </c>
      <c r="R40" s="75" t="s">
        <v>1962</v>
      </c>
      <c r="S40" s="85" t="s">
        <v>1292</v>
      </c>
      <c r="T40" s="94" t="s">
        <v>122</v>
      </c>
      <c r="U40" s="9"/>
      <c r="V40" s="9"/>
    </row>
    <row r="41" ht="114.75" customHeight="1" outlineLevel="1">
      <c r="A41" s="72"/>
      <c r="B41" s="72"/>
      <c r="C41" s="72"/>
      <c r="D41" s="72"/>
      <c r="E41" s="72"/>
      <c r="F41" s="72"/>
      <c r="G41" s="72"/>
      <c r="H41" s="88" t="s">
        <v>1963</v>
      </c>
      <c r="I41" s="81" t="b">
        <v>0</v>
      </c>
      <c r="J41" s="82" t="s">
        <v>47</v>
      </c>
      <c r="K41" s="83">
        <f t="shared" si="4"/>
        <v>0</v>
      </c>
      <c r="L41" s="84">
        <v>1.3E7</v>
      </c>
      <c r="M41" s="84">
        <v>0.0</v>
      </c>
      <c r="N41" s="84">
        <v>0.0</v>
      </c>
      <c r="O41" s="84" t="str">
        <f t="shared" si="8"/>
        <v>-</v>
      </c>
      <c r="P41" s="84" t="str">
        <f t="shared" si="9"/>
        <v>-</v>
      </c>
      <c r="Q41" s="84">
        <f t="shared" si="7"/>
        <v>0</v>
      </c>
      <c r="R41" s="72"/>
      <c r="S41" s="72"/>
      <c r="T41" s="72"/>
      <c r="U41" s="9"/>
      <c r="V41" s="9"/>
    </row>
    <row r="42" ht="30.0" customHeight="1">
      <c r="A42" s="55" t="s">
        <v>134</v>
      </c>
      <c r="B42" s="56"/>
      <c r="C42" s="57"/>
      <c r="D42" s="58"/>
      <c r="E42" s="59"/>
      <c r="F42" s="59"/>
      <c r="G42" s="61"/>
      <c r="H42" s="61"/>
      <c r="I42" s="62"/>
      <c r="J42" s="63" t="s">
        <v>7</v>
      </c>
      <c r="K42" s="64">
        <f>SUMIFS(K45:K95,J45:J95,"Video Post")</f>
        <v>21</v>
      </c>
      <c r="L42" s="65"/>
      <c r="M42" s="66">
        <f t="shared" ref="M42:N42" si="10">sumif($I$45:$I$95,"TRUE",M45:M95)</f>
        <v>625000</v>
      </c>
      <c r="N42" s="66">
        <f t="shared" si="10"/>
        <v>42000</v>
      </c>
      <c r="O42" s="65"/>
      <c r="P42" s="65"/>
      <c r="Q42" s="66">
        <f>sum(Q45:Q95)</f>
        <v>194000000</v>
      </c>
      <c r="R42" s="133"/>
      <c r="S42" s="133"/>
      <c r="T42" s="133"/>
      <c r="U42" s="69"/>
      <c r="V42" s="69"/>
    </row>
    <row r="43" ht="30.0" customHeight="1">
      <c r="A43" s="70"/>
      <c r="B43" s="71"/>
      <c r="C43" s="57"/>
      <c r="D43" s="58"/>
      <c r="E43" s="59"/>
      <c r="F43" s="60"/>
      <c r="G43" s="61"/>
      <c r="H43" s="61"/>
      <c r="I43" s="62"/>
      <c r="J43" s="63" t="s">
        <v>8</v>
      </c>
      <c r="K43" s="64">
        <f>SUMIFS(K45:K95,J45:J95,"Tháng")</f>
        <v>21</v>
      </c>
      <c r="L43" s="65"/>
      <c r="M43" s="72"/>
      <c r="N43" s="72"/>
      <c r="O43" s="65"/>
      <c r="P43" s="65"/>
      <c r="Q43" s="72"/>
      <c r="R43" s="133"/>
      <c r="S43" s="133"/>
      <c r="T43" s="133"/>
      <c r="U43" s="69"/>
      <c r="V43" s="69"/>
    </row>
    <row r="44" outlineLevel="1">
      <c r="A44" s="134" t="s">
        <v>135</v>
      </c>
      <c r="B44" s="135" t="s">
        <v>136</v>
      </c>
      <c r="C44" s="136"/>
      <c r="D44" s="137"/>
      <c r="E44" s="138"/>
      <c r="F44" s="139"/>
      <c r="G44" s="140"/>
      <c r="H44" s="136"/>
      <c r="I44" s="141" t="b">
        <v>0</v>
      </c>
      <c r="J44" s="142"/>
      <c r="K44" s="143"/>
      <c r="L44" s="144"/>
      <c r="M44" s="144"/>
      <c r="N44" s="144"/>
      <c r="O44" s="144"/>
      <c r="P44" s="144"/>
      <c r="Q44" s="144"/>
      <c r="R44" s="136"/>
      <c r="S44" s="145"/>
      <c r="T44" s="138"/>
      <c r="U44" s="146"/>
      <c r="V44" s="146"/>
    </row>
    <row r="45" ht="96.0" customHeight="1" outlineLevel="1">
      <c r="A45" s="73" t="s">
        <v>45</v>
      </c>
      <c r="B45" s="147" t="s">
        <v>137</v>
      </c>
      <c r="C45" s="75" t="s">
        <v>38</v>
      </c>
      <c r="D45" s="76" t="s">
        <v>138</v>
      </c>
      <c r="E45" s="77" t="s">
        <v>40</v>
      </c>
      <c r="F45" s="78" t="s">
        <v>139</v>
      </c>
      <c r="G45" s="79" t="s">
        <v>50</v>
      </c>
      <c r="H45" s="80" t="s">
        <v>1964</v>
      </c>
      <c r="I45" s="81" t="b">
        <v>1</v>
      </c>
      <c r="J45" s="82" t="s">
        <v>7</v>
      </c>
      <c r="K45" s="83">
        <f t="shared" ref="K45:K64" si="11">if(I45=True,1,if(I45=False,0))</f>
        <v>1</v>
      </c>
      <c r="L45" s="84">
        <v>6000000.0</v>
      </c>
      <c r="M45" s="84">
        <v>30000.0</v>
      </c>
      <c r="N45" s="84">
        <v>2000.0</v>
      </c>
      <c r="O45" s="84">
        <f>IFERROR(Q45/M45,"-")</f>
        <v>200</v>
      </c>
      <c r="P45" s="84">
        <f>IFERROR(Q45/N45,"-")</f>
        <v>3000</v>
      </c>
      <c r="Q45" s="84">
        <f t="shared" ref="Q45:Q64" si="12">iferror(L45*K45,"-")</f>
        <v>6000000</v>
      </c>
      <c r="R45" s="75" t="s">
        <v>1965</v>
      </c>
      <c r="S45" s="85" t="s">
        <v>142</v>
      </c>
      <c r="T45" s="86" t="s">
        <v>45</v>
      </c>
      <c r="U45" s="9"/>
      <c r="V45" s="9"/>
    </row>
    <row r="46" ht="96.0" customHeight="1" outlineLevel="1">
      <c r="A46" s="72"/>
      <c r="B46" s="72"/>
      <c r="C46" s="72"/>
      <c r="D46" s="72"/>
      <c r="E46" s="72"/>
      <c r="F46" s="72"/>
      <c r="G46" s="72"/>
      <c r="H46" s="88" t="s">
        <v>1966</v>
      </c>
      <c r="I46" s="81" t="b">
        <v>1</v>
      </c>
      <c r="J46" s="82" t="s">
        <v>47</v>
      </c>
      <c r="K46" s="83">
        <f t="shared" si="11"/>
        <v>1</v>
      </c>
      <c r="L46" s="84">
        <v>2000000.0</v>
      </c>
      <c r="M46" s="84">
        <v>0.0</v>
      </c>
      <c r="N46" s="84">
        <v>0.0</v>
      </c>
      <c r="O46" s="84" t="s">
        <v>81</v>
      </c>
      <c r="P46" s="84" t="s">
        <v>81</v>
      </c>
      <c r="Q46" s="84">
        <f t="shared" si="12"/>
        <v>2000000</v>
      </c>
      <c r="R46" s="72"/>
      <c r="S46" s="72"/>
      <c r="T46" s="72"/>
      <c r="U46" s="9"/>
      <c r="V46" s="9"/>
    </row>
    <row r="47" ht="96.0" customHeight="1" outlineLevel="1">
      <c r="A47" s="73" t="s">
        <v>45</v>
      </c>
      <c r="B47" s="89" t="s">
        <v>144</v>
      </c>
      <c r="C47" s="75" t="s">
        <v>38</v>
      </c>
      <c r="D47" s="76" t="s">
        <v>145</v>
      </c>
      <c r="E47" s="77" t="s">
        <v>146</v>
      </c>
      <c r="F47" s="78" t="s">
        <v>139</v>
      </c>
      <c r="G47" s="79" t="s">
        <v>50</v>
      </c>
      <c r="H47" s="80" t="s">
        <v>1967</v>
      </c>
      <c r="I47" s="81" t="b">
        <v>1</v>
      </c>
      <c r="J47" s="82" t="s">
        <v>7</v>
      </c>
      <c r="K47" s="83">
        <f t="shared" si="11"/>
        <v>1</v>
      </c>
      <c r="L47" s="84">
        <v>5000000.0</v>
      </c>
      <c r="M47" s="84">
        <v>20000.0</v>
      </c>
      <c r="N47" s="84">
        <v>1500.0</v>
      </c>
      <c r="O47" s="84">
        <f t="shared" ref="O47:O64" si="13">IFERROR(Q47/M47,"-")</f>
        <v>250</v>
      </c>
      <c r="P47" s="84">
        <f t="shared" ref="P47:P64" si="14">IFERROR(Q47/N47,"-")</f>
        <v>3333.333333</v>
      </c>
      <c r="Q47" s="84">
        <f t="shared" si="12"/>
        <v>5000000</v>
      </c>
      <c r="R47" s="75" t="s">
        <v>1968</v>
      </c>
      <c r="S47" s="85" t="s">
        <v>149</v>
      </c>
      <c r="T47" s="86" t="s">
        <v>45</v>
      </c>
      <c r="U47" s="87"/>
      <c r="V47" s="87"/>
    </row>
    <row r="48" ht="96.0" customHeight="1" outlineLevel="1">
      <c r="A48" s="72"/>
      <c r="B48" s="72"/>
      <c r="C48" s="72"/>
      <c r="D48" s="72"/>
      <c r="E48" s="72"/>
      <c r="F48" s="72"/>
      <c r="G48" s="72"/>
      <c r="H48" s="88" t="s">
        <v>1969</v>
      </c>
      <c r="I48" s="81" t="b">
        <v>1</v>
      </c>
      <c r="J48" s="82" t="s">
        <v>47</v>
      </c>
      <c r="K48" s="83">
        <f t="shared" si="11"/>
        <v>1</v>
      </c>
      <c r="L48" s="84">
        <v>2000000.0</v>
      </c>
      <c r="M48" s="84">
        <v>0.0</v>
      </c>
      <c r="N48" s="84">
        <v>0.0</v>
      </c>
      <c r="O48" s="84" t="str">
        <f t="shared" si="13"/>
        <v>-</v>
      </c>
      <c r="P48" s="84" t="str">
        <f t="shared" si="14"/>
        <v>-</v>
      </c>
      <c r="Q48" s="84">
        <f t="shared" si="12"/>
        <v>2000000</v>
      </c>
      <c r="R48" s="72"/>
      <c r="S48" s="72"/>
      <c r="T48" s="72"/>
      <c r="U48" s="9"/>
      <c r="V48" s="9"/>
    </row>
    <row r="49" ht="96.0" customHeight="1" outlineLevel="1">
      <c r="A49" s="73" t="s">
        <v>45</v>
      </c>
      <c r="B49" s="147" t="s">
        <v>151</v>
      </c>
      <c r="C49" s="75" t="s">
        <v>38</v>
      </c>
      <c r="D49" s="76" t="s">
        <v>152</v>
      </c>
      <c r="E49" s="77" t="s">
        <v>146</v>
      </c>
      <c r="F49" s="78" t="s">
        <v>139</v>
      </c>
      <c r="G49" s="79" t="s">
        <v>50</v>
      </c>
      <c r="H49" s="80" t="s">
        <v>1970</v>
      </c>
      <c r="I49" s="81" t="b">
        <v>1</v>
      </c>
      <c r="J49" s="82" t="s">
        <v>7</v>
      </c>
      <c r="K49" s="83">
        <f t="shared" si="11"/>
        <v>1</v>
      </c>
      <c r="L49" s="84">
        <v>3000000.0</v>
      </c>
      <c r="M49" s="84">
        <v>20000.0</v>
      </c>
      <c r="N49" s="84">
        <v>1500.0</v>
      </c>
      <c r="O49" s="84">
        <f t="shared" si="13"/>
        <v>150</v>
      </c>
      <c r="P49" s="84">
        <f t="shared" si="14"/>
        <v>2000</v>
      </c>
      <c r="Q49" s="84">
        <f t="shared" si="12"/>
        <v>3000000</v>
      </c>
      <c r="R49" s="75" t="s">
        <v>1971</v>
      </c>
      <c r="S49" s="85" t="s">
        <v>155</v>
      </c>
      <c r="T49" s="86" t="s">
        <v>45</v>
      </c>
      <c r="U49" s="9"/>
      <c r="V49" s="9"/>
    </row>
    <row r="50" ht="96.0" customHeight="1" outlineLevel="1">
      <c r="A50" s="72"/>
      <c r="B50" s="72"/>
      <c r="C50" s="72"/>
      <c r="D50" s="72"/>
      <c r="E50" s="72"/>
      <c r="F50" s="72"/>
      <c r="G50" s="72"/>
      <c r="H50" s="88" t="s">
        <v>1972</v>
      </c>
      <c r="I50" s="81" t="b">
        <v>1</v>
      </c>
      <c r="J50" s="82" t="s">
        <v>47</v>
      </c>
      <c r="K50" s="83">
        <f t="shared" si="11"/>
        <v>1</v>
      </c>
      <c r="L50" s="84">
        <v>2000000.0</v>
      </c>
      <c r="M50" s="84">
        <v>0.0</v>
      </c>
      <c r="N50" s="84">
        <v>0.0</v>
      </c>
      <c r="O50" s="84" t="str">
        <f t="shared" si="13"/>
        <v>-</v>
      </c>
      <c r="P50" s="84" t="str">
        <f t="shared" si="14"/>
        <v>-</v>
      </c>
      <c r="Q50" s="84">
        <f t="shared" si="12"/>
        <v>2000000</v>
      </c>
      <c r="R50" s="72"/>
      <c r="S50" s="72"/>
      <c r="T50" s="72"/>
      <c r="U50" s="9"/>
      <c r="V50" s="9"/>
    </row>
    <row r="51" ht="96.0" customHeight="1" outlineLevel="1">
      <c r="A51" s="73" t="s">
        <v>73</v>
      </c>
      <c r="B51" s="96" t="s">
        <v>157</v>
      </c>
      <c r="C51" s="75" t="s">
        <v>38</v>
      </c>
      <c r="D51" s="76" t="s">
        <v>158</v>
      </c>
      <c r="E51" s="77" t="s">
        <v>40</v>
      </c>
      <c r="F51" s="78" t="s">
        <v>139</v>
      </c>
      <c r="G51" s="79" t="s">
        <v>50</v>
      </c>
      <c r="H51" s="80" t="s">
        <v>1973</v>
      </c>
      <c r="I51" s="81" t="b">
        <v>1</v>
      </c>
      <c r="J51" s="82" t="s">
        <v>7</v>
      </c>
      <c r="K51" s="83">
        <f t="shared" si="11"/>
        <v>1</v>
      </c>
      <c r="L51" s="84">
        <v>6000000.0</v>
      </c>
      <c r="M51" s="84">
        <v>30000.0</v>
      </c>
      <c r="N51" s="84">
        <v>2000.0</v>
      </c>
      <c r="O51" s="84">
        <f t="shared" si="13"/>
        <v>200</v>
      </c>
      <c r="P51" s="84">
        <f t="shared" si="14"/>
        <v>3000</v>
      </c>
      <c r="Q51" s="84">
        <f t="shared" si="12"/>
        <v>6000000</v>
      </c>
      <c r="R51" s="75" t="s">
        <v>1974</v>
      </c>
      <c r="S51" s="85" t="s">
        <v>161</v>
      </c>
      <c r="T51" s="153" t="s">
        <v>222</v>
      </c>
      <c r="U51" s="87"/>
      <c r="V51" s="87"/>
    </row>
    <row r="52" ht="96.0" customHeight="1" outlineLevel="1">
      <c r="A52" s="72"/>
      <c r="B52" s="72"/>
      <c r="C52" s="72"/>
      <c r="D52" s="72"/>
      <c r="E52" s="72"/>
      <c r="F52" s="72"/>
      <c r="G52" s="72"/>
      <c r="H52" s="88" t="s">
        <v>1975</v>
      </c>
      <c r="I52" s="81" t="b">
        <v>1</v>
      </c>
      <c r="J52" s="82" t="s">
        <v>47</v>
      </c>
      <c r="K52" s="83">
        <f t="shared" si="11"/>
        <v>1</v>
      </c>
      <c r="L52" s="84">
        <v>2000000.0</v>
      </c>
      <c r="M52" s="84">
        <v>0.0</v>
      </c>
      <c r="N52" s="84">
        <v>0.0</v>
      </c>
      <c r="O52" s="84" t="str">
        <f t="shared" si="13"/>
        <v>-</v>
      </c>
      <c r="P52" s="84" t="str">
        <f t="shared" si="14"/>
        <v>-</v>
      </c>
      <c r="Q52" s="84">
        <f t="shared" si="12"/>
        <v>2000000</v>
      </c>
      <c r="R52" s="72"/>
      <c r="S52" s="72"/>
      <c r="T52" s="72"/>
      <c r="U52" s="87"/>
      <c r="V52" s="87"/>
    </row>
    <row r="53" ht="96.0" customHeight="1" outlineLevel="1">
      <c r="A53" s="73" t="s">
        <v>73</v>
      </c>
      <c r="B53" s="96" t="s">
        <v>163</v>
      </c>
      <c r="C53" s="75" t="s">
        <v>38</v>
      </c>
      <c r="D53" s="76" t="s">
        <v>164</v>
      </c>
      <c r="E53" s="77" t="s">
        <v>146</v>
      </c>
      <c r="F53" s="78" t="s">
        <v>21</v>
      </c>
      <c r="G53" s="79" t="s">
        <v>50</v>
      </c>
      <c r="H53" s="80" t="s">
        <v>1976</v>
      </c>
      <c r="I53" s="81" t="b">
        <v>1</v>
      </c>
      <c r="J53" s="82" t="s">
        <v>7</v>
      </c>
      <c r="K53" s="83">
        <f t="shared" si="11"/>
        <v>1</v>
      </c>
      <c r="L53" s="84">
        <v>5000000.0</v>
      </c>
      <c r="M53" s="84">
        <v>20000.0</v>
      </c>
      <c r="N53" s="84">
        <v>1500.0</v>
      </c>
      <c r="O53" s="84">
        <f t="shared" si="13"/>
        <v>250</v>
      </c>
      <c r="P53" s="84">
        <f t="shared" si="14"/>
        <v>3333.333333</v>
      </c>
      <c r="Q53" s="84">
        <f t="shared" si="12"/>
        <v>5000000</v>
      </c>
      <c r="R53" s="75" t="s">
        <v>1977</v>
      </c>
      <c r="S53" s="85" t="s">
        <v>167</v>
      </c>
      <c r="T53" s="153" t="s">
        <v>222</v>
      </c>
      <c r="U53" s="87"/>
      <c r="V53" s="87"/>
    </row>
    <row r="54" ht="96.0" customHeight="1" outlineLevel="1">
      <c r="A54" s="72"/>
      <c r="B54" s="72"/>
      <c r="C54" s="72"/>
      <c r="D54" s="72"/>
      <c r="E54" s="72"/>
      <c r="F54" s="72"/>
      <c r="G54" s="72"/>
      <c r="H54" s="88" t="s">
        <v>1978</v>
      </c>
      <c r="I54" s="81" t="b">
        <v>1</v>
      </c>
      <c r="J54" s="82" t="s">
        <v>47</v>
      </c>
      <c r="K54" s="83">
        <f t="shared" si="11"/>
        <v>1</v>
      </c>
      <c r="L54" s="84">
        <v>3000000.0</v>
      </c>
      <c r="M54" s="84">
        <v>0.0</v>
      </c>
      <c r="N54" s="84">
        <v>0.0</v>
      </c>
      <c r="O54" s="84" t="str">
        <f t="shared" si="13"/>
        <v>-</v>
      </c>
      <c r="P54" s="84" t="str">
        <f t="shared" si="14"/>
        <v>-</v>
      </c>
      <c r="Q54" s="84">
        <f t="shared" si="12"/>
        <v>3000000</v>
      </c>
      <c r="R54" s="72"/>
      <c r="S54" s="72"/>
      <c r="T54" s="72"/>
      <c r="U54" s="9"/>
      <c r="V54" s="9"/>
    </row>
    <row r="55" ht="96.0" customHeight="1" outlineLevel="1">
      <c r="A55" s="73" t="s">
        <v>73</v>
      </c>
      <c r="B55" s="91" t="s">
        <v>169</v>
      </c>
      <c r="C55" s="75" t="s">
        <v>38</v>
      </c>
      <c r="D55" s="76">
        <v>6489.0</v>
      </c>
      <c r="E55" s="77" t="s">
        <v>146</v>
      </c>
      <c r="F55" s="78" t="s">
        <v>139</v>
      </c>
      <c r="G55" s="79" t="s">
        <v>50</v>
      </c>
      <c r="H55" s="80" t="s">
        <v>1979</v>
      </c>
      <c r="I55" s="81" t="b">
        <v>1</v>
      </c>
      <c r="J55" s="82" t="s">
        <v>7</v>
      </c>
      <c r="K55" s="83">
        <f t="shared" si="11"/>
        <v>1</v>
      </c>
      <c r="L55" s="84">
        <v>3000000.0</v>
      </c>
      <c r="M55" s="84">
        <v>10000.0</v>
      </c>
      <c r="N55" s="84">
        <v>1000.0</v>
      </c>
      <c r="O55" s="84">
        <f t="shared" si="13"/>
        <v>300</v>
      </c>
      <c r="P55" s="84">
        <f t="shared" si="14"/>
        <v>3000</v>
      </c>
      <c r="Q55" s="84">
        <f t="shared" si="12"/>
        <v>3000000</v>
      </c>
      <c r="R55" s="75" t="s">
        <v>1980</v>
      </c>
      <c r="S55" s="85" t="s">
        <v>172</v>
      </c>
      <c r="T55" s="153" t="s">
        <v>222</v>
      </c>
      <c r="U55" s="9"/>
      <c r="V55" s="9"/>
    </row>
    <row r="56" ht="96.0" customHeight="1" outlineLevel="1">
      <c r="A56" s="72"/>
      <c r="B56" s="72"/>
      <c r="C56" s="72"/>
      <c r="D56" s="72"/>
      <c r="E56" s="72"/>
      <c r="F56" s="72"/>
      <c r="G56" s="72"/>
      <c r="H56" s="88" t="s">
        <v>1981</v>
      </c>
      <c r="I56" s="81" t="b">
        <v>1</v>
      </c>
      <c r="J56" s="82" t="s">
        <v>47</v>
      </c>
      <c r="K56" s="83">
        <f t="shared" si="11"/>
        <v>1</v>
      </c>
      <c r="L56" s="84">
        <v>2000000.0</v>
      </c>
      <c r="M56" s="84">
        <v>0.0</v>
      </c>
      <c r="N56" s="84">
        <v>0.0</v>
      </c>
      <c r="O56" s="84" t="str">
        <f t="shared" si="13"/>
        <v>-</v>
      </c>
      <c r="P56" s="84" t="str">
        <f t="shared" si="14"/>
        <v>-</v>
      </c>
      <c r="Q56" s="84">
        <f t="shared" si="12"/>
        <v>2000000</v>
      </c>
      <c r="R56" s="72"/>
      <c r="S56" s="72"/>
      <c r="T56" s="72"/>
      <c r="U56" s="9"/>
      <c r="V56" s="9"/>
    </row>
    <row r="57" ht="96.0" customHeight="1" outlineLevel="1">
      <c r="A57" s="73" t="s">
        <v>186</v>
      </c>
      <c r="B57" s="151" t="s">
        <v>237</v>
      </c>
      <c r="C57" s="75" t="s">
        <v>38</v>
      </c>
      <c r="D57" s="76" t="s">
        <v>238</v>
      </c>
      <c r="E57" s="77" t="s">
        <v>146</v>
      </c>
      <c r="F57" s="78" t="s">
        <v>139</v>
      </c>
      <c r="G57" s="79" t="s">
        <v>50</v>
      </c>
      <c r="H57" s="80" t="s">
        <v>1982</v>
      </c>
      <c r="I57" s="81" t="b">
        <v>1</v>
      </c>
      <c r="J57" s="82" t="s">
        <v>7</v>
      </c>
      <c r="K57" s="83">
        <f t="shared" si="11"/>
        <v>1</v>
      </c>
      <c r="L57" s="84">
        <v>1.6E7</v>
      </c>
      <c r="M57" s="84">
        <v>70000.0</v>
      </c>
      <c r="N57" s="84">
        <v>4000.0</v>
      </c>
      <c r="O57" s="84">
        <f t="shared" si="13"/>
        <v>228.5714286</v>
      </c>
      <c r="P57" s="84">
        <f t="shared" si="14"/>
        <v>4000</v>
      </c>
      <c r="Q57" s="84">
        <f t="shared" si="12"/>
        <v>16000000</v>
      </c>
      <c r="R57" s="75" t="s">
        <v>1983</v>
      </c>
      <c r="S57" s="85"/>
      <c r="T57" s="149" t="s">
        <v>122</v>
      </c>
      <c r="U57" s="87"/>
      <c r="V57" s="87"/>
    </row>
    <row r="58" ht="96.0" customHeight="1" outlineLevel="1">
      <c r="A58" s="72"/>
      <c r="B58" s="72"/>
      <c r="C58" s="72"/>
      <c r="D58" s="72"/>
      <c r="E58" s="72"/>
      <c r="F58" s="72"/>
      <c r="G58" s="72"/>
      <c r="H58" s="88" t="s">
        <v>1984</v>
      </c>
      <c r="I58" s="81" t="b">
        <v>1</v>
      </c>
      <c r="J58" s="82" t="s">
        <v>47</v>
      </c>
      <c r="K58" s="83">
        <f t="shared" si="11"/>
        <v>1</v>
      </c>
      <c r="L58" s="84">
        <v>8000000.0</v>
      </c>
      <c r="M58" s="84">
        <v>0.0</v>
      </c>
      <c r="N58" s="84">
        <v>0.0</v>
      </c>
      <c r="O58" s="84" t="str">
        <f t="shared" si="13"/>
        <v>-</v>
      </c>
      <c r="P58" s="84" t="str">
        <f t="shared" si="14"/>
        <v>-</v>
      </c>
      <c r="Q58" s="84">
        <f t="shared" si="12"/>
        <v>8000000</v>
      </c>
      <c r="R58" s="72"/>
      <c r="S58" s="72"/>
      <c r="T58" s="72"/>
      <c r="U58" s="9"/>
      <c r="V58" s="9"/>
    </row>
    <row r="59" ht="96.0" customHeight="1" outlineLevel="1">
      <c r="A59" s="73" t="s">
        <v>186</v>
      </c>
      <c r="B59" s="151" t="s">
        <v>187</v>
      </c>
      <c r="C59" s="75" t="s">
        <v>38</v>
      </c>
      <c r="D59" s="76" t="s">
        <v>188</v>
      </c>
      <c r="E59" s="77" t="s">
        <v>146</v>
      </c>
      <c r="F59" s="78" t="s">
        <v>139</v>
      </c>
      <c r="G59" s="79" t="s">
        <v>50</v>
      </c>
      <c r="H59" s="80" t="s">
        <v>1985</v>
      </c>
      <c r="I59" s="81" t="b">
        <v>1</v>
      </c>
      <c r="J59" s="82" t="s">
        <v>7</v>
      </c>
      <c r="K59" s="83">
        <f t="shared" si="11"/>
        <v>1</v>
      </c>
      <c r="L59" s="84">
        <v>1.2E7</v>
      </c>
      <c r="M59" s="84">
        <v>60000.0</v>
      </c>
      <c r="N59" s="84">
        <v>3000.0</v>
      </c>
      <c r="O59" s="84">
        <f t="shared" si="13"/>
        <v>200</v>
      </c>
      <c r="P59" s="84">
        <f t="shared" si="14"/>
        <v>4000</v>
      </c>
      <c r="Q59" s="84">
        <f t="shared" si="12"/>
        <v>12000000</v>
      </c>
      <c r="R59" s="75" t="s">
        <v>1986</v>
      </c>
      <c r="S59" s="85"/>
      <c r="T59" s="149" t="s">
        <v>122</v>
      </c>
      <c r="U59" s="87"/>
      <c r="V59" s="87"/>
    </row>
    <row r="60" ht="96.0" customHeight="1" outlineLevel="1">
      <c r="A60" s="72"/>
      <c r="B60" s="72"/>
      <c r="C60" s="72"/>
      <c r="D60" s="72"/>
      <c r="E60" s="72"/>
      <c r="F60" s="72"/>
      <c r="G60" s="72"/>
      <c r="H60" s="88" t="s">
        <v>1987</v>
      </c>
      <c r="I60" s="81" t="b">
        <v>1</v>
      </c>
      <c r="J60" s="82" t="s">
        <v>47</v>
      </c>
      <c r="K60" s="83">
        <f t="shared" si="11"/>
        <v>1</v>
      </c>
      <c r="L60" s="84">
        <v>8000000.0</v>
      </c>
      <c r="M60" s="84">
        <v>0.0</v>
      </c>
      <c r="N60" s="84">
        <v>0.0</v>
      </c>
      <c r="O60" s="84" t="str">
        <f t="shared" si="13"/>
        <v>-</v>
      </c>
      <c r="P60" s="84" t="str">
        <f t="shared" si="14"/>
        <v>-</v>
      </c>
      <c r="Q60" s="84">
        <f t="shared" si="12"/>
        <v>8000000</v>
      </c>
      <c r="R60" s="72"/>
      <c r="S60" s="72"/>
      <c r="T60" s="72"/>
      <c r="U60" s="9"/>
      <c r="V60" s="9"/>
    </row>
    <row r="61" ht="96.0" customHeight="1" outlineLevel="1">
      <c r="A61" s="73" t="s">
        <v>186</v>
      </c>
      <c r="B61" s="151" t="s">
        <v>192</v>
      </c>
      <c r="C61" s="75" t="s">
        <v>38</v>
      </c>
      <c r="D61" s="76" t="s">
        <v>193</v>
      </c>
      <c r="E61" s="77" t="s">
        <v>146</v>
      </c>
      <c r="F61" s="78" t="s">
        <v>139</v>
      </c>
      <c r="G61" s="79" t="s">
        <v>50</v>
      </c>
      <c r="H61" s="80" t="s">
        <v>1988</v>
      </c>
      <c r="I61" s="81" t="b">
        <v>1</v>
      </c>
      <c r="J61" s="82" t="s">
        <v>7</v>
      </c>
      <c r="K61" s="83">
        <f t="shared" si="11"/>
        <v>1</v>
      </c>
      <c r="L61" s="84">
        <v>6000000.0</v>
      </c>
      <c r="M61" s="84">
        <v>25000.0</v>
      </c>
      <c r="N61" s="84">
        <v>2000.0</v>
      </c>
      <c r="O61" s="84">
        <f t="shared" si="13"/>
        <v>240</v>
      </c>
      <c r="P61" s="84">
        <f t="shared" si="14"/>
        <v>3000</v>
      </c>
      <c r="Q61" s="84">
        <f t="shared" si="12"/>
        <v>6000000</v>
      </c>
      <c r="R61" s="75" t="s">
        <v>1989</v>
      </c>
      <c r="S61" s="85"/>
      <c r="T61" s="149" t="s">
        <v>122</v>
      </c>
      <c r="U61" s="87"/>
      <c r="V61" s="87"/>
    </row>
    <row r="62" ht="96.0" customHeight="1" outlineLevel="1">
      <c r="A62" s="72"/>
      <c r="B62" s="72"/>
      <c r="C62" s="72"/>
      <c r="D62" s="72"/>
      <c r="E62" s="72"/>
      <c r="F62" s="72"/>
      <c r="G62" s="72"/>
      <c r="H62" s="88" t="s">
        <v>1990</v>
      </c>
      <c r="I62" s="81" t="b">
        <v>1</v>
      </c>
      <c r="J62" s="82" t="s">
        <v>47</v>
      </c>
      <c r="K62" s="83">
        <f t="shared" si="11"/>
        <v>1</v>
      </c>
      <c r="L62" s="84">
        <v>2000000.0</v>
      </c>
      <c r="M62" s="84">
        <v>0.0</v>
      </c>
      <c r="N62" s="84">
        <v>0.0</v>
      </c>
      <c r="O62" s="84" t="str">
        <f t="shared" si="13"/>
        <v>-</v>
      </c>
      <c r="P62" s="84" t="str">
        <f t="shared" si="14"/>
        <v>-</v>
      </c>
      <c r="Q62" s="84">
        <f t="shared" si="12"/>
        <v>2000000</v>
      </c>
      <c r="R62" s="72"/>
      <c r="S62" s="72"/>
      <c r="T62" s="72"/>
      <c r="U62" s="9"/>
      <c r="V62" s="9"/>
    </row>
    <row r="63" ht="96.0" customHeight="1" outlineLevel="1">
      <c r="A63" s="73" t="s">
        <v>186</v>
      </c>
      <c r="B63" s="152" t="s">
        <v>197</v>
      </c>
      <c r="C63" s="75" t="s">
        <v>38</v>
      </c>
      <c r="D63" s="76" t="s">
        <v>198</v>
      </c>
      <c r="E63" s="77" t="s">
        <v>40</v>
      </c>
      <c r="F63" s="78" t="s">
        <v>139</v>
      </c>
      <c r="G63" s="79" t="s">
        <v>50</v>
      </c>
      <c r="H63" s="80" t="s">
        <v>1991</v>
      </c>
      <c r="I63" s="1131" t="b">
        <v>0</v>
      </c>
      <c r="J63" s="82" t="s">
        <v>7</v>
      </c>
      <c r="K63" s="83">
        <f t="shared" si="11"/>
        <v>0</v>
      </c>
      <c r="L63" s="84">
        <v>2.2E7</v>
      </c>
      <c r="M63" s="84">
        <v>90000.0</v>
      </c>
      <c r="N63" s="84">
        <v>4000.0</v>
      </c>
      <c r="O63" s="84">
        <f t="shared" si="13"/>
        <v>0</v>
      </c>
      <c r="P63" s="84">
        <f t="shared" si="14"/>
        <v>0</v>
      </c>
      <c r="Q63" s="84">
        <f t="shared" si="12"/>
        <v>0</v>
      </c>
      <c r="R63" s="75" t="s">
        <v>1992</v>
      </c>
      <c r="S63" s="85"/>
      <c r="T63" s="149" t="s">
        <v>122</v>
      </c>
      <c r="U63" s="9"/>
      <c r="V63" s="9"/>
    </row>
    <row r="64" ht="96.0" customHeight="1" outlineLevel="1">
      <c r="A64" s="72"/>
      <c r="B64" s="72"/>
      <c r="C64" s="72"/>
      <c r="D64" s="72"/>
      <c r="E64" s="72"/>
      <c r="F64" s="72"/>
      <c r="G64" s="72"/>
      <c r="H64" s="88" t="s">
        <v>1993</v>
      </c>
      <c r="I64" s="81" t="b">
        <v>0</v>
      </c>
      <c r="J64" s="82" t="s">
        <v>47</v>
      </c>
      <c r="K64" s="83">
        <f t="shared" si="11"/>
        <v>0</v>
      </c>
      <c r="L64" s="84">
        <v>6000000.0</v>
      </c>
      <c r="M64" s="84">
        <v>0.0</v>
      </c>
      <c r="N64" s="84">
        <v>0.0</v>
      </c>
      <c r="O64" s="84" t="str">
        <f t="shared" si="13"/>
        <v>-</v>
      </c>
      <c r="P64" s="84" t="str">
        <f t="shared" si="14"/>
        <v>-</v>
      </c>
      <c r="Q64" s="84">
        <f t="shared" si="12"/>
        <v>0</v>
      </c>
      <c r="R64" s="72"/>
      <c r="S64" s="72"/>
      <c r="T64" s="72"/>
      <c r="U64" s="9"/>
      <c r="V64" s="9"/>
    </row>
    <row r="65" outlineLevel="1">
      <c r="A65" s="134" t="s">
        <v>202</v>
      </c>
      <c r="B65" s="135" t="s">
        <v>203</v>
      </c>
      <c r="C65" s="136"/>
      <c r="D65" s="137"/>
      <c r="E65" s="138"/>
      <c r="F65" s="139"/>
      <c r="G65" s="140"/>
      <c r="H65" s="136"/>
      <c r="I65" s="141" t="b">
        <v>0</v>
      </c>
      <c r="J65" s="142"/>
      <c r="K65" s="143"/>
      <c r="L65" s="144"/>
      <c r="M65" s="144"/>
      <c r="N65" s="144"/>
      <c r="O65" s="144"/>
      <c r="P65" s="144"/>
      <c r="Q65" s="144"/>
      <c r="R65" s="136"/>
      <c r="S65" s="145"/>
      <c r="T65" s="138"/>
      <c r="U65" s="146"/>
      <c r="V65" s="146"/>
    </row>
    <row r="66" ht="96.0" customHeight="1" outlineLevel="1">
      <c r="A66" s="73" t="s">
        <v>101</v>
      </c>
      <c r="B66" s="147" t="s">
        <v>204</v>
      </c>
      <c r="C66" s="75" t="s">
        <v>38</v>
      </c>
      <c r="D66" s="76" t="s">
        <v>205</v>
      </c>
      <c r="E66" s="77" t="s">
        <v>146</v>
      </c>
      <c r="F66" s="78" t="s">
        <v>206</v>
      </c>
      <c r="G66" s="79" t="s">
        <v>105</v>
      </c>
      <c r="H66" s="80" t="s">
        <v>1994</v>
      </c>
      <c r="I66" s="81" t="b">
        <v>1</v>
      </c>
      <c r="J66" s="82" t="s">
        <v>7</v>
      </c>
      <c r="K66" s="83">
        <f t="shared" ref="K66:K79" si="15">if(I66=True,1,if(I66=False,0))</f>
        <v>1</v>
      </c>
      <c r="L66" s="84">
        <v>4000000.0</v>
      </c>
      <c r="M66" s="84">
        <v>20000.0</v>
      </c>
      <c r="N66" s="84">
        <v>1500.0</v>
      </c>
      <c r="O66" s="84">
        <f t="shared" ref="O66:O72" si="16">IFERROR(Q66/M66,"-")</f>
        <v>200</v>
      </c>
      <c r="P66" s="84">
        <f t="shared" ref="P66:P72" si="17">IFERROR(Q66/N66,"-")</f>
        <v>2666.666667</v>
      </c>
      <c r="Q66" s="84">
        <f t="shared" ref="Q66:Q79" si="18">iferror(L66*K66,"-")</f>
        <v>4000000</v>
      </c>
      <c r="R66" s="75" t="s">
        <v>1995</v>
      </c>
      <c r="S66" s="85" t="s">
        <v>209</v>
      </c>
      <c r="T66" s="86" t="s">
        <v>45</v>
      </c>
      <c r="U66" s="9"/>
      <c r="V66" s="9"/>
    </row>
    <row r="67" ht="96.0" customHeight="1" outlineLevel="1">
      <c r="A67" s="72"/>
      <c r="B67" s="72"/>
      <c r="C67" s="72"/>
      <c r="D67" s="72"/>
      <c r="E67" s="72"/>
      <c r="F67" s="72"/>
      <c r="G67" s="72"/>
      <c r="H67" s="88" t="s">
        <v>1996</v>
      </c>
      <c r="I67" s="81" t="b">
        <v>1</v>
      </c>
      <c r="J67" s="82" t="s">
        <v>47</v>
      </c>
      <c r="K67" s="83">
        <f t="shared" si="15"/>
        <v>1</v>
      </c>
      <c r="L67" s="84">
        <v>2000000.0</v>
      </c>
      <c r="M67" s="84">
        <v>0.0</v>
      </c>
      <c r="N67" s="84">
        <v>0.0</v>
      </c>
      <c r="O67" s="84" t="str">
        <f t="shared" si="16"/>
        <v>-</v>
      </c>
      <c r="P67" s="84" t="str">
        <f t="shared" si="17"/>
        <v>-</v>
      </c>
      <c r="Q67" s="84">
        <f t="shared" si="18"/>
        <v>2000000</v>
      </c>
      <c r="R67" s="68"/>
      <c r="S67" s="72"/>
      <c r="T67" s="72"/>
      <c r="U67" s="9"/>
      <c r="V67" s="9"/>
    </row>
    <row r="68" ht="96.0" customHeight="1" outlineLevel="1">
      <c r="A68" s="73" t="s">
        <v>101</v>
      </c>
      <c r="B68" s="89" t="s">
        <v>211</v>
      </c>
      <c r="C68" s="75" t="s">
        <v>38</v>
      </c>
      <c r="D68" s="76">
        <v>45000.0</v>
      </c>
      <c r="E68" s="77" t="s">
        <v>146</v>
      </c>
      <c r="F68" s="78" t="s">
        <v>212</v>
      </c>
      <c r="G68" s="79" t="s">
        <v>213</v>
      </c>
      <c r="H68" s="80" t="s">
        <v>1997</v>
      </c>
      <c r="I68" s="81" t="b">
        <v>1</v>
      </c>
      <c r="J68" s="82" t="s">
        <v>7</v>
      </c>
      <c r="K68" s="83">
        <f t="shared" si="15"/>
        <v>1</v>
      </c>
      <c r="L68" s="84">
        <v>5000000.0</v>
      </c>
      <c r="M68" s="84">
        <v>20000.0</v>
      </c>
      <c r="N68" s="84">
        <v>1500.0</v>
      </c>
      <c r="O68" s="84">
        <f t="shared" si="16"/>
        <v>250</v>
      </c>
      <c r="P68" s="84">
        <f t="shared" si="17"/>
        <v>3333.333333</v>
      </c>
      <c r="Q68" s="84">
        <f t="shared" si="18"/>
        <v>5000000</v>
      </c>
      <c r="R68" s="68"/>
      <c r="S68" s="85" t="s">
        <v>215</v>
      </c>
      <c r="T68" s="86" t="s">
        <v>45</v>
      </c>
      <c r="U68" s="9"/>
      <c r="V68" s="9"/>
    </row>
    <row r="69" ht="96.0" customHeight="1" outlineLevel="1">
      <c r="A69" s="72"/>
      <c r="B69" s="72"/>
      <c r="C69" s="72"/>
      <c r="D69" s="72"/>
      <c r="E69" s="72"/>
      <c r="F69" s="72"/>
      <c r="G69" s="72"/>
      <c r="H69" s="88" t="s">
        <v>1998</v>
      </c>
      <c r="I69" s="81" t="b">
        <v>1</v>
      </c>
      <c r="J69" s="82" t="s">
        <v>47</v>
      </c>
      <c r="K69" s="83">
        <f t="shared" si="15"/>
        <v>1</v>
      </c>
      <c r="L69" s="84">
        <v>2000000.0</v>
      </c>
      <c r="M69" s="84">
        <v>0.0</v>
      </c>
      <c r="N69" s="84">
        <v>0.0</v>
      </c>
      <c r="O69" s="84" t="str">
        <f t="shared" si="16"/>
        <v>-</v>
      </c>
      <c r="P69" s="84" t="str">
        <f t="shared" si="17"/>
        <v>-</v>
      </c>
      <c r="Q69" s="84">
        <f t="shared" si="18"/>
        <v>2000000</v>
      </c>
      <c r="R69" s="68"/>
      <c r="S69" s="72"/>
      <c r="T69" s="72"/>
      <c r="U69" s="87"/>
      <c r="V69" s="87"/>
    </row>
    <row r="70" ht="96.0" customHeight="1" outlineLevel="1">
      <c r="A70" s="73" t="s">
        <v>101</v>
      </c>
      <c r="B70" s="96" t="s">
        <v>217</v>
      </c>
      <c r="C70" s="75" t="s">
        <v>38</v>
      </c>
      <c r="D70" s="76" t="s">
        <v>218</v>
      </c>
      <c r="E70" s="77" t="s">
        <v>146</v>
      </c>
      <c r="F70" s="78" t="s">
        <v>219</v>
      </c>
      <c r="G70" s="79" t="s">
        <v>105</v>
      </c>
      <c r="H70" s="80" t="s">
        <v>1999</v>
      </c>
      <c r="I70" s="81" t="b">
        <v>1</v>
      </c>
      <c r="J70" s="82" t="s">
        <v>7</v>
      </c>
      <c r="K70" s="83">
        <f t="shared" si="15"/>
        <v>1</v>
      </c>
      <c r="L70" s="84">
        <v>4000000.0</v>
      </c>
      <c r="M70" s="84">
        <v>20000.0</v>
      </c>
      <c r="N70" s="84">
        <v>1500.0</v>
      </c>
      <c r="O70" s="84">
        <f t="shared" si="16"/>
        <v>200</v>
      </c>
      <c r="P70" s="84">
        <f t="shared" si="17"/>
        <v>2666.666667</v>
      </c>
      <c r="Q70" s="84">
        <f t="shared" si="18"/>
        <v>4000000</v>
      </c>
      <c r="R70" s="68"/>
      <c r="S70" s="85" t="s">
        <v>221</v>
      </c>
      <c r="T70" s="153" t="s">
        <v>222</v>
      </c>
      <c r="U70" s="9"/>
      <c r="V70" s="9"/>
    </row>
    <row r="71" ht="96.0" customHeight="1" outlineLevel="1">
      <c r="A71" s="72"/>
      <c r="B71" s="72"/>
      <c r="C71" s="72"/>
      <c r="D71" s="72"/>
      <c r="E71" s="72"/>
      <c r="F71" s="72"/>
      <c r="G71" s="72"/>
      <c r="H71" s="88" t="s">
        <v>2000</v>
      </c>
      <c r="I71" s="81" t="b">
        <v>1</v>
      </c>
      <c r="J71" s="82" t="s">
        <v>47</v>
      </c>
      <c r="K71" s="83">
        <f t="shared" si="15"/>
        <v>1</v>
      </c>
      <c r="L71" s="84">
        <v>2000000.0</v>
      </c>
      <c r="M71" s="84">
        <v>0.0</v>
      </c>
      <c r="N71" s="84">
        <v>0.0</v>
      </c>
      <c r="O71" s="84" t="str">
        <f t="shared" si="16"/>
        <v>-</v>
      </c>
      <c r="P71" s="84" t="str">
        <f t="shared" si="17"/>
        <v>-</v>
      </c>
      <c r="Q71" s="84">
        <f t="shared" si="18"/>
        <v>2000000</v>
      </c>
      <c r="R71" s="68"/>
      <c r="S71" s="72"/>
      <c r="T71" s="72"/>
      <c r="U71" s="87"/>
      <c r="V71" s="87"/>
    </row>
    <row r="72" ht="96.0" customHeight="1" outlineLevel="1">
      <c r="A72" s="73" t="s">
        <v>101</v>
      </c>
      <c r="B72" s="91" t="s">
        <v>224</v>
      </c>
      <c r="C72" s="75" t="s">
        <v>38</v>
      </c>
      <c r="D72" s="76">
        <v>76600.0</v>
      </c>
      <c r="E72" s="77" t="s">
        <v>146</v>
      </c>
      <c r="F72" s="78" t="s">
        <v>225</v>
      </c>
      <c r="G72" s="79" t="s">
        <v>226</v>
      </c>
      <c r="H72" s="80" t="s">
        <v>2001</v>
      </c>
      <c r="I72" s="81" t="b">
        <v>1</v>
      </c>
      <c r="J72" s="82" t="s">
        <v>7</v>
      </c>
      <c r="K72" s="83">
        <f t="shared" si="15"/>
        <v>1</v>
      </c>
      <c r="L72" s="84">
        <v>5000000.0</v>
      </c>
      <c r="M72" s="84">
        <v>30000.0</v>
      </c>
      <c r="N72" s="84">
        <v>2000.0</v>
      </c>
      <c r="O72" s="84">
        <f t="shared" si="16"/>
        <v>166.6666667</v>
      </c>
      <c r="P72" s="84">
        <f t="shared" si="17"/>
        <v>2500</v>
      </c>
      <c r="Q72" s="84">
        <f t="shared" si="18"/>
        <v>5000000</v>
      </c>
      <c r="R72" s="68"/>
      <c r="S72" s="85" t="s">
        <v>228</v>
      </c>
      <c r="T72" s="153" t="s">
        <v>222</v>
      </c>
      <c r="U72" s="9"/>
      <c r="V72" s="9"/>
    </row>
    <row r="73" ht="96.0" customHeight="1" outlineLevel="1">
      <c r="A73" s="72"/>
      <c r="B73" s="72"/>
      <c r="C73" s="72"/>
      <c r="D73" s="72"/>
      <c r="E73" s="72"/>
      <c r="F73" s="72"/>
      <c r="G73" s="72"/>
      <c r="H73" s="88" t="s">
        <v>2002</v>
      </c>
      <c r="I73" s="81" t="b">
        <v>1</v>
      </c>
      <c r="J73" s="82" t="s">
        <v>47</v>
      </c>
      <c r="K73" s="83">
        <f t="shared" si="15"/>
        <v>1</v>
      </c>
      <c r="L73" s="84">
        <v>2000000.0</v>
      </c>
      <c r="M73" s="84">
        <v>0.0</v>
      </c>
      <c r="N73" s="84">
        <v>0.0</v>
      </c>
      <c r="O73" s="84" t="s">
        <v>81</v>
      </c>
      <c r="P73" s="84" t="s">
        <v>81</v>
      </c>
      <c r="Q73" s="84">
        <f t="shared" si="18"/>
        <v>2000000</v>
      </c>
      <c r="R73" s="68"/>
      <c r="S73" s="72"/>
      <c r="T73" s="72"/>
      <c r="U73" s="9"/>
      <c r="V73" s="9"/>
    </row>
    <row r="74" ht="96.0" customHeight="1" outlineLevel="1">
      <c r="A74" s="73" t="s">
        <v>101</v>
      </c>
      <c r="B74" s="91" t="s">
        <v>230</v>
      </c>
      <c r="C74" s="75" t="s">
        <v>38</v>
      </c>
      <c r="D74" s="76" t="s">
        <v>231</v>
      </c>
      <c r="E74" s="77" t="s">
        <v>146</v>
      </c>
      <c r="F74" s="78" t="s">
        <v>232</v>
      </c>
      <c r="G74" s="79" t="s">
        <v>226</v>
      </c>
      <c r="H74" s="80" t="s">
        <v>2003</v>
      </c>
      <c r="I74" s="81" t="b">
        <v>1</v>
      </c>
      <c r="J74" s="82" t="s">
        <v>7</v>
      </c>
      <c r="K74" s="83">
        <f t="shared" si="15"/>
        <v>1</v>
      </c>
      <c r="L74" s="84">
        <v>4000000.0</v>
      </c>
      <c r="M74" s="84">
        <v>30000.0</v>
      </c>
      <c r="N74" s="84">
        <v>2000.0</v>
      </c>
      <c r="O74" s="84">
        <f>IFERROR(Q74/M74,"-")</f>
        <v>133.3333333</v>
      </c>
      <c r="P74" s="84">
        <f>IFERROR(Q74/N74,"-")</f>
        <v>2000</v>
      </c>
      <c r="Q74" s="84">
        <f t="shared" si="18"/>
        <v>4000000</v>
      </c>
      <c r="R74" s="68"/>
      <c r="S74" s="85" t="s">
        <v>234</v>
      </c>
      <c r="T74" s="153" t="s">
        <v>222</v>
      </c>
      <c r="U74" s="9"/>
      <c r="V74" s="9"/>
    </row>
    <row r="75" ht="96.0" customHeight="1" outlineLevel="1">
      <c r="A75" s="72"/>
      <c r="B75" s="72"/>
      <c r="C75" s="72"/>
      <c r="D75" s="72"/>
      <c r="E75" s="72"/>
      <c r="F75" s="72"/>
      <c r="G75" s="72"/>
      <c r="H75" s="88" t="s">
        <v>2004</v>
      </c>
      <c r="I75" s="81" t="b">
        <v>1</v>
      </c>
      <c r="J75" s="82" t="s">
        <v>47</v>
      </c>
      <c r="K75" s="83">
        <f t="shared" si="15"/>
        <v>1</v>
      </c>
      <c r="L75" s="84">
        <v>2000000.0</v>
      </c>
      <c r="M75" s="84">
        <v>0.0</v>
      </c>
      <c r="N75" s="84">
        <v>0.0</v>
      </c>
      <c r="O75" s="84" t="s">
        <v>81</v>
      </c>
      <c r="P75" s="84" t="s">
        <v>81</v>
      </c>
      <c r="Q75" s="84">
        <f t="shared" si="18"/>
        <v>2000000</v>
      </c>
      <c r="R75" s="68"/>
      <c r="S75" s="72"/>
      <c r="T75" s="72"/>
      <c r="U75" s="9"/>
      <c r="V75" s="9"/>
    </row>
    <row r="76" ht="96.0" customHeight="1" outlineLevel="1">
      <c r="A76" s="73" t="s">
        <v>101</v>
      </c>
      <c r="B76" s="154" t="s">
        <v>260</v>
      </c>
      <c r="C76" s="75" t="s">
        <v>38</v>
      </c>
      <c r="D76" s="76" t="s">
        <v>261</v>
      </c>
      <c r="E76" s="77" t="s">
        <v>146</v>
      </c>
      <c r="F76" s="78" t="s">
        <v>262</v>
      </c>
      <c r="G76" s="79" t="s">
        <v>105</v>
      </c>
      <c r="H76" s="80" t="s">
        <v>2005</v>
      </c>
      <c r="I76" s="1131" t="b">
        <v>0</v>
      </c>
      <c r="J76" s="82" t="s">
        <v>7</v>
      </c>
      <c r="K76" s="83">
        <f t="shared" si="15"/>
        <v>0</v>
      </c>
      <c r="L76" s="84">
        <v>6000000.0</v>
      </c>
      <c r="M76" s="84">
        <v>0.0</v>
      </c>
      <c r="N76" s="84">
        <v>1000.0</v>
      </c>
      <c r="O76" s="84" t="str">
        <f t="shared" ref="O76:O79" si="19">IFERROR(Q76/M76,"-")</f>
        <v>-</v>
      </c>
      <c r="P76" s="84">
        <f t="shared" ref="P76:P79" si="20">IFERROR(Q76/N76,"-")</f>
        <v>0</v>
      </c>
      <c r="Q76" s="84">
        <f t="shared" si="18"/>
        <v>0</v>
      </c>
      <c r="R76" s="68"/>
      <c r="S76" s="85"/>
      <c r="T76" s="149" t="s">
        <v>122</v>
      </c>
      <c r="U76" s="9"/>
      <c r="V76" s="9"/>
    </row>
    <row r="77" ht="96.0" customHeight="1" outlineLevel="1">
      <c r="A77" s="72"/>
      <c r="B77" s="72"/>
      <c r="C77" s="72"/>
      <c r="D77" s="72"/>
      <c r="E77" s="72"/>
      <c r="F77" s="72"/>
      <c r="G77" s="72"/>
      <c r="H77" s="88" t="s">
        <v>2006</v>
      </c>
      <c r="I77" s="81" t="b">
        <v>0</v>
      </c>
      <c r="J77" s="82" t="s">
        <v>47</v>
      </c>
      <c r="K77" s="83">
        <f t="shared" si="15"/>
        <v>0</v>
      </c>
      <c r="L77" s="84">
        <v>3000000.0</v>
      </c>
      <c r="M77" s="84">
        <v>0.0</v>
      </c>
      <c r="N77" s="84">
        <v>0.0</v>
      </c>
      <c r="O77" s="84" t="str">
        <f t="shared" si="19"/>
        <v>-</v>
      </c>
      <c r="P77" s="84" t="str">
        <f t="shared" si="20"/>
        <v>-</v>
      </c>
      <c r="Q77" s="84">
        <f t="shared" si="18"/>
        <v>0</v>
      </c>
      <c r="R77" s="68"/>
      <c r="S77" s="72"/>
      <c r="T77" s="72"/>
      <c r="U77" s="87"/>
      <c r="V77" s="87"/>
    </row>
    <row r="78" ht="96.0" customHeight="1" outlineLevel="1">
      <c r="A78" s="73" t="s">
        <v>101</v>
      </c>
      <c r="B78" s="151" t="s">
        <v>265</v>
      </c>
      <c r="C78" s="75" t="s">
        <v>38</v>
      </c>
      <c r="D78" s="76" t="s">
        <v>266</v>
      </c>
      <c r="E78" s="77" t="s">
        <v>146</v>
      </c>
      <c r="F78" s="78" t="s">
        <v>267</v>
      </c>
      <c r="G78" s="79" t="s">
        <v>226</v>
      </c>
      <c r="H78" s="80" t="s">
        <v>2007</v>
      </c>
      <c r="I78" s="1131" t="b">
        <v>0</v>
      </c>
      <c r="J78" s="82" t="s">
        <v>7</v>
      </c>
      <c r="K78" s="83">
        <f t="shared" si="15"/>
        <v>0</v>
      </c>
      <c r="L78" s="84">
        <v>8000000.0</v>
      </c>
      <c r="M78" s="84">
        <v>0.0</v>
      </c>
      <c r="N78" s="84">
        <v>1500.0</v>
      </c>
      <c r="O78" s="84" t="str">
        <f t="shared" si="19"/>
        <v>-</v>
      </c>
      <c r="P78" s="84">
        <f t="shared" si="20"/>
        <v>0</v>
      </c>
      <c r="Q78" s="84">
        <f t="shared" si="18"/>
        <v>0</v>
      </c>
      <c r="R78" s="68"/>
      <c r="S78" s="85"/>
      <c r="T78" s="149" t="s">
        <v>122</v>
      </c>
      <c r="U78" s="9"/>
      <c r="V78" s="9"/>
    </row>
    <row r="79" ht="96.0" customHeight="1" outlineLevel="1">
      <c r="A79" s="72"/>
      <c r="B79" s="72"/>
      <c r="C79" s="72"/>
      <c r="D79" s="72"/>
      <c r="E79" s="72"/>
      <c r="F79" s="72"/>
      <c r="G79" s="72"/>
      <c r="H79" s="88" t="s">
        <v>2008</v>
      </c>
      <c r="I79" s="81" t="b">
        <v>0</v>
      </c>
      <c r="J79" s="82" t="s">
        <v>47</v>
      </c>
      <c r="K79" s="83">
        <f t="shared" si="15"/>
        <v>0</v>
      </c>
      <c r="L79" s="84">
        <v>4000000.0</v>
      </c>
      <c r="M79" s="84">
        <v>0.0</v>
      </c>
      <c r="N79" s="84">
        <v>0.0</v>
      </c>
      <c r="O79" s="84" t="str">
        <f t="shared" si="19"/>
        <v>-</v>
      </c>
      <c r="P79" s="84" t="str">
        <f t="shared" si="20"/>
        <v>-</v>
      </c>
      <c r="Q79" s="84">
        <f t="shared" si="18"/>
        <v>0</v>
      </c>
      <c r="R79" s="72"/>
      <c r="S79" s="72"/>
      <c r="T79" s="72"/>
      <c r="U79" s="9"/>
      <c r="V79" s="9"/>
    </row>
    <row r="80" outlineLevel="1">
      <c r="A80" s="134" t="s">
        <v>270</v>
      </c>
      <c r="B80" s="135" t="s">
        <v>271</v>
      </c>
      <c r="C80" s="136"/>
      <c r="D80" s="137"/>
      <c r="E80" s="138"/>
      <c r="F80" s="139"/>
      <c r="G80" s="140"/>
      <c r="H80" s="136"/>
      <c r="I80" s="141" t="b">
        <v>0</v>
      </c>
      <c r="J80" s="142"/>
      <c r="K80" s="143"/>
      <c r="L80" s="144"/>
      <c r="M80" s="144"/>
      <c r="N80" s="144"/>
      <c r="O80" s="144"/>
      <c r="P80" s="144"/>
      <c r="Q80" s="144"/>
      <c r="R80" s="136"/>
      <c r="S80" s="145"/>
      <c r="T80" s="138"/>
      <c r="U80" s="146"/>
      <c r="V80" s="146"/>
    </row>
    <row r="81" ht="96.0" customHeight="1" outlineLevel="1">
      <c r="A81" s="73" t="s">
        <v>45</v>
      </c>
      <c r="B81" s="147" t="s">
        <v>272</v>
      </c>
      <c r="C81" s="75" t="s">
        <v>38</v>
      </c>
      <c r="D81" s="76" t="s">
        <v>273</v>
      </c>
      <c r="E81" s="77" t="s">
        <v>146</v>
      </c>
      <c r="F81" s="78" t="s">
        <v>274</v>
      </c>
      <c r="G81" s="79" t="s">
        <v>275</v>
      </c>
      <c r="H81" s="80" t="s">
        <v>2009</v>
      </c>
      <c r="I81" s="81" t="b">
        <v>1</v>
      </c>
      <c r="J81" s="82" t="s">
        <v>7</v>
      </c>
      <c r="K81" s="83">
        <f t="shared" ref="K81:K88" si="21">if(I81=True,1,if(I81=False,0))</f>
        <v>1</v>
      </c>
      <c r="L81" s="84">
        <v>5000000.0</v>
      </c>
      <c r="M81" s="84">
        <v>40000.0</v>
      </c>
      <c r="N81" s="84">
        <v>2000.0</v>
      </c>
      <c r="O81" s="84">
        <f t="shared" ref="O81:O88" si="22">IFERROR(Q81/M81,"-")</f>
        <v>125</v>
      </c>
      <c r="P81" s="84">
        <f t="shared" ref="P81:P88" si="23">IFERROR(Q81/N81,"-")</f>
        <v>2500</v>
      </c>
      <c r="Q81" s="84">
        <f t="shared" ref="Q81:Q88" si="24">iferror(L81*K81,"-")</f>
        <v>5000000</v>
      </c>
      <c r="R81" s="75" t="s">
        <v>2010</v>
      </c>
      <c r="S81" s="85" t="s">
        <v>278</v>
      </c>
      <c r="T81" s="86" t="s">
        <v>45</v>
      </c>
      <c r="U81" s="9"/>
      <c r="V81" s="9"/>
    </row>
    <row r="82" ht="96.0" customHeight="1" outlineLevel="1">
      <c r="A82" s="72"/>
      <c r="B82" s="72"/>
      <c r="C82" s="72"/>
      <c r="D82" s="72"/>
      <c r="E82" s="72"/>
      <c r="F82" s="72"/>
      <c r="G82" s="72"/>
      <c r="H82" s="88" t="s">
        <v>2011</v>
      </c>
      <c r="I82" s="81" t="b">
        <v>1</v>
      </c>
      <c r="J82" s="82" t="s">
        <v>47</v>
      </c>
      <c r="K82" s="83">
        <f t="shared" si="21"/>
        <v>1</v>
      </c>
      <c r="L82" s="84">
        <v>2000000.0</v>
      </c>
      <c r="M82" s="84">
        <v>0.0</v>
      </c>
      <c r="N82" s="84">
        <v>0.0</v>
      </c>
      <c r="O82" s="84" t="str">
        <f t="shared" si="22"/>
        <v>-</v>
      </c>
      <c r="P82" s="84" t="str">
        <f t="shared" si="23"/>
        <v>-</v>
      </c>
      <c r="Q82" s="84">
        <f t="shared" si="24"/>
        <v>2000000</v>
      </c>
      <c r="R82" s="68"/>
      <c r="S82" s="72"/>
      <c r="T82" s="72"/>
      <c r="U82" s="9"/>
      <c r="V82" s="9"/>
    </row>
    <row r="83" ht="96.0" customHeight="1" outlineLevel="1">
      <c r="A83" s="73" t="s">
        <v>73</v>
      </c>
      <c r="B83" s="91" t="s">
        <v>280</v>
      </c>
      <c r="C83" s="75" t="s">
        <v>38</v>
      </c>
      <c r="D83" s="76">
        <v>13600.0</v>
      </c>
      <c r="E83" s="77" t="s">
        <v>146</v>
      </c>
      <c r="F83" s="78" t="s">
        <v>281</v>
      </c>
      <c r="G83" s="79" t="s">
        <v>41</v>
      </c>
      <c r="H83" s="80" t="s">
        <v>2012</v>
      </c>
      <c r="I83" s="81" t="b">
        <v>1</v>
      </c>
      <c r="J83" s="82" t="s">
        <v>7</v>
      </c>
      <c r="K83" s="83">
        <f t="shared" si="21"/>
        <v>1</v>
      </c>
      <c r="L83" s="84">
        <v>5000000.0</v>
      </c>
      <c r="M83" s="84">
        <v>20000.0</v>
      </c>
      <c r="N83" s="84">
        <v>1500.0</v>
      </c>
      <c r="O83" s="84">
        <f t="shared" si="22"/>
        <v>250</v>
      </c>
      <c r="P83" s="84">
        <f t="shared" si="23"/>
        <v>3333.333333</v>
      </c>
      <c r="Q83" s="84">
        <f t="shared" si="24"/>
        <v>5000000</v>
      </c>
      <c r="R83" s="68"/>
      <c r="S83" s="85" t="s">
        <v>283</v>
      </c>
      <c r="T83" s="153" t="s">
        <v>222</v>
      </c>
      <c r="U83" s="9"/>
      <c r="V83" s="9"/>
    </row>
    <row r="84" ht="96.0" customHeight="1" outlineLevel="1">
      <c r="A84" s="72"/>
      <c r="B84" s="72"/>
      <c r="C84" s="72"/>
      <c r="D84" s="72"/>
      <c r="E84" s="72"/>
      <c r="F84" s="72"/>
      <c r="G84" s="72"/>
      <c r="H84" s="88" t="s">
        <v>2013</v>
      </c>
      <c r="I84" s="81" t="b">
        <v>1</v>
      </c>
      <c r="J84" s="82" t="s">
        <v>47</v>
      </c>
      <c r="K84" s="83">
        <f t="shared" si="21"/>
        <v>1</v>
      </c>
      <c r="L84" s="84">
        <v>2000000.0</v>
      </c>
      <c r="M84" s="84">
        <v>0.0</v>
      </c>
      <c r="N84" s="84">
        <v>0.0</v>
      </c>
      <c r="O84" s="84" t="str">
        <f t="shared" si="22"/>
        <v>-</v>
      </c>
      <c r="P84" s="84" t="str">
        <f t="shared" si="23"/>
        <v>-</v>
      </c>
      <c r="Q84" s="84">
        <f t="shared" si="24"/>
        <v>2000000</v>
      </c>
      <c r="R84" s="68"/>
      <c r="S84" s="72"/>
      <c r="T84" s="72"/>
      <c r="U84" s="9"/>
      <c r="V84" s="9"/>
    </row>
    <row r="85" ht="96.0" customHeight="1" outlineLevel="1">
      <c r="A85" s="73" t="s">
        <v>73</v>
      </c>
      <c r="B85" s="96" t="s">
        <v>285</v>
      </c>
      <c r="C85" s="75" t="s">
        <v>38</v>
      </c>
      <c r="D85" s="76" t="s">
        <v>286</v>
      </c>
      <c r="E85" s="77" t="s">
        <v>146</v>
      </c>
      <c r="F85" s="78" t="s">
        <v>287</v>
      </c>
      <c r="G85" s="79" t="s">
        <v>275</v>
      </c>
      <c r="H85" s="80" t="s">
        <v>2014</v>
      </c>
      <c r="I85" s="81" t="b">
        <v>1</v>
      </c>
      <c r="J85" s="82" t="s">
        <v>7</v>
      </c>
      <c r="K85" s="83">
        <f t="shared" si="21"/>
        <v>1</v>
      </c>
      <c r="L85" s="84">
        <v>5000000.0</v>
      </c>
      <c r="M85" s="84">
        <v>10000.0</v>
      </c>
      <c r="N85" s="84">
        <v>1000.0</v>
      </c>
      <c r="O85" s="84">
        <f t="shared" si="22"/>
        <v>500</v>
      </c>
      <c r="P85" s="84">
        <f t="shared" si="23"/>
        <v>5000</v>
      </c>
      <c r="Q85" s="84">
        <f t="shared" si="24"/>
        <v>5000000</v>
      </c>
      <c r="R85" s="68"/>
      <c r="S85" s="85" t="s">
        <v>289</v>
      </c>
      <c r="T85" s="153" t="s">
        <v>222</v>
      </c>
      <c r="U85" s="9"/>
      <c r="V85" s="9"/>
    </row>
    <row r="86" ht="96.0" customHeight="1" outlineLevel="1">
      <c r="A86" s="72"/>
      <c r="B86" s="72"/>
      <c r="C86" s="72"/>
      <c r="D86" s="72"/>
      <c r="E86" s="72"/>
      <c r="F86" s="72"/>
      <c r="G86" s="72"/>
      <c r="H86" s="88" t="s">
        <v>2015</v>
      </c>
      <c r="I86" s="81" t="b">
        <v>1</v>
      </c>
      <c r="J86" s="82" t="s">
        <v>47</v>
      </c>
      <c r="K86" s="83">
        <f t="shared" si="21"/>
        <v>1</v>
      </c>
      <c r="L86" s="84">
        <v>2000000.0</v>
      </c>
      <c r="M86" s="84">
        <v>0.0</v>
      </c>
      <c r="N86" s="84">
        <v>0.0</v>
      </c>
      <c r="O86" s="84" t="str">
        <f t="shared" si="22"/>
        <v>-</v>
      </c>
      <c r="P86" s="84" t="str">
        <f t="shared" si="23"/>
        <v>-</v>
      </c>
      <c r="Q86" s="84">
        <f t="shared" si="24"/>
        <v>2000000</v>
      </c>
      <c r="R86" s="68"/>
      <c r="S86" s="72"/>
      <c r="T86" s="72"/>
      <c r="U86" s="9"/>
      <c r="V86" s="9"/>
    </row>
    <row r="87" ht="96.0" customHeight="1" outlineLevel="1">
      <c r="A87" s="73" t="s">
        <v>101</v>
      </c>
      <c r="B87" s="151" t="s">
        <v>291</v>
      </c>
      <c r="C87" s="75" t="s">
        <v>38</v>
      </c>
      <c r="D87" s="155" t="s">
        <v>292</v>
      </c>
      <c r="E87" s="77" t="s">
        <v>146</v>
      </c>
      <c r="F87" s="78" t="s">
        <v>293</v>
      </c>
      <c r="G87" s="79" t="s">
        <v>41</v>
      </c>
      <c r="H87" s="80" t="s">
        <v>2016</v>
      </c>
      <c r="I87" s="81" t="b">
        <v>1</v>
      </c>
      <c r="J87" s="82" t="s">
        <v>7</v>
      </c>
      <c r="K87" s="83">
        <f t="shared" si="21"/>
        <v>1</v>
      </c>
      <c r="L87" s="84">
        <v>5000000.0</v>
      </c>
      <c r="M87" s="84">
        <v>20000.0</v>
      </c>
      <c r="N87" s="84">
        <v>1500.0</v>
      </c>
      <c r="O87" s="84">
        <f t="shared" si="22"/>
        <v>250</v>
      </c>
      <c r="P87" s="84">
        <f t="shared" si="23"/>
        <v>3333.333333</v>
      </c>
      <c r="Q87" s="84">
        <f t="shared" si="24"/>
        <v>5000000</v>
      </c>
      <c r="R87" s="68"/>
      <c r="S87" s="85"/>
      <c r="T87" s="149" t="s">
        <v>122</v>
      </c>
      <c r="U87" s="9"/>
      <c r="V87" s="9"/>
    </row>
    <row r="88" ht="96.0" customHeight="1" outlineLevel="1">
      <c r="A88" s="72"/>
      <c r="B88" s="72"/>
      <c r="C88" s="72"/>
      <c r="D88" s="72"/>
      <c r="E88" s="72"/>
      <c r="F88" s="72"/>
      <c r="G88" s="72"/>
      <c r="H88" s="88" t="s">
        <v>2017</v>
      </c>
      <c r="I88" s="81" t="b">
        <v>1</v>
      </c>
      <c r="J88" s="82" t="s">
        <v>47</v>
      </c>
      <c r="K88" s="83">
        <f t="shared" si="21"/>
        <v>1</v>
      </c>
      <c r="L88" s="84">
        <v>3000000.0</v>
      </c>
      <c r="M88" s="84">
        <v>0.0</v>
      </c>
      <c r="N88" s="84">
        <v>0.0</v>
      </c>
      <c r="O88" s="84" t="str">
        <f t="shared" si="22"/>
        <v>-</v>
      </c>
      <c r="P88" s="84" t="str">
        <f t="shared" si="23"/>
        <v>-</v>
      </c>
      <c r="Q88" s="84">
        <f t="shared" si="24"/>
        <v>3000000</v>
      </c>
      <c r="R88" s="72"/>
      <c r="S88" s="72"/>
      <c r="T88" s="72"/>
      <c r="U88" s="87"/>
      <c r="V88" s="87"/>
    </row>
    <row r="89" outlineLevel="1">
      <c r="A89" s="134" t="s">
        <v>296</v>
      </c>
      <c r="B89" s="135" t="s">
        <v>297</v>
      </c>
      <c r="C89" s="136"/>
      <c r="D89" s="137"/>
      <c r="E89" s="138"/>
      <c r="F89" s="139"/>
      <c r="G89" s="140"/>
      <c r="H89" s="136"/>
      <c r="I89" s="141" t="b">
        <v>0</v>
      </c>
      <c r="J89" s="142"/>
      <c r="K89" s="143"/>
      <c r="L89" s="144"/>
      <c r="M89" s="144"/>
      <c r="N89" s="144"/>
      <c r="O89" s="144"/>
      <c r="P89" s="144"/>
      <c r="Q89" s="144"/>
      <c r="R89" s="136"/>
      <c r="S89" s="145"/>
      <c r="T89" s="138"/>
      <c r="U89" s="146"/>
      <c r="V89" s="146"/>
    </row>
    <row r="90" ht="96.0" customHeight="1" outlineLevel="1">
      <c r="A90" s="73" t="s">
        <v>45</v>
      </c>
      <c r="B90" s="147" t="s">
        <v>298</v>
      </c>
      <c r="C90" s="75" t="s">
        <v>38</v>
      </c>
      <c r="D90" s="76">
        <v>270000.0</v>
      </c>
      <c r="E90" s="77" t="s">
        <v>40</v>
      </c>
      <c r="F90" s="78" t="s">
        <v>299</v>
      </c>
      <c r="G90" s="79" t="s">
        <v>300</v>
      </c>
      <c r="H90" s="80" t="s">
        <v>2018</v>
      </c>
      <c r="I90" s="81" t="b">
        <v>1</v>
      </c>
      <c r="J90" s="82" t="s">
        <v>7</v>
      </c>
      <c r="K90" s="83">
        <f t="shared" ref="K90:K95" si="25">if(I90=True,1,if(I90=False,0))</f>
        <v>1</v>
      </c>
      <c r="L90" s="84">
        <v>6000000.0</v>
      </c>
      <c r="M90" s="84">
        <v>30000.0</v>
      </c>
      <c r="N90" s="84">
        <v>2000.0</v>
      </c>
      <c r="O90" s="84">
        <f>IFERROR(Q90/M90,"-")</f>
        <v>200</v>
      </c>
      <c r="P90" s="84">
        <f>IFERROR(Q90/N90,"-")</f>
        <v>3000</v>
      </c>
      <c r="Q90" s="84">
        <f t="shared" ref="Q90:Q95" si="26">iferror(L90*K90,"-")</f>
        <v>6000000</v>
      </c>
      <c r="R90" s="75" t="s">
        <v>2019</v>
      </c>
      <c r="S90" s="85" t="s">
        <v>303</v>
      </c>
      <c r="T90" s="86" t="s">
        <v>45</v>
      </c>
      <c r="U90" s="9"/>
      <c r="V90" s="9"/>
    </row>
    <row r="91" ht="96.0" customHeight="1" outlineLevel="1">
      <c r="A91" s="72"/>
      <c r="B91" s="72"/>
      <c r="C91" s="72"/>
      <c r="D91" s="72"/>
      <c r="E91" s="72"/>
      <c r="F91" s="72"/>
      <c r="G91" s="72"/>
      <c r="H91" s="88" t="s">
        <v>2020</v>
      </c>
      <c r="I91" s="81" t="b">
        <v>1</v>
      </c>
      <c r="J91" s="82" t="s">
        <v>47</v>
      </c>
      <c r="K91" s="83">
        <f t="shared" si="25"/>
        <v>1</v>
      </c>
      <c r="L91" s="84">
        <v>2000000.0</v>
      </c>
      <c r="M91" s="84">
        <v>0.0</v>
      </c>
      <c r="N91" s="84">
        <v>0.0</v>
      </c>
      <c r="O91" s="84" t="s">
        <v>81</v>
      </c>
      <c r="P91" s="84" t="s">
        <v>81</v>
      </c>
      <c r="Q91" s="84">
        <f t="shared" si="26"/>
        <v>2000000</v>
      </c>
      <c r="R91" s="68"/>
      <c r="S91" s="72"/>
      <c r="T91" s="72"/>
      <c r="U91" s="9"/>
      <c r="V91" s="9"/>
    </row>
    <row r="92" ht="96.0" customHeight="1" outlineLevel="1">
      <c r="A92" s="73" t="s">
        <v>73</v>
      </c>
      <c r="B92" s="91" t="s">
        <v>306</v>
      </c>
      <c r="C92" s="75" t="s">
        <v>38</v>
      </c>
      <c r="D92" s="76">
        <v>129000.0</v>
      </c>
      <c r="E92" s="77" t="s">
        <v>40</v>
      </c>
      <c r="F92" s="78" t="s">
        <v>307</v>
      </c>
      <c r="G92" s="79" t="s">
        <v>308</v>
      </c>
      <c r="H92" s="80" t="s">
        <v>2021</v>
      </c>
      <c r="I92" s="81" t="b">
        <v>1</v>
      </c>
      <c r="J92" s="82" t="s">
        <v>7</v>
      </c>
      <c r="K92" s="83">
        <f t="shared" si="25"/>
        <v>1</v>
      </c>
      <c r="L92" s="84">
        <v>6000000.0</v>
      </c>
      <c r="M92" s="84">
        <v>30000.0</v>
      </c>
      <c r="N92" s="84">
        <v>2000.0</v>
      </c>
      <c r="O92" s="84">
        <f>IFERROR(Q92/M92,"-")</f>
        <v>200</v>
      </c>
      <c r="P92" s="84">
        <f>IFERROR(Q92/N92,"-")</f>
        <v>3000</v>
      </c>
      <c r="Q92" s="84">
        <f t="shared" si="26"/>
        <v>6000000</v>
      </c>
      <c r="R92" s="68"/>
      <c r="S92" s="85" t="s">
        <v>310</v>
      </c>
      <c r="T92" s="153" t="s">
        <v>222</v>
      </c>
      <c r="U92" s="9"/>
      <c r="V92" s="9"/>
    </row>
    <row r="93" ht="96.0" customHeight="1" outlineLevel="1">
      <c r="A93" s="72"/>
      <c r="B93" s="72"/>
      <c r="C93" s="72"/>
      <c r="D93" s="72"/>
      <c r="E93" s="72"/>
      <c r="F93" s="72"/>
      <c r="G93" s="72"/>
      <c r="H93" s="88" t="s">
        <v>2022</v>
      </c>
      <c r="I93" s="81" t="b">
        <v>1</v>
      </c>
      <c r="J93" s="82" t="s">
        <v>47</v>
      </c>
      <c r="K93" s="83">
        <f t="shared" si="25"/>
        <v>1</v>
      </c>
      <c r="L93" s="84">
        <v>2000000.0</v>
      </c>
      <c r="M93" s="84">
        <v>0.0</v>
      </c>
      <c r="N93" s="84">
        <v>0.0</v>
      </c>
      <c r="O93" s="84" t="s">
        <v>81</v>
      </c>
      <c r="P93" s="84" t="s">
        <v>81</v>
      </c>
      <c r="Q93" s="84">
        <f t="shared" si="26"/>
        <v>2000000</v>
      </c>
      <c r="R93" s="68"/>
      <c r="S93" s="72"/>
      <c r="T93" s="72"/>
      <c r="U93" s="9"/>
      <c r="V93" s="9"/>
    </row>
    <row r="94" ht="96.0" customHeight="1" outlineLevel="1">
      <c r="A94" s="73" t="s">
        <v>101</v>
      </c>
      <c r="B94" s="152" t="s">
        <v>312</v>
      </c>
      <c r="C94" s="75" t="s">
        <v>38</v>
      </c>
      <c r="D94" s="76" t="s">
        <v>313</v>
      </c>
      <c r="E94" s="77" t="s">
        <v>40</v>
      </c>
      <c r="F94" s="78" t="s">
        <v>314</v>
      </c>
      <c r="G94" s="79" t="s">
        <v>315</v>
      </c>
      <c r="H94" s="80" t="s">
        <v>2023</v>
      </c>
      <c r="I94" s="81" t="b">
        <v>1</v>
      </c>
      <c r="J94" s="82" t="s">
        <v>7</v>
      </c>
      <c r="K94" s="83">
        <f t="shared" si="25"/>
        <v>1</v>
      </c>
      <c r="L94" s="84">
        <v>1.7E7</v>
      </c>
      <c r="M94" s="84">
        <v>70000.0</v>
      </c>
      <c r="N94" s="84">
        <v>5000.0</v>
      </c>
      <c r="O94" s="84">
        <f>IFERROR(Q94/M94,"-")</f>
        <v>242.8571429</v>
      </c>
      <c r="P94" s="84">
        <f>IFERROR(Q94/N94,"-")</f>
        <v>3400</v>
      </c>
      <c r="Q94" s="84">
        <f t="shared" si="26"/>
        <v>17000000</v>
      </c>
      <c r="R94" s="68"/>
      <c r="S94" s="85"/>
      <c r="T94" s="149" t="s">
        <v>122</v>
      </c>
      <c r="U94" s="9"/>
      <c r="V94" s="9"/>
    </row>
    <row r="95" ht="96.0" customHeight="1" outlineLevel="1">
      <c r="A95" s="72"/>
      <c r="B95" s="72"/>
      <c r="C95" s="72"/>
      <c r="D95" s="72"/>
      <c r="E95" s="72"/>
      <c r="F95" s="72"/>
      <c r="G95" s="72"/>
      <c r="H95" s="88" t="s">
        <v>2024</v>
      </c>
      <c r="I95" s="81" t="b">
        <v>1</v>
      </c>
      <c r="J95" s="82" t="s">
        <v>47</v>
      </c>
      <c r="K95" s="83">
        <f t="shared" si="25"/>
        <v>1</v>
      </c>
      <c r="L95" s="84">
        <v>7000000.0</v>
      </c>
      <c r="M95" s="84">
        <v>0.0</v>
      </c>
      <c r="N95" s="84">
        <v>0.0</v>
      </c>
      <c r="O95" s="84" t="s">
        <v>81</v>
      </c>
      <c r="P95" s="84" t="s">
        <v>81</v>
      </c>
      <c r="Q95" s="84">
        <f t="shared" si="26"/>
        <v>7000000</v>
      </c>
      <c r="R95" s="72"/>
      <c r="S95" s="72"/>
      <c r="T95" s="72"/>
      <c r="U95" s="9"/>
      <c r="V95" s="9"/>
    </row>
    <row r="96" ht="34.5" customHeight="1">
      <c r="A96" s="156" t="s">
        <v>318</v>
      </c>
      <c r="B96" s="56"/>
      <c r="C96" s="61"/>
      <c r="D96" s="61"/>
      <c r="E96" s="61"/>
      <c r="F96" s="61"/>
      <c r="G96" s="61"/>
      <c r="H96" s="61"/>
      <c r="I96" s="62"/>
      <c r="J96" s="63" t="s">
        <v>10</v>
      </c>
      <c r="K96" s="64">
        <f>SUMIFS(K98:K107,J98:J107,"Photo Post")</f>
        <v>5</v>
      </c>
      <c r="L96" s="65"/>
      <c r="M96" s="66">
        <f t="shared" ref="M96:N96" si="27">sumif($I$98:$I$107,"TRUE",M98:M107)</f>
        <v>320000</v>
      </c>
      <c r="N96" s="66">
        <f t="shared" si="27"/>
        <v>23500</v>
      </c>
      <c r="O96" s="65"/>
      <c r="P96" s="65"/>
      <c r="Q96" s="66">
        <f>sum(Q98:Q107)</f>
        <v>216000000</v>
      </c>
      <c r="R96" s="133"/>
      <c r="S96" s="133"/>
      <c r="T96" s="133"/>
      <c r="U96" s="69"/>
      <c r="V96" s="69"/>
    </row>
    <row r="97" ht="34.5" customHeight="1">
      <c r="A97" s="70"/>
      <c r="B97" s="71"/>
      <c r="C97" s="61"/>
      <c r="D97" s="61"/>
      <c r="E97" s="61"/>
      <c r="F97" s="61"/>
      <c r="G97" s="61"/>
      <c r="H97" s="61"/>
      <c r="I97" s="62"/>
      <c r="J97" s="63" t="s">
        <v>7</v>
      </c>
      <c r="K97" s="64">
        <f>SUMIFS(K98:K107,J98:J107,"Video Post")</f>
        <v>5</v>
      </c>
      <c r="L97" s="65"/>
      <c r="M97" s="72"/>
      <c r="N97" s="72"/>
      <c r="O97" s="65"/>
      <c r="P97" s="65"/>
      <c r="Q97" s="72"/>
      <c r="R97" s="133"/>
      <c r="S97" s="133"/>
      <c r="T97" s="133"/>
      <c r="U97" s="69"/>
      <c r="V97" s="69"/>
    </row>
    <row r="98" ht="151.5" customHeight="1" outlineLevel="1">
      <c r="A98" s="157" t="s">
        <v>45</v>
      </c>
      <c r="B98" s="158" t="s">
        <v>319</v>
      </c>
      <c r="C98" s="159" t="s">
        <v>320</v>
      </c>
      <c r="D98" s="160" t="s">
        <v>321</v>
      </c>
      <c r="E98" s="161" t="s">
        <v>118</v>
      </c>
      <c r="F98" s="162" t="s">
        <v>21</v>
      </c>
      <c r="G98" s="163" t="s">
        <v>322</v>
      </c>
      <c r="H98" s="164" t="s">
        <v>323</v>
      </c>
      <c r="I98" s="97" t="b">
        <v>1</v>
      </c>
      <c r="J98" s="98" t="s">
        <v>10</v>
      </c>
      <c r="K98" s="99">
        <f t="shared" ref="K98:K107" si="28">if(I98=True,1,if(I98=False,0))</f>
        <v>1</v>
      </c>
      <c r="L98" s="100">
        <v>3.2E7</v>
      </c>
      <c r="M98" s="100">
        <v>0.0</v>
      </c>
      <c r="N98" s="100">
        <v>3000.0</v>
      </c>
      <c r="O98" s="100" t="str">
        <f t="shared" ref="O98:O107" si="29">IFERROR(Q98/M98,"-")</f>
        <v>-</v>
      </c>
      <c r="P98" s="100">
        <f t="shared" ref="P98:P107" si="30">IFERROR(Q98/N98,"-")</f>
        <v>10666.66667</v>
      </c>
      <c r="Q98" s="100">
        <f t="shared" ref="Q98:Q107" si="31">iferror(L98*K98,"-")</f>
        <v>32000000</v>
      </c>
      <c r="R98" s="165" t="s">
        <v>2025</v>
      </c>
      <c r="S98" s="166"/>
      <c r="T98" s="167" t="s">
        <v>45</v>
      </c>
      <c r="U98" s="168"/>
      <c r="V98" s="168"/>
    </row>
    <row r="99" ht="151.5" customHeight="1" outlineLevel="1">
      <c r="A99" s="157" t="s">
        <v>45</v>
      </c>
      <c r="B99" s="158" t="s">
        <v>325</v>
      </c>
      <c r="C99" s="159" t="s">
        <v>320</v>
      </c>
      <c r="D99" s="160" t="s">
        <v>326</v>
      </c>
      <c r="E99" s="161" t="s">
        <v>118</v>
      </c>
      <c r="F99" s="162" t="s">
        <v>139</v>
      </c>
      <c r="G99" s="163" t="s">
        <v>322</v>
      </c>
      <c r="H99" s="164" t="s">
        <v>323</v>
      </c>
      <c r="I99" s="97" t="b">
        <v>1</v>
      </c>
      <c r="J99" s="98" t="s">
        <v>10</v>
      </c>
      <c r="K99" s="99">
        <f t="shared" si="28"/>
        <v>1</v>
      </c>
      <c r="L99" s="100">
        <v>2.6E7</v>
      </c>
      <c r="M99" s="100">
        <v>0.0</v>
      </c>
      <c r="N99" s="100">
        <v>3000.0</v>
      </c>
      <c r="O99" s="100" t="str">
        <f t="shared" si="29"/>
        <v>-</v>
      </c>
      <c r="P99" s="100">
        <f t="shared" si="30"/>
        <v>8666.666667</v>
      </c>
      <c r="Q99" s="100">
        <f t="shared" si="31"/>
        <v>26000000</v>
      </c>
      <c r="R99" s="165" t="s">
        <v>2026</v>
      </c>
      <c r="S99" s="169"/>
      <c r="T99" s="167" t="s">
        <v>45</v>
      </c>
      <c r="U99" s="170"/>
      <c r="V99" s="170"/>
    </row>
    <row r="100" ht="151.5" customHeight="1" outlineLevel="1">
      <c r="A100" s="157" t="s">
        <v>45</v>
      </c>
      <c r="B100" s="158" t="s">
        <v>328</v>
      </c>
      <c r="C100" s="159" t="s">
        <v>320</v>
      </c>
      <c r="D100" s="160" t="s">
        <v>329</v>
      </c>
      <c r="E100" s="161" t="s">
        <v>118</v>
      </c>
      <c r="F100" s="162" t="s">
        <v>21</v>
      </c>
      <c r="G100" s="163" t="s">
        <v>322</v>
      </c>
      <c r="H100" s="164" t="s">
        <v>323</v>
      </c>
      <c r="I100" s="97" t="b">
        <v>1</v>
      </c>
      <c r="J100" s="98" t="s">
        <v>10</v>
      </c>
      <c r="K100" s="99">
        <f t="shared" si="28"/>
        <v>1</v>
      </c>
      <c r="L100" s="100">
        <v>2.6E7</v>
      </c>
      <c r="M100" s="100">
        <v>0.0</v>
      </c>
      <c r="N100" s="100">
        <v>3000.0</v>
      </c>
      <c r="O100" s="100" t="str">
        <f t="shared" si="29"/>
        <v>-</v>
      </c>
      <c r="P100" s="100">
        <f t="shared" si="30"/>
        <v>8666.666667</v>
      </c>
      <c r="Q100" s="100">
        <f t="shared" si="31"/>
        <v>26000000</v>
      </c>
      <c r="R100" s="165" t="s">
        <v>2027</v>
      </c>
      <c r="S100" s="169"/>
      <c r="T100" s="167" t="s">
        <v>45</v>
      </c>
      <c r="U100" s="170"/>
      <c r="V100" s="170"/>
    </row>
    <row r="101" ht="151.5" customHeight="1" outlineLevel="1">
      <c r="A101" s="157" t="s">
        <v>45</v>
      </c>
      <c r="B101" s="171" t="s">
        <v>331</v>
      </c>
      <c r="C101" s="159" t="s">
        <v>320</v>
      </c>
      <c r="D101" s="160" t="s">
        <v>332</v>
      </c>
      <c r="E101" s="161" t="s">
        <v>40</v>
      </c>
      <c r="F101" s="162" t="s">
        <v>21</v>
      </c>
      <c r="G101" s="163" t="s">
        <v>50</v>
      </c>
      <c r="H101" s="164" t="s">
        <v>323</v>
      </c>
      <c r="I101" s="97" t="b">
        <v>1</v>
      </c>
      <c r="J101" s="98" t="s">
        <v>10</v>
      </c>
      <c r="K101" s="99">
        <f t="shared" si="28"/>
        <v>1</v>
      </c>
      <c r="L101" s="100">
        <v>2.5E7</v>
      </c>
      <c r="M101" s="100">
        <v>0.0</v>
      </c>
      <c r="N101" s="100">
        <v>3000.0</v>
      </c>
      <c r="O101" s="100" t="str">
        <f t="shared" si="29"/>
        <v>-</v>
      </c>
      <c r="P101" s="100">
        <f t="shared" si="30"/>
        <v>8333.333333</v>
      </c>
      <c r="Q101" s="100">
        <f t="shared" si="31"/>
        <v>25000000</v>
      </c>
      <c r="R101" s="165" t="s">
        <v>2028</v>
      </c>
      <c r="S101" s="169"/>
      <c r="T101" s="167" t="s">
        <v>45</v>
      </c>
      <c r="U101" s="170"/>
      <c r="V101" s="170"/>
    </row>
    <row r="102" ht="151.5" customHeight="1" outlineLevel="1">
      <c r="A102" s="157" t="s">
        <v>45</v>
      </c>
      <c r="B102" s="158" t="s">
        <v>334</v>
      </c>
      <c r="C102" s="159" t="s">
        <v>320</v>
      </c>
      <c r="D102" s="160" t="s">
        <v>335</v>
      </c>
      <c r="E102" s="161" t="s">
        <v>40</v>
      </c>
      <c r="F102" s="162" t="s">
        <v>21</v>
      </c>
      <c r="G102" s="163" t="s">
        <v>322</v>
      </c>
      <c r="H102" s="164" t="s">
        <v>336</v>
      </c>
      <c r="I102" s="97" t="b">
        <v>1</v>
      </c>
      <c r="J102" s="98" t="s">
        <v>10</v>
      </c>
      <c r="K102" s="99">
        <f t="shared" si="28"/>
        <v>1</v>
      </c>
      <c r="L102" s="100">
        <v>1.7E7</v>
      </c>
      <c r="M102" s="100">
        <v>0.0</v>
      </c>
      <c r="N102" s="100">
        <v>3000.0</v>
      </c>
      <c r="O102" s="100" t="str">
        <f t="shared" si="29"/>
        <v>-</v>
      </c>
      <c r="P102" s="100">
        <f t="shared" si="30"/>
        <v>5666.666667</v>
      </c>
      <c r="Q102" s="100">
        <f t="shared" si="31"/>
        <v>17000000</v>
      </c>
      <c r="R102" s="165" t="s">
        <v>2029</v>
      </c>
      <c r="S102" s="169"/>
      <c r="T102" s="167" t="s">
        <v>45</v>
      </c>
      <c r="U102" s="170"/>
      <c r="V102" s="170"/>
    </row>
    <row r="103" ht="151.5" customHeight="1" outlineLevel="1">
      <c r="A103" s="157" t="s">
        <v>45</v>
      </c>
      <c r="B103" s="171" t="s">
        <v>338</v>
      </c>
      <c r="C103" s="159" t="s">
        <v>38</v>
      </c>
      <c r="D103" s="160" t="s">
        <v>339</v>
      </c>
      <c r="E103" s="161" t="s">
        <v>118</v>
      </c>
      <c r="F103" s="162" t="s">
        <v>21</v>
      </c>
      <c r="G103" s="163" t="s">
        <v>105</v>
      </c>
      <c r="H103" s="164" t="s">
        <v>340</v>
      </c>
      <c r="I103" s="97" t="b">
        <v>1</v>
      </c>
      <c r="J103" s="98" t="s">
        <v>7</v>
      </c>
      <c r="K103" s="99">
        <f t="shared" si="28"/>
        <v>1</v>
      </c>
      <c r="L103" s="100">
        <v>2.5E7</v>
      </c>
      <c r="M103" s="100">
        <v>80000.0</v>
      </c>
      <c r="N103" s="100">
        <v>2000.0</v>
      </c>
      <c r="O103" s="100">
        <f t="shared" si="29"/>
        <v>312.5</v>
      </c>
      <c r="P103" s="100">
        <f t="shared" si="30"/>
        <v>12500</v>
      </c>
      <c r="Q103" s="100">
        <f t="shared" si="31"/>
        <v>25000000</v>
      </c>
      <c r="R103" s="165" t="s">
        <v>2030</v>
      </c>
      <c r="S103" s="169"/>
      <c r="T103" s="167" t="s">
        <v>45</v>
      </c>
      <c r="U103" s="170"/>
      <c r="V103" s="170"/>
    </row>
    <row r="104" ht="151.5" customHeight="1" outlineLevel="1">
      <c r="A104" s="157" t="s">
        <v>45</v>
      </c>
      <c r="B104" s="158" t="s">
        <v>342</v>
      </c>
      <c r="C104" s="159" t="s">
        <v>38</v>
      </c>
      <c r="D104" s="160" t="s">
        <v>343</v>
      </c>
      <c r="E104" s="161" t="s">
        <v>40</v>
      </c>
      <c r="F104" s="162" t="s">
        <v>21</v>
      </c>
      <c r="G104" s="163" t="s">
        <v>50</v>
      </c>
      <c r="H104" s="164" t="s">
        <v>340</v>
      </c>
      <c r="I104" s="97" t="b">
        <v>1</v>
      </c>
      <c r="J104" s="98" t="s">
        <v>7</v>
      </c>
      <c r="K104" s="99">
        <f t="shared" si="28"/>
        <v>1</v>
      </c>
      <c r="L104" s="100">
        <v>1.5E7</v>
      </c>
      <c r="M104" s="100">
        <v>30000.0</v>
      </c>
      <c r="N104" s="100">
        <v>1500.0</v>
      </c>
      <c r="O104" s="100">
        <f t="shared" si="29"/>
        <v>500</v>
      </c>
      <c r="P104" s="100">
        <f t="shared" si="30"/>
        <v>10000</v>
      </c>
      <c r="Q104" s="100">
        <f t="shared" si="31"/>
        <v>15000000</v>
      </c>
      <c r="R104" s="165" t="s">
        <v>2031</v>
      </c>
      <c r="S104" s="169"/>
      <c r="T104" s="167" t="s">
        <v>45</v>
      </c>
      <c r="U104" s="170"/>
      <c r="V104" s="170"/>
    </row>
    <row r="105" ht="151.5" customHeight="1" outlineLevel="1">
      <c r="A105" s="157" t="s">
        <v>45</v>
      </c>
      <c r="B105" s="158" t="s">
        <v>345</v>
      </c>
      <c r="C105" s="159" t="s">
        <v>38</v>
      </c>
      <c r="D105" s="160" t="s">
        <v>346</v>
      </c>
      <c r="E105" s="161" t="s">
        <v>40</v>
      </c>
      <c r="F105" s="162" t="s">
        <v>21</v>
      </c>
      <c r="G105" s="163" t="s">
        <v>322</v>
      </c>
      <c r="H105" s="164" t="s">
        <v>340</v>
      </c>
      <c r="I105" s="97" t="b">
        <v>1</v>
      </c>
      <c r="J105" s="98" t="s">
        <v>7</v>
      </c>
      <c r="K105" s="99">
        <f t="shared" si="28"/>
        <v>1</v>
      </c>
      <c r="L105" s="100">
        <v>1.8E7</v>
      </c>
      <c r="M105" s="100">
        <v>80000.0</v>
      </c>
      <c r="N105" s="100">
        <v>1500.0</v>
      </c>
      <c r="O105" s="100">
        <f t="shared" si="29"/>
        <v>225</v>
      </c>
      <c r="P105" s="100">
        <f t="shared" si="30"/>
        <v>12000</v>
      </c>
      <c r="Q105" s="100">
        <f t="shared" si="31"/>
        <v>18000000</v>
      </c>
      <c r="R105" s="165" t="s">
        <v>2032</v>
      </c>
      <c r="S105" s="169"/>
      <c r="T105" s="167" t="s">
        <v>45</v>
      </c>
      <c r="U105" s="170"/>
      <c r="V105" s="170"/>
    </row>
    <row r="106" ht="151.5" customHeight="1" outlineLevel="1">
      <c r="A106" s="157" t="s">
        <v>45</v>
      </c>
      <c r="B106" s="158" t="s">
        <v>348</v>
      </c>
      <c r="C106" s="159" t="s">
        <v>38</v>
      </c>
      <c r="D106" s="160" t="s">
        <v>349</v>
      </c>
      <c r="E106" s="161" t="s">
        <v>40</v>
      </c>
      <c r="F106" s="162" t="s">
        <v>21</v>
      </c>
      <c r="G106" s="163" t="s">
        <v>50</v>
      </c>
      <c r="H106" s="164" t="s">
        <v>340</v>
      </c>
      <c r="I106" s="97" t="b">
        <v>1</v>
      </c>
      <c r="J106" s="98" t="s">
        <v>7</v>
      </c>
      <c r="K106" s="99">
        <f t="shared" si="28"/>
        <v>1</v>
      </c>
      <c r="L106" s="100">
        <v>1.2E7</v>
      </c>
      <c r="M106" s="100">
        <v>50000.0</v>
      </c>
      <c r="N106" s="100">
        <v>1500.0</v>
      </c>
      <c r="O106" s="100">
        <f t="shared" si="29"/>
        <v>240</v>
      </c>
      <c r="P106" s="100">
        <f t="shared" si="30"/>
        <v>8000</v>
      </c>
      <c r="Q106" s="100">
        <f t="shared" si="31"/>
        <v>12000000</v>
      </c>
      <c r="R106" s="165" t="s">
        <v>2033</v>
      </c>
      <c r="S106" s="169"/>
      <c r="T106" s="167" t="s">
        <v>45</v>
      </c>
      <c r="U106" s="170"/>
      <c r="V106" s="170"/>
    </row>
    <row r="107" ht="151.5" customHeight="1" outlineLevel="1">
      <c r="A107" s="157" t="s">
        <v>45</v>
      </c>
      <c r="B107" s="158" t="s">
        <v>351</v>
      </c>
      <c r="C107" s="159" t="s">
        <v>38</v>
      </c>
      <c r="D107" s="160" t="s">
        <v>352</v>
      </c>
      <c r="E107" s="161" t="s">
        <v>40</v>
      </c>
      <c r="F107" s="162" t="s">
        <v>21</v>
      </c>
      <c r="G107" s="163" t="s">
        <v>105</v>
      </c>
      <c r="H107" s="164" t="s">
        <v>340</v>
      </c>
      <c r="I107" s="97" t="b">
        <v>1</v>
      </c>
      <c r="J107" s="98" t="s">
        <v>7</v>
      </c>
      <c r="K107" s="99">
        <f t="shared" si="28"/>
        <v>1</v>
      </c>
      <c r="L107" s="100">
        <v>2.0E7</v>
      </c>
      <c r="M107" s="100">
        <v>80000.0</v>
      </c>
      <c r="N107" s="100">
        <v>2000.0</v>
      </c>
      <c r="O107" s="100">
        <f t="shared" si="29"/>
        <v>250</v>
      </c>
      <c r="P107" s="100">
        <f t="shared" si="30"/>
        <v>10000</v>
      </c>
      <c r="Q107" s="100">
        <f t="shared" si="31"/>
        <v>20000000</v>
      </c>
      <c r="R107" s="165" t="s">
        <v>2034</v>
      </c>
      <c r="S107" s="166"/>
      <c r="T107" s="167" t="s">
        <v>45</v>
      </c>
      <c r="U107" s="168"/>
      <c r="V107" s="168"/>
    </row>
    <row r="108" ht="54.0" customHeight="1">
      <c r="A108" s="172" t="s">
        <v>354</v>
      </c>
      <c r="B108" s="173"/>
      <c r="C108" s="174"/>
      <c r="D108" s="175"/>
      <c r="E108" s="174"/>
      <c r="F108" s="174"/>
      <c r="G108" s="174"/>
      <c r="H108" s="174"/>
      <c r="I108" s="176"/>
      <c r="J108" s="177"/>
      <c r="K108" s="178"/>
      <c r="L108" s="177"/>
      <c r="M108" s="177"/>
      <c r="N108" s="179">
        <f>K109</f>
        <v>2000</v>
      </c>
      <c r="O108" s="177"/>
      <c r="P108" s="177"/>
      <c r="Q108" s="179">
        <f>Q109</f>
        <v>20000000</v>
      </c>
      <c r="R108" s="812"/>
      <c r="S108" s="181"/>
      <c r="T108" s="181"/>
      <c r="U108" s="181"/>
      <c r="V108" s="181"/>
    </row>
    <row r="109" ht="67.5" customHeight="1" outlineLevel="1">
      <c r="A109" s="182">
        <v>1.0</v>
      </c>
      <c r="B109" s="183" t="s">
        <v>355</v>
      </c>
      <c r="C109" s="184" t="s">
        <v>356</v>
      </c>
      <c r="D109" s="185"/>
      <c r="E109" s="185"/>
      <c r="F109" s="185"/>
      <c r="G109" s="185"/>
      <c r="H109" s="186"/>
      <c r="I109" s="187" t="b">
        <v>1</v>
      </c>
      <c r="J109" s="188" t="s">
        <v>11</v>
      </c>
      <c r="K109" s="189">
        <v>2000.0</v>
      </c>
      <c r="L109" s="189">
        <v>10000.0</v>
      </c>
      <c r="M109" s="190"/>
      <c r="N109" s="191">
        <f>L109</f>
        <v>10000</v>
      </c>
      <c r="O109" s="190"/>
      <c r="P109" s="190"/>
      <c r="Q109" s="192">
        <f>iferror(L109*K109,"-")</f>
        <v>20000000</v>
      </c>
      <c r="R109" s="1014"/>
      <c r="S109" s="181"/>
      <c r="T109" s="181"/>
      <c r="U109" s="181"/>
      <c r="V109" s="181"/>
    </row>
    <row r="110" ht="23.25" customHeight="1">
      <c r="A110" s="194"/>
      <c r="B110" s="195"/>
      <c r="C110" s="195"/>
      <c r="D110" s="195"/>
      <c r="E110" s="195"/>
      <c r="F110" s="196"/>
      <c r="G110" s="195"/>
      <c r="H110" s="195"/>
      <c r="I110" s="197" t="s">
        <v>357</v>
      </c>
      <c r="J110" s="195"/>
      <c r="K110" s="195"/>
      <c r="L110" s="195"/>
      <c r="M110" s="198">
        <f t="shared" ref="M110:N110" si="32">sum(M108,M96,M42,M20)</f>
        <v>1635000</v>
      </c>
      <c r="N110" s="198">
        <f t="shared" si="32"/>
        <v>91700</v>
      </c>
      <c r="O110" s="199"/>
      <c r="P110" s="199"/>
      <c r="Q110" s="198">
        <f>sum(Q108,Q96,Q42,Q20)</f>
        <v>601000000</v>
      </c>
      <c r="R110" s="200"/>
      <c r="S110" s="8"/>
      <c r="T110" s="8"/>
      <c r="U110" s="8"/>
      <c r="V110" s="8"/>
    </row>
    <row r="111" ht="25.5" customHeight="1">
      <c r="A111" s="194"/>
      <c r="B111" s="195"/>
      <c r="C111" s="195"/>
      <c r="D111" s="195"/>
      <c r="E111" s="195"/>
      <c r="F111" s="196"/>
      <c r="G111" s="195"/>
      <c r="H111" s="195"/>
      <c r="I111" s="197" t="s">
        <v>358</v>
      </c>
      <c r="J111" s="195"/>
      <c r="K111" s="195"/>
      <c r="L111" s="195"/>
      <c r="M111" s="195"/>
      <c r="N111" s="195"/>
      <c r="O111" s="195"/>
      <c r="P111" s="201">
        <v>0.12</v>
      </c>
      <c r="Q111" s="198">
        <f>Q110*P111</f>
        <v>72120000</v>
      </c>
      <c r="R111" s="200"/>
      <c r="S111" s="8"/>
      <c r="T111" s="8"/>
      <c r="U111" s="8"/>
      <c r="V111" s="8"/>
    </row>
    <row r="112" ht="25.5" customHeight="1">
      <c r="A112" s="202"/>
      <c r="B112" s="203"/>
      <c r="C112" s="203"/>
      <c r="D112" s="203"/>
      <c r="E112" s="203"/>
      <c r="F112" s="204"/>
      <c r="G112" s="203"/>
      <c r="H112" s="203"/>
      <c r="I112" s="205" t="s">
        <v>359</v>
      </c>
      <c r="J112" s="203"/>
      <c r="K112" s="203"/>
      <c r="L112" s="203"/>
      <c r="M112" s="203"/>
      <c r="N112" s="203"/>
      <c r="O112" s="203"/>
      <c r="P112" s="206"/>
      <c r="Q112" s="207">
        <f>SUM(Q110:Q111)</f>
        <v>673120000</v>
      </c>
      <c r="R112" s="208"/>
      <c r="S112" s="8"/>
      <c r="T112" s="8"/>
      <c r="U112" s="8"/>
      <c r="V112" s="8"/>
    </row>
    <row r="113" ht="25.5" customHeight="1">
      <c r="A113" s="209"/>
      <c r="B113" s="210"/>
      <c r="C113" s="210"/>
      <c r="D113" s="210"/>
      <c r="E113" s="210"/>
      <c r="F113" s="211"/>
      <c r="G113" s="210"/>
      <c r="H113" s="210"/>
      <c r="I113" s="212" t="s">
        <v>360</v>
      </c>
      <c r="J113" s="210"/>
      <c r="K113" s="210"/>
      <c r="L113" s="210"/>
      <c r="M113" s="210"/>
      <c r="N113" s="210"/>
      <c r="O113" s="210"/>
      <c r="P113" s="213"/>
      <c r="Q113" s="214">
        <f>Q112*1.08</f>
        <v>726969600</v>
      </c>
      <c r="R113" s="215"/>
      <c r="S113" s="8"/>
      <c r="T113" s="8"/>
      <c r="U113" s="8"/>
      <c r="V113" s="8"/>
    </row>
    <row r="114" ht="25.5" customHeight="1">
      <c r="S114" s="8"/>
      <c r="T114" s="8"/>
      <c r="U114" s="8"/>
      <c r="V114" s="8"/>
    </row>
    <row r="115" ht="25.5" customHeight="1">
      <c r="A115" s="217"/>
      <c r="B115" s="218"/>
      <c r="C115" s="218"/>
      <c r="D115" s="219"/>
      <c r="E115" s="218"/>
      <c r="F115" s="220"/>
      <c r="G115" s="218"/>
      <c r="H115" s="218"/>
      <c r="I115" s="218"/>
      <c r="J115" s="221"/>
      <c r="K115" s="222"/>
      <c r="L115" s="221"/>
      <c r="M115" s="221"/>
      <c r="N115" s="221"/>
      <c r="O115" s="221"/>
      <c r="P115" s="221"/>
      <c r="Q115" s="221"/>
      <c r="R115" s="223"/>
      <c r="S115" s="8"/>
      <c r="T115" s="8"/>
      <c r="U115" s="8"/>
      <c r="V115" s="8"/>
    </row>
    <row r="116" ht="29.25" customHeight="1">
      <c r="A116" s="33"/>
      <c r="B116" s="2"/>
      <c r="C116" s="2"/>
      <c r="D116" s="2"/>
      <c r="E116" s="2"/>
      <c r="F116" s="4"/>
      <c r="G116" s="2"/>
      <c r="H116" s="2"/>
      <c r="I116" s="2"/>
      <c r="J116" s="2"/>
      <c r="K116" s="5"/>
      <c r="L116" s="2"/>
      <c r="M116" s="2"/>
      <c r="N116" s="2"/>
      <c r="O116" s="2"/>
      <c r="P116" s="2"/>
      <c r="Q116" s="2"/>
      <c r="R116" s="7"/>
      <c r="S116" s="224"/>
      <c r="T116" s="224"/>
      <c r="U116" s="224"/>
      <c r="V116" s="224"/>
    </row>
    <row r="117">
      <c r="A117" s="33"/>
      <c r="B117" s="2"/>
      <c r="C117" s="2"/>
      <c r="D117" s="2"/>
      <c r="E117" s="2"/>
      <c r="F117" s="4"/>
      <c r="G117" s="2"/>
      <c r="H117" s="2"/>
      <c r="I117" s="2"/>
      <c r="J117" s="2"/>
      <c r="K117" s="5"/>
      <c r="L117" s="2"/>
      <c r="M117" s="2"/>
      <c r="N117" s="2"/>
      <c r="O117" s="2"/>
      <c r="P117" s="2"/>
      <c r="Q117" s="2"/>
      <c r="R117" s="7"/>
      <c r="S117" s="224"/>
      <c r="T117" s="224"/>
      <c r="U117" s="224"/>
      <c r="V117" s="224"/>
    </row>
    <row r="118">
      <c r="A118" s="33"/>
      <c r="B118" s="2"/>
      <c r="C118" s="225"/>
      <c r="D118" s="2"/>
      <c r="E118" s="2"/>
      <c r="F118" s="4"/>
      <c r="G118" s="2"/>
      <c r="H118" s="2"/>
      <c r="I118" s="2"/>
      <c r="J118" s="2"/>
      <c r="K118" s="5"/>
      <c r="L118" s="2"/>
      <c r="M118" s="2"/>
      <c r="N118" s="2"/>
      <c r="O118" s="2"/>
      <c r="P118" s="2"/>
      <c r="Q118" s="2"/>
      <c r="R118" s="7"/>
      <c r="S118" s="224"/>
      <c r="T118" s="224"/>
      <c r="U118" s="224"/>
      <c r="V118" s="224"/>
    </row>
    <row r="119">
      <c r="A119" s="33"/>
      <c r="B119" s="2"/>
      <c r="C119" s="2"/>
      <c r="D119" s="2"/>
      <c r="E119" s="2"/>
      <c r="F119" s="4"/>
      <c r="G119" s="2"/>
      <c r="H119" s="2"/>
      <c r="I119" s="2"/>
      <c r="J119" s="2"/>
      <c r="K119" s="5"/>
      <c r="L119" s="2"/>
      <c r="M119" s="2"/>
      <c r="N119" s="2"/>
      <c r="O119" s="2"/>
      <c r="P119" s="2"/>
      <c r="Q119" s="2"/>
      <c r="R119" s="7"/>
      <c r="S119" s="224"/>
      <c r="T119" s="224"/>
      <c r="U119" s="224"/>
      <c r="V119" s="224"/>
    </row>
    <row r="120">
      <c r="A120" s="33"/>
      <c r="B120" s="2"/>
      <c r="C120" s="2"/>
      <c r="D120" s="2"/>
      <c r="E120" s="2"/>
      <c r="F120" s="4"/>
      <c r="G120" s="2"/>
      <c r="H120" s="2"/>
      <c r="I120" s="2"/>
      <c r="J120" s="2"/>
      <c r="K120" s="5"/>
      <c r="L120" s="2"/>
      <c r="M120" s="2"/>
      <c r="N120" s="2"/>
      <c r="O120" s="2"/>
      <c r="P120" s="2"/>
      <c r="Q120" s="2"/>
      <c r="R120" s="7"/>
      <c r="S120" s="224"/>
      <c r="T120" s="224"/>
      <c r="U120" s="224"/>
      <c r="V120" s="224"/>
    </row>
    <row r="121">
      <c r="A121" s="33"/>
      <c r="B121" s="2"/>
      <c r="C121" s="2"/>
      <c r="D121" s="2"/>
      <c r="E121" s="2"/>
      <c r="F121" s="4"/>
      <c r="G121" s="2"/>
      <c r="H121" s="2"/>
      <c r="I121" s="2"/>
      <c r="J121" s="2"/>
      <c r="K121" s="5"/>
      <c r="L121" s="2"/>
      <c r="M121" s="2"/>
      <c r="N121" s="2"/>
      <c r="O121" s="2"/>
      <c r="P121" s="2"/>
      <c r="Q121" s="2"/>
      <c r="R121" s="7"/>
      <c r="S121" s="224"/>
      <c r="T121" s="224"/>
      <c r="U121" s="224"/>
      <c r="V121" s="224"/>
    </row>
    <row r="122">
      <c r="A122" s="33"/>
      <c r="B122" s="2"/>
      <c r="C122" s="2"/>
      <c r="D122" s="2"/>
      <c r="E122" s="2"/>
      <c r="F122" s="4"/>
      <c r="G122" s="2"/>
      <c r="H122" s="2"/>
      <c r="I122" s="2"/>
      <c r="J122" s="2"/>
      <c r="K122" s="5"/>
      <c r="L122" s="2"/>
      <c r="M122" s="2"/>
      <c r="N122" s="2"/>
      <c r="O122" s="2"/>
      <c r="P122" s="2"/>
      <c r="Q122" s="2"/>
      <c r="R122" s="7"/>
      <c r="S122" s="224"/>
      <c r="T122" s="224"/>
      <c r="U122" s="224"/>
      <c r="V122" s="224"/>
    </row>
    <row r="123">
      <c r="A123" s="33"/>
      <c r="B123" s="2"/>
      <c r="C123" s="2"/>
      <c r="D123" s="2"/>
      <c r="E123" s="2"/>
      <c r="F123" s="4"/>
      <c r="G123" s="2"/>
      <c r="H123" s="2"/>
      <c r="I123" s="2"/>
      <c r="J123" s="2"/>
      <c r="K123" s="5"/>
      <c r="L123" s="2"/>
      <c r="M123" s="2"/>
      <c r="N123" s="2"/>
      <c r="O123" s="2"/>
      <c r="P123" s="2"/>
      <c r="Q123" s="2"/>
      <c r="R123" s="7"/>
      <c r="S123" s="224"/>
      <c r="T123" s="224"/>
      <c r="U123" s="224"/>
      <c r="V123" s="224"/>
    </row>
    <row r="124">
      <c r="A124" s="33"/>
      <c r="B124" s="2"/>
      <c r="C124" s="2"/>
      <c r="D124" s="2"/>
      <c r="E124" s="2"/>
      <c r="F124" s="4"/>
      <c r="G124" s="2"/>
      <c r="H124" s="2"/>
      <c r="I124" s="2"/>
      <c r="J124" s="2"/>
      <c r="K124" s="5"/>
      <c r="L124" s="2"/>
      <c r="M124" s="2"/>
      <c r="N124" s="2"/>
      <c r="O124" s="2"/>
      <c r="P124" s="2"/>
      <c r="Q124" s="2"/>
      <c r="R124" s="7"/>
      <c r="S124" s="224"/>
      <c r="T124" s="224"/>
      <c r="U124" s="224"/>
      <c r="V124" s="224"/>
    </row>
    <row r="125">
      <c r="A125" s="33"/>
      <c r="B125" s="2"/>
      <c r="C125" s="2"/>
      <c r="D125" s="2"/>
      <c r="E125" s="2"/>
      <c r="F125" s="4"/>
      <c r="G125" s="2"/>
      <c r="H125" s="2"/>
      <c r="I125" s="2"/>
      <c r="J125" s="2"/>
      <c r="K125" s="5"/>
      <c r="L125" s="2"/>
      <c r="M125" s="2"/>
      <c r="N125" s="2"/>
      <c r="O125" s="2"/>
      <c r="P125" s="2"/>
      <c r="Q125" s="2"/>
      <c r="R125" s="7"/>
      <c r="S125" s="224"/>
      <c r="T125" s="224"/>
      <c r="U125" s="224"/>
      <c r="V125" s="224"/>
    </row>
    <row r="126">
      <c r="A126" s="33"/>
      <c r="B126" s="2"/>
      <c r="C126" s="2"/>
      <c r="D126" s="2"/>
      <c r="E126" s="2"/>
      <c r="F126" s="4"/>
      <c r="G126" s="2"/>
      <c r="H126" s="2"/>
      <c r="I126" s="2"/>
      <c r="J126" s="2"/>
      <c r="K126" s="5"/>
      <c r="L126" s="2"/>
      <c r="M126" s="2"/>
      <c r="N126" s="2"/>
      <c r="O126" s="2"/>
      <c r="P126" s="2"/>
      <c r="Q126" s="2"/>
      <c r="R126" s="7"/>
      <c r="S126" s="224"/>
      <c r="T126" s="224"/>
      <c r="U126" s="224"/>
      <c r="V126" s="224"/>
    </row>
    <row r="127">
      <c r="A127" s="33"/>
      <c r="B127" s="2"/>
      <c r="C127" s="2"/>
      <c r="D127" s="2"/>
      <c r="E127" s="2"/>
      <c r="F127" s="4"/>
      <c r="G127" s="2"/>
      <c r="H127" s="2"/>
      <c r="I127" s="2"/>
      <c r="J127" s="2"/>
      <c r="K127" s="5"/>
      <c r="L127" s="2"/>
      <c r="M127" s="2"/>
      <c r="N127" s="2"/>
      <c r="O127" s="2"/>
      <c r="P127" s="2"/>
      <c r="Q127" s="2"/>
      <c r="R127" s="7"/>
      <c r="S127" s="224"/>
      <c r="T127" s="224"/>
      <c r="U127" s="224"/>
      <c r="V127" s="224"/>
    </row>
    <row r="128">
      <c r="A128" s="33"/>
      <c r="B128" s="2"/>
      <c r="C128" s="2"/>
      <c r="D128" s="2"/>
      <c r="E128" s="2"/>
      <c r="F128" s="4"/>
      <c r="G128" s="2"/>
      <c r="H128" s="2"/>
      <c r="I128" s="2"/>
      <c r="J128" s="2"/>
      <c r="K128" s="5"/>
      <c r="L128" s="2"/>
      <c r="M128" s="2"/>
      <c r="N128" s="2"/>
      <c r="O128" s="2"/>
      <c r="P128" s="2"/>
      <c r="Q128" s="2"/>
      <c r="R128" s="7"/>
      <c r="S128" s="224"/>
      <c r="T128" s="224"/>
      <c r="U128" s="224"/>
      <c r="V128" s="224"/>
    </row>
    <row r="129">
      <c r="A129" s="33"/>
      <c r="B129" s="2"/>
      <c r="C129" s="2"/>
      <c r="D129" s="2"/>
      <c r="E129" s="2"/>
      <c r="F129" s="4"/>
      <c r="G129" s="2"/>
      <c r="H129" s="2"/>
      <c r="I129" s="2"/>
      <c r="J129" s="2"/>
      <c r="K129" s="5"/>
      <c r="L129" s="2"/>
      <c r="M129" s="2"/>
      <c r="N129" s="2"/>
      <c r="O129" s="2"/>
      <c r="P129" s="2"/>
      <c r="Q129" s="2"/>
      <c r="R129" s="7"/>
      <c r="S129" s="224"/>
      <c r="T129" s="224"/>
      <c r="U129" s="224"/>
      <c r="V129" s="224"/>
    </row>
    <row r="130">
      <c r="A130" s="33"/>
      <c r="B130" s="2"/>
      <c r="C130" s="2"/>
      <c r="D130" s="2"/>
      <c r="E130" s="2"/>
      <c r="F130" s="4"/>
      <c r="G130" s="2"/>
      <c r="H130" s="2"/>
      <c r="I130" s="2"/>
      <c r="J130" s="2"/>
      <c r="K130" s="5"/>
      <c r="L130" s="2"/>
      <c r="M130" s="2"/>
      <c r="N130" s="2"/>
      <c r="O130" s="2"/>
      <c r="P130" s="2"/>
      <c r="Q130" s="2"/>
      <c r="R130" s="7"/>
      <c r="S130" s="224"/>
      <c r="T130" s="224"/>
      <c r="U130" s="224"/>
      <c r="V130" s="224"/>
    </row>
    <row r="131">
      <c r="A131" s="33"/>
      <c r="B131" s="2"/>
      <c r="C131" s="2"/>
      <c r="D131" s="2"/>
      <c r="E131" s="2"/>
      <c r="F131" s="4"/>
      <c r="G131" s="2"/>
      <c r="H131" s="2"/>
      <c r="I131" s="2"/>
      <c r="J131" s="2"/>
      <c r="K131" s="5"/>
      <c r="L131" s="2"/>
      <c r="M131" s="2"/>
      <c r="N131" s="2"/>
      <c r="O131" s="2"/>
      <c r="P131" s="2"/>
      <c r="Q131" s="2"/>
      <c r="R131" s="7"/>
      <c r="S131" s="224"/>
      <c r="T131" s="224"/>
      <c r="U131" s="224"/>
      <c r="V131" s="224"/>
    </row>
    <row r="132">
      <c r="A132" s="33"/>
      <c r="B132" s="2"/>
      <c r="C132" s="2"/>
      <c r="D132" s="2"/>
      <c r="E132" s="2"/>
      <c r="F132" s="4"/>
      <c r="G132" s="2"/>
      <c r="H132" s="2"/>
      <c r="I132" s="2"/>
      <c r="J132" s="2"/>
      <c r="K132" s="5"/>
      <c r="L132" s="2"/>
      <c r="M132" s="2"/>
      <c r="N132" s="2"/>
      <c r="O132" s="2"/>
      <c r="P132" s="2"/>
      <c r="Q132" s="2"/>
      <c r="R132" s="7"/>
      <c r="S132" s="224"/>
      <c r="T132" s="224"/>
      <c r="U132" s="224"/>
      <c r="V132" s="224"/>
    </row>
    <row r="133">
      <c r="A133" s="33"/>
      <c r="B133" s="2"/>
      <c r="C133" s="2"/>
      <c r="D133" s="2"/>
      <c r="E133" s="2"/>
      <c r="F133" s="4"/>
      <c r="G133" s="2"/>
      <c r="H133" s="2"/>
      <c r="I133" s="2"/>
      <c r="J133" s="2"/>
      <c r="K133" s="5"/>
      <c r="L133" s="2"/>
      <c r="M133" s="2"/>
      <c r="N133" s="2"/>
      <c r="O133" s="2"/>
      <c r="P133" s="2"/>
      <c r="Q133" s="2"/>
      <c r="R133" s="7"/>
      <c r="S133" s="224"/>
      <c r="T133" s="224"/>
      <c r="U133" s="224"/>
      <c r="V133" s="224"/>
    </row>
    <row r="134">
      <c r="A134" s="33"/>
      <c r="B134" s="2"/>
      <c r="C134" s="2"/>
      <c r="D134" s="2"/>
      <c r="E134" s="2"/>
      <c r="F134" s="4"/>
      <c r="G134" s="2"/>
      <c r="H134" s="2"/>
      <c r="I134" s="2"/>
      <c r="J134" s="2"/>
      <c r="K134" s="5"/>
      <c r="L134" s="2"/>
      <c r="M134" s="2"/>
      <c r="N134" s="2"/>
      <c r="O134" s="2"/>
      <c r="P134" s="2"/>
      <c r="Q134" s="2"/>
      <c r="R134" s="7"/>
      <c r="S134" s="224"/>
      <c r="T134" s="224"/>
      <c r="U134" s="224"/>
      <c r="V134" s="224"/>
    </row>
    <row r="135">
      <c r="A135" s="33"/>
      <c r="B135" s="2"/>
      <c r="C135" s="2"/>
      <c r="D135" s="2"/>
      <c r="E135" s="2"/>
      <c r="F135" s="4"/>
      <c r="G135" s="2"/>
      <c r="H135" s="2"/>
      <c r="I135" s="2"/>
      <c r="J135" s="2"/>
      <c r="K135" s="5"/>
      <c r="L135" s="2"/>
      <c r="M135" s="2"/>
      <c r="N135" s="2"/>
      <c r="O135" s="2"/>
      <c r="P135" s="2"/>
      <c r="Q135" s="2"/>
      <c r="R135" s="7"/>
      <c r="S135" s="224"/>
      <c r="T135" s="224"/>
      <c r="U135" s="224"/>
      <c r="V135" s="224"/>
    </row>
    <row r="136">
      <c r="A136" s="33"/>
      <c r="B136" s="2"/>
      <c r="C136" s="2"/>
      <c r="D136" s="2"/>
      <c r="E136" s="2"/>
      <c r="F136" s="4"/>
      <c r="G136" s="2"/>
      <c r="H136" s="2"/>
      <c r="I136" s="2"/>
      <c r="J136" s="2"/>
      <c r="K136" s="5"/>
      <c r="L136" s="2"/>
      <c r="M136" s="2"/>
      <c r="N136" s="2"/>
      <c r="O136" s="2"/>
      <c r="P136" s="2"/>
      <c r="Q136" s="2"/>
      <c r="R136" s="7"/>
      <c r="S136" s="224"/>
      <c r="T136" s="224"/>
      <c r="U136" s="224"/>
      <c r="V136" s="224"/>
    </row>
    <row r="137">
      <c r="A137" s="33"/>
      <c r="B137" s="2"/>
      <c r="C137" s="2"/>
      <c r="D137" s="2"/>
      <c r="E137" s="2"/>
      <c r="F137" s="4"/>
      <c r="G137" s="2"/>
      <c r="H137" s="2"/>
      <c r="I137" s="2"/>
      <c r="J137" s="2"/>
      <c r="K137" s="5"/>
      <c r="L137" s="2"/>
      <c r="M137" s="2"/>
      <c r="N137" s="2"/>
      <c r="O137" s="2"/>
      <c r="P137" s="2"/>
      <c r="Q137" s="2"/>
      <c r="R137" s="7"/>
      <c r="S137" s="224"/>
      <c r="T137" s="224"/>
      <c r="U137" s="224"/>
      <c r="V137" s="224"/>
    </row>
    <row r="138">
      <c r="A138" s="33"/>
      <c r="B138" s="2"/>
      <c r="C138" s="2"/>
      <c r="D138" s="2"/>
      <c r="E138" s="2"/>
      <c r="F138" s="4"/>
      <c r="G138" s="2"/>
      <c r="H138" s="2"/>
      <c r="I138" s="2"/>
      <c r="J138" s="2"/>
      <c r="K138" s="5"/>
      <c r="L138" s="2"/>
      <c r="M138" s="2"/>
      <c r="N138" s="2"/>
      <c r="O138" s="2"/>
      <c r="P138" s="2"/>
      <c r="Q138" s="2"/>
      <c r="R138" s="7"/>
      <c r="S138" s="224"/>
      <c r="T138" s="224"/>
      <c r="U138" s="224"/>
      <c r="V138" s="224"/>
    </row>
    <row r="139">
      <c r="A139" s="33"/>
      <c r="B139" s="2"/>
      <c r="C139" s="2"/>
      <c r="D139" s="2"/>
      <c r="E139" s="2"/>
      <c r="F139" s="4"/>
      <c r="G139" s="2"/>
      <c r="H139" s="2"/>
      <c r="I139" s="2"/>
      <c r="J139" s="2"/>
      <c r="K139" s="5"/>
      <c r="L139" s="2"/>
      <c r="M139" s="2"/>
      <c r="N139" s="2"/>
      <c r="O139" s="2"/>
      <c r="P139" s="2"/>
      <c r="Q139" s="2"/>
      <c r="R139" s="7"/>
      <c r="S139" s="224"/>
      <c r="T139" s="224"/>
      <c r="U139" s="224"/>
      <c r="V139" s="224"/>
    </row>
    <row r="140">
      <c r="A140" s="33"/>
      <c r="B140" s="2"/>
      <c r="C140" s="2"/>
      <c r="D140" s="2"/>
      <c r="E140" s="2"/>
      <c r="F140" s="4"/>
      <c r="G140" s="2"/>
      <c r="H140" s="2"/>
      <c r="I140" s="2"/>
      <c r="J140" s="2"/>
      <c r="K140" s="5"/>
      <c r="L140" s="2"/>
      <c r="M140" s="2"/>
      <c r="N140" s="2"/>
      <c r="O140" s="2"/>
      <c r="P140" s="2"/>
      <c r="Q140" s="2"/>
      <c r="R140" s="7"/>
      <c r="S140" s="224"/>
      <c r="T140" s="224"/>
      <c r="U140" s="224"/>
      <c r="V140" s="224"/>
    </row>
    <row r="141">
      <c r="A141" s="33"/>
      <c r="B141" s="2"/>
      <c r="C141" s="2"/>
      <c r="D141" s="2"/>
      <c r="E141" s="2"/>
      <c r="F141" s="4"/>
      <c r="G141" s="2"/>
      <c r="H141" s="2"/>
      <c r="I141" s="2"/>
      <c r="J141" s="2"/>
      <c r="K141" s="5"/>
      <c r="L141" s="2"/>
      <c r="M141" s="2"/>
      <c r="N141" s="2"/>
      <c r="O141" s="2"/>
      <c r="P141" s="2"/>
      <c r="Q141" s="2"/>
      <c r="R141" s="7"/>
      <c r="S141" s="224"/>
      <c r="T141" s="224"/>
      <c r="U141" s="224"/>
      <c r="V141" s="224"/>
    </row>
    <row r="142">
      <c r="A142" s="33"/>
      <c r="B142" s="2"/>
      <c r="C142" s="2"/>
      <c r="D142" s="2"/>
      <c r="E142" s="2"/>
      <c r="F142" s="4"/>
      <c r="G142" s="2"/>
      <c r="H142" s="2"/>
      <c r="I142" s="2"/>
      <c r="J142" s="2"/>
      <c r="K142" s="5"/>
      <c r="L142" s="2"/>
      <c r="M142" s="2"/>
      <c r="N142" s="2"/>
      <c r="O142" s="2"/>
      <c r="P142" s="2"/>
      <c r="Q142" s="2"/>
      <c r="R142" s="7"/>
      <c r="S142" s="224"/>
      <c r="T142" s="224"/>
      <c r="U142" s="224"/>
      <c r="V142" s="224"/>
    </row>
    <row r="143">
      <c r="A143" s="33"/>
      <c r="B143" s="2"/>
      <c r="C143" s="2"/>
      <c r="D143" s="2"/>
      <c r="E143" s="2"/>
      <c r="F143" s="4"/>
      <c r="G143" s="2"/>
      <c r="H143" s="2"/>
      <c r="I143" s="2"/>
      <c r="J143" s="2"/>
      <c r="K143" s="5"/>
      <c r="L143" s="2"/>
      <c r="M143" s="2"/>
      <c r="N143" s="2"/>
      <c r="O143" s="2"/>
      <c r="P143" s="2"/>
      <c r="Q143" s="2"/>
      <c r="R143" s="7"/>
      <c r="S143" s="224"/>
      <c r="T143" s="224"/>
      <c r="U143" s="224"/>
      <c r="V143" s="224"/>
    </row>
    <row r="144">
      <c r="A144" s="33"/>
      <c r="B144" s="2"/>
      <c r="C144" s="2"/>
      <c r="D144" s="2"/>
      <c r="E144" s="2"/>
      <c r="F144" s="4"/>
      <c r="G144" s="2"/>
      <c r="H144" s="2"/>
      <c r="I144" s="2"/>
      <c r="J144" s="2"/>
      <c r="K144" s="5"/>
      <c r="L144" s="2"/>
      <c r="M144" s="2"/>
      <c r="N144" s="2"/>
      <c r="O144" s="2"/>
      <c r="P144" s="2"/>
      <c r="Q144" s="2"/>
      <c r="R144" s="7"/>
      <c r="S144" s="224"/>
      <c r="T144" s="224"/>
      <c r="U144" s="224"/>
      <c r="V144" s="224"/>
    </row>
    <row r="145">
      <c r="A145" s="33"/>
      <c r="B145" s="2"/>
      <c r="C145" s="2"/>
      <c r="D145" s="2"/>
      <c r="E145" s="2"/>
      <c r="F145" s="4"/>
      <c r="G145" s="2"/>
      <c r="H145" s="2"/>
      <c r="I145" s="2"/>
      <c r="J145" s="2"/>
      <c r="K145" s="5"/>
      <c r="L145" s="2"/>
      <c r="M145" s="2"/>
      <c r="N145" s="2"/>
      <c r="O145" s="2"/>
      <c r="P145" s="2"/>
      <c r="Q145" s="2"/>
      <c r="R145" s="7"/>
      <c r="S145" s="224"/>
      <c r="T145" s="224"/>
      <c r="U145" s="224"/>
      <c r="V145" s="224"/>
    </row>
    <row r="146">
      <c r="A146" s="33"/>
      <c r="B146" s="2"/>
      <c r="C146" s="2"/>
      <c r="D146" s="2"/>
      <c r="E146" s="2"/>
      <c r="F146" s="4"/>
      <c r="G146" s="2"/>
      <c r="H146" s="2"/>
      <c r="I146" s="2"/>
      <c r="J146" s="2"/>
      <c r="K146" s="5"/>
      <c r="L146" s="2"/>
      <c r="M146" s="2"/>
      <c r="N146" s="2"/>
      <c r="O146" s="2"/>
      <c r="P146" s="2"/>
      <c r="Q146" s="2"/>
      <c r="R146" s="7"/>
      <c r="S146" s="226"/>
      <c r="T146" s="226"/>
      <c r="U146" s="226"/>
      <c r="V146" s="226"/>
    </row>
    <row r="147">
      <c r="A147" s="33"/>
      <c r="B147" s="2"/>
      <c r="C147" s="2"/>
      <c r="D147" s="2"/>
      <c r="E147" s="2"/>
      <c r="F147" s="4"/>
      <c r="G147" s="2"/>
      <c r="H147" s="2"/>
      <c r="I147" s="2"/>
      <c r="J147" s="2"/>
      <c r="K147" s="5"/>
      <c r="L147" s="2"/>
      <c r="M147" s="2"/>
      <c r="N147" s="2"/>
      <c r="O147" s="2"/>
      <c r="P147" s="2"/>
      <c r="Q147" s="2"/>
      <c r="R147" s="7"/>
      <c r="S147" s="224"/>
      <c r="T147" s="224"/>
      <c r="U147" s="224"/>
      <c r="V147" s="224"/>
    </row>
    <row r="148">
      <c r="A148" s="33"/>
      <c r="B148" s="2"/>
      <c r="C148" s="2"/>
      <c r="D148" s="2"/>
      <c r="E148" s="2"/>
      <c r="F148" s="4"/>
      <c r="G148" s="2"/>
      <c r="H148" s="2"/>
      <c r="I148" s="2"/>
      <c r="J148" s="2"/>
      <c r="K148" s="5"/>
      <c r="L148" s="2"/>
      <c r="M148" s="2"/>
      <c r="N148" s="2"/>
      <c r="O148" s="2"/>
      <c r="P148" s="2"/>
      <c r="Q148" s="2"/>
      <c r="R148" s="7"/>
      <c r="S148" s="224"/>
      <c r="T148" s="224"/>
      <c r="U148" s="224"/>
      <c r="V148" s="224"/>
    </row>
    <row r="149">
      <c r="A149" s="33"/>
      <c r="B149" s="2"/>
      <c r="C149" s="2"/>
      <c r="D149" s="2"/>
      <c r="E149" s="2"/>
      <c r="F149" s="4"/>
      <c r="G149" s="2"/>
      <c r="H149" s="2"/>
      <c r="I149" s="2"/>
      <c r="J149" s="2"/>
      <c r="K149" s="5"/>
      <c r="L149" s="2"/>
      <c r="M149" s="2"/>
      <c r="N149" s="2"/>
      <c r="O149" s="2"/>
      <c r="P149" s="2"/>
      <c r="Q149" s="2"/>
      <c r="R149" s="7"/>
      <c r="S149" s="224"/>
      <c r="T149" s="224"/>
      <c r="U149" s="224"/>
      <c r="V149" s="224"/>
    </row>
    <row r="150">
      <c r="A150" s="33"/>
      <c r="B150" s="2"/>
      <c r="C150" s="2"/>
      <c r="D150" s="2"/>
      <c r="E150" s="2"/>
      <c r="F150" s="4"/>
      <c r="G150" s="2"/>
      <c r="H150" s="2"/>
      <c r="I150" s="2"/>
      <c r="J150" s="2"/>
      <c r="K150" s="5"/>
      <c r="L150" s="2"/>
      <c r="M150" s="2"/>
      <c r="N150" s="2"/>
      <c r="O150" s="2"/>
      <c r="P150" s="2"/>
      <c r="Q150" s="2"/>
      <c r="R150" s="7"/>
      <c r="S150" s="224"/>
      <c r="T150" s="224"/>
      <c r="U150" s="224"/>
      <c r="V150" s="224"/>
    </row>
    <row r="151">
      <c r="A151" s="33"/>
      <c r="B151" s="2"/>
      <c r="C151" s="2"/>
      <c r="D151" s="2"/>
      <c r="E151" s="2"/>
      <c r="F151" s="4"/>
      <c r="G151" s="2"/>
      <c r="H151" s="2"/>
      <c r="I151" s="2"/>
      <c r="J151" s="2"/>
      <c r="K151" s="5"/>
      <c r="L151" s="2"/>
      <c r="M151" s="2"/>
      <c r="N151" s="2"/>
      <c r="O151" s="2"/>
      <c r="P151" s="2"/>
      <c r="Q151" s="2"/>
      <c r="R151" s="7"/>
      <c r="S151" s="224"/>
      <c r="T151" s="224"/>
      <c r="U151" s="224"/>
      <c r="V151" s="224"/>
    </row>
    <row r="152">
      <c r="A152" s="33"/>
      <c r="B152" s="2"/>
      <c r="C152" s="2"/>
      <c r="D152" s="2"/>
      <c r="E152" s="2"/>
      <c r="F152" s="4"/>
      <c r="G152" s="2"/>
      <c r="H152" s="2"/>
      <c r="I152" s="2"/>
      <c r="J152" s="2"/>
      <c r="K152" s="5"/>
      <c r="L152" s="2"/>
      <c r="M152" s="2"/>
      <c r="N152" s="2"/>
      <c r="O152" s="2"/>
      <c r="P152" s="2"/>
      <c r="Q152" s="2"/>
      <c r="R152" s="7"/>
      <c r="S152" s="224"/>
      <c r="T152" s="224"/>
      <c r="U152" s="224"/>
      <c r="V152" s="224"/>
    </row>
    <row r="153">
      <c r="A153" s="33"/>
      <c r="B153" s="2"/>
      <c r="C153" s="2"/>
      <c r="D153" s="2"/>
      <c r="E153" s="2"/>
      <c r="F153" s="4"/>
      <c r="G153" s="2"/>
      <c r="H153" s="2"/>
      <c r="I153" s="2"/>
      <c r="J153" s="2"/>
      <c r="K153" s="5"/>
      <c r="L153" s="2"/>
      <c r="M153" s="2"/>
      <c r="N153" s="2"/>
      <c r="O153" s="2"/>
      <c r="P153" s="2"/>
      <c r="Q153" s="2"/>
      <c r="R153" s="7"/>
      <c r="S153" s="224"/>
      <c r="T153" s="224"/>
      <c r="U153" s="224"/>
      <c r="V153" s="224"/>
    </row>
    <row r="154">
      <c r="A154" s="33"/>
      <c r="B154" s="2"/>
      <c r="C154" s="2"/>
      <c r="D154" s="2"/>
      <c r="E154" s="2"/>
      <c r="F154" s="4"/>
      <c r="G154" s="2"/>
      <c r="H154" s="2"/>
      <c r="I154" s="2"/>
      <c r="J154" s="2"/>
      <c r="K154" s="5"/>
      <c r="L154" s="2"/>
      <c r="M154" s="2"/>
      <c r="N154" s="2"/>
      <c r="O154" s="2"/>
      <c r="P154" s="2"/>
      <c r="Q154" s="2"/>
      <c r="R154" s="7"/>
      <c r="S154" s="224"/>
      <c r="T154" s="224"/>
      <c r="U154" s="224"/>
      <c r="V154" s="224"/>
    </row>
    <row r="155">
      <c r="A155" s="33"/>
      <c r="B155" s="2"/>
      <c r="C155" s="2"/>
      <c r="D155" s="2"/>
      <c r="E155" s="2"/>
      <c r="F155" s="4"/>
      <c r="G155" s="2"/>
      <c r="H155" s="2"/>
      <c r="I155" s="2"/>
      <c r="J155" s="2"/>
      <c r="K155" s="5"/>
      <c r="L155" s="2"/>
      <c r="M155" s="2"/>
      <c r="N155" s="2"/>
      <c r="O155" s="2"/>
      <c r="P155" s="2"/>
      <c r="Q155" s="2"/>
      <c r="R155" s="7"/>
      <c r="S155" s="224"/>
      <c r="T155" s="224"/>
      <c r="U155" s="224"/>
      <c r="V155" s="224"/>
    </row>
    <row r="156">
      <c r="A156" s="33"/>
      <c r="B156" s="2"/>
      <c r="C156" s="2"/>
      <c r="D156" s="2"/>
      <c r="E156" s="2"/>
      <c r="F156" s="4"/>
      <c r="G156" s="2"/>
      <c r="H156" s="2"/>
      <c r="I156" s="2"/>
      <c r="J156" s="2"/>
      <c r="K156" s="5"/>
      <c r="L156" s="2"/>
      <c r="M156" s="2"/>
      <c r="N156" s="2"/>
      <c r="O156" s="2"/>
      <c r="P156" s="2"/>
      <c r="Q156" s="2"/>
      <c r="R156" s="7"/>
      <c r="S156" s="224"/>
      <c r="T156" s="224"/>
      <c r="U156" s="224"/>
      <c r="V156" s="224"/>
    </row>
    <row r="157">
      <c r="A157" s="33"/>
      <c r="B157" s="2"/>
      <c r="C157" s="2"/>
      <c r="D157" s="2"/>
      <c r="E157" s="2"/>
      <c r="F157" s="4"/>
      <c r="G157" s="2"/>
      <c r="H157" s="2"/>
      <c r="I157" s="2"/>
      <c r="J157" s="2"/>
      <c r="K157" s="5"/>
      <c r="L157" s="2"/>
      <c r="M157" s="2"/>
      <c r="N157" s="2"/>
      <c r="O157" s="2"/>
      <c r="P157" s="2"/>
      <c r="Q157" s="2"/>
      <c r="R157" s="7"/>
      <c r="S157" s="224"/>
      <c r="T157" s="224"/>
      <c r="U157" s="224"/>
      <c r="V157" s="224"/>
    </row>
    <row r="158">
      <c r="A158" s="33"/>
      <c r="B158" s="2"/>
      <c r="C158" s="2"/>
      <c r="D158" s="2"/>
      <c r="E158" s="2"/>
      <c r="F158" s="4"/>
      <c r="G158" s="2"/>
      <c r="H158" s="2"/>
      <c r="I158" s="2"/>
      <c r="J158" s="2"/>
      <c r="K158" s="5"/>
      <c r="L158" s="2"/>
      <c r="M158" s="2"/>
      <c r="N158" s="2"/>
      <c r="O158" s="2"/>
      <c r="P158" s="2"/>
      <c r="Q158" s="2"/>
      <c r="R158" s="7"/>
      <c r="S158" s="224"/>
      <c r="T158" s="224"/>
      <c r="U158" s="224"/>
      <c r="V158" s="224"/>
    </row>
    <row r="159">
      <c r="A159" s="33"/>
      <c r="B159" s="2"/>
      <c r="C159" s="2"/>
      <c r="D159" s="2"/>
      <c r="E159" s="2"/>
      <c r="F159" s="4"/>
      <c r="G159" s="2"/>
      <c r="H159" s="2"/>
      <c r="I159" s="2"/>
      <c r="J159" s="2"/>
      <c r="K159" s="5"/>
      <c r="L159" s="2"/>
      <c r="M159" s="2"/>
      <c r="N159" s="2"/>
      <c r="O159" s="2"/>
      <c r="P159" s="2"/>
      <c r="Q159" s="2"/>
      <c r="R159" s="7"/>
      <c r="S159" s="224"/>
      <c r="T159" s="224"/>
      <c r="U159" s="224"/>
      <c r="V159" s="224"/>
    </row>
    <row r="160">
      <c r="A160" s="33"/>
      <c r="B160" s="2"/>
      <c r="C160" s="2"/>
      <c r="D160" s="2"/>
      <c r="E160" s="2"/>
      <c r="F160" s="4"/>
      <c r="G160" s="2"/>
      <c r="H160" s="2"/>
      <c r="I160" s="2"/>
      <c r="J160" s="2"/>
      <c r="K160" s="5"/>
      <c r="L160" s="2"/>
      <c r="M160" s="2"/>
      <c r="N160" s="2"/>
      <c r="O160" s="2"/>
      <c r="P160" s="2"/>
      <c r="Q160" s="2"/>
      <c r="R160" s="7"/>
      <c r="S160" s="224"/>
      <c r="T160" s="224"/>
      <c r="U160" s="224"/>
      <c r="V160" s="224"/>
    </row>
    <row r="161">
      <c r="A161" s="33"/>
      <c r="B161" s="2"/>
      <c r="C161" s="2"/>
      <c r="D161" s="2"/>
      <c r="E161" s="2"/>
      <c r="F161" s="4"/>
      <c r="G161" s="2"/>
      <c r="H161" s="2"/>
      <c r="I161" s="2"/>
      <c r="J161" s="2"/>
      <c r="K161" s="5"/>
      <c r="L161" s="2"/>
      <c r="M161" s="2"/>
      <c r="N161" s="2"/>
      <c r="O161" s="2"/>
      <c r="P161" s="2"/>
      <c r="Q161" s="2"/>
      <c r="R161" s="7"/>
      <c r="S161" s="224"/>
      <c r="T161" s="224"/>
      <c r="U161" s="224"/>
      <c r="V161" s="224"/>
    </row>
    <row r="162">
      <c r="A162" s="33"/>
      <c r="B162" s="2"/>
      <c r="C162" s="2"/>
      <c r="D162" s="2"/>
      <c r="E162" s="2"/>
      <c r="F162" s="4"/>
      <c r="G162" s="2"/>
      <c r="H162" s="2"/>
      <c r="I162" s="2"/>
      <c r="J162" s="2"/>
      <c r="K162" s="5"/>
      <c r="L162" s="2"/>
      <c r="M162" s="2"/>
      <c r="N162" s="2"/>
      <c r="O162" s="2"/>
      <c r="P162" s="2"/>
      <c r="Q162" s="2"/>
      <c r="R162" s="7"/>
      <c r="S162" s="224"/>
      <c r="T162" s="224"/>
      <c r="U162" s="224"/>
      <c r="V162" s="224"/>
    </row>
    <row r="163">
      <c r="A163" s="33"/>
      <c r="B163" s="2"/>
      <c r="C163" s="2"/>
      <c r="D163" s="2"/>
      <c r="E163" s="2"/>
      <c r="F163" s="4"/>
      <c r="G163" s="2"/>
      <c r="H163" s="2"/>
      <c r="I163" s="2"/>
      <c r="J163" s="2"/>
      <c r="K163" s="5"/>
      <c r="L163" s="2"/>
      <c r="M163" s="2"/>
      <c r="N163" s="2"/>
      <c r="O163" s="2"/>
      <c r="P163" s="2"/>
      <c r="Q163" s="2"/>
      <c r="R163" s="7"/>
      <c r="S163" s="224"/>
      <c r="T163" s="224"/>
      <c r="U163" s="224"/>
      <c r="V163" s="224"/>
    </row>
    <row r="164">
      <c r="A164" s="33"/>
      <c r="B164" s="2"/>
      <c r="C164" s="2"/>
      <c r="D164" s="2"/>
      <c r="E164" s="2"/>
      <c r="F164" s="4"/>
      <c r="G164" s="2"/>
      <c r="H164" s="2"/>
      <c r="I164" s="2"/>
      <c r="J164" s="2"/>
      <c r="K164" s="5"/>
      <c r="L164" s="2"/>
      <c r="M164" s="2"/>
      <c r="N164" s="2"/>
      <c r="O164" s="2"/>
      <c r="P164" s="2"/>
      <c r="Q164" s="2"/>
      <c r="R164" s="7"/>
      <c r="S164" s="224"/>
      <c r="T164" s="224"/>
      <c r="U164" s="224"/>
      <c r="V164" s="224"/>
    </row>
    <row r="165">
      <c r="A165" s="33"/>
      <c r="B165" s="2"/>
      <c r="C165" s="2"/>
      <c r="D165" s="2"/>
      <c r="E165" s="2"/>
      <c r="F165" s="4"/>
      <c r="G165" s="2"/>
      <c r="H165" s="2"/>
      <c r="I165" s="2"/>
      <c r="J165" s="2"/>
      <c r="K165" s="5"/>
      <c r="L165" s="2"/>
      <c r="M165" s="2"/>
      <c r="N165" s="2"/>
      <c r="O165" s="2"/>
      <c r="P165" s="2"/>
      <c r="Q165" s="2"/>
      <c r="R165" s="7"/>
      <c r="S165" s="224"/>
      <c r="T165" s="224"/>
      <c r="U165" s="224"/>
      <c r="V165" s="224"/>
    </row>
    <row r="166">
      <c r="A166" s="33"/>
      <c r="B166" s="2"/>
      <c r="C166" s="2"/>
      <c r="D166" s="2"/>
      <c r="E166" s="2"/>
      <c r="F166" s="4"/>
      <c r="G166" s="2"/>
      <c r="H166" s="2"/>
      <c r="I166" s="2"/>
      <c r="J166" s="2"/>
      <c r="K166" s="5"/>
      <c r="L166" s="2"/>
      <c r="M166" s="2"/>
      <c r="N166" s="2"/>
      <c r="O166" s="2"/>
      <c r="P166" s="2"/>
      <c r="Q166" s="2"/>
      <c r="R166" s="7"/>
      <c r="S166" s="224"/>
      <c r="T166" s="224"/>
      <c r="U166" s="224"/>
      <c r="V166" s="224"/>
    </row>
    <row r="167">
      <c r="A167" s="33"/>
      <c r="B167" s="2"/>
      <c r="C167" s="2"/>
      <c r="D167" s="2"/>
      <c r="E167" s="2"/>
      <c r="F167" s="4"/>
      <c r="G167" s="2"/>
      <c r="H167" s="2"/>
      <c r="I167" s="2"/>
      <c r="J167" s="2"/>
      <c r="K167" s="5"/>
      <c r="L167" s="2"/>
      <c r="M167" s="2"/>
      <c r="N167" s="2"/>
      <c r="O167" s="2"/>
      <c r="P167" s="2"/>
      <c r="Q167" s="2"/>
      <c r="R167" s="7"/>
      <c r="S167" s="224"/>
      <c r="T167" s="224"/>
      <c r="U167" s="224"/>
      <c r="V167" s="224"/>
    </row>
    <row r="168">
      <c r="A168" s="33"/>
      <c r="B168" s="2"/>
      <c r="C168" s="2"/>
      <c r="D168" s="2"/>
      <c r="E168" s="2"/>
      <c r="F168" s="4"/>
      <c r="G168" s="2"/>
      <c r="H168" s="2"/>
      <c r="I168" s="2"/>
      <c r="J168" s="2"/>
      <c r="K168" s="5"/>
      <c r="L168" s="2"/>
      <c r="M168" s="2"/>
      <c r="N168" s="2"/>
      <c r="O168" s="2"/>
      <c r="P168" s="2"/>
      <c r="Q168" s="2"/>
      <c r="R168" s="7"/>
      <c r="S168" s="224"/>
      <c r="T168" s="224"/>
      <c r="U168" s="224"/>
      <c r="V168" s="224"/>
    </row>
    <row r="169">
      <c r="A169" s="33"/>
      <c r="B169" s="2"/>
      <c r="C169" s="2"/>
      <c r="D169" s="2"/>
      <c r="E169" s="2"/>
      <c r="F169" s="4"/>
      <c r="G169" s="2"/>
      <c r="H169" s="2"/>
      <c r="I169" s="2"/>
      <c r="J169" s="2"/>
      <c r="K169" s="5"/>
      <c r="L169" s="2"/>
      <c r="M169" s="2"/>
      <c r="N169" s="2"/>
      <c r="O169" s="2"/>
      <c r="P169" s="2"/>
      <c r="Q169" s="2"/>
      <c r="R169" s="7"/>
      <c r="S169" s="224"/>
      <c r="T169" s="224"/>
      <c r="U169" s="224"/>
      <c r="V169" s="224"/>
    </row>
    <row r="170">
      <c r="A170" s="33"/>
      <c r="B170" s="2"/>
      <c r="C170" s="2"/>
      <c r="D170" s="2"/>
      <c r="E170" s="2"/>
      <c r="F170" s="4"/>
      <c r="G170" s="2"/>
      <c r="H170" s="2"/>
      <c r="I170" s="2"/>
      <c r="J170" s="2"/>
      <c r="K170" s="5"/>
      <c r="L170" s="2"/>
      <c r="M170" s="2"/>
      <c r="N170" s="2"/>
      <c r="O170" s="2"/>
      <c r="P170" s="2"/>
      <c r="Q170" s="2"/>
      <c r="R170" s="7"/>
      <c r="S170" s="224"/>
      <c r="T170" s="224"/>
      <c r="U170" s="224"/>
      <c r="V170" s="224"/>
    </row>
    <row r="171">
      <c r="A171" s="33"/>
      <c r="B171" s="2"/>
      <c r="C171" s="2"/>
      <c r="D171" s="2"/>
      <c r="E171" s="2"/>
      <c r="F171" s="4"/>
      <c r="G171" s="2"/>
      <c r="H171" s="2"/>
      <c r="I171" s="2"/>
      <c r="J171" s="2"/>
      <c r="K171" s="5"/>
      <c r="L171" s="2"/>
      <c r="M171" s="2"/>
      <c r="N171" s="2"/>
      <c r="O171" s="2"/>
      <c r="P171" s="2"/>
      <c r="Q171" s="2"/>
      <c r="R171" s="7"/>
      <c r="S171" s="224"/>
      <c r="T171" s="224"/>
      <c r="U171" s="224"/>
      <c r="V171" s="224"/>
    </row>
    <row r="172">
      <c r="A172" s="33"/>
      <c r="B172" s="2"/>
      <c r="C172" s="2"/>
      <c r="D172" s="2"/>
      <c r="E172" s="2"/>
      <c r="F172" s="4"/>
      <c r="G172" s="2"/>
      <c r="H172" s="2"/>
      <c r="I172" s="2"/>
      <c r="J172" s="2"/>
      <c r="K172" s="5"/>
      <c r="L172" s="2"/>
      <c r="M172" s="2"/>
      <c r="N172" s="2"/>
      <c r="O172" s="2"/>
      <c r="P172" s="2"/>
      <c r="Q172" s="2"/>
      <c r="R172" s="7"/>
      <c r="S172" s="224"/>
      <c r="T172" s="224"/>
      <c r="U172" s="224"/>
      <c r="V172" s="224"/>
    </row>
    <row r="173">
      <c r="A173" s="33"/>
      <c r="B173" s="2"/>
      <c r="C173" s="2"/>
      <c r="D173" s="2"/>
      <c r="E173" s="2"/>
      <c r="F173" s="4"/>
      <c r="G173" s="2"/>
      <c r="H173" s="2"/>
      <c r="I173" s="2"/>
      <c r="J173" s="2"/>
      <c r="K173" s="5"/>
      <c r="L173" s="2"/>
      <c r="M173" s="2"/>
      <c r="N173" s="2"/>
      <c r="O173" s="2"/>
      <c r="P173" s="2"/>
      <c r="Q173" s="2"/>
      <c r="R173" s="7"/>
      <c r="S173" s="224"/>
      <c r="T173" s="224"/>
      <c r="U173" s="224"/>
      <c r="V173" s="224"/>
    </row>
    <row r="174">
      <c r="A174" s="33"/>
      <c r="B174" s="2"/>
      <c r="C174" s="2"/>
      <c r="D174" s="2"/>
      <c r="E174" s="2"/>
      <c r="F174" s="4"/>
      <c r="G174" s="2"/>
      <c r="H174" s="2"/>
      <c r="I174" s="2"/>
      <c r="J174" s="2"/>
      <c r="K174" s="5"/>
      <c r="L174" s="2"/>
      <c r="M174" s="2"/>
      <c r="N174" s="2"/>
      <c r="O174" s="2"/>
      <c r="P174" s="2"/>
      <c r="Q174" s="2"/>
      <c r="R174" s="7"/>
      <c r="S174" s="224"/>
      <c r="T174" s="224"/>
      <c r="U174" s="224"/>
      <c r="V174" s="224"/>
    </row>
    <row r="175">
      <c r="A175" s="33"/>
      <c r="B175" s="2"/>
      <c r="C175" s="2"/>
      <c r="D175" s="2"/>
      <c r="E175" s="2"/>
      <c r="F175" s="4"/>
      <c r="G175" s="2"/>
      <c r="H175" s="2"/>
      <c r="I175" s="2"/>
      <c r="J175" s="2"/>
      <c r="K175" s="5"/>
      <c r="L175" s="2"/>
      <c r="M175" s="2"/>
      <c r="N175" s="2"/>
      <c r="O175" s="2"/>
      <c r="P175" s="2"/>
      <c r="Q175" s="2"/>
      <c r="R175" s="7"/>
      <c r="S175" s="224"/>
      <c r="T175" s="224"/>
      <c r="U175" s="224"/>
      <c r="V175" s="224"/>
    </row>
    <row r="176">
      <c r="A176" s="33"/>
      <c r="B176" s="2"/>
      <c r="C176" s="2"/>
      <c r="D176" s="2"/>
      <c r="E176" s="2"/>
      <c r="F176" s="4"/>
      <c r="G176" s="2"/>
      <c r="H176" s="2"/>
      <c r="I176" s="2"/>
      <c r="J176" s="2"/>
      <c r="K176" s="5"/>
      <c r="L176" s="2"/>
      <c r="M176" s="2"/>
      <c r="N176" s="2"/>
      <c r="O176" s="2"/>
      <c r="P176" s="2"/>
      <c r="Q176" s="2"/>
      <c r="R176" s="7"/>
      <c r="S176" s="224"/>
      <c r="T176" s="224"/>
      <c r="U176" s="224"/>
      <c r="V176" s="224"/>
    </row>
    <row r="177">
      <c r="A177" s="33"/>
      <c r="B177" s="2"/>
      <c r="C177" s="2"/>
      <c r="D177" s="2"/>
      <c r="E177" s="2"/>
      <c r="F177" s="4"/>
      <c r="G177" s="2"/>
      <c r="H177" s="2"/>
      <c r="I177" s="2"/>
      <c r="J177" s="2"/>
      <c r="K177" s="5"/>
      <c r="L177" s="2"/>
      <c r="M177" s="2"/>
      <c r="N177" s="2"/>
      <c r="O177" s="2"/>
      <c r="P177" s="2"/>
      <c r="Q177" s="2"/>
      <c r="R177" s="7"/>
      <c r="S177" s="224"/>
      <c r="T177" s="224"/>
      <c r="U177" s="224"/>
      <c r="V177" s="224"/>
    </row>
    <row r="178">
      <c r="A178" s="33"/>
      <c r="B178" s="2"/>
      <c r="C178" s="2"/>
      <c r="D178" s="2"/>
      <c r="E178" s="2"/>
      <c r="F178" s="4"/>
      <c r="G178" s="2"/>
      <c r="H178" s="2"/>
      <c r="I178" s="2"/>
      <c r="J178" s="2"/>
      <c r="K178" s="5"/>
      <c r="L178" s="2"/>
      <c r="M178" s="2"/>
      <c r="N178" s="2"/>
      <c r="O178" s="2"/>
      <c r="P178" s="2"/>
      <c r="Q178" s="2"/>
      <c r="R178" s="7"/>
      <c r="S178" s="224"/>
      <c r="T178" s="224"/>
      <c r="U178" s="224"/>
      <c r="V178" s="224"/>
    </row>
    <row r="179">
      <c r="A179" s="33"/>
      <c r="B179" s="2"/>
      <c r="C179" s="2"/>
      <c r="D179" s="2"/>
      <c r="E179" s="2"/>
      <c r="F179" s="4"/>
      <c r="G179" s="2"/>
      <c r="H179" s="2"/>
      <c r="I179" s="2"/>
      <c r="J179" s="2"/>
      <c r="K179" s="5"/>
      <c r="L179" s="2"/>
      <c r="M179" s="2"/>
      <c r="N179" s="2"/>
      <c r="O179" s="2"/>
      <c r="P179" s="2"/>
      <c r="Q179" s="2"/>
      <c r="R179" s="7"/>
      <c r="S179" s="224"/>
      <c r="T179" s="224"/>
      <c r="U179" s="224"/>
      <c r="V179" s="224"/>
    </row>
    <row r="180">
      <c r="A180" s="33"/>
      <c r="B180" s="2"/>
      <c r="C180" s="2"/>
      <c r="D180" s="2"/>
      <c r="E180" s="2"/>
      <c r="F180" s="4"/>
      <c r="G180" s="2"/>
      <c r="H180" s="2"/>
      <c r="I180" s="2"/>
      <c r="J180" s="2"/>
      <c r="K180" s="5"/>
      <c r="L180" s="2"/>
      <c r="M180" s="2"/>
      <c r="N180" s="2"/>
      <c r="O180" s="2"/>
      <c r="P180" s="2"/>
      <c r="Q180" s="2"/>
      <c r="R180" s="7"/>
      <c r="S180" s="224"/>
      <c r="T180" s="224"/>
      <c r="U180" s="224"/>
      <c r="V180" s="224"/>
    </row>
    <row r="181">
      <c r="A181" s="33"/>
      <c r="B181" s="2"/>
      <c r="C181" s="2"/>
      <c r="D181" s="2"/>
      <c r="E181" s="2"/>
      <c r="F181" s="4"/>
      <c r="G181" s="2"/>
      <c r="H181" s="2"/>
      <c r="I181" s="2"/>
      <c r="J181" s="2"/>
      <c r="K181" s="5"/>
      <c r="L181" s="2"/>
      <c r="M181" s="2"/>
      <c r="N181" s="2"/>
      <c r="O181" s="2"/>
      <c r="P181" s="2"/>
      <c r="Q181" s="2"/>
      <c r="R181" s="7"/>
      <c r="S181" s="224"/>
      <c r="T181" s="224"/>
      <c r="U181" s="224"/>
      <c r="V181" s="224"/>
    </row>
    <row r="182">
      <c r="A182" s="33"/>
      <c r="B182" s="2"/>
      <c r="C182" s="2"/>
      <c r="D182" s="2"/>
      <c r="E182" s="2"/>
      <c r="F182" s="4"/>
      <c r="G182" s="2"/>
      <c r="H182" s="2"/>
      <c r="I182" s="2"/>
      <c r="J182" s="2"/>
      <c r="K182" s="5"/>
      <c r="L182" s="2"/>
      <c r="M182" s="2"/>
      <c r="N182" s="2"/>
      <c r="O182" s="2"/>
      <c r="P182" s="2"/>
      <c r="Q182" s="2"/>
      <c r="R182" s="7"/>
      <c r="S182" s="224"/>
      <c r="T182" s="224"/>
      <c r="U182" s="224"/>
      <c r="V182" s="224"/>
    </row>
    <row r="183">
      <c r="A183" s="33"/>
      <c r="B183" s="2"/>
      <c r="C183" s="2"/>
      <c r="D183" s="2"/>
      <c r="E183" s="2"/>
      <c r="F183" s="4"/>
      <c r="G183" s="2"/>
      <c r="H183" s="2"/>
      <c r="I183" s="2"/>
      <c r="J183" s="2"/>
      <c r="K183" s="5"/>
      <c r="L183" s="2"/>
      <c r="M183" s="2"/>
      <c r="N183" s="2"/>
      <c r="O183" s="2"/>
      <c r="P183" s="2"/>
      <c r="Q183" s="2"/>
      <c r="R183" s="7"/>
      <c r="S183" s="224"/>
      <c r="T183" s="224"/>
      <c r="U183" s="224"/>
      <c r="V183" s="224"/>
    </row>
    <row r="184">
      <c r="A184" s="33"/>
      <c r="B184" s="2"/>
      <c r="C184" s="2"/>
      <c r="D184" s="2"/>
      <c r="E184" s="2"/>
      <c r="F184" s="4"/>
      <c r="G184" s="2"/>
      <c r="H184" s="2"/>
      <c r="I184" s="2"/>
      <c r="J184" s="2"/>
      <c r="K184" s="5"/>
      <c r="L184" s="2"/>
      <c r="M184" s="2"/>
      <c r="N184" s="2"/>
      <c r="O184" s="2"/>
      <c r="P184" s="2"/>
      <c r="Q184" s="2"/>
      <c r="R184" s="7"/>
      <c r="S184" s="224"/>
      <c r="T184" s="224"/>
      <c r="U184" s="224"/>
      <c r="V184" s="224"/>
    </row>
    <row r="185">
      <c r="A185" s="33"/>
      <c r="B185" s="2"/>
      <c r="C185" s="2"/>
      <c r="D185" s="2"/>
      <c r="E185" s="2"/>
      <c r="F185" s="4"/>
      <c r="G185" s="2"/>
      <c r="H185" s="2"/>
      <c r="I185" s="2"/>
      <c r="J185" s="2"/>
      <c r="K185" s="5"/>
      <c r="L185" s="2"/>
      <c r="M185" s="2"/>
      <c r="N185" s="2"/>
      <c r="O185" s="2"/>
      <c r="P185" s="2"/>
      <c r="Q185" s="2"/>
      <c r="R185" s="7"/>
      <c r="S185" s="224"/>
      <c r="T185" s="224"/>
      <c r="U185" s="224"/>
      <c r="V185" s="224"/>
    </row>
    <row r="186">
      <c r="A186" s="33"/>
      <c r="B186" s="2"/>
      <c r="C186" s="2"/>
      <c r="D186" s="2"/>
      <c r="E186" s="2"/>
      <c r="F186" s="4"/>
      <c r="G186" s="2"/>
      <c r="H186" s="2"/>
      <c r="I186" s="2"/>
      <c r="J186" s="2"/>
      <c r="K186" s="5"/>
      <c r="L186" s="2"/>
      <c r="M186" s="2"/>
      <c r="N186" s="2"/>
      <c r="O186" s="2"/>
      <c r="P186" s="2"/>
      <c r="Q186" s="2"/>
      <c r="R186" s="7"/>
      <c r="S186" s="224"/>
      <c r="T186" s="224"/>
      <c r="U186" s="224"/>
      <c r="V186" s="224"/>
    </row>
    <row r="187">
      <c r="A187" s="33"/>
      <c r="B187" s="2"/>
      <c r="C187" s="2"/>
      <c r="D187" s="2"/>
      <c r="E187" s="2"/>
      <c r="F187" s="4"/>
      <c r="G187" s="2"/>
      <c r="H187" s="2"/>
      <c r="I187" s="2"/>
      <c r="J187" s="2"/>
      <c r="K187" s="5"/>
      <c r="L187" s="2"/>
      <c r="M187" s="2"/>
      <c r="N187" s="2"/>
      <c r="O187" s="2"/>
      <c r="P187" s="2"/>
      <c r="Q187" s="2"/>
      <c r="R187" s="7"/>
      <c r="S187" s="224"/>
      <c r="T187" s="224"/>
      <c r="U187" s="224"/>
      <c r="V187" s="224"/>
    </row>
    <row r="188">
      <c r="A188" s="33"/>
      <c r="B188" s="2"/>
      <c r="C188" s="2"/>
      <c r="D188" s="2"/>
      <c r="E188" s="2"/>
      <c r="F188" s="4"/>
      <c r="G188" s="2"/>
      <c r="H188" s="2"/>
      <c r="I188" s="2"/>
      <c r="J188" s="2"/>
      <c r="K188" s="5"/>
      <c r="L188" s="2"/>
      <c r="M188" s="2"/>
      <c r="N188" s="2"/>
      <c r="O188" s="2"/>
      <c r="P188" s="2"/>
      <c r="Q188" s="2"/>
      <c r="R188" s="7"/>
      <c r="S188" s="224"/>
      <c r="T188" s="224"/>
      <c r="U188" s="224"/>
      <c r="V188" s="224"/>
    </row>
    <row r="189">
      <c r="A189" s="33"/>
      <c r="B189" s="2"/>
      <c r="C189" s="2"/>
      <c r="D189" s="2"/>
      <c r="E189" s="2"/>
      <c r="F189" s="4"/>
      <c r="G189" s="2"/>
      <c r="H189" s="2"/>
      <c r="I189" s="2"/>
      <c r="J189" s="2"/>
      <c r="K189" s="5"/>
      <c r="L189" s="2"/>
      <c r="M189" s="2"/>
      <c r="N189" s="2"/>
      <c r="O189" s="2"/>
      <c r="P189" s="2"/>
      <c r="Q189" s="2"/>
      <c r="R189" s="7"/>
      <c r="S189" s="224"/>
      <c r="T189" s="224"/>
      <c r="U189" s="224"/>
      <c r="V189" s="224"/>
    </row>
    <row r="190">
      <c r="A190" s="33"/>
      <c r="B190" s="2"/>
      <c r="C190" s="2"/>
      <c r="D190" s="2"/>
      <c r="E190" s="2"/>
      <c r="F190" s="4"/>
      <c r="G190" s="2"/>
      <c r="H190" s="2"/>
      <c r="I190" s="2"/>
      <c r="J190" s="2"/>
      <c r="K190" s="5"/>
      <c r="L190" s="2"/>
      <c r="M190" s="2"/>
      <c r="N190" s="2"/>
      <c r="O190" s="2"/>
      <c r="P190" s="2"/>
      <c r="Q190" s="2"/>
      <c r="R190" s="7"/>
      <c r="S190" s="224"/>
      <c r="T190" s="224"/>
      <c r="U190" s="224"/>
      <c r="V190" s="224"/>
    </row>
    <row r="191">
      <c r="A191" s="33"/>
      <c r="B191" s="2"/>
      <c r="C191" s="2"/>
      <c r="D191" s="2"/>
      <c r="E191" s="2"/>
      <c r="F191" s="4"/>
      <c r="G191" s="2"/>
      <c r="H191" s="2"/>
      <c r="I191" s="2"/>
      <c r="J191" s="2"/>
      <c r="K191" s="5"/>
      <c r="L191" s="2"/>
      <c r="M191" s="2"/>
      <c r="N191" s="2"/>
      <c r="O191" s="2"/>
      <c r="P191" s="2"/>
      <c r="Q191" s="2"/>
      <c r="R191" s="7"/>
      <c r="S191" s="224"/>
      <c r="T191" s="224"/>
      <c r="U191" s="224"/>
      <c r="V191" s="224"/>
    </row>
    <row r="192">
      <c r="A192" s="33"/>
      <c r="B192" s="2"/>
      <c r="C192" s="2"/>
      <c r="D192" s="2"/>
      <c r="E192" s="2"/>
      <c r="F192" s="4"/>
      <c r="G192" s="2"/>
      <c r="H192" s="2"/>
      <c r="I192" s="2"/>
      <c r="J192" s="2"/>
      <c r="K192" s="5"/>
      <c r="L192" s="2"/>
      <c r="M192" s="2"/>
      <c r="N192" s="2"/>
      <c r="O192" s="2"/>
      <c r="P192" s="2"/>
      <c r="Q192" s="2"/>
      <c r="R192" s="7"/>
      <c r="S192" s="224"/>
      <c r="T192" s="224"/>
      <c r="U192" s="224"/>
      <c r="V192" s="224"/>
    </row>
    <row r="193">
      <c r="A193" s="33"/>
      <c r="B193" s="2"/>
      <c r="C193" s="2"/>
      <c r="D193" s="2"/>
      <c r="E193" s="2"/>
      <c r="F193" s="4"/>
      <c r="G193" s="2"/>
      <c r="H193" s="2"/>
      <c r="I193" s="2"/>
      <c r="J193" s="2"/>
      <c r="K193" s="5"/>
      <c r="L193" s="2"/>
      <c r="M193" s="2"/>
      <c r="N193" s="2"/>
      <c r="O193" s="2"/>
      <c r="P193" s="2"/>
      <c r="Q193" s="2"/>
      <c r="R193" s="7"/>
      <c r="S193" s="224"/>
      <c r="T193" s="224"/>
      <c r="U193" s="224"/>
      <c r="V193" s="224"/>
    </row>
    <row r="194">
      <c r="A194" s="33"/>
      <c r="B194" s="2"/>
      <c r="C194" s="2"/>
      <c r="D194" s="2"/>
      <c r="E194" s="2"/>
      <c r="F194" s="4"/>
      <c r="G194" s="2"/>
      <c r="H194" s="2"/>
      <c r="I194" s="2"/>
      <c r="J194" s="2"/>
      <c r="K194" s="5"/>
      <c r="L194" s="2"/>
      <c r="M194" s="2"/>
      <c r="N194" s="2"/>
      <c r="O194" s="2"/>
      <c r="P194" s="2"/>
      <c r="Q194" s="2"/>
      <c r="R194" s="7"/>
      <c r="S194" s="224"/>
      <c r="T194" s="224"/>
      <c r="U194" s="224"/>
      <c r="V194" s="224"/>
    </row>
    <row r="195">
      <c r="A195" s="33"/>
      <c r="B195" s="2"/>
      <c r="C195" s="2"/>
      <c r="D195" s="2"/>
      <c r="E195" s="2"/>
      <c r="F195" s="4"/>
      <c r="G195" s="2"/>
      <c r="H195" s="2"/>
      <c r="I195" s="2"/>
      <c r="J195" s="2"/>
      <c r="K195" s="5"/>
      <c r="L195" s="2"/>
      <c r="M195" s="2"/>
      <c r="N195" s="2"/>
      <c r="O195" s="2"/>
      <c r="P195" s="2"/>
      <c r="Q195" s="2"/>
      <c r="R195" s="7"/>
      <c r="S195" s="224"/>
      <c r="T195" s="224"/>
      <c r="U195" s="224"/>
      <c r="V195" s="224"/>
    </row>
    <row r="196">
      <c r="A196" s="33"/>
      <c r="B196" s="2"/>
      <c r="C196" s="2"/>
      <c r="D196" s="2"/>
      <c r="E196" s="2"/>
      <c r="F196" s="4"/>
      <c r="G196" s="2"/>
      <c r="H196" s="2"/>
      <c r="I196" s="2"/>
      <c r="J196" s="2"/>
      <c r="K196" s="5"/>
      <c r="L196" s="2"/>
      <c r="M196" s="2"/>
      <c r="N196" s="2"/>
      <c r="O196" s="2"/>
      <c r="P196" s="2"/>
      <c r="Q196" s="2"/>
      <c r="R196" s="7"/>
      <c r="S196" s="224"/>
      <c r="T196" s="224"/>
      <c r="U196" s="224"/>
      <c r="V196" s="224"/>
    </row>
    <row r="197">
      <c r="A197" s="33"/>
      <c r="B197" s="2"/>
      <c r="C197" s="2"/>
      <c r="D197" s="2"/>
      <c r="E197" s="2"/>
      <c r="F197" s="4"/>
      <c r="G197" s="2"/>
      <c r="H197" s="2"/>
      <c r="I197" s="2"/>
      <c r="J197" s="2"/>
      <c r="K197" s="5"/>
      <c r="L197" s="2"/>
      <c r="M197" s="2"/>
      <c r="N197" s="2"/>
      <c r="O197" s="2"/>
      <c r="P197" s="2"/>
      <c r="Q197" s="2"/>
      <c r="R197" s="7"/>
      <c r="S197" s="224"/>
      <c r="T197" s="224"/>
      <c r="U197" s="224"/>
      <c r="V197" s="224"/>
    </row>
    <row r="198">
      <c r="A198" s="33"/>
      <c r="B198" s="2"/>
      <c r="C198" s="2"/>
      <c r="D198" s="2"/>
      <c r="E198" s="2"/>
      <c r="F198" s="4"/>
      <c r="G198" s="2"/>
      <c r="H198" s="2"/>
      <c r="I198" s="2"/>
      <c r="J198" s="2"/>
      <c r="K198" s="5"/>
      <c r="L198" s="2"/>
      <c r="M198" s="2"/>
      <c r="N198" s="2"/>
      <c r="O198" s="2"/>
      <c r="P198" s="2"/>
      <c r="Q198" s="2"/>
      <c r="R198" s="7"/>
      <c r="S198" s="224"/>
      <c r="T198" s="224"/>
      <c r="U198" s="224"/>
      <c r="V198" s="224"/>
    </row>
    <row r="199">
      <c r="A199" s="33"/>
      <c r="B199" s="2"/>
      <c r="C199" s="2"/>
      <c r="D199" s="2"/>
      <c r="E199" s="2"/>
      <c r="F199" s="4"/>
      <c r="G199" s="2"/>
      <c r="H199" s="2"/>
      <c r="I199" s="2"/>
      <c r="J199" s="2"/>
      <c r="K199" s="5"/>
      <c r="L199" s="2"/>
      <c r="M199" s="2"/>
      <c r="N199" s="2"/>
      <c r="O199" s="2"/>
      <c r="P199" s="2"/>
      <c r="Q199" s="2"/>
      <c r="R199" s="7"/>
      <c r="S199" s="224"/>
      <c r="T199" s="224"/>
      <c r="U199" s="224"/>
      <c r="V199" s="224"/>
    </row>
    <row r="200">
      <c r="A200" s="33"/>
      <c r="B200" s="2"/>
      <c r="C200" s="2"/>
      <c r="D200" s="2"/>
      <c r="E200" s="2"/>
      <c r="F200" s="4"/>
      <c r="G200" s="2"/>
      <c r="H200" s="2"/>
      <c r="I200" s="2"/>
      <c r="J200" s="2"/>
      <c r="K200" s="5"/>
      <c r="L200" s="2"/>
      <c r="M200" s="2"/>
      <c r="N200" s="2"/>
      <c r="O200" s="2"/>
      <c r="P200" s="2"/>
      <c r="Q200" s="2"/>
      <c r="R200" s="7"/>
      <c r="S200" s="224"/>
      <c r="T200" s="224"/>
      <c r="U200" s="224"/>
      <c r="V200" s="224"/>
    </row>
    <row r="201">
      <c r="A201" s="33"/>
      <c r="B201" s="2"/>
      <c r="C201" s="2"/>
      <c r="D201" s="2"/>
      <c r="E201" s="2"/>
      <c r="F201" s="4"/>
      <c r="G201" s="2"/>
      <c r="H201" s="2"/>
      <c r="I201" s="2"/>
      <c r="J201" s="2"/>
      <c r="K201" s="5"/>
      <c r="L201" s="2"/>
      <c r="M201" s="2"/>
      <c r="N201" s="2"/>
      <c r="O201" s="2"/>
      <c r="P201" s="2"/>
      <c r="Q201" s="2"/>
      <c r="R201" s="7"/>
      <c r="S201" s="224"/>
      <c r="T201" s="224"/>
      <c r="U201" s="224"/>
      <c r="V201" s="224"/>
    </row>
    <row r="202">
      <c r="A202" s="33"/>
      <c r="B202" s="2"/>
      <c r="C202" s="2"/>
      <c r="D202" s="2"/>
      <c r="E202" s="2"/>
      <c r="F202" s="4"/>
      <c r="G202" s="2"/>
      <c r="H202" s="2"/>
      <c r="I202" s="2"/>
      <c r="J202" s="2"/>
      <c r="K202" s="5"/>
      <c r="L202" s="2"/>
      <c r="M202" s="2"/>
      <c r="N202" s="2"/>
      <c r="O202" s="2"/>
      <c r="P202" s="2"/>
      <c r="Q202" s="2"/>
      <c r="R202" s="7"/>
      <c r="S202" s="224"/>
      <c r="T202" s="224"/>
      <c r="U202" s="224"/>
      <c r="V202" s="224"/>
    </row>
    <row r="203">
      <c r="A203" s="33"/>
      <c r="B203" s="2"/>
      <c r="C203" s="2"/>
      <c r="D203" s="2"/>
      <c r="E203" s="2"/>
      <c r="F203" s="4"/>
      <c r="G203" s="2"/>
      <c r="H203" s="2"/>
      <c r="I203" s="2"/>
      <c r="J203" s="2"/>
      <c r="K203" s="5"/>
      <c r="L203" s="2"/>
      <c r="M203" s="2"/>
      <c r="N203" s="2"/>
      <c r="O203" s="2"/>
      <c r="P203" s="2"/>
      <c r="Q203" s="2"/>
      <c r="R203" s="7"/>
      <c r="S203" s="224"/>
      <c r="T203" s="224"/>
      <c r="U203" s="224"/>
      <c r="V203" s="224"/>
    </row>
    <row r="204">
      <c r="A204" s="33"/>
      <c r="B204" s="2"/>
      <c r="C204" s="2"/>
      <c r="D204" s="2"/>
      <c r="E204" s="2"/>
      <c r="F204" s="4"/>
      <c r="G204" s="2"/>
      <c r="H204" s="2"/>
      <c r="I204" s="2"/>
      <c r="J204" s="2"/>
      <c r="K204" s="5"/>
      <c r="L204" s="2"/>
      <c r="M204" s="2"/>
      <c r="N204" s="2"/>
      <c r="O204" s="2"/>
      <c r="P204" s="2"/>
      <c r="Q204" s="2"/>
      <c r="R204" s="7"/>
      <c r="S204" s="224"/>
      <c r="T204" s="224"/>
      <c r="U204" s="224"/>
      <c r="V204" s="224"/>
    </row>
    <row r="205">
      <c r="A205" s="33"/>
      <c r="B205" s="2"/>
      <c r="C205" s="2"/>
      <c r="D205" s="2"/>
      <c r="E205" s="2"/>
      <c r="F205" s="4"/>
      <c r="G205" s="2"/>
      <c r="H205" s="2"/>
      <c r="I205" s="2"/>
      <c r="J205" s="2"/>
      <c r="K205" s="5"/>
      <c r="L205" s="2"/>
      <c r="M205" s="2"/>
      <c r="N205" s="2"/>
      <c r="O205" s="2"/>
      <c r="P205" s="2"/>
      <c r="Q205" s="2"/>
      <c r="R205" s="7"/>
      <c r="S205" s="224"/>
      <c r="T205" s="224"/>
      <c r="U205" s="224"/>
      <c r="V205" s="224"/>
    </row>
    <row r="206">
      <c r="A206" s="33"/>
      <c r="B206" s="2"/>
      <c r="C206" s="2"/>
      <c r="D206" s="2"/>
      <c r="E206" s="2"/>
      <c r="F206" s="4"/>
      <c r="G206" s="2"/>
      <c r="H206" s="2"/>
      <c r="I206" s="2"/>
      <c r="J206" s="2"/>
      <c r="K206" s="5"/>
      <c r="L206" s="2"/>
      <c r="M206" s="2"/>
      <c r="N206" s="2"/>
      <c r="O206" s="2"/>
      <c r="P206" s="2"/>
      <c r="Q206" s="2"/>
      <c r="R206" s="7"/>
      <c r="S206" s="224"/>
      <c r="T206" s="224"/>
      <c r="U206" s="224"/>
      <c r="V206" s="224"/>
    </row>
    <row r="207">
      <c r="A207" s="33"/>
      <c r="B207" s="2"/>
      <c r="C207" s="2"/>
      <c r="D207" s="2"/>
      <c r="E207" s="2"/>
      <c r="F207" s="4"/>
      <c r="G207" s="2"/>
      <c r="H207" s="2"/>
      <c r="I207" s="2"/>
      <c r="J207" s="2"/>
      <c r="K207" s="5"/>
      <c r="L207" s="2"/>
      <c r="M207" s="2"/>
      <c r="N207" s="2"/>
      <c r="O207" s="2"/>
      <c r="P207" s="2"/>
      <c r="Q207" s="2"/>
      <c r="R207" s="7"/>
      <c r="S207" s="224"/>
      <c r="T207" s="224"/>
      <c r="U207" s="224"/>
      <c r="V207" s="224"/>
    </row>
    <row r="208">
      <c r="A208" s="33"/>
      <c r="B208" s="2"/>
      <c r="C208" s="2"/>
      <c r="D208" s="2"/>
      <c r="E208" s="2"/>
      <c r="F208" s="4"/>
      <c r="G208" s="2"/>
      <c r="H208" s="2"/>
      <c r="I208" s="2"/>
      <c r="J208" s="2"/>
      <c r="K208" s="5"/>
      <c r="L208" s="2"/>
      <c r="M208" s="2"/>
      <c r="N208" s="2"/>
      <c r="O208" s="2"/>
      <c r="P208" s="2"/>
      <c r="Q208" s="2"/>
      <c r="R208" s="7"/>
      <c r="S208" s="224"/>
      <c r="T208" s="224"/>
      <c r="U208" s="224"/>
      <c r="V208" s="224"/>
    </row>
    <row r="209">
      <c r="A209" s="33"/>
      <c r="B209" s="2"/>
      <c r="C209" s="2"/>
      <c r="D209" s="2"/>
      <c r="E209" s="2"/>
      <c r="F209" s="4"/>
      <c r="G209" s="2"/>
      <c r="H209" s="2"/>
      <c r="I209" s="2"/>
      <c r="J209" s="2"/>
      <c r="K209" s="5"/>
      <c r="L209" s="2"/>
      <c r="M209" s="2"/>
      <c r="N209" s="2"/>
      <c r="O209" s="2"/>
      <c r="P209" s="2"/>
      <c r="Q209" s="2"/>
      <c r="R209" s="7"/>
      <c r="S209" s="224"/>
      <c r="T209" s="224"/>
      <c r="U209" s="224"/>
      <c r="V209" s="224"/>
    </row>
    <row r="210">
      <c r="A210" s="33"/>
      <c r="B210" s="2"/>
      <c r="C210" s="2"/>
      <c r="D210" s="2"/>
      <c r="E210" s="2"/>
      <c r="F210" s="4"/>
      <c r="G210" s="2"/>
      <c r="H210" s="2"/>
      <c r="I210" s="2"/>
      <c r="J210" s="2"/>
      <c r="K210" s="5"/>
      <c r="L210" s="2"/>
      <c r="M210" s="2"/>
      <c r="N210" s="2"/>
      <c r="O210" s="2"/>
      <c r="P210" s="2"/>
      <c r="Q210" s="2"/>
      <c r="R210" s="7"/>
      <c r="S210" s="224"/>
      <c r="T210" s="224"/>
      <c r="U210" s="224"/>
      <c r="V210" s="224"/>
    </row>
    <row r="211">
      <c r="A211" s="33"/>
      <c r="B211" s="2"/>
      <c r="C211" s="2"/>
      <c r="D211" s="2"/>
      <c r="E211" s="2"/>
      <c r="F211" s="4"/>
      <c r="G211" s="2"/>
      <c r="H211" s="2"/>
      <c r="I211" s="2"/>
      <c r="J211" s="2"/>
      <c r="K211" s="5"/>
      <c r="L211" s="2"/>
      <c r="M211" s="2"/>
      <c r="N211" s="2"/>
      <c r="O211" s="2"/>
      <c r="P211" s="2"/>
      <c r="Q211" s="2"/>
      <c r="R211" s="7"/>
      <c r="S211" s="224"/>
      <c r="T211" s="224"/>
      <c r="U211" s="224"/>
      <c r="V211" s="224"/>
    </row>
    <row r="212">
      <c r="A212" s="33"/>
      <c r="B212" s="2"/>
      <c r="C212" s="2"/>
      <c r="D212" s="2"/>
      <c r="E212" s="2"/>
      <c r="F212" s="4"/>
      <c r="G212" s="2"/>
      <c r="H212" s="2"/>
      <c r="I212" s="2"/>
      <c r="J212" s="2"/>
      <c r="K212" s="5"/>
      <c r="L212" s="2"/>
      <c r="M212" s="2"/>
      <c r="N212" s="2"/>
      <c r="O212" s="2"/>
      <c r="P212" s="2"/>
      <c r="Q212" s="2"/>
      <c r="R212" s="7"/>
      <c r="S212" s="224"/>
      <c r="T212" s="224"/>
      <c r="U212" s="224"/>
      <c r="V212" s="224"/>
    </row>
    <row r="213">
      <c r="A213" s="33"/>
      <c r="B213" s="2"/>
      <c r="C213" s="2"/>
      <c r="D213" s="2"/>
      <c r="E213" s="2"/>
      <c r="F213" s="4"/>
      <c r="G213" s="2"/>
      <c r="H213" s="2"/>
      <c r="I213" s="2"/>
      <c r="J213" s="2"/>
      <c r="K213" s="5"/>
      <c r="L213" s="2"/>
      <c r="M213" s="2"/>
      <c r="N213" s="2"/>
      <c r="O213" s="2"/>
      <c r="P213" s="2"/>
      <c r="Q213" s="2"/>
      <c r="R213" s="7"/>
      <c r="S213" s="224"/>
      <c r="T213" s="224"/>
      <c r="U213" s="224"/>
      <c r="V213" s="224"/>
    </row>
    <row r="214">
      <c r="A214" s="33"/>
      <c r="B214" s="2"/>
      <c r="C214" s="2"/>
      <c r="D214" s="2"/>
      <c r="E214" s="2"/>
      <c r="F214" s="4"/>
      <c r="G214" s="2"/>
      <c r="H214" s="2"/>
      <c r="I214" s="2"/>
      <c r="J214" s="2"/>
      <c r="K214" s="5"/>
      <c r="L214" s="2"/>
      <c r="M214" s="2"/>
      <c r="N214" s="2"/>
      <c r="O214" s="2"/>
      <c r="P214" s="2"/>
      <c r="Q214" s="2"/>
      <c r="R214" s="7"/>
      <c r="S214" s="224"/>
      <c r="T214" s="224"/>
      <c r="U214" s="224"/>
      <c r="V214" s="224"/>
    </row>
    <row r="215">
      <c r="A215" s="33"/>
      <c r="B215" s="2"/>
      <c r="C215" s="2"/>
      <c r="D215" s="2"/>
      <c r="E215" s="2"/>
      <c r="F215" s="4"/>
      <c r="G215" s="2"/>
      <c r="H215" s="2"/>
      <c r="I215" s="2"/>
      <c r="J215" s="2"/>
      <c r="K215" s="5"/>
      <c r="L215" s="2"/>
      <c r="M215" s="2"/>
      <c r="N215" s="2"/>
      <c r="O215" s="2"/>
      <c r="P215" s="2"/>
      <c r="Q215" s="2"/>
      <c r="R215" s="7"/>
      <c r="S215" s="224"/>
      <c r="T215" s="224"/>
      <c r="U215" s="224"/>
      <c r="V215" s="224"/>
    </row>
    <row r="216">
      <c r="A216" s="33"/>
      <c r="B216" s="2"/>
      <c r="C216" s="2"/>
      <c r="D216" s="2"/>
      <c r="E216" s="2"/>
      <c r="F216" s="4"/>
      <c r="G216" s="2"/>
      <c r="H216" s="2"/>
      <c r="I216" s="2"/>
      <c r="J216" s="2"/>
      <c r="K216" s="5"/>
      <c r="L216" s="2"/>
      <c r="M216" s="2"/>
      <c r="N216" s="2"/>
      <c r="O216" s="2"/>
      <c r="P216" s="2"/>
      <c r="Q216" s="2"/>
      <c r="R216" s="7"/>
      <c r="S216" s="224"/>
      <c r="T216" s="224"/>
      <c r="U216" s="224"/>
      <c r="V216" s="224"/>
    </row>
    <row r="217">
      <c r="A217" s="33"/>
      <c r="B217" s="2"/>
      <c r="C217" s="2"/>
      <c r="D217" s="2"/>
      <c r="E217" s="2"/>
      <c r="F217" s="4"/>
      <c r="G217" s="2"/>
      <c r="H217" s="2"/>
      <c r="I217" s="2"/>
      <c r="J217" s="2"/>
      <c r="K217" s="5"/>
      <c r="L217" s="2"/>
      <c r="M217" s="2"/>
      <c r="N217" s="2"/>
      <c r="O217" s="2"/>
      <c r="P217" s="2"/>
      <c r="Q217" s="2"/>
      <c r="R217" s="7"/>
      <c r="S217" s="224"/>
      <c r="T217" s="224"/>
      <c r="U217" s="224"/>
      <c r="V217" s="224"/>
    </row>
    <row r="218">
      <c r="A218" s="33"/>
      <c r="B218" s="2"/>
      <c r="C218" s="2"/>
      <c r="D218" s="2"/>
      <c r="E218" s="2"/>
      <c r="F218" s="4"/>
      <c r="G218" s="2"/>
      <c r="H218" s="2"/>
      <c r="I218" s="2"/>
      <c r="J218" s="2"/>
      <c r="K218" s="5"/>
      <c r="L218" s="2"/>
      <c r="M218" s="2"/>
      <c r="N218" s="2"/>
      <c r="O218" s="2"/>
      <c r="P218" s="2"/>
      <c r="Q218" s="2"/>
      <c r="R218" s="7"/>
      <c r="S218" s="224"/>
      <c r="T218" s="224"/>
      <c r="U218" s="224"/>
      <c r="V218" s="224"/>
    </row>
    <row r="219">
      <c r="A219" s="33"/>
      <c r="B219" s="2"/>
      <c r="C219" s="2"/>
      <c r="D219" s="2"/>
      <c r="E219" s="2"/>
      <c r="F219" s="4"/>
      <c r="G219" s="2"/>
      <c r="H219" s="2"/>
      <c r="I219" s="2"/>
      <c r="J219" s="2"/>
      <c r="K219" s="5"/>
      <c r="L219" s="2"/>
      <c r="M219" s="2"/>
      <c r="N219" s="2"/>
      <c r="O219" s="2"/>
      <c r="P219" s="2"/>
      <c r="Q219" s="2"/>
      <c r="R219" s="7"/>
      <c r="S219" s="224"/>
      <c r="T219" s="224"/>
      <c r="U219" s="224"/>
      <c r="V219" s="224"/>
    </row>
    <row r="220">
      <c r="A220" s="33"/>
      <c r="B220" s="2"/>
      <c r="C220" s="2"/>
      <c r="D220" s="2"/>
      <c r="E220" s="2"/>
      <c r="F220" s="4"/>
      <c r="G220" s="2"/>
      <c r="H220" s="2"/>
      <c r="I220" s="2"/>
      <c r="J220" s="2"/>
      <c r="K220" s="5"/>
      <c r="L220" s="2"/>
      <c r="M220" s="2"/>
      <c r="N220" s="2"/>
      <c r="O220" s="2"/>
      <c r="P220" s="2"/>
      <c r="Q220" s="2"/>
      <c r="R220" s="7"/>
      <c r="S220" s="224"/>
      <c r="T220" s="224"/>
      <c r="U220" s="224"/>
      <c r="V220" s="224"/>
    </row>
    <row r="221">
      <c r="A221" s="33"/>
      <c r="B221" s="2"/>
      <c r="C221" s="2"/>
      <c r="D221" s="2"/>
      <c r="E221" s="2"/>
      <c r="F221" s="4"/>
      <c r="G221" s="2"/>
      <c r="H221" s="2"/>
      <c r="I221" s="2"/>
      <c r="J221" s="2"/>
      <c r="K221" s="5"/>
      <c r="L221" s="2"/>
      <c r="M221" s="2"/>
      <c r="N221" s="2"/>
      <c r="O221" s="2"/>
      <c r="P221" s="2"/>
      <c r="Q221" s="2"/>
      <c r="R221" s="7"/>
      <c r="S221" s="224"/>
      <c r="T221" s="224"/>
      <c r="U221" s="224"/>
      <c r="V221" s="224"/>
    </row>
    <row r="222">
      <c r="A222" s="33"/>
      <c r="B222" s="2"/>
      <c r="C222" s="2"/>
      <c r="D222" s="2"/>
      <c r="E222" s="2"/>
      <c r="F222" s="4"/>
      <c r="G222" s="2"/>
      <c r="H222" s="2"/>
      <c r="I222" s="2"/>
      <c r="J222" s="2"/>
      <c r="K222" s="5"/>
      <c r="L222" s="2"/>
      <c r="M222" s="2"/>
      <c r="N222" s="2"/>
      <c r="O222" s="2"/>
      <c r="P222" s="2"/>
      <c r="Q222" s="2"/>
      <c r="R222" s="7"/>
      <c r="S222" s="224"/>
      <c r="T222" s="224"/>
      <c r="U222" s="224"/>
      <c r="V222" s="224"/>
    </row>
    <row r="223">
      <c r="A223" s="33"/>
      <c r="B223" s="2"/>
      <c r="C223" s="2"/>
      <c r="D223" s="2"/>
      <c r="E223" s="2"/>
      <c r="F223" s="4"/>
      <c r="G223" s="2"/>
      <c r="H223" s="2"/>
      <c r="I223" s="2"/>
      <c r="J223" s="2"/>
      <c r="K223" s="5"/>
      <c r="L223" s="2"/>
      <c r="M223" s="2"/>
      <c r="N223" s="2"/>
      <c r="O223" s="2"/>
      <c r="P223" s="2"/>
      <c r="Q223" s="2"/>
      <c r="R223" s="7"/>
      <c r="S223" s="224"/>
      <c r="T223" s="224"/>
      <c r="U223" s="224"/>
      <c r="V223" s="224"/>
    </row>
    <row r="224">
      <c r="A224" s="33"/>
      <c r="B224" s="2"/>
      <c r="C224" s="2"/>
      <c r="D224" s="2"/>
      <c r="E224" s="2"/>
      <c r="F224" s="4"/>
      <c r="G224" s="2"/>
      <c r="H224" s="2"/>
      <c r="I224" s="2"/>
      <c r="J224" s="2"/>
      <c r="K224" s="5"/>
      <c r="L224" s="2"/>
      <c r="M224" s="2"/>
      <c r="N224" s="2"/>
      <c r="O224" s="2"/>
      <c r="P224" s="2"/>
      <c r="Q224" s="2"/>
      <c r="R224" s="7"/>
      <c r="S224" s="224"/>
      <c r="T224" s="224"/>
      <c r="U224" s="224"/>
      <c r="V224" s="224"/>
    </row>
    <row r="225">
      <c r="A225" s="33"/>
      <c r="B225" s="2"/>
      <c r="C225" s="2"/>
      <c r="D225" s="2"/>
      <c r="E225" s="2"/>
      <c r="F225" s="4"/>
      <c r="G225" s="2"/>
      <c r="H225" s="2"/>
      <c r="I225" s="2"/>
      <c r="J225" s="2"/>
      <c r="K225" s="5"/>
      <c r="L225" s="2"/>
      <c r="M225" s="2"/>
      <c r="N225" s="2"/>
      <c r="O225" s="2"/>
      <c r="P225" s="2"/>
      <c r="Q225" s="2"/>
      <c r="R225" s="7"/>
      <c r="S225" s="224"/>
      <c r="T225" s="224"/>
      <c r="U225" s="224"/>
      <c r="V225" s="224"/>
    </row>
    <row r="226">
      <c r="A226" s="33"/>
      <c r="B226" s="2"/>
      <c r="C226" s="2"/>
      <c r="D226" s="2"/>
      <c r="E226" s="2"/>
      <c r="F226" s="4"/>
      <c r="G226" s="2"/>
      <c r="H226" s="2"/>
      <c r="I226" s="2"/>
      <c r="J226" s="2"/>
      <c r="K226" s="5"/>
      <c r="L226" s="2"/>
      <c r="M226" s="2"/>
      <c r="N226" s="2"/>
      <c r="O226" s="2"/>
      <c r="P226" s="2"/>
      <c r="Q226" s="2"/>
      <c r="R226" s="7"/>
      <c r="S226" s="224"/>
      <c r="T226" s="224"/>
      <c r="U226" s="224"/>
      <c r="V226" s="224"/>
    </row>
    <row r="227">
      <c r="A227" s="33"/>
      <c r="B227" s="2"/>
      <c r="C227" s="2"/>
      <c r="D227" s="2"/>
      <c r="E227" s="2"/>
      <c r="F227" s="4"/>
      <c r="G227" s="2"/>
      <c r="H227" s="2"/>
      <c r="I227" s="2"/>
      <c r="J227" s="2"/>
      <c r="K227" s="5"/>
      <c r="L227" s="2"/>
      <c r="M227" s="2"/>
      <c r="N227" s="2"/>
      <c r="O227" s="2"/>
      <c r="P227" s="2"/>
      <c r="Q227" s="2"/>
      <c r="R227" s="7"/>
      <c r="S227" s="224"/>
      <c r="T227" s="224"/>
      <c r="U227" s="224"/>
      <c r="V227" s="224"/>
    </row>
    <row r="228">
      <c r="A228" s="33"/>
      <c r="B228" s="2"/>
      <c r="C228" s="2"/>
      <c r="D228" s="2"/>
      <c r="E228" s="2"/>
      <c r="F228" s="4"/>
      <c r="G228" s="2"/>
      <c r="H228" s="2"/>
      <c r="I228" s="2"/>
      <c r="J228" s="2"/>
      <c r="K228" s="5"/>
      <c r="L228" s="2"/>
      <c r="M228" s="2"/>
      <c r="N228" s="2"/>
      <c r="O228" s="2"/>
      <c r="P228" s="2"/>
      <c r="Q228" s="2"/>
      <c r="R228" s="7"/>
      <c r="S228" s="224"/>
      <c r="T228" s="224"/>
      <c r="U228" s="224"/>
      <c r="V228" s="224"/>
    </row>
    <row r="229">
      <c r="A229" s="33"/>
      <c r="B229" s="2"/>
      <c r="C229" s="2"/>
      <c r="D229" s="2"/>
      <c r="E229" s="2"/>
      <c r="F229" s="4"/>
      <c r="G229" s="2"/>
      <c r="H229" s="2"/>
      <c r="I229" s="2"/>
      <c r="J229" s="2"/>
      <c r="K229" s="5"/>
      <c r="L229" s="2"/>
      <c r="M229" s="2"/>
      <c r="N229" s="2"/>
      <c r="O229" s="2"/>
      <c r="P229" s="2"/>
      <c r="Q229" s="2"/>
      <c r="R229" s="7"/>
      <c r="S229" s="224"/>
      <c r="T229" s="224"/>
      <c r="U229" s="224"/>
      <c r="V229" s="224"/>
    </row>
    <row r="230">
      <c r="A230" s="33"/>
      <c r="B230" s="2"/>
      <c r="C230" s="2"/>
      <c r="D230" s="2"/>
      <c r="E230" s="2"/>
      <c r="F230" s="4"/>
      <c r="G230" s="2"/>
      <c r="H230" s="2"/>
      <c r="I230" s="2"/>
      <c r="J230" s="2"/>
      <c r="K230" s="5"/>
      <c r="L230" s="2"/>
      <c r="M230" s="2"/>
      <c r="N230" s="2"/>
      <c r="O230" s="2"/>
      <c r="P230" s="2"/>
      <c r="Q230" s="2"/>
      <c r="R230" s="7"/>
      <c r="S230" s="224"/>
      <c r="T230" s="224"/>
      <c r="U230" s="224"/>
      <c r="V230" s="224"/>
    </row>
    <row r="231">
      <c r="A231" s="33"/>
      <c r="B231" s="2"/>
      <c r="C231" s="2"/>
      <c r="D231" s="2"/>
      <c r="E231" s="2"/>
      <c r="F231" s="4"/>
      <c r="G231" s="2"/>
      <c r="H231" s="2"/>
      <c r="I231" s="2"/>
      <c r="J231" s="2"/>
      <c r="K231" s="5"/>
      <c r="L231" s="2"/>
      <c r="M231" s="2"/>
      <c r="N231" s="2"/>
      <c r="O231" s="2"/>
      <c r="P231" s="2"/>
      <c r="Q231" s="2"/>
      <c r="R231" s="7"/>
      <c r="S231" s="224"/>
      <c r="T231" s="224"/>
      <c r="U231" s="224"/>
      <c r="V231" s="224"/>
    </row>
    <row r="232">
      <c r="A232" s="33"/>
      <c r="B232" s="2"/>
      <c r="C232" s="2"/>
      <c r="D232" s="2"/>
      <c r="E232" s="2"/>
      <c r="F232" s="4"/>
      <c r="G232" s="2"/>
      <c r="H232" s="2"/>
      <c r="I232" s="2"/>
      <c r="J232" s="2"/>
      <c r="K232" s="5"/>
      <c r="L232" s="2"/>
      <c r="M232" s="2"/>
      <c r="N232" s="2"/>
      <c r="O232" s="2"/>
      <c r="P232" s="2"/>
      <c r="Q232" s="2"/>
      <c r="R232" s="7"/>
      <c r="S232" s="224"/>
      <c r="T232" s="224"/>
      <c r="U232" s="224"/>
      <c r="V232" s="224"/>
    </row>
    <row r="233">
      <c r="A233" s="33"/>
      <c r="B233" s="2"/>
      <c r="C233" s="2"/>
      <c r="D233" s="2"/>
      <c r="E233" s="2"/>
      <c r="F233" s="4"/>
      <c r="G233" s="2"/>
      <c r="H233" s="2"/>
      <c r="I233" s="2"/>
      <c r="J233" s="2"/>
      <c r="K233" s="5"/>
      <c r="L233" s="2"/>
      <c r="M233" s="2"/>
      <c r="N233" s="2"/>
      <c r="O233" s="2"/>
      <c r="P233" s="2"/>
      <c r="Q233" s="2"/>
      <c r="R233" s="7"/>
      <c r="S233" s="224"/>
      <c r="T233" s="224"/>
      <c r="U233" s="224"/>
      <c r="V233" s="224"/>
    </row>
    <row r="234">
      <c r="A234" s="33"/>
      <c r="B234" s="2"/>
      <c r="C234" s="2"/>
      <c r="D234" s="2"/>
      <c r="E234" s="2"/>
      <c r="F234" s="4"/>
      <c r="G234" s="2"/>
      <c r="H234" s="2"/>
      <c r="I234" s="2"/>
      <c r="J234" s="2"/>
      <c r="K234" s="5"/>
      <c r="L234" s="2"/>
      <c r="M234" s="2"/>
      <c r="N234" s="2"/>
      <c r="O234" s="2"/>
      <c r="P234" s="2"/>
      <c r="Q234" s="2"/>
      <c r="R234" s="7"/>
      <c r="S234" s="224"/>
      <c r="T234" s="224"/>
      <c r="U234" s="224"/>
      <c r="V234" s="224"/>
    </row>
    <row r="235">
      <c r="A235" s="33"/>
      <c r="B235" s="2"/>
      <c r="C235" s="2"/>
      <c r="D235" s="2"/>
      <c r="E235" s="2"/>
      <c r="F235" s="4"/>
      <c r="G235" s="2"/>
      <c r="H235" s="2"/>
      <c r="I235" s="2"/>
      <c r="J235" s="2"/>
      <c r="K235" s="5"/>
      <c r="L235" s="2"/>
      <c r="M235" s="2"/>
      <c r="N235" s="2"/>
      <c r="O235" s="2"/>
      <c r="P235" s="2"/>
      <c r="Q235" s="2"/>
      <c r="R235" s="7"/>
      <c r="S235" s="224"/>
      <c r="T235" s="224"/>
      <c r="U235" s="224"/>
      <c r="V235" s="224"/>
    </row>
    <row r="236">
      <c r="A236" s="33"/>
      <c r="B236" s="2"/>
      <c r="C236" s="2"/>
      <c r="D236" s="2"/>
      <c r="E236" s="2"/>
      <c r="F236" s="4"/>
      <c r="G236" s="2"/>
      <c r="H236" s="2"/>
      <c r="I236" s="2"/>
      <c r="J236" s="2"/>
      <c r="K236" s="5"/>
      <c r="L236" s="2"/>
      <c r="M236" s="2"/>
      <c r="N236" s="2"/>
      <c r="O236" s="2"/>
      <c r="P236" s="2"/>
      <c r="Q236" s="2"/>
      <c r="R236" s="7"/>
      <c r="S236" s="224"/>
      <c r="T236" s="224"/>
      <c r="U236" s="224"/>
      <c r="V236" s="224"/>
    </row>
    <row r="237">
      <c r="A237" s="33"/>
      <c r="B237" s="2"/>
      <c r="C237" s="2"/>
      <c r="D237" s="2"/>
      <c r="E237" s="2"/>
      <c r="F237" s="4"/>
      <c r="G237" s="2"/>
      <c r="H237" s="2"/>
      <c r="I237" s="2"/>
      <c r="J237" s="2"/>
      <c r="K237" s="5"/>
      <c r="L237" s="2"/>
      <c r="M237" s="2"/>
      <c r="N237" s="2"/>
      <c r="O237" s="2"/>
      <c r="P237" s="2"/>
      <c r="Q237" s="2"/>
      <c r="R237" s="7"/>
      <c r="S237" s="224"/>
      <c r="T237" s="224"/>
      <c r="U237" s="224"/>
      <c r="V237" s="224"/>
    </row>
    <row r="238">
      <c r="A238" s="33"/>
      <c r="B238" s="2"/>
      <c r="C238" s="2"/>
      <c r="D238" s="2"/>
      <c r="E238" s="2"/>
      <c r="F238" s="4"/>
      <c r="G238" s="2"/>
      <c r="H238" s="2"/>
      <c r="I238" s="2"/>
      <c r="J238" s="2"/>
      <c r="K238" s="5"/>
      <c r="L238" s="2"/>
      <c r="M238" s="2"/>
      <c r="N238" s="2"/>
      <c r="O238" s="2"/>
      <c r="P238" s="2"/>
      <c r="Q238" s="2"/>
      <c r="R238" s="7"/>
      <c r="S238" s="224"/>
      <c r="T238" s="224"/>
      <c r="U238" s="224"/>
      <c r="V238" s="224"/>
    </row>
    <row r="239">
      <c r="A239" s="33"/>
      <c r="B239" s="2"/>
      <c r="C239" s="2"/>
      <c r="D239" s="2"/>
      <c r="E239" s="2"/>
      <c r="F239" s="4"/>
      <c r="G239" s="2"/>
      <c r="H239" s="2"/>
      <c r="I239" s="2"/>
      <c r="J239" s="2"/>
      <c r="K239" s="5"/>
      <c r="L239" s="2"/>
      <c r="M239" s="2"/>
      <c r="N239" s="2"/>
      <c r="O239" s="2"/>
      <c r="P239" s="2"/>
      <c r="Q239" s="2"/>
      <c r="R239" s="7"/>
      <c r="S239" s="224"/>
      <c r="T239" s="224"/>
      <c r="U239" s="224"/>
      <c r="V239" s="224"/>
    </row>
    <row r="240">
      <c r="A240" s="33"/>
      <c r="B240" s="2"/>
      <c r="C240" s="2"/>
      <c r="D240" s="2"/>
      <c r="E240" s="2"/>
      <c r="F240" s="4"/>
      <c r="G240" s="2"/>
      <c r="H240" s="2"/>
      <c r="I240" s="2"/>
      <c r="J240" s="2"/>
      <c r="K240" s="5"/>
      <c r="L240" s="2"/>
      <c r="M240" s="2"/>
      <c r="N240" s="2"/>
      <c r="O240" s="2"/>
      <c r="P240" s="2"/>
      <c r="Q240" s="2"/>
      <c r="R240" s="7"/>
      <c r="S240" s="224"/>
      <c r="T240" s="224"/>
      <c r="U240" s="224"/>
      <c r="V240" s="224"/>
    </row>
    <row r="241">
      <c r="A241" s="33"/>
      <c r="B241" s="2"/>
      <c r="C241" s="2"/>
      <c r="D241" s="2"/>
      <c r="E241" s="2"/>
      <c r="F241" s="4"/>
      <c r="G241" s="2"/>
      <c r="H241" s="2"/>
      <c r="I241" s="2"/>
      <c r="J241" s="2"/>
      <c r="K241" s="5"/>
      <c r="L241" s="2"/>
      <c r="M241" s="2"/>
      <c r="N241" s="2"/>
      <c r="O241" s="2"/>
      <c r="P241" s="2"/>
      <c r="Q241" s="2"/>
      <c r="R241" s="7"/>
      <c r="S241" s="224"/>
      <c r="T241" s="224"/>
      <c r="U241" s="224"/>
      <c r="V241" s="224"/>
    </row>
    <row r="242">
      <c r="A242" s="33"/>
      <c r="B242" s="2"/>
      <c r="C242" s="2"/>
      <c r="D242" s="2"/>
      <c r="E242" s="2"/>
      <c r="F242" s="4"/>
      <c r="G242" s="2"/>
      <c r="H242" s="2"/>
      <c r="I242" s="2"/>
      <c r="J242" s="2"/>
      <c r="K242" s="5"/>
      <c r="L242" s="2"/>
      <c r="M242" s="2"/>
      <c r="N242" s="2"/>
      <c r="O242" s="2"/>
      <c r="P242" s="2"/>
      <c r="Q242" s="2"/>
      <c r="R242" s="7"/>
      <c r="S242" s="224"/>
      <c r="T242" s="224"/>
      <c r="U242" s="224"/>
      <c r="V242" s="224"/>
    </row>
    <row r="243">
      <c r="A243" s="33"/>
      <c r="B243" s="2"/>
      <c r="C243" s="2"/>
      <c r="D243" s="2"/>
      <c r="E243" s="2"/>
      <c r="F243" s="4"/>
      <c r="G243" s="2"/>
      <c r="H243" s="2"/>
      <c r="I243" s="2"/>
      <c r="J243" s="2"/>
      <c r="K243" s="5"/>
      <c r="L243" s="2"/>
      <c r="M243" s="2"/>
      <c r="N243" s="2"/>
      <c r="O243" s="2"/>
      <c r="P243" s="2"/>
      <c r="Q243" s="2"/>
      <c r="R243" s="7"/>
      <c r="S243" s="224"/>
      <c r="T243" s="224"/>
      <c r="U243" s="224"/>
      <c r="V243" s="224"/>
    </row>
    <row r="244">
      <c r="A244" s="33"/>
      <c r="B244" s="2"/>
      <c r="C244" s="2"/>
      <c r="D244" s="2"/>
      <c r="E244" s="2"/>
      <c r="F244" s="4"/>
      <c r="G244" s="2"/>
      <c r="H244" s="2"/>
      <c r="I244" s="2"/>
      <c r="J244" s="2"/>
      <c r="K244" s="5"/>
      <c r="L244" s="2"/>
      <c r="M244" s="2"/>
      <c r="N244" s="2"/>
      <c r="O244" s="2"/>
      <c r="P244" s="2"/>
      <c r="Q244" s="2"/>
      <c r="R244" s="7"/>
      <c r="S244" s="224"/>
      <c r="T244" s="224"/>
      <c r="U244" s="224"/>
      <c r="V244" s="224"/>
    </row>
    <row r="245">
      <c r="A245" s="33"/>
      <c r="B245" s="2"/>
      <c r="C245" s="2"/>
      <c r="D245" s="2"/>
      <c r="E245" s="2"/>
      <c r="F245" s="4"/>
      <c r="G245" s="2"/>
      <c r="H245" s="2"/>
      <c r="I245" s="2"/>
      <c r="J245" s="2"/>
      <c r="K245" s="5"/>
      <c r="L245" s="2"/>
      <c r="M245" s="2"/>
      <c r="N245" s="2"/>
      <c r="O245" s="2"/>
      <c r="P245" s="2"/>
      <c r="Q245" s="2"/>
      <c r="R245" s="7"/>
      <c r="S245" s="224"/>
      <c r="T245" s="224"/>
      <c r="U245" s="224"/>
      <c r="V245" s="224"/>
    </row>
    <row r="246">
      <c r="A246" s="33"/>
      <c r="B246" s="2"/>
      <c r="C246" s="2"/>
      <c r="D246" s="2"/>
      <c r="E246" s="2"/>
      <c r="F246" s="4"/>
      <c r="G246" s="2"/>
      <c r="H246" s="2"/>
      <c r="I246" s="2"/>
      <c r="J246" s="2"/>
      <c r="K246" s="5"/>
      <c r="L246" s="2"/>
      <c r="M246" s="2"/>
      <c r="N246" s="2"/>
      <c r="O246" s="2"/>
      <c r="P246" s="2"/>
      <c r="Q246" s="2"/>
      <c r="R246" s="7"/>
      <c r="S246" s="224"/>
      <c r="T246" s="224"/>
      <c r="U246" s="224"/>
      <c r="V246" s="224"/>
    </row>
    <row r="247">
      <c r="A247" s="33"/>
      <c r="B247" s="2"/>
      <c r="C247" s="2"/>
      <c r="D247" s="2"/>
      <c r="E247" s="2"/>
      <c r="F247" s="4"/>
      <c r="G247" s="2"/>
      <c r="H247" s="2"/>
      <c r="I247" s="2"/>
      <c r="J247" s="2"/>
      <c r="K247" s="5"/>
      <c r="L247" s="2"/>
      <c r="M247" s="2"/>
      <c r="N247" s="2"/>
      <c r="O247" s="2"/>
      <c r="P247" s="2"/>
      <c r="Q247" s="2"/>
      <c r="R247" s="7"/>
      <c r="S247" s="224"/>
      <c r="T247" s="224"/>
      <c r="U247" s="224"/>
      <c r="V247" s="224"/>
    </row>
    <row r="248">
      <c r="A248" s="33"/>
      <c r="B248" s="2"/>
      <c r="C248" s="2"/>
      <c r="D248" s="2"/>
      <c r="E248" s="2"/>
      <c r="F248" s="4"/>
      <c r="G248" s="2"/>
      <c r="H248" s="2"/>
      <c r="I248" s="2"/>
      <c r="J248" s="2"/>
      <c r="K248" s="5"/>
      <c r="L248" s="2"/>
      <c r="M248" s="2"/>
      <c r="N248" s="2"/>
      <c r="O248" s="2"/>
      <c r="P248" s="2"/>
      <c r="Q248" s="2"/>
      <c r="R248" s="7"/>
      <c r="S248" s="224"/>
      <c r="T248" s="224"/>
      <c r="U248" s="224"/>
      <c r="V248" s="224"/>
    </row>
    <row r="249">
      <c r="A249" s="33"/>
      <c r="B249" s="2"/>
      <c r="C249" s="2"/>
      <c r="D249" s="2"/>
      <c r="E249" s="2"/>
      <c r="F249" s="4"/>
      <c r="G249" s="2"/>
      <c r="H249" s="2"/>
      <c r="I249" s="2"/>
      <c r="J249" s="2"/>
      <c r="K249" s="5"/>
      <c r="L249" s="2"/>
      <c r="M249" s="2"/>
      <c r="N249" s="2"/>
      <c r="O249" s="2"/>
      <c r="P249" s="2"/>
      <c r="Q249" s="2"/>
      <c r="R249" s="7"/>
      <c r="S249" s="224"/>
      <c r="T249" s="224"/>
      <c r="U249" s="224"/>
      <c r="V249" s="224"/>
    </row>
    <row r="250">
      <c r="A250" s="33"/>
      <c r="B250" s="2"/>
      <c r="C250" s="2"/>
      <c r="D250" s="2"/>
      <c r="E250" s="2"/>
      <c r="F250" s="4"/>
      <c r="G250" s="2"/>
      <c r="H250" s="2"/>
      <c r="I250" s="2"/>
      <c r="J250" s="2"/>
      <c r="K250" s="5"/>
      <c r="L250" s="2"/>
      <c r="M250" s="2"/>
      <c r="N250" s="2"/>
      <c r="O250" s="2"/>
      <c r="P250" s="2"/>
      <c r="Q250" s="2"/>
      <c r="R250" s="7"/>
      <c r="S250" s="224"/>
      <c r="T250" s="224"/>
      <c r="U250" s="224"/>
      <c r="V250" s="224"/>
    </row>
    <row r="251">
      <c r="A251" s="33"/>
      <c r="B251" s="2"/>
      <c r="C251" s="2"/>
      <c r="D251" s="2"/>
      <c r="E251" s="2"/>
      <c r="F251" s="4"/>
      <c r="G251" s="2"/>
      <c r="H251" s="2"/>
      <c r="I251" s="2"/>
      <c r="J251" s="2"/>
      <c r="K251" s="5"/>
      <c r="L251" s="2"/>
      <c r="M251" s="2"/>
      <c r="N251" s="2"/>
      <c r="O251" s="2"/>
      <c r="P251" s="2"/>
      <c r="Q251" s="2"/>
      <c r="R251" s="7"/>
      <c r="S251" s="224"/>
      <c r="T251" s="224"/>
      <c r="U251" s="224"/>
      <c r="V251" s="224"/>
    </row>
    <row r="252">
      <c r="A252" s="33"/>
      <c r="B252" s="2"/>
      <c r="C252" s="2"/>
      <c r="D252" s="2"/>
      <c r="E252" s="2"/>
      <c r="F252" s="4"/>
      <c r="G252" s="2"/>
      <c r="H252" s="2"/>
      <c r="I252" s="2"/>
      <c r="J252" s="2"/>
      <c r="K252" s="5"/>
      <c r="L252" s="2"/>
      <c r="M252" s="2"/>
      <c r="N252" s="2"/>
      <c r="O252" s="2"/>
      <c r="P252" s="2"/>
      <c r="Q252" s="2"/>
      <c r="R252" s="7"/>
      <c r="S252" s="224"/>
      <c r="T252" s="224"/>
      <c r="U252" s="224"/>
      <c r="V252" s="224"/>
    </row>
    <row r="253">
      <c r="A253" s="33"/>
      <c r="B253" s="2"/>
      <c r="C253" s="2"/>
      <c r="D253" s="2"/>
      <c r="E253" s="2"/>
      <c r="F253" s="4"/>
      <c r="G253" s="2"/>
      <c r="H253" s="2"/>
      <c r="I253" s="2"/>
      <c r="J253" s="2"/>
      <c r="K253" s="5"/>
      <c r="L253" s="2"/>
      <c r="M253" s="2"/>
      <c r="N253" s="2"/>
      <c r="O253" s="2"/>
      <c r="P253" s="2"/>
      <c r="Q253" s="2"/>
      <c r="R253" s="7"/>
      <c r="S253" s="224"/>
      <c r="T253" s="224"/>
      <c r="U253" s="224"/>
      <c r="V253" s="224"/>
    </row>
    <row r="254">
      <c r="A254" s="33"/>
      <c r="B254" s="2"/>
      <c r="C254" s="2"/>
      <c r="D254" s="2"/>
      <c r="E254" s="2"/>
      <c r="F254" s="4"/>
      <c r="G254" s="2"/>
      <c r="H254" s="2"/>
      <c r="I254" s="2"/>
      <c r="J254" s="2"/>
      <c r="K254" s="5"/>
      <c r="L254" s="2"/>
      <c r="M254" s="2"/>
      <c r="N254" s="2"/>
      <c r="O254" s="2"/>
      <c r="P254" s="2"/>
      <c r="Q254" s="2"/>
      <c r="R254" s="7"/>
      <c r="S254" s="224"/>
      <c r="T254" s="224"/>
      <c r="U254" s="224"/>
      <c r="V254" s="224"/>
    </row>
    <row r="255">
      <c r="A255" s="33"/>
      <c r="B255" s="2"/>
      <c r="C255" s="2"/>
      <c r="D255" s="2"/>
      <c r="E255" s="2"/>
      <c r="F255" s="4"/>
      <c r="G255" s="2"/>
      <c r="H255" s="2"/>
      <c r="I255" s="2"/>
      <c r="J255" s="2"/>
      <c r="K255" s="5"/>
      <c r="L255" s="2"/>
      <c r="M255" s="2"/>
      <c r="N255" s="2"/>
      <c r="O255" s="2"/>
      <c r="P255" s="2"/>
      <c r="Q255" s="2"/>
      <c r="R255" s="7"/>
      <c r="S255" s="224"/>
      <c r="T255" s="224"/>
      <c r="U255" s="224"/>
      <c r="V255" s="224"/>
    </row>
    <row r="256">
      <c r="A256" s="33"/>
      <c r="B256" s="2"/>
      <c r="C256" s="2"/>
      <c r="D256" s="2"/>
      <c r="E256" s="2"/>
      <c r="F256" s="4"/>
      <c r="G256" s="2"/>
      <c r="H256" s="2"/>
      <c r="I256" s="2"/>
      <c r="J256" s="2"/>
      <c r="K256" s="5"/>
      <c r="L256" s="2"/>
      <c r="M256" s="2"/>
      <c r="N256" s="2"/>
      <c r="O256" s="2"/>
      <c r="P256" s="2"/>
      <c r="Q256" s="2"/>
      <c r="R256" s="7"/>
      <c r="S256" s="224"/>
      <c r="T256" s="224"/>
      <c r="U256" s="224"/>
      <c r="V256" s="224"/>
    </row>
    <row r="257">
      <c r="A257" s="33"/>
      <c r="B257" s="2"/>
      <c r="C257" s="2"/>
      <c r="D257" s="2"/>
      <c r="E257" s="2"/>
      <c r="F257" s="4"/>
      <c r="G257" s="2"/>
      <c r="H257" s="2"/>
      <c r="I257" s="2"/>
      <c r="J257" s="2"/>
      <c r="K257" s="5"/>
      <c r="L257" s="2"/>
      <c r="M257" s="2"/>
      <c r="N257" s="2"/>
      <c r="O257" s="2"/>
      <c r="P257" s="2"/>
      <c r="Q257" s="2"/>
      <c r="R257" s="7"/>
      <c r="S257" s="224"/>
      <c r="T257" s="224"/>
      <c r="U257" s="224"/>
      <c r="V257" s="224"/>
    </row>
    <row r="258">
      <c r="A258" s="33"/>
      <c r="B258" s="2"/>
      <c r="C258" s="2"/>
      <c r="D258" s="2"/>
      <c r="E258" s="2"/>
      <c r="F258" s="4"/>
      <c r="G258" s="2"/>
      <c r="H258" s="2"/>
      <c r="I258" s="2"/>
      <c r="J258" s="2"/>
      <c r="K258" s="5"/>
      <c r="L258" s="2"/>
      <c r="M258" s="2"/>
      <c r="N258" s="2"/>
      <c r="O258" s="2"/>
      <c r="P258" s="2"/>
      <c r="Q258" s="2"/>
      <c r="R258" s="7"/>
      <c r="S258" s="224"/>
      <c r="T258" s="224"/>
      <c r="U258" s="224"/>
      <c r="V258" s="224"/>
    </row>
    <row r="259">
      <c r="A259" s="33"/>
      <c r="B259" s="2"/>
      <c r="C259" s="2"/>
      <c r="D259" s="2"/>
      <c r="E259" s="2"/>
      <c r="F259" s="4"/>
      <c r="G259" s="2"/>
      <c r="H259" s="2"/>
      <c r="I259" s="2"/>
      <c r="J259" s="2"/>
      <c r="K259" s="5"/>
      <c r="L259" s="2"/>
      <c r="M259" s="2"/>
      <c r="N259" s="2"/>
      <c r="O259" s="2"/>
      <c r="P259" s="2"/>
      <c r="Q259" s="2"/>
      <c r="R259" s="7"/>
      <c r="S259" s="224"/>
      <c r="T259" s="224"/>
      <c r="U259" s="224"/>
      <c r="V259" s="224"/>
    </row>
    <row r="260">
      <c r="A260" s="33"/>
      <c r="B260" s="2"/>
      <c r="C260" s="2"/>
      <c r="D260" s="2"/>
      <c r="E260" s="2"/>
      <c r="F260" s="4"/>
      <c r="G260" s="2"/>
      <c r="H260" s="2"/>
      <c r="I260" s="2"/>
      <c r="J260" s="2"/>
      <c r="K260" s="5"/>
      <c r="L260" s="2"/>
      <c r="M260" s="2"/>
      <c r="N260" s="2"/>
      <c r="O260" s="2"/>
      <c r="P260" s="2"/>
      <c r="Q260" s="2"/>
      <c r="R260" s="7"/>
      <c r="S260" s="224"/>
      <c r="T260" s="224"/>
      <c r="U260" s="224"/>
      <c r="V260" s="224"/>
    </row>
    <row r="261">
      <c r="A261" s="33"/>
      <c r="B261" s="2"/>
      <c r="C261" s="2"/>
      <c r="D261" s="2"/>
      <c r="E261" s="2"/>
      <c r="F261" s="4"/>
      <c r="G261" s="2"/>
      <c r="H261" s="2"/>
      <c r="I261" s="2"/>
      <c r="J261" s="2"/>
      <c r="K261" s="5"/>
      <c r="L261" s="2"/>
      <c r="M261" s="2"/>
      <c r="N261" s="2"/>
      <c r="O261" s="2"/>
      <c r="P261" s="2"/>
      <c r="Q261" s="2"/>
      <c r="R261" s="7"/>
      <c r="S261" s="224"/>
      <c r="T261" s="224"/>
      <c r="U261" s="224"/>
      <c r="V261" s="224"/>
    </row>
    <row r="262">
      <c r="A262" s="33"/>
      <c r="B262" s="2"/>
      <c r="C262" s="2"/>
      <c r="D262" s="2"/>
      <c r="E262" s="2"/>
      <c r="F262" s="4"/>
      <c r="G262" s="2"/>
      <c r="H262" s="2"/>
      <c r="I262" s="2"/>
      <c r="J262" s="2"/>
      <c r="K262" s="5"/>
      <c r="L262" s="2"/>
      <c r="M262" s="2"/>
      <c r="N262" s="2"/>
      <c r="O262" s="2"/>
      <c r="P262" s="2"/>
      <c r="Q262" s="2"/>
      <c r="R262" s="7"/>
      <c r="S262" s="224"/>
      <c r="T262" s="224"/>
      <c r="U262" s="224"/>
      <c r="V262" s="224"/>
    </row>
    <row r="263">
      <c r="A263" s="33"/>
      <c r="B263" s="2"/>
      <c r="C263" s="2"/>
      <c r="D263" s="2"/>
      <c r="E263" s="2"/>
      <c r="F263" s="4"/>
      <c r="G263" s="2"/>
      <c r="H263" s="2"/>
      <c r="I263" s="2"/>
      <c r="J263" s="2"/>
      <c r="K263" s="5"/>
      <c r="L263" s="2"/>
      <c r="M263" s="2"/>
      <c r="N263" s="2"/>
      <c r="O263" s="2"/>
      <c r="P263" s="2"/>
      <c r="Q263" s="2"/>
      <c r="R263" s="7"/>
      <c r="S263" s="224"/>
      <c r="T263" s="224"/>
      <c r="U263" s="224"/>
      <c r="V263" s="224"/>
    </row>
    <row r="264">
      <c r="A264" s="33"/>
      <c r="B264" s="2"/>
      <c r="C264" s="2"/>
      <c r="D264" s="2"/>
      <c r="E264" s="2"/>
      <c r="F264" s="4"/>
      <c r="G264" s="2"/>
      <c r="H264" s="2"/>
      <c r="I264" s="2"/>
      <c r="J264" s="2"/>
      <c r="K264" s="5"/>
      <c r="L264" s="2"/>
      <c r="M264" s="2"/>
      <c r="N264" s="2"/>
      <c r="O264" s="2"/>
      <c r="P264" s="2"/>
      <c r="Q264" s="2"/>
      <c r="R264" s="7"/>
      <c r="S264" s="224"/>
      <c r="T264" s="224"/>
      <c r="U264" s="224"/>
      <c r="V264" s="224"/>
    </row>
    <row r="265">
      <c r="A265" s="33"/>
      <c r="B265" s="2"/>
      <c r="C265" s="2"/>
      <c r="D265" s="2"/>
      <c r="E265" s="2"/>
      <c r="F265" s="4"/>
      <c r="G265" s="2"/>
      <c r="H265" s="2"/>
      <c r="I265" s="2"/>
      <c r="J265" s="2"/>
      <c r="K265" s="5"/>
      <c r="L265" s="2"/>
      <c r="M265" s="2"/>
      <c r="N265" s="2"/>
      <c r="O265" s="2"/>
      <c r="P265" s="2"/>
      <c r="Q265" s="2"/>
      <c r="R265" s="7"/>
      <c r="S265" s="224"/>
      <c r="T265" s="224"/>
      <c r="U265" s="224"/>
      <c r="V265" s="224"/>
    </row>
    <row r="266">
      <c r="A266" s="33"/>
      <c r="B266" s="2"/>
      <c r="C266" s="2"/>
      <c r="D266" s="2"/>
      <c r="E266" s="2"/>
      <c r="F266" s="4"/>
      <c r="G266" s="2"/>
      <c r="H266" s="2"/>
      <c r="I266" s="2"/>
      <c r="J266" s="2"/>
      <c r="K266" s="5"/>
      <c r="L266" s="2"/>
      <c r="M266" s="2"/>
      <c r="N266" s="2"/>
      <c r="O266" s="2"/>
      <c r="P266" s="2"/>
      <c r="Q266" s="2"/>
      <c r="R266" s="7"/>
      <c r="S266" s="224"/>
      <c r="T266" s="224"/>
      <c r="U266" s="224"/>
      <c r="V266" s="224"/>
    </row>
    <row r="267">
      <c r="A267" s="33"/>
      <c r="B267" s="2"/>
      <c r="C267" s="2"/>
      <c r="D267" s="2"/>
      <c r="E267" s="2"/>
      <c r="F267" s="4"/>
      <c r="G267" s="2"/>
      <c r="H267" s="2"/>
      <c r="I267" s="2"/>
      <c r="J267" s="2"/>
      <c r="K267" s="5"/>
      <c r="L267" s="2"/>
      <c r="M267" s="2"/>
      <c r="N267" s="2"/>
      <c r="O267" s="2"/>
      <c r="P267" s="2"/>
      <c r="Q267" s="2"/>
      <c r="R267" s="7"/>
      <c r="S267" s="224"/>
      <c r="T267" s="224"/>
      <c r="U267" s="224"/>
      <c r="V267" s="224"/>
    </row>
    <row r="268">
      <c r="A268" s="33"/>
      <c r="B268" s="2"/>
      <c r="C268" s="2"/>
      <c r="D268" s="2"/>
      <c r="E268" s="2"/>
      <c r="F268" s="4"/>
      <c r="G268" s="2"/>
      <c r="H268" s="2"/>
      <c r="I268" s="2"/>
      <c r="J268" s="2"/>
      <c r="K268" s="5"/>
      <c r="L268" s="2"/>
      <c r="M268" s="2"/>
      <c r="N268" s="2"/>
      <c r="O268" s="2"/>
      <c r="P268" s="2"/>
      <c r="Q268" s="2"/>
      <c r="R268" s="7"/>
      <c r="S268" s="224"/>
      <c r="T268" s="224"/>
      <c r="U268" s="224"/>
      <c r="V268" s="224"/>
    </row>
    <row r="269">
      <c r="A269" s="33"/>
      <c r="B269" s="2"/>
      <c r="C269" s="2"/>
      <c r="D269" s="2"/>
      <c r="E269" s="2"/>
      <c r="F269" s="4"/>
      <c r="G269" s="2"/>
      <c r="H269" s="2"/>
      <c r="I269" s="2"/>
      <c r="J269" s="2"/>
      <c r="K269" s="5"/>
      <c r="L269" s="2"/>
      <c r="M269" s="2"/>
      <c r="N269" s="2"/>
      <c r="O269" s="2"/>
      <c r="P269" s="2"/>
      <c r="Q269" s="2"/>
      <c r="R269" s="7"/>
      <c r="S269" s="224"/>
      <c r="T269" s="224"/>
      <c r="U269" s="224"/>
      <c r="V269" s="224"/>
    </row>
    <row r="270">
      <c r="A270" s="33"/>
      <c r="B270" s="2"/>
      <c r="C270" s="2"/>
      <c r="D270" s="2"/>
      <c r="E270" s="2"/>
      <c r="F270" s="4"/>
      <c r="G270" s="2"/>
      <c r="H270" s="2"/>
      <c r="I270" s="2"/>
      <c r="J270" s="2"/>
      <c r="K270" s="5"/>
      <c r="L270" s="2"/>
      <c r="M270" s="2"/>
      <c r="N270" s="2"/>
      <c r="O270" s="2"/>
      <c r="P270" s="2"/>
      <c r="Q270" s="2"/>
      <c r="R270" s="7"/>
      <c r="S270" s="224"/>
      <c r="T270" s="224"/>
      <c r="U270" s="224"/>
      <c r="V270" s="224"/>
    </row>
    <row r="271">
      <c r="A271" s="33"/>
      <c r="B271" s="2"/>
      <c r="C271" s="2"/>
      <c r="D271" s="2"/>
      <c r="E271" s="2"/>
      <c r="F271" s="4"/>
      <c r="G271" s="2"/>
      <c r="H271" s="2"/>
      <c r="I271" s="2"/>
      <c r="J271" s="2"/>
      <c r="K271" s="5"/>
      <c r="L271" s="2"/>
      <c r="M271" s="2"/>
      <c r="N271" s="2"/>
      <c r="O271" s="2"/>
      <c r="P271" s="2"/>
      <c r="Q271" s="2"/>
      <c r="R271" s="7"/>
      <c r="S271" s="224"/>
      <c r="T271" s="224"/>
      <c r="U271" s="224"/>
      <c r="V271" s="224"/>
    </row>
    <row r="272">
      <c r="A272" s="33"/>
      <c r="B272" s="2"/>
      <c r="C272" s="2"/>
      <c r="D272" s="2"/>
      <c r="E272" s="2"/>
      <c r="F272" s="4"/>
      <c r="G272" s="2"/>
      <c r="H272" s="2"/>
      <c r="I272" s="2"/>
      <c r="J272" s="2"/>
      <c r="K272" s="5"/>
      <c r="L272" s="2"/>
      <c r="M272" s="2"/>
      <c r="N272" s="2"/>
      <c r="O272" s="2"/>
      <c r="P272" s="2"/>
      <c r="Q272" s="2"/>
      <c r="R272" s="7"/>
      <c r="S272" s="224"/>
      <c r="T272" s="224"/>
      <c r="U272" s="224"/>
      <c r="V272" s="224"/>
    </row>
    <row r="273">
      <c r="A273" s="33"/>
      <c r="B273" s="2"/>
      <c r="C273" s="2"/>
      <c r="D273" s="2"/>
      <c r="E273" s="2"/>
      <c r="F273" s="4"/>
      <c r="G273" s="2"/>
      <c r="H273" s="2"/>
      <c r="I273" s="2"/>
      <c r="J273" s="2"/>
      <c r="K273" s="5"/>
      <c r="L273" s="2"/>
      <c r="M273" s="2"/>
      <c r="N273" s="2"/>
      <c r="O273" s="2"/>
      <c r="P273" s="2"/>
      <c r="Q273" s="2"/>
      <c r="R273" s="7"/>
      <c r="S273" s="224"/>
      <c r="T273" s="224"/>
      <c r="U273" s="224"/>
      <c r="V273" s="224"/>
    </row>
    <row r="274">
      <c r="A274" s="33"/>
      <c r="B274" s="2"/>
      <c r="C274" s="2"/>
      <c r="D274" s="2"/>
      <c r="E274" s="2"/>
      <c r="F274" s="4"/>
      <c r="G274" s="2"/>
      <c r="H274" s="2"/>
      <c r="I274" s="2"/>
      <c r="J274" s="2"/>
      <c r="K274" s="5"/>
      <c r="L274" s="2"/>
      <c r="M274" s="2"/>
      <c r="N274" s="2"/>
      <c r="O274" s="2"/>
      <c r="P274" s="2"/>
      <c r="Q274" s="2"/>
      <c r="R274" s="7"/>
      <c r="S274" s="224"/>
      <c r="T274" s="224"/>
      <c r="U274" s="224"/>
      <c r="V274" s="224"/>
    </row>
    <row r="275">
      <c r="A275" s="33"/>
      <c r="B275" s="2"/>
      <c r="C275" s="2"/>
      <c r="D275" s="2"/>
      <c r="E275" s="2"/>
      <c r="F275" s="4"/>
      <c r="G275" s="2"/>
      <c r="H275" s="2"/>
      <c r="I275" s="2"/>
      <c r="J275" s="2"/>
      <c r="K275" s="5"/>
      <c r="L275" s="2"/>
      <c r="M275" s="2"/>
      <c r="N275" s="2"/>
      <c r="O275" s="2"/>
      <c r="P275" s="2"/>
      <c r="Q275" s="2"/>
      <c r="R275" s="7"/>
      <c r="S275" s="224"/>
      <c r="T275" s="224"/>
      <c r="U275" s="224"/>
      <c r="V275" s="224"/>
    </row>
    <row r="276">
      <c r="A276" s="33"/>
      <c r="B276" s="2"/>
      <c r="C276" s="2"/>
      <c r="D276" s="2"/>
      <c r="E276" s="2"/>
      <c r="F276" s="4"/>
      <c r="G276" s="2"/>
      <c r="H276" s="2"/>
      <c r="I276" s="2"/>
      <c r="J276" s="2"/>
      <c r="K276" s="5"/>
      <c r="L276" s="2"/>
      <c r="M276" s="2"/>
      <c r="N276" s="2"/>
      <c r="O276" s="2"/>
      <c r="P276" s="2"/>
      <c r="Q276" s="2"/>
      <c r="R276" s="7"/>
      <c r="S276" s="224"/>
      <c r="T276" s="224"/>
      <c r="U276" s="224"/>
      <c r="V276" s="224"/>
    </row>
    <row r="277">
      <c r="A277" s="33"/>
      <c r="B277" s="2"/>
      <c r="C277" s="2"/>
      <c r="D277" s="2"/>
      <c r="E277" s="2"/>
      <c r="F277" s="4"/>
      <c r="G277" s="2"/>
      <c r="H277" s="2"/>
      <c r="I277" s="2"/>
      <c r="J277" s="2"/>
      <c r="K277" s="5"/>
      <c r="L277" s="2"/>
      <c r="M277" s="2"/>
      <c r="N277" s="2"/>
      <c r="O277" s="2"/>
      <c r="P277" s="2"/>
      <c r="Q277" s="2"/>
      <c r="R277" s="7"/>
      <c r="S277" s="224"/>
      <c r="T277" s="224"/>
      <c r="U277" s="224"/>
      <c r="V277" s="224"/>
    </row>
    <row r="278">
      <c r="A278" s="33"/>
      <c r="B278" s="2"/>
      <c r="C278" s="2"/>
      <c r="D278" s="2"/>
      <c r="E278" s="2"/>
      <c r="F278" s="4"/>
      <c r="G278" s="2"/>
      <c r="H278" s="2"/>
      <c r="I278" s="2"/>
      <c r="J278" s="2"/>
      <c r="K278" s="5"/>
      <c r="L278" s="2"/>
      <c r="M278" s="2"/>
      <c r="N278" s="2"/>
      <c r="O278" s="2"/>
      <c r="P278" s="2"/>
      <c r="Q278" s="2"/>
      <c r="R278" s="7"/>
      <c r="S278" s="224"/>
      <c r="T278" s="224"/>
      <c r="U278" s="224"/>
      <c r="V278" s="224"/>
    </row>
    <row r="279">
      <c r="A279" s="33"/>
      <c r="B279" s="2"/>
      <c r="C279" s="2"/>
      <c r="D279" s="2"/>
      <c r="E279" s="2"/>
      <c r="F279" s="4"/>
      <c r="G279" s="2"/>
      <c r="H279" s="2"/>
      <c r="I279" s="2"/>
      <c r="J279" s="2"/>
      <c r="K279" s="5"/>
      <c r="L279" s="2"/>
      <c r="M279" s="2"/>
      <c r="N279" s="2"/>
      <c r="O279" s="2"/>
      <c r="P279" s="2"/>
      <c r="Q279" s="2"/>
      <c r="R279" s="7"/>
      <c r="S279" s="224"/>
      <c r="T279" s="224"/>
      <c r="U279" s="224"/>
      <c r="V279" s="224"/>
    </row>
    <row r="280">
      <c r="A280" s="33"/>
      <c r="B280" s="2"/>
      <c r="C280" s="2"/>
      <c r="D280" s="2"/>
      <c r="E280" s="2"/>
      <c r="F280" s="4"/>
      <c r="G280" s="2"/>
      <c r="H280" s="2"/>
      <c r="I280" s="2"/>
      <c r="J280" s="2"/>
      <c r="K280" s="5"/>
      <c r="L280" s="2"/>
      <c r="M280" s="2"/>
      <c r="N280" s="2"/>
      <c r="O280" s="2"/>
      <c r="P280" s="2"/>
      <c r="Q280" s="2"/>
      <c r="R280" s="7"/>
      <c r="S280" s="224"/>
      <c r="T280" s="224"/>
      <c r="U280" s="224"/>
      <c r="V280" s="224"/>
    </row>
    <row r="281">
      <c r="A281" s="33"/>
      <c r="B281" s="2"/>
      <c r="C281" s="2"/>
      <c r="D281" s="2"/>
      <c r="E281" s="2"/>
      <c r="F281" s="4"/>
      <c r="G281" s="2"/>
      <c r="H281" s="2"/>
      <c r="I281" s="2"/>
      <c r="J281" s="2"/>
      <c r="K281" s="5"/>
      <c r="L281" s="2"/>
      <c r="M281" s="2"/>
      <c r="N281" s="2"/>
      <c r="O281" s="2"/>
      <c r="P281" s="2"/>
      <c r="Q281" s="2"/>
      <c r="R281" s="7"/>
      <c r="S281" s="224"/>
      <c r="T281" s="224"/>
      <c r="U281" s="224"/>
      <c r="V281" s="224"/>
    </row>
    <row r="282">
      <c r="A282" s="33"/>
      <c r="B282" s="2"/>
      <c r="C282" s="2"/>
      <c r="D282" s="2"/>
      <c r="E282" s="2"/>
      <c r="F282" s="4"/>
      <c r="G282" s="2"/>
      <c r="H282" s="2"/>
      <c r="I282" s="2"/>
      <c r="J282" s="2"/>
      <c r="K282" s="5"/>
      <c r="L282" s="2"/>
      <c r="M282" s="2"/>
      <c r="N282" s="2"/>
      <c r="O282" s="2"/>
      <c r="P282" s="2"/>
      <c r="Q282" s="2"/>
      <c r="R282" s="7"/>
      <c r="S282" s="224"/>
      <c r="T282" s="224"/>
      <c r="U282" s="224"/>
      <c r="V282" s="224"/>
    </row>
    <row r="283">
      <c r="A283" s="33"/>
      <c r="B283" s="2"/>
      <c r="C283" s="2"/>
      <c r="D283" s="2"/>
      <c r="E283" s="2"/>
      <c r="F283" s="4"/>
      <c r="G283" s="2"/>
      <c r="H283" s="2"/>
      <c r="I283" s="2"/>
      <c r="J283" s="2"/>
      <c r="K283" s="5"/>
      <c r="L283" s="2"/>
      <c r="M283" s="2"/>
      <c r="N283" s="2"/>
      <c r="O283" s="2"/>
      <c r="P283" s="2"/>
      <c r="Q283" s="2"/>
      <c r="R283" s="7"/>
      <c r="S283" s="224"/>
      <c r="T283" s="224"/>
      <c r="U283" s="224"/>
      <c r="V283" s="224"/>
    </row>
    <row r="284">
      <c r="A284" s="33"/>
      <c r="B284" s="2"/>
      <c r="C284" s="2"/>
      <c r="D284" s="2"/>
      <c r="E284" s="2"/>
      <c r="F284" s="4"/>
      <c r="G284" s="2"/>
      <c r="H284" s="2"/>
      <c r="I284" s="2"/>
      <c r="J284" s="2"/>
      <c r="K284" s="5"/>
      <c r="L284" s="2"/>
      <c r="M284" s="2"/>
      <c r="N284" s="2"/>
      <c r="O284" s="2"/>
      <c r="P284" s="2"/>
      <c r="Q284" s="2"/>
      <c r="R284" s="7"/>
      <c r="S284" s="224"/>
      <c r="T284" s="224"/>
      <c r="U284" s="224"/>
      <c r="V284" s="224"/>
    </row>
    <row r="285">
      <c r="A285" s="33"/>
      <c r="B285" s="2"/>
      <c r="C285" s="2"/>
      <c r="D285" s="2"/>
      <c r="E285" s="2"/>
      <c r="F285" s="4"/>
      <c r="G285" s="2"/>
      <c r="H285" s="2"/>
      <c r="I285" s="2"/>
      <c r="J285" s="2"/>
      <c r="K285" s="5"/>
      <c r="L285" s="2"/>
      <c r="M285" s="2"/>
      <c r="N285" s="2"/>
      <c r="O285" s="2"/>
      <c r="P285" s="2"/>
      <c r="Q285" s="2"/>
      <c r="R285" s="7"/>
      <c r="S285" s="224"/>
      <c r="T285" s="224"/>
      <c r="U285" s="224"/>
      <c r="V285" s="224"/>
    </row>
    <row r="286">
      <c r="A286" s="33"/>
      <c r="B286" s="2"/>
      <c r="C286" s="2"/>
      <c r="D286" s="2"/>
      <c r="E286" s="2"/>
      <c r="F286" s="4"/>
      <c r="G286" s="2"/>
      <c r="H286" s="2"/>
      <c r="I286" s="2"/>
      <c r="J286" s="2"/>
      <c r="K286" s="5"/>
      <c r="L286" s="2"/>
      <c r="M286" s="2"/>
      <c r="N286" s="2"/>
      <c r="O286" s="2"/>
      <c r="P286" s="2"/>
      <c r="Q286" s="2"/>
      <c r="R286" s="7"/>
      <c r="S286" s="224"/>
      <c r="T286" s="224"/>
      <c r="U286" s="224"/>
      <c r="V286" s="224"/>
    </row>
    <row r="287">
      <c r="A287" s="33"/>
      <c r="B287" s="2"/>
      <c r="C287" s="2"/>
      <c r="D287" s="2"/>
      <c r="E287" s="2"/>
      <c r="F287" s="4"/>
      <c r="G287" s="2"/>
      <c r="H287" s="2"/>
      <c r="I287" s="2"/>
      <c r="J287" s="2"/>
      <c r="K287" s="5"/>
      <c r="L287" s="2"/>
      <c r="M287" s="2"/>
      <c r="N287" s="2"/>
      <c r="O287" s="2"/>
      <c r="P287" s="2"/>
      <c r="Q287" s="2"/>
      <c r="R287" s="7"/>
      <c r="S287" s="224"/>
      <c r="T287" s="224"/>
      <c r="U287" s="224"/>
      <c r="V287" s="224"/>
    </row>
    <row r="288">
      <c r="A288" s="33"/>
      <c r="B288" s="2"/>
      <c r="C288" s="2"/>
      <c r="D288" s="2"/>
      <c r="E288" s="2"/>
      <c r="F288" s="4"/>
      <c r="G288" s="2"/>
      <c r="H288" s="2"/>
      <c r="I288" s="2"/>
      <c r="J288" s="2"/>
      <c r="K288" s="5"/>
      <c r="L288" s="2"/>
      <c r="M288" s="2"/>
      <c r="N288" s="2"/>
      <c r="O288" s="2"/>
      <c r="P288" s="2"/>
      <c r="Q288" s="2"/>
      <c r="R288" s="7"/>
      <c r="S288" s="224"/>
      <c r="T288" s="224"/>
      <c r="U288" s="224"/>
      <c r="V288" s="224"/>
    </row>
    <row r="289">
      <c r="A289" s="33"/>
      <c r="B289" s="2"/>
      <c r="C289" s="2"/>
      <c r="D289" s="2"/>
      <c r="E289" s="2"/>
      <c r="F289" s="4"/>
      <c r="G289" s="2"/>
      <c r="H289" s="2"/>
      <c r="I289" s="2"/>
      <c r="J289" s="2"/>
      <c r="K289" s="5"/>
      <c r="L289" s="2"/>
      <c r="M289" s="2"/>
      <c r="N289" s="2"/>
      <c r="O289" s="2"/>
      <c r="P289" s="2"/>
      <c r="Q289" s="2"/>
      <c r="R289" s="7"/>
      <c r="S289" s="224"/>
      <c r="T289" s="224"/>
      <c r="U289" s="224"/>
      <c r="V289" s="224"/>
    </row>
    <row r="290">
      <c r="A290" s="33"/>
      <c r="B290" s="2"/>
      <c r="C290" s="2"/>
      <c r="D290" s="2"/>
      <c r="E290" s="2"/>
      <c r="F290" s="4"/>
      <c r="G290" s="2"/>
      <c r="H290" s="2"/>
      <c r="I290" s="2"/>
      <c r="J290" s="2"/>
      <c r="K290" s="5"/>
      <c r="L290" s="2"/>
      <c r="M290" s="2"/>
      <c r="N290" s="2"/>
      <c r="O290" s="2"/>
      <c r="P290" s="2"/>
      <c r="Q290" s="2"/>
      <c r="R290" s="7"/>
      <c r="S290" s="224"/>
      <c r="T290" s="224"/>
      <c r="U290" s="224"/>
      <c r="V290" s="224"/>
    </row>
    <row r="291">
      <c r="A291" s="33"/>
      <c r="B291" s="2"/>
      <c r="C291" s="2"/>
      <c r="D291" s="2"/>
      <c r="E291" s="2"/>
      <c r="F291" s="4"/>
      <c r="G291" s="2"/>
      <c r="H291" s="2"/>
      <c r="I291" s="2"/>
      <c r="J291" s="2"/>
      <c r="K291" s="5"/>
      <c r="L291" s="2"/>
      <c r="M291" s="2"/>
      <c r="N291" s="2"/>
      <c r="O291" s="2"/>
      <c r="P291" s="2"/>
      <c r="Q291" s="2"/>
      <c r="R291" s="7"/>
      <c r="S291" s="224"/>
      <c r="T291" s="224"/>
      <c r="U291" s="224"/>
      <c r="V291" s="224"/>
    </row>
    <row r="292">
      <c r="A292" s="33"/>
      <c r="B292" s="2"/>
      <c r="C292" s="2"/>
      <c r="D292" s="2"/>
      <c r="E292" s="2"/>
      <c r="F292" s="4"/>
      <c r="G292" s="2"/>
      <c r="H292" s="2"/>
      <c r="I292" s="2"/>
      <c r="J292" s="2"/>
      <c r="K292" s="5"/>
      <c r="L292" s="2"/>
      <c r="M292" s="2"/>
      <c r="N292" s="2"/>
      <c r="O292" s="2"/>
      <c r="P292" s="2"/>
      <c r="Q292" s="2"/>
      <c r="R292" s="7"/>
      <c r="S292" s="224"/>
      <c r="T292" s="224"/>
      <c r="U292" s="224"/>
      <c r="V292" s="224"/>
    </row>
    <row r="293">
      <c r="A293" s="33"/>
      <c r="B293" s="2"/>
      <c r="C293" s="2"/>
      <c r="D293" s="2"/>
      <c r="E293" s="2"/>
      <c r="F293" s="4"/>
      <c r="G293" s="2"/>
      <c r="H293" s="2"/>
      <c r="I293" s="2"/>
      <c r="J293" s="2"/>
      <c r="K293" s="5"/>
      <c r="L293" s="2"/>
      <c r="M293" s="2"/>
      <c r="N293" s="2"/>
      <c r="O293" s="2"/>
      <c r="P293" s="2"/>
      <c r="Q293" s="2"/>
      <c r="R293" s="7"/>
      <c r="S293" s="224"/>
      <c r="T293" s="224"/>
      <c r="U293" s="224"/>
      <c r="V293" s="224"/>
    </row>
    <row r="294">
      <c r="A294" s="33"/>
      <c r="B294" s="2"/>
      <c r="C294" s="2"/>
      <c r="D294" s="2"/>
      <c r="E294" s="2"/>
      <c r="F294" s="4"/>
      <c r="G294" s="2"/>
      <c r="H294" s="2"/>
      <c r="I294" s="2"/>
      <c r="J294" s="2"/>
      <c r="K294" s="5"/>
      <c r="L294" s="2"/>
      <c r="M294" s="2"/>
      <c r="N294" s="2"/>
      <c r="O294" s="2"/>
      <c r="P294" s="2"/>
      <c r="Q294" s="2"/>
      <c r="R294" s="7"/>
      <c r="S294" s="224"/>
      <c r="T294" s="224"/>
      <c r="U294" s="224"/>
      <c r="V294" s="224"/>
    </row>
    <row r="295">
      <c r="A295" s="33"/>
      <c r="B295" s="2"/>
      <c r="C295" s="2"/>
      <c r="D295" s="2"/>
      <c r="E295" s="2"/>
      <c r="F295" s="4"/>
      <c r="G295" s="2"/>
      <c r="H295" s="2"/>
      <c r="I295" s="2"/>
      <c r="J295" s="2"/>
      <c r="K295" s="5"/>
      <c r="L295" s="2"/>
      <c r="M295" s="2"/>
      <c r="N295" s="2"/>
      <c r="O295" s="2"/>
      <c r="P295" s="2"/>
      <c r="Q295" s="2"/>
      <c r="R295" s="7"/>
      <c r="S295" s="224"/>
      <c r="T295" s="224"/>
      <c r="U295" s="224"/>
      <c r="V295" s="224"/>
    </row>
    <row r="296">
      <c r="A296" s="33"/>
      <c r="B296" s="2"/>
      <c r="C296" s="2"/>
      <c r="D296" s="2"/>
      <c r="E296" s="2"/>
      <c r="F296" s="4"/>
      <c r="G296" s="2"/>
      <c r="H296" s="2"/>
      <c r="I296" s="2"/>
      <c r="J296" s="2"/>
      <c r="K296" s="5"/>
      <c r="L296" s="2"/>
      <c r="M296" s="2"/>
      <c r="N296" s="2"/>
      <c r="O296" s="2"/>
      <c r="P296" s="2"/>
      <c r="Q296" s="2"/>
      <c r="R296" s="7"/>
      <c r="S296" s="224"/>
      <c r="T296" s="224"/>
      <c r="U296" s="224"/>
      <c r="V296" s="224"/>
    </row>
    <row r="297">
      <c r="A297" s="33"/>
      <c r="B297" s="2"/>
      <c r="C297" s="2"/>
      <c r="D297" s="2"/>
      <c r="E297" s="2"/>
      <c r="F297" s="4"/>
      <c r="G297" s="2"/>
      <c r="H297" s="2"/>
      <c r="I297" s="2"/>
      <c r="J297" s="2"/>
      <c r="K297" s="5"/>
      <c r="L297" s="2"/>
      <c r="M297" s="2"/>
      <c r="N297" s="2"/>
      <c r="O297" s="2"/>
      <c r="P297" s="2"/>
      <c r="Q297" s="2"/>
      <c r="R297" s="7"/>
      <c r="S297" s="224"/>
      <c r="T297" s="224"/>
      <c r="U297" s="224"/>
      <c r="V297" s="224"/>
    </row>
    <row r="298">
      <c r="A298" s="33"/>
      <c r="B298" s="2"/>
      <c r="C298" s="2"/>
      <c r="D298" s="2"/>
      <c r="E298" s="2"/>
      <c r="F298" s="4"/>
      <c r="G298" s="2"/>
      <c r="H298" s="2"/>
      <c r="I298" s="2"/>
      <c r="J298" s="2"/>
      <c r="K298" s="5"/>
      <c r="L298" s="2"/>
      <c r="M298" s="2"/>
      <c r="N298" s="2"/>
      <c r="O298" s="2"/>
      <c r="P298" s="2"/>
      <c r="Q298" s="2"/>
      <c r="R298" s="7"/>
      <c r="S298" s="224"/>
      <c r="T298" s="224"/>
      <c r="U298" s="224"/>
      <c r="V298" s="224"/>
    </row>
    <row r="299">
      <c r="A299" s="33"/>
      <c r="B299" s="2"/>
      <c r="C299" s="2"/>
      <c r="D299" s="2"/>
      <c r="E299" s="2"/>
      <c r="F299" s="4"/>
      <c r="G299" s="2"/>
      <c r="H299" s="2"/>
      <c r="I299" s="2"/>
      <c r="J299" s="2"/>
      <c r="K299" s="5"/>
      <c r="L299" s="2"/>
      <c r="M299" s="2"/>
      <c r="N299" s="2"/>
      <c r="O299" s="2"/>
      <c r="P299" s="2"/>
      <c r="Q299" s="2"/>
      <c r="R299" s="7"/>
      <c r="S299" s="224"/>
      <c r="T299" s="224"/>
      <c r="U299" s="224"/>
      <c r="V299" s="224"/>
    </row>
    <row r="300">
      <c r="A300" s="33"/>
      <c r="B300" s="2"/>
      <c r="C300" s="2"/>
      <c r="D300" s="2"/>
      <c r="E300" s="2"/>
      <c r="F300" s="4"/>
      <c r="G300" s="2"/>
      <c r="H300" s="2"/>
      <c r="I300" s="2"/>
      <c r="J300" s="2"/>
      <c r="K300" s="5"/>
      <c r="L300" s="2"/>
      <c r="M300" s="2"/>
      <c r="N300" s="2"/>
      <c r="O300" s="2"/>
      <c r="P300" s="2"/>
      <c r="Q300" s="2"/>
      <c r="R300" s="7"/>
      <c r="S300" s="224"/>
      <c r="T300" s="224"/>
      <c r="U300" s="224"/>
      <c r="V300" s="224"/>
    </row>
    <row r="301">
      <c r="A301" s="33"/>
      <c r="B301" s="2"/>
      <c r="C301" s="2"/>
      <c r="D301" s="2"/>
      <c r="E301" s="2"/>
      <c r="F301" s="4"/>
      <c r="G301" s="2"/>
      <c r="H301" s="2"/>
      <c r="I301" s="2"/>
      <c r="J301" s="2"/>
      <c r="K301" s="5"/>
      <c r="L301" s="2"/>
      <c r="M301" s="2"/>
      <c r="N301" s="2"/>
      <c r="O301" s="2"/>
      <c r="P301" s="2"/>
      <c r="Q301" s="2"/>
      <c r="R301" s="7"/>
      <c r="S301" s="224"/>
      <c r="T301" s="224"/>
      <c r="U301" s="224"/>
      <c r="V301" s="224"/>
    </row>
    <row r="302">
      <c r="A302" s="33"/>
      <c r="B302" s="2"/>
      <c r="C302" s="2"/>
      <c r="D302" s="2"/>
      <c r="E302" s="2"/>
      <c r="F302" s="4"/>
      <c r="G302" s="2"/>
      <c r="H302" s="2"/>
      <c r="I302" s="2"/>
      <c r="J302" s="2"/>
      <c r="K302" s="5"/>
      <c r="L302" s="2"/>
      <c r="M302" s="2"/>
      <c r="N302" s="2"/>
      <c r="O302" s="2"/>
      <c r="P302" s="2"/>
      <c r="Q302" s="2"/>
      <c r="R302" s="7"/>
      <c r="S302" s="224"/>
      <c r="T302" s="224"/>
      <c r="U302" s="224"/>
      <c r="V302" s="224"/>
    </row>
    <row r="303">
      <c r="A303" s="33"/>
      <c r="B303" s="2"/>
      <c r="C303" s="2"/>
      <c r="D303" s="2"/>
      <c r="E303" s="2"/>
      <c r="F303" s="4"/>
      <c r="G303" s="2"/>
      <c r="H303" s="2"/>
      <c r="I303" s="2"/>
      <c r="J303" s="2"/>
      <c r="K303" s="5"/>
      <c r="L303" s="2"/>
      <c r="M303" s="2"/>
      <c r="N303" s="2"/>
      <c r="O303" s="2"/>
      <c r="P303" s="2"/>
      <c r="Q303" s="2"/>
      <c r="R303" s="7"/>
      <c r="S303" s="224"/>
      <c r="T303" s="224"/>
      <c r="U303" s="224"/>
      <c r="V303" s="224"/>
    </row>
    <row r="304">
      <c r="A304" s="33"/>
      <c r="B304" s="2"/>
      <c r="C304" s="2"/>
      <c r="D304" s="2"/>
      <c r="E304" s="2"/>
      <c r="F304" s="4"/>
      <c r="G304" s="2"/>
      <c r="H304" s="2"/>
      <c r="I304" s="2"/>
      <c r="J304" s="2"/>
      <c r="K304" s="5"/>
      <c r="L304" s="2"/>
      <c r="M304" s="2"/>
      <c r="N304" s="2"/>
      <c r="O304" s="2"/>
      <c r="P304" s="2"/>
      <c r="Q304" s="2"/>
      <c r="R304" s="7"/>
      <c r="S304" s="224"/>
      <c r="T304" s="224"/>
      <c r="U304" s="224"/>
      <c r="V304" s="224"/>
    </row>
    <row r="305">
      <c r="A305" s="33"/>
      <c r="B305" s="2"/>
      <c r="C305" s="2"/>
      <c r="D305" s="2"/>
      <c r="E305" s="2"/>
      <c r="F305" s="4"/>
      <c r="G305" s="2"/>
      <c r="H305" s="2"/>
      <c r="I305" s="2"/>
      <c r="J305" s="2"/>
      <c r="K305" s="5"/>
      <c r="L305" s="2"/>
      <c r="M305" s="2"/>
      <c r="N305" s="2"/>
      <c r="O305" s="2"/>
      <c r="P305" s="2"/>
      <c r="Q305" s="2"/>
      <c r="R305" s="7"/>
      <c r="S305" s="224"/>
      <c r="T305" s="224"/>
      <c r="U305" s="224"/>
      <c r="V305" s="224"/>
    </row>
    <row r="306">
      <c r="A306" s="33"/>
      <c r="B306" s="2"/>
      <c r="C306" s="2"/>
      <c r="D306" s="2"/>
      <c r="E306" s="2"/>
      <c r="F306" s="4"/>
      <c r="G306" s="2"/>
      <c r="H306" s="2"/>
      <c r="I306" s="2"/>
      <c r="J306" s="2"/>
      <c r="K306" s="5"/>
      <c r="L306" s="2"/>
      <c r="M306" s="2"/>
      <c r="N306" s="2"/>
      <c r="O306" s="2"/>
      <c r="P306" s="2"/>
      <c r="Q306" s="2"/>
      <c r="R306" s="7"/>
      <c r="S306" s="224"/>
      <c r="T306" s="224"/>
      <c r="U306" s="224"/>
      <c r="V306" s="224"/>
    </row>
    <row r="307">
      <c r="A307" s="33"/>
      <c r="B307" s="2"/>
      <c r="C307" s="2"/>
      <c r="D307" s="2"/>
      <c r="E307" s="2"/>
      <c r="F307" s="4"/>
      <c r="G307" s="2"/>
      <c r="H307" s="2"/>
      <c r="I307" s="2"/>
      <c r="J307" s="2"/>
      <c r="K307" s="5"/>
      <c r="L307" s="2"/>
      <c r="M307" s="2"/>
      <c r="N307" s="2"/>
      <c r="O307" s="2"/>
      <c r="P307" s="2"/>
      <c r="Q307" s="2"/>
      <c r="R307" s="7"/>
      <c r="S307" s="224"/>
      <c r="T307" s="224"/>
      <c r="U307" s="224"/>
      <c r="V307" s="224"/>
    </row>
    <row r="308">
      <c r="A308" s="33"/>
      <c r="B308" s="2"/>
      <c r="C308" s="2"/>
      <c r="D308" s="2"/>
      <c r="E308" s="2"/>
      <c r="F308" s="4"/>
      <c r="G308" s="2"/>
      <c r="H308" s="2"/>
      <c r="I308" s="2"/>
      <c r="J308" s="2"/>
      <c r="K308" s="5"/>
      <c r="L308" s="2"/>
      <c r="M308" s="2"/>
      <c r="N308" s="2"/>
      <c r="O308" s="2"/>
      <c r="P308" s="2"/>
      <c r="Q308" s="2"/>
      <c r="R308" s="7"/>
      <c r="S308" s="224"/>
      <c r="T308" s="224"/>
      <c r="U308" s="224"/>
      <c r="V308" s="224"/>
    </row>
    <row r="309">
      <c r="A309" s="33"/>
      <c r="B309" s="2"/>
      <c r="C309" s="2"/>
      <c r="D309" s="2"/>
      <c r="E309" s="2"/>
      <c r="F309" s="4"/>
      <c r="G309" s="2"/>
      <c r="H309" s="2"/>
      <c r="I309" s="2"/>
      <c r="J309" s="2"/>
      <c r="K309" s="5"/>
      <c r="L309" s="2"/>
      <c r="M309" s="2"/>
      <c r="N309" s="2"/>
      <c r="O309" s="2"/>
      <c r="P309" s="2"/>
      <c r="Q309" s="2"/>
      <c r="R309" s="7"/>
      <c r="S309" s="224"/>
      <c r="T309" s="224"/>
      <c r="U309" s="224"/>
      <c r="V309" s="224"/>
    </row>
    <row r="310">
      <c r="A310" s="33"/>
      <c r="B310" s="2"/>
      <c r="C310" s="2"/>
      <c r="D310" s="2"/>
      <c r="E310" s="2"/>
      <c r="F310" s="4"/>
      <c r="G310" s="2"/>
      <c r="H310" s="2"/>
      <c r="I310" s="2"/>
      <c r="J310" s="2"/>
      <c r="K310" s="5"/>
      <c r="L310" s="2"/>
      <c r="M310" s="2"/>
      <c r="N310" s="2"/>
      <c r="O310" s="2"/>
      <c r="P310" s="2"/>
      <c r="Q310" s="2"/>
      <c r="R310" s="7"/>
      <c r="S310" s="224"/>
      <c r="T310" s="224"/>
      <c r="U310" s="224"/>
      <c r="V310" s="224"/>
    </row>
    <row r="311">
      <c r="A311" s="33"/>
      <c r="B311" s="2"/>
      <c r="C311" s="2"/>
      <c r="D311" s="2"/>
      <c r="E311" s="2"/>
      <c r="F311" s="4"/>
      <c r="G311" s="2"/>
      <c r="H311" s="2"/>
      <c r="I311" s="2"/>
      <c r="J311" s="2"/>
      <c r="K311" s="5"/>
      <c r="L311" s="2"/>
      <c r="M311" s="2"/>
      <c r="N311" s="2"/>
      <c r="O311" s="2"/>
      <c r="P311" s="2"/>
      <c r="Q311" s="2"/>
      <c r="R311" s="7"/>
      <c r="S311" s="224"/>
      <c r="T311" s="224"/>
      <c r="U311" s="224"/>
      <c r="V311" s="224"/>
    </row>
    <row r="312">
      <c r="A312" s="33"/>
      <c r="B312" s="2"/>
      <c r="C312" s="2"/>
      <c r="D312" s="2"/>
      <c r="E312" s="2"/>
      <c r="F312" s="4"/>
      <c r="G312" s="2"/>
      <c r="H312" s="2"/>
      <c r="I312" s="2"/>
      <c r="J312" s="2"/>
      <c r="K312" s="5"/>
      <c r="L312" s="2"/>
      <c r="M312" s="2"/>
      <c r="N312" s="2"/>
      <c r="O312" s="2"/>
      <c r="P312" s="2"/>
      <c r="Q312" s="2"/>
      <c r="R312" s="7"/>
      <c r="S312" s="224"/>
      <c r="T312" s="224"/>
      <c r="U312" s="224"/>
      <c r="V312" s="224"/>
    </row>
    <row r="313">
      <c r="A313" s="33"/>
      <c r="B313" s="2"/>
      <c r="C313" s="2"/>
      <c r="D313" s="2"/>
      <c r="E313" s="2"/>
      <c r="F313" s="4"/>
      <c r="G313" s="2"/>
      <c r="H313" s="2"/>
      <c r="I313" s="2"/>
      <c r="J313" s="2"/>
      <c r="K313" s="5"/>
      <c r="L313" s="2"/>
      <c r="M313" s="2"/>
      <c r="N313" s="2"/>
      <c r="O313" s="2"/>
      <c r="P313" s="2"/>
      <c r="Q313" s="2"/>
      <c r="R313" s="7"/>
      <c r="S313" s="224"/>
      <c r="T313" s="224"/>
      <c r="U313" s="224"/>
      <c r="V313" s="224"/>
    </row>
    <row r="314">
      <c r="A314" s="33"/>
      <c r="B314" s="2"/>
      <c r="C314" s="2"/>
      <c r="D314" s="2"/>
      <c r="E314" s="2"/>
      <c r="F314" s="4"/>
      <c r="G314" s="2"/>
      <c r="H314" s="2"/>
      <c r="I314" s="2"/>
      <c r="J314" s="2"/>
      <c r="K314" s="5"/>
      <c r="L314" s="2"/>
      <c r="M314" s="2"/>
      <c r="N314" s="2"/>
      <c r="O314" s="2"/>
      <c r="P314" s="2"/>
      <c r="Q314" s="2"/>
      <c r="R314" s="7"/>
      <c r="S314" s="224"/>
      <c r="T314" s="224"/>
      <c r="U314" s="224"/>
      <c r="V314" s="224"/>
    </row>
    <row r="315">
      <c r="A315" s="33"/>
      <c r="B315" s="2"/>
      <c r="C315" s="2"/>
      <c r="D315" s="2"/>
      <c r="E315" s="2"/>
      <c r="F315" s="4"/>
      <c r="G315" s="2"/>
      <c r="H315" s="2"/>
      <c r="I315" s="2"/>
      <c r="J315" s="2"/>
      <c r="K315" s="5"/>
      <c r="L315" s="2"/>
      <c r="M315" s="2"/>
      <c r="N315" s="2"/>
      <c r="O315" s="2"/>
      <c r="P315" s="2"/>
      <c r="Q315" s="2"/>
      <c r="R315" s="7"/>
      <c r="S315" s="224"/>
      <c r="T315" s="224"/>
      <c r="U315" s="224"/>
      <c r="V315" s="224"/>
    </row>
    <row r="316">
      <c r="A316" s="33"/>
      <c r="B316" s="2"/>
      <c r="C316" s="2"/>
      <c r="D316" s="2"/>
      <c r="E316" s="2"/>
      <c r="F316" s="4"/>
      <c r="G316" s="2"/>
      <c r="H316" s="2"/>
      <c r="I316" s="2"/>
      <c r="J316" s="2"/>
      <c r="K316" s="5"/>
      <c r="L316" s="2"/>
      <c r="M316" s="2"/>
      <c r="N316" s="2"/>
      <c r="O316" s="2"/>
      <c r="P316" s="2"/>
      <c r="Q316" s="2"/>
      <c r="R316" s="7"/>
      <c r="S316" s="224"/>
      <c r="T316" s="224"/>
      <c r="U316" s="224"/>
      <c r="V316" s="224"/>
    </row>
    <row r="317">
      <c r="A317" s="33"/>
      <c r="B317" s="2"/>
      <c r="C317" s="2"/>
      <c r="D317" s="2"/>
      <c r="E317" s="2"/>
      <c r="F317" s="4"/>
      <c r="G317" s="2"/>
      <c r="H317" s="2"/>
      <c r="I317" s="2"/>
      <c r="J317" s="2"/>
      <c r="K317" s="5"/>
      <c r="L317" s="2"/>
      <c r="M317" s="2"/>
      <c r="N317" s="2"/>
      <c r="O317" s="2"/>
      <c r="P317" s="2"/>
      <c r="Q317" s="2"/>
      <c r="R317" s="7"/>
      <c r="S317" s="224"/>
      <c r="T317" s="224"/>
      <c r="U317" s="224"/>
      <c r="V317" s="224"/>
    </row>
    <row r="318">
      <c r="A318" s="33"/>
      <c r="B318" s="2"/>
      <c r="C318" s="2"/>
      <c r="D318" s="2"/>
      <c r="E318" s="2"/>
      <c r="F318" s="4"/>
      <c r="G318" s="2"/>
      <c r="H318" s="2"/>
      <c r="I318" s="2"/>
      <c r="J318" s="2"/>
      <c r="K318" s="5"/>
      <c r="L318" s="2"/>
      <c r="M318" s="2"/>
      <c r="N318" s="2"/>
      <c r="O318" s="2"/>
      <c r="P318" s="2"/>
      <c r="Q318" s="2"/>
      <c r="R318" s="7"/>
      <c r="S318" s="224"/>
      <c r="T318" s="224"/>
      <c r="U318" s="224"/>
      <c r="V318" s="224"/>
    </row>
    <row r="319">
      <c r="A319" s="33"/>
      <c r="B319" s="2"/>
      <c r="C319" s="2"/>
      <c r="D319" s="2"/>
      <c r="E319" s="2"/>
      <c r="F319" s="4"/>
      <c r="G319" s="2"/>
      <c r="H319" s="2"/>
      <c r="I319" s="2"/>
      <c r="J319" s="2"/>
      <c r="K319" s="5"/>
      <c r="L319" s="2"/>
      <c r="M319" s="2"/>
      <c r="N319" s="2"/>
      <c r="O319" s="2"/>
      <c r="P319" s="2"/>
      <c r="Q319" s="2"/>
      <c r="R319" s="7"/>
      <c r="S319" s="224"/>
      <c r="T319" s="224"/>
      <c r="U319" s="224"/>
      <c r="V319" s="224"/>
    </row>
    <row r="320">
      <c r="A320" s="33"/>
      <c r="B320" s="2"/>
      <c r="C320" s="2"/>
      <c r="D320" s="2"/>
      <c r="E320" s="2"/>
      <c r="F320" s="4"/>
      <c r="G320" s="2"/>
      <c r="H320" s="2"/>
      <c r="I320" s="2"/>
      <c r="J320" s="2"/>
      <c r="K320" s="5"/>
      <c r="L320" s="2"/>
      <c r="M320" s="2"/>
      <c r="N320" s="2"/>
      <c r="O320" s="2"/>
      <c r="P320" s="2"/>
      <c r="Q320" s="2"/>
      <c r="R320" s="7"/>
      <c r="S320" s="224"/>
      <c r="T320" s="224"/>
      <c r="U320" s="224"/>
      <c r="V320" s="224"/>
    </row>
    <row r="321">
      <c r="A321" s="33"/>
      <c r="B321" s="2"/>
      <c r="C321" s="2"/>
      <c r="D321" s="2"/>
      <c r="E321" s="2"/>
      <c r="F321" s="4"/>
      <c r="G321" s="2"/>
      <c r="H321" s="2"/>
      <c r="I321" s="2"/>
      <c r="J321" s="2"/>
      <c r="K321" s="5"/>
      <c r="L321" s="2"/>
      <c r="M321" s="2"/>
      <c r="N321" s="2"/>
      <c r="O321" s="2"/>
      <c r="P321" s="2"/>
      <c r="Q321" s="2"/>
      <c r="R321" s="7"/>
      <c r="S321" s="224"/>
      <c r="T321" s="224"/>
      <c r="U321" s="224"/>
      <c r="V321" s="224"/>
    </row>
    <row r="322">
      <c r="A322" s="33"/>
      <c r="B322" s="2"/>
      <c r="C322" s="2"/>
      <c r="D322" s="2"/>
      <c r="E322" s="2"/>
      <c r="F322" s="4"/>
      <c r="G322" s="2"/>
      <c r="H322" s="2"/>
      <c r="I322" s="2"/>
      <c r="J322" s="2"/>
      <c r="K322" s="5"/>
      <c r="L322" s="2"/>
      <c r="M322" s="2"/>
      <c r="N322" s="2"/>
      <c r="O322" s="2"/>
      <c r="P322" s="2"/>
      <c r="Q322" s="2"/>
      <c r="R322" s="7"/>
      <c r="S322" s="224"/>
      <c r="T322" s="224"/>
      <c r="U322" s="224"/>
      <c r="V322" s="224"/>
    </row>
    <row r="323">
      <c r="A323" s="33"/>
      <c r="B323" s="2"/>
      <c r="C323" s="2"/>
      <c r="D323" s="2"/>
      <c r="E323" s="2"/>
      <c r="F323" s="4"/>
      <c r="G323" s="2"/>
      <c r="H323" s="2"/>
      <c r="I323" s="2"/>
      <c r="J323" s="2"/>
      <c r="K323" s="5"/>
      <c r="L323" s="2"/>
      <c r="M323" s="2"/>
      <c r="N323" s="2"/>
      <c r="O323" s="2"/>
      <c r="P323" s="2"/>
      <c r="Q323" s="2"/>
      <c r="R323" s="7"/>
      <c r="S323" s="224"/>
      <c r="T323" s="224"/>
      <c r="U323" s="224"/>
      <c r="V323" s="224"/>
    </row>
    <row r="324">
      <c r="A324" s="33"/>
      <c r="B324" s="2"/>
      <c r="C324" s="2"/>
      <c r="D324" s="2"/>
      <c r="E324" s="2"/>
      <c r="F324" s="4"/>
      <c r="G324" s="2"/>
      <c r="H324" s="2"/>
      <c r="I324" s="2"/>
      <c r="J324" s="2"/>
      <c r="K324" s="5"/>
      <c r="L324" s="2"/>
      <c r="M324" s="2"/>
      <c r="N324" s="2"/>
      <c r="O324" s="2"/>
      <c r="P324" s="2"/>
      <c r="Q324" s="2"/>
      <c r="R324" s="7"/>
      <c r="S324" s="224"/>
      <c r="T324" s="224"/>
      <c r="U324" s="224"/>
      <c r="V324" s="224"/>
    </row>
    <row r="325">
      <c r="A325" s="33"/>
      <c r="B325" s="2"/>
      <c r="C325" s="2"/>
      <c r="D325" s="2"/>
      <c r="E325" s="2"/>
      <c r="F325" s="4"/>
      <c r="G325" s="2"/>
      <c r="H325" s="2"/>
      <c r="I325" s="2"/>
      <c r="J325" s="2"/>
      <c r="K325" s="5"/>
      <c r="L325" s="2"/>
      <c r="M325" s="2"/>
      <c r="N325" s="2"/>
      <c r="O325" s="2"/>
      <c r="P325" s="2"/>
      <c r="Q325" s="2"/>
      <c r="R325" s="7"/>
      <c r="S325" s="224"/>
      <c r="T325" s="224"/>
      <c r="U325" s="224"/>
      <c r="V325" s="224"/>
    </row>
    <row r="326">
      <c r="A326" s="33"/>
      <c r="B326" s="2"/>
      <c r="C326" s="2"/>
      <c r="D326" s="2"/>
      <c r="E326" s="2"/>
      <c r="F326" s="4"/>
      <c r="G326" s="2"/>
      <c r="H326" s="2"/>
      <c r="I326" s="2"/>
      <c r="J326" s="2"/>
      <c r="K326" s="5"/>
      <c r="L326" s="2"/>
      <c r="M326" s="2"/>
      <c r="N326" s="2"/>
      <c r="O326" s="2"/>
      <c r="P326" s="2"/>
      <c r="Q326" s="2"/>
      <c r="R326" s="7"/>
      <c r="S326" s="224"/>
      <c r="T326" s="224"/>
      <c r="U326" s="224"/>
      <c r="V326" s="224"/>
    </row>
    <row r="327">
      <c r="A327" s="33"/>
      <c r="B327" s="2"/>
      <c r="C327" s="2"/>
      <c r="D327" s="2"/>
      <c r="E327" s="2"/>
      <c r="F327" s="4"/>
      <c r="G327" s="2"/>
      <c r="H327" s="2"/>
      <c r="I327" s="2"/>
      <c r="J327" s="2"/>
      <c r="K327" s="5"/>
      <c r="L327" s="2"/>
      <c r="M327" s="2"/>
      <c r="N327" s="2"/>
      <c r="O327" s="2"/>
      <c r="P327" s="2"/>
      <c r="Q327" s="2"/>
      <c r="R327" s="7"/>
      <c r="S327" s="224"/>
      <c r="T327" s="224"/>
      <c r="U327" s="224"/>
      <c r="V327" s="224"/>
    </row>
    <row r="328">
      <c r="A328" s="33"/>
      <c r="B328" s="2"/>
      <c r="C328" s="2"/>
      <c r="D328" s="2"/>
      <c r="E328" s="2"/>
      <c r="F328" s="4"/>
      <c r="G328" s="2"/>
      <c r="H328" s="2"/>
      <c r="I328" s="2"/>
      <c r="J328" s="2"/>
      <c r="K328" s="5"/>
      <c r="L328" s="2"/>
      <c r="M328" s="2"/>
      <c r="N328" s="2"/>
      <c r="O328" s="2"/>
      <c r="P328" s="2"/>
      <c r="Q328" s="2"/>
      <c r="R328" s="7"/>
      <c r="S328" s="224"/>
      <c r="T328" s="224"/>
      <c r="U328" s="224"/>
      <c r="V328" s="224"/>
    </row>
    <row r="329">
      <c r="A329" s="33"/>
      <c r="B329" s="2"/>
      <c r="C329" s="2"/>
      <c r="D329" s="2"/>
      <c r="E329" s="2"/>
      <c r="F329" s="4"/>
      <c r="G329" s="2"/>
      <c r="H329" s="2"/>
      <c r="I329" s="2"/>
      <c r="J329" s="2"/>
      <c r="K329" s="5"/>
      <c r="L329" s="2"/>
      <c r="M329" s="2"/>
      <c r="N329" s="2"/>
      <c r="O329" s="2"/>
      <c r="P329" s="2"/>
      <c r="Q329" s="2"/>
      <c r="R329" s="7"/>
      <c r="S329" s="224"/>
      <c r="T329" s="224"/>
      <c r="U329" s="224"/>
      <c r="V329" s="224"/>
    </row>
    <row r="330">
      <c r="A330" s="33"/>
      <c r="B330" s="2"/>
      <c r="C330" s="2"/>
      <c r="D330" s="2"/>
      <c r="E330" s="2"/>
      <c r="F330" s="4"/>
      <c r="G330" s="2"/>
      <c r="H330" s="2"/>
      <c r="I330" s="2"/>
      <c r="J330" s="2"/>
      <c r="K330" s="5"/>
      <c r="L330" s="2"/>
      <c r="M330" s="2"/>
      <c r="N330" s="2"/>
      <c r="O330" s="2"/>
      <c r="P330" s="2"/>
      <c r="Q330" s="2"/>
      <c r="R330" s="7"/>
      <c r="S330" s="224"/>
      <c r="T330" s="224"/>
      <c r="U330" s="224"/>
      <c r="V330" s="224"/>
    </row>
    <row r="331">
      <c r="A331" s="33"/>
      <c r="B331" s="2"/>
      <c r="C331" s="2"/>
      <c r="D331" s="2"/>
      <c r="E331" s="2"/>
      <c r="F331" s="4"/>
      <c r="G331" s="2"/>
      <c r="H331" s="2"/>
      <c r="I331" s="2"/>
      <c r="J331" s="2"/>
      <c r="K331" s="5"/>
      <c r="L331" s="2"/>
      <c r="M331" s="2"/>
      <c r="N331" s="2"/>
      <c r="O331" s="2"/>
      <c r="P331" s="2"/>
      <c r="Q331" s="2"/>
      <c r="R331" s="7"/>
      <c r="S331" s="224"/>
      <c r="T331" s="224"/>
      <c r="U331" s="224"/>
      <c r="V331" s="224"/>
    </row>
    <row r="332">
      <c r="A332" s="33"/>
      <c r="B332" s="2"/>
      <c r="C332" s="2"/>
      <c r="D332" s="2"/>
      <c r="E332" s="2"/>
      <c r="F332" s="4"/>
      <c r="G332" s="2"/>
      <c r="H332" s="2"/>
      <c r="I332" s="2"/>
      <c r="J332" s="2"/>
      <c r="K332" s="5"/>
      <c r="L332" s="2"/>
      <c r="M332" s="2"/>
      <c r="N332" s="2"/>
      <c r="O332" s="2"/>
      <c r="P332" s="2"/>
      <c r="Q332" s="2"/>
      <c r="R332" s="7"/>
      <c r="S332" s="224"/>
      <c r="T332" s="224"/>
      <c r="U332" s="224"/>
      <c r="V332" s="224"/>
    </row>
    <row r="333">
      <c r="A333" s="33"/>
      <c r="B333" s="2"/>
      <c r="C333" s="2"/>
      <c r="D333" s="2"/>
      <c r="E333" s="2"/>
      <c r="F333" s="4"/>
      <c r="G333" s="2"/>
      <c r="H333" s="2"/>
      <c r="I333" s="2"/>
      <c r="J333" s="2"/>
      <c r="K333" s="5"/>
      <c r="L333" s="2"/>
      <c r="M333" s="2"/>
      <c r="N333" s="2"/>
      <c r="O333" s="2"/>
      <c r="P333" s="2"/>
      <c r="Q333" s="2"/>
      <c r="R333" s="7"/>
      <c r="S333" s="224"/>
      <c r="T333" s="224"/>
      <c r="U333" s="224"/>
      <c r="V333" s="224"/>
    </row>
    <row r="334">
      <c r="A334" s="33"/>
      <c r="B334" s="2"/>
      <c r="C334" s="2"/>
      <c r="D334" s="2"/>
      <c r="E334" s="2"/>
      <c r="F334" s="4"/>
      <c r="G334" s="2"/>
      <c r="H334" s="2"/>
      <c r="I334" s="2"/>
      <c r="J334" s="2"/>
      <c r="K334" s="5"/>
      <c r="L334" s="2"/>
      <c r="M334" s="2"/>
      <c r="N334" s="2"/>
      <c r="O334" s="2"/>
      <c r="P334" s="2"/>
      <c r="Q334" s="2"/>
      <c r="R334" s="7"/>
      <c r="S334" s="224"/>
      <c r="T334" s="224"/>
      <c r="U334" s="224"/>
      <c r="V334" s="224"/>
    </row>
    <row r="335">
      <c r="A335" s="33"/>
      <c r="B335" s="2"/>
      <c r="C335" s="2"/>
      <c r="D335" s="2"/>
      <c r="E335" s="2"/>
      <c r="F335" s="4"/>
      <c r="G335" s="2"/>
      <c r="H335" s="2"/>
      <c r="I335" s="2"/>
      <c r="J335" s="2"/>
      <c r="K335" s="5"/>
      <c r="L335" s="2"/>
      <c r="M335" s="2"/>
      <c r="N335" s="2"/>
      <c r="O335" s="2"/>
      <c r="P335" s="2"/>
      <c r="Q335" s="2"/>
      <c r="R335" s="7"/>
      <c r="S335" s="224"/>
      <c r="T335" s="224"/>
      <c r="U335" s="224"/>
      <c r="V335" s="224"/>
    </row>
    <row r="336">
      <c r="A336" s="33"/>
      <c r="B336" s="2"/>
      <c r="C336" s="2"/>
      <c r="D336" s="2"/>
      <c r="E336" s="2"/>
      <c r="F336" s="4"/>
      <c r="G336" s="2"/>
      <c r="H336" s="2"/>
      <c r="I336" s="2"/>
      <c r="J336" s="2"/>
      <c r="K336" s="5"/>
      <c r="L336" s="2"/>
      <c r="M336" s="2"/>
      <c r="N336" s="2"/>
      <c r="O336" s="2"/>
      <c r="P336" s="2"/>
      <c r="Q336" s="2"/>
      <c r="R336" s="7"/>
      <c r="S336" s="224"/>
      <c r="T336" s="224"/>
      <c r="U336" s="224"/>
      <c r="V336" s="224"/>
    </row>
    <row r="337">
      <c r="A337" s="33"/>
      <c r="B337" s="2"/>
      <c r="C337" s="2"/>
      <c r="D337" s="2"/>
      <c r="E337" s="2"/>
      <c r="F337" s="4"/>
      <c r="G337" s="2"/>
      <c r="H337" s="2"/>
      <c r="I337" s="2"/>
      <c r="J337" s="2"/>
      <c r="K337" s="5"/>
      <c r="L337" s="2"/>
      <c r="M337" s="2"/>
      <c r="N337" s="2"/>
      <c r="O337" s="2"/>
      <c r="P337" s="2"/>
      <c r="Q337" s="2"/>
      <c r="R337" s="7"/>
      <c r="S337" s="224"/>
      <c r="T337" s="224"/>
      <c r="U337" s="224"/>
      <c r="V337" s="224"/>
    </row>
    <row r="338">
      <c r="A338" s="33"/>
      <c r="B338" s="2"/>
      <c r="C338" s="2"/>
      <c r="D338" s="2"/>
      <c r="E338" s="2"/>
      <c r="F338" s="4"/>
      <c r="G338" s="2"/>
      <c r="H338" s="2"/>
      <c r="I338" s="2"/>
      <c r="J338" s="2"/>
      <c r="K338" s="5"/>
      <c r="L338" s="2"/>
      <c r="M338" s="2"/>
      <c r="N338" s="2"/>
      <c r="O338" s="2"/>
      <c r="P338" s="2"/>
      <c r="Q338" s="2"/>
      <c r="R338" s="7"/>
      <c r="S338" s="224"/>
      <c r="T338" s="224"/>
      <c r="U338" s="224"/>
      <c r="V338" s="224"/>
    </row>
    <row r="339">
      <c r="A339" s="33"/>
      <c r="B339" s="2"/>
      <c r="C339" s="2"/>
      <c r="D339" s="2"/>
      <c r="E339" s="2"/>
      <c r="F339" s="4"/>
      <c r="G339" s="2"/>
      <c r="H339" s="2"/>
      <c r="I339" s="2"/>
      <c r="J339" s="2"/>
      <c r="K339" s="5"/>
      <c r="L339" s="2"/>
      <c r="M339" s="2"/>
      <c r="N339" s="2"/>
      <c r="O339" s="2"/>
      <c r="P339" s="2"/>
      <c r="Q339" s="2"/>
      <c r="R339" s="7"/>
      <c r="S339" s="224"/>
      <c r="T339" s="224"/>
      <c r="U339" s="224"/>
      <c r="V339" s="224"/>
    </row>
    <row r="340">
      <c r="A340" s="33"/>
      <c r="B340" s="2"/>
      <c r="C340" s="2"/>
      <c r="D340" s="2"/>
      <c r="E340" s="2"/>
      <c r="F340" s="4"/>
      <c r="G340" s="2"/>
      <c r="H340" s="2"/>
      <c r="I340" s="2"/>
      <c r="J340" s="2"/>
      <c r="K340" s="5"/>
      <c r="L340" s="2"/>
      <c r="M340" s="2"/>
      <c r="N340" s="2"/>
      <c r="O340" s="2"/>
      <c r="P340" s="2"/>
      <c r="Q340" s="2"/>
      <c r="R340" s="7"/>
      <c r="S340" s="224"/>
      <c r="T340" s="224"/>
      <c r="U340" s="224"/>
      <c r="V340" s="224"/>
    </row>
    <row r="341">
      <c r="A341" s="33"/>
      <c r="B341" s="2"/>
      <c r="C341" s="2"/>
      <c r="D341" s="2"/>
      <c r="E341" s="2"/>
      <c r="F341" s="4"/>
      <c r="G341" s="2"/>
      <c r="H341" s="2"/>
      <c r="I341" s="2"/>
      <c r="J341" s="2"/>
      <c r="K341" s="5"/>
      <c r="L341" s="2"/>
      <c r="M341" s="2"/>
      <c r="N341" s="2"/>
      <c r="O341" s="2"/>
      <c r="P341" s="2"/>
      <c r="Q341" s="2"/>
      <c r="R341" s="7"/>
      <c r="S341" s="224"/>
      <c r="T341" s="224"/>
      <c r="U341" s="224"/>
      <c r="V341" s="224"/>
    </row>
    <row r="342">
      <c r="A342" s="33"/>
      <c r="B342" s="2"/>
      <c r="C342" s="2"/>
      <c r="D342" s="2"/>
      <c r="E342" s="2"/>
      <c r="F342" s="4"/>
      <c r="G342" s="2"/>
      <c r="H342" s="2"/>
      <c r="I342" s="2"/>
      <c r="J342" s="2"/>
      <c r="K342" s="5"/>
      <c r="L342" s="2"/>
      <c r="M342" s="2"/>
      <c r="N342" s="2"/>
      <c r="O342" s="2"/>
      <c r="P342" s="2"/>
      <c r="Q342" s="2"/>
      <c r="R342" s="7"/>
      <c r="S342" s="224"/>
      <c r="T342" s="224"/>
      <c r="U342" s="224"/>
      <c r="V342" s="224"/>
    </row>
    <row r="343">
      <c r="A343" s="33"/>
      <c r="B343" s="2"/>
      <c r="C343" s="2"/>
      <c r="D343" s="2"/>
      <c r="E343" s="2"/>
      <c r="F343" s="4"/>
      <c r="G343" s="2"/>
      <c r="H343" s="2"/>
      <c r="I343" s="2"/>
      <c r="J343" s="2"/>
      <c r="K343" s="5"/>
      <c r="L343" s="2"/>
      <c r="M343" s="2"/>
      <c r="N343" s="2"/>
      <c r="O343" s="2"/>
      <c r="P343" s="2"/>
      <c r="Q343" s="2"/>
      <c r="R343" s="7"/>
      <c r="S343" s="224"/>
      <c r="T343" s="224"/>
      <c r="U343" s="224"/>
      <c r="V343" s="224"/>
    </row>
    <row r="344">
      <c r="A344" s="33"/>
      <c r="B344" s="2"/>
      <c r="C344" s="2"/>
      <c r="D344" s="2"/>
      <c r="E344" s="2"/>
      <c r="F344" s="4"/>
      <c r="G344" s="2"/>
      <c r="H344" s="2"/>
      <c r="I344" s="2"/>
      <c r="J344" s="2"/>
      <c r="K344" s="5"/>
      <c r="L344" s="2"/>
      <c r="M344" s="2"/>
      <c r="N344" s="2"/>
      <c r="O344" s="2"/>
      <c r="P344" s="2"/>
      <c r="Q344" s="2"/>
      <c r="R344" s="7"/>
      <c r="S344" s="224"/>
      <c r="T344" s="224"/>
      <c r="U344" s="224"/>
      <c r="V344" s="224"/>
    </row>
    <row r="345">
      <c r="A345" s="33"/>
      <c r="B345" s="2"/>
      <c r="C345" s="2"/>
      <c r="D345" s="2"/>
      <c r="E345" s="2"/>
      <c r="F345" s="4"/>
      <c r="G345" s="2"/>
      <c r="H345" s="2"/>
      <c r="I345" s="2"/>
      <c r="J345" s="2"/>
      <c r="K345" s="5"/>
      <c r="L345" s="2"/>
      <c r="M345" s="2"/>
      <c r="N345" s="2"/>
      <c r="O345" s="2"/>
      <c r="P345" s="2"/>
      <c r="Q345" s="2"/>
      <c r="R345" s="7"/>
      <c r="S345" s="224"/>
      <c r="T345" s="224"/>
      <c r="U345" s="224"/>
      <c r="V345" s="224"/>
    </row>
    <row r="346">
      <c r="A346" s="33"/>
      <c r="B346" s="2"/>
      <c r="C346" s="2"/>
      <c r="D346" s="2"/>
      <c r="E346" s="2"/>
      <c r="F346" s="4"/>
      <c r="G346" s="2"/>
      <c r="H346" s="2"/>
      <c r="I346" s="2"/>
      <c r="J346" s="2"/>
      <c r="K346" s="5"/>
      <c r="L346" s="2"/>
      <c r="M346" s="2"/>
      <c r="N346" s="2"/>
      <c r="O346" s="2"/>
      <c r="P346" s="2"/>
      <c r="Q346" s="2"/>
      <c r="R346" s="7"/>
      <c r="S346" s="224"/>
      <c r="T346" s="224"/>
      <c r="U346" s="224"/>
      <c r="V346" s="224"/>
    </row>
    <row r="347">
      <c r="A347" s="33"/>
      <c r="B347" s="2"/>
      <c r="C347" s="2"/>
      <c r="D347" s="2"/>
      <c r="E347" s="2"/>
      <c r="F347" s="4"/>
      <c r="G347" s="2"/>
      <c r="H347" s="2"/>
      <c r="I347" s="2"/>
      <c r="J347" s="2"/>
      <c r="K347" s="5"/>
      <c r="L347" s="2"/>
      <c r="M347" s="2"/>
      <c r="N347" s="2"/>
      <c r="O347" s="2"/>
      <c r="P347" s="2"/>
      <c r="Q347" s="2"/>
      <c r="R347" s="7"/>
      <c r="S347" s="224"/>
      <c r="T347" s="224"/>
      <c r="U347" s="224"/>
      <c r="V347" s="224"/>
    </row>
    <row r="348">
      <c r="A348" s="33"/>
      <c r="B348" s="2"/>
      <c r="C348" s="2"/>
      <c r="D348" s="2"/>
      <c r="E348" s="2"/>
      <c r="F348" s="4"/>
      <c r="G348" s="2"/>
      <c r="H348" s="2"/>
      <c r="I348" s="2"/>
      <c r="J348" s="2"/>
      <c r="K348" s="5"/>
      <c r="L348" s="2"/>
      <c r="M348" s="2"/>
      <c r="N348" s="2"/>
      <c r="O348" s="2"/>
      <c r="P348" s="2"/>
      <c r="Q348" s="2"/>
      <c r="R348" s="7"/>
      <c r="S348" s="224"/>
      <c r="T348" s="224"/>
      <c r="U348" s="224"/>
      <c r="V348" s="224"/>
    </row>
    <row r="349">
      <c r="A349" s="33"/>
      <c r="B349" s="2"/>
      <c r="C349" s="2"/>
      <c r="D349" s="2"/>
      <c r="E349" s="2"/>
      <c r="F349" s="4"/>
      <c r="G349" s="2"/>
      <c r="H349" s="2"/>
      <c r="I349" s="2"/>
      <c r="J349" s="2"/>
      <c r="K349" s="5"/>
      <c r="L349" s="2"/>
      <c r="M349" s="2"/>
      <c r="N349" s="2"/>
      <c r="O349" s="2"/>
      <c r="P349" s="2"/>
      <c r="Q349" s="2"/>
      <c r="R349" s="7"/>
      <c r="S349" s="224"/>
      <c r="T349" s="224"/>
      <c r="U349" s="224"/>
      <c r="V349" s="224"/>
    </row>
    <row r="350">
      <c r="A350" s="33"/>
      <c r="B350" s="2"/>
      <c r="C350" s="2"/>
      <c r="D350" s="2"/>
      <c r="E350" s="2"/>
      <c r="F350" s="4"/>
      <c r="G350" s="2"/>
      <c r="H350" s="2"/>
      <c r="I350" s="2"/>
      <c r="J350" s="2"/>
      <c r="K350" s="5"/>
      <c r="L350" s="2"/>
      <c r="M350" s="2"/>
      <c r="N350" s="2"/>
      <c r="O350" s="2"/>
      <c r="P350" s="2"/>
      <c r="Q350" s="2"/>
      <c r="R350" s="7"/>
      <c r="S350" s="224"/>
      <c r="T350" s="224"/>
      <c r="U350" s="224"/>
      <c r="V350" s="224"/>
    </row>
    <row r="351">
      <c r="A351" s="33"/>
      <c r="B351" s="2"/>
      <c r="C351" s="2"/>
      <c r="D351" s="2"/>
      <c r="E351" s="2"/>
      <c r="F351" s="4"/>
      <c r="G351" s="2"/>
      <c r="H351" s="2"/>
      <c r="I351" s="2"/>
      <c r="J351" s="2"/>
      <c r="K351" s="5"/>
      <c r="L351" s="2"/>
      <c r="M351" s="2"/>
      <c r="N351" s="2"/>
      <c r="O351" s="2"/>
      <c r="P351" s="2"/>
      <c r="Q351" s="2"/>
      <c r="R351" s="7"/>
      <c r="S351" s="224"/>
      <c r="T351" s="224"/>
      <c r="U351" s="224"/>
      <c r="V351" s="224"/>
    </row>
    <row r="352">
      <c r="A352" s="33"/>
      <c r="B352" s="2"/>
      <c r="C352" s="2"/>
      <c r="D352" s="2"/>
      <c r="E352" s="2"/>
      <c r="F352" s="4"/>
      <c r="G352" s="2"/>
      <c r="H352" s="2"/>
      <c r="I352" s="2"/>
      <c r="J352" s="2"/>
      <c r="K352" s="5"/>
      <c r="L352" s="2"/>
      <c r="M352" s="2"/>
      <c r="N352" s="2"/>
      <c r="O352" s="2"/>
      <c r="P352" s="2"/>
      <c r="Q352" s="2"/>
      <c r="R352" s="7"/>
      <c r="S352" s="224"/>
      <c r="T352" s="224"/>
      <c r="U352" s="224"/>
      <c r="V352" s="224"/>
    </row>
    <row r="353">
      <c r="A353" s="33"/>
      <c r="B353" s="2"/>
      <c r="C353" s="2"/>
      <c r="D353" s="2"/>
      <c r="E353" s="2"/>
      <c r="F353" s="4"/>
      <c r="G353" s="2"/>
      <c r="H353" s="2"/>
      <c r="I353" s="2"/>
      <c r="J353" s="2"/>
      <c r="K353" s="5"/>
      <c r="L353" s="2"/>
      <c r="M353" s="2"/>
      <c r="N353" s="2"/>
      <c r="O353" s="2"/>
      <c r="P353" s="2"/>
      <c r="Q353" s="2"/>
      <c r="R353" s="7"/>
      <c r="S353" s="224"/>
      <c r="T353" s="224"/>
      <c r="U353" s="224"/>
      <c r="V353" s="224"/>
    </row>
    <row r="354">
      <c r="A354" s="33"/>
      <c r="B354" s="2"/>
      <c r="C354" s="2"/>
      <c r="D354" s="2"/>
      <c r="E354" s="2"/>
      <c r="F354" s="4"/>
      <c r="G354" s="2"/>
      <c r="H354" s="2"/>
      <c r="I354" s="2"/>
      <c r="J354" s="2"/>
      <c r="K354" s="5"/>
      <c r="L354" s="2"/>
      <c r="M354" s="2"/>
      <c r="N354" s="2"/>
      <c r="O354" s="2"/>
      <c r="P354" s="2"/>
      <c r="Q354" s="2"/>
      <c r="R354" s="7"/>
      <c r="S354" s="224"/>
      <c r="T354" s="224"/>
      <c r="U354" s="224"/>
      <c r="V354" s="224"/>
    </row>
    <row r="355">
      <c r="A355" s="33"/>
      <c r="B355" s="2"/>
      <c r="C355" s="2"/>
      <c r="D355" s="2"/>
      <c r="E355" s="2"/>
      <c r="F355" s="4"/>
      <c r="G355" s="2"/>
      <c r="H355" s="2"/>
      <c r="I355" s="2"/>
      <c r="J355" s="2"/>
      <c r="K355" s="5"/>
      <c r="L355" s="2"/>
      <c r="M355" s="2"/>
      <c r="N355" s="2"/>
      <c r="O355" s="2"/>
      <c r="P355" s="2"/>
      <c r="Q355" s="2"/>
      <c r="R355" s="7"/>
      <c r="S355" s="224"/>
      <c r="T355" s="224"/>
      <c r="U355" s="224"/>
      <c r="V355" s="224"/>
    </row>
    <row r="356">
      <c r="A356" s="33"/>
      <c r="B356" s="2"/>
      <c r="C356" s="2"/>
      <c r="D356" s="2"/>
      <c r="E356" s="2"/>
      <c r="F356" s="4"/>
      <c r="G356" s="2"/>
      <c r="H356" s="2"/>
      <c r="I356" s="2"/>
      <c r="J356" s="2"/>
      <c r="K356" s="5"/>
      <c r="L356" s="2"/>
      <c r="M356" s="2"/>
      <c r="N356" s="2"/>
      <c r="O356" s="2"/>
      <c r="P356" s="2"/>
      <c r="Q356" s="2"/>
      <c r="R356" s="7"/>
      <c r="S356" s="224"/>
      <c r="T356" s="224"/>
      <c r="U356" s="224"/>
      <c r="V356" s="224"/>
    </row>
    <row r="357">
      <c r="A357" s="33"/>
      <c r="B357" s="2"/>
      <c r="C357" s="2"/>
      <c r="D357" s="2"/>
      <c r="E357" s="2"/>
      <c r="F357" s="4"/>
      <c r="G357" s="2"/>
      <c r="H357" s="2"/>
      <c r="I357" s="2"/>
      <c r="J357" s="2"/>
      <c r="K357" s="5"/>
      <c r="L357" s="2"/>
      <c r="M357" s="2"/>
      <c r="N357" s="2"/>
      <c r="O357" s="2"/>
      <c r="P357" s="2"/>
      <c r="Q357" s="2"/>
      <c r="R357" s="7"/>
      <c r="S357" s="224"/>
      <c r="T357" s="224"/>
      <c r="U357" s="224"/>
      <c r="V357" s="224"/>
    </row>
    <row r="358">
      <c r="A358" s="33"/>
      <c r="B358" s="2"/>
      <c r="C358" s="2"/>
      <c r="D358" s="2"/>
      <c r="E358" s="2"/>
      <c r="F358" s="4"/>
      <c r="G358" s="2"/>
      <c r="H358" s="2"/>
      <c r="I358" s="2"/>
      <c r="J358" s="2"/>
      <c r="K358" s="5"/>
      <c r="L358" s="2"/>
      <c r="M358" s="2"/>
      <c r="N358" s="2"/>
      <c r="O358" s="2"/>
      <c r="P358" s="2"/>
      <c r="Q358" s="2"/>
      <c r="R358" s="7"/>
      <c r="S358" s="224"/>
      <c r="T358" s="224"/>
      <c r="U358" s="224"/>
      <c r="V358" s="224"/>
    </row>
    <row r="359">
      <c r="A359" s="33"/>
      <c r="B359" s="2"/>
      <c r="C359" s="2"/>
      <c r="D359" s="2"/>
      <c r="E359" s="2"/>
      <c r="F359" s="4"/>
      <c r="G359" s="2"/>
      <c r="H359" s="2"/>
      <c r="I359" s="2"/>
      <c r="J359" s="2"/>
      <c r="K359" s="5"/>
      <c r="L359" s="2"/>
      <c r="M359" s="2"/>
      <c r="N359" s="2"/>
      <c r="O359" s="2"/>
      <c r="P359" s="2"/>
      <c r="Q359" s="2"/>
      <c r="R359" s="7"/>
      <c r="S359" s="224"/>
      <c r="T359" s="224"/>
      <c r="U359" s="224"/>
      <c r="V359" s="224"/>
    </row>
    <row r="360">
      <c r="A360" s="33"/>
      <c r="B360" s="2"/>
      <c r="C360" s="2"/>
      <c r="D360" s="2"/>
      <c r="E360" s="2"/>
      <c r="F360" s="4"/>
      <c r="G360" s="2"/>
      <c r="H360" s="2"/>
      <c r="I360" s="2"/>
      <c r="J360" s="2"/>
      <c r="K360" s="5"/>
      <c r="L360" s="2"/>
      <c r="M360" s="2"/>
      <c r="N360" s="2"/>
      <c r="O360" s="2"/>
      <c r="P360" s="2"/>
      <c r="Q360" s="2"/>
      <c r="R360" s="7"/>
      <c r="S360" s="224"/>
      <c r="T360" s="224"/>
      <c r="U360" s="224"/>
      <c r="V360" s="224"/>
    </row>
    <row r="361">
      <c r="A361" s="33"/>
      <c r="B361" s="2"/>
      <c r="C361" s="2"/>
      <c r="D361" s="2"/>
      <c r="E361" s="2"/>
      <c r="F361" s="4"/>
      <c r="G361" s="2"/>
      <c r="H361" s="2"/>
      <c r="I361" s="2"/>
      <c r="J361" s="2"/>
      <c r="K361" s="5"/>
      <c r="L361" s="2"/>
      <c r="M361" s="2"/>
      <c r="N361" s="2"/>
      <c r="O361" s="2"/>
      <c r="P361" s="2"/>
      <c r="Q361" s="2"/>
      <c r="R361" s="7"/>
      <c r="S361" s="224"/>
      <c r="T361" s="224"/>
      <c r="U361" s="224"/>
      <c r="V361" s="224"/>
    </row>
    <row r="362">
      <c r="A362" s="33"/>
      <c r="B362" s="2"/>
      <c r="C362" s="2"/>
      <c r="D362" s="2"/>
      <c r="E362" s="2"/>
      <c r="F362" s="4"/>
      <c r="G362" s="2"/>
      <c r="H362" s="2"/>
      <c r="I362" s="2"/>
      <c r="J362" s="2"/>
      <c r="K362" s="5"/>
      <c r="L362" s="2"/>
      <c r="M362" s="2"/>
      <c r="N362" s="2"/>
      <c r="O362" s="2"/>
      <c r="P362" s="2"/>
      <c r="Q362" s="2"/>
      <c r="R362" s="7"/>
      <c r="S362" s="224"/>
      <c r="T362" s="224"/>
      <c r="U362" s="224"/>
      <c r="V362" s="224"/>
    </row>
    <row r="363">
      <c r="A363" s="33"/>
      <c r="B363" s="2"/>
      <c r="C363" s="2"/>
      <c r="D363" s="2"/>
      <c r="E363" s="2"/>
      <c r="F363" s="4"/>
      <c r="G363" s="2"/>
      <c r="H363" s="2"/>
      <c r="I363" s="2"/>
      <c r="J363" s="2"/>
      <c r="K363" s="5"/>
      <c r="L363" s="2"/>
      <c r="M363" s="2"/>
      <c r="N363" s="2"/>
      <c r="O363" s="2"/>
      <c r="P363" s="2"/>
      <c r="Q363" s="2"/>
      <c r="R363" s="7"/>
      <c r="S363" s="224"/>
      <c r="T363" s="224"/>
      <c r="U363" s="224"/>
      <c r="V363" s="224"/>
    </row>
    <row r="364">
      <c r="A364" s="33"/>
      <c r="B364" s="2"/>
      <c r="C364" s="2"/>
      <c r="D364" s="2"/>
      <c r="E364" s="2"/>
      <c r="F364" s="4"/>
      <c r="G364" s="2"/>
      <c r="H364" s="2"/>
      <c r="I364" s="2"/>
      <c r="J364" s="2"/>
      <c r="K364" s="5"/>
      <c r="L364" s="2"/>
      <c r="M364" s="2"/>
      <c r="N364" s="2"/>
      <c r="O364" s="2"/>
      <c r="P364" s="2"/>
      <c r="Q364" s="2"/>
      <c r="R364" s="7"/>
      <c r="S364" s="224"/>
      <c r="T364" s="224"/>
      <c r="U364" s="224"/>
      <c r="V364" s="224"/>
    </row>
    <row r="365">
      <c r="A365" s="33"/>
      <c r="B365" s="2"/>
      <c r="C365" s="2"/>
      <c r="D365" s="2"/>
      <c r="E365" s="2"/>
      <c r="F365" s="4"/>
      <c r="G365" s="2"/>
      <c r="H365" s="2"/>
      <c r="I365" s="2"/>
      <c r="J365" s="2"/>
      <c r="K365" s="5"/>
      <c r="L365" s="2"/>
      <c r="M365" s="2"/>
      <c r="N365" s="2"/>
      <c r="O365" s="2"/>
      <c r="P365" s="2"/>
      <c r="Q365" s="2"/>
      <c r="R365" s="7"/>
      <c r="S365" s="224"/>
      <c r="T365" s="224"/>
      <c r="U365" s="224"/>
      <c r="V365" s="224"/>
    </row>
    <row r="366">
      <c r="A366" s="33"/>
      <c r="B366" s="2"/>
      <c r="C366" s="2"/>
      <c r="D366" s="2"/>
      <c r="E366" s="2"/>
      <c r="F366" s="4"/>
      <c r="G366" s="2"/>
      <c r="H366" s="2"/>
      <c r="I366" s="2"/>
      <c r="J366" s="2"/>
      <c r="K366" s="5"/>
      <c r="L366" s="2"/>
      <c r="M366" s="2"/>
      <c r="N366" s="2"/>
      <c r="O366" s="2"/>
      <c r="P366" s="2"/>
      <c r="Q366" s="2"/>
      <c r="R366" s="7"/>
      <c r="S366" s="224"/>
      <c r="T366" s="224"/>
      <c r="U366" s="224"/>
      <c r="V366" s="224"/>
    </row>
    <row r="367">
      <c r="A367" s="33"/>
      <c r="B367" s="2"/>
      <c r="C367" s="2"/>
      <c r="D367" s="2"/>
      <c r="E367" s="2"/>
      <c r="F367" s="4"/>
      <c r="G367" s="2"/>
      <c r="H367" s="2"/>
      <c r="I367" s="2"/>
      <c r="J367" s="2"/>
      <c r="K367" s="5"/>
      <c r="L367" s="2"/>
      <c r="M367" s="2"/>
      <c r="N367" s="2"/>
      <c r="O367" s="2"/>
      <c r="P367" s="2"/>
      <c r="Q367" s="2"/>
      <c r="R367" s="7"/>
      <c r="S367" s="224"/>
      <c r="T367" s="224"/>
      <c r="U367" s="224"/>
      <c r="V367" s="224"/>
    </row>
    <row r="368">
      <c r="A368" s="33"/>
      <c r="B368" s="2"/>
      <c r="C368" s="2"/>
      <c r="D368" s="2"/>
      <c r="E368" s="2"/>
      <c r="F368" s="4"/>
      <c r="G368" s="2"/>
      <c r="H368" s="2"/>
      <c r="I368" s="2"/>
      <c r="J368" s="2"/>
      <c r="K368" s="5"/>
      <c r="L368" s="2"/>
      <c r="M368" s="2"/>
      <c r="N368" s="2"/>
      <c r="O368" s="2"/>
      <c r="P368" s="2"/>
      <c r="Q368" s="2"/>
      <c r="R368" s="7"/>
      <c r="S368" s="224"/>
      <c r="T368" s="224"/>
      <c r="U368" s="224"/>
      <c r="V368" s="224"/>
    </row>
    <row r="369">
      <c r="A369" s="33"/>
      <c r="B369" s="2"/>
      <c r="C369" s="2"/>
      <c r="D369" s="2"/>
      <c r="E369" s="2"/>
      <c r="F369" s="4"/>
      <c r="G369" s="2"/>
      <c r="H369" s="2"/>
      <c r="I369" s="2"/>
      <c r="J369" s="2"/>
      <c r="K369" s="5"/>
      <c r="L369" s="2"/>
      <c r="M369" s="2"/>
      <c r="N369" s="2"/>
      <c r="O369" s="2"/>
      <c r="P369" s="2"/>
      <c r="Q369" s="2"/>
      <c r="R369" s="7"/>
      <c r="S369" s="224"/>
      <c r="T369" s="224"/>
      <c r="U369" s="224"/>
      <c r="V369" s="224"/>
    </row>
    <row r="370">
      <c r="A370" s="33"/>
      <c r="B370" s="2"/>
      <c r="C370" s="2"/>
      <c r="D370" s="2"/>
      <c r="E370" s="2"/>
      <c r="F370" s="4"/>
      <c r="G370" s="2"/>
      <c r="H370" s="2"/>
      <c r="I370" s="2"/>
      <c r="J370" s="2"/>
      <c r="K370" s="5"/>
      <c r="L370" s="2"/>
      <c r="M370" s="2"/>
      <c r="N370" s="2"/>
      <c r="O370" s="2"/>
      <c r="P370" s="2"/>
      <c r="Q370" s="2"/>
      <c r="R370" s="7"/>
      <c r="S370" s="224"/>
      <c r="T370" s="224"/>
      <c r="U370" s="224"/>
      <c r="V370" s="224"/>
    </row>
    <row r="371">
      <c r="A371" s="33"/>
      <c r="B371" s="2"/>
      <c r="C371" s="2"/>
      <c r="D371" s="2"/>
      <c r="E371" s="2"/>
      <c r="F371" s="4"/>
      <c r="G371" s="2"/>
      <c r="H371" s="2"/>
      <c r="I371" s="2"/>
      <c r="J371" s="2"/>
      <c r="K371" s="5"/>
      <c r="L371" s="2"/>
      <c r="M371" s="2"/>
      <c r="N371" s="2"/>
      <c r="O371" s="2"/>
      <c r="P371" s="2"/>
      <c r="Q371" s="2"/>
      <c r="R371" s="7"/>
      <c r="S371" s="224"/>
      <c r="T371" s="224"/>
      <c r="U371" s="224"/>
      <c r="V371" s="224"/>
    </row>
    <row r="372">
      <c r="A372" s="33"/>
      <c r="B372" s="2"/>
      <c r="C372" s="2"/>
      <c r="D372" s="2"/>
      <c r="E372" s="2"/>
      <c r="F372" s="4"/>
      <c r="G372" s="2"/>
      <c r="H372" s="2"/>
      <c r="I372" s="2"/>
      <c r="J372" s="2"/>
      <c r="K372" s="5"/>
      <c r="L372" s="2"/>
      <c r="M372" s="2"/>
      <c r="N372" s="2"/>
      <c r="O372" s="2"/>
      <c r="P372" s="2"/>
      <c r="Q372" s="2"/>
      <c r="R372" s="7"/>
      <c r="S372" s="224"/>
      <c r="T372" s="224"/>
      <c r="U372" s="224"/>
      <c r="V372" s="224"/>
    </row>
    <row r="373">
      <c r="A373" s="33"/>
      <c r="B373" s="2"/>
      <c r="C373" s="2"/>
      <c r="D373" s="2"/>
      <c r="E373" s="2"/>
      <c r="F373" s="4"/>
      <c r="G373" s="2"/>
      <c r="H373" s="2"/>
      <c r="I373" s="2"/>
      <c r="J373" s="2"/>
      <c r="K373" s="5"/>
      <c r="L373" s="2"/>
      <c r="M373" s="2"/>
      <c r="N373" s="2"/>
      <c r="O373" s="2"/>
      <c r="P373" s="2"/>
      <c r="Q373" s="2"/>
      <c r="R373" s="7"/>
      <c r="S373" s="224"/>
      <c r="T373" s="224"/>
      <c r="U373" s="224"/>
      <c r="V373" s="224"/>
    </row>
    <row r="374">
      <c r="A374" s="33"/>
      <c r="B374" s="2"/>
      <c r="C374" s="2"/>
      <c r="D374" s="2"/>
      <c r="E374" s="2"/>
      <c r="F374" s="4"/>
      <c r="G374" s="2"/>
      <c r="H374" s="2"/>
      <c r="I374" s="2"/>
      <c r="J374" s="2"/>
      <c r="K374" s="5"/>
      <c r="L374" s="2"/>
      <c r="M374" s="2"/>
      <c r="N374" s="2"/>
      <c r="O374" s="2"/>
      <c r="P374" s="2"/>
      <c r="Q374" s="2"/>
      <c r="R374" s="7"/>
      <c r="S374" s="224"/>
      <c r="T374" s="224"/>
      <c r="U374" s="224"/>
      <c r="V374" s="224"/>
    </row>
    <row r="375">
      <c r="A375" s="33"/>
      <c r="B375" s="2"/>
      <c r="C375" s="2"/>
      <c r="D375" s="2"/>
      <c r="E375" s="2"/>
      <c r="F375" s="4"/>
      <c r="G375" s="2"/>
      <c r="H375" s="2"/>
      <c r="I375" s="2"/>
      <c r="J375" s="2"/>
      <c r="K375" s="5"/>
      <c r="L375" s="2"/>
      <c r="M375" s="2"/>
      <c r="N375" s="2"/>
      <c r="O375" s="2"/>
      <c r="P375" s="2"/>
      <c r="Q375" s="2"/>
      <c r="R375" s="7"/>
      <c r="S375" s="224"/>
      <c r="T375" s="224"/>
      <c r="U375" s="224"/>
      <c r="V375" s="224"/>
    </row>
    <row r="376">
      <c r="A376" s="33"/>
      <c r="B376" s="2"/>
      <c r="C376" s="2"/>
      <c r="D376" s="2"/>
      <c r="E376" s="2"/>
      <c r="F376" s="4"/>
      <c r="G376" s="2"/>
      <c r="H376" s="2"/>
      <c r="I376" s="2"/>
      <c r="J376" s="2"/>
      <c r="K376" s="5"/>
      <c r="L376" s="2"/>
      <c r="M376" s="2"/>
      <c r="N376" s="2"/>
      <c r="O376" s="2"/>
      <c r="P376" s="2"/>
      <c r="Q376" s="2"/>
      <c r="R376" s="7"/>
      <c r="S376" s="224"/>
      <c r="T376" s="224"/>
      <c r="U376" s="224"/>
      <c r="V376" s="224"/>
    </row>
    <row r="377">
      <c r="A377" s="33"/>
      <c r="B377" s="2"/>
      <c r="C377" s="2"/>
      <c r="D377" s="2"/>
      <c r="E377" s="2"/>
      <c r="F377" s="4"/>
      <c r="G377" s="2"/>
      <c r="H377" s="2"/>
      <c r="I377" s="2"/>
      <c r="J377" s="2"/>
      <c r="K377" s="5"/>
      <c r="L377" s="2"/>
      <c r="M377" s="2"/>
      <c r="N377" s="2"/>
      <c r="O377" s="2"/>
      <c r="P377" s="2"/>
      <c r="Q377" s="2"/>
      <c r="R377" s="7"/>
      <c r="S377" s="224"/>
      <c r="T377" s="224"/>
      <c r="U377" s="224"/>
      <c r="V377" s="224"/>
    </row>
    <row r="378">
      <c r="A378" s="33"/>
      <c r="B378" s="2"/>
      <c r="C378" s="2"/>
      <c r="D378" s="2"/>
      <c r="E378" s="2"/>
      <c r="F378" s="4"/>
      <c r="G378" s="2"/>
      <c r="H378" s="2"/>
      <c r="I378" s="2"/>
      <c r="J378" s="2"/>
      <c r="K378" s="5"/>
      <c r="L378" s="2"/>
      <c r="M378" s="2"/>
      <c r="N378" s="2"/>
      <c r="O378" s="2"/>
      <c r="P378" s="2"/>
      <c r="Q378" s="2"/>
      <c r="R378" s="7"/>
      <c r="S378" s="224"/>
      <c r="T378" s="224"/>
      <c r="U378" s="224"/>
      <c r="V378" s="224"/>
    </row>
    <row r="379">
      <c r="A379" s="33"/>
      <c r="B379" s="2"/>
      <c r="C379" s="2"/>
      <c r="D379" s="2"/>
      <c r="E379" s="2"/>
      <c r="F379" s="4"/>
      <c r="G379" s="2"/>
      <c r="H379" s="2"/>
      <c r="I379" s="2"/>
      <c r="J379" s="2"/>
      <c r="K379" s="5"/>
      <c r="L379" s="2"/>
      <c r="M379" s="2"/>
      <c r="N379" s="2"/>
      <c r="O379" s="2"/>
      <c r="P379" s="2"/>
      <c r="Q379" s="2"/>
      <c r="R379" s="7"/>
      <c r="S379" s="224"/>
      <c r="T379" s="224"/>
      <c r="U379" s="224"/>
      <c r="V379" s="224"/>
    </row>
    <row r="380">
      <c r="A380" s="33"/>
      <c r="B380" s="2"/>
      <c r="C380" s="2"/>
      <c r="D380" s="2"/>
      <c r="E380" s="2"/>
      <c r="F380" s="4"/>
      <c r="G380" s="2"/>
      <c r="H380" s="2"/>
      <c r="I380" s="2"/>
      <c r="J380" s="2"/>
      <c r="K380" s="5"/>
      <c r="L380" s="2"/>
      <c r="M380" s="2"/>
      <c r="N380" s="2"/>
      <c r="O380" s="2"/>
      <c r="P380" s="2"/>
      <c r="Q380" s="2"/>
      <c r="R380" s="7"/>
      <c r="S380" s="224"/>
      <c r="T380" s="224"/>
      <c r="U380" s="224"/>
      <c r="V380" s="224"/>
    </row>
    <row r="381">
      <c r="A381" s="33"/>
      <c r="B381" s="2"/>
      <c r="C381" s="2"/>
      <c r="D381" s="2"/>
      <c r="E381" s="2"/>
      <c r="F381" s="4"/>
      <c r="G381" s="2"/>
      <c r="H381" s="2"/>
      <c r="I381" s="2"/>
      <c r="J381" s="2"/>
      <c r="K381" s="5"/>
      <c r="L381" s="2"/>
      <c r="M381" s="2"/>
      <c r="N381" s="2"/>
      <c r="O381" s="2"/>
      <c r="P381" s="2"/>
      <c r="Q381" s="2"/>
      <c r="R381" s="7"/>
      <c r="S381" s="224"/>
      <c r="T381" s="224"/>
      <c r="U381" s="224"/>
      <c r="V381" s="224"/>
    </row>
    <row r="382">
      <c r="A382" s="33"/>
      <c r="B382" s="2"/>
      <c r="C382" s="2"/>
      <c r="D382" s="2"/>
      <c r="E382" s="2"/>
      <c r="F382" s="4"/>
      <c r="G382" s="2"/>
      <c r="H382" s="2"/>
      <c r="I382" s="2"/>
      <c r="J382" s="2"/>
      <c r="K382" s="5"/>
      <c r="L382" s="2"/>
      <c r="M382" s="2"/>
      <c r="N382" s="2"/>
      <c r="O382" s="2"/>
      <c r="P382" s="2"/>
      <c r="Q382" s="2"/>
      <c r="R382" s="7"/>
      <c r="S382" s="224"/>
      <c r="T382" s="224"/>
      <c r="U382" s="224"/>
      <c r="V382" s="224"/>
    </row>
    <row r="383">
      <c r="A383" s="33"/>
      <c r="B383" s="2"/>
      <c r="C383" s="2"/>
      <c r="D383" s="2"/>
      <c r="E383" s="2"/>
      <c r="F383" s="4"/>
      <c r="G383" s="2"/>
      <c r="H383" s="2"/>
      <c r="I383" s="2"/>
      <c r="J383" s="2"/>
      <c r="K383" s="5"/>
      <c r="L383" s="2"/>
      <c r="M383" s="2"/>
      <c r="N383" s="2"/>
      <c r="O383" s="2"/>
      <c r="P383" s="2"/>
      <c r="Q383" s="2"/>
      <c r="R383" s="7"/>
      <c r="S383" s="224"/>
      <c r="T383" s="224"/>
      <c r="U383" s="224"/>
      <c r="V383" s="224"/>
    </row>
    <row r="384">
      <c r="A384" s="33"/>
      <c r="B384" s="2"/>
      <c r="C384" s="2"/>
      <c r="D384" s="2"/>
      <c r="E384" s="2"/>
      <c r="F384" s="4"/>
      <c r="G384" s="2"/>
      <c r="H384" s="2"/>
      <c r="I384" s="2"/>
      <c r="J384" s="2"/>
      <c r="K384" s="5"/>
      <c r="L384" s="2"/>
      <c r="M384" s="2"/>
      <c r="N384" s="2"/>
      <c r="O384" s="2"/>
      <c r="P384" s="2"/>
      <c r="Q384" s="2"/>
      <c r="R384" s="7"/>
      <c r="S384" s="224"/>
      <c r="T384" s="224"/>
      <c r="U384" s="224"/>
      <c r="V384" s="224"/>
    </row>
    <row r="385">
      <c r="A385" s="33"/>
      <c r="B385" s="2"/>
      <c r="C385" s="2"/>
      <c r="D385" s="2"/>
      <c r="E385" s="2"/>
      <c r="F385" s="4"/>
      <c r="G385" s="2"/>
      <c r="H385" s="2"/>
      <c r="I385" s="2"/>
      <c r="J385" s="2"/>
      <c r="K385" s="5"/>
      <c r="L385" s="2"/>
      <c r="M385" s="2"/>
      <c r="N385" s="2"/>
      <c r="O385" s="2"/>
      <c r="P385" s="2"/>
      <c r="Q385" s="2"/>
      <c r="R385" s="7"/>
      <c r="S385" s="224"/>
      <c r="T385" s="224"/>
      <c r="U385" s="224"/>
      <c r="V385" s="224"/>
    </row>
    <row r="386">
      <c r="A386" s="33"/>
      <c r="B386" s="2"/>
      <c r="C386" s="2"/>
      <c r="D386" s="2"/>
      <c r="E386" s="2"/>
      <c r="F386" s="4"/>
      <c r="G386" s="2"/>
      <c r="H386" s="2"/>
      <c r="I386" s="2"/>
      <c r="J386" s="2"/>
      <c r="K386" s="5"/>
      <c r="L386" s="2"/>
      <c r="M386" s="2"/>
      <c r="N386" s="2"/>
      <c r="O386" s="2"/>
      <c r="P386" s="2"/>
      <c r="Q386" s="2"/>
      <c r="R386" s="7"/>
      <c r="S386" s="224"/>
      <c r="T386" s="224"/>
      <c r="U386" s="224"/>
      <c r="V386" s="224"/>
    </row>
    <row r="387">
      <c r="A387" s="33"/>
      <c r="B387" s="2"/>
      <c r="C387" s="2"/>
      <c r="D387" s="2"/>
      <c r="E387" s="2"/>
      <c r="F387" s="4"/>
      <c r="G387" s="2"/>
      <c r="H387" s="2"/>
      <c r="I387" s="2"/>
      <c r="J387" s="2"/>
      <c r="K387" s="5"/>
      <c r="L387" s="2"/>
      <c r="M387" s="2"/>
      <c r="N387" s="2"/>
      <c r="O387" s="2"/>
      <c r="P387" s="2"/>
      <c r="Q387" s="2"/>
      <c r="R387" s="7"/>
      <c r="S387" s="224"/>
      <c r="T387" s="224"/>
      <c r="U387" s="224"/>
      <c r="V387" s="224"/>
    </row>
    <row r="388">
      <c r="A388" s="33"/>
      <c r="B388" s="2"/>
      <c r="C388" s="2"/>
      <c r="D388" s="2"/>
      <c r="E388" s="2"/>
      <c r="F388" s="4"/>
      <c r="G388" s="2"/>
      <c r="H388" s="2"/>
      <c r="I388" s="2"/>
      <c r="J388" s="2"/>
      <c r="K388" s="5"/>
      <c r="L388" s="2"/>
      <c r="M388" s="2"/>
      <c r="N388" s="2"/>
      <c r="O388" s="2"/>
      <c r="P388" s="2"/>
      <c r="Q388" s="2"/>
      <c r="R388" s="7"/>
      <c r="S388" s="224"/>
      <c r="T388" s="224"/>
      <c r="U388" s="224"/>
      <c r="V388" s="224"/>
    </row>
    <row r="389">
      <c r="A389" s="33"/>
      <c r="B389" s="2"/>
      <c r="C389" s="2"/>
      <c r="D389" s="2"/>
      <c r="E389" s="2"/>
      <c r="F389" s="4"/>
      <c r="G389" s="2"/>
      <c r="H389" s="2"/>
      <c r="I389" s="2"/>
      <c r="J389" s="2"/>
      <c r="K389" s="5"/>
      <c r="L389" s="2"/>
      <c r="M389" s="2"/>
      <c r="N389" s="2"/>
      <c r="O389" s="2"/>
      <c r="P389" s="2"/>
      <c r="Q389" s="2"/>
      <c r="R389" s="7"/>
      <c r="S389" s="224"/>
      <c r="T389" s="224"/>
      <c r="U389" s="224"/>
      <c r="V389" s="224"/>
    </row>
    <row r="390">
      <c r="A390" s="33"/>
      <c r="B390" s="2"/>
      <c r="C390" s="2"/>
      <c r="D390" s="2"/>
      <c r="E390" s="2"/>
      <c r="F390" s="4"/>
      <c r="G390" s="2"/>
      <c r="H390" s="2"/>
      <c r="I390" s="2"/>
      <c r="J390" s="2"/>
      <c r="K390" s="5"/>
      <c r="L390" s="2"/>
      <c r="M390" s="2"/>
      <c r="N390" s="2"/>
      <c r="O390" s="2"/>
      <c r="P390" s="2"/>
      <c r="Q390" s="2"/>
      <c r="R390" s="7"/>
      <c r="S390" s="224"/>
      <c r="T390" s="224"/>
      <c r="U390" s="224"/>
      <c r="V390" s="224"/>
    </row>
    <row r="391">
      <c r="A391" s="33"/>
      <c r="B391" s="2"/>
      <c r="C391" s="2"/>
      <c r="D391" s="2"/>
      <c r="E391" s="2"/>
      <c r="F391" s="4"/>
      <c r="G391" s="2"/>
      <c r="H391" s="2"/>
      <c r="I391" s="2"/>
      <c r="J391" s="2"/>
      <c r="K391" s="5"/>
      <c r="L391" s="2"/>
      <c r="M391" s="2"/>
      <c r="N391" s="2"/>
      <c r="O391" s="2"/>
      <c r="P391" s="2"/>
      <c r="Q391" s="2"/>
      <c r="R391" s="7"/>
      <c r="S391" s="224"/>
      <c r="T391" s="224"/>
      <c r="U391" s="224"/>
      <c r="V391" s="224"/>
    </row>
    <row r="392">
      <c r="A392" s="33"/>
      <c r="B392" s="2"/>
      <c r="C392" s="2"/>
      <c r="D392" s="2"/>
      <c r="E392" s="2"/>
      <c r="F392" s="4"/>
      <c r="G392" s="2"/>
      <c r="H392" s="2"/>
      <c r="I392" s="2"/>
      <c r="J392" s="2"/>
      <c r="K392" s="5"/>
      <c r="L392" s="2"/>
      <c r="M392" s="2"/>
      <c r="N392" s="2"/>
      <c r="O392" s="2"/>
      <c r="P392" s="2"/>
      <c r="Q392" s="2"/>
      <c r="R392" s="7"/>
      <c r="S392" s="224"/>
      <c r="T392" s="224"/>
      <c r="U392" s="224"/>
      <c r="V392" s="224"/>
    </row>
    <row r="393">
      <c r="A393" s="33"/>
      <c r="B393" s="2"/>
      <c r="C393" s="2"/>
      <c r="D393" s="2"/>
      <c r="E393" s="2"/>
      <c r="F393" s="4"/>
      <c r="G393" s="2"/>
      <c r="H393" s="2"/>
      <c r="I393" s="2"/>
      <c r="J393" s="2"/>
      <c r="K393" s="5"/>
      <c r="L393" s="2"/>
      <c r="M393" s="2"/>
      <c r="N393" s="2"/>
      <c r="O393" s="2"/>
      <c r="P393" s="2"/>
      <c r="Q393" s="2"/>
      <c r="R393" s="7"/>
      <c r="S393" s="224"/>
      <c r="T393" s="224"/>
      <c r="U393" s="224"/>
      <c r="V393" s="224"/>
    </row>
    <row r="394">
      <c r="A394" s="33"/>
      <c r="B394" s="2"/>
      <c r="C394" s="2"/>
      <c r="D394" s="2"/>
      <c r="E394" s="2"/>
      <c r="F394" s="4"/>
      <c r="G394" s="2"/>
      <c r="H394" s="2"/>
      <c r="I394" s="2"/>
      <c r="J394" s="2"/>
      <c r="K394" s="5"/>
      <c r="L394" s="2"/>
      <c r="M394" s="2"/>
      <c r="N394" s="2"/>
      <c r="O394" s="2"/>
      <c r="P394" s="2"/>
      <c r="Q394" s="2"/>
      <c r="R394" s="7"/>
      <c r="S394" s="224"/>
      <c r="T394" s="224"/>
      <c r="U394" s="224"/>
      <c r="V394" s="224"/>
    </row>
    <row r="395">
      <c r="A395" s="33"/>
      <c r="B395" s="2"/>
      <c r="C395" s="2"/>
      <c r="D395" s="2"/>
      <c r="E395" s="2"/>
      <c r="F395" s="4"/>
      <c r="G395" s="2"/>
      <c r="H395" s="2"/>
      <c r="I395" s="2"/>
      <c r="J395" s="2"/>
      <c r="K395" s="5"/>
      <c r="L395" s="2"/>
      <c r="M395" s="2"/>
      <c r="N395" s="2"/>
      <c r="O395" s="2"/>
      <c r="P395" s="2"/>
      <c r="Q395" s="2"/>
      <c r="R395" s="7"/>
      <c r="S395" s="224"/>
      <c r="T395" s="224"/>
      <c r="U395" s="224"/>
      <c r="V395" s="224"/>
    </row>
    <row r="396">
      <c r="A396" s="33"/>
      <c r="B396" s="2"/>
      <c r="C396" s="2"/>
      <c r="D396" s="2"/>
      <c r="E396" s="2"/>
      <c r="F396" s="4"/>
      <c r="G396" s="2"/>
      <c r="H396" s="2"/>
      <c r="I396" s="2"/>
      <c r="J396" s="2"/>
      <c r="K396" s="5"/>
      <c r="L396" s="2"/>
      <c r="M396" s="2"/>
      <c r="N396" s="2"/>
      <c r="O396" s="2"/>
      <c r="P396" s="2"/>
      <c r="Q396" s="2"/>
      <c r="R396" s="7"/>
      <c r="S396" s="224"/>
      <c r="T396" s="224"/>
      <c r="U396" s="224"/>
      <c r="V396" s="224"/>
    </row>
    <row r="397">
      <c r="A397" s="33"/>
      <c r="B397" s="2"/>
      <c r="C397" s="2"/>
      <c r="D397" s="2"/>
      <c r="E397" s="2"/>
      <c r="F397" s="4"/>
      <c r="G397" s="2"/>
      <c r="H397" s="2"/>
      <c r="I397" s="2"/>
      <c r="J397" s="2"/>
      <c r="K397" s="5"/>
      <c r="L397" s="2"/>
      <c r="M397" s="2"/>
      <c r="N397" s="2"/>
      <c r="O397" s="2"/>
      <c r="P397" s="2"/>
      <c r="Q397" s="2"/>
      <c r="R397" s="7"/>
      <c r="S397" s="224"/>
      <c r="T397" s="224"/>
      <c r="U397" s="224"/>
      <c r="V397" s="224"/>
    </row>
    <row r="398">
      <c r="A398" s="33"/>
      <c r="B398" s="2"/>
      <c r="C398" s="2"/>
      <c r="D398" s="2"/>
      <c r="E398" s="2"/>
      <c r="F398" s="4"/>
      <c r="G398" s="2"/>
      <c r="H398" s="2"/>
      <c r="I398" s="2"/>
      <c r="J398" s="2"/>
      <c r="K398" s="5"/>
      <c r="L398" s="2"/>
      <c r="M398" s="2"/>
      <c r="N398" s="2"/>
      <c r="O398" s="2"/>
      <c r="P398" s="2"/>
      <c r="Q398" s="2"/>
      <c r="R398" s="7"/>
      <c r="S398" s="224"/>
      <c r="T398" s="224"/>
      <c r="U398" s="224"/>
      <c r="V398" s="224"/>
    </row>
    <row r="399">
      <c r="A399" s="33"/>
      <c r="B399" s="2"/>
      <c r="C399" s="2"/>
      <c r="D399" s="2"/>
      <c r="E399" s="2"/>
      <c r="F399" s="4"/>
      <c r="G399" s="2"/>
      <c r="H399" s="2"/>
      <c r="I399" s="2"/>
      <c r="J399" s="2"/>
      <c r="K399" s="5"/>
      <c r="L399" s="2"/>
      <c r="M399" s="2"/>
      <c r="N399" s="2"/>
      <c r="O399" s="2"/>
      <c r="P399" s="2"/>
      <c r="Q399" s="2"/>
      <c r="R399" s="7"/>
      <c r="S399" s="224"/>
      <c r="T399" s="224"/>
      <c r="U399" s="224"/>
      <c r="V399" s="224"/>
    </row>
    <row r="400">
      <c r="A400" s="33"/>
      <c r="B400" s="2"/>
      <c r="C400" s="2"/>
      <c r="D400" s="2"/>
      <c r="E400" s="2"/>
      <c r="F400" s="4"/>
      <c r="G400" s="2"/>
      <c r="H400" s="2"/>
      <c r="I400" s="2"/>
      <c r="J400" s="2"/>
      <c r="K400" s="5"/>
      <c r="L400" s="2"/>
      <c r="M400" s="2"/>
      <c r="N400" s="2"/>
      <c r="O400" s="2"/>
      <c r="P400" s="2"/>
      <c r="Q400" s="2"/>
      <c r="R400" s="7"/>
      <c r="S400" s="224"/>
      <c r="T400" s="224"/>
      <c r="U400" s="224"/>
      <c r="V400" s="224"/>
    </row>
    <row r="401">
      <c r="A401" s="33"/>
      <c r="B401" s="2"/>
      <c r="C401" s="2"/>
      <c r="D401" s="2"/>
      <c r="E401" s="2"/>
      <c r="F401" s="4"/>
      <c r="G401" s="2"/>
      <c r="H401" s="2"/>
      <c r="I401" s="2"/>
      <c r="J401" s="2"/>
      <c r="K401" s="5"/>
      <c r="L401" s="2"/>
      <c r="M401" s="2"/>
      <c r="N401" s="2"/>
      <c r="O401" s="2"/>
      <c r="P401" s="2"/>
      <c r="Q401" s="2"/>
      <c r="R401" s="7"/>
      <c r="S401" s="224"/>
      <c r="T401" s="224"/>
      <c r="U401" s="224"/>
      <c r="V401" s="224"/>
    </row>
    <row r="402">
      <c r="A402" s="33"/>
      <c r="B402" s="2"/>
      <c r="C402" s="2"/>
      <c r="D402" s="2"/>
      <c r="E402" s="2"/>
      <c r="F402" s="4"/>
      <c r="G402" s="2"/>
      <c r="H402" s="2"/>
      <c r="I402" s="2"/>
      <c r="J402" s="2"/>
      <c r="K402" s="5"/>
      <c r="L402" s="2"/>
      <c r="M402" s="2"/>
      <c r="N402" s="2"/>
      <c r="O402" s="2"/>
      <c r="P402" s="2"/>
      <c r="Q402" s="2"/>
      <c r="R402" s="7"/>
      <c r="S402" s="224"/>
      <c r="T402" s="224"/>
      <c r="U402" s="224"/>
      <c r="V402" s="224"/>
    </row>
    <row r="403">
      <c r="A403" s="33"/>
      <c r="B403" s="2"/>
      <c r="C403" s="2"/>
      <c r="D403" s="2"/>
      <c r="E403" s="2"/>
      <c r="F403" s="4"/>
      <c r="G403" s="2"/>
      <c r="H403" s="2"/>
      <c r="I403" s="2"/>
      <c r="J403" s="2"/>
      <c r="K403" s="5"/>
      <c r="L403" s="2"/>
      <c r="M403" s="2"/>
      <c r="N403" s="2"/>
      <c r="O403" s="2"/>
      <c r="P403" s="2"/>
      <c r="Q403" s="2"/>
      <c r="R403" s="7"/>
      <c r="S403" s="224"/>
      <c r="T403" s="224"/>
      <c r="U403" s="224"/>
      <c r="V403" s="224"/>
    </row>
    <row r="404">
      <c r="A404" s="33"/>
      <c r="B404" s="2"/>
      <c r="C404" s="2"/>
      <c r="D404" s="2"/>
      <c r="E404" s="2"/>
      <c r="F404" s="4"/>
      <c r="G404" s="2"/>
      <c r="H404" s="2"/>
      <c r="I404" s="2"/>
      <c r="J404" s="2"/>
      <c r="K404" s="5"/>
      <c r="L404" s="2"/>
      <c r="M404" s="2"/>
      <c r="N404" s="2"/>
      <c r="O404" s="2"/>
      <c r="P404" s="2"/>
      <c r="Q404" s="2"/>
      <c r="R404" s="7"/>
      <c r="S404" s="224"/>
      <c r="T404" s="224"/>
      <c r="U404" s="224"/>
      <c r="V404" s="224"/>
    </row>
    <row r="405">
      <c r="A405" s="33"/>
      <c r="B405" s="2"/>
      <c r="C405" s="2"/>
      <c r="D405" s="2"/>
      <c r="E405" s="2"/>
      <c r="F405" s="4"/>
      <c r="G405" s="2"/>
      <c r="H405" s="2"/>
      <c r="I405" s="2"/>
      <c r="J405" s="2"/>
      <c r="K405" s="5"/>
      <c r="L405" s="2"/>
      <c r="M405" s="2"/>
      <c r="N405" s="2"/>
      <c r="O405" s="2"/>
      <c r="P405" s="2"/>
      <c r="Q405" s="2"/>
      <c r="R405" s="7"/>
      <c r="S405" s="224"/>
      <c r="T405" s="224"/>
      <c r="U405" s="224"/>
      <c r="V405" s="224"/>
    </row>
    <row r="406">
      <c r="A406" s="33"/>
      <c r="B406" s="2"/>
      <c r="C406" s="2"/>
      <c r="D406" s="2"/>
      <c r="E406" s="2"/>
      <c r="F406" s="4"/>
      <c r="G406" s="2"/>
      <c r="H406" s="2"/>
      <c r="I406" s="2"/>
      <c r="J406" s="2"/>
      <c r="K406" s="5"/>
      <c r="L406" s="2"/>
      <c r="M406" s="2"/>
      <c r="N406" s="2"/>
      <c r="O406" s="2"/>
      <c r="P406" s="2"/>
      <c r="Q406" s="2"/>
      <c r="R406" s="7"/>
      <c r="S406" s="224"/>
      <c r="T406" s="224"/>
      <c r="U406" s="224"/>
      <c r="V406" s="224"/>
    </row>
    <row r="407">
      <c r="A407" s="33"/>
      <c r="B407" s="2"/>
      <c r="C407" s="2"/>
      <c r="D407" s="2"/>
      <c r="E407" s="2"/>
      <c r="F407" s="4"/>
      <c r="G407" s="2"/>
      <c r="H407" s="2"/>
      <c r="I407" s="2"/>
      <c r="J407" s="2"/>
      <c r="K407" s="5"/>
      <c r="L407" s="2"/>
      <c r="M407" s="2"/>
      <c r="N407" s="2"/>
      <c r="O407" s="2"/>
      <c r="P407" s="2"/>
      <c r="Q407" s="2"/>
      <c r="R407" s="7"/>
      <c r="S407" s="224"/>
      <c r="T407" s="224"/>
      <c r="U407" s="224"/>
      <c r="V407" s="224"/>
    </row>
    <row r="408">
      <c r="A408" s="33"/>
      <c r="B408" s="2"/>
      <c r="C408" s="2"/>
      <c r="D408" s="2"/>
      <c r="E408" s="2"/>
      <c r="F408" s="4"/>
      <c r="G408" s="2"/>
      <c r="H408" s="2"/>
      <c r="I408" s="2"/>
      <c r="J408" s="2"/>
      <c r="K408" s="5"/>
      <c r="L408" s="2"/>
      <c r="M408" s="2"/>
      <c r="N408" s="2"/>
      <c r="O408" s="2"/>
      <c r="P408" s="2"/>
      <c r="Q408" s="2"/>
      <c r="R408" s="7"/>
      <c r="S408" s="224"/>
      <c r="T408" s="224"/>
      <c r="U408" s="224"/>
      <c r="V408" s="224"/>
    </row>
    <row r="409">
      <c r="A409" s="33"/>
      <c r="B409" s="2"/>
      <c r="C409" s="2"/>
      <c r="D409" s="2"/>
      <c r="E409" s="2"/>
      <c r="F409" s="4"/>
      <c r="G409" s="2"/>
      <c r="H409" s="2"/>
      <c r="I409" s="2"/>
      <c r="J409" s="2"/>
      <c r="K409" s="5"/>
      <c r="L409" s="2"/>
      <c r="M409" s="2"/>
      <c r="N409" s="2"/>
      <c r="O409" s="2"/>
      <c r="P409" s="2"/>
      <c r="Q409" s="2"/>
      <c r="R409" s="7"/>
      <c r="S409" s="224"/>
      <c r="T409" s="224"/>
      <c r="U409" s="224"/>
      <c r="V409" s="224"/>
    </row>
    <row r="410">
      <c r="A410" s="33"/>
      <c r="B410" s="2"/>
      <c r="C410" s="2"/>
      <c r="D410" s="2"/>
      <c r="E410" s="2"/>
      <c r="F410" s="4"/>
      <c r="G410" s="2"/>
      <c r="H410" s="2"/>
      <c r="I410" s="2"/>
      <c r="J410" s="2"/>
      <c r="K410" s="5"/>
      <c r="L410" s="2"/>
      <c r="M410" s="2"/>
      <c r="N410" s="2"/>
      <c r="O410" s="2"/>
      <c r="P410" s="2"/>
      <c r="Q410" s="2"/>
      <c r="R410" s="7"/>
      <c r="S410" s="224"/>
      <c r="T410" s="224"/>
      <c r="U410" s="224"/>
      <c r="V410" s="224"/>
    </row>
    <row r="411">
      <c r="A411" s="33"/>
      <c r="B411" s="2"/>
      <c r="C411" s="2"/>
      <c r="D411" s="2"/>
      <c r="E411" s="2"/>
      <c r="F411" s="4"/>
      <c r="G411" s="2"/>
      <c r="H411" s="2"/>
      <c r="I411" s="2"/>
      <c r="J411" s="2"/>
      <c r="K411" s="5"/>
      <c r="L411" s="2"/>
      <c r="M411" s="2"/>
      <c r="N411" s="2"/>
      <c r="O411" s="2"/>
      <c r="P411" s="2"/>
      <c r="Q411" s="2"/>
      <c r="R411" s="7"/>
      <c r="S411" s="224"/>
      <c r="T411" s="224"/>
      <c r="U411" s="224"/>
      <c r="V411" s="224"/>
    </row>
    <row r="412">
      <c r="A412" s="33"/>
      <c r="B412" s="2"/>
      <c r="C412" s="2"/>
      <c r="D412" s="2"/>
      <c r="E412" s="2"/>
      <c r="F412" s="4"/>
      <c r="G412" s="2"/>
      <c r="H412" s="2"/>
      <c r="I412" s="2"/>
      <c r="J412" s="2"/>
      <c r="K412" s="5"/>
      <c r="L412" s="2"/>
      <c r="M412" s="2"/>
      <c r="N412" s="2"/>
      <c r="O412" s="2"/>
      <c r="P412" s="2"/>
      <c r="Q412" s="2"/>
      <c r="R412" s="7"/>
      <c r="S412" s="224"/>
      <c r="T412" s="224"/>
      <c r="U412" s="224"/>
      <c r="V412" s="224"/>
    </row>
    <row r="413">
      <c r="A413" s="33"/>
      <c r="B413" s="2"/>
      <c r="C413" s="2"/>
      <c r="D413" s="2"/>
      <c r="E413" s="2"/>
      <c r="F413" s="4"/>
      <c r="G413" s="2"/>
      <c r="H413" s="2"/>
      <c r="I413" s="2"/>
      <c r="J413" s="2"/>
      <c r="K413" s="5"/>
      <c r="L413" s="2"/>
      <c r="M413" s="2"/>
      <c r="N413" s="2"/>
      <c r="O413" s="2"/>
      <c r="P413" s="2"/>
      <c r="Q413" s="2"/>
      <c r="R413" s="7"/>
      <c r="S413" s="224"/>
      <c r="T413" s="224"/>
      <c r="U413" s="224"/>
      <c r="V413" s="224"/>
    </row>
    <row r="414">
      <c r="A414" s="33"/>
      <c r="B414" s="2"/>
      <c r="C414" s="2"/>
      <c r="D414" s="2"/>
      <c r="E414" s="2"/>
      <c r="F414" s="4"/>
      <c r="G414" s="2"/>
      <c r="H414" s="2"/>
      <c r="I414" s="2"/>
      <c r="J414" s="2"/>
      <c r="K414" s="5"/>
      <c r="L414" s="2"/>
      <c r="M414" s="2"/>
      <c r="N414" s="2"/>
      <c r="O414" s="2"/>
      <c r="P414" s="2"/>
      <c r="Q414" s="2"/>
      <c r="R414" s="7"/>
      <c r="S414" s="224"/>
      <c r="T414" s="224"/>
      <c r="U414" s="224"/>
      <c r="V414" s="224"/>
    </row>
    <row r="415">
      <c r="A415" s="33"/>
      <c r="B415" s="2"/>
      <c r="C415" s="2"/>
      <c r="D415" s="2"/>
      <c r="E415" s="2"/>
      <c r="F415" s="4"/>
      <c r="G415" s="2"/>
      <c r="H415" s="2"/>
      <c r="I415" s="2"/>
      <c r="J415" s="2"/>
      <c r="K415" s="5"/>
      <c r="L415" s="2"/>
      <c r="M415" s="2"/>
      <c r="N415" s="2"/>
      <c r="O415" s="2"/>
      <c r="P415" s="2"/>
      <c r="Q415" s="2"/>
      <c r="R415" s="7"/>
      <c r="S415" s="224"/>
      <c r="T415" s="224"/>
      <c r="U415" s="224"/>
      <c r="V415" s="224"/>
    </row>
    <row r="416">
      <c r="A416" s="33"/>
      <c r="B416" s="2"/>
      <c r="C416" s="2"/>
      <c r="D416" s="2"/>
      <c r="E416" s="2"/>
      <c r="F416" s="4"/>
      <c r="G416" s="2"/>
      <c r="H416" s="2"/>
      <c r="I416" s="2"/>
      <c r="J416" s="2"/>
      <c r="K416" s="5"/>
      <c r="L416" s="2"/>
      <c r="M416" s="2"/>
      <c r="N416" s="2"/>
      <c r="O416" s="2"/>
      <c r="P416" s="2"/>
      <c r="Q416" s="2"/>
      <c r="R416" s="7"/>
      <c r="S416" s="224"/>
      <c r="T416" s="224"/>
      <c r="U416" s="224"/>
      <c r="V416" s="224"/>
    </row>
    <row r="417">
      <c r="A417" s="33"/>
      <c r="B417" s="2"/>
      <c r="C417" s="2"/>
      <c r="D417" s="2"/>
      <c r="E417" s="2"/>
      <c r="F417" s="4"/>
      <c r="G417" s="2"/>
      <c r="H417" s="2"/>
      <c r="I417" s="2"/>
      <c r="J417" s="2"/>
      <c r="K417" s="5"/>
      <c r="L417" s="2"/>
      <c r="M417" s="2"/>
      <c r="N417" s="2"/>
      <c r="O417" s="2"/>
      <c r="P417" s="2"/>
      <c r="Q417" s="2"/>
      <c r="R417" s="7"/>
      <c r="S417" s="224"/>
      <c r="T417" s="224"/>
      <c r="U417" s="224"/>
      <c r="V417" s="224"/>
    </row>
    <row r="418">
      <c r="A418" s="33"/>
      <c r="B418" s="2"/>
      <c r="C418" s="2"/>
      <c r="D418" s="2"/>
      <c r="E418" s="2"/>
      <c r="F418" s="4"/>
      <c r="G418" s="2"/>
      <c r="H418" s="2"/>
      <c r="I418" s="2"/>
      <c r="J418" s="2"/>
      <c r="K418" s="5"/>
      <c r="L418" s="2"/>
      <c r="M418" s="2"/>
      <c r="N418" s="2"/>
      <c r="O418" s="2"/>
      <c r="P418" s="2"/>
      <c r="Q418" s="2"/>
      <c r="R418" s="7"/>
      <c r="S418" s="224"/>
      <c r="T418" s="224"/>
      <c r="U418" s="224"/>
      <c r="V418" s="224"/>
    </row>
    <row r="419">
      <c r="A419" s="33"/>
      <c r="B419" s="2"/>
      <c r="C419" s="2"/>
      <c r="D419" s="2"/>
      <c r="E419" s="2"/>
      <c r="F419" s="4"/>
      <c r="G419" s="2"/>
      <c r="H419" s="2"/>
      <c r="I419" s="2"/>
      <c r="J419" s="2"/>
      <c r="K419" s="5"/>
      <c r="L419" s="2"/>
      <c r="M419" s="2"/>
      <c r="N419" s="2"/>
      <c r="O419" s="2"/>
      <c r="P419" s="2"/>
      <c r="Q419" s="2"/>
      <c r="R419" s="7"/>
      <c r="S419" s="224"/>
      <c r="T419" s="224"/>
      <c r="U419" s="224"/>
      <c r="V419" s="224"/>
    </row>
    <row r="420">
      <c r="A420" s="33"/>
      <c r="B420" s="2"/>
      <c r="C420" s="2"/>
      <c r="D420" s="2"/>
      <c r="E420" s="2"/>
      <c r="F420" s="4"/>
      <c r="G420" s="2"/>
      <c r="H420" s="2"/>
      <c r="I420" s="2"/>
      <c r="J420" s="2"/>
      <c r="K420" s="5"/>
      <c r="L420" s="2"/>
      <c r="M420" s="2"/>
      <c r="N420" s="2"/>
      <c r="O420" s="2"/>
      <c r="P420" s="2"/>
      <c r="Q420" s="2"/>
      <c r="R420" s="7"/>
      <c r="S420" s="224"/>
      <c r="T420" s="224"/>
      <c r="U420" s="224"/>
      <c r="V420" s="224"/>
    </row>
    <row r="421">
      <c r="A421" s="33"/>
      <c r="B421" s="2"/>
      <c r="C421" s="2"/>
      <c r="D421" s="2"/>
      <c r="E421" s="2"/>
      <c r="F421" s="4"/>
      <c r="G421" s="2"/>
      <c r="H421" s="2"/>
      <c r="I421" s="2"/>
      <c r="J421" s="2"/>
      <c r="K421" s="5"/>
      <c r="L421" s="2"/>
      <c r="M421" s="2"/>
      <c r="N421" s="2"/>
      <c r="O421" s="2"/>
      <c r="P421" s="2"/>
      <c r="Q421" s="2"/>
      <c r="R421" s="7"/>
      <c r="S421" s="224"/>
      <c r="T421" s="224"/>
      <c r="U421" s="224"/>
      <c r="V421" s="224"/>
    </row>
    <row r="422">
      <c r="A422" s="33"/>
      <c r="B422" s="2"/>
      <c r="C422" s="2"/>
      <c r="D422" s="2"/>
      <c r="E422" s="2"/>
      <c r="F422" s="4"/>
      <c r="G422" s="2"/>
      <c r="H422" s="2"/>
      <c r="I422" s="2"/>
      <c r="J422" s="2"/>
      <c r="K422" s="5"/>
      <c r="L422" s="2"/>
      <c r="M422" s="2"/>
      <c r="N422" s="2"/>
      <c r="O422" s="2"/>
      <c r="P422" s="2"/>
      <c r="Q422" s="2"/>
      <c r="R422" s="7"/>
      <c r="S422" s="224"/>
      <c r="T422" s="224"/>
      <c r="U422" s="224"/>
      <c r="V422" s="224"/>
    </row>
    <row r="423">
      <c r="A423" s="33"/>
      <c r="B423" s="2"/>
      <c r="C423" s="2"/>
      <c r="D423" s="2"/>
      <c r="E423" s="2"/>
      <c r="F423" s="4"/>
      <c r="G423" s="2"/>
      <c r="H423" s="2"/>
      <c r="I423" s="2"/>
      <c r="J423" s="2"/>
      <c r="K423" s="5"/>
      <c r="L423" s="2"/>
      <c r="M423" s="2"/>
      <c r="N423" s="2"/>
      <c r="O423" s="2"/>
      <c r="P423" s="2"/>
      <c r="Q423" s="2"/>
      <c r="R423" s="7"/>
      <c r="S423" s="224"/>
      <c r="T423" s="224"/>
      <c r="U423" s="224"/>
      <c r="V423" s="224"/>
    </row>
    <row r="424">
      <c r="A424" s="33"/>
      <c r="B424" s="2"/>
      <c r="C424" s="2"/>
      <c r="D424" s="2"/>
      <c r="E424" s="2"/>
      <c r="F424" s="4"/>
      <c r="G424" s="2"/>
      <c r="H424" s="2"/>
      <c r="I424" s="2"/>
      <c r="J424" s="2"/>
      <c r="K424" s="5"/>
      <c r="L424" s="2"/>
      <c r="M424" s="2"/>
      <c r="N424" s="2"/>
      <c r="O424" s="2"/>
      <c r="P424" s="2"/>
      <c r="Q424" s="2"/>
      <c r="R424" s="7"/>
      <c r="S424" s="224"/>
      <c r="T424" s="224"/>
      <c r="U424" s="224"/>
      <c r="V424" s="224"/>
    </row>
    <row r="425">
      <c r="A425" s="33"/>
      <c r="B425" s="2"/>
      <c r="C425" s="2"/>
      <c r="D425" s="2"/>
      <c r="E425" s="2"/>
      <c r="F425" s="4"/>
      <c r="G425" s="2"/>
      <c r="H425" s="2"/>
      <c r="I425" s="2"/>
      <c r="J425" s="2"/>
      <c r="K425" s="5"/>
      <c r="L425" s="2"/>
      <c r="M425" s="2"/>
      <c r="N425" s="2"/>
      <c r="O425" s="2"/>
      <c r="P425" s="2"/>
      <c r="Q425" s="2"/>
      <c r="R425" s="7"/>
      <c r="S425" s="224"/>
      <c r="T425" s="224"/>
      <c r="U425" s="224"/>
      <c r="V425" s="224"/>
    </row>
    <row r="426">
      <c r="A426" s="33"/>
      <c r="B426" s="2"/>
      <c r="C426" s="2"/>
      <c r="D426" s="2"/>
      <c r="E426" s="2"/>
      <c r="F426" s="4"/>
      <c r="G426" s="2"/>
      <c r="H426" s="2"/>
      <c r="I426" s="2"/>
      <c r="J426" s="2"/>
      <c r="K426" s="5"/>
      <c r="L426" s="2"/>
      <c r="M426" s="2"/>
      <c r="N426" s="2"/>
      <c r="O426" s="2"/>
      <c r="P426" s="2"/>
      <c r="Q426" s="2"/>
      <c r="R426" s="7"/>
      <c r="S426" s="224"/>
      <c r="T426" s="224"/>
      <c r="U426" s="224"/>
      <c r="V426" s="224"/>
    </row>
    <row r="427">
      <c r="A427" s="33"/>
      <c r="B427" s="2"/>
      <c r="C427" s="2"/>
      <c r="D427" s="2"/>
      <c r="E427" s="2"/>
      <c r="F427" s="4"/>
      <c r="G427" s="2"/>
      <c r="H427" s="2"/>
      <c r="I427" s="2"/>
      <c r="J427" s="2"/>
      <c r="K427" s="5"/>
      <c r="L427" s="2"/>
      <c r="M427" s="2"/>
      <c r="N427" s="2"/>
      <c r="O427" s="2"/>
      <c r="P427" s="2"/>
      <c r="Q427" s="2"/>
      <c r="R427" s="7"/>
      <c r="S427" s="224"/>
      <c r="T427" s="224"/>
      <c r="U427" s="224"/>
      <c r="V427" s="224"/>
    </row>
    <row r="428">
      <c r="A428" s="33"/>
      <c r="B428" s="2"/>
      <c r="C428" s="2"/>
      <c r="D428" s="2"/>
      <c r="E428" s="2"/>
      <c r="F428" s="4"/>
      <c r="G428" s="2"/>
      <c r="H428" s="2"/>
      <c r="I428" s="2"/>
      <c r="J428" s="2"/>
      <c r="K428" s="5"/>
      <c r="L428" s="2"/>
      <c r="M428" s="2"/>
      <c r="N428" s="2"/>
      <c r="O428" s="2"/>
      <c r="P428" s="2"/>
      <c r="Q428" s="2"/>
      <c r="R428" s="7"/>
      <c r="S428" s="224"/>
      <c r="T428" s="224"/>
      <c r="U428" s="224"/>
      <c r="V428" s="224"/>
    </row>
    <row r="429">
      <c r="A429" s="33"/>
      <c r="B429" s="2"/>
      <c r="C429" s="2"/>
      <c r="D429" s="2"/>
      <c r="E429" s="2"/>
      <c r="F429" s="4"/>
      <c r="G429" s="2"/>
      <c r="H429" s="2"/>
      <c r="I429" s="2"/>
      <c r="J429" s="2"/>
      <c r="K429" s="5"/>
      <c r="L429" s="2"/>
      <c r="M429" s="2"/>
      <c r="N429" s="2"/>
      <c r="O429" s="2"/>
      <c r="P429" s="2"/>
      <c r="Q429" s="2"/>
      <c r="R429" s="7"/>
      <c r="S429" s="224"/>
      <c r="T429" s="224"/>
      <c r="U429" s="224"/>
      <c r="V429" s="224"/>
    </row>
    <row r="430">
      <c r="A430" s="33"/>
      <c r="B430" s="2"/>
      <c r="C430" s="2"/>
      <c r="D430" s="2"/>
      <c r="E430" s="2"/>
      <c r="F430" s="4"/>
      <c r="G430" s="2"/>
      <c r="H430" s="2"/>
      <c r="I430" s="2"/>
      <c r="J430" s="2"/>
      <c r="K430" s="5"/>
      <c r="L430" s="2"/>
      <c r="M430" s="2"/>
      <c r="N430" s="2"/>
      <c r="O430" s="2"/>
      <c r="P430" s="2"/>
      <c r="Q430" s="2"/>
      <c r="R430" s="7"/>
      <c r="S430" s="224"/>
      <c r="T430" s="224"/>
      <c r="U430" s="224"/>
      <c r="V430" s="224"/>
    </row>
    <row r="431">
      <c r="A431" s="33"/>
      <c r="B431" s="2"/>
      <c r="C431" s="2"/>
      <c r="D431" s="2"/>
      <c r="E431" s="2"/>
      <c r="F431" s="4"/>
      <c r="G431" s="2"/>
      <c r="H431" s="2"/>
      <c r="I431" s="2"/>
      <c r="J431" s="2"/>
      <c r="K431" s="5"/>
      <c r="L431" s="2"/>
      <c r="M431" s="2"/>
      <c r="N431" s="2"/>
      <c r="O431" s="2"/>
      <c r="P431" s="2"/>
      <c r="Q431" s="2"/>
      <c r="R431" s="7"/>
      <c r="S431" s="224"/>
      <c r="T431" s="224"/>
      <c r="U431" s="224"/>
      <c r="V431" s="224"/>
    </row>
    <row r="432">
      <c r="A432" s="33"/>
      <c r="B432" s="2"/>
      <c r="C432" s="2"/>
      <c r="D432" s="2"/>
      <c r="E432" s="2"/>
      <c r="F432" s="4"/>
      <c r="G432" s="2"/>
      <c r="H432" s="2"/>
      <c r="I432" s="2"/>
      <c r="J432" s="2"/>
      <c r="K432" s="5"/>
      <c r="L432" s="2"/>
      <c r="M432" s="2"/>
      <c r="N432" s="2"/>
      <c r="O432" s="2"/>
      <c r="P432" s="2"/>
      <c r="Q432" s="2"/>
      <c r="R432" s="7"/>
      <c r="S432" s="224"/>
      <c r="T432" s="224"/>
      <c r="U432" s="224"/>
      <c r="V432" s="224"/>
    </row>
    <row r="433">
      <c r="A433" s="33"/>
      <c r="B433" s="2"/>
      <c r="C433" s="2"/>
      <c r="D433" s="2"/>
      <c r="E433" s="2"/>
      <c r="F433" s="4"/>
      <c r="G433" s="2"/>
      <c r="H433" s="2"/>
      <c r="I433" s="2"/>
      <c r="J433" s="2"/>
      <c r="K433" s="5"/>
      <c r="L433" s="2"/>
      <c r="M433" s="2"/>
      <c r="N433" s="2"/>
      <c r="O433" s="2"/>
      <c r="P433" s="2"/>
      <c r="Q433" s="2"/>
      <c r="R433" s="7"/>
      <c r="S433" s="224"/>
      <c r="T433" s="224"/>
      <c r="U433" s="224"/>
      <c r="V433" s="224"/>
    </row>
    <row r="434">
      <c r="A434" s="33"/>
      <c r="B434" s="2"/>
      <c r="C434" s="2"/>
      <c r="D434" s="2"/>
      <c r="E434" s="2"/>
      <c r="F434" s="4"/>
      <c r="G434" s="2"/>
      <c r="H434" s="2"/>
      <c r="I434" s="2"/>
      <c r="J434" s="2"/>
      <c r="K434" s="5"/>
      <c r="L434" s="2"/>
      <c r="M434" s="2"/>
      <c r="N434" s="2"/>
      <c r="O434" s="2"/>
      <c r="P434" s="2"/>
      <c r="Q434" s="2"/>
      <c r="R434" s="7"/>
      <c r="S434" s="224"/>
      <c r="T434" s="224"/>
      <c r="U434" s="224"/>
      <c r="V434" s="224"/>
    </row>
    <row r="435">
      <c r="A435" s="33"/>
      <c r="B435" s="2"/>
      <c r="C435" s="2"/>
      <c r="D435" s="2"/>
      <c r="E435" s="2"/>
      <c r="F435" s="4"/>
      <c r="G435" s="2"/>
      <c r="H435" s="2"/>
      <c r="I435" s="2"/>
      <c r="J435" s="2"/>
      <c r="K435" s="5"/>
      <c r="L435" s="2"/>
      <c r="M435" s="2"/>
      <c r="N435" s="2"/>
      <c r="O435" s="2"/>
      <c r="P435" s="2"/>
      <c r="Q435" s="2"/>
      <c r="R435" s="7"/>
      <c r="S435" s="224"/>
      <c r="T435" s="224"/>
      <c r="U435" s="224"/>
      <c r="V435" s="224"/>
    </row>
    <row r="436">
      <c r="A436" s="33"/>
      <c r="B436" s="2"/>
      <c r="C436" s="2"/>
      <c r="D436" s="2"/>
      <c r="E436" s="2"/>
      <c r="F436" s="4"/>
      <c r="G436" s="2"/>
      <c r="H436" s="2"/>
      <c r="I436" s="2"/>
      <c r="J436" s="2"/>
      <c r="K436" s="5"/>
      <c r="L436" s="2"/>
      <c r="M436" s="2"/>
      <c r="N436" s="2"/>
      <c r="O436" s="2"/>
      <c r="P436" s="2"/>
      <c r="Q436" s="2"/>
      <c r="R436" s="7"/>
      <c r="S436" s="224"/>
      <c r="T436" s="224"/>
      <c r="U436" s="224"/>
      <c r="V436" s="224"/>
    </row>
    <row r="437">
      <c r="A437" s="33"/>
      <c r="B437" s="2"/>
      <c r="C437" s="2"/>
      <c r="D437" s="2"/>
      <c r="E437" s="2"/>
      <c r="F437" s="4"/>
      <c r="G437" s="2"/>
      <c r="H437" s="2"/>
      <c r="I437" s="2"/>
      <c r="J437" s="2"/>
      <c r="K437" s="5"/>
      <c r="L437" s="2"/>
      <c r="M437" s="2"/>
      <c r="N437" s="2"/>
      <c r="O437" s="2"/>
      <c r="P437" s="2"/>
      <c r="Q437" s="2"/>
      <c r="R437" s="7"/>
      <c r="S437" s="224"/>
      <c r="T437" s="224"/>
      <c r="U437" s="224"/>
      <c r="V437" s="224"/>
    </row>
    <row r="438">
      <c r="A438" s="33"/>
      <c r="B438" s="2"/>
      <c r="C438" s="2"/>
      <c r="D438" s="2"/>
      <c r="E438" s="2"/>
      <c r="F438" s="4"/>
      <c r="G438" s="2"/>
      <c r="H438" s="2"/>
      <c r="I438" s="2"/>
      <c r="J438" s="2"/>
      <c r="K438" s="5"/>
      <c r="L438" s="2"/>
      <c r="M438" s="2"/>
      <c r="N438" s="2"/>
      <c r="O438" s="2"/>
      <c r="P438" s="2"/>
      <c r="Q438" s="2"/>
      <c r="R438" s="7"/>
      <c r="S438" s="224"/>
      <c r="T438" s="224"/>
      <c r="U438" s="224"/>
      <c r="V438" s="224"/>
    </row>
    <row r="439">
      <c r="A439" s="33"/>
      <c r="B439" s="2"/>
      <c r="C439" s="2"/>
      <c r="D439" s="2"/>
      <c r="E439" s="2"/>
      <c r="F439" s="4"/>
      <c r="G439" s="2"/>
      <c r="H439" s="2"/>
      <c r="I439" s="2"/>
      <c r="J439" s="2"/>
      <c r="K439" s="5"/>
      <c r="L439" s="2"/>
      <c r="M439" s="2"/>
      <c r="N439" s="2"/>
      <c r="O439" s="2"/>
      <c r="P439" s="2"/>
      <c r="Q439" s="2"/>
      <c r="R439" s="7"/>
      <c r="S439" s="224"/>
      <c r="T439" s="224"/>
      <c r="U439" s="224"/>
      <c r="V439" s="224"/>
    </row>
    <row r="440">
      <c r="A440" s="33"/>
      <c r="B440" s="2"/>
      <c r="C440" s="2"/>
      <c r="D440" s="2"/>
      <c r="E440" s="2"/>
      <c r="F440" s="4"/>
      <c r="G440" s="2"/>
      <c r="H440" s="2"/>
      <c r="I440" s="2"/>
      <c r="J440" s="2"/>
      <c r="K440" s="5"/>
      <c r="L440" s="2"/>
      <c r="M440" s="2"/>
      <c r="N440" s="2"/>
      <c r="O440" s="2"/>
      <c r="P440" s="2"/>
      <c r="Q440" s="2"/>
      <c r="R440" s="7"/>
      <c r="S440" s="224"/>
      <c r="T440" s="224"/>
      <c r="U440" s="224"/>
      <c r="V440" s="224"/>
    </row>
    <row r="441">
      <c r="A441" s="33"/>
      <c r="B441" s="2"/>
      <c r="C441" s="2"/>
      <c r="D441" s="2"/>
      <c r="E441" s="2"/>
      <c r="F441" s="4"/>
      <c r="G441" s="2"/>
      <c r="H441" s="2"/>
      <c r="I441" s="2"/>
      <c r="J441" s="2"/>
      <c r="K441" s="5"/>
      <c r="L441" s="2"/>
      <c r="M441" s="2"/>
      <c r="N441" s="2"/>
      <c r="O441" s="2"/>
      <c r="P441" s="2"/>
      <c r="Q441" s="2"/>
      <c r="R441" s="7"/>
      <c r="S441" s="224"/>
      <c r="T441" s="224"/>
      <c r="U441" s="224"/>
      <c r="V441" s="224"/>
    </row>
    <row r="442">
      <c r="A442" s="33"/>
      <c r="B442" s="2"/>
      <c r="C442" s="2"/>
      <c r="D442" s="2"/>
      <c r="E442" s="2"/>
      <c r="F442" s="4"/>
      <c r="G442" s="2"/>
      <c r="H442" s="2"/>
      <c r="I442" s="2"/>
      <c r="J442" s="2"/>
      <c r="K442" s="5"/>
      <c r="L442" s="2"/>
      <c r="M442" s="2"/>
      <c r="N442" s="2"/>
      <c r="O442" s="2"/>
      <c r="P442" s="2"/>
      <c r="Q442" s="2"/>
      <c r="R442" s="7"/>
      <c r="S442" s="224"/>
      <c r="T442" s="224"/>
      <c r="U442" s="224"/>
      <c r="V442" s="224"/>
    </row>
    <row r="443">
      <c r="A443" s="33"/>
      <c r="B443" s="2"/>
      <c r="C443" s="2"/>
      <c r="D443" s="2"/>
      <c r="E443" s="2"/>
      <c r="F443" s="4"/>
      <c r="G443" s="2"/>
      <c r="H443" s="2"/>
      <c r="I443" s="2"/>
      <c r="J443" s="2"/>
      <c r="K443" s="5"/>
      <c r="L443" s="2"/>
      <c r="M443" s="2"/>
      <c r="N443" s="2"/>
      <c r="O443" s="2"/>
      <c r="P443" s="2"/>
      <c r="Q443" s="2"/>
      <c r="R443" s="7"/>
      <c r="S443" s="224"/>
      <c r="T443" s="224"/>
      <c r="U443" s="224"/>
      <c r="V443" s="224"/>
    </row>
    <row r="444">
      <c r="A444" s="33"/>
      <c r="B444" s="2"/>
      <c r="C444" s="2"/>
      <c r="D444" s="2"/>
      <c r="E444" s="2"/>
      <c r="F444" s="4"/>
      <c r="G444" s="2"/>
      <c r="H444" s="2"/>
      <c r="I444" s="2"/>
      <c r="J444" s="2"/>
      <c r="K444" s="5"/>
      <c r="L444" s="2"/>
      <c r="M444" s="2"/>
      <c r="N444" s="2"/>
      <c r="O444" s="2"/>
      <c r="P444" s="2"/>
      <c r="Q444" s="2"/>
      <c r="R444" s="7"/>
      <c r="S444" s="224"/>
      <c r="T444" s="224"/>
      <c r="U444" s="224"/>
      <c r="V444" s="224"/>
    </row>
    <row r="445">
      <c r="A445" s="33"/>
      <c r="B445" s="2"/>
      <c r="C445" s="2"/>
      <c r="D445" s="2"/>
      <c r="E445" s="2"/>
      <c r="F445" s="4"/>
      <c r="G445" s="2"/>
      <c r="H445" s="2"/>
      <c r="I445" s="2"/>
      <c r="J445" s="2"/>
      <c r="K445" s="5"/>
      <c r="L445" s="2"/>
      <c r="M445" s="2"/>
      <c r="N445" s="2"/>
      <c r="O445" s="2"/>
      <c r="P445" s="2"/>
      <c r="Q445" s="2"/>
      <c r="R445" s="7"/>
      <c r="S445" s="224"/>
      <c r="T445" s="224"/>
      <c r="U445" s="224"/>
      <c r="V445" s="224"/>
    </row>
    <row r="446">
      <c r="A446" s="33"/>
      <c r="B446" s="2"/>
      <c r="C446" s="2"/>
      <c r="D446" s="2"/>
      <c r="E446" s="2"/>
      <c r="F446" s="4"/>
      <c r="G446" s="2"/>
      <c r="H446" s="2"/>
      <c r="I446" s="2"/>
      <c r="J446" s="2"/>
      <c r="K446" s="5"/>
      <c r="L446" s="2"/>
      <c r="M446" s="2"/>
      <c r="N446" s="2"/>
      <c r="O446" s="2"/>
      <c r="P446" s="2"/>
      <c r="Q446" s="2"/>
      <c r="R446" s="7"/>
      <c r="S446" s="224"/>
      <c r="T446" s="224"/>
      <c r="U446" s="224"/>
      <c r="V446" s="224"/>
    </row>
    <row r="447">
      <c r="A447" s="33"/>
      <c r="B447" s="2"/>
      <c r="C447" s="2"/>
      <c r="D447" s="2"/>
      <c r="E447" s="2"/>
      <c r="F447" s="4"/>
      <c r="G447" s="2"/>
      <c r="H447" s="2"/>
      <c r="I447" s="2"/>
      <c r="J447" s="2"/>
      <c r="K447" s="5"/>
      <c r="L447" s="2"/>
      <c r="M447" s="2"/>
      <c r="N447" s="2"/>
      <c r="O447" s="2"/>
      <c r="P447" s="2"/>
      <c r="Q447" s="2"/>
      <c r="R447" s="7"/>
      <c r="S447" s="224"/>
      <c r="T447" s="224"/>
      <c r="U447" s="224"/>
      <c r="V447" s="224"/>
    </row>
    <row r="448">
      <c r="A448" s="33"/>
      <c r="B448" s="2"/>
      <c r="C448" s="2"/>
      <c r="D448" s="2"/>
      <c r="E448" s="2"/>
      <c r="F448" s="4"/>
      <c r="G448" s="2"/>
      <c r="H448" s="2"/>
      <c r="I448" s="2"/>
      <c r="J448" s="2"/>
      <c r="K448" s="5"/>
      <c r="L448" s="2"/>
      <c r="M448" s="2"/>
      <c r="N448" s="2"/>
      <c r="O448" s="2"/>
      <c r="P448" s="2"/>
      <c r="Q448" s="2"/>
      <c r="R448" s="7"/>
      <c r="S448" s="224"/>
      <c r="T448" s="224"/>
      <c r="U448" s="224"/>
      <c r="V448" s="224"/>
    </row>
    <row r="449">
      <c r="A449" s="33"/>
      <c r="B449" s="2"/>
      <c r="C449" s="2"/>
      <c r="D449" s="2"/>
      <c r="E449" s="2"/>
      <c r="F449" s="4"/>
      <c r="G449" s="2"/>
      <c r="H449" s="2"/>
      <c r="I449" s="2"/>
      <c r="J449" s="2"/>
      <c r="K449" s="5"/>
      <c r="L449" s="2"/>
      <c r="M449" s="2"/>
      <c r="N449" s="2"/>
      <c r="O449" s="2"/>
      <c r="P449" s="2"/>
      <c r="Q449" s="2"/>
      <c r="R449" s="7"/>
      <c r="S449" s="224"/>
      <c r="T449" s="224"/>
      <c r="U449" s="224"/>
      <c r="V449" s="224"/>
    </row>
    <row r="450">
      <c r="A450" s="33"/>
      <c r="B450" s="2"/>
      <c r="C450" s="2"/>
      <c r="D450" s="2"/>
      <c r="E450" s="2"/>
      <c r="F450" s="4"/>
      <c r="G450" s="2"/>
      <c r="H450" s="2"/>
      <c r="I450" s="2"/>
      <c r="J450" s="2"/>
      <c r="K450" s="5"/>
      <c r="L450" s="2"/>
      <c r="M450" s="2"/>
      <c r="N450" s="2"/>
      <c r="O450" s="2"/>
      <c r="P450" s="2"/>
      <c r="Q450" s="2"/>
      <c r="R450" s="7"/>
      <c r="S450" s="224"/>
      <c r="T450" s="224"/>
      <c r="U450" s="224"/>
      <c r="V450" s="224"/>
    </row>
    <row r="451">
      <c r="A451" s="33"/>
      <c r="B451" s="2"/>
      <c r="C451" s="2"/>
      <c r="D451" s="2"/>
      <c r="E451" s="2"/>
      <c r="F451" s="4"/>
      <c r="G451" s="2"/>
      <c r="H451" s="2"/>
      <c r="I451" s="2"/>
      <c r="J451" s="2"/>
      <c r="K451" s="5"/>
      <c r="L451" s="2"/>
      <c r="M451" s="2"/>
      <c r="N451" s="2"/>
      <c r="O451" s="2"/>
      <c r="P451" s="2"/>
      <c r="Q451" s="2"/>
      <c r="R451" s="7"/>
      <c r="S451" s="224"/>
      <c r="T451" s="224"/>
      <c r="U451" s="224"/>
      <c r="V451" s="224"/>
    </row>
    <row r="452">
      <c r="A452" s="33"/>
      <c r="B452" s="2"/>
      <c r="C452" s="2"/>
      <c r="D452" s="2"/>
      <c r="E452" s="2"/>
      <c r="F452" s="4"/>
      <c r="G452" s="2"/>
      <c r="H452" s="2"/>
      <c r="I452" s="2"/>
      <c r="J452" s="2"/>
      <c r="K452" s="5"/>
      <c r="L452" s="2"/>
      <c r="M452" s="2"/>
      <c r="N452" s="2"/>
      <c r="O452" s="2"/>
      <c r="P452" s="2"/>
      <c r="Q452" s="2"/>
      <c r="R452" s="7"/>
      <c r="S452" s="224"/>
      <c r="T452" s="224"/>
      <c r="U452" s="224"/>
      <c r="V452" s="224"/>
    </row>
    <row r="453">
      <c r="A453" s="33"/>
      <c r="B453" s="2"/>
      <c r="C453" s="2"/>
      <c r="D453" s="2"/>
      <c r="E453" s="2"/>
      <c r="F453" s="4"/>
      <c r="G453" s="2"/>
      <c r="H453" s="2"/>
      <c r="I453" s="2"/>
      <c r="J453" s="2"/>
      <c r="K453" s="5"/>
      <c r="L453" s="2"/>
      <c r="M453" s="2"/>
      <c r="N453" s="2"/>
      <c r="O453" s="2"/>
      <c r="P453" s="2"/>
      <c r="Q453" s="2"/>
      <c r="R453" s="7"/>
      <c r="S453" s="224"/>
      <c r="T453" s="224"/>
      <c r="U453" s="224"/>
      <c r="V453" s="224"/>
    </row>
    <row r="454">
      <c r="A454" s="33"/>
      <c r="B454" s="2"/>
      <c r="C454" s="2"/>
      <c r="D454" s="2"/>
      <c r="E454" s="2"/>
      <c r="F454" s="4"/>
      <c r="G454" s="2"/>
      <c r="H454" s="2"/>
      <c r="I454" s="2"/>
      <c r="J454" s="2"/>
      <c r="K454" s="5"/>
      <c r="L454" s="2"/>
      <c r="M454" s="2"/>
      <c r="N454" s="2"/>
      <c r="O454" s="2"/>
      <c r="P454" s="2"/>
      <c r="Q454" s="2"/>
      <c r="R454" s="7"/>
      <c r="S454" s="224"/>
      <c r="T454" s="224"/>
      <c r="U454" s="224"/>
      <c r="V454" s="224"/>
    </row>
    <row r="455">
      <c r="A455" s="33"/>
      <c r="B455" s="2"/>
      <c r="C455" s="2"/>
      <c r="D455" s="2"/>
      <c r="E455" s="2"/>
      <c r="F455" s="4"/>
      <c r="G455" s="2"/>
      <c r="H455" s="2"/>
      <c r="I455" s="2"/>
      <c r="J455" s="2"/>
      <c r="K455" s="5"/>
      <c r="L455" s="2"/>
      <c r="M455" s="2"/>
      <c r="N455" s="2"/>
      <c r="O455" s="2"/>
      <c r="P455" s="2"/>
      <c r="Q455" s="2"/>
      <c r="R455" s="7"/>
      <c r="S455" s="224"/>
      <c r="T455" s="224"/>
      <c r="U455" s="224"/>
      <c r="V455" s="224"/>
    </row>
    <row r="456">
      <c r="A456" s="33"/>
      <c r="B456" s="2"/>
      <c r="C456" s="2"/>
      <c r="D456" s="2"/>
      <c r="E456" s="2"/>
      <c r="F456" s="4"/>
      <c r="G456" s="2"/>
      <c r="H456" s="2"/>
      <c r="I456" s="2"/>
      <c r="J456" s="2"/>
      <c r="K456" s="5"/>
      <c r="L456" s="2"/>
      <c r="M456" s="2"/>
      <c r="N456" s="2"/>
      <c r="O456" s="2"/>
      <c r="P456" s="2"/>
      <c r="Q456" s="2"/>
      <c r="R456" s="7"/>
      <c r="S456" s="224"/>
      <c r="T456" s="224"/>
      <c r="U456" s="224"/>
      <c r="V456" s="224"/>
    </row>
    <row r="457">
      <c r="A457" s="33"/>
      <c r="B457" s="2"/>
      <c r="C457" s="2"/>
      <c r="D457" s="2"/>
      <c r="E457" s="2"/>
      <c r="F457" s="4"/>
      <c r="G457" s="2"/>
      <c r="H457" s="2"/>
      <c r="I457" s="2"/>
      <c r="J457" s="2"/>
      <c r="K457" s="5"/>
      <c r="L457" s="2"/>
      <c r="M457" s="2"/>
      <c r="N457" s="2"/>
      <c r="O457" s="2"/>
      <c r="P457" s="2"/>
      <c r="Q457" s="2"/>
      <c r="R457" s="7"/>
      <c r="S457" s="224"/>
      <c r="T457" s="224"/>
      <c r="U457" s="224"/>
      <c r="V457" s="224"/>
    </row>
    <row r="458">
      <c r="A458" s="33"/>
      <c r="B458" s="2"/>
      <c r="C458" s="2"/>
      <c r="D458" s="2"/>
      <c r="E458" s="2"/>
      <c r="F458" s="4"/>
      <c r="G458" s="2"/>
      <c r="H458" s="2"/>
      <c r="I458" s="2"/>
      <c r="J458" s="2"/>
      <c r="K458" s="5"/>
      <c r="L458" s="2"/>
      <c r="M458" s="2"/>
      <c r="N458" s="2"/>
      <c r="O458" s="2"/>
      <c r="P458" s="2"/>
      <c r="Q458" s="2"/>
      <c r="R458" s="7"/>
      <c r="S458" s="224"/>
      <c r="T458" s="224"/>
      <c r="U458" s="224"/>
      <c r="V458" s="224"/>
    </row>
    <row r="459">
      <c r="A459" s="33"/>
      <c r="B459" s="2"/>
      <c r="C459" s="2"/>
      <c r="D459" s="2"/>
      <c r="E459" s="2"/>
      <c r="F459" s="4"/>
      <c r="G459" s="2"/>
      <c r="H459" s="2"/>
      <c r="I459" s="2"/>
      <c r="J459" s="2"/>
      <c r="K459" s="5"/>
      <c r="L459" s="2"/>
      <c r="M459" s="2"/>
      <c r="N459" s="2"/>
      <c r="O459" s="2"/>
      <c r="P459" s="2"/>
      <c r="Q459" s="2"/>
      <c r="R459" s="7"/>
      <c r="S459" s="224"/>
      <c r="T459" s="224"/>
      <c r="U459" s="224"/>
      <c r="V459" s="224"/>
    </row>
    <row r="460">
      <c r="A460" s="33"/>
      <c r="B460" s="2"/>
      <c r="C460" s="2"/>
      <c r="D460" s="2"/>
      <c r="E460" s="2"/>
      <c r="F460" s="4"/>
      <c r="G460" s="2"/>
      <c r="H460" s="2"/>
      <c r="I460" s="2"/>
      <c r="J460" s="2"/>
      <c r="K460" s="5"/>
      <c r="L460" s="2"/>
      <c r="M460" s="2"/>
      <c r="N460" s="2"/>
      <c r="O460" s="2"/>
      <c r="P460" s="2"/>
      <c r="Q460" s="2"/>
      <c r="R460" s="7"/>
      <c r="S460" s="224"/>
      <c r="T460" s="224"/>
      <c r="U460" s="224"/>
      <c r="V460" s="224"/>
    </row>
    <row r="461">
      <c r="A461" s="33"/>
      <c r="B461" s="2"/>
      <c r="C461" s="2"/>
      <c r="D461" s="2"/>
      <c r="E461" s="2"/>
      <c r="F461" s="4"/>
      <c r="G461" s="2"/>
      <c r="H461" s="2"/>
      <c r="I461" s="2"/>
      <c r="J461" s="2"/>
      <c r="K461" s="5"/>
      <c r="L461" s="2"/>
      <c r="M461" s="2"/>
      <c r="N461" s="2"/>
      <c r="O461" s="2"/>
      <c r="P461" s="2"/>
      <c r="Q461" s="2"/>
      <c r="R461" s="7"/>
      <c r="S461" s="224"/>
      <c r="T461" s="224"/>
      <c r="U461" s="224"/>
      <c r="V461" s="224"/>
    </row>
    <row r="462">
      <c r="A462" s="33"/>
      <c r="B462" s="2"/>
      <c r="C462" s="2"/>
      <c r="D462" s="2"/>
      <c r="E462" s="2"/>
      <c r="F462" s="4"/>
      <c r="G462" s="2"/>
      <c r="H462" s="2"/>
      <c r="I462" s="2"/>
      <c r="J462" s="2"/>
      <c r="K462" s="5"/>
      <c r="L462" s="2"/>
      <c r="M462" s="2"/>
      <c r="N462" s="2"/>
      <c r="O462" s="2"/>
      <c r="P462" s="2"/>
      <c r="Q462" s="2"/>
      <c r="R462" s="7"/>
      <c r="S462" s="224"/>
      <c r="T462" s="224"/>
      <c r="U462" s="224"/>
      <c r="V462" s="224"/>
    </row>
    <row r="463">
      <c r="A463" s="33"/>
      <c r="B463" s="2"/>
      <c r="C463" s="2"/>
      <c r="D463" s="2"/>
      <c r="E463" s="2"/>
      <c r="F463" s="4"/>
      <c r="G463" s="2"/>
      <c r="H463" s="2"/>
      <c r="I463" s="2"/>
      <c r="J463" s="2"/>
      <c r="K463" s="5"/>
      <c r="L463" s="2"/>
      <c r="M463" s="2"/>
      <c r="N463" s="2"/>
      <c r="O463" s="2"/>
      <c r="P463" s="2"/>
      <c r="Q463" s="2"/>
      <c r="R463" s="7"/>
      <c r="S463" s="224"/>
      <c r="T463" s="224"/>
      <c r="U463" s="224"/>
      <c r="V463" s="224"/>
    </row>
    <row r="464">
      <c r="A464" s="33"/>
      <c r="B464" s="2"/>
      <c r="C464" s="2"/>
      <c r="D464" s="2"/>
      <c r="E464" s="2"/>
      <c r="F464" s="4"/>
      <c r="G464" s="2"/>
      <c r="H464" s="2"/>
      <c r="I464" s="2"/>
      <c r="J464" s="2"/>
      <c r="K464" s="5"/>
      <c r="L464" s="2"/>
      <c r="M464" s="2"/>
      <c r="N464" s="2"/>
      <c r="O464" s="2"/>
      <c r="P464" s="2"/>
      <c r="Q464" s="2"/>
      <c r="R464" s="7"/>
      <c r="S464" s="224"/>
      <c r="T464" s="224"/>
      <c r="U464" s="224"/>
      <c r="V464" s="224"/>
    </row>
    <row r="465">
      <c r="A465" s="33"/>
      <c r="B465" s="2"/>
      <c r="C465" s="2"/>
      <c r="D465" s="2"/>
      <c r="E465" s="2"/>
      <c r="F465" s="4"/>
      <c r="G465" s="2"/>
      <c r="H465" s="2"/>
      <c r="I465" s="2"/>
      <c r="J465" s="2"/>
      <c r="K465" s="5"/>
      <c r="L465" s="2"/>
      <c r="M465" s="2"/>
      <c r="N465" s="2"/>
      <c r="O465" s="2"/>
      <c r="P465" s="2"/>
      <c r="Q465" s="2"/>
      <c r="R465" s="7"/>
      <c r="S465" s="224"/>
      <c r="T465" s="224"/>
      <c r="U465" s="224"/>
      <c r="V465" s="224"/>
    </row>
    <row r="466">
      <c r="A466" s="33"/>
      <c r="B466" s="2"/>
      <c r="C466" s="2"/>
      <c r="D466" s="2"/>
      <c r="E466" s="2"/>
      <c r="F466" s="4"/>
      <c r="G466" s="2"/>
      <c r="H466" s="2"/>
      <c r="I466" s="2"/>
      <c r="J466" s="2"/>
      <c r="K466" s="5"/>
      <c r="L466" s="2"/>
      <c r="M466" s="2"/>
      <c r="N466" s="2"/>
      <c r="O466" s="2"/>
      <c r="P466" s="2"/>
      <c r="Q466" s="2"/>
      <c r="R466" s="7"/>
      <c r="S466" s="224"/>
      <c r="T466" s="224"/>
      <c r="U466" s="224"/>
      <c r="V466" s="224"/>
    </row>
    <row r="467">
      <c r="A467" s="33"/>
      <c r="B467" s="2"/>
      <c r="C467" s="2"/>
      <c r="D467" s="2"/>
      <c r="E467" s="2"/>
      <c r="F467" s="4"/>
      <c r="G467" s="2"/>
      <c r="H467" s="2"/>
      <c r="I467" s="2"/>
      <c r="J467" s="2"/>
      <c r="K467" s="5"/>
      <c r="L467" s="2"/>
      <c r="M467" s="2"/>
      <c r="N467" s="2"/>
      <c r="O467" s="2"/>
      <c r="P467" s="2"/>
      <c r="Q467" s="2"/>
      <c r="R467" s="7"/>
      <c r="S467" s="224"/>
      <c r="T467" s="224"/>
      <c r="U467" s="224"/>
      <c r="V467" s="224"/>
    </row>
    <row r="468">
      <c r="A468" s="33"/>
      <c r="B468" s="2"/>
      <c r="C468" s="2"/>
      <c r="D468" s="2"/>
      <c r="E468" s="2"/>
      <c r="F468" s="4"/>
      <c r="G468" s="2"/>
      <c r="H468" s="2"/>
      <c r="I468" s="2"/>
      <c r="J468" s="2"/>
      <c r="K468" s="5"/>
      <c r="L468" s="2"/>
      <c r="M468" s="2"/>
      <c r="N468" s="2"/>
      <c r="O468" s="2"/>
      <c r="P468" s="2"/>
      <c r="Q468" s="2"/>
      <c r="R468" s="7"/>
      <c r="S468" s="224"/>
      <c r="T468" s="224"/>
      <c r="U468" s="224"/>
      <c r="V468" s="224"/>
    </row>
    <row r="469">
      <c r="A469" s="33"/>
      <c r="B469" s="2"/>
      <c r="C469" s="2"/>
      <c r="D469" s="2"/>
      <c r="E469" s="2"/>
      <c r="F469" s="4"/>
      <c r="G469" s="2"/>
      <c r="H469" s="2"/>
      <c r="I469" s="2"/>
      <c r="J469" s="2"/>
      <c r="K469" s="5"/>
      <c r="L469" s="2"/>
      <c r="M469" s="2"/>
      <c r="N469" s="2"/>
      <c r="O469" s="2"/>
      <c r="P469" s="2"/>
      <c r="Q469" s="2"/>
      <c r="R469" s="7"/>
      <c r="S469" s="224"/>
      <c r="T469" s="224"/>
      <c r="U469" s="224"/>
      <c r="V469" s="224"/>
    </row>
    <row r="470">
      <c r="A470" s="33"/>
      <c r="B470" s="2"/>
      <c r="C470" s="2"/>
      <c r="D470" s="2"/>
      <c r="E470" s="2"/>
      <c r="F470" s="4"/>
      <c r="G470" s="2"/>
      <c r="H470" s="2"/>
      <c r="I470" s="2"/>
      <c r="J470" s="2"/>
      <c r="K470" s="5"/>
      <c r="L470" s="2"/>
      <c r="M470" s="2"/>
      <c r="N470" s="2"/>
      <c r="O470" s="2"/>
      <c r="P470" s="2"/>
      <c r="Q470" s="2"/>
      <c r="R470" s="7"/>
      <c r="S470" s="224"/>
      <c r="T470" s="224"/>
      <c r="U470" s="224"/>
      <c r="V470" s="224"/>
    </row>
    <row r="471">
      <c r="A471" s="33"/>
      <c r="B471" s="2"/>
      <c r="C471" s="2"/>
      <c r="D471" s="2"/>
      <c r="E471" s="2"/>
      <c r="F471" s="4"/>
      <c r="G471" s="2"/>
      <c r="H471" s="2"/>
      <c r="I471" s="2"/>
      <c r="J471" s="2"/>
      <c r="K471" s="5"/>
      <c r="L471" s="2"/>
      <c r="M471" s="2"/>
      <c r="N471" s="2"/>
      <c r="O471" s="2"/>
      <c r="P471" s="2"/>
      <c r="Q471" s="2"/>
      <c r="R471" s="7"/>
      <c r="S471" s="224"/>
      <c r="T471" s="224"/>
      <c r="U471" s="224"/>
      <c r="V471" s="224"/>
    </row>
    <row r="472">
      <c r="A472" s="33"/>
      <c r="B472" s="2"/>
      <c r="C472" s="2"/>
      <c r="D472" s="2"/>
      <c r="E472" s="2"/>
      <c r="F472" s="4"/>
      <c r="G472" s="2"/>
      <c r="H472" s="2"/>
      <c r="I472" s="2"/>
      <c r="J472" s="2"/>
      <c r="K472" s="5"/>
      <c r="L472" s="2"/>
      <c r="M472" s="2"/>
      <c r="N472" s="2"/>
      <c r="O472" s="2"/>
      <c r="P472" s="2"/>
      <c r="Q472" s="2"/>
      <c r="R472" s="7"/>
      <c r="S472" s="224"/>
      <c r="T472" s="224"/>
      <c r="U472" s="224"/>
      <c r="V472" s="224"/>
    </row>
    <row r="473">
      <c r="A473" s="33"/>
      <c r="B473" s="2"/>
      <c r="C473" s="2"/>
      <c r="D473" s="2"/>
      <c r="E473" s="2"/>
      <c r="F473" s="4"/>
      <c r="G473" s="2"/>
      <c r="H473" s="2"/>
      <c r="I473" s="2"/>
      <c r="J473" s="2"/>
      <c r="K473" s="5"/>
      <c r="L473" s="2"/>
      <c r="M473" s="2"/>
      <c r="N473" s="2"/>
      <c r="O473" s="2"/>
      <c r="P473" s="2"/>
      <c r="Q473" s="2"/>
      <c r="R473" s="7"/>
      <c r="S473" s="224"/>
      <c r="T473" s="224"/>
      <c r="U473" s="224"/>
      <c r="V473" s="224"/>
    </row>
    <row r="474">
      <c r="A474" s="33"/>
      <c r="B474" s="2"/>
      <c r="C474" s="2"/>
      <c r="D474" s="2"/>
      <c r="E474" s="2"/>
      <c r="F474" s="4"/>
      <c r="G474" s="2"/>
      <c r="H474" s="2"/>
      <c r="I474" s="2"/>
      <c r="J474" s="2"/>
      <c r="K474" s="5"/>
      <c r="L474" s="2"/>
      <c r="M474" s="2"/>
      <c r="N474" s="2"/>
      <c r="O474" s="2"/>
      <c r="P474" s="2"/>
      <c r="Q474" s="2"/>
      <c r="R474" s="7"/>
      <c r="S474" s="224"/>
      <c r="T474" s="224"/>
      <c r="U474" s="224"/>
      <c r="V474" s="224"/>
    </row>
    <row r="475">
      <c r="A475" s="33"/>
      <c r="B475" s="2"/>
      <c r="C475" s="2"/>
      <c r="D475" s="2"/>
      <c r="E475" s="2"/>
      <c r="F475" s="4"/>
      <c r="G475" s="2"/>
      <c r="H475" s="2"/>
      <c r="I475" s="2"/>
      <c r="J475" s="2"/>
      <c r="K475" s="5"/>
      <c r="L475" s="2"/>
      <c r="M475" s="2"/>
      <c r="N475" s="2"/>
      <c r="O475" s="2"/>
      <c r="P475" s="2"/>
      <c r="Q475" s="2"/>
      <c r="R475" s="7"/>
      <c r="S475" s="224"/>
      <c r="T475" s="224"/>
      <c r="U475" s="224"/>
      <c r="V475" s="224"/>
    </row>
    <row r="476">
      <c r="A476" s="33"/>
      <c r="B476" s="2"/>
      <c r="C476" s="2"/>
      <c r="D476" s="2"/>
      <c r="E476" s="2"/>
      <c r="F476" s="4"/>
      <c r="G476" s="2"/>
      <c r="H476" s="2"/>
      <c r="I476" s="2"/>
      <c r="J476" s="2"/>
      <c r="K476" s="5"/>
      <c r="L476" s="2"/>
      <c r="M476" s="2"/>
      <c r="N476" s="2"/>
      <c r="O476" s="2"/>
      <c r="P476" s="2"/>
      <c r="Q476" s="2"/>
      <c r="R476" s="7"/>
      <c r="S476" s="224"/>
      <c r="T476" s="224"/>
      <c r="U476" s="224"/>
      <c r="V476" s="224"/>
    </row>
    <row r="477">
      <c r="A477" s="33"/>
      <c r="B477" s="2"/>
      <c r="C477" s="2"/>
      <c r="D477" s="2"/>
      <c r="E477" s="2"/>
      <c r="F477" s="4"/>
      <c r="G477" s="2"/>
      <c r="H477" s="2"/>
      <c r="I477" s="2"/>
      <c r="J477" s="2"/>
      <c r="K477" s="5"/>
      <c r="L477" s="2"/>
      <c r="M477" s="2"/>
      <c r="N477" s="2"/>
      <c r="O477" s="2"/>
      <c r="P477" s="2"/>
      <c r="Q477" s="2"/>
      <c r="R477" s="7"/>
      <c r="S477" s="224"/>
      <c r="T477" s="224"/>
      <c r="U477" s="224"/>
      <c r="V477" s="224"/>
    </row>
    <row r="478">
      <c r="A478" s="33"/>
      <c r="B478" s="2"/>
      <c r="C478" s="2"/>
      <c r="D478" s="2"/>
      <c r="E478" s="2"/>
      <c r="F478" s="4"/>
      <c r="G478" s="2"/>
      <c r="H478" s="2"/>
      <c r="I478" s="2"/>
      <c r="J478" s="2"/>
      <c r="K478" s="5"/>
      <c r="L478" s="2"/>
      <c r="M478" s="2"/>
      <c r="N478" s="2"/>
      <c r="O478" s="2"/>
      <c r="P478" s="2"/>
      <c r="Q478" s="2"/>
      <c r="R478" s="7"/>
      <c r="S478" s="224"/>
      <c r="T478" s="224"/>
      <c r="U478" s="224"/>
      <c r="V478" s="224"/>
    </row>
    <row r="479">
      <c r="A479" s="33"/>
      <c r="B479" s="2"/>
      <c r="C479" s="2"/>
      <c r="D479" s="2"/>
      <c r="E479" s="2"/>
      <c r="F479" s="4"/>
      <c r="G479" s="2"/>
      <c r="H479" s="2"/>
      <c r="I479" s="2"/>
      <c r="J479" s="2"/>
      <c r="K479" s="5"/>
      <c r="L479" s="2"/>
      <c r="M479" s="2"/>
      <c r="N479" s="2"/>
      <c r="O479" s="2"/>
      <c r="P479" s="2"/>
      <c r="Q479" s="2"/>
      <c r="R479" s="7"/>
      <c r="S479" s="224"/>
      <c r="T479" s="224"/>
      <c r="U479" s="224"/>
      <c r="V479" s="224"/>
    </row>
    <row r="480">
      <c r="A480" s="33"/>
      <c r="B480" s="2"/>
      <c r="C480" s="2"/>
      <c r="D480" s="2"/>
      <c r="E480" s="2"/>
      <c r="F480" s="4"/>
      <c r="G480" s="2"/>
      <c r="H480" s="2"/>
      <c r="I480" s="2"/>
      <c r="J480" s="2"/>
      <c r="K480" s="5"/>
      <c r="L480" s="2"/>
      <c r="M480" s="2"/>
      <c r="N480" s="2"/>
      <c r="O480" s="2"/>
      <c r="P480" s="2"/>
      <c r="Q480" s="2"/>
      <c r="R480" s="7"/>
      <c r="S480" s="224"/>
      <c r="T480" s="224"/>
      <c r="U480" s="224"/>
      <c r="V480" s="224"/>
    </row>
    <row r="481">
      <c r="A481" s="33"/>
      <c r="B481" s="2"/>
      <c r="C481" s="2"/>
      <c r="D481" s="2"/>
      <c r="E481" s="2"/>
      <c r="F481" s="4"/>
      <c r="G481" s="2"/>
      <c r="H481" s="2"/>
      <c r="I481" s="2"/>
      <c r="J481" s="2"/>
      <c r="K481" s="5"/>
      <c r="L481" s="2"/>
      <c r="M481" s="2"/>
      <c r="N481" s="2"/>
      <c r="O481" s="2"/>
      <c r="P481" s="2"/>
      <c r="Q481" s="2"/>
      <c r="R481" s="7"/>
      <c r="S481" s="224"/>
      <c r="T481" s="224"/>
      <c r="U481" s="224"/>
      <c r="V481" s="224"/>
    </row>
    <row r="482">
      <c r="A482" s="33"/>
      <c r="B482" s="2"/>
      <c r="C482" s="2"/>
      <c r="D482" s="2"/>
      <c r="E482" s="2"/>
      <c r="F482" s="4"/>
      <c r="G482" s="2"/>
      <c r="H482" s="2"/>
      <c r="I482" s="2"/>
      <c r="J482" s="2"/>
      <c r="K482" s="5"/>
      <c r="L482" s="2"/>
      <c r="M482" s="2"/>
      <c r="N482" s="2"/>
      <c r="O482" s="2"/>
      <c r="P482" s="2"/>
      <c r="Q482" s="2"/>
      <c r="R482" s="7"/>
      <c r="S482" s="224"/>
      <c r="T482" s="224"/>
      <c r="U482" s="224"/>
      <c r="V482" s="224"/>
    </row>
    <row r="483">
      <c r="A483" s="33"/>
      <c r="B483" s="2"/>
      <c r="C483" s="2"/>
      <c r="D483" s="2"/>
      <c r="E483" s="2"/>
      <c r="F483" s="4"/>
      <c r="G483" s="2"/>
      <c r="H483" s="2"/>
      <c r="I483" s="2"/>
      <c r="J483" s="2"/>
      <c r="K483" s="5"/>
      <c r="L483" s="2"/>
      <c r="M483" s="2"/>
      <c r="N483" s="2"/>
      <c r="O483" s="2"/>
      <c r="P483" s="2"/>
      <c r="Q483" s="2"/>
      <c r="R483" s="7"/>
      <c r="S483" s="224"/>
      <c r="T483" s="224"/>
      <c r="U483" s="224"/>
      <c r="V483" s="224"/>
    </row>
    <row r="484">
      <c r="A484" s="33"/>
      <c r="B484" s="2"/>
      <c r="C484" s="2"/>
      <c r="D484" s="2"/>
      <c r="E484" s="2"/>
      <c r="F484" s="4"/>
      <c r="G484" s="2"/>
      <c r="H484" s="2"/>
      <c r="I484" s="2"/>
      <c r="J484" s="2"/>
      <c r="K484" s="5"/>
      <c r="L484" s="2"/>
      <c r="M484" s="2"/>
      <c r="N484" s="2"/>
      <c r="O484" s="2"/>
      <c r="P484" s="2"/>
      <c r="Q484" s="2"/>
      <c r="R484" s="7"/>
      <c r="S484" s="224"/>
      <c r="T484" s="224"/>
      <c r="U484" s="224"/>
      <c r="V484" s="224"/>
    </row>
    <row r="485">
      <c r="A485" s="33"/>
      <c r="B485" s="2"/>
      <c r="C485" s="2"/>
      <c r="D485" s="2"/>
      <c r="E485" s="2"/>
      <c r="F485" s="4"/>
      <c r="G485" s="2"/>
      <c r="H485" s="2"/>
      <c r="I485" s="2"/>
      <c r="J485" s="2"/>
      <c r="K485" s="5"/>
      <c r="L485" s="2"/>
      <c r="M485" s="2"/>
      <c r="N485" s="2"/>
      <c r="O485" s="2"/>
      <c r="P485" s="2"/>
      <c r="Q485" s="2"/>
      <c r="R485" s="7"/>
      <c r="S485" s="224"/>
      <c r="T485" s="224"/>
      <c r="U485" s="224"/>
      <c r="V485" s="224"/>
    </row>
    <row r="486">
      <c r="A486" s="33"/>
      <c r="B486" s="2"/>
      <c r="C486" s="2"/>
      <c r="D486" s="2"/>
      <c r="E486" s="2"/>
      <c r="F486" s="4"/>
      <c r="G486" s="2"/>
      <c r="H486" s="2"/>
      <c r="I486" s="2"/>
      <c r="J486" s="2"/>
      <c r="K486" s="5"/>
      <c r="L486" s="2"/>
      <c r="M486" s="2"/>
      <c r="N486" s="2"/>
      <c r="O486" s="2"/>
      <c r="P486" s="2"/>
      <c r="Q486" s="2"/>
      <c r="R486" s="7"/>
      <c r="S486" s="224"/>
      <c r="T486" s="224"/>
      <c r="U486" s="224"/>
      <c r="V486" s="224"/>
    </row>
    <row r="487">
      <c r="A487" s="33"/>
      <c r="B487" s="2"/>
      <c r="C487" s="2"/>
      <c r="D487" s="2"/>
      <c r="E487" s="2"/>
      <c r="F487" s="4"/>
      <c r="G487" s="2"/>
      <c r="H487" s="2"/>
      <c r="I487" s="2"/>
      <c r="J487" s="2"/>
      <c r="K487" s="5"/>
      <c r="L487" s="2"/>
      <c r="M487" s="2"/>
      <c r="N487" s="2"/>
      <c r="O487" s="2"/>
      <c r="P487" s="2"/>
      <c r="Q487" s="2"/>
      <c r="R487" s="7"/>
      <c r="S487" s="224"/>
      <c r="T487" s="224"/>
      <c r="U487" s="224"/>
      <c r="V487" s="224"/>
    </row>
    <row r="488">
      <c r="A488" s="33"/>
      <c r="B488" s="2"/>
      <c r="C488" s="2"/>
      <c r="D488" s="2"/>
      <c r="E488" s="2"/>
      <c r="F488" s="4"/>
      <c r="G488" s="2"/>
      <c r="H488" s="2"/>
      <c r="I488" s="2"/>
      <c r="J488" s="2"/>
      <c r="K488" s="5"/>
      <c r="L488" s="2"/>
      <c r="M488" s="2"/>
      <c r="N488" s="2"/>
      <c r="O488" s="2"/>
      <c r="P488" s="2"/>
      <c r="Q488" s="2"/>
      <c r="R488" s="7"/>
      <c r="S488" s="224"/>
      <c r="T488" s="224"/>
      <c r="U488" s="224"/>
      <c r="V488" s="224"/>
    </row>
    <row r="489">
      <c r="A489" s="33"/>
      <c r="B489" s="2"/>
      <c r="C489" s="2"/>
      <c r="D489" s="2"/>
      <c r="E489" s="2"/>
      <c r="F489" s="4"/>
      <c r="G489" s="2"/>
      <c r="H489" s="2"/>
      <c r="I489" s="2"/>
      <c r="J489" s="2"/>
      <c r="K489" s="5"/>
      <c r="L489" s="2"/>
      <c r="M489" s="2"/>
      <c r="N489" s="2"/>
      <c r="O489" s="2"/>
      <c r="P489" s="2"/>
      <c r="Q489" s="2"/>
      <c r="R489" s="7"/>
      <c r="S489" s="224"/>
      <c r="T489" s="224"/>
      <c r="U489" s="224"/>
      <c r="V489" s="224"/>
    </row>
    <row r="490">
      <c r="A490" s="33"/>
      <c r="B490" s="2"/>
      <c r="C490" s="2"/>
      <c r="D490" s="2"/>
      <c r="E490" s="2"/>
      <c r="F490" s="4"/>
      <c r="G490" s="2"/>
      <c r="H490" s="2"/>
      <c r="I490" s="2"/>
      <c r="J490" s="2"/>
      <c r="K490" s="5"/>
      <c r="L490" s="2"/>
      <c r="M490" s="2"/>
      <c r="N490" s="2"/>
      <c r="O490" s="2"/>
      <c r="P490" s="2"/>
      <c r="Q490" s="2"/>
      <c r="R490" s="7"/>
      <c r="S490" s="224"/>
      <c r="T490" s="224"/>
      <c r="U490" s="224"/>
      <c r="V490" s="224"/>
    </row>
    <row r="491">
      <c r="A491" s="33"/>
      <c r="B491" s="2"/>
      <c r="C491" s="2"/>
      <c r="D491" s="2"/>
      <c r="E491" s="2"/>
      <c r="F491" s="4"/>
      <c r="G491" s="2"/>
      <c r="H491" s="2"/>
      <c r="I491" s="2"/>
      <c r="J491" s="2"/>
      <c r="K491" s="5"/>
      <c r="L491" s="2"/>
      <c r="M491" s="2"/>
      <c r="N491" s="2"/>
      <c r="O491" s="2"/>
      <c r="P491" s="2"/>
      <c r="Q491" s="2"/>
      <c r="R491" s="7"/>
      <c r="S491" s="224"/>
      <c r="T491" s="224"/>
      <c r="U491" s="224"/>
      <c r="V491" s="224"/>
    </row>
    <row r="492">
      <c r="A492" s="33"/>
      <c r="B492" s="2"/>
      <c r="C492" s="2"/>
      <c r="D492" s="2"/>
      <c r="E492" s="2"/>
      <c r="F492" s="4"/>
      <c r="G492" s="2"/>
      <c r="H492" s="2"/>
      <c r="I492" s="2"/>
      <c r="J492" s="2"/>
      <c r="K492" s="5"/>
      <c r="L492" s="2"/>
      <c r="M492" s="2"/>
      <c r="N492" s="2"/>
      <c r="O492" s="2"/>
      <c r="P492" s="2"/>
      <c r="Q492" s="2"/>
      <c r="R492" s="7"/>
      <c r="S492" s="224"/>
      <c r="T492" s="224"/>
      <c r="U492" s="224"/>
      <c r="V492" s="224"/>
    </row>
    <row r="493">
      <c r="A493" s="33"/>
      <c r="B493" s="2"/>
      <c r="C493" s="2"/>
      <c r="D493" s="2"/>
      <c r="E493" s="2"/>
      <c r="F493" s="4"/>
      <c r="G493" s="2"/>
      <c r="H493" s="2"/>
      <c r="I493" s="2"/>
      <c r="J493" s="2"/>
      <c r="K493" s="5"/>
      <c r="L493" s="2"/>
      <c r="M493" s="2"/>
      <c r="N493" s="2"/>
      <c r="O493" s="2"/>
      <c r="P493" s="2"/>
      <c r="Q493" s="2"/>
      <c r="R493" s="7"/>
      <c r="S493" s="224"/>
      <c r="T493" s="224"/>
      <c r="U493" s="224"/>
      <c r="V493" s="224"/>
    </row>
    <row r="494">
      <c r="A494" s="33"/>
      <c r="B494" s="2"/>
      <c r="C494" s="2"/>
      <c r="D494" s="2"/>
      <c r="E494" s="2"/>
      <c r="F494" s="4"/>
      <c r="G494" s="2"/>
      <c r="H494" s="2"/>
      <c r="I494" s="2"/>
      <c r="J494" s="2"/>
      <c r="K494" s="5"/>
      <c r="L494" s="2"/>
      <c r="M494" s="2"/>
      <c r="N494" s="2"/>
      <c r="O494" s="2"/>
      <c r="P494" s="2"/>
      <c r="Q494" s="2"/>
      <c r="R494" s="7"/>
      <c r="S494" s="224"/>
      <c r="T494" s="224"/>
      <c r="U494" s="224"/>
      <c r="V494" s="224"/>
    </row>
    <row r="495">
      <c r="A495" s="33"/>
      <c r="B495" s="2"/>
      <c r="C495" s="2"/>
      <c r="D495" s="2"/>
      <c r="E495" s="2"/>
      <c r="F495" s="4"/>
      <c r="G495" s="2"/>
      <c r="H495" s="2"/>
      <c r="I495" s="2"/>
      <c r="J495" s="2"/>
      <c r="K495" s="5"/>
      <c r="L495" s="2"/>
      <c r="M495" s="2"/>
      <c r="N495" s="2"/>
      <c r="O495" s="2"/>
      <c r="P495" s="2"/>
      <c r="Q495" s="2"/>
      <c r="R495" s="7"/>
      <c r="S495" s="224"/>
      <c r="T495" s="224"/>
      <c r="U495" s="224"/>
      <c r="V495" s="224"/>
    </row>
    <row r="496">
      <c r="A496" s="33"/>
      <c r="B496" s="2"/>
      <c r="C496" s="2"/>
      <c r="D496" s="2"/>
      <c r="E496" s="2"/>
      <c r="F496" s="4"/>
      <c r="G496" s="2"/>
      <c r="H496" s="2"/>
      <c r="I496" s="2"/>
      <c r="J496" s="2"/>
      <c r="K496" s="5"/>
      <c r="L496" s="2"/>
      <c r="M496" s="2"/>
      <c r="N496" s="2"/>
      <c r="O496" s="2"/>
      <c r="P496" s="2"/>
      <c r="Q496" s="2"/>
      <c r="R496" s="7"/>
      <c r="S496" s="224"/>
      <c r="T496" s="224"/>
      <c r="U496" s="224"/>
      <c r="V496" s="224"/>
    </row>
    <row r="497">
      <c r="A497" s="33"/>
      <c r="B497" s="2"/>
      <c r="C497" s="2"/>
      <c r="D497" s="2"/>
      <c r="E497" s="2"/>
      <c r="F497" s="4"/>
      <c r="G497" s="2"/>
      <c r="H497" s="2"/>
      <c r="I497" s="2"/>
      <c r="J497" s="2"/>
      <c r="K497" s="5"/>
      <c r="L497" s="2"/>
      <c r="M497" s="2"/>
      <c r="N497" s="2"/>
      <c r="O497" s="2"/>
      <c r="P497" s="2"/>
      <c r="Q497" s="2"/>
      <c r="R497" s="7"/>
      <c r="S497" s="224"/>
      <c r="T497" s="224"/>
      <c r="U497" s="224"/>
      <c r="V497" s="224"/>
    </row>
    <row r="498">
      <c r="A498" s="33"/>
      <c r="B498" s="2"/>
      <c r="C498" s="2"/>
      <c r="D498" s="2"/>
      <c r="E498" s="2"/>
      <c r="F498" s="4"/>
      <c r="G498" s="2"/>
      <c r="H498" s="2"/>
      <c r="I498" s="2"/>
      <c r="J498" s="2"/>
      <c r="K498" s="5"/>
      <c r="L498" s="2"/>
      <c r="M498" s="2"/>
      <c r="N498" s="2"/>
      <c r="O498" s="2"/>
      <c r="P498" s="2"/>
      <c r="Q498" s="2"/>
      <c r="R498" s="7"/>
      <c r="S498" s="224"/>
      <c r="T498" s="224"/>
      <c r="U498" s="224"/>
      <c r="V498" s="224"/>
    </row>
    <row r="499">
      <c r="A499" s="33"/>
      <c r="B499" s="2"/>
      <c r="C499" s="2"/>
      <c r="D499" s="2"/>
      <c r="E499" s="2"/>
      <c r="F499" s="4"/>
      <c r="G499" s="2"/>
      <c r="H499" s="2"/>
      <c r="I499" s="2"/>
      <c r="J499" s="2"/>
      <c r="K499" s="5"/>
      <c r="L499" s="2"/>
      <c r="M499" s="2"/>
      <c r="N499" s="2"/>
      <c r="O499" s="2"/>
      <c r="P499" s="2"/>
      <c r="Q499" s="2"/>
      <c r="R499" s="7"/>
      <c r="S499" s="224"/>
      <c r="T499" s="224"/>
      <c r="U499" s="224"/>
      <c r="V499" s="224"/>
    </row>
    <row r="500">
      <c r="A500" s="33"/>
      <c r="B500" s="2"/>
      <c r="C500" s="2"/>
      <c r="D500" s="2"/>
      <c r="E500" s="2"/>
      <c r="F500" s="4"/>
      <c r="G500" s="2"/>
      <c r="H500" s="2"/>
      <c r="I500" s="2"/>
      <c r="J500" s="2"/>
      <c r="K500" s="5"/>
      <c r="L500" s="2"/>
      <c r="M500" s="2"/>
      <c r="N500" s="2"/>
      <c r="O500" s="2"/>
      <c r="P500" s="2"/>
      <c r="Q500" s="2"/>
      <c r="R500" s="7"/>
      <c r="S500" s="224"/>
      <c r="T500" s="224"/>
      <c r="U500" s="224"/>
      <c r="V500" s="224"/>
    </row>
    <row r="501">
      <c r="A501" s="33"/>
      <c r="B501" s="2"/>
      <c r="C501" s="2"/>
      <c r="D501" s="2"/>
      <c r="E501" s="2"/>
      <c r="F501" s="4"/>
      <c r="G501" s="2"/>
      <c r="H501" s="2"/>
      <c r="I501" s="2"/>
      <c r="J501" s="2"/>
      <c r="K501" s="5"/>
      <c r="L501" s="2"/>
      <c r="M501" s="2"/>
      <c r="N501" s="2"/>
      <c r="O501" s="2"/>
      <c r="P501" s="2"/>
      <c r="Q501" s="2"/>
      <c r="R501" s="7"/>
      <c r="S501" s="224"/>
      <c r="T501" s="224"/>
      <c r="U501" s="224"/>
      <c r="V501" s="224"/>
    </row>
    <row r="502">
      <c r="A502" s="33"/>
      <c r="B502" s="2"/>
      <c r="C502" s="2"/>
      <c r="D502" s="2"/>
      <c r="E502" s="2"/>
      <c r="F502" s="4"/>
      <c r="G502" s="2"/>
      <c r="H502" s="2"/>
      <c r="I502" s="2"/>
      <c r="J502" s="2"/>
      <c r="K502" s="5"/>
      <c r="L502" s="2"/>
      <c r="M502" s="2"/>
      <c r="N502" s="2"/>
      <c r="O502" s="2"/>
      <c r="P502" s="2"/>
      <c r="Q502" s="2"/>
      <c r="R502" s="7"/>
      <c r="S502" s="224"/>
      <c r="T502" s="224"/>
      <c r="U502" s="224"/>
      <c r="V502" s="224"/>
    </row>
    <row r="503">
      <c r="A503" s="33"/>
      <c r="B503" s="2"/>
      <c r="C503" s="2"/>
      <c r="D503" s="2"/>
      <c r="E503" s="2"/>
      <c r="F503" s="4"/>
      <c r="G503" s="2"/>
      <c r="H503" s="2"/>
      <c r="I503" s="2"/>
      <c r="J503" s="2"/>
      <c r="K503" s="5"/>
      <c r="L503" s="2"/>
      <c r="M503" s="2"/>
      <c r="N503" s="2"/>
      <c r="O503" s="2"/>
      <c r="P503" s="2"/>
      <c r="Q503" s="2"/>
      <c r="R503" s="7"/>
      <c r="S503" s="224"/>
      <c r="T503" s="224"/>
      <c r="U503" s="224"/>
      <c r="V503" s="224"/>
    </row>
    <row r="504">
      <c r="A504" s="33"/>
      <c r="B504" s="2"/>
      <c r="C504" s="2"/>
      <c r="D504" s="2"/>
      <c r="E504" s="2"/>
      <c r="F504" s="4"/>
      <c r="G504" s="2"/>
      <c r="H504" s="2"/>
      <c r="I504" s="2"/>
      <c r="J504" s="2"/>
      <c r="K504" s="5"/>
      <c r="L504" s="2"/>
      <c r="M504" s="2"/>
      <c r="N504" s="2"/>
      <c r="O504" s="2"/>
      <c r="P504" s="2"/>
      <c r="Q504" s="2"/>
      <c r="R504" s="7"/>
      <c r="S504" s="224"/>
      <c r="T504" s="224"/>
      <c r="U504" s="224"/>
      <c r="V504" s="224"/>
    </row>
    <row r="505">
      <c r="A505" s="33"/>
      <c r="B505" s="2"/>
      <c r="C505" s="2"/>
      <c r="D505" s="2"/>
      <c r="E505" s="2"/>
      <c r="F505" s="4"/>
      <c r="G505" s="2"/>
      <c r="H505" s="2"/>
      <c r="I505" s="2"/>
      <c r="J505" s="2"/>
      <c r="K505" s="5"/>
      <c r="L505" s="2"/>
      <c r="M505" s="2"/>
      <c r="N505" s="2"/>
      <c r="O505" s="2"/>
      <c r="P505" s="2"/>
      <c r="Q505" s="2"/>
      <c r="R505" s="7"/>
      <c r="S505" s="224"/>
      <c r="T505" s="224"/>
      <c r="U505" s="224"/>
      <c r="V505" s="224"/>
    </row>
    <row r="506">
      <c r="A506" s="33"/>
      <c r="B506" s="2"/>
      <c r="C506" s="2"/>
      <c r="D506" s="2"/>
      <c r="E506" s="2"/>
      <c r="F506" s="4"/>
      <c r="G506" s="2"/>
      <c r="H506" s="2"/>
      <c r="I506" s="2"/>
      <c r="J506" s="2"/>
      <c r="K506" s="5"/>
      <c r="L506" s="2"/>
      <c r="M506" s="2"/>
      <c r="N506" s="2"/>
      <c r="O506" s="2"/>
      <c r="P506" s="2"/>
      <c r="Q506" s="2"/>
      <c r="R506" s="7"/>
      <c r="S506" s="224"/>
      <c r="T506" s="224"/>
      <c r="U506" s="224"/>
      <c r="V506" s="224"/>
    </row>
    <row r="507">
      <c r="A507" s="33"/>
      <c r="B507" s="2"/>
      <c r="C507" s="2"/>
      <c r="D507" s="2"/>
      <c r="E507" s="2"/>
      <c r="F507" s="4"/>
      <c r="G507" s="2"/>
      <c r="H507" s="2"/>
      <c r="I507" s="2"/>
      <c r="J507" s="2"/>
      <c r="K507" s="5"/>
      <c r="L507" s="2"/>
      <c r="M507" s="2"/>
      <c r="N507" s="2"/>
      <c r="O507" s="2"/>
      <c r="P507" s="2"/>
      <c r="Q507" s="2"/>
      <c r="R507" s="7"/>
      <c r="S507" s="224"/>
      <c r="T507" s="224"/>
      <c r="U507" s="224"/>
      <c r="V507" s="224"/>
    </row>
    <row r="508">
      <c r="A508" s="33"/>
      <c r="B508" s="2"/>
      <c r="C508" s="2"/>
      <c r="D508" s="2"/>
      <c r="E508" s="2"/>
      <c r="F508" s="4"/>
      <c r="G508" s="2"/>
      <c r="H508" s="2"/>
      <c r="I508" s="2"/>
      <c r="J508" s="2"/>
      <c r="K508" s="5"/>
      <c r="L508" s="2"/>
      <c r="M508" s="2"/>
      <c r="N508" s="2"/>
      <c r="O508" s="2"/>
      <c r="P508" s="2"/>
      <c r="Q508" s="2"/>
      <c r="R508" s="7"/>
      <c r="S508" s="224"/>
      <c r="T508" s="224"/>
      <c r="U508" s="224"/>
      <c r="V508" s="224"/>
    </row>
    <row r="509">
      <c r="A509" s="33"/>
      <c r="B509" s="2"/>
      <c r="C509" s="2"/>
      <c r="D509" s="2"/>
      <c r="E509" s="2"/>
      <c r="F509" s="4"/>
      <c r="G509" s="2"/>
      <c r="H509" s="2"/>
      <c r="I509" s="2"/>
      <c r="J509" s="2"/>
      <c r="K509" s="5"/>
      <c r="L509" s="2"/>
      <c r="M509" s="2"/>
      <c r="N509" s="2"/>
      <c r="O509" s="2"/>
      <c r="P509" s="2"/>
      <c r="Q509" s="2"/>
      <c r="R509" s="7"/>
      <c r="S509" s="224"/>
      <c r="T509" s="224"/>
      <c r="U509" s="224"/>
      <c r="V509" s="224"/>
    </row>
    <row r="510">
      <c r="A510" s="33"/>
      <c r="B510" s="2"/>
      <c r="C510" s="2"/>
      <c r="D510" s="2"/>
      <c r="E510" s="2"/>
      <c r="F510" s="4"/>
      <c r="G510" s="2"/>
      <c r="H510" s="2"/>
      <c r="I510" s="2"/>
      <c r="J510" s="2"/>
      <c r="K510" s="5"/>
      <c r="L510" s="2"/>
      <c r="M510" s="2"/>
      <c r="N510" s="2"/>
      <c r="O510" s="2"/>
      <c r="P510" s="2"/>
      <c r="Q510" s="2"/>
      <c r="R510" s="7"/>
      <c r="S510" s="224"/>
      <c r="T510" s="224"/>
      <c r="U510" s="224"/>
      <c r="V510" s="224"/>
    </row>
    <row r="511">
      <c r="A511" s="33"/>
      <c r="B511" s="2"/>
      <c r="C511" s="2"/>
      <c r="D511" s="2"/>
      <c r="E511" s="2"/>
      <c r="F511" s="4"/>
      <c r="G511" s="2"/>
      <c r="H511" s="2"/>
      <c r="I511" s="2"/>
      <c r="J511" s="2"/>
      <c r="K511" s="5"/>
      <c r="L511" s="2"/>
      <c r="M511" s="2"/>
      <c r="N511" s="2"/>
      <c r="O511" s="2"/>
      <c r="P511" s="2"/>
      <c r="Q511" s="2"/>
      <c r="R511" s="7"/>
      <c r="S511" s="224"/>
      <c r="T511" s="224"/>
      <c r="U511" s="224"/>
      <c r="V511" s="224"/>
    </row>
    <row r="512">
      <c r="A512" s="33"/>
      <c r="B512" s="2"/>
      <c r="C512" s="2"/>
      <c r="D512" s="2"/>
      <c r="E512" s="2"/>
      <c r="F512" s="4"/>
      <c r="G512" s="2"/>
      <c r="H512" s="2"/>
      <c r="I512" s="2"/>
      <c r="J512" s="2"/>
      <c r="K512" s="5"/>
      <c r="L512" s="2"/>
      <c r="M512" s="2"/>
      <c r="N512" s="2"/>
      <c r="O512" s="2"/>
      <c r="P512" s="2"/>
      <c r="Q512" s="2"/>
      <c r="R512" s="7"/>
      <c r="S512" s="224"/>
      <c r="T512" s="224"/>
      <c r="U512" s="224"/>
      <c r="V512" s="224"/>
    </row>
    <row r="513">
      <c r="A513" s="33"/>
      <c r="B513" s="2"/>
      <c r="C513" s="2"/>
      <c r="D513" s="2"/>
      <c r="E513" s="2"/>
      <c r="F513" s="4"/>
      <c r="G513" s="2"/>
      <c r="H513" s="2"/>
      <c r="I513" s="2"/>
      <c r="J513" s="2"/>
      <c r="K513" s="5"/>
      <c r="L513" s="2"/>
      <c r="M513" s="2"/>
      <c r="N513" s="2"/>
      <c r="O513" s="2"/>
      <c r="P513" s="2"/>
      <c r="Q513" s="2"/>
      <c r="R513" s="7"/>
      <c r="S513" s="224"/>
      <c r="T513" s="224"/>
      <c r="U513" s="224"/>
      <c r="V513" s="224"/>
    </row>
    <row r="514">
      <c r="A514" s="33"/>
      <c r="B514" s="2"/>
      <c r="C514" s="2"/>
      <c r="D514" s="2"/>
      <c r="E514" s="2"/>
      <c r="F514" s="4"/>
      <c r="G514" s="2"/>
      <c r="H514" s="2"/>
      <c r="I514" s="2"/>
      <c r="J514" s="2"/>
      <c r="K514" s="5"/>
      <c r="L514" s="2"/>
      <c r="M514" s="2"/>
      <c r="N514" s="2"/>
      <c r="O514" s="2"/>
      <c r="P514" s="2"/>
      <c r="Q514" s="2"/>
      <c r="R514" s="7"/>
      <c r="S514" s="224"/>
      <c r="T514" s="224"/>
      <c r="U514" s="224"/>
      <c r="V514" s="224"/>
    </row>
    <row r="515">
      <c r="A515" s="33"/>
      <c r="B515" s="2"/>
      <c r="C515" s="2"/>
      <c r="D515" s="2"/>
      <c r="E515" s="2"/>
      <c r="F515" s="4"/>
      <c r="G515" s="2"/>
      <c r="H515" s="2"/>
      <c r="I515" s="2"/>
      <c r="J515" s="2"/>
      <c r="K515" s="5"/>
      <c r="L515" s="2"/>
      <c r="M515" s="2"/>
      <c r="N515" s="2"/>
      <c r="O515" s="2"/>
      <c r="P515" s="2"/>
      <c r="Q515" s="2"/>
      <c r="R515" s="7"/>
      <c r="S515" s="224"/>
      <c r="T515" s="224"/>
      <c r="U515" s="224"/>
      <c r="V515" s="224"/>
    </row>
    <row r="516">
      <c r="A516" s="33"/>
      <c r="B516" s="2"/>
      <c r="C516" s="2"/>
      <c r="D516" s="2"/>
      <c r="E516" s="2"/>
      <c r="F516" s="4"/>
      <c r="G516" s="2"/>
      <c r="H516" s="2"/>
      <c r="I516" s="2"/>
      <c r="J516" s="2"/>
      <c r="K516" s="5"/>
      <c r="L516" s="2"/>
      <c r="M516" s="2"/>
      <c r="N516" s="2"/>
      <c r="O516" s="2"/>
      <c r="P516" s="2"/>
      <c r="Q516" s="2"/>
      <c r="R516" s="7"/>
      <c r="S516" s="224"/>
      <c r="T516" s="224"/>
      <c r="U516" s="224"/>
      <c r="V516" s="224"/>
    </row>
    <row r="517">
      <c r="A517" s="33"/>
      <c r="B517" s="2"/>
      <c r="C517" s="2"/>
      <c r="D517" s="2"/>
      <c r="E517" s="2"/>
      <c r="F517" s="4"/>
      <c r="G517" s="2"/>
      <c r="H517" s="2"/>
      <c r="I517" s="2"/>
      <c r="J517" s="2"/>
      <c r="K517" s="5"/>
      <c r="L517" s="2"/>
      <c r="M517" s="2"/>
      <c r="N517" s="2"/>
      <c r="O517" s="2"/>
      <c r="P517" s="2"/>
      <c r="Q517" s="2"/>
      <c r="R517" s="7"/>
      <c r="S517" s="224"/>
      <c r="T517" s="224"/>
      <c r="U517" s="224"/>
      <c r="V517" s="224"/>
    </row>
    <row r="518">
      <c r="A518" s="33"/>
      <c r="B518" s="2"/>
      <c r="C518" s="2"/>
      <c r="D518" s="2"/>
      <c r="E518" s="2"/>
      <c r="F518" s="4"/>
      <c r="G518" s="2"/>
      <c r="H518" s="2"/>
      <c r="I518" s="2"/>
      <c r="J518" s="2"/>
      <c r="K518" s="5"/>
      <c r="L518" s="2"/>
      <c r="M518" s="2"/>
      <c r="N518" s="2"/>
      <c r="O518" s="2"/>
      <c r="P518" s="2"/>
      <c r="Q518" s="2"/>
      <c r="R518" s="7"/>
      <c r="S518" s="224"/>
      <c r="T518" s="224"/>
      <c r="U518" s="224"/>
      <c r="V518" s="224"/>
    </row>
    <row r="519">
      <c r="A519" s="33"/>
      <c r="B519" s="2"/>
      <c r="C519" s="2"/>
      <c r="D519" s="2"/>
      <c r="E519" s="2"/>
      <c r="F519" s="4"/>
      <c r="G519" s="2"/>
      <c r="H519" s="2"/>
      <c r="I519" s="2"/>
      <c r="J519" s="2"/>
      <c r="K519" s="5"/>
      <c r="L519" s="2"/>
      <c r="M519" s="2"/>
      <c r="N519" s="2"/>
      <c r="O519" s="2"/>
      <c r="P519" s="2"/>
      <c r="Q519" s="2"/>
      <c r="R519" s="7"/>
      <c r="S519" s="224"/>
      <c r="T519" s="224"/>
      <c r="U519" s="224"/>
      <c r="V519" s="224"/>
    </row>
    <row r="520">
      <c r="A520" s="33"/>
      <c r="B520" s="2"/>
      <c r="C520" s="2"/>
      <c r="D520" s="2"/>
      <c r="E520" s="2"/>
      <c r="F520" s="4"/>
      <c r="G520" s="2"/>
      <c r="H520" s="2"/>
      <c r="I520" s="2"/>
      <c r="J520" s="2"/>
      <c r="K520" s="5"/>
      <c r="L520" s="2"/>
      <c r="M520" s="2"/>
      <c r="N520" s="2"/>
      <c r="O520" s="2"/>
      <c r="P520" s="2"/>
      <c r="Q520" s="2"/>
      <c r="R520" s="7"/>
      <c r="S520" s="224"/>
      <c r="T520" s="224"/>
      <c r="U520" s="224"/>
      <c r="V520" s="224"/>
    </row>
    <row r="521">
      <c r="A521" s="33"/>
      <c r="B521" s="2"/>
      <c r="C521" s="2"/>
      <c r="D521" s="2"/>
      <c r="E521" s="2"/>
      <c r="F521" s="4"/>
      <c r="G521" s="2"/>
      <c r="H521" s="2"/>
      <c r="I521" s="2"/>
      <c r="J521" s="2"/>
      <c r="K521" s="5"/>
      <c r="L521" s="2"/>
      <c r="M521" s="2"/>
      <c r="N521" s="2"/>
      <c r="O521" s="2"/>
      <c r="P521" s="2"/>
      <c r="Q521" s="2"/>
      <c r="R521" s="7"/>
      <c r="S521" s="224"/>
      <c r="T521" s="224"/>
      <c r="U521" s="224"/>
      <c r="V521" s="224"/>
    </row>
    <row r="522">
      <c r="A522" s="33"/>
      <c r="B522" s="2"/>
      <c r="C522" s="2"/>
      <c r="D522" s="2"/>
      <c r="E522" s="2"/>
      <c r="F522" s="4"/>
      <c r="G522" s="2"/>
      <c r="H522" s="2"/>
      <c r="I522" s="2"/>
      <c r="J522" s="2"/>
      <c r="K522" s="5"/>
      <c r="L522" s="2"/>
      <c r="M522" s="2"/>
      <c r="N522" s="2"/>
      <c r="O522" s="2"/>
      <c r="P522" s="2"/>
      <c r="Q522" s="2"/>
      <c r="R522" s="7"/>
      <c r="S522" s="224"/>
      <c r="T522" s="224"/>
      <c r="U522" s="224"/>
      <c r="V522" s="224"/>
    </row>
    <row r="523">
      <c r="A523" s="33"/>
      <c r="B523" s="2"/>
      <c r="C523" s="2"/>
      <c r="D523" s="2"/>
      <c r="E523" s="2"/>
      <c r="F523" s="4"/>
      <c r="G523" s="2"/>
      <c r="H523" s="2"/>
      <c r="I523" s="2"/>
      <c r="J523" s="2"/>
      <c r="K523" s="5"/>
      <c r="L523" s="2"/>
      <c r="M523" s="2"/>
      <c r="N523" s="2"/>
      <c r="O523" s="2"/>
      <c r="P523" s="2"/>
      <c r="Q523" s="2"/>
      <c r="R523" s="7"/>
      <c r="S523" s="224"/>
      <c r="T523" s="224"/>
      <c r="U523" s="224"/>
      <c r="V523" s="224"/>
    </row>
    <row r="524">
      <c r="A524" s="33"/>
      <c r="B524" s="2"/>
      <c r="C524" s="2"/>
      <c r="D524" s="2"/>
      <c r="E524" s="2"/>
      <c r="F524" s="4"/>
      <c r="G524" s="2"/>
      <c r="H524" s="2"/>
      <c r="I524" s="2"/>
      <c r="J524" s="2"/>
      <c r="K524" s="5"/>
      <c r="L524" s="2"/>
      <c r="M524" s="2"/>
      <c r="N524" s="2"/>
      <c r="O524" s="2"/>
      <c r="P524" s="2"/>
      <c r="Q524" s="2"/>
      <c r="R524" s="7"/>
      <c r="S524" s="224"/>
      <c r="T524" s="224"/>
      <c r="U524" s="224"/>
      <c r="V524" s="224"/>
    </row>
    <row r="525">
      <c r="A525" s="33"/>
      <c r="B525" s="2"/>
      <c r="C525" s="2"/>
      <c r="D525" s="2"/>
      <c r="E525" s="2"/>
      <c r="F525" s="4"/>
      <c r="G525" s="2"/>
      <c r="H525" s="2"/>
      <c r="I525" s="2"/>
      <c r="J525" s="2"/>
      <c r="K525" s="5"/>
      <c r="L525" s="2"/>
      <c r="M525" s="2"/>
      <c r="N525" s="2"/>
      <c r="O525" s="2"/>
      <c r="P525" s="2"/>
      <c r="Q525" s="2"/>
      <c r="R525" s="7"/>
      <c r="S525" s="224"/>
      <c r="T525" s="224"/>
      <c r="U525" s="224"/>
      <c r="V525" s="224"/>
    </row>
    <row r="526">
      <c r="A526" s="33"/>
      <c r="B526" s="2"/>
      <c r="C526" s="2"/>
      <c r="D526" s="2"/>
      <c r="E526" s="2"/>
      <c r="F526" s="4"/>
      <c r="G526" s="2"/>
      <c r="H526" s="2"/>
      <c r="I526" s="2"/>
      <c r="J526" s="2"/>
      <c r="K526" s="5"/>
      <c r="L526" s="2"/>
      <c r="M526" s="2"/>
      <c r="N526" s="2"/>
      <c r="O526" s="2"/>
      <c r="P526" s="2"/>
      <c r="Q526" s="2"/>
      <c r="R526" s="7"/>
      <c r="S526" s="224"/>
      <c r="T526" s="224"/>
      <c r="U526" s="224"/>
      <c r="V526" s="224"/>
    </row>
    <row r="527">
      <c r="A527" s="33"/>
      <c r="B527" s="2"/>
      <c r="C527" s="2"/>
      <c r="D527" s="2"/>
      <c r="E527" s="2"/>
      <c r="F527" s="4"/>
      <c r="G527" s="2"/>
      <c r="H527" s="2"/>
      <c r="I527" s="2"/>
      <c r="J527" s="2"/>
      <c r="K527" s="5"/>
      <c r="L527" s="2"/>
      <c r="M527" s="2"/>
      <c r="N527" s="2"/>
      <c r="O527" s="2"/>
      <c r="P527" s="2"/>
      <c r="Q527" s="2"/>
      <c r="R527" s="7"/>
      <c r="S527" s="224"/>
      <c r="T527" s="224"/>
      <c r="U527" s="224"/>
      <c r="V527" s="224"/>
    </row>
    <row r="528">
      <c r="A528" s="33"/>
      <c r="B528" s="2"/>
      <c r="C528" s="2"/>
      <c r="D528" s="2"/>
      <c r="E528" s="2"/>
      <c r="F528" s="4"/>
      <c r="G528" s="2"/>
      <c r="H528" s="2"/>
      <c r="I528" s="2"/>
      <c r="J528" s="2"/>
      <c r="K528" s="5"/>
      <c r="L528" s="2"/>
      <c r="M528" s="2"/>
      <c r="N528" s="2"/>
      <c r="O528" s="2"/>
      <c r="P528" s="2"/>
      <c r="Q528" s="2"/>
      <c r="R528" s="7"/>
      <c r="S528" s="224"/>
      <c r="T528" s="224"/>
      <c r="U528" s="224"/>
      <c r="V528" s="224"/>
    </row>
    <row r="529">
      <c r="A529" s="33"/>
      <c r="B529" s="2"/>
      <c r="C529" s="2"/>
      <c r="D529" s="2"/>
      <c r="E529" s="2"/>
      <c r="F529" s="4"/>
      <c r="G529" s="2"/>
      <c r="H529" s="2"/>
      <c r="I529" s="2"/>
      <c r="J529" s="2"/>
      <c r="K529" s="5"/>
      <c r="L529" s="2"/>
      <c r="M529" s="2"/>
      <c r="N529" s="2"/>
      <c r="O529" s="2"/>
      <c r="P529" s="2"/>
      <c r="Q529" s="2"/>
      <c r="R529" s="7"/>
      <c r="S529" s="224"/>
      <c r="T529" s="224"/>
      <c r="U529" s="224"/>
      <c r="V529" s="224"/>
    </row>
    <row r="530">
      <c r="A530" s="33"/>
      <c r="B530" s="2"/>
      <c r="C530" s="2"/>
      <c r="D530" s="2"/>
      <c r="E530" s="2"/>
      <c r="F530" s="4"/>
      <c r="G530" s="2"/>
      <c r="H530" s="2"/>
      <c r="I530" s="2"/>
      <c r="J530" s="2"/>
      <c r="K530" s="5"/>
      <c r="L530" s="2"/>
      <c r="M530" s="2"/>
      <c r="N530" s="2"/>
      <c r="O530" s="2"/>
      <c r="P530" s="2"/>
      <c r="Q530" s="2"/>
      <c r="R530" s="7"/>
      <c r="S530" s="224"/>
      <c r="T530" s="224"/>
      <c r="U530" s="224"/>
      <c r="V530" s="224"/>
    </row>
    <row r="531">
      <c r="A531" s="33"/>
      <c r="B531" s="2"/>
      <c r="C531" s="2"/>
      <c r="D531" s="2"/>
      <c r="E531" s="2"/>
      <c r="F531" s="4"/>
      <c r="G531" s="2"/>
      <c r="H531" s="2"/>
      <c r="I531" s="2"/>
      <c r="J531" s="2"/>
      <c r="K531" s="5"/>
      <c r="L531" s="2"/>
      <c r="M531" s="2"/>
      <c r="N531" s="2"/>
      <c r="O531" s="2"/>
      <c r="P531" s="2"/>
      <c r="Q531" s="2"/>
      <c r="R531" s="7"/>
      <c r="S531" s="224"/>
      <c r="T531" s="224"/>
      <c r="U531" s="224"/>
      <c r="V531" s="224"/>
    </row>
    <row r="532">
      <c r="A532" s="33"/>
      <c r="B532" s="2"/>
      <c r="C532" s="2"/>
      <c r="D532" s="2"/>
      <c r="E532" s="2"/>
      <c r="F532" s="4"/>
      <c r="G532" s="2"/>
      <c r="H532" s="2"/>
      <c r="I532" s="2"/>
      <c r="J532" s="2"/>
      <c r="K532" s="5"/>
      <c r="L532" s="2"/>
      <c r="M532" s="2"/>
      <c r="N532" s="2"/>
      <c r="O532" s="2"/>
      <c r="P532" s="2"/>
      <c r="Q532" s="2"/>
      <c r="R532" s="7"/>
      <c r="S532" s="224"/>
      <c r="T532" s="224"/>
      <c r="U532" s="224"/>
      <c r="V532" s="224"/>
    </row>
    <row r="533">
      <c r="A533" s="33"/>
      <c r="B533" s="2"/>
      <c r="C533" s="2"/>
      <c r="D533" s="2"/>
      <c r="E533" s="2"/>
      <c r="F533" s="4"/>
      <c r="G533" s="2"/>
      <c r="H533" s="2"/>
      <c r="I533" s="2"/>
      <c r="J533" s="2"/>
      <c r="K533" s="5"/>
      <c r="L533" s="2"/>
      <c r="M533" s="2"/>
      <c r="N533" s="2"/>
      <c r="O533" s="2"/>
      <c r="P533" s="2"/>
      <c r="Q533" s="2"/>
      <c r="R533" s="7"/>
      <c r="S533" s="224"/>
      <c r="T533" s="224"/>
      <c r="U533" s="224"/>
      <c r="V533" s="224"/>
    </row>
    <row r="534">
      <c r="A534" s="33"/>
      <c r="B534" s="2"/>
      <c r="C534" s="2"/>
      <c r="D534" s="2"/>
      <c r="E534" s="2"/>
      <c r="F534" s="4"/>
      <c r="G534" s="2"/>
      <c r="H534" s="2"/>
      <c r="I534" s="2"/>
      <c r="J534" s="2"/>
      <c r="K534" s="5"/>
      <c r="L534" s="2"/>
      <c r="M534" s="2"/>
      <c r="N534" s="2"/>
      <c r="O534" s="2"/>
      <c r="P534" s="2"/>
      <c r="Q534" s="2"/>
      <c r="R534" s="7"/>
      <c r="S534" s="224"/>
      <c r="T534" s="224"/>
      <c r="U534" s="224"/>
      <c r="V534" s="224"/>
    </row>
    <row r="535">
      <c r="A535" s="33"/>
      <c r="B535" s="2"/>
      <c r="C535" s="2"/>
      <c r="D535" s="2"/>
      <c r="E535" s="2"/>
      <c r="F535" s="4"/>
      <c r="G535" s="2"/>
      <c r="H535" s="2"/>
      <c r="I535" s="2"/>
      <c r="J535" s="2"/>
      <c r="K535" s="5"/>
      <c r="L535" s="2"/>
      <c r="M535" s="2"/>
      <c r="N535" s="2"/>
      <c r="O535" s="2"/>
      <c r="P535" s="2"/>
      <c r="Q535" s="2"/>
      <c r="R535" s="7"/>
      <c r="S535" s="224"/>
      <c r="T535" s="224"/>
      <c r="U535" s="224"/>
      <c r="V535" s="224"/>
    </row>
    <row r="536">
      <c r="A536" s="33"/>
      <c r="B536" s="2"/>
      <c r="C536" s="2"/>
      <c r="D536" s="2"/>
      <c r="E536" s="2"/>
      <c r="F536" s="4"/>
      <c r="G536" s="2"/>
      <c r="H536" s="2"/>
      <c r="I536" s="2"/>
      <c r="J536" s="2"/>
      <c r="K536" s="5"/>
      <c r="L536" s="2"/>
      <c r="M536" s="2"/>
      <c r="N536" s="2"/>
      <c r="O536" s="2"/>
      <c r="P536" s="2"/>
      <c r="Q536" s="2"/>
      <c r="R536" s="7"/>
      <c r="S536" s="224"/>
      <c r="T536" s="224"/>
      <c r="U536" s="224"/>
      <c r="V536" s="224"/>
    </row>
    <row r="537">
      <c r="A537" s="33"/>
      <c r="B537" s="2"/>
      <c r="C537" s="2"/>
      <c r="D537" s="2"/>
      <c r="E537" s="2"/>
      <c r="F537" s="4"/>
      <c r="G537" s="2"/>
      <c r="H537" s="2"/>
      <c r="I537" s="2"/>
      <c r="J537" s="2"/>
      <c r="K537" s="5"/>
      <c r="L537" s="2"/>
      <c r="M537" s="2"/>
      <c r="N537" s="2"/>
      <c r="O537" s="2"/>
      <c r="P537" s="2"/>
      <c r="Q537" s="2"/>
      <c r="R537" s="7"/>
      <c r="S537" s="224"/>
      <c r="T537" s="224"/>
      <c r="U537" s="224"/>
      <c r="V537" s="224"/>
    </row>
    <row r="538">
      <c r="A538" s="33"/>
      <c r="B538" s="2"/>
      <c r="C538" s="2"/>
      <c r="D538" s="2"/>
      <c r="E538" s="2"/>
      <c r="F538" s="4"/>
      <c r="G538" s="2"/>
      <c r="H538" s="2"/>
      <c r="I538" s="2"/>
      <c r="J538" s="2"/>
      <c r="K538" s="5"/>
      <c r="L538" s="2"/>
      <c r="M538" s="2"/>
      <c r="N538" s="2"/>
      <c r="O538" s="2"/>
      <c r="P538" s="2"/>
      <c r="Q538" s="2"/>
      <c r="R538" s="7"/>
      <c r="S538" s="224"/>
      <c r="T538" s="224"/>
      <c r="U538" s="224"/>
      <c r="V538" s="224"/>
    </row>
    <row r="539">
      <c r="A539" s="33"/>
      <c r="B539" s="2"/>
      <c r="C539" s="2"/>
      <c r="D539" s="2"/>
      <c r="E539" s="2"/>
      <c r="F539" s="4"/>
      <c r="G539" s="2"/>
      <c r="H539" s="2"/>
      <c r="I539" s="2"/>
      <c r="J539" s="2"/>
      <c r="K539" s="5"/>
      <c r="L539" s="2"/>
      <c r="M539" s="2"/>
      <c r="N539" s="2"/>
      <c r="O539" s="2"/>
      <c r="P539" s="2"/>
      <c r="Q539" s="2"/>
      <c r="R539" s="7"/>
      <c r="S539" s="224"/>
      <c r="T539" s="224"/>
      <c r="U539" s="224"/>
      <c r="V539" s="224"/>
    </row>
    <row r="540">
      <c r="A540" s="33"/>
      <c r="B540" s="2"/>
      <c r="C540" s="2"/>
      <c r="D540" s="2"/>
      <c r="E540" s="2"/>
      <c r="F540" s="4"/>
      <c r="G540" s="2"/>
      <c r="H540" s="2"/>
      <c r="I540" s="2"/>
      <c r="J540" s="2"/>
      <c r="K540" s="5"/>
      <c r="L540" s="2"/>
      <c r="M540" s="2"/>
      <c r="N540" s="2"/>
      <c r="O540" s="2"/>
      <c r="P540" s="2"/>
      <c r="Q540" s="2"/>
      <c r="R540" s="7"/>
      <c r="S540" s="224"/>
      <c r="T540" s="224"/>
      <c r="U540" s="224"/>
      <c r="V540" s="224"/>
    </row>
    <row r="541">
      <c r="A541" s="33"/>
      <c r="B541" s="2"/>
      <c r="C541" s="2"/>
      <c r="D541" s="2"/>
      <c r="E541" s="2"/>
      <c r="F541" s="4"/>
      <c r="G541" s="2"/>
      <c r="H541" s="2"/>
      <c r="I541" s="2"/>
      <c r="J541" s="2"/>
      <c r="K541" s="5"/>
      <c r="L541" s="2"/>
      <c r="M541" s="2"/>
      <c r="N541" s="2"/>
      <c r="O541" s="2"/>
      <c r="P541" s="2"/>
      <c r="Q541" s="2"/>
      <c r="R541" s="7"/>
      <c r="S541" s="224"/>
      <c r="T541" s="224"/>
      <c r="U541" s="224"/>
      <c r="V541" s="224"/>
    </row>
    <row r="542">
      <c r="A542" s="33"/>
      <c r="B542" s="2"/>
      <c r="C542" s="2"/>
      <c r="D542" s="2"/>
      <c r="E542" s="2"/>
      <c r="F542" s="4"/>
      <c r="G542" s="2"/>
      <c r="H542" s="2"/>
      <c r="I542" s="2"/>
      <c r="J542" s="2"/>
      <c r="K542" s="5"/>
      <c r="L542" s="2"/>
      <c r="M542" s="2"/>
      <c r="N542" s="2"/>
      <c r="O542" s="2"/>
      <c r="P542" s="2"/>
      <c r="Q542" s="2"/>
      <c r="R542" s="7"/>
      <c r="S542" s="224"/>
      <c r="T542" s="224"/>
      <c r="U542" s="224"/>
      <c r="V542" s="224"/>
    </row>
    <row r="543">
      <c r="A543" s="33"/>
      <c r="B543" s="2"/>
      <c r="C543" s="2"/>
      <c r="D543" s="2"/>
      <c r="E543" s="2"/>
      <c r="F543" s="4"/>
      <c r="G543" s="2"/>
      <c r="H543" s="2"/>
      <c r="I543" s="2"/>
      <c r="J543" s="2"/>
      <c r="K543" s="5"/>
      <c r="L543" s="2"/>
      <c r="M543" s="2"/>
      <c r="N543" s="2"/>
      <c r="O543" s="2"/>
      <c r="P543" s="2"/>
      <c r="Q543" s="2"/>
      <c r="R543" s="7"/>
      <c r="S543" s="224"/>
      <c r="T543" s="224"/>
      <c r="U543" s="224"/>
      <c r="V543" s="224"/>
    </row>
    <row r="544">
      <c r="A544" s="33"/>
      <c r="B544" s="2"/>
      <c r="C544" s="2"/>
      <c r="D544" s="2"/>
      <c r="E544" s="2"/>
      <c r="F544" s="4"/>
      <c r="G544" s="2"/>
      <c r="H544" s="2"/>
      <c r="I544" s="2"/>
      <c r="J544" s="2"/>
      <c r="K544" s="5"/>
      <c r="L544" s="2"/>
      <c r="M544" s="2"/>
      <c r="N544" s="2"/>
      <c r="O544" s="2"/>
      <c r="P544" s="2"/>
      <c r="Q544" s="2"/>
      <c r="R544" s="7"/>
      <c r="S544" s="224"/>
      <c r="T544" s="224"/>
      <c r="U544" s="224"/>
      <c r="V544" s="224"/>
    </row>
    <row r="545">
      <c r="A545" s="33"/>
      <c r="B545" s="2"/>
      <c r="C545" s="2"/>
      <c r="D545" s="2"/>
      <c r="E545" s="2"/>
      <c r="F545" s="4"/>
      <c r="G545" s="2"/>
      <c r="H545" s="2"/>
      <c r="I545" s="2"/>
      <c r="J545" s="2"/>
      <c r="K545" s="5"/>
      <c r="L545" s="2"/>
      <c r="M545" s="2"/>
      <c r="N545" s="2"/>
      <c r="O545" s="2"/>
      <c r="P545" s="2"/>
      <c r="Q545" s="2"/>
      <c r="R545" s="7"/>
      <c r="S545" s="224"/>
      <c r="T545" s="224"/>
      <c r="U545" s="224"/>
      <c r="V545" s="224"/>
    </row>
    <row r="546">
      <c r="A546" s="33"/>
      <c r="B546" s="2"/>
      <c r="C546" s="2"/>
      <c r="D546" s="2"/>
      <c r="E546" s="2"/>
      <c r="F546" s="4"/>
      <c r="G546" s="2"/>
      <c r="H546" s="2"/>
      <c r="I546" s="2"/>
      <c r="J546" s="2"/>
      <c r="K546" s="5"/>
      <c r="L546" s="2"/>
      <c r="M546" s="2"/>
      <c r="N546" s="2"/>
      <c r="O546" s="2"/>
      <c r="P546" s="2"/>
      <c r="Q546" s="2"/>
      <c r="R546" s="7"/>
      <c r="S546" s="224"/>
      <c r="T546" s="224"/>
      <c r="U546" s="224"/>
      <c r="V546" s="224"/>
    </row>
    <row r="547">
      <c r="A547" s="33"/>
      <c r="B547" s="2"/>
      <c r="C547" s="2"/>
      <c r="D547" s="2"/>
      <c r="E547" s="2"/>
      <c r="F547" s="4"/>
      <c r="G547" s="2"/>
      <c r="H547" s="2"/>
      <c r="I547" s="2"/>
      <c r="J547" s="2"/>
      <c r="K547" s="5"/>
      <c r="L547" s="2"/>
      <c r="M547" s="2"/>
      <c r="N547" s="2"/>
      <c r="O547" s="2"/>
      <c r="P547" s="2"/>
      <c r="Q547" s="2"/>
      <c r="R547" s="7"/>
      <c r="S547" s="224"/>
      <c r="T547" s="224"/>
      <c r="U547" s="224"/>
      <c r="V547" s="224"/>
    </row>
    <row r="548">
      <c r="A548" s="33"/>
      <c r="B548" s="2"/>
      <c r="C548" s="2"/>
      <c r="D548" s="2"/>
      <c r="E548" s="2"/>
      <c r="F548" s="4"/>
      <c r="G548" s="2"/>
      <c r="H548" s="2"/>
      <c r="I548" s="2"/>
      <c r="J548" s="2"/>
      <c r="K548" s="5"/>
      <c r="L548" s="2"/>
      <c r="M548" s="2"/>
      <c r="N548" s="2"/>
      <c r="O548" s="2"/>
      <c r="P548" s="2"/>
      <c r="Q548" s="2"/>
      <c r="R548" s="7"/>
      <c r="S548" s="224"/>
      <c r="T548" s="224"/>
      <c r="U548" s="224"/>
      <c r="V548" s="224"/>
    </row>
    <row r="549">
      <c r="A549" s="33"/>
      <c r="B549" s="2"/>
      <c r="C549" s="2"/>
      <c r="D549" s="2"/>
      <c r="E549" s="2"/>
      <c r="F549" s="4"/>
      <c r="G549" s="2"/>
      <c r="H549" s="2"/>
      <c r="I549" s="2"/>
      <c r="J549" s="2"/>
      <c r="K549" s="5"/>
      <c r="L549" s="2"/>
      <c r="M549" s="2"/>
      <c r="N549" s="2"/>
      <c r="O549" s="2"/>
      <c r="P549" s="2"/>
      <c r="Q549" s="2"/>
      <c r="R549" s="7"/>
      <c r="S549" s="224"/>
      <c r="T549" s="224"/>
      <c r="U549" s="224"/>
      <c r="V549" s="224"/>
    </row>
    <row r="550">
      <c r="A550" s="33"/>
      <c r="B550" s="2"/>
      <c r="C550" s="2"/>
      <c r="D550" s="2"/>
      <c r="E550" s="2"/>
      <c r="F550" s="4"/>
      <c r="G550" s="2"/>
      <c r="H550" s="2"/>
      <c r="I550" s="2"/>
      <c r="J550" s="2"/>
      <c r="K550" s="5"/>
      <c r="L550" s="2"/>
      <c r="M550" s="2"/>
      <c r="N550" s="2"/>
      <c r="O550" s="2"/>
      <c r="P550" s="2"/>
      <c r="Q550" s="2"/>
      <c r="R550" s="7"/>
      <c r="S550" s="224"/>
      <c r="T550" s="224"/>
      <c r="U550" s="224"/>
      <c r="V550" s="224"/>
    </row>
    <row r="551">
      <c r="A551" s="33"/>
      <c r="B551" s="2"/>
      <c r="C551" s="2"/>
      <c r="D551" s="2"/>
      <c r="E551" s="2"/>
      <c r="F551" s="4"/>
      <c r="G551" s="2"/>
      <c r="H551" s="2"/>
      <c r="I551" s="2"/>
      <c r="J551" s="2"/>
      <c r="K551" s="5"/>
      <c r="L551" s="2"/>
      <c r="M551" s="2"/>
      <c r="N551" s="2"/>
      <c r="O551" s="2"/>
      <c r="P551" s="2"/>
      <c r="Q551" s="2"/>
      <c r="R551" s="7"/>
      <c r="S551" s="224"/>
      <c r="T551" s="224"/>
      <c r="U551" s="224"/>
      <c r="V551" s="224"/>
    </row>
    <row r="552">
      <c r="A552" s="33"/>
      <c r="B552" s="2"/>
      <c r="C552" s="2"/>
      <c r="D552" s="2"/>
      <c r="E552" s="2"/>
      <c r="F552" s="4"/>
      <c r="G552" s="2"/>
      <c r="H552" s="2"/>
      <c r="I552" s="2"/>
      <c r="J552" s="2"/>
      <c r="K552" s="5"/>
      <c r="L552" s="2"/>
      <c r="M552" s="2"/>
      <c r="N552" s="2"/>
      <c r="O552" s="2"/>
      <c r="P552" s="2"/>
      <c r="Q552" s="2"/>
      <c r="R552" s="7"/>
      <c r="S552" s="224"/>
      <c r="T552" s="224"/>
      <c r="U552" s="224"/>
      <c r="V552" s="224"/>
    </row>
    <row r="553">
      <c r="A553" s="33"/>
      <c r="B553" s="2"/>
      <c r="C553" s="2"/>
      <c r="D553" s="2"/>
      <c r="E553" s="2"/>
      <c r="F553" s="4"/>
      <c r="G553" s="2"/>
      <c r="H553" s="2"/>
      <c r="I553" s="2"/>
      <c r="J553" s="2"/>
      <c r="K553" s="5"/>
      <c r="L553" s="2"/>
      <c r="M553" s="2"/>
      <c r="N553" s="2"/>
      <c r="O553" s="2"/>
      <c r="P553" s="2"/>
      <c r="Q553" s="2"/>
      <c r="R553" s="7"/>
      <c r="S553" s="224"/>
      <c r="T553" s="224"/>
      <c r="U553" s="224"/>
      <c r="V553" s="224"/>
    </row>
    <row r="554">
      <c r="A554" s="33"/>
      <c r="B554" s="2"/>
      <c r="C554" s="2"/>
      <c r="D554" s="2"/>
      <c r="E554" s="2"/>
      <c r="F554" s="4"/>
      <c r="G554" s="2"/>
      <c r="H554" s="2"/>
      <c r="I554" s="2"/>
      <c r="J554" s="2"/>
      <c r="K554" s="5"/>
      <c r="L554" s="2"/>
      <c r="M554" s="2"/>
      <c r="N554" s="2"/>
      <c r="O554" s="2"/>
      <c r="P554" s="2"/>
      <c r="Q554" s="2"/>
      <c r="R554" s="7"/>
      <c r="S554" s="224"/>
      <c r="T554" s="224"/>
      <c r="U554" s="224"/>
      <c r="V554" s="224"/>
    </row>
    <row r="555">
      <c r="A555" s="33"/>
      <c r="B555" s="2"/>
      <c r="C555" s="2"/>
      <c r="D555" s="2"/>
      <c r="E555" s="2"/>
      <c r="F555" s="4"/>
      <c r="G555" s="2"/>
      <c r="H555" s="2"/>
      <c r="I555" s="2"/>
      <c r="J555" s="2"/>
      <c r="K555" s="5"/>
      <c r="L555" s="2"/>
      <c r="M555" s="2"/>
      <c r="N555" s="2"/>
      <c r="O555" s="2"/>
      <c r="P555" s="2"/>
      <c r="Q555" s="2"/>
      <c r="R555" s="7"/>
      <c r="S555" s="224"/>
      <c r="T555" s="224"/>
      <c r="U555" s="224"/>
      <c r="V555" s="224"/>
    </row>
    <row r="556">
      <c r="A556" s="33"/>
      <c r="B556" s="2"/>
      <c r="C556" s="2"/>
      <c r="D556" s="2"/>
      <c r="E556" s="2"/>
      <c r="F556" s="4"/>
      <c r="G556" s="2"/>
      <c r="H556" s="2"/>
      <c r="I556" s="2"/>
      <c r="J556" s="2"/>
      <c r="K556" s="5"/>
      <c r="L556" s="2"/>
      <c r="M556" s="2"/>
      <c r="N556" s="2"/>
      <c r="O556" s="2"/>
      <c r="P556" s="2"/>
      <c r="Q556" s="2"/>
      <c r="R556" s="7"/>
      <c r="S556" s="224"/>
      <c r="T556" s="224"/>
      <c r="U556" s="224"/>
      <c r="V556" s="224"/>
    </row>
    <row r="557">
      <c r="A557" s="33"/>
      <c r="B557" s="2"/>
      <c r="C557" s="2"/>
      <c r="D557" s="2"/>
      <c r="E557" s="2"/>
      <c r="F557" s="4"/>
      <c r="G557" s="2"/>
      <c r="H557" s="2"/>
      <c r="I557" s="2"/>
      <c r="J557" s="2"/>
      <c r="K557" s="5"/>
      <c r="L557" s="2"/>
      <c r="M557" s="2"/>
      <c r="N557" s="2"/>
      <c r="O557" s="2"/>
      <c r="P557" s="2"/>
      <c r="Q557" s="2"/>
      <c r="R557" s="7"/>
      <c r="S557" s="224"/>
      <c r="T557" s="224"/>
      <c r="U557" s="224"/>
      <c r="V557" s="224"/>
    </row>
    <row r="558">
      <c r="A558" s="33"/>
      <c r="B558" s="2"/>
      <c r="C558" s="2"/>
      <c r="D558" s="2"/>
      <c r="E558" s="2"/>
      <c r="F558" s="4"/>
      <c r="G558" s="2"/>
      <c r="H558" s="2"/>
      <c r="I558" s="2"/>
      <c r="J558" s="2"/>
      <c r="K558" s="5"/>
      <c r="L558" s="2"/>
      <c r="M558" s="2"/>
      <c r="N558" s="2"/>
      <c r="O558" s="2"/>
      <c r="P558" s="2"/>
      <c r="Q558" s="2"/>
      <c r="R558" s="7"/>
      <c r="S558" s="224"/>
      <c r="T558" s="224"/>
      <c r="U558" s="224"/>
      <c r="V558" s="224"/>
    </row>
    <row r="559">
      <c r="A559" s="33"/>
      <c r="B559" s="2"/>
      <c r="C559" s="2"/>
      <c r="D559" s="2"/>
      <c r="E559" s="2"/>
      <c r="F559" s="4"/>
      <c r="G559" s="2"/>
      <c r="H559" s="2"/>
      <c r="I559" s="2"/>
      <c r="J559" s="2"/>
      <c r="K559" s="5"/>
      <c r="L559" s="2"/>
      <c r="M559" s="2"/>
      <c r="N559" s="2"/>
      <c r="O559" s="2"/>
      <c r="P559" s="2"/>
      <c r="Q559" s="2"/>
      <c r="R559" s="7"/>
      <c r="S559" s="224"/>
      <c r="T559" s="224"/>
      <c r="U559" s="224"/>
      <c r="V559" s="224"/>
    </row>
    <row r="560">
      <c r="A560" s="33"/>
      <c r="B560" s="2"/>
      <c r="C560" s="2"/>
      <c r="D560" s="2"/>
      <c r="E560" s="2"/>
      <c r="F560" s="4"/>
      <c r="G560" s="2"/>
      <c r="H560" s="2"/>
      <c r="I560" s="2"/>
      <c r="J560" s="2"/>
      <c r="K560" s="5"/>
      <c r="L560" s="2"/>
      <c r="M560" s="2"/>
      <c r="N560" s="2"/>
      <c r="O560" s="2"/>
      <c r="P560" s="2"/>
      <c r="Q560" s="2"/>
      <c r="R560" s="7"/>
      <c r="S560" s="224"/>
      <c r="T560" s="224"/>
      <c r="U560" s="224"/>
      <c r="V560" s="224"/>
    </row>
    <row r="561">
      <c r="A561" s="33"/>
      <c r="B561" s="2"/>
      <c r="C561" s="2"/>
      <c r="D561" s="2"/>
      <c r="E561" s="2"/>
      <c r="F561" s="4"/>
      <c r="G561" s="2"/>
      <c r="H561" s="2"/>
      <c r="I561" s="2"/>
      <c r="J561" s="2"/>
      <c r="K561" s="5"/>
      <c r="L561" s="2"/>
      <c r="M561" s="2"/>
      <c r="N561" s="2"/>
      <c r="O561" s="2"/>
      <c r="P561" s="2"/>
      <c r="Q561" s="2"/>
      <c r="R561" s="7"/>
      <c r="S561" s="224"/>
      <c r="T561" s="224"/>
      <c r="U561" s="224"/>
      <c r="V561" s="224"/>
    </row>
    <row r="562">
      <c r="A562" s="33"/>
      <c r="B562" s="2"/>
      <c r="C562" s="2"/>
      <c r="D562" s="2"/>
      <c r="E562" s="2"/>
      <c r="F562" s="4"/>
      <c r="G562" s="2"/>
      <c r="H562" s="2"/>
      <c r="I562" s="2"/>
      <c r="J562" s="2"/>
      <c r="K562" s="5"/>
      <c r="L562" s="2"/>
      <c r="M562" s="2"/>
      <c r="N562" s="2"/>
      <c r="O562" s="2"/>
      <c r="P562" s="2"/>
      <c r="Q562" s="2"/>
      <c r="R562" s="7"/>
      <c r="S562" s="224"/>
      <c r="T562" s="224"/>
      <c r="U562" s="224"/>
      <c r="V562" s="224"/>
    </row>
    <row r="563">
      <c r="A563" s="33"/>
      <c r="B563" s="2"/>
      <c r="C563" s="2"/>
      <c r="D563" s="2"/>
      <c r="E563" s="2"/>
      <c r="F563" s="4"/>
      <c r="G563" s="2"/>
      <c r="H563" s="2"/>
      <c r="I563" s="2"/>
      <c r="J563" s="2"/>
      <c r="K563" s="5"/>
      <c r="L563" s="2"/>
      <c r="M563" s="2"/>
      <c r="N563" s="2"/>
      <c r="O563" s="2"/>
      <c r="P563" s="2"/>
      <c r="Q563" s="2"/>
      <c r="R563" s="7"/>
      <c r="S563" s="224"/>
      <c r="T563" s="224"/>
      <c r="U563" s="224"/>
      <c r="V563" s="224"/>
    </row>
    <row r="564">
      <c r="A564" s="33"/>
      <c r="B564" s="2"/>
      <c r="C564" s="2"/>
      <c r="D564" s="2"/>
      <c r="E564" s="2"/>
      <c r="F564" s="4"/>
      <c r="G564" s="2"/>
      <c r="H564" s="2"/>
      <c r="I564" s="2"/>
      <c r="J564" s="2"/>
      <c r="K564" s="5"/>
      <c r="L564" s="2"/>
      <c r="M564" s="2"/>
      <c r="N564" s="2"/>
      <c r="O564" s="2"/>
      <c r="P564" s="2"/>
      <c r="Q564" s="2"/>
      <c r="R564" s="7"/>
      <c r="S564" s="224"/>
      <c r="T564" s="224"/>
      <c r="U564" s="224"/>
      <c r="V564" s="224"/>
    </row>
    <row r="565">
      <c r="A565" s="33"/>
      <c r="B565" s="2"/>
      <c r="C565" s="2"/>
      <c r="D565" s="2"/>
      <c r="E565" s="2"/>
      <c r="F565" s="4"/>
      <c r="G565" s="2"/>
      <c r="H565" s="2"/>
      <c r="I565" s="2"/>
      <c r="J565" s="2"/>
      <c r="K565" s="5"/>
      <c r="L565" s="2"/>
      <c r="M565" s="2"/>
      <c r="N565" s="2"/>
      <c r="O565" s="2"/>
      <c r="P565" s="2"/>
      <c r="Q565" s="2"/>
      <c r="R565" s="7"/>
      <c r="S565" s="224"/>
      <c r="T565" s="224"/>
      <c r="U565" s="224"/>
      <c r="V565" s="224"/>
    </row>
    <row r="566">
      <c r="A566" s="33"/>
      <c r="B566" s="2"/>
      <c r="C566" s="2"/>
      <c r="D566" s="2"/>
      <c r="E566" s="2"/>
      <c r="F566" s="4"/>
      <c r="G566" s="2"/>
      <c r="H566" s="2"/>
      <c r="I566" s="2"/>
      <c r="J566" s="2"/>
      <c r="K566" s="5"/>
      <c r="L566" s="2"/>
      <c r="M566" s="2"/>
      <c r="N566" s="2"/>
      <c r="O566" s="2"/>
      <c r="P566" s="2"/>
      <c r="Q566" s="2"/>
      <c r="R566" s="7"/>
      <c r="S566" s="224"/>
      <c r="T566" s="224"/>
      <c r="U566" s="224"/>
      <c r="V566" s="224"/>
    </row>
    <row r="567">
      <c r="A567" s="33"/>
      <c r="B567" s="2"/>
      <c r="C567" s="2"/>
      <c r="D567" s="2"/>
      <c r="E567" s="2"/>
      <c r="F567" s="4"/>
      <c r="G567" s="2"/>
      <c r="H567" s="2"/>
      <c r="I567" s="2"/>
      <c r="J567" s="2"/>
      <c r="K567" s="5"/>
      <c r="L567" s="2"/>
      <c r="M567" s="2"/>
      <c r="N567" s="2"/>
      <c r="O567" s="2"/>
      <c r="P567" s="2"/>
      <c r="Q567" s="2"/>
      <c r="R567" s="7"/>
      <c r="S567" s="224"/>
      <c r="T567" s="224"/>
      <c r="U567" s="224"/>
      <c r="V567" s="224"/>
    </row>
    <row r="568">
      <c r="A568" s="33"/>
      <c r="B568" s="2"/>
      <c r="C568" s="2"/>
      <c r="D568" s="2"/>
      <c r="E568" s="2"/>
      <c r="F568" s="4"/>
      <c r="G568" s="2"/>
      <c r="H568" s="2"/>
      <c r="I568" s="2"/>
      <c r="J568" s="2"/>
      <c r="K568" s="5"/>
      <c r="L568" s="2"/>
      <c r="M568" s="2"/>
      <c r="N568" s="2"/>
      <c r="O568" s="2"/>
      <c r="P568" s="2"/>
      <c r="Q568" s="2"/>
      <c r="R568" s="7"/>
      <c r="S568" s="224"/>
      <c r="T568" s="224"/>
      <c r="U568" s="224"/>
      <c r="V568" s="224"/>
    </row>
    <row r="569">
      <c r="A569" s="33"/>
      <c r="B569" s="2"/>
      <c r="C569" s="2"/>
      <c r="D569" s="2"/>
      <c r="E569" s="2"/>
      <c r="F569" s="4"/>
      <c r="G569" s="2"/>
      <c r="H569" s="2"/>
      <c r="I569" s="2"/>
      <c r="J569" s="2"/>
      <c r="K569" s="5"/>
      <c r="L569" s="2"/>
      <c r="M569" s="2"/>
      <c r="N569" s="2"/>
      <c r="O569" s="2"/>
      <c r="P569" s="2"/>
      <c r="Q569" s="2"/>
      <c r="R569" s="7"/>
      <c r="S569" s="224"/>
      <c r="T569" s="224"/>
      <c r="U569" s="224"/>
      <c r="V569" s="224"/>
    </row>
    <row r="570">
      <c r="A570" s="33"/>
      <c r="B570" s="2"/>
      <c r="C570" s="2"/>
      <c r="D570" s="2"/>
      <c r="E570" s="2"/>
      <c r="F570" s="4"/>
      <c r="G570" s="2"/>
      <c r="H570" s="2"/>
      <c r="I570" s="2"/>
      <c r="J570" s="2"/>
      <c r="K570" s="5"/>
      <c r="L570" s="2"/>
      <c r="M570" s="2"/>
      <c r="N570" s="2"/>
      <c r="O570" s="2"/>
      <c r="P570" s="2"/>
      <c r="Q570" s="2"/>
      <c r="R570" s="7"/>
      <c r="S570" s="224"/>
      <c r="T570" s="224"/>
      <c r="U570" s="224"/>
      <c r="V570" s="224"/>
    </row>
    <row r="571">
      <c r="A571" s="33"/>
      <c r="B571" s="2"/>
      <c r="C571" s="2"/>
      <c r="D571" s="2"/>
      <c r="E571" s="2"/>
      <c r="F571" s="4"/>
      <c r="G571" s="2"/>
      <c r="H571" s="2"/>
      <c r="I571" s="2"/>
      <c r="J571" s="2"/>
      <c r="K571" s="5"/>
      <c r="L571" s="2"/>
      <c r="M571" s="2"/>
      <c r="N571" s="2"/>
      <c r="O571" s="2"/>
      <c r="P571" s="2"/>
      <c r="Q571" s="2"/>
      <c r="R571" s="7"/>
      <c r="S571" s="224"/>
      <c r="T571" s="224"/>
      <c r="U571" s="224"/>
      <c r="V571" s="224"/>
    </row>
    <row r="572">
      <c r="A572" s="33"/>
      <c r="B572" s="2"/>
      <c r="C572" s="2"/>
      <c r="D572" s="2"/>
      <c r="E572" s="2"/>
      <c r="F572" s="4"/>
      <c r="G572" s="2"/>
      <c r="H572" s="2"/>
      <c r="I572" s="2"/>
      <c r="J572" s="2"/>
      <c r="K572" s="5"/>
      <c r="L572" s="2"/>
      <c r="M572" s="2"/>
      <c r="N572" s="2"/>
      <c r="O572" s="2"/>
      <c r="P572" s="2"/>
      <c r="Q572" s="2"/>
      <c r="R572" s="7"/>
      <c r="S572" s="224"/>
      <c r="T572" s="224"/>
      <c r="U572" s="224"/>
      <c r="V572" s="224"/>
    </row>
    <row r="573">
      <c r="A573" s="33"/>
      <c r="B573" s="2"/>
      <c r="C573" s="2"/>
      <c r="D573" s="2"/>
      <c r="E573" s="2"/>
      <c r="F573" s="4"/>
      <c r="G573" s="2"/>
      <c r="H573" s="2"/>
      <c r="I573" s="2"/>
      <c r="J573" s="2"/>
      <c r="K573" s="5"/>
      <c r="L573" s="2"/>
      <c r="M573" s="2"/>
      <c r="N573" s="2"/>
      <c r="O573" s="2"/>
      <c r="P573" s="2"/>
      <c r="Q573" s="2"/>
      <c r="R573" s="7"/>
      <c r="S573" s="224"/>
      <c r="T573" s="224"/>
      <c r="U573" s="224"/>
      <c r="V573" s="224"/>
    </row>
    <row r="574">
      <c r="A574" s="33"/>
      <c r="B574" s="2"/>
      <c r="C574" s="2"/>
      <c r="D574" s="2"/>
      <c r="E574" s="2"/>
      <c r="F574" s="4"/>
      <c r="G574" s="2"/>
      <c r="H574" s="2"/>
      <c r="I574" s="2"/>
      <c r="J574" s="2"/>
      <c r="K574" s="5"/>
      <c r="L574" s="2"/>
      <c r="M574" s="2"/>
      <c r="N574" s="2"/>
      <c r="O574" s="2"/>
      <c r="P574" s="2"/>
      <c r="Q574" s="2"/>
      <c r="R574" s="7"/>
      <c r="S574" s="224"/>
      <c r="T574" s="224"/>
      <c r="U574" s="224"/>
      <c r="V574" s="224"/>
    </row>
    <row r="575">
      <c r="A575" s="33"/>
      <c r="B575" s="2"/>
      <c r="C575" s="2"/>
      <c r="D575" s="2"/>
      <c r="E575" s="2"/>
      <c r="F575" s="4"/>
      <c r="G575" s="2"/>
      <c r="H575" s="2"/>
      <c r="I575" s="2"/>
      <c r="J575" s="2"/>
      <c r="K575" s="5"/>
      <c r="L575" s="2"/>
      <c r="M575" s="2"/>
      <c r="N575" s="2"/>
      <c r="O575" s="2"/>
      <c r="P575" s="2"/>
      <c r="Q575" s="2"/>
      <c r="R575" s="7"/>
      <c r="S575" s="224"/>
      <c r="T575" s="224"/>
      <c r="U575" s="224"/>
      <c r="V575" s="224"/>
    </row>
    <row r="576">
      <c r="A576" s="33"/>
      <c r="B576" s="2"/>
      <c r="C576" s="2"/>
      <c r="D576" s="2"/>
      <c r="E576" s="2"/>
      <c r="F576" s="4"/>
      <c r="G576" s="2"/>
      <c r="H576" s="2"/>
      <c r="I576" s="2"/>
      <c r="J576" s="2"/>
      <c r="K576" s="5"/>
      <c r="L576" s="2"/>
      <c r="M576" s="2"/>
      <c r="N576" s="2"/>
      <c r="O576" s="2"/>
      <c r="P576" s="2"/>
      <c r="Q576" s="2"/>
      <c r="R576" s="7"/>
      <c r="S576" s="224"/>
      <c r="T576" s="224"/>
      <c r="U576" s="224"/>
      <c r="V576" s="224"/>
    </row>
    <row r="577">
      <c r="A577" s="33"/>
      <c r="B577" s="2"/>
      <c r="C577" s="2"/>
      <c r="D577" s="2"/>
      <c r="E577" s="2"/>
      <c r="F577" s="4"/>
      <c r="G577" s="2"/>
      <c r="H577" s="2"/>
      <c r="I577" s="2"/>
      <c r="J577" s="2"/>
      <c r="K577" s="5"/>
      <c r="L577" s="2"/>
      <c r="M577" s="2"/>
      <c r="N577" s="2"/>
      <c r="O577" s="2"/>
      <c r="P577" s="2"/>
      <c r="Q577" s="2"/>
      <c r="R577" s="7"/>
      <c r="S577" s="224"/>
      <c r="T577" s="224"/>
      <c r="U577" s="224"/>
      <c r="V577" s="224"/>
    </row>
    <row r="578">
      <c r="A578" s="33"/>
      <c r="B578" s="2"/>
      <c r="C578" s="2"/>
      <c r="D578" s="2"/>
      <c r="E578" s="2"/>
      <c r="F578" s="4"/>
      <c r="G578" s="2"/>
      <c r="H578" s="2"/>
      <c r="I578" s="2"/>
      <c r="J578" s="2"/>
      <c r="K578" s="5"/>
      <c r="L578" s="2"/>
      <c r="M578" s="2"/>
      <c r="N578" s="2"/>
      <c r="O578" s="2"/>
      <c r="P578" s="2"/>
      <c r="Q578" s="2"/>
      <c r="R578" s="7"/>
      <c r="S578" s="224"/>
      <c r="T578" s="224"/>
      <c r="U578" s="224"/>
      <c r="V578" s="224"/>
    </row>
    <row r="579">
      <c r="A579" s="33"/>
      <c r="B579" s="2"/>
      <c r="C579" s="2"/>
      <c r="D579" s="2"/>
      <c r="E579" s="2"/>
      <c r="F579" s="4"/>
      <c r="G579" s="2"/>
      <c r="H579" s="2"/>
      <c r="I579" s="2"/>
      <c r="J579" s="2"/>
      <c r="K579" s="5"/>
      <c r="L579" s="2"/>
      <c r="M579" s="2"/>
      <c r="N579" s="2"/>
      <c r="O579" s="2"/>
      <c r="P579" s="2"/>
      <c r="Q579" s="2"/>
      <c r="R579" s="7"/>
      <c r="S579" s="224"/>
      <c r="T579" s="224"/>
      <c r="U579" s="224"/>
      <c r="V579" s="224"/>
    </row>
    <row r="580">
      <c r="A580" s="33"/>
      <c r="B580" s="2"/>
      <c r="C580" s="2"/>
      <c r="D580" s="2"/>
      <c r="E580" s="2"/>
      <c r="F580" s="4"/>
      <c r="G580" s="2"/>
      <c r="H580" s="2"/>
      <c r="I580" s="2"/>
      <c r="J580" s="2"/>
      <c r="K580" s="5"/>
      <c r="L580" s="2"/>
      <c r="M580" s="2"/>
      <c r="N580" s="2"/>
      <c r="O580" s="2"/>
      <c r="P580" s="2"/>
      <c r="Q580" s="2"/>
      <c r="R580" s="7"/>
      <c r="S580" s="224"/>
      <c r="T580" s="224"/>
      <c r="U580" s="224"/>
      <c r="V580" s="224"/>
    </row>
    <row r="581">
      <c r="A581" s="33"/>
      <c r="B581" s="2"/>
      <c r="C581" s="2"/>
      <c r="D581" s="2"/>
      <c r="E581" s="2"/>
      <c r="F581" s="4"/>
      <c r="G581" s="2"/>
      <c r="H581" s="2"/>
      <c r="I581" s="2"/>
      <c r="J581" s="2"/>
      <c r="K581" s="5"/>
      <c r="L581" s="2"/>
      <c r="M581" s="2"/>
      <c r="N581" s="2"/>
      <c r="O581" s="2"/>
      <c r="P581" s="2"/>
      <c r="Q581" s="2"/>
      <c r="R581" s="7"/>
      <c r="S581" s="224"/>
      <c r="T581" s="224"/>
      <c r="U581" s="224"/>
      <c r="V581" s="224"/>
    </row>
    <row r="582">
      <c r="A582" s="33"/>
      <c r="B582" s="2"/>
      <c r="C582" s="2"/>
      <c r="D582" s="2"/>
      <c r="E582" s="2"/>
      <c r="F582" s="4"/>
      <c r="G582" s="2"/>
      <c r="H582" s="2"/>
      <c r="I582" s="2"/>
      <c r="J582" s="2"/>
      <c r="K582" s="5"/>
      <c r="L582" s="2"/>
      <c r="M582" s="2"/>
      <c r="N582" s="2"/>
      <c r="O582" s="2"/>
      <c r="P582" s="2"/>
      <c r="Q582" s="2"/>
      <c r="R582" s="7"/>
      <c r="S582" s="224"/>
      <c r="T582" s="224"/>
      <c r="U582" s="224"/>
      <c r="V582" s="224"/>
    </row>
    <row r="583">
      <c r="A583" s="33"/>
      <c r="B583" s="2"/>
      <c r="C583" s="2"/>
      <c r="D583" s="2"/>
      <c r="E583" s="2"/>
      <c r="F583" s="4"/>
      <c r="G583" s="2"/>
      <c r="H583" s="2"/>
      <c r="I583" s="2"/>
      <c r="J583" s="2"/>
      <c r="K583" s="5"/>
      <c r="L583" s="2"/>
      <c r="M583" s="2"/>
      <c r="N583" s="2"/>
      <c r="O583" s="2"/>
      <c r="P583" s="2"/>
      <c r="Q583" s="2"/>
      <c r="R583" s="7"/>
      <c r="S583" s="224"/>
      <c r="T583" s="224"/>
      <c r="U583" s="224"/>
      <c r="V583" s="224"/>
    </row>
    <row r="584">
      <c r="A584" s="33"/>
      <c r="B584" s="2"/>
      <c r="C584" s="2"/>
      <c r="D584" s="2"/>
      <c r="E584" s="2"/>
      <c r="F584" s="4"/>
      <c r="G584" s="2"/>
      <c r="H584" s="2"/>
      <c r="I584" s="2"/>
      <c r="J584" s="2"/>
      <c r="K584" s="5"/>
      <c r="L584" s="2"/>
      <c r="M584" s="2"/>
      <c r="N584" s="2"/>
      <c r="O584" s="2"/>
      <c r="P584" s="2"/>
      <c r="Q584" s="2"/>
      <c r="R584" s="7"/>
      <c r="S584" s="224"/>
      <c r="T584" s="224"/>
      <c r="U584" s="224"/>
      <c r="V584" s="224"/>
    </row>
    <row r="585">
      <c r="A585" s="33"/>
      <c r="B585" s="2"/>
      <c r="C585" s="2"/>
      <c r="D585" s="2"/>
      <c r="E585" s="2"/>
      <c r="F585" s="4"/>
      <c r="G585" s="2"/>
      <c r="H585" s="2"/>
      <c r="I585" s="2"/>
      <c r="J585" s="2"/>
      <c r="K585" s="5"/>
      <c r="L585" s="2"/>
      <c r="M585" s="2"/>
      <c r="N585" s="2"/>
      <c r="O585" s="2"/>
      <c r="P585" s="2"/>
      <c r="Q585" s="2"/>
      <c r="R585" s="7"/>
      <c r="S585" s="224"/>
      <c r="T585" s="224"/>
      <c r="U585" s="224"/>
      <c r="V585" s="224"/>
    </row>
    <row r="586">
      <c r="A586" s="33"/>
      <c r="B586" s="2"/>
      <c r="C586" s="2"/>
      <c r="D586" s="2"/>
      <c r="E586" s="2"/>
      <c r="F586" s="4"/>
      <c r="G586" s="2"/>
      <c r="H586" s="2"/>
      <c r="I586" s="2"/>
      <c r="J586" s="2"/>
      <c r="K586" s="5"/>
      <c r="L586" s="2"/>
      <c r="M586" s="2"/>
      <c r="N586" s="2"/>
      <c r="O586" s="2"/>
      <c r="P586" s="2"/>
      <c r="Q586" s="2"/>
      <c r="R586" s="7"/>
      <c r="S586" s="224"/>
      <c r="T586" s="224"/>
      <c r="U586" s="224"/>
      <c r="V586" s="224"/>
    </row>
    <row r="587">
      <c r="A587" s="33"/>
      <c r="B587" s="2"/>
      <c r="C587" s="2"/>
      <c r="D587" s="2"/>
      <c r="E587" s="2"/>
      <c r="F587" s="4"/>
      <c r="G587" s="2"/>
      <c r="H587" s="2"/>
      <c r="I587" s="2"/>
      <c r="J587" s="2"/>
      <c r="K587" s="5"/>
      <c r="L587" s="2"/>
      <c r="M587" s="2"/>
      <c r="N587" s="2"/>
      <c r="O587" s="2"/>
      <c r="P587" s="2"/>
      <c r="Q587" s="2"/>
      <c r="R587" s="7"/>
      <c r="S587" s="224"/>
      <c r="T587" s="224"/>
      <c r="U587" s="224"/>
      <c r="V587" s="224"/>
    </row>
    <row r="588">
      <c r="A588" s="33"/>
      <c r="B588" s="2"/>
      <c r="C588" s="2"/>
      <c r="D588" s="2"/>
      <c r="E588" s="2"/>
      <c r="F588" s="4"/>
      <c r="G588" s="2"/>
      <c r="H588" s="2"/>
      <c r="I588" s="2"/>
      <c r="J588" s="2"/>
      <c r="K588" s="5"/>
      <c r="L588" s="2"/>
      <c r="M588" s="2"/>
      <c r="N588" s="2"/>
      <c r="O588" s="2"/>
      <c r="P588" s="2"/>
      <c r="Q588" s="2"/>
      <c r="R588" s="7"/>
      <c r="S588" s="224"/>
      <c r="T588" s="224"/>
      <c r="U588" s="224"/>
      <c r="V588" s="224"/>
    </row>
    <row r="589">
      <c r="A589" s="33"/>
      <c r="B589" s="2"/>
      <c r="C589" s="2"/>
      <c r="D589" s="2"/>
      <c r="E589" s="2"/>
      <c r="F589" s="4"/>
      <c r="G589" s="2"/>
      <c r="H589" s="2"/>
      <c r="I589" s="2"/>
      <c r="J589" s="2"/>
      <c r="K589" s="5"/>
      <c r="L589" s="2"/>
      <c r="M589" s="2"/>
      <c r="N589" s="2"/>
      <c r="O589" s="2"/>
      <c r="P589" s="2"/>
      <c r="Q589" s="2"/>
      <c r="R589" s="7"/>
      <c r="S589" s="224"/>
      <c r="T589" s="224"/>
      <c r="U589" s="224"/>
      <c r="V589" s="224"/>
    </row>
    <row r="590">
      <c r="A590" s="33"/>
      <c r="B590" s="2"/>
      <c r="C590" s="2"/>
      <c r="D590" s="2"/>
      <c r="E590" s="2"/>
      <c r="F590" s="4"/>
      <c r="G590" s="2"/>
      <c r="H590" s="2"/>
      <c r="I590" s="2"/>
      <c r="J590" s="2"/>
      <c r="K590" s="5"/>
      <c r="L590" s="2"/>
      <c r="M590" s="2"/>
      <c r="N590" s="2"/>
      <c r="O590" s="2"/>
      <c r="P590" s="2"/>
      <c r="Q590" s="2"/>
      <c r="R590" s="7"/>
      <c r="S590" s="224"/>
      <c r="T590" s="224"/>
      <c r="U590" s="224"/>
      <c r="V590" s="224"/>
    </row>
    <row r="591">
      <c r="A591" s="33"/>
      <c r="B591" s="2"/>
      <c r="C591" s="2"/>
      <c r="D591" s="2"/>
      <c r="E591" s="2"/>
      <c r="F591" s="4"/>
      <c r="G591" s="2"/>
      <c r="H591" s="2"/>
      <c r="I591" s="2"/>
      <c r="J591" s="2"/>
      <c r="K591" s="5"/>
      <c r="L591" s="2"/>
      <c r="M591" s="2"/>
      <c r="N591" s="2"/>
      <c r="O591" s="2"/>
      <c r="P591" s="2"/>
      <c r="Q591" s="2"/>
      <c r="R591" s="7"/>
      <c r="S591" s="224"/>
      <c r="T591" s="224"/>
      <c r="U591" s="224"/>
      <c r="V591" s="224"/>
    </row>
    <row r="592">
      <c r="A592" s="33"/>
      <c r="B592" s="2"/>
      <c r="C592" s="2"/>
      <c r="D592" s="2"/>
      <c r="E592" s="2"/>
      <c r="F592" s="4"/>
      <c r="G592" s="2"/>
      <c r="H592" s="2"/>
      <c r="I592" s="2"/>
      <c r="J592" s="2"/>
      <c r="K592" s="5"/>
      <c r="L592" s="2"/>
      <c r="M592" s="2"/>
      <c r="N592" s="2"/>
      <c r="O592" s="2"/>
      <c r="P592" s="2"/>
      <c r="Q592" s="2"/>
      <c r="R592" s="7"/>
      <c r="S592" s="224"/>
      <c r="T592" s="224"/>
      <c r="U592" s="224"/>
      <c r="V592" s="224"/>
    </row>
    <row r="593">
      <c r="A593" s="33"/>
      <c r="B593" s="2"/>
      <c r="C593" s="2"/>
      <c r="D593" s="2"/>
      <c r="E593" s="2"/>
      <c r="F593" s="4"/>
      <c r="G593" s="2"/>
      <c r="H593" s="2"/>
      <c r="I593" s="2"/>
      <c r="J593" s="2"/>
      <c r="K593" s="5"/>
      <c r="L593" s="2"/>
      <c r="M593" s="2"/>
      <c r="N593" s="2"/>
      <c r="O593" s="2"/>
      <c r="P593" s="2"/>
      <c r="Q593" s="2"/>
      <c r="R593" s="7"/>
      <c r="S593" s="224"/>
      <c r="T593" s="224"/>
      <c r="U593" s="224"/>
      <c r="V593" s="224"/>
    </row>
    <row r="594">
      <c r="A594" s="33"/>
      <c r="B594" s="2"/>
      <c r="C594" s="2"/>
      <c r="D594" s="2"/>
      <c r="E594" s="2"/>
      <c r="F594" s="4"/>
      <c r="G594" s="2"/>
      <c r="H594" s="2"/>
      <c r="I594" s="2"/>
      <c r="J594" s="2"/>
      <c r="K594" s="5"/>
      <c r="L594" s="2"/>
      <c r="M594" s="2"/>
      <c r="N594" s="2"/>
      <c r="O594" s="2"/>
      <c r="P594" s="2"/>
      <c r="Q594" s="2"/>
      <c r="R594" s="7"/>
      <c r="S594" s="224"/>
      <c r="T594" s="224"/>
      <c r="U594" s="224"/>
      <c r="V594" s="224"/>
    </row>
    <row r="595">
      <c r="A595" s="33"/>
      <c r="B595" s="2"/>
      <c r="C595" s="2"/>
      <c r="D595" s="2"/>
      <c r="E595" s="2"/>
      <c r="F595" s="4"/>
      <c r="G595" s="2"/>
      <c r="H595" s="2"/>
      <c r="I595" s="2"/>
      <c r="J595" s="2"/>
      <c r="K595" s="5"/>
      <c r="L595" s="2"/>
      <c r="M595" s="2"/>
      <c r="N595" s="2"/>
      <c r="O595" s="2"/>
      <c r="P595" s="2"/>
      <c r="Q595" s="2"/>
      <c r="R595" s="7"/>
      <c r="S595" s="224"/>
      <c r="T595" s="224"/>
      <c r="U595" s="224"/>
      <c r="V595" s="224"/>
    </row>
    <row r="596">
      <c r="A596" s="33"/>
      <c r="B596" s="2"/>
      <c r="C596" s="2"/>
      <c r="D596" s="2"/>
      <c r="E596" s="2"/>
      <c r="F596" s="4"/>
      <c r="G596" s="2"/>
      <c r="H596" s="2"/>
      <c r="I596" s="2"/>
      <c r="J596" s="2"/>
      <c r="K596" s="5"/>
      <c r="L596" s="2"/>
      <c r="M596" s="2"/>
      <c r="N596" s="2"/>
      <c r="O596" s="2"/>
      <c r="P596" s="2"/>
      <c r="Q596" s="2"/>
      <c r="R596" s="7"/>
      <c r="S596" s="224"/>
      <c r="T596" s="224"/>
      <c r="U596" s="224"/>
      <c r="V596" s="224"/>
    </row>
    <row r="597">
      <c r="A597" s="33"/>
      <c r="B597" s="2"/>
      <c r="C597" s="2"/>
      <c r="D597" s="2"/>
      <c r="E597" s="2"/>
      <c r="F597" s="4"/>
      <c r="G597" s="2"/>
      <c r="H597" s="2"/>
      <c r="I597" s="2"/>
      <c r="J597" s="2"/>
      <c r="K597" s="5"/>
      <c r="L597" s="2"/>
      <c r="M597" s="2"/>
      <c r="N597" s="2"/>
      <c r="O597" s="2"/>
      <c r="P597" s="2"/>
      <c r="Q597" s="2"/>
      <c r="R597" s="7"/>
      <c r="S597" s="224"/>
      <c r="T597" s="224"/>
      <c r="U597" s="224"/>
      <c r="V597" s="224"/>
    </row>
    <row r="598">
      <c r="A598" s="33"/>
      <c r="B598" s="2"/>
      <c r="C598" s="2"/>
      <c r="D598" s="2"/>
      <c r="E598" s="2"/>
      <c r="F598" s="4"/>
      <c r="G598" s="2"/>
      <c r="H598" s="2"/>
      <c r="I598" s="2"/>
      <c r="J598" s="2"/>
      <c r="K598" s="5"/>
      <c r="L598" s="2"/>
      <c r="M598" s="2"/>
      <c r="N598" s="2"/>
      <c r="O598" s="2"/>
      <c r="P598" s="2"/>
      <c r="Q598" s="2"/>
      <c r="R598" s="7"/>
      <c r="S598" s="224"/>
      <c r="T598" s="224"/>
      <c r="U598" s="224"/>
      <c r="V598" s="224"/>
    </row>
    <row r="599">
      <c r="A599" s="33"/>
      <c r="B599" s="2"/>
      <c r="C599" s="2"/>
      <c r="D599" s="2"/>
      <c r="E599" s="2"/>
      <c r="F599" s="4"/>
      <c r="G599" s="2"/>
      <c r="H599" s="2"/>
      <c r="I599" s="2"/>
      <c r="J599" s="2"/>
      <c r="K599" s="5"/>
      <c r="L599" s="2"/>
      <c r="M599" s="2"/>
      <c r="N599" s="2"/>
      <c r="O599" s="2"/>
      <c r="P599" s="2"/>
      <c r="Q599" s="2"/>
      <c r="R599" s="7"/>
      <c r="S599" s="224"/>
      <c r="T599" s="224"/>
      <c r="U599" s="224"/>
      <c r="V599" s="224"/>
    </row>
    <row r="600">
      <c r="A600" s="33"/>
      <c r="B600" s="2"/>
      <c r="C600" s="2"/>
      <c r="D600" s="2"/>
      <c r="E600" s="2"/>
      <c r="F600" s="4"/>
      <c r="G600" s="2"/>
      <c r="H600" s="2"/>
      <c r="I600" s="2"/>
      <c r="J600" s="2"/>
      <c r="K600" s="5"/>
      <c r="L600" s="2"/>
      <c r="M600" s="2"/>
      <c r="N600" s="2"/>
      <c r="O600" s="2"/>
      <c r="P600" s="2"/>
      <c r="Q600" s="2"/>
      <c r="R600" s="7"/>
      <c r="S600" s="224"/>
      <c r="T600" s="224"/>
      <c r="U600" s="224"/>
      <c r="V600" s="224"/>
    </row>
    <row r="601">
      <c r="A601" s="33"/>
      <c r="B601" s="2"/>
      <c r="C601" s="2"/>
      <c r="D601" s="2"/>
      <c r="E601" s="2"/>
      <c r="F601" s="4"/>
      <c r="G601" s="2"/>
      <c r="H601" s="2"/>
      <c r="I601" s="2"/>
      <c r="J601" s="2"/>
      <c r="K601" s="5"/>
      <c r="L601" s="2"/>
      <c r="M601" s="2"/>
      <c r="N601" s="2"/>
      <c r="O601" s="2"/>
      <c r="P601" s="2"/>
      <c r="Q601" s="2"/>
      <c r="R601" s="7"/>
      <c r="S601" s="224"/>
      <c r="T601" s="224"/>
      <c r="U601" s="224"/>
      <c r="V601" s="224"/>
    </row>
    <row r="602">
      <c r="A602" s="33"/>
      <c r="B602" s="2"/>
      <c r="C602" s="2"/>
      <c r="D602" s="2"/>
      <c r="E602" s="2"/>
      <c r="F602" s="4"/>
      <c r="G602" s="2"/>
      <c r="H602" s="2"/>
      <c r="I602" s="2"/>
      <c r="J602" s="2"/>
      <c r="K602" s="5"/>
      <c r="L602" s="2"/>
      <c r="M602" s="2"/>
      <c r="N602" s="2"/>
      <c r="O602" s="2"/>
      <c r="P602" s="2"/>
      <c r="Q602" s="2"/>
      <c r="R602" s="7"/>
      <c r="S602" s="224"/>
      <c r="T602" s="224"/>
      <c r="U602" s="224"/>
      <c r="V602" s="224"/>
    </row>
    <row r="603">
      <c r="A603" s="33"/>
      <c r="B603" s="2"/>
      <c r="C603" s="2"/>
      <c r="D603" s="2"/>
      <c r="E603" s="2"/>
      <c r="F603" s="4"/>
      <c r="G603" s="2"/>
      <c r="H603" s="2"/>
      <c r="I603" s="2"/>
      <c r="J603" s="2"/>
      <c r="K603" s="5"/>
      <c r="L603" s="2"/>
      <c r="M603" s="2"/>
      <c r="N603" s="2"/>
      <c r="O603" s="2"/>
      <c r="P603" s="2"/>
      <c r="Q603" s="2"/>
      <c r="R603" s="7"/>
      <c r="S603" s="224"/>
      <c r="T603" s="224"/>
      <c r="U603" s="224"/>
      <c r="V603" s="224"/>
    </row>
    <row r="604">
      <c r="A604" s="33"/>
      <c r="B604" s="2"/>
      <c r="C604" s="2"/>
      <c r="D604" s="2"/>
      <c r="E604" s="2"/>
      <c r="F604" s="4"/>
      <c r="G604" s="2"/>
      <c r="H604" s="2"/>
      <c r="I604" s="2"/>
      <c r="J604" s="2"/>
      <c r="K604" s="5"/>
      <c r="L604" s="2"/>
      <c r="M604" s="2"/>
      <c r="N604" s="2"/>
      <c r="O604" s="2"/>
      <c r="P604" s="2"/>
      <c r="Q604" s="2"/>
      <c r="R604" s="7"/>
      <c r="S604" s="224"/>
      <c r="T604" s="224"/>
      <c r="U604" s="224"/>
      <c r="V604" s="224"/>
    </row>
    <row r="605">
      <c r="A605" s="33"/>
      <c r="B605" s="2"/>
      <c r="C605" s="2"/>
      <c r="D605" s="2"/>
      <c r="E605" s="2"/>
      <c r="F605" s="4"/>
      <c r="G605" s="2"/>
      <c r="H605" s="2"/>
      <c r="I605" s="2"/>
      <c r="J605" s="2"/>
      <c r="K605" s="5"/>
      <c r="L605" s="2"/>
      <c r="M605" s="2"/>
      <c r="N605" s="2"/>
      <c r="O605" s="2"/>
      <c r="P605" s="2"/>
      <c r="Q605" s="2"/>
      <c r="R605" s="7"/>
      <c r="S605" s="224"/>
      <c r="T605" s="224"/>
      <c r="U605" s="224"/>
      <c r="V605" s="224"/>
    </row>
    <row r="606">
      <c r="A606" s="33"/>
      <c r="B606" s="2"/>
      <c r="C606" s="2"/>
      <c r="D606" s="2"/>
      <c r="E606" s="2"/>
      <c r="F606" s="4"/>
      <c r="G606" s="2"/>
      <c r="H606" s="2"/>
      <c r="I606" s="2"/>
      <c r="J606" s="2"/>
      <c r="K606" s="5"/>
      <c r="L606" s="2"/>
      <c r="M606" s="2"/>
      <c r="N606" s="2"/>
      <c r="O606" s="2"/>
      <c r="P606" s="2"/>
      <c r="Q606" s="2"/>
      <c r="R606" s="7"/>
      <c r="S606" s="224"/>
      <c r="T606" s="224"/>
      <c r="U606" s="224"/>
      <c r="V606" s="224"/>
    </row>
    <row r="607">
      <c r="A607" s="33"/>
      <c r="B607" s="2"/>
      <c r="C607" s="2"/>
      <c r="D607" s="2"/>
      <c r="E607" s="2"/>
      <c r="F607" s="4"/>
      <c r="G607" s="2"/>
      <c r="H607" s="2"/>
      <c r="I607" s="2"/>
      <c r="J607" s="2"/>
      <c r="K607" s="5"/>
      <c r="L607" s="2"/>
      <c r="M607" s="2"/>
      <c r="N607" s="2"/>
      <c r="O607" s="2"/>
      <c r="P607" s="2"/>
      <c r="Q607" s="2"/>
      <c r="R607" s="7"/>
      <c r="S607" s="224"/>
      <c r="T607" s="224"/>
      <c r="U607" s="224"/>
      <c r="V607" s="224"/>
    </row>
    <row r="608">
      <c r="A608" s="33"/>
      <c r="B608" s="2"/>
      <c r="C608" s="2"/>
      <c r="D608" s="2"/>
      <c r="E608" s="2"/>
      <c r="F608" s="4"/>
      <c r="G608" s="2"/>
      <c r="H608" s="2"/>
      <c r="I608" s="2"/>
      <c r="J608" s="2"/>
      <c r="K608" s="5"/>
      <c r="L608" s="2"/>
      <c r="M608" s="2"/>
      <c r="N608" s="2"/>
      <c r="O608" s="2"/>
      <c r="P608" s="2"/>
      <c r="Q608" s="2"/>
      <c r="R608" s="7"/>
      <c r="S608" s="224"/>
      <c r="T608" s="224"/>
      <c r="U608" s="224"/>
      <c r="V608" s="224"/>
    </row>
    <row r="609">
      <c r="A609" s="33"/>
      <c r="B609" s="2"/>
      <c r="C609" s="2"/>
      <c r="D609" s="2"/>
      <c r="E609" s="2"/>
      <c r="F609" s="4"/>
      <c r="G609" s="2"/>
      <c r="H609" s="2"/>
      <c r="I609" s="2"/>
      <c r="J609" s="2"/>
      <c r="K609" s="5"/>
      <c r="L609" s="2"/>
      <c r="M609" s="2"/>
      <c r="N609" s="2"/>
      <c r="O609" s="2"/>
      <c r="P609" s="2"/>
      <c r="Q609" s="2"/>
      <c r="R609" s="7"/>
      <c r="S609" s="224"/>
      <c r="T609" s="224"/>
      <c r="U609" s="224"/>
      <c r="V609" s="224"/>
    </row>
    <row r="610">
      <c r="A610" s="33"/>
      <c r="B610" s="2"/>
      <c r="C610" s="2"/>
      <c r="D610" s="2"/>
      <c r="E610" s="2"/>
      <c r="F610" s="4"/>
      <c r="G610" s="2"/>
      <c r="H610" s="2"/>
      <c r="I610" s="2"/>
      <c r="J610" s="2"/>
      <c r="K610" s="5"/>
      <c r="L610" s="2"/>
      <c r="M610" s="2"/>
      <c r="N610" s="2"/>
      <c r="O610" s="2"/>
      <c r="P610" s="2"/>
      <c r="Q610" s="2"/>
      <c r="R610" s="7"/>
      <c r="S610" s="224"/>
      <c r="T610" s="224"/>
      <c r="U610" s="224"/>
      <c r="V610" s="224"/>
    </row>
    <row r="611">
      <c r="A611" s="33"/>
      <c r="B611" s="2"/>
      <c r="C611" s="2"/>
      <c r="D611" s="2"/>
      <c r="E611" s="2"/>
      <c r="F611" s="4"/>
      <c r="G611" s="2"/>
      <c r="H611" s="2"/>
      <c r="I611" s="2"/>
      <c r="J611" s="2"/>
      <c r="K611" s="5"/>
      <c r="L611" s="2"/>
      <c r="M611" s="2"/>
      <c r="N611" s="2"/>
      <c r="O611" s="2"/>
      <c r="P611" s="2"/>
      <c r="Q611" s="2"/>
      <c r="R611" s="7"/>
      <c r="S611" s="224"/>
      <c r="T611" s="224"/>
      <c r="U611" s="224"/>
      <c r="V611" s="224"/>
    </row>
    <row r="612">
      <c r="A612" s="33"/>
      <c r="B612" s="2"/>
      <c r="C612" s="2"/>
      <c r="D612" s="2"/>
      <c r="E612" s="2"/>
      <c r="F612" s="4"/>
      <c r="G612" s="2"/>
      <c r="H612" s="2"/>
      <c r="I612" s="2"/>
      <c r="J612" s="2"/>
      <c r="K612" s="5"/>
      <c r="L612" s="2"/>
      <c r="M612" s="2"/>
      <c r="N612" s="2"/>
      <c r="O612" s="2"/>
      <c r="P612" s="2"/>
      <c r="Q612" s="2"/>
      <c r="R612" s="7"/>
      <c r="S612" s="224"/>
      <c r="T612" s="224"/>
      <c r="U612" s="224"/>
      <c r="V612" s="224"/>
    </row>
    <row r="613">
      <c r="A613" s="33"/>
      <c r="B613" s="2"/>
      <c r="C613" s="2"/>
      <c r="D613" s="2"/>
      <c r="E613" s="2"/>
      <c r="F613" s="4"/>
      <c r="G613" s="2"/>
      <c r="H613" s="2"/>
      <c r="I613" s="2"/>
      <c r="J613" s="2"/>
      <c r="K613" s="5"/>
      <c r="L613" s="2"/>
      <c r="M613" s="2"/>
      <c r="N613" s="2"/>
      <c r="O613" s="2"/>
      <c r="P613" s="2"/>
      <c r="Q613" s="2"/>
      <c r="R613" s="7"/>
      <c r="S613" s="224"/>
      <c r="T613" s="224"/>
      <c r="U613" s="224"/>
      <c r="V613" s="224"/>
    </row>
    <row r="614">
      <c r="A614" s="33"/>
      <c r="B614" s="2"/>
      <c r="C614" s="2"/>
      <c r="D614" s="2"/>
      <c r="E614" s="2"/>
      <c r="F614" s="4"/>
      <c r="G614" s="2"/>
      <c r="H614" s="2"/>
      <c r="I614" s="2"/>
      <c r="J614" s="2"/>
      <c r="K614" s="5"/>
      <c r="L614" s="2"/>
      <c r="M614" s="2"/>
      <c r="N614" s="2"/>
      <c r="O614" s="2"/>
      <c r="P614" s="2"/>
      <c r="Q614" s="2"/>
      <c r="R614" s="7"/>
      <c r="S614" s="224"/>
      <c r="T614" s="224"/>
      <c r="U614" s="224"/>
      <c r="V614" s="224"/>
    </row>
    <row r="615">
      <c r="A615" s="33"/>
      <c r="B615" s="2"/>
      <c r="C615" s="2"/>
      <c r="D615" s="2"/>
      <c r="E615" s="2"/>
      <c r="F615" s="4"/>
      <c r="G615" s="2"/>
      <c r="H615" s="2"/>
      <c r="I615" s="2"/>
      <c r="J615" s="2"/>
      <c r="K615" s="5"/>
      <c r="L615" s="2"/>
      <c r="M615" s="2"/>
      <c r="N615" s="2"/>
      <c r="O615" s="2"/>
      <c r="P615" s="2"/>
      <c r="Q615" s="2"/>
      <c r="R615" s="7"/>
      <c r="S615" s="224"/>
      <c r="T615" s="224"/>
      <c r="U615" s="224"/>
      <c r="V615" s="224"/>
    </row>
    <row r="616">
      <c r="A616" s="33"/>
      <c r="B616" s="2"/>
      <c r="C616" s="2"/>
      <c r="D616" s="2"/>
      <c r="E616" s="2"/>
      <c r="F616" s="4"/>
      <c r="G616" s="2"/>
      <c r="H616" s="2"/>
      <c r="I616" s="2"/>
      <c r="J616" s="2"/>
      <c r="K616" s="5"/>
      <c r="L616" s="2"/>
      <c r="M616" s="2"/>
      <c r="N616" s="2"/>
      <c r="O616" s="2"/>
      <c r="P616" s="2"/>
      <c r="Q616" s="2"/>
      <c r="R616" s="7"/>
      <c r="S616" s="224"/>
      <c r="T616" s="224"/>
      <c r="U616" s="224"/>
      <c r="V616" s="224"/>
    </row>
    <row r="617">
      <c r="A617" s="33"/>
      <c r="B617" s="2"/>
      <c r="C617" s="2"/>
      <c r="D617" s="2"/>
      <c r="E617" s="2"/>
      <c r="F617" s="4"/>
      <c r="G617" s="2"/>
      <c r="H617" s="2"/>
      <c r="I617" s="2"/>
      <c r="J617" s="2"/>
      <c r="K617" s="5"/>
      <c r="L617" s="2"/>
      <c r="M617" s="2"/>
      <c r="N617" s="2"/>
      <c r="O617" s="2"/>
      <c r="P617" s="2"/>
      <c r="Q617" s="2"/>
      <c r="R617" s="7"/>
      <c r="S617" s="224"/>
      <c r="T617" s="224"/>
      <c r="U617" s="224"/>
      <c r="V617" s="224"/>
    </row>
    <row r="618">
      <c r="A618" s="33"/>
      <c r="B618" s="2"/>
      <c r="C618" s="2"/>
      <c r="D618" s="2"/>
      <c r="E618" s="2"/>
      <c r="F618" s="4"/>
      <c r="G618" s="2"/>
      <c r="H618" s="2"/>
      <c r="I618" s="2"/>
      <c r="J618" s="2"/>
      <c r="K618" s="5"/>
      <c r="L618" s="2"/>
      <c r="M618" s="2"/>
      <c r="N618" s="2"/>
      <c r="O618" s="2"/>
      <c r="P618" s="2"/>
      <c r="Q618" s="2"/>
      <c r="R618" s="7"/>
      <c r="S618" s="224"/>
      <c r="T618" s="224"/>
      <c r="U618" s="224"/>
      <c r="V618" s="224"/>
    </row>
    <row r="619">
      <c r="A619" s="33"/>
      <c r="B619" s="2"/>
      <c r="C619" s="2"/>
      <c r="D619" s="2"/>
      <c r="E619" s="2"/>
      <c r="F619" s="4"/>
      <c r="G619" s="2"/>
      <c r="H619" s="2"/>
      <c r="I619" s="2"/>
      <c r="J619" s="2"/>
      <c r="K619" s="5"/>
      <c r="L619" s="2"/>
      <c r="M619" s="2"/>
      <c r="N619" s="2"/>
      <c r="O619" s="2"/>
      <c r="P619" s="2"/>
      <c r="Q619" s="2"/>
      <c r="R619" s="7"/>
      <c r="S619" s="224"/>
      <c r="T619" s="224"/>
      <c r="U619" s="224"/>
      <c r="V619" s="224"/>
    </row>
    <row r="620">
      <c r="A620" s="33"/>
      <c r="B620" s="2"/>
      <c r="C620" s="2"/>
      <c r="D620" s="2"/>
      <c r="E620" s="2"/>
      <c r="F620" s="4"/>
      <c r="G620" s="2"/>
      <c r="H620" s="2"/>
      <c r="I620" s="2"/>
      <c r="J620" s="2"/>
      <c r="K620" s="5"/>
      <c r="L620" s="2"/>
      <c r="M620" s="2"/>
      <c r="N620" s="2"/>
      <c r="O620" s="2"/>
      <c r="P620" s="2"/>
      <c r="Q620" s="2"/>
      <c r="R620" s="7"/>
      <c r="S620" s="224"/>
      <c r="T620" s="224"/>
      <c r="U620" s="224"/>
      <c r="V620" s="224"/>
    </row>
    <row r="621">
      <c r="A621" s="33"/>
      <c r="B621" s="2"/>
      <c r="C621" s="2"/>
      <c r="D621" s="2"/>
      <c r="E621" s="2"/>
      <c r="F621" s="4"/>
      <c r="G621" s="2"/>
      <c r="H621" s="2"/>
      <c r="I621" s="2"/>
      <c r="J621" s="2"/>
      <c r="K621" s="5"/>
      <c r="L621" s="2"/>
      <c r="M621" s="2"/>
      <c r="N621" s="2"/>
      <c r="O621" s="2"/>
      <c r="P621" s="2"/>
      <c r="Q621" s="2"/>
      <c r="R621" s="7"/>
      <c r="S621" s="224"/>
      <c r="T621" s="224"/>
      <c r="U621" s="224"/>
      <c r="V621" s="224"/>
    </row>
    <row r="622">
      <c r="A622" s="33"/>
      <c r="B622" s="2"/>
      <c r="C622" s="2"/>
      <c r="D622" s="2"/>
      <c r="E622" s="2"/>
      <c r="F622" s="4"/>
      <c r="G622" s="2"/>
      <c r="H622" s="2"/>
      <c r="I622" s="2"/>
      <c r="J622" s="2"/>
      <c r="K622" s="5"/>
      <c r="L622" s="2"/>
      <c r="M622" s="2"/>
      <c r="N622" s="2"/>
      <c r="O622" s="2"/>
      <c r="P622" s="2"/>
      <c r="Q622" s="2"/>
      <c r="R622" s="7"/>
      <c r="S622" s="224"/>
      <c r="T622" s="224"/>
      <c r="U622" s="224"/>
      <c r="V622" s="224"/>
    </row>
    <row r="623">
      <c r="A623" s="33"/>
      <c r="B623" s="2"/>
      <c r="C623" s="2"/>
      <c r="D623" s="2"/>
      <c r="E623" s="2"/>
      <c r="F623" s="4"/>
      <c r="G623" s="2"/>
      <c r="H623" s="2"/>
      <c r="I623" s="2"/>
      <c r="J623" s="2"/>
      <c r="K623" s="5"/>
      <c r="L623" s="2"/>
      <c r="M623" s="2"/>
      <c r="N623" s="2"/>
      <c r="O623" s="2"/>
      <c r="P623" s="2"/>
      <c r="Q623" s="2"/>
      <c r="R623" s="7"/>
      <c r="S623" s="224"/>
      <c r="T623" s="224"/>
      <c r="U623" s="224"/>
      <c r="V623" s="224"/>
    </row>
    <row r="624">
      <c r="A624" s="33"/>
      <c r="B624" s="2"/>
      <c r="C624" s="2"/>
      <c r="D624" s="2"/>
      <c r="E624" s="2"/>
      <c r="F624" s="4"/>
      <c r="G624" s="2"/>
      <c r="H624" s="2"/>
      <c r="I624" s="2"/>
      <c r="J624" s="2"/>
      <c r="K624" s="5"/>
      <c r="L624" s="2"/>
      <c r="M624" s="2"/>
      <c r="N624" s="2"/>
      <c r="O624" s="2"/>
      <c r="P624" s="2"/>
      <c r="Q624" s="2"/>
      <c r="R624" s="7"/>
      <c r="S624" s="224"/>
      <c r="T624" s="224"/>
      <c r="U624" s="224"/>
      <c r="V624" s="224"/>
    </row>
    <row r="625">
      <c r="A625" s="33"/>
      <c r="B625" s="2"/>
      <c r="C625" s="2"/>
      <c r="D625" s="2"/>
      <c r="E625" s="2"/>
      <c r="F625" s="4"/>
      <c r="G625" s="2"/>
      <c r="H625" s="2"/>
      <c r="I625" s="2"/>
      <c r="J625" s="2"/>
      <c r="K625" s="5"/>
      <c r="L625" s="2"/>
      <c r="M625" s="2"/>
      <c r="N625" s="2"/>
      <c r="O625" s="2"/>
      <c r="P625" s="2"/>
      <c r="Q625" s="2"/>
      <c r="R625" s="7"/>
      <c r="S625" s="224"/>
      <c r="T625" s="224"/>
      <c r="U625" s="224"/>
      <c r="V625" s="224"/>
    </row>
    <row r="626">
      <c r="A626" s="33"/>
      <c r="B626" s="2"/>
      <c r="C626" s="2"/>
      <c r="D626" s="2"/>
      <c r="E626" s="2"/>
      <c r="F626" s="4"/>
      <c r="G626" s="2"/>
      <c r="H626" s="2"/>
      <c r="I626" s="2"/>
      <c r="J626" s="2"/>
      <c r="K626" s="5"/>
      <c r="L626" s="2"/>
      <c r="M626" s="2"/>
      <c r="N626" s="2"/>
      <c r="O626" s="2"/>
      <c r="P626" s="2"/>
      <c r="Q626" s="2"/>
      <c r="R626" s="7"/>
      <c r="S626" s="224"/>
      <c r="T626" s="224"/>
      <c r="U626" s="224"/>
      <c r="V626" s="224"/>
    </row>
    <row r="627">
      <c r="A627" s="33"/>
      <c r="B627" s="2"/>
      <c r="C627" s="2"/>
      <c r="D627" s="2"/>
      <c r="E627" s="2"/>
      <c r="F627" s="4"/>
      <c r="G627" s="2"/>
      <c r="H627" s="2"/>
      <c r="I627" s="2"/>
      <c r="J627" s="2"/>
      <c r="K627" s="5"/>
      <c r="L627" s="2"/>
      <c r="M627" s="2"/>
      <c r="N627" s="2"/>
      <c r="O627" s="2"/>
      <c r="P627" s="2"/>
      <c r="Q627" s="2"/>
      <c r="R627" s="7"/>
      <c r="S627" s="224"/>
      <c r="T627" s="224"/>
      <c r="U627" s="224"/>
      <c r="V627" s="224"/>
    </row>
    <row r="628">
      <c r="A628" s="33"/>
      <c r="B628" s="2"/>
      <c r="C628" s="2"/>
      <c r="D628" s="2"/>
      <c r="E628" s="2"/>
      <c r="F628" s="4"/>
      <c r="G628" s="2"/>
      <c r="H628" s="2"/>
      <c r="I628" s="2"/>
      <c r="J628" s="2"/>
      <c r="K628" s="5"/>
      <c r="L628" s="2"/>
      <c r="M628" s="2"/>
      <c r="N628" s="2"/>
      <c r="O628" s="2"/>
      <c r="P628" s="2"/>
      <c r="Q628" s="2"/>
      <c r="R628" s="7"/>
      <c r="S628" s="224"/>
      <c r="T628" s="224"/>
      <c r="U628" s="224"/>
      <c r="V628" s="224"/>
    </row>
    <row r="629">
      <c r="A629" s="33"/>
      <c r="B629" s="2"/>
      <c r="C629" s="2"/>
      <c r="D629" s="2"/>
      <c r="E629" s="2"/>
      <c r="F629" s="4"/>
      <c r="G629" s="2"/>
      <c r="H629" s="2"/>
      <c r="I629" s="2"/>
      <c r="J629" s="2"/>
      <c r="K629" s="5"/>
      <c r="L629" s="2"/>
      <c r="M629" s="2"/>
      <c r="N629" s="2"/>
      <c r="O629" s="2"/>
      <c r="P629" s="2"/>
      <c r="Q629" s="2"/>
      <c r="R629" s="7"/>
      <c r="S629" s="224"/>
      <c r="T629" s="224"/>
      <c r="U629" s="224"/>
      <c r="V629" s="224"/>
    </row>
    <row r="630">
      <c r="A630" s="33"/>
      <c r="B630" s="2"/>
      <c r="C630" s="2"/>
      <c r="D630" s="2"/>
      <c r="E630" s="2"/>
      <c r="F630" s="4"/>
      <c r="G630" s="2"/>
      <c r="H630" s="2"/>
      <c r="I630" s="2"/>
      <c r="J630" s="2"/>
      <c r="K630" s="5"/>
      <c r="L630" s="2"/>
      <c r="M630" s="2"/>
      <c r="N630" s="2"/>
      <c r="O630" s="2"/>
      <c r="P630" s="2"/>
      <c r="Q630" s="2"/>
      <c r="R630" s="7"/>
      <c r="S630" s="224"/>
      <c r="T630" s="224"/>
      <c r="U630" s="224"/>
      <c r="V630" s="224"/>
    </row>
    <row r="631">
      <c r="A631" s="33"/>
      <c r="B631" s="2"/>
      <c r="C631" s="2"/>
      <c r="D631" s="2"/>
      <c r="E631" s="2"/>
      <c r="F631" s="4"/>
      <c r="G631" s="2"/>
      <c r="H631" s="2"/>
      <c r="I631" s="2"/>
      <c r="J631" s="2"/>
      <c r="K631" s="5"/>
      <c r="L631" s="2"/>
      <c r="M631" s="2"/>
      <c r="N631" s="2"/>
      <c r="O631" s="2"/>
      <c r="P631" s="2"/>
      <c r="Q631" s="2"/>
      <c r="R631" s="7"/>
      <c r="S631" s="224"/>
      <c r="T631" s="224"/>
      <c r="U631" s="224"/>
      <c r="V631" s="224"/>
    </row>
    <row r="632">
      <c r="A632" s="33"/>
      <c r="B632" s="2"/>
      <c r="C632" s="2"/>
      <c r="D632" s="2"/>
      <c r="E632" s="2"/>
      <c r="F632" s="4"/>
      <c r="G632" s="2"/>
      <c r="H632" s="2"/>
      <c r="I632" s="2"/>
      <c r="J632" s="2"/>
      <c r="K632" s="5"/>
      <c r="L632" s="2"/>
      <c r="M632" s="2"/>
      <c r="N632" s="2"/>
      <c r="O632" s="2"/>
      <c r="P632" s="2"/>
      <c r="Q632" s="2"/>
      <c r="R632" s="7"/>
      <c r="S632" s="224"/>
      <c r="T632" s="224"/>
      <c r="U632" s="224"/>
      <c r="V632" s="224"/>
    </row>
    <row r="633">
      <c r="A633" s="33"/>
      <c r="B633" s="2"/>
      <c r="C633" s="2"/>
      <c r="D633" s="2"/>
      <c r="E633" s="2"/>
      <c r="F633" s="4"/>
      <c r="G633" s="2"/>
      <c r="H633" s="2"/>
      <c r="I633" s="2"/>
      <c r="J633" s="2"/>
      <c r="K633" s="5"/>
      <c r="L633" s="2"/>
      <c r="M633" s="2"/>
      <c r="N633" s="2"/>
      <c r="O633" s="2"/>
      <c r="P633" s="2"/>
      <c r="Q633" s="2"/>
      <c r="R633" s="7"/>
      <c r="S633" s="224"/>
      <c r="T633" s="224"/>
      <c r="U633" s="224"/>
      <c r="V633" s="224"/>
    </row>
    <row r="634">
      <c r="A634" s="33"/>
      <c r="B634" s="2"/>
      <c r="C634" s="2"/>
      <c r="D634" s="2"/>
      <c r="E634" s="2"/>
      <c r="F634" s="4"/>
      <c r="G634" s="2"/>
      <c r="H634" s="2"/>
      <c r="I634" s="2"/>
      <c r="J634" s="2"/>
      <c r="K634" s="5"/>
      <c r="L634" s="2"/>
      <c r="M634" s="2"/>
      <c r="N634" s="2"/>
      <c r="O634" s="2"/>
      <c r="P634" s="2"/>
      <c r="Q634" s="2"/>
      <c r="R634" s="7"/>
      <c r="S634" s="224"/>
      <c r="T634" s="224"/>
      <c r="U634" s="224"/>
      <c r="V634" s="224"/>
    </row>
    <row r="635">
      <c r="A635" s="33"/>
      <c r="B635" s="2"/>
      <c r="C635" s="2"/>
      <c r="D635" s="2"/>
      <c r="E635" s="2"/>
      <c r="F635" s="4"/>
      <c r="G635" s="2"/>
      <c r="H635" s="2"/>
      <c r="I635" s="2"/>
      <c r="J635" s="2"/>
      <c r="K635" s="5"/>
      <c r="L635" s="2"/>
      <c r="M635" s="2"/>
      <c r="N635" s="2"/>
      <c r="O635" s="2"/>
      <c r="P635" s="2"/>
      <c r="Q635" s="2"/>
      <c r="R635" s="7"/>
      <c r="S635" s="224"/>
      <c r="T635" s="224"/>
      <c r="U635" s="224"/>
      <c r="V635" s="224"/>
    </row>
    <row r="636">
      <c r="A636" s="33"/>
      <c r="B636" s="2"/>
      <c r="C636" s="2"/>
      <c r="D636" s="2"/>
      <c r="E636" s="2"/>
      <c r="F636" s="4"/>
      <c r="G636" s="2"/>
      <c r="H636" s="2"/>
      <c r="I636" s="2"/>
      <c r="J636" s="2"/>
      <c r="K636" s="5"/>
      <c r="L636" s="2"/>
      <c r="M636" s="2"/>
      <c r="N636" s="2"/>
      <c r="O636" s="2"/>
      <c r="P636" s="2"/>
      <c r="Q636" s="2"/>
      <c r="R636" s="7"/>
      <c r="S636" s="224"/>
      <c r="T636" s="224"/>
      <c r="U636" s="224"/>
      <c r="V636" s="224"/>
    </row>
    <row r="637">
      <c r="A637" s="33"/>
      <c r="B637" s="2"/>
      <c r="C637" s="2"/>
      <c r="D637" s="2"/>
      <c r="E637" s="2"/>
      <c r="F637" s="4"/>
      <c r="G637" s="2"/>
      <c r="H637" s="2"/>
      <c r="I637" s="2"/>
      <c r="J637" s="2"/>
      <c r="K637" s="5"/>
      <c r="L637" s="2"/>
      <c r="M637" s="2"/>
      <c r="N637" s="2"/>
      <c r="O637" s="2"/>
      <c r="P637" s="2"/>
      <c r="Q637" s="2"/>
      <c r="R637" s="7"/>
      <c r="S637" s="224"/>
      <c r="T637" s="224"/>
      <c r="U637" s="224"/>
      <c r="V637" s="224"/>
    </row>
    <row r="638">
      <c r="A638" s="33"/>
      <c r="B638" s="2"/>
      <c r="C638" s="2"/>
      <c r="D638" s="2"/>
      <c r="E638" s="2"/>
      <c r="F638" s="4"/>
      <c r="G638" s="2"/>
      <c r="H638" s="2"/>
      <c r="I638" s="2"/>
      <c r="J638" s="2"/>
      <c r="K638" s="5"/>
      <c r="L638" s="2"/>
      <c r="M638" s="2"/>
      <c r="N638" s="2"/>
      <c r="O638" s="2"/>
      <c r="P638" s="2"/>
      <c r="Q638" s="2"/>
      <c r="R638" s="7"/>
      <c r="S638" s="224"/>
      <c r="T638" s="224"/>
      <c r="U638" s="224"/>
      <c r="V638" s="224"/>
    </row>
    <row r="639">
      <c r="A639" s="33"/>
      <c r="B639" s="2"/>
      <c r="C639" s="2"/>
      <c r="D639" s="2"/>
      <c r="E639" s="2"/>
      <c r="F639" s="4"/>
      <c r="G639" s="2"/>
      <c r="H639" s="2"/>
      <c r="I639" s="2"/>
      <c r="J639" s="2"/>
      <c r="K639" s="5"/>
      <c r="L639" s="2"/>
      <c r="M639" s="2"/>
      <c r="N639" s="2"/>
      <c r="O639" s="2"/>
      <c r="P639" s="2"/>
      <c r="Q639" s="2"/>
      <c r="R639" s="7"/>
      <c r="S639" s="224"/>
      <c r="T639" s="224"/>
      <c r="U639" s="224"/>
      <c r="V639" s="224"/>
    </row>
    <row r="640">
      <c r="A640" s="33"/>
      <c r="B640" s="2"/>
      <c r="C640" s="2"/>
      <c r="D640" s="2"/>
      <c r="E640" s="2"/>
      <c r="F640" s="4"/>
      <c r="G640" s="2"/>
      <c r="H640" s="2"/>
      <c r="I640" s="2"/>
      <c r="J640" s="2"/>
      <c r="K640" s="5"/>
      <c r="L640" s="2"/>
      <c r="M640" s="2"/>
      <c r="N640" s="2"/>
      <c r="O640" s="2"/>
      <c r="P640" s="2"/>
      <c r="Q640" s="2"/>
      <c r="R640" s="7"/>
      <c r="S640" s="224"/>
      <c r="T640" s="224"/>
      <c r="U640" s="224"/>
      <c r="V640" s="224"/>
    </row>
    <row r="641">
      <c r="A641" s="33"/>
      <c r="B641" s="2"/>
      <c r="C641" s="2"/>
      <c r="D641" s="2"/>
      <c r="E641" s="2"/>
      <c r="F641" s="4"/>
      <c r="G641" s="2"/>
      <c r="H641" s="2"/>
      <c r="I641" s="2"/>
      <c r="J641" s="2"/>
      <c r="K641" s="5"/>
      <c r="L641" s="2"/>
      <c r="M641" s="2"/>
      <c r="N641" s="2"/>
      <c r="O641" s="2"/>
      <c r="P641" s="2"/>
      <c r="Q641" s="2"/>
      <c r="R641" s="7"/>
      <c r="S641" s="224"/>
      <c r="T641" s="224"/>
      <c r="U641" s="224"/>
      <c r="V641" s="224"/>
    </row>
    <row r="642">
      <c r="A642" s="33"/>
      <c r="B642" s="2"/>
      <c r="C642" s="2"/>
      <c r="D642" s="2"/>
      <c r="E642" s="2"/>
      <c r="F642" s="4"/>
      <c r="G642" s="2"/>
      <c r="H642" s="2"/>
      <c r="I642" s="2"/>
      <c r="J642" s="2"/>
      <c r="K642" s="5"/>
      <c r="L642" s="2"/>
      <c r="M642" s="2"/>
      <c r="N642" s="2"/>
      <c r="O642" s="2"/>
      <c r="P642" s="2"/>
      <c r="Q642" s="2"/>
      <c r="R642" s="7"/>
      <c r="S642" s="224"/>
      <c r="T642" s="224"/>
      <c r="U642" s="224"/>
      <c r="V642" s="224"/>
    </row>
    <row r="643">
      <c r="A643" s="33"/>
      <c r="B643" s="2"/>
      <c r="C643" s="2"/>
      <c r="D643" s="2"/>
      <c r="E643" s="2"/>
      <c r="F643" s="4"/>
      <c r="G643" s="2"/>
      <c r="H643" s="2"/>
      <c r="I643" s="2"/>
      <c r="J643" s="2"/>
      <c r="K643" s="5"/>
      <c r="L643" s="2"/>
      <c r="M643" s="2"/>
      <c r="N643" s="2"/>
      <c r="O643" s="2"/>
      <c r="P643" s="2"/>
      <c r="Q643" s="2"/>
      <c r="R643" s="7"/>
      <c r="S643" s="224"/>
      <c r="T643" s="224"/>
      <c r="U643" s="224"/>
      <c r="V643" s="224"/>
    </row>
    <row r="644">
      <c r="A644" s="33"/>
      <c r="B644" s="2"/>
      <c r="C644" s="2"/>
      <c r="D644" s="2"/>
      <c r="E644" s="2"/>
      <c r="F644" s="4"/>
      <c r="G644" s="2"/>
      <c r="H644" s="2"/>
      <c r="I644" s="2"/>
      <c r="J644" s="2"/>
      <c r="K644" s="5"/>
      <c r="L644" s="2"/>
      <c r="M644" s="2"/>
      <c r="N644" s="2"/>
      <c r="O644" s="2"/>
      <c r="P644" s="2"/>
      <c r="Q644" s="2"/>
      <c r="R644" s="7"/>
      <c r="S644" s="224"/>
      <c r="T644" s="224"/>
      <c r="U644" s="224"/>
      <c r="V644" s="224"/>
    </row>
    <row r="645">
      <c r="A645" s="33"/>
      <c r="B645" s="2"/>
      <c r="C645" s="2"/>
      <c r="D645" s="2"/>
      <c r="E645" s="2"/>
      <c r="F645" s="4"/>
      <c r="G645" s="2"/>
      <c r="H645" s="2"/>
      <c r="I645" s="2"/>
      <c r="J645" s="2"/>
      <c r="K645" s="5"/>
      <c r="L645" s="2"/>
      <c r="M645" s="2"/>
      <c r="N645" s="2"/>
      <c r="O645" s="2"/>
      <c r="P645" s="2"/>
      <c r="Q645" s="2"/>
      <c r="R645" s="7"/>
      <c r="S645" s="224"/>
      <c r="T645" s="224"/>
      <c r="U645" s="224"/>
      <c r="V645" s="224"/>
    </row>
    <row r="646">
      <c r="A646" s="33"/>
      <c r="B646" s="2"/>
      <c r="C646" s="2"/>
      <c r="D646" s="2"/>
      <c r="E646" s="2"/>
      <c r="F646" s="4"/>
      <c r="G646" s="2"/>
      <c r="H646" s="2"/>
      <c r="I646" s="2"/>
      <c r="J646" s="2"/>
      <c r="K646" s="5"/>
      <c r="L646" s="2"/>
      <c r="M646" s="2"/>
      <c r="N646" s="2"/>
      <c r="O646" s="2"/>
      <c r="P646" s="2"/>
      <c r="Q646" s="2"/>
      <c r="R646" s="7"/>
      <c r="S646" s="224"/>
      <c r="T646" s="224"/>
      <c r="U646" s="224"/>
      <c r="V646" s="224"/>
    </row>
    <row r="647">
      <c r="A647" s="33"/>
      <c r="B647" s="2"/>
      <c r="C647" s="2"/>
      <c r="D647" s="2"/>
      <c r="E647" s="2"/>
      <c r="F647" s="4"/>
      <c r="G647" s="2"/>
      <c r="H647" s="2"/>
      <c r="I647" s="2"/>
      <c r="J647" s="2"/>
      <c r="K647" s="5"/>
      <c r="L647" s="2"/>
      <c r="M647" s="2"/>
      <c r="N647" s="2"/>
      <c r="O647" s="2"/>
      <c r="P647" s="2"/>
      <c r="Q647" s="2"/>
      <c r="R647" s="7"/>
      <c r="S647" s="224"/>
      <c r="T647" s="224"/>
      <c r="U647" s="224"/>
      <c r="V647" s="224"/>
    </row>
    <row r="648">
      <c r="A648" s="33"/>
      <c r="B648" s="2"/>
      <c r="C648" s="2"/>
      <c r="D648" s="2"/>
      <c r="E648" s="2"/>
      <c r="F648" s="4"/>
      <c r="G648" s="2"/>
      <c r="H648" s="2"/>
      <c r="I648" s="2"/>
      <c r="J648" s="2"/>
      <c r="K648" s="5"/>
      <c r="L648" s="2"/>
      <c r="M648" s="2"/>
      <c r="N648" s="2"/>
      <c r="O648" s="2"/>
      <c r="P648" s="2"/>
      <c r="Q648" s="2"/>
      <c r="R648" s="7"/>
      <c r="S648" s="224"/>
      <c r="T648" s="224"/>
      <c r="U648" s="224"/>
      <c r="V648" s="224"/>
    </row>
    <row r="649">
      <c r="A649" s="33"/>
      <c r="B649" s="2"/>
      <c r="C649" s="2"/>
      <c r="D649" s="2"/>
      <c r="E649" s="2"/>
      <c r="F649" s="4"/>
      <c r="G649" s="2"/>
      <c r="H649" s="2"/>
      <c r="I649" s="2"/>
      <c r="J649" s="2"/>
      <c r="K649" s="5"/>
      <c r="L649" s="2"/>
      <c r="M649" s="2"/>
      <c r="N649" s="2"/>
      <c r="O649" s="2"/>
      <c r="P649" s="2"/>
      <c r="Q649" s="2"/>
      <c r="R649" s="7"/>
      <c r="S649" s="224"/>
      <c r="T649" s="224"/>
      <c r="U649" s="224"/>
      <c r="V649" s="224"/>
    </row>
    <row r="650">
      <c r="A650" s="33"/>
      <c r="B650" s="2"/>
      <c r="C650" s="2"/>
      <c r="D650" s="2"/>
      <c r="E650" s="2"/>
      <c r="F650" s="4"/>
      <c r="G650" s="2"/>
      <c r="H650" s="2"/>
      <c r="I650" s="2"/>
      <c r="J650" s="2"/>
      <c r="K650" s="5"/>
      <c r="L650" s="2"/>
      <c r="M650" s="2"/>
      <c r="N650" s="2"/>
      <c r="O650" s="2"/>
      <c r="P650" s="2"/>
      <c r="Q650" s="2"/>
      <c r="R650" s="7"/>
      <c r="S650" s="224"/>
      <c r="T650" s="224"/>
      <c r="U650" s="224"/>
      <c r="V650" s="224"/>
    </row>
    <row r="651">
      <c r="A651" s="33"/>
      <c r="B651" s="2"/>
      <c r="C651" s="2"/>
      <c r="D651" s="2"/>
      <c r="E651" s="2"/>
      <c r="F651" s="4"/>
      <c r="G651" s="2"/>
      <c r="H651" s="2"/>
      <c r="I651" s="2"/>
      <c r="J651" s="2"/>
      <c r="K651" s="5"/>
      <c r="L651" s="2"/>
      <c r="M651" s="2"/>
      <c r="N651" s="2"/>
      <c r="O651" s="2"/>
      <c r="P651" s="2"/>
      <c r="Q651" s="2"/>
      <c r="R651" s="7"/>
      <c r="S651" s="224"/>
      <c r="T651" s="224"/>
      <c r="U651" s="224"/>
      <c r="V651" s="224"/>
    </row>
    <row r="652">
      <c r="A652" s="33"/>
      <c r="B652" s="2"/>
      <c r="C652" s="2"/>
      <c r="D652" s="2"/>
      <c r="E652" s="2"/>
      <c r="F652" s="4"/>
      <c r="G652" s="2"/>
      <c r="H652" s="2"/>
      <c r="I652" s="2"/>
      <c r="J652" s="2"/>
      <c r="K652" s="5"/>
      <c r="L652" s="2"/>
      <c r="M652" s="2"/>
      <c r="N652" s="2"/>
      <c r="O652" s="2"/>
      <c r="P652" s="2"/>
      <c r="Q652" s="2"/>
      <c r="R652" s="7"/>
      <c r="S652" s="224"/>
      <c r="T652" s="224"/>
      <c r="U652" s="224"/>
      <c r="V652" s="224"/>
    </row>
    <row r="653">
      <c r="A653" s="33"/>
      <c r="B653" s="2"/>
      <c r="C653" s="2"/>
      <c r="D653" s="2"/>
      <c r="E653" s="2"/>
      <c r="F653" s="4"/>
      <c r="G653" s="2"/>
      <c r="H653" s="2"/>
      <c r="I653" s="2"/>
      <c r="J653" s="2"/>
      <c r="K653" s="5"/>
      <c r="L653" s="2"/>
      <c r="M653" s="2"/>
      <c r="N653" s="2"/>
      <c r="O653" s="2"/>
      <c r="P653" s="2"/>
      <c r="Q653" s="2"/>
      <c r="R653" s="7"/>
      <c r="S653" s="224"/>
      <c r="T653" s="224"/>
      <c r="U653" s="224"/>
      <c r="V653" s="224"/>
    </row>
    <row r="654">
      <c r="A654" s="33"/>
      <c r="B654" s="2"/>
      <c r="C654" s="2"/>
      <c r="D654" s="2"/>
      <c r="E654" s="2"/>
      <c r="F654" s="4"/>
      <c r="G654" s="2"/>
      <c r="H654" s="2"/>
      <c r="I654" s="2"/>
      <c r="J654" s="2"/>
      <c r="K654" s="5"/>
      <c r="L654" s="2"/>
      <c r="M654" s="2"/>
      <c r="N654" s="2"/>
      <c r="O654" s="2"/>
      <c r="P654" s="2"/>
      <c r="Q654" s="2"/>
      <c r="R654" s="7"/>
      <c r="S654" s="224"/>
      <c r="T654" s="224"/>
      <c r="U654" s="224"/>
      <c r="V654" s="224"/>
    </row>
    <row r="655">
      <c r="A655" s="33"/>
      <c r="B655" s="2"/>
      <c r="C655" s="2"/>
      <c r="D655" s="2"/>
      <c r="E655" s="2"/>
      <c r="F655" s="4"/>
      <c r="G655" s="2"/>
      <c r="H655" s="2"/>
      <c r="I655" s="2"/>
      <c r="J655" s="2"/>
      <c r="K655" s="5"/>
      <c r="L655" s="2"/>
      <c r="M655" s="2"/>
      <c r="N655" s="2"/>
      <c r="O655" s="2"/>
      <c r="P655" s="2"/>
      <c r="Q655" s="2"/>
      <c r="R655" s="7"/>
      <c r="S655" s="224"/>
      <c r="T655" s="224"/>
      <c r="U655" s="224"/>
      <c r="V655" s="224"/>
    </row>
    <row r="656">
      <c r="A656" s="33"/>
      <c r="B656" s="2"/>
      <c r="C656" s="2"/>
      <c r="D656" s="2"/>
      <c r="E656" s="2"/>
      <c r="F656" s="4"/>
      <c r="G656" s="2"/>
      <c r="H656" s="2"/>
      <c r="I656" s="2"/>
      <c r="J656" s="2"/>
      <c r="K656" s="5"/>
      <c r="L656" s="2"/>
      <c r="M656" s="2"/>
      <c r="N656" s="2"/>
      <c r="O656" s="2"/>
      <c r="P656" s="2"/>
      <c r="Q656" s="2"/>
      <c r="R656" s="7"/>
      <c r="S656" s="224"/>
      <c r="T656" s="224"/>
      <c r="U656" s="224"/>
      <c r="V656" s="224"/>
    </row>
    <row r="657">
      <c r="A657" s="33"/>
      <c r="B657" s="2"/>
      <c r="C657" s="2"/>
      <c r="D657" s="2"/>
      <c r="E657" s="2"/>
      <c r="F657" s="4"/>
      <c r="G657" s="2"/>
      <c r="H657" s="2"/>
      <c r="I657" s="2"/>
      <c r="J657" s="2"/>
      <c r="K657" s="5"/>
      <c r="L657" s="2"/>
      <c r="M657" s="2"/>
      <c r="N657" s="2"/>
      <c r="O657" s="2"/>
      <c r="P657" s="2"/>
      <c r="Q657" s="2"/>
      <c r="R657" s="7"/>
      <c r="S657" s="224"/>
      <c r="T657" s="224"/>
      <c r="U657" s="224"/>
      <c r="V657" s="224"/>
    </row>
    <row r="658">
      <c r="A658" s="33"/>
      <c r="B658" s="2"/>
      <c r="C658" s="2"/>
      <c r="D658" s="2"/>
      <c r="E658" s="2"/>
      <c r="F658" s="4"/>
      <c r="G658" s="2"/>
      <c r="H658" s="2"/>
      <c r="I658" s="2"/>
      <c r="J658" s="2"/>
      <c r="K658" s="5"/>
      <c r="L658" s="2"/>
      <c r="M658" s="2"/>
      <c r="N658" s="2"/>
      <c r="O658" s="2"/>
      <c r="P658" s="2"/>
      <c r="Q658" s="2"/>
      <c r="R658" s="7"/>
      <c r="S658" s="224"/>
      <c r="T658" s="224"/>
      <c r="U658" s="224"/>
      <c r="V658" s="224"/>
    </row>
    <row r="659">
      <c r="A659" s="33"/>
      <c r="B659" s="2"/>
      <c r="C659" s="2"/>
      <c r="D659" s="2"/>
      <c r="E659" s="2"/>
      <c r="F659" s="4"/>
      <c r="G659" s="2"/>
      <c r="H659" s="2"/>
      <c r="I659" s="2"/>
      <c r="J659" s="2"/>
      <c r="K659" s="5"/>
      <c r="L659" s="2"/>
      <c r="M659" s="2"/>
      <c r="N659" s="2"/>
      <c r="O659" s="2"/>
      <c r="P659" s="2"/>
      <c r="Q659" s="2"/>
      <c r="R659" s="7"/>
      <c r="S659" s="224"/>
      <c r="T659" s="224"/>
      <c r="U659" s="224"/>
      <c r="V659" s="224"/>
    </row>
    <row r="660">
      <c r="A660" s="33"/>
      <c r="B660" s="2"/>
      <c r="C660" s="2"/>
      <c r="D660" s="2"/>
      <c r="E660" s="2"/>
      <c r="F660" s="4"/>
      <c r="G660" s="2"/>
      <c r="H660" s="2"/>
      <c r="I660" s="2"/>
      <c r="J660" s="2"/>
      <c r="K660" s="5"/>
      <c r="L660" s="2"/>
      <c r="M660" s="2"/>
      <c r="N660" s="2"/>
      <c r="O660" s="2"/>
      <c r="P660" s="2"/>
      <c r="Q660" s="2"/>
      <c r="R660" s="7"/>
      <c r="S660" s="224"/>
      <c r="T660" s="224"/>
      <c r="U660" s="224"/>
      <c r="V660" s="224"/>
    </row>
    <row r="661">
      <c r="A661" s="33"/>
      <c r="B661" s="2"/>
      <c r="C661" s="2"/>
      <c r="D661" s="2"/>
      <c r="E661" s="2"/>
      <c r="F661" s="4"/>
      <c r="G661" s="2"/>
      <c r="H661" s="2"/>
      <c r="I661" s="2"/>
      <c r="J661" s="2"/>
      <c r="K661" s="5"/>
      <c r="L661" s="2"/>
      <c r="M661" s="2"/>
      <c r="N661" s="2"/>
      <c r="O661" s="2"/>
      <c r="P661" s="2"/>
      <c r="Q661" s="2"/>
      <c r="R661" s="7"/>
      <c r="S661" s="224"/>
      <c r="T661" s="224"/>
      <c r="U661" s="224"/>
      <c r="V661" s="224"/>
    </row>
    <row r="662">
      <c r="A662" s="33"/>
      <c r="B662" s="2"/>
      <c r="C662" s="2"/>
      <c r="D662" s="2"/>
      <c r="E662" s="2"/>
      <c r="F662" s="4"/>
      <c r="G662" s="2"/>
      <c r="H662" s="2"/>
      <c r="I662" s="2"/>
      <c r="J662" s="2"/>
      <c r="K662" s="5"/>
      <c r="L662" s="2"/>
      <c r="M662" s="2"/>
      <c r="N662" s="2"/>
      <c r="O662" s="2"/>
      <c r="P662" s="2"/>
      <c r="Q662" s="2"/>
      <c r="R662" s="7"/>
      <c r="S662" s="224"/>
      <c r="T662" s="224"/>
      <c r="U662" s="224"/>
      <c r="V662" s="224"/>
    </row>
    <row r="663">
      <c r="A663" s="33"/>
      <c r="B663" s="2"/>
      <c r="C663" s="2"/>
      <c r="D663" s="2"/>
      <c r="E663" s="2"/>
      <c r="F663" s="4"/>
      <c r="G663" s="2"/>
      <c r="H663" s="2"/>
      <c r="I663" s="2"/>
      <c r="J663" s="2"/>
      <c r="K663" s="5"/>
      <c r="L663" s="2"/>
      <c r="M663" s="2"/>
      <c r="N663" s="2"/>
      <c r="O663" s="2"/>
      <c r="P663" s="2"/>
      <c r="Q663" s="2"/>
      <c r="R663" s="7"/>
      <c r="S663" s="224"/>
      <c r="T663" s="224"/>
      <c r="U663" s="224"/>
      <c r="V663" s="224"/>
    </row>
    <row r="664">
      <c r="A664" s="33"/>
      <c r="B664" s="2"/>
      <c r="C664" s="2"/>
      <c r="D664" s="2"/>
      <c r="E664" s="2"/>
      <c r="F664" s="4"/>
      <c r="G664" s="2"/>
      <c r="H664" s="2"/>
      <c r="I664" s="2"/>
      <c r="J664" s="2"/>
      <c r="K664" s="5"/>
      <c r="L664" s="2"/>
      <c r="M664" s="2"/>
      <c r="N664" s="2"/>
      <c r="O664" s="2"/>
      <c r="P664" s="2"/>
      <c r="Q664" s="2"/>
      <c r="R664" s="7"/>
      <c r="S664" s="224"/>
      <c r="T664" s="224"/>
      <c r="U664" s="224"/>
      <c r="V664" s="224"/>
    </row>
    <row r="665">
      <c r="A665" s="33"/>
      <c r="B665" s="2"/>
      <c r="C665" s="2"/>
      <c r="D665" s="2"/>
      <c r="E665" s="2"/>
      <c r="F665" s="4"/>
      <c r="G665" s="2"/>
      <c r="H665" s="2"/>
      <c r="I665" s="2"/>
      <c r="J665" s="2"/>
      <c r="K665" s="5"/>
      <c r="L665" s="2"/>
      <c r="M665" s="2"/>
      <c r="N665" s="2"/>
      <c r="O665" s="2"/>
      <c r="P665" s="2"/>
      <c r="Q665" s="2"/>
      <c r="R665" s="7"/>
      <c r="S665" s="224"/>
      <c r="T665" s="224"/>
      <c r="U665" s="224"/>
      <c r="V665" s="224"/>
    </row>
    <row r="666">
      <c r="A666" s="33"/>
      <c r="B666" s="2"/>
      <c r="C666" s="2"/>
      <c r="D666" s="2"/>
      <c r="E666" s="2"/>
      <c r="F666" s="4"/>
      <c r="G666" s="2"/>
      <c r="H666" s="2"/>
      <c r="I666" s="2"/>
      <c r="J666" s="2"/>
      <c r="K666" s="5"/>
      <c r="L666" s="2"/>
      <c r="M666" s="2"/>
      <c r="N666" s="2"/>
      <c r="O666" s="2"/>
      <c r="P666" s="2"/>
      <c r="Q666" s="2"/>
      <c r="R666" s="7"/>
      <c r="S666" s="224"/>
      <c r="T666" s="224"/>
      <c r="U666" s="224"/>
      <c r="V666" s="224"/>
    </row>
    <row r="667">
      <c r="A667" s="33"/>
      <c r="B667" s="2"/>
      <c r="C667" s="2"/>
      <c r="D667" s="2"/>
      <c r="E667" s="2"/>
      <c r="F667" s="4"/>
      <c r="G667" s="2"/>
      <c r="H667" s="2"/>
      <c r="I667" s="2"/>
      <c r="J667" s="2"/>
      <c r="K667" s="5"/>
      <c r="L667" s="2"/>
      <c r="M667" s="2"/>
      <c r="N667" s="2"/>
      <c r="O667" s="2"/>
      <c r="P667" s="2"/>
      <c r="Q667" s="2"/>
      <c r="R667" s="7"/>
      <c r="S667" s="224"/>
      <c r="T667" s="224"/>
      <c r="U667" s="224"/>
      <c r="V667" s="224"/>
    </row>
    <row r="668">
      <c r="A668" s="33"/>
      <c r="B668" s="2"/>
      <c r="C668" s="2"/>
      <c r="D668" s="2"/>
      <c r="E668" s="2"/>
      <c r="F668" s="4"/>
      <c r="G668" s="2"/>
      <c r="H668" s="2"/>
      <c r="I668" s="2"/>
      <c r="J668" s="2"/>
      <c r="K668" s="5"/>
      <c r="L668" s="2"/>
      <c r="M668" s="2"/>
      <c r="N668" s="2"/>
      <c r="O668" s="2"/>
      <c r="P668" s="2"/>
      <c r="Q668" s="2"/>
      <c r="R668" s="7"/>
      <c r="S668" s="224"/>
      <c r="T668" s="224"/>
      <c r="U668" s="224"/>
      <c r="V668" s="224"/>
    </row>
    <row r="669">
      <c r="A669" s="33"/>
      <c r="B669" s="2"/>
      <c r="C669" s="2"/>
      <c r="D669" s="2"/>
      <c r="E669" s="2"/>
      <c r="F669" s="4"/>
      <c r="G669" s="2"/>
      <c r="H669" s="2"/>
      <c r="I669" s="2"/>
      <c r="J669" s="2"/>
      <c r="K669" s="5"/>
      <c r="L669" s="2"/>
      <c r="M669" s="2"/>
      <c r="N669" s="2"/>
      <c r="O669" s="2"/>
      <c r="P669" s="2"/>
      <c r="Q669" s="2"/>
      <c r="R669" s="7"/>
      <c r="S669" s="224"/>
      <c r="T669" s="224"/>
      <c r="U669" s="224"/>
      <c r="V669" s="224"/>
    </row>
    <row r="670">
      <c r="A670" s="33"/>
      <c r="B670" s="2"/>
      <c r="C670" s="2"/>
      <c r="D670" s="2"/>
      <c r="E670" s="2"/>
      <c r="F670" s="4"/>
      <c r="G670" s="2"/>
      <c r="H670" s="2"/>
      <c r="I670" s="2"/>
      <c r="J670" s="2"/>
      <c r="K670" s="5"/>
      <c r="L670" s="2"/>
      <c r="M670" s="2"/>
      <c r="N670" s="2"/>
      <c r="O670" s="2"/>
      <c r="P670" s="2"/>
      <c r="Q670" s="2"/>
      <c r="R670" s="7"/>
      <c r="S670" s="224"/>
      <c r="T670" s="224"/>
      <c r="U670" s="224"/>
      <c r="V670" s="224"/>
    </row>
    <row r="671">
      <c r="A671" s="33"/>
      <c r="B671" s="2"/>
      <c r="C671" s="2"/>
      <c r="D671" s="2"/>
      <c r="E671" s="2"/>
      <c r="F671" s="4"/>
      <c r="G671" s="2"/>
      <c r="H671" s="2"/>
      <c r="I671" s="2"/>
      <c r="J671" s="2"/>
      <c r="K671" s="5"/>
      <c r="L671" s="2"/>
      <c r="M671" s="2"/>
      <c r="N671" s="2"/>
      <c r="O671" s="2"/>
      <c r="P671" s="2"/>
      <c r="Q671" s="2"/>
      <c r="R671" s="7"/>
      <c r="S671" s="224"/>
      <c r="T671" s="224"/>
      <c r="U671" s="224"/>
      <c r="V671" s="224"/>
    </row>
    <row r="672">
      <c r="A672" s="33"/>
      <c r="B672" s="2"/>
      <c r="C672" s="2"/>
      <c r="D672" s="2"/>
      <c r="E672" s="2"/>
      <c r="F672" s="4"/>
      <c r="G672" s="2"/>
      <c r="H672" s="2"/>
      <c r="I672" s="2"/>
      <c r="J672" s="2"/>
      <c r="K672" s="5"/>
      <c r="L672" s="2"/>
      <c r="M672" s="2"/>
      <c r="N672" s="2"/>
      <c r="O672" s="2"/>
      <c r="P672" s="2"/>
      <c r="Q672" s="2"/>
      <c r="R672" s="7"/>
      <c r="S672" s="224"/>
      <c r="T672" s="224"/>
      <c r="U672" s="224"/>
      <c r="V672" s="224"/>
    </row>
    <row r="673">
      <c r="A673" s="33"/>
      <c r="B673" s="2"/>
      <c r="C673" s="2"/>
      <c r="D673" s="2"/>
      <c r="E673" s="2"/>
      <c r="F673" s="4"/>
      <c r="G673" s="2"/>
      <c r="H673" s="2"/>
      <c r="I673" s="2"/>
      <c r="J673" s="2"/>
      <c r="K673" s="5"/>
      <c r="L673" s="2"/>
      <c r="M673" s="2"/>
      <c r="N673" s="2"/>
      <c r="O673" s="2"/>
      <c r="P673" s="2"/>
      <c r="Q673" s="2"/>
      <c r="R673" s="7"/>
      <c r="S673" s="224"/>
      <c r="T673" s="224"/>
      <c r="U673" s="224"/>
      <c r="V673" s="224"/>
    </row>
    <row r="674">
      <c r="A674" s="33"/>
      <c r="B674" s="2"/>
      <c r="C674" s="2"/>
      <c r="D674" s="2"/>
      <c r="E674" s="2"/>
      <c r="F674" s="4"/>
      <c r="G674" s="2"/>
      <c r="H674" s="2"/>
      <c r="I674" s="2"/>
      <c r="J674" s="2"/>
      <c r="K674" s="5"/>
      <c r="L674" s="2"/>
      <c r="M674" s="2"/>
      <c r="N674" s="2"/>
      <c r="O674" s="2"/>
      <c r="P674" s="2"/>
      <c r="Q674" s="2"/>
      <c r="R674" s="7"/>
      <c r="S674" s="224"/>
      <c r="T674" s="224"/>
      <c r="U674" s="224"/>
      <c r="V674" s="224"/>
    </row>
    <row r="675">
      <c r="A675" s="33"/>
      <c r="B675" s="2"/>
      <c r="C675" s="2"/>
      <c r="D675" s="2"/>
      <c r="E675" s="2"/>
      <c r="F675" s="4"/>
      <c r="G675" s="2"/>
      <c r="H675" s="2"/>
      <c r="I675" s="2"/>
      <c r="J675" s="2"/>
      <c r="K675" s="5"/>
      <c r="L675" s="2"/>
      <c r="M675" s="2"/>
      <c r="N675" s="2"/>
      <c r="O675" s="2"/>
      <c r="P675" s="2"/>
      <c r="Q675" s="2"/>
      <c r="R675" s="7"/>
      <c r="S675" s="224"/>
      <c r="T675" s="224"/>
      <c r="U675" s="224"/>
      <c r="V675" s="224"/>
    </row>
    <row r="676">
      <c r="A676" s="33"/>
      <c r="B676" s="2"/>
      <c r="C676" s="2"/>
      <c r="D676" s="2"/>
      <c r="E676" s="2"/>
      <c r="F676" s="4"/>
      <c r="G676" s="2"/>
      <c r="H676" s="2"/>
      <c r="I676" s="2"/>
      <c r="J676" s="2"/>
      <c r="K676" s="5"/>
      <c r="L676" s="2"/>
      <c r="M676" s="2"/>
      <c r="N676" s="2"/>
      <c r="O676" s="2"/>
      <c r="P676" s="2"/>
      <c r="Q676" s="2"/>
      <c r="R676" s="7"/>
      <c r="S676" s="224"/>
      <c r="T676" s="224"/>
      <c r="U676" s="224"/>
      <c r="V676" s="224"/>
    </row>
    <row r="677">
      <c r="A677" s="33"/>
      <c r="B677" s="2"/>
      <c r="C677" s="2"/>
      <c r="D677" s="2"/>
      <c r="E677" s="2"/>
      <c r="F677" s="4"/>
      <c r="G677" s="2"/>
      <c r="H677" s="2"/>
      <c r="I677" s="2"/>
      <c r="J677" s="2"/>
      <c r="K677" s="5"/>
      <c r="L677" s="2"/>
      <c r="M677" s="2"/>
      <c r="N677" s="2"/>
      <c r="O677" s="2"/>
      <c r="P677" s="2"/>
      <c r="Q677" s="2"/>
      <c r="R677" s="7"/>
      <c r="S677" s="224"/>
      <c r="T677" s="224"/>
      <c r="U677" s="224"/>
      <c r="V677" s="224"/>
    </row>
    <row r="678">
      <c r="A678" s="33"/>
      <c r="B678" s="2"/>
      <c r="C678" s="2"/>
      <c r="D678" s="2"/>
      <c r="E678" s="2"/>
      <c r="F678" s="4"/>
      <c r="G678" s="2"/>
      <c r="H678" s="2"/>
      <c r="I678" s="2"/>
      <c r="J678" s="2"/>
      <c r="K678" s="5"/>
      <c r="L678" s="2"/>
      <c r="M678" s="2"/>
      <c r="N678" s="2"/>
      <c r="O678" s="2"/>
      <c r="P678" s="2"/>
      <c r="Q678" s="2"/>
      <c r="R678" s="7"/>
      <c r="S678" s="224"/>
      <c r="T678" s="224"/>
      <c r="U678" s="224"/>
      <c r="V678" s="224"/>
    </row>
    <row r="679">
      <c r="A679" s="33"/>
      <c r="B679" s="2"/>
      <c r="C679" s="2"/>
      <c r="D679" s="2"/>
      <c r="E679" s="2"/>
      <c r="F679" s="4"/>
      <c r="G679" s="2"/>
      <c r="H679" s="2"/>
      <c r="I679" s="2"/>
      <c r="J679" s="2"/>
      <c r="K679" s="5"/>
      <c r="L679" s="2"/>
      <c r="M679" s="2"/>
      <c r="N679" s="2"/>
      <c r="O679" s="2"/>
      <c r="P679" s="2"/>
      <c r="Q679" s="2"/>
      <c r="R679" s="7"/>
      <c r="S679" s="224"/>
      <c r="T679" s="224"/>
      <c r="U679" s="224"/>
      <c r="V679" s="224"/>
    </row>
    <row r="680">
      <c r="A680" s="33"/>
      <c r="B680" s="2"/>
      <c r="C680" s="2"/>
      <c r="D680" s="2"/>
      <c r="E680" s="2"/>
      <c r="F680" s="4"/>
      <c r="G680" s="2"/>
      <c r="H680" s="2"/>
      <c r="I680" s="2"/>
      <c r="J680" s="2"/>
      <c r="K680" s="5"/>
      <c r="L680" s="2"/>
      <c r="M680" s="2"/>
      <c r="N680" s="2"/>
      <c r="O680" s="2"/>
      <c r="P680" s="2"/>
      <c r="Q680" s="2"/>
      <c r="R680" s="7"/>
      <c r="S680" s="224"/>
      <c r="T680" s="224"/>
      <c r="U680" s="224"/>
      <c r="V680" s="224"/>
    </row>
    <row r="681">
      <c r="A681" s="33"/>
      <c r="B681" s="2"/>
      <c r="C681" s="2"/>
      <c r="D681" s="2"/>
      <c r="E681" s="2"/>
      <c r="F681" s="4"/>
      <c r="G681" s="2"/>
      <c r="H681" s="2"/>
      <c r="I681" s="2"/>
      <c r="J681" s="2"/>
      <c r="K681" s="5"/>
      <c r="L681" s="2"/>
      <c r="M681" s="2"/>
      <c r="N681" s="2"/>
      <c r="O681" s="2"/>
      <c r="P681" s="2"/>
      <c r="Q681" s="2"/>
      <c r="R681" s="7"/>
      <c r="S681" s="224"/>
      <c r="T681" s="224"/>
      <c r="U681" s="224"/>
      <c r="V681" s="224"/>
    </row>
    <row r="682">
      <c r="A682" s="33"/>
      <c r="B682" s="2"/>
      <c r="C682" s="2"/>
      <c r="D682" s="2"/>
      <c r="E682" s="2"/>
      <c r="F682" s="4"/>
      <c r="G682" s="2"/>
      <c r="H682" s="2"/>
      <c r="I682" s="2"/>
      <c r="J682" s="2"/>
      <c r="K682" s="5"/>
      <c r="L682" s="2"/>
      <c r="M682" s="2"/>
      <c r="N682" s="2"/>
      <c r="O682" s="2"/>
      <c r="P682" s="2"/>
      <c r="Q682" s="2"/>
      <c r="R682" s="7"/>
      <c r="S682" s="224"/>
      <c r="T682" s="224"/>
      <c r="U682" s="224"/>
      <c r="V682" s="224"/>
    </row>
    <row r="683">
      <c r="A683" s="33"/>
      <c r="B683" s="2"/>
      <c r="C683" s="2"/>
      <c r="D683" s="2"/>
      <c r="E683" s="2"/>
      <c r="F683" s="4"/>
      <c r="G683" s="2"/>
      <c r="H683" s="2"/>
      <c r="I683" s="2"/>
      <c r="J683" s="2"/>
      <c r="K683" s="5"/>
      <c r="L683" s="2"/>
      <c r="M683" s="2"/>
      <c r="N683" s="2"/>
      <c r="O683" s="2"/>
      <c r="P683" s="2"/>
      <c r="Q683" s="2"/>
      <c r="R683" s="7"/>
      <c r="S683" s="224"/>
      <c r="T683" s="224"/>
      <c r="U683" s="224"/>
      <c r="V683" s="224"/>
    </row>
    <row r="684">
      <c r="A684" s="33"/>
      <c r="B684" s="2"/>
      <c r="C684" s="2"/>
      <c r="D684" s="2"/>
      <c r="E684" s="2"/>
      <c r="F684" s="4"/>
      <c r="G684" s="2"/>
      <c r="H684" s="2"/>
      <c r="I684" s="2"/>
      <c r="J684" s="2"/>
      <c r="K684" s="5"/>
      <c r="L684" s="2"/>
      <c r="M684" s="2"/>
      <c r="N684" s="2"/>
      <c r="O684" s="2"/>
      <c r="P684" s="2"/>
      <c r="Q684" s="2"/>
      <c r="R684" s="7"/>
      <c r="S684" s="224"/>
      <c r="T684" s="224"/>
      <c r="U684" s="224"/>
      <c r="V684" s="224"/>
    </row>
    <row r="685">
      <c r="A685" s="33"/>
      <c r="B685" s="2"/>
      <c r="C685" s="2"/>
      <c r="D685" s="2"/>
      <c r="E685" s="2"/>
      <c r="F685" s="4"/>
      <c r="G685" s="2"/>
      <c r="H685" s="2"/>
      <c r="I685" s="2"/>
      <c r="J685" s="2"/>
      <c r="K685" s="5"/>
      <c r="L685" s="2"/>
      <c r="M685" s="2"/>
      <c r="N685" s="2"/>
      <c r="O685" s="2"/>
      <c r="P685" s="2"/>
      <c r="Q685" s="2"/>
      <c r="R685" s="7"/>
      <c r="S685" s="224"/>
      <c r="T685" s="224"/>
      <c r="U685" s="224"/>
      <c r="V685" s="224"/>
    </row>
    <row r="686">
      <c r="A686" s="33"/>
      <c r="B686" s="2"/>
      <c r="C686" s="2"/>
      <c r="D686" s="2"/>
      <c r="E686" s="2"/>
      <c r="F686" s="4"/>
      <c r="G686" s="2"/>
      <c r="H686" s="2"/>
      <c r="I686" s="2"/>
      <c r="J686" s="2"/>
      <c r="K686" s="5"/>
      <c r="L686" s="2"/>
      <c r="M686" s="2"/>
      <c r="N686" s="2"/>
      <c r="O686" s="2"/>
      <c r="P686" s="2"/>
      <c r="Q686" s="2"/>
      <c r="R686" s="7"/>
      <c r="S686" s="224"/>
      <c r="T686" s="224"/>
      <c r="U686" s="224"/>
      <c r="V686" s="224"/>
    </row>
    <row r="687">
      <c r="A687" s="33"/>
      <c r="B687" s="2"/>
      <c r="C687" s="2"/>
      <c r="D687" s="2"/>
      <c r="E687" s="2"/>
      <c r="F687" s="4"/>
      <c r="G687" s="2"/>
      <c r="H687" s="2"/>
      <c r="I687" s="2"/>
      <c r="J687" s="2"/>
      <c r="K687" s="5"/>
      <c r="L687" s="2"/>
      <c r="M687" s="2"/>
      <c r="N687" s="2"/>
      <c r="O687" s="2"/>
      <c r="P687" s="2"/>
      <c r="Q687" s="2"/>
      <c r="R687" s="7"/>
      <c r="S687" s="224"/>
      <c r="T687" s="224"/>
      <c r="U687" s="224"/>
      <c r="V687" s="224"/>
    </row>
    <row r="688">
      <c r="A688" s="33"/>
      <c r="B688" s="2"/>
      <c r="C688" s="2"/>
      <c r="D688" s="2"/>
      <c r="E688" s="2"/>
      <c r="F688" s="4"/>
      <c r="G688" s="2"/>
      <c r="H688" s="2"/>
      <c r="I688" s="2"/>
      <c r="J688" s="2"/>
      <c r="K688" s="5"/>
      <c r="L688" s="2"/>
      <c r="M688" s="2"/>
      <c r="N688" s="2"/>
      <c r="O688" s="2"/>
      <c r="P688" s="2"/>
      <c r="Q688" s="2"/>
      <c r="R688" s="7"/>
      <c r="S688" s="224"/>
      <c r="T688" s="224"/>
      <c r="U688" s="224"/>
      <c r="V688" s="224"/>
    </row>
    <row r="689">
      <c r="A689" s="33"/>
      <c r="B689" s="2"/>
      <c r="C689" s="2"/>
      <c r="D689" s="2"/>
      <c r="E689" s="2"/>
      <c r="F689" s="4"/>
      <c r="G689" s="2"/>
      <c r="H689" s="2"/>
      <c r="I689" s="2"/>
      <c r="J689" s="2"/>
      <c r="K689" s="5"/>
      <c r="L689" s="2"/>
      <c r="M689" s="2"/>
      <c r="N689" s="2"/>
      <c r="O689" s="2"/>
      <c r="P689" s="2"/>
      <c r="Q689" s="2"/>
      <c r="R689" s="7"/>
      <c r="S689" s="224"/>
      <c r="T689" s="224"/>
      <c r="U689" s="224"/>
      <c r="V689" s="224"/>
    </row>
    <row r="690">
      <c r="A690" s="33"/>
      <c r="B690" s="2"/>
      <c r="C690" s="2"/>
      <c r="D690" s="2"/>
      <c r="E690" s="2"/>
      <c r="F690" s="4"/>
      <c r="G690" s="2"/>
      <c r="H690" s="2"/>
      <c r="I690" s="2"/>
      <c r="J690" s="2"/>
      <c r="K690" s="5"/>
      <c r="L690" s="2"/>
      <c r="M690" s="2"/>
      <c r="N690" s="2"/>
      <c r="O690" s="2"/>
      <c r="P690" s="2"/>
      <c r="Q690" s="2"/>
      <c r="R690" s="7"/>
      <c r="S690" s="224"/>
      <c r="T690" s="224"/>
      <c r="U690" s="224"/>
      <c r="V690" s="224"/>
    </row>
    <row r="691">
      <c r="A691" s="33"/>
      <c r="B691" s="2"/>
      <c r="C691" s="2"/>
      <c r="D691" s="2"/>
      <c r="E691" s="2"/>
      <c r="F691" s="4"/>
      <c r="G691" s="2"/>
      <c r="H691" s="2"/>
      <c r="I691" s="2"/>
      <c r="J691" s="2"/>
      <c r="K691" s="5"/>
      <c r="L691" s="2"/>
      <c r="M691" s="2"/>
      <c r="N691" s="2"/>
      <c r="O691" s="2"/>
      <c r="P691" s="2"/>
      <c r="Q691" s="2"/>
      <c r="R691" s="7"/>
      <c r="S691" s="224"/>
      <c r="T691" s="224"/>
      <c r="U691" s="224"/>
      <c r="V691" s="224"/>
    </row>
    <row r="692">
      <c r="A692" s="33"/>
      <c r="B692" s="2"/>
      <c r="C692" s="2"/>
      <c r="D692" s="2"/>
      <c r="E692" s="2"/>
      <c r="F692" s="4"/>
      <c r="G692" s="2"/>
      <c r="H692" s="2"/>
      <c r="I692" s="2"/>
      <c r="J692" s="2"/>
      <c r="K692" s="5"/>
      <c r="L692" s="2"/>
      <c r="M692" s="2"/>
      <c r="N692" s="2"/>
      <c r="O692" s="2"/>
      <c r="P692" s="2"/>
      <c r="Q692" s="2"/>
      <c r="R692" s="7"/>
      <c r="S692" s="224"/>
      <c r="T692" s="224"/>
      <c r="U692" s="224"/>
      <c r="V692" s="224"/>
    </row>
    <row r="693">
      <c r="A693" s="33"/>
      <c r="B693" s="2"/>
      <c r="C693" s="2"/>
      <c r="D693" s="2"/>
      <c r="E693" s="2"/>
      <c r="F693" s="4"/>
      <c r="G693" s="2"/>
      <c r="H693" s="2"/>
      <c r="I693" s="2"/>
      <c r="J693" s="2"/>
      <c r="K693" s="5"/>
      <c r="L693" s="2"/>
      <c r="M693" s="2"/>
      <c r="N693" s="2"/>
      <c r="O693" s="2"/>
      <c r="P693" s="2"/>
      <c r="Q693" s="2"/>
      <c r="R693" s="7"/>
      <c r="S693" s="224"/>
      <c r="T693" s="224"/>
      <c r="U693" s="224"/>
      <c r="V693" s="224"/>
    </row>
    <row r="694">
      <c r="A694" s="33"/>
      <c r="B694" s="2"/>
      <c r="C694" s="2"/>
      <c r="D694" s="2"/>
      <c r="E694" s="2"/>
      <c r="F694" s="4"/>
      <c r="G694" s="2"/>
      <c r="H694" s="2"/>
      <c r="I694" s="2"/>
      <c r="J694" s="2"/>
      <c r="K694" s="5"/>
      <c r="L694" s="2"/>
      <c r="M694" s="2"/>
      <c r="N694" s="2"/>
      <c r="O694" s="2"/>
      <c r="P694" s="2"/>
      <c r="Q694" s="2"/>
      <c r="R694" s="7"/>
      <c r="S694" s="224"/>
      <c r="T694" s="224"/>
      <c r="U694" s="224"/>
      <c r="V694" s="224"/>
    </row>
    <row r="695">
      <c r="A695" s="33"/>
      <c r="B695" s="2"/>
      <c r="C695" s="2"/>
      <c r="D695" s="2"/>
      <c r="E695" s="2"/>
      <c r="F695" s="4"/>
      <c r="G695" s="2"/>
      <c r="H695" s="2"/>
      <c r="I695" s="2"/>
      <c r="J695" s="2"/>
      <c r="K695" s="5"/>
      <c r="L695" s="2"/>
      <c r="M695" s="2"/>
      <c r="N695" s="2"/>
      <c r="O695" s="2"/>
      <c r="P695" s="2"/>
      <c r="Q695" s="2"/>
      <c r="R695" s="7"/>
      <c r="S695" s="224"/>
      <c r="T695" s="224"/>
      <c r="U695" s="224"/>
      <c r="V695" s="224"/>
    </row>
    <row r="696">
      <c r="A696" s="33"/>
      <c r="B696" s="2"/>
      <c r="C696" s="2"/>
      <c r="D696" s="2"/>
      <c r="E696" s="2"/>
      <c r="F696" s="4"/>
      <c r="G696" s="2"/>
      <c r="H696" s="2"/>
      <c r="I696" s="2"/>
      <c r="J696" s="2"/>
      <c r="K696" s="5"/>
      <c r="L696" s="2"/>
      <c r="M696" s="2"/>
      <c r="N696" s="2"/>
      <c r="O696" s="2"/>
      <c r="P696" s="2"/>
      <c r="Q696" s="2"/>
      <c r="R696" s="7"/>
      <c r="S696" s="224"/>
      <c r="T696" s="224"/>
      <c r="U696" s="224"/>
      <c r="V696" s="224"/>
    </row>
    <row r="697">
      <c r="A697" s="33"/>
      <c r="B697" s="2"/>
      <c r="C697" s="2"/>
      <c r="D697" s="2"/>
      <c r="E697" s="2"/>
      <c r="F697" s="4"/>
      <c r="G697" s="2"/>
      <c r="H697" s="2"/>
      <c r="I697" s="2"/>
      <c r="J697" s="2"/>
      <c r="K697" s="5"/>
      <c r="L697" s="2"/>
      <c r="M697" s="2"/>
      <c r="N697" s="2"/>
      <c r="O697" s="2"/>
      <c r="P697" s="2"/>
      <c r="Q697" s="2"/>
      <c r="R697" s="7"/>
      <c r="S697" s="224"/>
      <c r="T697" s="224"/>
      <c r="U697" s="224"/>
      <c r="V697" s="224"/>
    </row>
    <row r="698">
      <c r="A698" s="33"/>
      <c r="B698" s="2"/>
      <c r="C698" s="2"/>
      <c r="D698" s="2"/>
      <c r="E698" s="2"/>
      <c r="F698" s="4"/>
      <c r="G698" s="2"/>
      <c r="H698" s="2"/>
      <c r="I698" s="2"/>
      <c r="J698" s="2"/>
      <c r="K698" s="5"/>
      <c r="L698" s="2"/>
      <c r="M698" s="2"/>
      <c r="N698" s="2"/>
      <c r="O698" s="2"/>
      <c r="P698" s="2"/>
      <c r="Q698" s="2"/>
      <c r="R698" s="7"/>
      <c r="S698" s="224"/>
      <c r="T698" s="224"/>
      <c r="U698" s="224"/>
      <c r="V698" s="224"/>
    </row>
    <row r="699">
      <c r="A699" s="33"/>
      <c r="B699" s="2"/>
      <c r="C699" s="2"/>
      <c r="D699" s="2"/>
      <c r="E699" s="2"/>
      <c r="F699" s="4"/>
      <c r="G699" s="2"/>
      <c r="H699" s="2"/>
      <c r="I699" s="2"/>
      <c r="J699" s="2"/>
      <c r="K699" s="5"/>
      <c r="L699" s="2"/>
      <c r="M699" s="2"/>
      <c r="N699" s="2"/>
      <c r="O699" s="2"/>
      <c r="P699" s="2"/>
      <c r="Q699" s="2"/>
      <c r="R699" s="7"/>
      <c r="S699" s="224"/>
      <c r="T699" s="224"/>
      <c r="U699" s="224"/>
      <c r="V699" s="224"/>
    </row>
    <row r="700">
      <c r="A700" s="33"/>
      <c r="B700" s="2"/>
      <c r="C700" s="2"/>
      <c r="D700" s="2"/>
      <c r="E700" s="2"/>
      <c r="F700" s="4"/>
      <c r="G700" s="2"/>
      <c r="H700" s="2"/>
      <c r="I700" s="2"/>
      <c r="J700" s="2"/>
      <c r="K700" s="5"/>
      <c r="L700" s="2"/>
      <c r="M700" s="2"/>
      <c r="N700" s="2"/>
      <c r="O700" s="2"/>
      <c r="P700" s="2"/>
      <c r="Q700" s="2"/>
      <c r="R700" s="7"/>
      <c r="S700" s="224"/>
      <c r="T700" s="224"/>
      <c r="U700" s="224"/>
      <c r="V700" s="224"/>
    </row>
    <row r="701">
      <c r="A701" s="33"/>
      <c r="B701" s="2"/>
      <c r="C701" s="2"/>
      <c r="D701" s="2"/>
      <c r="E701" s="2"/>
      <c r="F701" s="4"/>
      <c r="G701" s="2"/>
      <c r="H701" s="2"/>
      <c r="I701" s="2"/>
      <c r="J701" s="2"/>
      <c r="K701" s="5"/>
      <c r="L701" s="2"/>
      <c r="M701" s="2"/>
      <c r="N701" s="2"/>
      <c r="O701" s="2"/>
      <c r="P701" s="2"/>
      <c r="Q701" s="2"/>
      <c r="R701" s="7"/>
      <c r="S701" s="224"/>
      <c r="T701" s="224"/>
      <c r="U701" s="224"/>
      <c r="V701" s="224"/>
    </row>
    <row r="702">
      <c r="A702" s="33"/>
      <c r="B702" s="2"/>
      <c r="C702" s="2"/>
      <c r="D702" s="2"/>
      <c r="E702" s="2"/>
      <c r="F702" s="4"/>
      <c r="G702" s="2"/>
      <c r="H702" s="2"/>
      <c r="I702" s="2"/>
      <c r="J702" s="2"/>
      <c r="K702" s="5"/>
      <c r="L702" s="2"/>
      <c r="M702" s="2"/>
      <c r="N702" s="2"/>
      <c r="O702" s="2"/>
      <c r="P702" s="2"/>
      <c r="Q702" s="2"/>
      <c r="R702" s="7"/>
      <c r="S702" s="224"/>
      <c r="T702" s="224"/>
      <c r="U702" s="224"/>
      <c r="V702" s="224"/>
    </row>
    <row r="703">
      <c r="A703" s="33"/>
      <c r="B703" s="2"/>
      <c r="C703" s="2"/>
      <c r="D703" s="2"/>
      <c r="E703" s="2"/>
      <c r="F703" s="4"/>
      <c r="G703" s="2"/>
      <c r="H703" s="2"/>
      <c r="I703" s="2"/>
      <c r="J703" s="2"/>
      <c r="K703" s="5"/>
      <c r="L703" s="2"/>
      <c r="M703" s="2"/>
      <c r="N703" s="2"/>
      <c r="O703" s="2"/>
      <c r="P703" s="2"/>
      <c r="Q703" s="2"/>
      <c r="R703" s="7"/>
      <c r="S703" s="224"/>
      <c r="T703" s="224"/>
      <c r="U703" s="224"/>
      <c r="V703" s="224"/>
    </row>
    <row r="704">
      <c r="A704" s="33"/>
      <c r="B704" s="2"/>
      <c r="C704" s="2"/>
      <c r="D704" s="2"/>
      <c r="E704" s="2"/>
      <c r="F704" s="4"/>
      <c r="G704" s="2"/>
      <c r="H704" s="2"/>
      <c r="I704" s="2"/>
      <c r="J704" s="2"/>
      <c r="K704" s="5"/>
      <c r="L704" s="2"/>
      <c r="M704" s="2"/>
      <c r="N704" s="2"/>
      <c r="O704" s="2"/>
      <c r="P704" s="2"/>
      <c r="Q704" s="2"/>
      <c r="R704" s="7"/>
      <c r="S704" s="224"/>
      <c r="T704" s="224"/>
      <c r="U704" s="224"/>
      <c r="V704" s="224"/>
    </row>
    <row r="705">
      <c r="A705" s="33"/>
      <c r="B705" s="2"/>
      <c r="C705" s="2"/>
      <c r="D705" s="2"/>
      <c r="E705" s="2"/>
      <c r="F705" s="4"/>
      <c r="G705" s="2"/>
      <c r="H705" s="2"/>
      <c r="I705" s="2"/>
      <c r="J705" s="2"/>
      <c r="K705" s="5"/>
      <c r="L705" s="2"/>
      <c r="M705" s="2"/>
      <c r="N705" s="2"/>
      <c r="O705" s="2"/>
      <c r="P705" s="2"/>
      <c r="Q705" s="2"/>
      <c r="R705" s="7"/>
      <c r="S705" s="224"/>
      <c r="T705" s="224"/>
      <c r="U705" s="224"/>
      <c r="V705" s="224"/>
    </row>
    <row r="706">
      <c r="A706" s="33"/>
      <c r="B706" s="2"/>
      <c r="C706" s="2"/>
      <c r="D706" s="2"/>
      <c r="E706" s="2"/>
      <c r="F706" s="4"/>
      <c r="G706" s="2"/>
      <c r="H706" s="2"/>
      <c r="I706" s="2"/>
      <c r="J706" s="2"/>
      <c r="K706" s="5"/>
      <c r="L706" s="2"/>
      <c r="M706" s="2"/>
      <c r="N706" s="2"/>
      <c r="O706" s="2"/>
      <c r="P706" s="2"/>
      <c r="Q706" s="2"/>
      <c r="R706" s="7"/>
      <c r="S706" s="224"/>
      <c r="T706" s="224"/>
      <c r="U706" s="224"/>
      <c r="V706" s="224"/>
    </row>
    <row r="707">
      <c r="A707" s="33"/>
      <c r="B707" s="2"/>
      <c r="C707" s="2"/>
      <c r="D707" s="2"/>
      <c r="E707" s="2"/>
      <c r="F707" s="4"/>
      <c r="G707" s="2"/>
      <c r="H707" s="2"/>
      <c r="I707" s="2"/>
      <c r="J707" s="2"/>
      <c r="K707" s="5"/>
      <c r="L707" s="2"/>
      <c r="M707" s="2"/>
      <c r="N707" s="2"/>
      <c r="O707" s="2"/>
      <c r="P707" s="2"/>
      <c r="Q707" s="2"/>
      <c r="R707" s="7"/>
      <c r="S707" s="224"/>
      <c r="T707" s="224"/>
      <c r="U707" s="224"/>
      <c r="V707" s="224"/>
    </row>
    <row r="708">
      <c r="A708" s="33"/>
      <c r="B708" s="2"/>
      <c r="C708" s="2"/>
      <c r="D708" s="2"/>
      <c r="E708" s="2"/>
      <c r="F708" s="4"/>
      <c r="G708" s="2"/>
      <c r="H708" s="2"/>
      <c r="I708" s="2"/>
      <c r="J708" s="2"/>
      <c r="K708" s="5"/>
      <c r="L708" s="2"/>
      <c r="M708" s="2"/>
      <c r="N708" s="2"/>
      <c r="O708" s="2"/>
      <c r="P708" s="2"/>
      <c r="Q708" s="2"/>
      <c r="R708" s="7"/>
      <c r="S708" s="224"/>
      <c r="T708" s="224"/>
      <c r="U708" s="224"/>
      <c r="V708" s="224"/>
    </row>
    <row r="709">
      <c r="A709" s="33"/>
      <c r="B709" s="2"/>
      <c r="C709" s="2"/>
      <c r="D709" s="2"/>
      <c r="E709" s="2"/>
      <c r="F709" s="4"/>
      <c r="G709" s="2"/>
      <c r="H709" s="2"/>
      <c r="I709" s="2"/>
      <c r="J709" s="2"/>
      <c r="K709" s="5"/>
      <c r="L709" s="2"/>
      <c r="M709" s="2"/>
      <c r="N709" s="2"/>
      <c r="O709" s="2"/>
      <c r="P709" s="2"/>
      <c r="Q709" s="2"/>
      <c r="R709" s="7"/>
      <c r="S709" s="224"/>
      <c r="T709" s="224"/>
      <c r="U709" s="224"/>
      <c r="V709" s="224"/>
    </row>
    <row r="710">
      <c r="A710" s="33"/>
      <c r="B710" s="2"/>
      <c r="C710" s="2"/>
      <c r="D710" s="2"/>
      <c r="E710" s="2"/>
      <c r="F710" s="4"/>
      <c r="G710" s="2"/>
      <c r="H710" s="2"/>
      <c r="I710" s="2"/>
      <c r="J710" s="2"/>
      <c r="K710" s="5"/>
      <c r="L710" s="2"/>
      <c r="M710" s="2"/>
      <c r="N710" s="2"/>
      <c r="O710" s="2"/>
      <c r="P710" s="2"/>
      <c r="Q710" s="2"/>
      <c r="R710" s="7"/>
      <c r="S710" s="224"/>
      <c r="T710" s="224"/>
      <c r="U710" s="224"/>
      <c r="V710" s="224"/>
    </row>
    <row r="711">
      <c r="A711" s="33"/>
      <c r="B711" s="2"/>
      <c r="C711" s="2"/>
      <c r="D711" s="2"/>
      <c r="E711" s="2"/>
      <c r="F711" s="4"/>
      <c r="G711" s="2"/>
      <c r="H711" s="2"/>
      <c r="I711" s="2"/>
      <c r="J711" s="2"/>
      <c r="K711" s="5"/>
      <c r="L711" s="2"/>
      <c r="M711" s="2"/>
      <c r="N711" s="2"/>
      <c r="O711" s="2"/>
      <c r="P711" s="2"/>
      <c r="Q711" s="2"/>
      <c r="R711" s="7"/>
      <c r="S711" s="224"/>
      <c r="T711" s="224"/>
      <c r="U711" s="224"/>
      <c r="V711" s="224"/>
    </row>
    <row r="712">
      <c r="A712" s="33"/>
      <c r="B712" s="2"/>
      <c r="C712" s="2"/>
      <c r="D712" s="2"/>
      <c r="E712" s="2"/>
      <c r="F712" s="4"/>
      <c r="G712" s="2"/>
      <c r="H712" s="2"/>
      <c r="I712" s="2"/>
      <c r="J712" s="2"/>
      <c r="K712" s="5"/>
      <c r="L712" s="2"/>
      <c r="M712" s="2"/>
      <c r="N712" s="2"/>
      <c r="O712" s="2"/>
      <c r="P712" s="2"/>
      <c r="Q712" s="2"/>
      <c r="R712" s="7"/>
      <c r="S712" s="224"/>
      <c r="T712" s="224"/>
      <c r="U712" s="224"/>
      <c r="V712" s="224"/>
    </row>
    <row r="713">
      <c r="A713" s="33"/>
      <c r="B713" s="2"/>
      <c r="C713" s="2"/>
      <c r="D713" s="2"/>
      <c r="E713" s="2"/>
      <c r="F713" s="4"/>
      <c r="G713" s="2"/>
      <c r="H713" s="2"/>
      <c r="I713" s="2"/>
      <c r="J713" s="2"/>
      <c r="K713" s="5"/>
      <c r="L713" s="2"/>
      <c r="M713" s="2"/>
      <c r="N713" s="2"/>
      <c r="O713" s="2"/>
      <c r="P713" s="2"/>
      <c r="Q713" s="2"/>
      <c r="R713" s="7"/>
      <c r="S713" s="224"/>
      <c r="T713" s="224"/>
      <c r="U713" s="224"/>
      <c r="V713" s="224"/>
    </row>
    <row r="714">
      <c r="A714" s="33"/>
      <c r="B714" s="2"/>
      <c r="C714" s="2"/>
      <c r="D714" s="2"/>
      <c r="E714" s="2"/>
      <c r="F714" s="4"/>
      <c r="G714" s="2"/>
      <c r="H714" s="2"/>
      <c r="I714" s="2"/>
      <c r="J714" s="2"/>
      <c r="K714" s="5"/>
      <c r="L714" s="2"/>
      <c r="M714" s="2"/>
      <c r="N714" s="2"/>
      <c r="O714" s="2"/>
      <c r="P714" s="2"/>
      <c r="Q714" s="2"/>
      <c r="R714" s="7"/>
      <c r="S714" s="224"/>
      <c r="T714" s="224"/>
      <c r="U714" s="224"/>
      <c r="V714" s="224"/>
    </row>
    <row r="715">
      <c r="A715" s="33"/>
      <c r="B715" s="2"/>
      <c r="C715" s="2"/>
      <c r="D715" s="2"/>
      <c r="E715" s="2"/>
      <c r="F715" s="4"/>
      <c r="G715" s="2"/>
      <c r="H715" s="2"/>
      <c r="I715" s="2"/>
      <c r="J715" s="2"/>
      <c r="K715" s="5"/>
      <c r="L715" s="2"/>
      <c r="M715" s="2"/>
      <c r="N715" s="2"/>
      <c r="O715" s="2"/>
      <c r="P715" s="2"/>
      <c r="Q715" s="2"/>
      <c r="R715" s="7"/>
      <c r="S715" s="224"/>
      <c r="T715" s="224"/>
      <c r="U715" s="224"/>
      <c r="V715" s="224"/>
    </row>
    <row r="716">
      <c r="A716" s="33"/>
      <c r="B716" s="2"/>
      <c r="C716" s="2"/>
      <c r="D716" s="2"/>
      <c r="E716" s="2"/>
      <c r="F716" s="4"/>
      <c r="G716" s="2"/>
      <c r="H716" s="2"/>
      <c r="I716" s="2"/>
      <c r="J716" s="2"/>
      <c r="K716" s="5"/>
      <c r="L716" s="2"/>
      <c r="M716" s="2"/>
      <c r="N716" s="2"/>
      <c r="O716" s="2"/>
      <c r="P716" s="2"/>
      <c r="Q716" s="2"/>
      <c r="R716" s="7"/>
      <c r="S716" s="224"/>
      <c r="T716" s="224"/>
      <c r="U716" s="224"/>
      <c r="V716" s="224"/>
    </row>
    <row r="717">
      <c r="A717" s="33"/>
      <c r="B717" s="2"/>
      <c r="C717" s="2"/>
      <c r="D717" s="2"/>
      <c r="E717" s="2"/>
      <c r="F717" s="4"/>
      <c r="G717" s="2"/>
      <c r="H717" s="2"/>
      <c r="I717" s="2"/>
      <c r="J717" s="2"/>
      <c r="K717" s="5"/>
      <c r="L717" s="2"/>
      <c r="M717" s="2"/>
      <c r="N717" s="2"/>
      <c r="O717" s="2"/>
      <c r="P717" s="2"/>
      <c r="Q717" s="2"/>
      <c r="R717" s="7"/>
      <c r="S717" s="224"/>
      <c r="T717" s="224"/>
      <c r="U717" s="224"/>
      <c r="V717" s="224"/>
    </row>
    <row r="718">
      <c r="A718" s="33"/>
      <c r="B718" s="2"/>
      <c r="C718" s="2"/>
      <c r="D718" s="2"/>
      <c r="E718" s="2"/>
      <c r="F718" s="4"/>
      <c r="G718" s="2"/>
      <c r="H718" s="2"/>
      <c r="I718" s="2"/>
      <c r="J718" s="2"/>
      <c r="K718" s="5"/>
      <c r="L718" s="2"/>
      <c r="M718" s="2"/>
      <c r="N718" s="2"/>
      <c r="O718" s="2"/>
      <c r="P718" s="2"/>
      <c r="Q718" s="2"/>
      <c r="R718" s="7"/>
      <c r="S718" s="224"/>
      <c r="T718" s="224"/>
      <c r="U718" s="224"/>
      <c r="V718" s="224"/>
    </row>
    <row r="719">
      <c r="A719" s="33"/>
      <c r="B719" s="2"/>
      <c r="C719" s="2"/>
      <c r="D719" s="2"/>
      <c r="E719" s="2"/>
      <c r="F719" s="4"/>
      <c r="G719" s="2"/>
      <c r="H719" s="2"/>
      <c r="I719" s="2"/>
      <c r="J719" s="2"/>
      <c r="K719" s="5"/>
      <c r="L719" s="2"/>
      <c r="M719" s="2"/>
      <c r="N719" s="2"/>
      <c r="O719" s="2"/>
      <c r="P719" s="2"/>
      <c r="Q719" s="2"/>
      <c r="R719" s="7"/>
      <c r="S719" s="224"/>
      <c r="T719" s="224"/>
      <c r="U719" s="224"/>
      <c r="V719" s="224"/>
    </row>
    <row r="720">
      <c r="A720" s="33"/>
      <c r="B720" s="2"/>
      <c r="C720" s="2"/>
      <c r="D720" s="2"/>
      <c r="E720" s="2"/>
      <c r="F720" s="4"/>
      <c r="G720" s="2"/>
      <c r="H720" s="2"/>
      <c r="I720" s="2"/>
      <c r="J720" s="2"/>
      <c r="K720" s="5"/>
      <c r="L720" s="2"/>
      <c r="M720" s="2"/>
      <c r="N720" s="2"/>
      <c r="O720" s="2"/>
      <c r="P720" s="2"/>
      <c r="Q720" s="2"/>
      <c r="R720" s="7"/>
      <c r="S720" s="224"/>
      <c r="T720" s="224"/>
      <c r="U720" s="224"/>
      <c r="V720" s="224"/>
    </row>
    <row r="721">
      <c r="A721" s="33"/>
      <c r="B721" s="2"/>
      <c r="C721" s="2"/>
      <c r="D721" s="2"/>
      <c r="E721" s="2"/>
      <c r="F721" s="4"/>
      <c r="G721" s="2"/>
      <c r="H721" s="2"/>
      <c r="I721" s="2"/>
      <c r="J721" s="2"/>
      <c r="K721" s="5"/>
      <c r="L721" s="2"/>
      <c r="M721" s="2"/>
      <c r="N721" s="2"/>
      <c r="O721" s="2"/>
      <c r="P721" s="2"/>
      <c r="Q721" s="2"/>
      <c r="R721" s="7"/>
      <c r="S721" s="224"/>
      <c r="T721" s="224"/>
      <c r="U721" s="224"/>
      <c r="V721" s="224"/>
    </row>
    <row r="722">
      <c r="A722" s="33"/>
      <c r="B722" s="2"/>
      <c r="C722" s="2"/>
      <c r="D722" s="2"/>
      <c r="E722" s="2"/>
      <c r="F722" s="4"/>
      <c r="G722" s="2"/>
      <c r="H722" s="2"/>
      <c r="I722" s="2"/>
      <c r="J722" s="2"/>
      <c r="K722" s="5"/>
      <c r="L722" s="2"/>
      <c r="M722" s="2"/>
      <c r="N722" s="2"/>
      <c r="O722" s="2"/>
      <c r="P722" s="2"/>
      <c r="Q722" s="2"/>
      <c r="R722" s="7"/>
      <c r="S722" s="224"/>
      <c r="T722" s="224"/>
      <c r="U722" s="224"/>
      <c r="V722" s="224"/>
    </row>
    <row r="723">
      <c r="A723" s="33"/>
      <c r="B723" s="2"/>
      <c r="C723" s="2"/>
      <c r="D723" s="2"/>
      <c r="E723" s="2"/>
      <c r="F723" s="4"/>
      <c r="G723" s="2"/>
      <c r="H723" s="2"/>
      <c r="I723" s="2"/>
      <c r="J723" s="2"/>
      <c r="K723" s="5"/>
      <c r="L723" s="2"/>
      <c r="M723" s="2"/>
      <c r="N723" s="2"/>
      <c r="O723" s="2"/>
      <c r="P723" s="2"/>
      <c r="Q723" s="2"/>
      <c r="R723" s="7"/>
      <c r="S723" s="224"/>
      <c r="T723" s="224"/>
      <c r="U723" s="224"/>
      <c r="V723" s="224"/>
    </row>
    <row r="724">
      <c r="A724" s="33"/>
      <c r="B724" s="2"/>
      <c r="C724" s="2"/>
      <c r="D724" s="2"/>
      <c r="E724" s="2"/>
      <c r="F724" s="4"/>
      <c r="G724" s="2"/>
      <c r="H724" s="2"/>
      <c r="I724" s="2"/>
      <c r="J724" s="2"/>
      <c r="K724" s="5"/>
      <c r="L724" s="2"/>
      <c r="M724" s="2"/>
      <c r="N724" s="2"/>
      <c r="O724" s="2"/>
      <c r="P724" s="2"/>
      <c r="Q724" s="2"/>
      <c r="R724" s="7"/>
      <c r="S724" s="224"/>
      <c r="T724" s="224"/>
      <c r="U724" s="224"/>
      <c r="V724" s="224"/>
    </row>
    <row r="725">
      <c r="A725" s="33"/>
      <c r="B725" s="2"/>
      <c r="C725" s="2"/>
      <c r="D725" s="2"/>
      <c r="E725" s="2"/>
      <c r="F725" s="4"/>
      <c r="G725" s="2"/>
      <c r="H725" s="2"/>
      <c r="I725" s="2"/>
      <c r="J725" s="2"/>
      <c r="K725" s="5"/>
      <c r="L725" s="2"/>
      <c r="M725" s="2"/>
      <c r="N725" s="2"/>
      <c r="O725" s="2"/>
      <c r="P725" s="2"/>
      <c r="Q725" s="2"/>
      <c r="R725" s="7"/>
      <c r="S725" s="224"/>
      <c r="T725" s="224"/>
      <c r="U725" s="224"/>
      <c r="V725" s="224"/>
    </row>
    <row r="726">
      <c r="A726" s="33"/>
      <c r="B726" s="2"/>
      <c r="C726" s="2"/>
      <c r="D726" s="2"/>
      <c r="E726" s="2"/>
      <c r="F726" s="4"/>
      <c r="G726" s="2"/>
      <c r="H726" s="2"/>
      <c r="I726" s="2"/>
      <c r="J726" s="2"/>
      <c r="K726" s="5"/>
      <c r="L726" s="2"/>
      <c r="M726" s="2"/>
      <c r="N726" s="2"/>
      <c r="O726" s="2"/>
      <c r="P726" s="2"/>
      <c r="Q726" s="2"/>
      <c r="R726" s="7"/>
      <c r="S726" s="224"/>
      <c r="T726" s="224"/>
      <c r="U726" s="224"/>
      <c r="V726" s="224"/>
    </row>
    <row r="727">
      <c r="A727" s="33"/>
      <c r="B727" s="2"/>
      <c r="C727" s="2"/>
      <c r="D727" s="2"/>
      <c r="E727" s="2"/>
      <c r="F727" s="4"/>
      <c r="G727" s="2"/>
      <c r="H727" s="2"/>
      <c r="I727" s="2"/>
      <c r="J727" s="2"/>
      <c r="K727" s="5"/>
      <c r="L727" s="2"/>
      <c r="M727" s="2"/>
      <c r="N727" s="2"/>
      <c r="O727" s="2"/>
      <c r="P727" s="2"/>
      <c r="Q727" s="2"/>
      <c r="R727" s="7"/>
      <c r="S727" s="224"/>
      <c r="T727" s="224"/>
      <c r="U727" s="224"/>
      <c r="V727" s="224"/>
    </row>
    <row r="728">
      <c r="A728" s="33"/>
      <c r="B728" s="2"/>
      <c r="C728" s="2"/>
      <c r="D728" s="2"/>
      <c r="E728" s="2"/>
      <c r="F728" s="4"/>
      <c r="G728" s="2"/>
      <c r="H728" s="2"/>
      <c r="I728" s="2"/>
      <c r="J728" s="2"/>
      <c r="K728" s="5"/>
      <c r="L728" s="2"/>
      <c r="M728" s="2"/>
      <c r="N728" s="2"/>
      <c r="O728" s="2"/>
      <c r="P728" s="2"/>
      <c r="Q728" s="2"/>
      <c r="R728" s="7"/>
      <c r="S728" s="224"/>
      <c r="T728" s="224"/>
      <c r="U728" s="224"/>
      <c r="V728" s="224"/>
    </row>
    <row r="729">
      <c r="A729" s="33"/>
      <c r="B729" s="2"/>
      <c r="C729" s="2"/>
      <c r="D729" s="2"/>
      <c r="E729" s="2"/>
      <c r="F729" s="4"/>
      <c r="G729" s="2"/>
      <c r="H729" s="2"/>
      <c r="I729" s="2"/>
      <c r="J729" s="2"/>
      <c r="K729" s="5"/>
      <c r="L729" s="2"/>
      <c r="M729" s="2"/>
      <c r="N729" s="2"/>
      <c r="O729" s="2"/>
      <c r="P729" s="2"/>
      <c r="Q729" s="2"/>
      <c r="R729" s="7"/>
      <c r="S729" s="224"/>
      <c r="T729" s="224"/>
      <c r="U729" s="224"/>
      <c r="V729" s="224"/>
    </row>
    <row r="730">
      <c r="A730" s="33"/>
      <c r="B730" s="2"/>
      <c r="C730" s="2"/>
      <c r="D730" s="2"/>
      <c r="E730" s="2"/>
      <c r="F730" s="4"/>
      <c r="G730" s="2"/>
      <c r="H730" s="2"/>
      <c r="I730" s="2"/>
      <c r="J730" s="2"/>
      <c r="K730" s="5"/>
      <c r="L730" s="2"/>
      <c r="M730" s="2"/>
      <c r="N730" s="2"/>
      <c r="O730" s="2"/>
      <c r="P730" s="2"/>
      <c r="Q730" s="2"/>
      <c r="R730" s="7"/>
      <c r="S730" s="224"/>
      <c r="T730" s="224"/>
      <c r="U730" s="224"/>
      <c r="V730" s="224"/>
    </row>
    <row r="731">
      <c r="A731" s="33"/>
      <c r="B731" s="2"/>
      <c r="C731" s="2"/>
      <c r="D731" s="2"/>
      <c r="E731" s="2"/>
      <c r="F731" s="4"/>
      <c r="G731" s="2"/>
      <c r="H731" s="2"/>
      <c r="I731" s="2"/>
      <c r="J731" s="2"/>
      <c r="K731" s="5"/>
      <c r="L731" s="2"/>
      <c r="M731" s="2"/>
      <c r="N731" s="2"/>
      <c r="O731" s="2"/>
      <c r="P731" s="2"/>
      <c r="Q731" s="2"/>
      <c r="R731" s="7"/>
      <c r="S731" s="224"/>
      <c r="T731" s="224"/>
      <c r="U731" s="224"/>
      <c r="V731" s="224"/>
    </row>
    <row r="732">
      <c r="A732" s="33"/>
      <c r="B732" s="2"/>
      <c r="C732" s="2"/>
      <c r="D732" s="2"/>
      <c r="E732" s="2"/>
      <c r="F732" s="4"/>
      <c r="G732" s="2"/>
      <c r="H732" s="2"/>
      <c r="I732" s="2"/>
      <c r="J732" s="2"/>
      <c r="K732" s="5"/>
      <c r="L732" s="2"/>
      <c r="M732" s="2"/>
      <c r="N732" s="2"/>
      <c r="O732" s="2"/>
      <c r="P732" s="2"/>
      <c r="Q732" s="2"/>
      <c r="R732" s="7"/>
      <c r="S732" s="224"/>
      <c r="T732" s="224"/>
      <c r="U732" s="224"/>
      <c r="V732" s="224"/>
    </row>
    <row r="733">
      <c r="A733" s="33"/>
      <c r="B733" s="2"/>
      <c r="C733" s="2"/>
      <c r="D733" s="2"/>
      <c r="E733" s="2"/>
      <c r="F733" s="4"/>
      <c r="G733" s="2"/>
      <c r="H733" s="2"/>
      <c r="I733" s="2"/>
      <c r="J733" s="2"/>
      <c r="K733" s="5"/>
      <c r="L733" s="2"/>
      <c r="M733" s="2"/>
      <c r="N733" s="2"/>
      <c r="O733" s="2"/>
      <c r="P733" s="2"/>
      <c r="Q733" s="2"/>
      <c r="R733" s="7"/>
      <c r="S733" s="224"/>
      <c r="T733" s="224"/>
      <c r="U733" s="224"/>
      <c r="V733" s="224"/>
    </row>
    <row r="734">
      <c r="A734" s="33"/>
      <c r="B734" s="2"/>
      <c r="C734" s="2"/>
      <c r="D734" s="2"/>
      <c r="E734" s="2"/>
      <c r="F734" s="4"/>
      <c r="G734" s="2"/>
      <c r="H734" s="2"/>
      <c r="I734" s="2"/>
      <c r="J734" s="2"/>
      <c r="K734" s="5"/>
      <c r="L734" s="2"/>
      <c r="M734" s="2"/>
      <c r="N734" s="2"/>
      <c r="O734" s="2"/>
      <c r="P734" s="2"/>
      <c r="Q734" s="2"/>
      <c r="R734" s="7"/>
      <c r="S734" s="224"/>
      <c r="T734" s="224"/>
      <c r="U734" s="224"/>
      <c r="V734" s="224"/>
    </row>
    <row r="735">
      <c r="A735" s="33"/>
      <c r="B735" s="2"/>
      <c r="C735" s="2"/>
      <c r="D735" s="2"/>
      <c r="E735" s="2"/>
      <c r="F735" s="4"/>
      <c r="G735" s="2"/>
      <c r="H735" s="2"/>
      <c r="I735" s="2"/>
      <c r="J735" s="2"/>
      <c r="K735" s="5"/>
      <c r="L735" s="2"/>
      <c r="M735" s="2"/>
      <c r="N735" s="2"/>
      <c r="O735" s="2"/>
      <c r="P735" s="2"/>
      <c r="Q735" s="2"/>
      <c r="R735" s="7"/>
      <c r="S735" s="224"/>
      <c r="T735" s="224"/>
      <c r="U735" s="224"/>
      <c r="V735" s="224"/>
    </row>
    <row r="736">
      <c r="A736" s="33"/>
      <c r="B736" s="2"/>
      <c r="C736" s="2"/>
      <c r="D736" s="2"/>
      <c r="E736" s="2"/>
      <c r="F736" s="4"/>
      <c r="G736" s="2"/>
      <c r="H736" s="2"/>
      <c r="I736" s="2"/>
      <c r="J736" s="2"/>
      <c r="K736" s="5"/>
      <c r="L736" s="2"/>
      <c r="M736" s="2"/>
      <c r="N736" s="2"/>
      <c r="O736" s="2"/>
      <c r="P736" s="2"/>
      <c r="Q736" s="2"/>
      <c r="R736" s="7"/>
      <c r="S736" s="224"/>
      <c r="T736" s="224"/>
      <c r="U736" s="224"/>
      <c r="V736" s="224"/>
    </row>
    <row r="737">
      <c r="A737" s="33"/>
      <c r="B737" s="2"/>
      <c r="C737" s="2"/>
      <c r="D737" s="2"/>
      <c r="E737" s="2"/>
      <c r="F737" s="4"/>
      <c r="G737" s="2"/>
      <c r="H737" s="2"/>
      <c r="I737" s="2"/>
      <c r="J737" s="2"/>
      <c r="K737" s="5"/>
      <c r="L737" s="2"/>
      <c r="M737" s="2"/>
      <c r="N737" s="2"/>
      <c r="O737" s="2"/>
      <c r="P737" s="2"/>
      <c r="Q737" s="2"/>
      <c r="R737" s="7"/>
      <c r="S737" s="224"/>
      <c r="T737" s="224"/>
      <c r="U737" s="224"/>
      <c r="V737" s="224"/>
    </row>
    <row r="738">
      <c r="A738" s="33"/>
      <c r="B738" s="2"/>
      <c r="C738" s="2"/>
      <c r="D738" s="2"/>
      <c r="E738" s="2"/>
      <c r="F738" s="4"/>
      <c r="G738" s="2"/>
      <c r="H738" s="2"/>
      <c r="I738" s="2"/>
      <c r="J738" s="2"/>
      <c r="K738" s="5"/>
      <c r="L738" s="2"/>
      <c r="M738" s="2"/>
      <c r="N738" s="2"/>
      <c r="O738" s="2"/>
      <c r="P738" s="2"/>
      <c r="Q738" s="2"/>
      <c r="R738" s="7"/>
      <c r="S738" s="224"/>
      <c r="T738" s="224"/>
      <c r="U738" s="224"/>
      <c r="V738" s="224"/>
    </row>
    <row r="739">
      <c r="A739" s="33"/>
      <c r="B739" s="2"/>
      <c r="C739" s="2"/>
      <c r="D739" s="2"/>
      <c r="E739" s="2"/>
      <c r="F739" s="4"/>
      <c r="G739" s="2"/>
      <c r="H739" s="2"/>
      <c r="I739" s="2"/>
      <c r="J739" s="2"/>
      <c r="K739" s="5"/>
      <c r="L739" s="2"/>
      <c r="M739" s="2"/>
      <c r="N739" s="2"/>
      <c r="O739" s="2"/>
      <c r="P739" s="2"/>
      <c r="Q739" s="2"/>
      <c r="R739" s="7"/>
      <c r="S739" s="224"/>
      <c r="T739" s="224"/>
      <c r="U739" s="224"/>
      <c r="V739" s="224"/>
    </row>
    <row r="740">
      <c r="A740" s="33"/>
      <c r="B740" s="2"/>
      <c r="C740" s="2"/>
      <c r="D740" s="2"/>
      <c r="E740" s="2"/>
      <c r="F740" s="4"/>
      <c r="G740" s="2"/>
      <c r="H740" s="2"/>
      <c r="I740" s="2"/>
      <c r="J740" s="2"/>
      <c r="K740" s="5"/>
      <c r="L740" s="2"/>
      <c r="M740" s="2"/>
      <c r="N740" s="2"/>
      <c r="O740" s="2"/>
      <c r="P740" s="2"/>
      <c r="Q740" s="2"/>
      <c r="R740" s="7"/>
      <c r="S740" s="224"/>
      <c r="T740" s="224"/>
      <c r="U740" s="224"/>
      <c r="V740" s="224"/>
    </row>
    <row r="741">
      <c r="A741" s="33"/>
      <c r="B741" s="2"/>
      <c r="C741" s="2"/>
      <c r="D741" s="2"/>
      <c r="E741" s="2"/>
      <c r="F741" s="4"/>
      <c r="G741" s="2"/>
      <c r="H741" s="2"/>
      <c r="I741" s="2"/>
      <c r="J741" s="2"/>
      <c r="K741" s="5"/>
      <c r="L741" s="2"/>
      <c r="M741" s="2"/>
      <c r="N741" s="2"/>
      <c r="O741" s="2"/>
      <c r="P741" s="2"/>
      <c r="Q741" s="2"/>
      <c r="R741" s="7"/>
      <c r="S741" s="224"/>
      <c r="T741" s="224"/>
      <c r="U741" s="224"/>
      <c r="V741" s="224"/>
    </row>
    <row r="742">
      <c r="A742" s="33"/>
      <c r="B742" s="2"/>
      <c r="C742" s="2"/>
      <c r="D742" s="2"/>
      <c r="E742" s="2"/>
      <c r="F742" s="4"/>
      <c r="G742" s="2"/>
      <c r="H742" s="2"/>
      <c r="I742" s="2"/>
      <c r="J742" s="2"/>
      <c r="K742" s="5"/>
      <c r="L742" s="2"/>
      <c r="M742" s="2"/>
      <c r="N742" s="2"/>
      <c r="O742" s="2"/>
      <c r="P742" s="2"/>
      <c r="Q742" s="2"/>
      <c r="R742" s="7"/>
      <c r="S742" s="224"/>
      <c r="T742" s="224"/>
      <c r="U742" s="224"/>
      <c r="V742" s="224"/>
    </row>
    <row r="743">
      <c r="A743" s="33"/>
      <c r="B743" s="2"/>
      <c r="C743" s="2"/>
      <c r="D743" s="2"/>
      <c r="E743" s="2"/>
      <c r="F743" s="4"/>
      <c r="G743" s="2"/>
      <c r="H743" s="2"/>
      <c r="I743" s="2"/>
      <c r="J743" s="2"/>
      <c r="K743" s="5"/>
      <c r="L743" s="2"/>
      <c r="M743" s="2"/>
      <c r="N743" s="2"/>
      <c r="O743" s="2"/>
      <c r="P743" s="2"/>
      <c r="Q743" s="2"/>
      <c r="R743" s="7"/>
      <c r="S743" s="224"/>
      <c r="T743" s="224"/>
      <c r="U743" s="224"/>
      <c r="V743" s="224"/>
    </row>
    <row r="744">
      <c r="A744" s="33"/>
      <c r="B744" s="2"/>
      <c r="C744" s="2"/>
      <c r="D744" s="2"/>
      <c r="E744" s="2"/>
      <c r="F744" s="4"/>
      <c r="G744" s="2"/>
      <c r="H744" s="2"/>
      <c r="I744" s="2"/>
      <c r="J744" s="2"/>
      <c r="K744" s="5"/>
      <c r="L744" s="2"/>
      <c r="M744" s="2"/>
      <c r="N744" s="2"/>
      <c r="O744" s="2"/>
      <c r="P744" s="2"/>
      <c r="Q744" s="2"/>
      <c r="R744" s="7"/>
      <c r="S744" s="224"/>
      <c r="T744" s="224"/>
      <c r="U744" s="224"/>
      <c r="V744" s="224"/>
    </row>
    <row r="745">
      <c r="A745" s="33"/>
      <c r="B745" s="2"/>
      <c r="C745" s="2"/>
      <c r="D745" s="2"/>
      <c r="E745" s="2"/>
      <c r="F745" s="4"/>
      <c r="G745" s="2"/>
      <c r="H745" s="2"/>
      <c r="I745" s="2"/>
      <c r="J745" s="2"/>
      <c r="K745" s="5"/>
      <c r="L745" s="2"/>
      <c r="M745" s="2"/>
      <c r="N745" s="2"/>
      <c r="O745" s="2"/>
      <c r="P745" s="2"/>
      <c r="Q745" s="2"/>
      <c r="R745" s="7"/>
      <c r="S745" s="224"/>
      <c r="T745" s="224"/>
      <c r="U745" s="224"/>
      <c r="V745" s="224"/>
    </row>
    <row r="746">
      <c r="A746" s="33"/>
      <c r="B746" s="2"/>
      <c r="C746" s="2"/>
      <c r="D746" s="2"/>
      <c r="E746" s="2"/>
      <c r="F746" s="4"/>
      <c r="G746" s="2"/>
      <c r="H746" s="2"/>
      <c r="I746" s="2"/>
      <c r="J746" s="2"/>
      <c r="K746" s="5"/>
      <c r="L746" s="2"/>
      <c r="M746" s="2"/>
      <c r="N746" s="2"/>
      <c r="O746" s="2"/>
      <c r="P746" s="2"/>
      <c r="Q746" s="2"/>
      <c r="R746" s="7"/>
      <c r="S746" s="224"/>
      <c r="T746" s="224"/>
      <c r="U746" s="224"/>
      <c r="V746" s="224"/>
    </row>
    <row r="747">
      <c r="A747" s="33"/>
      <c r="B747" s="2"/>
      <c r="C747" s="2"/>
      <c r="D747" s="2"/>
      <c r="E747" s="2"/>
      <c r="F747" s="4"/>
      <c r="G747" s="2"/>
      <c r="H747" s="2"/>
      <c r="I747" s="2"/>
      <c r="J747" s="2"/>
      <c r="K747" s="5"/>
      <c r="L747" s="2"/>
      <c r="M747" s="2"/>
      <c r="N747" s="2"/>
      <c r="O747" s="2"/>
      <c r="P747" s="2"/>
      <c r="Q747" s="2"/>
      <c r="R747" s="7"/>
      <c r="S747" s="224"/>
      <c r="T747" s="224"/>
      <c r="U747" s="224"/>
      <c r="V747" s="224"/>
    </row>
    <row r="748">
      <c r="A748" s="33"/>
      <c r="B748" s="2"/>
      <c r="C748" s="2"/>
      <c r="D748" s="2"/>
      <c r="E748" s="2"/>
      <c r="F748" s="4"/>
      <c r="G748" s="2"/>
      <c r="H748" s="2"/>
      <c r="I748" s="2"/>
      <c r="J748" s="2"/>
      <c r="K748" s="5"/>
      <c r="L748" s="2"/>
      <c r="M748" s="2"/>
      <c r="N748" s="2"/>
      <c r="O748" s="2"/>
      <c r="P748" s="2"/>
      <c r="Q748" s="2"/>
      <c r="R748" s="7"/>
      <c r="S748" s="224"/>
      <c r="T748" s="224"/>
      <c r="U748" s="224"/>
      <c r="V748" s="224"/>
    </row>
    <row r="749">
      <c r="A749" s="33"/>
      <c r="B749" s="2"/>
      <c r="C749" s="2"/>
      <c r="D749" s="2"/>
      <c r="E749" s="2"/>
      <c r="F749" s="4"/>
      <c r="G749" s="2"/>
      <c r="H749" s="2"/>
      <c r="I749" s="2"/>
      <c r="J749" s="2"/>
      <c r="K749" s="5"/>
      <c r="L749" s="2"/>
      <c r="M749" s="2"/>
      <c r="N749" s="2"/>
      <c r="O749" s="2"/>
      <c r="P749" s="2"/>
      <c r="Q749" s="2"/>
      <c r="R749" s="7"/>
      <c r="S749" s="224"/>
      <c r="T749" s="224"/>
      <c r="U749" s="224"/>
      <c r="V749" s="224"/>
    </row>
    <row r="750">
      <c r="A750" s="33"/>
      <c r="B750" s="2"/>
      <c r="C750" s="2"/>
      <c r="D750" s="2"/>
      <c r="E750" s="2"/>
      <c r="F750" s="4"/>
      <c r="G750" s="2"/>
      <c r="H750" s="2"/>
      <c r="I750" s="2"/>
      <c r="J750" s="2"/>
      <c r="K750" s="5"/>
      <c r="L750" s="2"/>
      <c r="M750" s="2"/>
      <c r="N750" s="2"/>
      <c r="O750" s="2"/>
      <c r="P750" s="2"/>
      <c r="Q750" s="2"/>
      <c r="R750" s="7"/>
      <c r="S750" s="224"/>
      <c r="T750" s="224"/>
      <c r="U750" s="224"/>
      <c r="V750" s="224"/>
    </row>
    <row r="751">
      <c r="A751" s="33"/>
      <c r="B751" s="2"/>
      <c r="C751" s="2"/>
      <c r="D751" s="2"/>
      <c r="E751" s="2"/>
      <c r="F751" s="4"/>
      <c r="G751" s="2"/>
      <c r="H751" s="2"/>
      <c r="I751" s="2"/>
      <c r="J751" s="2"/>
      <c r="K751" s="5"/>
      <c r="L751" s="2"/>
      <c r="M751" s="2"/>
      <c r="N751" s="2"/>
      <c r="O751" s="2"/>
      <c r="P751" s="2"/>
      <c r="Q751" s="2"/>
      <c r="R751" s="7"/>
      <c r="S751" s="224"/>
      <c r="T751" s="224"/>
      <c r="U751" s="224"/>
      <c r="V751" s="224"/>
    </row>
    <row r="752">
      <c r="A752" s="33"/>
      <c r="B752" s="2"/>
      <c r="C752" s="2"/>
      <c r="D752" s="2"/>
      <c r="E752" s="2"/>
      <c r="F752" s="4"/>
      <c r="G752" s="2"/>
      <c r="H752" s="2"/>
      <c r="I752" s="2"/>
      <c r="J752" s="2"/>
      <c r="K752" s="5"/>
      <c r="L752" s="2"/>
      <c r="M752" s="2"/>
      <c r="N752" s="2"/>
      <c r="O752" s="2"/>
      <c r="P752" s="2"/>
      <c r="Q752" s="2"/>
      <c r="R752" s="7"/>
      <c r="S752" s="224"/>
      <c r="T752" s="224"/>
      <c r="U752" s="224"/>
      <c r="V752" s="224"/>
    </row>
    <row r="753">
      <c r="A753" s="33"/>
      <c r="B753" s="2"/>
      <c r="C753" s="2"/>
      <c r="D753" s="2"/>
      <c r="E753" s="2"/>
      <c r="F753" s="4"/>
      <c r="G753" s="2"/>
      <c r="H753" s="2"/>
      <c r="I753" s="2"/>
      <c r="J753" s="2"/>
      <c r="K753" s="5"/>
      <c r="L753" s="2"/>
      <c r="M753" s="2"/>
      <c r="N753" s="2"/>
      <c r="O753" s="2"/>
      <c r="P753" s="2"/>
      <c r="Q753" s="2"/>
      <c r="R753" s="7"/>
      <c r="S753" s="224"/>
      <c r="T753" s="224"/>
      <c r="U753" s="224"/>
      <c r="V753" s="224"/>
    </row>
    <row r="754">
      <c r="A754" s="33"/>
      <c r="B754" s="2"/>
      <c r="C754" s="2"/>
      <c r="D754" s="2"/>
      <c r="E754" s="2"/>
      <c r="F754" s="4"/>
      <c r="G754" s="2"/>
      <c r="H754" s="2"/>
      <c r="I754" s="2"/>
      <c r="J754" s="2"/>
      <c r="K754" s="5"/>
      <c r="L754" s="2"/>
      <c r="M754" s="2"/>
      <c r="N754" s="2"/>
      <c r="O754" s="2"/>
      <c r="P754" s="2"/>
      <c r="Q754" s="2"/>
      <c r="R754" s="7"/>
      <c r="S754" s="224"/>
      <c r="T754" s="224"/>
      <c r="U754" s="224"/>
      <c r="V754" s="224"/>
    </row>
    <row r="755">
      <c r="A755" s="33"/>
      <c r="B755" s="2"/>
      <c r="C755" s="2"/>
      <c r="D755" s="2"/>
      <c r="E755" s="2"/>
      <c r="F755" s="4"/>
      <c r="G755" s="2"/>
      <c r="H755" s="2"/>
      <c r="I755" s="2"/>
      <c r="J755" s="2"/>
      <c r="K755" s="5"/>
      <c r="L755" s="2"/>
      <c r="M755" s="2"/>
      <c r="N755" s="2"/>
      <c r="O755" s="2"/>
      <c r="P755" s="2"/>
      <c r="Q755" s="2"/>
      <c r="R755" s="7"/>
      <c r="S755" s="224"/>
      <c r="T755" s="224"/>
      <c r="U755" s="224"/>
      <c r="V755" s="224"/>
    </row>
    <row r="756">
      <c r="A756" s="33"/>
      <c r="B756" s="2"/>
      <c r="C756" s="2"/>
      <c r="D756" s="2"/>
      <c r="E756" s="2"/>
      <c r="F756" s="4"/>
      <c r="G756" s="2"/>
      <c r="H756" s="2"/>
      <c r="I756" s="2"/>
      <c r="J756" s="2"/>
      <c r="K756" s="5"/>
      <c r="L756" s="2"/>
      <c r="M756" s="2"/>
      <c r="N756" s="2"/>
      <c r="O756" s="2"/>
      <c r="P756" s="2"/>
      <c r="Q756" s="2"/>
      <c r="R756" s="7"/>
      <c r="S756" s="224"/>
      <c r="T756" s="224"/>
      <c r="U756" s="224"/>
      <c r="V756" s="224"/>
    </row>
    <row r="757">
      <c r="A757" s="33"/>
      <c r="B757" s="2"/>
      <c r="C757" s="2"/>
      <c r="D757" s="2"/>
      <c r="E757" s="2"/>
      <c r="F757" s="4"/>
      <c r="G757" s="2"/>
      <c r="H757" s="2"/>
      <c r="I757" s="2"/>
      <c r="J757" s="2"/>
      <c r="K757" s="5"/>
      <c r="L757" s="2"/>
      <c r="M757" s="2"/>
      <c r="N757" s="2"/>
      <c r="O757" s="2"/>
      <c r="P757" s="2"/>
      <c r="Q757" s="2"/>
      <c r="R757" s="7"/>
      <c r="S757" s="224"/>
      <c r="T757" s="224"/>
      <c r="U757" s="224"/>
      <c r="V757" s="224"/>
    </row>
    <row r="758">
      <c r="A758" s="33"/>
      <c r="B758" s="2"/>
      <c r="C758" s="2"/>
      <c r="D758" s="2"/>
      <c r="E758" s="2"/>
      <c r="F758" s="4"/>
      <c r="G758" s="2"/>
      <c r="H758" s="2"/>
      <c r="I758" s="2"/>
      <c r="J758" s="2"/>
      <c r="K758" s="5"/>
      <c r="L758" s="2"/>
      <c r="M758" s="2"/>
      <c r="N758" s="2"/>
      <c r="O758" s="2"/>
      <c r="P758" s="2"/>
      <c r="Q758" s="2"/>
      <c r="R758" s="7"/>
      <c r="S758" s="224"/>
      <c r="T758" s="224"/>
      <c r="U758" s="224"/>
      <c r="V758" s="224"/>
    </row>
    <row r="759">
      <c r="A759" s="33"/>
      <c r="B759" s="2"/>
      <c r="C759" s="2"/>
      <c r="D759" s="2"/>
      <c r="E759" s="2"/>
      <c r="F759" s="4"/>
      <c r="G759" s="2"/>
      <c r="H759" s="2"/>
      <c r="I759" s="2"/>
      <c r="J759" s="2"/>
      <c r="K759" s="5"/>
      <c r="L759" s="2"/>
      <c r="M759" s="2"/>
      <c r="N759" s="2"/>
      <c r="O759" s="2"/>
      <c r="P759" s="2"/>
      <c r="Q759" s="2"/>
      <c r="R759" s="7"/>
      <c r="S759" s="224"/>
      <c r="T759" s="224"/>
      <c r="U759" s="224"/>
      <c r="V759" s="224"/>
    </row>
    <row r="760">
      <c r="A760" s="33"/>
      <c r="B760" s="2"/>
      <c r="C760" s="2"/>
      <c r="D760" s="2"/>
      <c r="E760" s="2"/>
      <c r="F760" s="4"/>
      <c r="G760" s="2"/>
      <c r="H760" s="2"/>
      <c r="I760" s="2"/>
      <c r="J760" s="2"/>
      <c r="K760" s="5"/>
      <c r="L760" s="2"/>
      <c r="M760" s="2"/>
      <c r="N760" s="2"/>
      <c r="O760" s="2"/>
      <c r="P760" s="2"/>
      <c r="Q760" s="2"/>
      <c r="R760" s="7"/>
      <c r="S760" s="224"/>
      <c r="T760" s="224"/>
      <c r="U760" s="224"/>
      <c r="V760" s="224"/>
    </row>
    <row r="761">
      <c r="A761" s="33"/>
      <c r="B761" s="2"/>
      <c r="C761" s="2"/>
      <c r="D761" s="2"/>
      <c r="E761" s="2"/>
      <c r="F761" s="4"/>
      <c r="G761" s="2"/>
      <c r="H761" s="2"/>
      <c r="I761" s="2"/>
      <c r="J761" s="2"/>
      <c r="K761" s="5"/>
      <c r="L761" s="2"/>
      <c r="M761" s="2"/>
      <c r="N761" s="2"/>
      <c r="O761" s="2"/>
      <c r="P761" s="2"/>
      <c r="Q761" s="2"/>
      <c r="R761" s="7"/>
      <c r="S761" s="224"/>
      <c r="T761" s="224"/>
      <c r="U761" s="224"/>
      <c r="V761" s="224"/>
    </row>
    <row r="762">
      <c r="A762" s="33"/>
      <c r="B762" s="2"/>
      <c r="C762" s="2"/>
      <c r="D762" s="2"/>
      <c r="E762" s="2"/>
      <c r="F762" s="4"/>
      <c r="G762" s="2"/>
      <c r="H762" s="2"/>
      <c r="I762" s="2"/>
      <c r="J762" s="2"/>
      <c r="K762" s="5"/>
      <c r="L762" s="2"/>
      <c r="M762" s="2"/>
      <c r="N762" s="2"/>
      <c r="O762" s="2"/>
      <c r="P762" s="2"/>
      <c r="Q762" s="2"/>
      <c r="R762" s="7"/>
      <c r="S762" s="224"/>
      <c r="T762" s="224"/>
      <c r="U762" s="224"/>
      <c r="V762" s="224"/>
    </row>
    <row r="763">
      <c r="A763" s="33"/>
      <c r="B763" s="2"/>
      <c r="C763" s="2"/>
      <c r="D763" s="2"/>
      <c r="E763" s="2"/>
      <c r="F763" s="4"/>
      <c r="G763" s="2"/>
      <c r="H763" s="2"/>
      <c r="I763" s="2"/>
      <c r="J763" s="2"/>
      <c r="K763" s="5"/>
      <c r="L763" s="2"/>
      <c r="M763" s="2"/>
      <c r="N763" s="2"/>
      <c r="O763" s="2"/>
      <c r="P763" s="2"/>
      <c r="Q763" s="2"/>
      <c r="R763" s="7"/>
      <c r="S763" s="224"/>
      <c r="T763" s="224"/>
      <c r="U763" s="224"/>
      <c r="V763" s="224"/>
    </row>
    <row r="764">
      <c r="A764" s="33"/>
      <c r="B764" s="2"/>
      <c r="C764" s="2"/>
      <c r="D764" s="2"/>
      <c r="E764" s="2"/>
      <c r="F764" s="4"/>
      <c r="G764" s="2"/>
      <c r="H764" s="2"/>
      <c r="I764" s="2"/>
      <c r="J764" s="2"/>
      <c r="K764" s="5"/>
      <c r="L764" s="2"/>
      <c r="M764" s="2"/>
      <c r="N764" s="2"/>
      <c r="O764" s="2"/>
      <c r="P764" s="2"/>
      <c r="Q764" s="2"/>
      <c r="R764" s="7"/>
      <c r="S764" s="224"/>
      <c r="T764" s="224"/>
      <c r="U764" s="224"/>
      <c r="V764" s="224"/>
    </row>
    <row r="765">
      <c r="A765" s="33"/>
      <c r="B765" s="2"/>
      <c r="C765" s="2"/>
      <c r="D765" s="2"/>
      <c r="E765" s="2"/>
      <c r="F765" s="4"/>
      <c r="G765" s="2"/>
      <c r="H765" s="2"/>
      <c r="I765" s="2"/>
      <c r="J765" s="2"/>
      <c r="K765" s="5"/>
      <c r="L765" s="2"/>
      <c r="M765" s="2"/>
      <c r="N765" s="2"/>
      <c r="O765" s="2"/>
      <c r="P765" s="2"/>
      <c r="Q765" s="2"/>
      <c r="R765" s="7"/>
      <c r="S765" s="224"/>
      <c r="T765" s="224"/>
      <c r="U765" s="224"/>
      <c r="V765" s="224"/>
    </row>
    <row r="766">
      <c r="A766" s="33"/>
      <c r="B766" s="2"/>
      <c r="C766" s="2"/>
      <c r="D766" s="2"/>
      <c r="E766" s="2"/>
      <c r="F766" s="4"/>
      <c r="G766" s="2"/>
      <c r="H766" s="2"/>
      <c r="I766" s="2"/>
      <c r="J766" s="2"/>
      <c r="K766" s="5"/>
      <c r="L766" s="2"/>
      <c r="M766" s="2"/>
      <c r="N766" s="2"/>
      <c r="O766" s="2"/>
      <c r="P766" s="2"/>
      <c r="Q766" s="2"/>
      <c r="R766" s="7"/>
      <c r="S766" s="224"/>
      <c r="T766" s="224"/>
      <c r="U766" s="224"/>
      <c r="V766" s="224"/>
    </row>
    <row r="767">
      <c r="A767" s="33"/>
      <c r="B767" s="2"/>
      <c r="C767" s="2"/>
      <c r="D767" s="2"/>
      <c r="E767" s="2"/>
      <c r="F767" s="4"/>
      <c r="G767" s="2"/>
      <c r="H767" s="2"/>
      <c r="I767" s="2"/>
      <c r="J767" s="2"/>
      <c r="K767" s="5"/>
      <c r="L767" s="2"/>
      <c r="M767" s="2"/>
      <c r="N767" s="2"/>
      <c r="O767" s="2"/>
      <c r="P767" s="2"/>
      <c r="Q767" s="2"/>
      <c r="R767" s="7"/>
      <c r="S767" s="224"/>
      <c r="T767" s="224"/>
      <c r="U767" s="224"/>
      <c r="V767" s="224"/>
    </row>
    <row r="768">
      <c r="A768" s="33"/>
      <c r="B768" s="2"/>
      <c r="C768" s="2"/>
      <c r="D768" s="2"/>
      <c r="E768" s="2"/>
      <c r="F768" s="4"/>
      <c r="G768" s="2"/>
      <c r="H768" s="2"/>
      <c r="I768" s="2"/>
      <c r="J768" s="2"/>
      <c r="K768" s="5"/>
      <c r="L768" s="2"/>
      <c r="M768" s="2"/>
      <c r="N768" s="2"/>
      <c r="O768" s="2"/>
      <c r="P768" s="2"/>
      <c r="Q768" s="2"/>
      <c r="R768" s="7"/>
      <c r="S768" s="224"/>
      <c r="T768" s="224"/>
      <c r="U768" s="224"/>
      <c r="V768" s="224"/>
    </row>
    <row r="769">
      <c r="A769" s="33"/>
      <c r="B769" s="2"/>
      <c r="C769" s="2"/>
      <c r="D769" s="2"/>
      <c r="E769" s="2"/>
      <c r="F769" s="4"/>
      <c r="G769" s="2"/>
      <c r="H769" s="2"/>
      <c r="I769" s="2"/>
      <c r="J769" s="2"/>
      <c r="K769" s="5"/>
      <c r="L769" s="2"/>
      <c r="M769" s="2"/>
      <c r="N769" s="2"/>
      <c r="O769" s="2"/>
      <c r="P769" s="2"/>
      <c r="Q769" s="2"/>
      <c r="R769" s="7"/>
      <c r="S769" s="224"/>
      <c r="T769" s="224"/>
      <c r="U769" s="224"/>
      <c r="V769" s="224"/>
    </row>
    <row r="770">
      <c r="A770" s="33"/>
      <c r="B770" s="2"/>
      <c r="C770" s="2"/>
      <c r="D770" s="2"/>
      <c r="E770" s="2"/>
      <c r="F770" s="4"/>
      <c r="G770" s="2"/>
      <c r="H770" s="2"/>
      <c r="I770" s="2"/>
      <c r="J770" s="2"/>
      <c r="K770" s="5"/>
      <c r="L770" s="2"/>
      <c r="M770" s="2"/>
      <c r="N770" s="2"/>
      <c r="O770" s="2"/>
      <c r="P770" s="2"/>
      <c r="Q770" s="2"/>
      <c r="R770" s="7"/>
      <c r="S770" s="224"/>
      <c r="T770" s="224"/>
      <c r="U770" s="224"/>
      <c r="V770" s="224"/>
    </row>
    <row r="771">
      <c r="A771" s="33"/>
      <c r="B771" s="2"/>
      <c r="C771" s="2"/>
      <c r="D771" s="2"/>
      <c r="E771" s="2"/>
      <c r="F771" s="4"/>
      <c r="G771" s="2"/>
      <c r="H771" s="2"/>
      <c r="I771" s="2"/>
      <c r="J771" s="2"/>
      <c r="K771" s="5"/>
      <c r="L771" s="2"/>
      <c r="M771" s="2"/>
      <c r="N771" s="2"/>
      <c r="O771" s="2"/>
      <c r="P771" s="2"/>
      <c r="Q771" s="2"/>
      <c r="R771" s="7"/>
      <c r="S771" s="224"/>
      <c r="T771" s="224"/>
      <c r="U771" s="224"/>
      <c r="V771" s="224"/>
    </row>
    <row r="772">
      <c r="A772" s="33"/>
      <c r="B772" s="2"/>
      <c r="C772" s="2"/>
      <c r="D772" s="2"/>
      <c r="E772" s="2"/>
      <c r="F772" s="4"/>
      <c r="G772" s="2"/>
      <c r="H772" s="2"/>
      <c r="I772" s="2"/>
      <c r="J772" s="2"/>
      <c r="K772" s="5"/>
      <c r="L772" s="2"/>
      <c r="M772" s="2"/>
      <c r="N772" s="2"/>
      <c r="O772" s="2"/>
      <c r="P772" s="2"/>
      <c r="Q772" s="2"/>
      <c r="R772" s="7"/>
      <c r="S772" s="224"/>
      <c r="T772" s="224"/>
      <c r="U772" s="224"/>
      <c r="V772" s="224"/>
    </row>
    <row r="773">
      <c r="A773" s="33"/>
      <c r="B773" s="2"/>
      <c r="C773" s="2"/>
      <c r="D773" s="2"/>
      <c r="E773" s="2"/>
      <c r="F773" s="4"/>
      <c r="G773" s="2"/>
      <c r="H773" s="2"/>
      <c r="I773" s="2"/>
      <c r="J773" s="2"/>
      <c r="K773" s="5"/>
      <c r="L773" s="2"/>
      <c r="M773" s="2"/>
      <c r="N773" s="2"/>
      <c r="O773" s="2"/>
      <c r="P773" s="2"/>
      <c r="Q773" s="2"/>
      <c r="R773" s="7"/>
      <c r="S773" s="224"/>
      <c r="T773" s="224"/>
      <c r="U773" s="224"/>
      <c r="V773" s="224"/>
    </row>
    <row r="774">
      <c r="A774" s="33"/>
      <c r="B774" s="2"/>
      <c r="C774" s="2"/>
      <c r="D774" s="2"/>
      <c r="E774" s="2"/>
      <c r="F774" s="4"/>
      <c r="G774" s="2"/>
      <c r="H774" s="2"/>
      <c r="I774" s="2"/>
      <c r="J774" s="2"/>
      <c r="K774" s="5"/>
      <c r="L774" s="2"/>
      <c r="M774" s="2"/>
      <c r="N774" s="2"/>
      <c r="O774" s="2"/>
      <c r="P774" s="2"/>
      <c r="Q774" s="2"/>
      <c r="R774" s="7"/>
      <c r="S774" s="224"/>
      <c r="T774" s="224"/>
      <c r="U774" s="224"/>
      <c r="V774" s="224"/>
    </row>
    <row r="775">
      <c r="A775" s="33"/>
      <c r="B775" s="2"/>
      <c r="C775" s="2"/>
      <c r="D775" s="2"/>
      <c r="E775" s="2"/>
      <c r="F775" s="4"/>
      <c r="G775" s="2"/>
      <c r="H775" s="2"/>
      <c r="I775" s="2"/>
      <c r="J775" s="2"/>
      <c r="K775" s="5"/>
      <c r="L775" s="2"/>
      <c r="M775" s="2"/>
      <c r="N775" s="2"/>
      <c r="O775" s="2"/>
      <c r="P775" s="2"/>
      <c r="Q775" s="2"/>
      <c r="R775" s="7"/>
      <c r="S775" s="224"/>
      <c r="T775" s="224"/>
      <c r="U775" s="224"/>
      <c r="V775" s="224"/>
    </row>
    <row r="776">
      <c r="A776" s="33"/>
      <c r="B776" s="2"/>
      <c r="C776" s="2"/>
      <c r="D776" s="2"/>
      <c r="E776" s="2"/>
      <c r="F776" s="4"/>
      <c r="G776" s="2"/>
      <c r="H776" s="2"/>
      <c r="I776" s="2"/>
      <c r="J776" s="2"/>
      <c r="K776" s="5"/>
      <c r="L776" s="2"/>
      <c r="M776" s="2"/>
      <c r="N776" s="2"/>
      <c r="O776" s="2"/>
      <c r="P776" s="2"/>
      <c r="Q776" s="2"/>
      <c r="R776" s="7"/>
      <c r="S776" s="224"/>
      <c r="T776" s="224"/>
      <c r="U776" s="224"/>
      <c r="V776" s="224"/>
    </row>
    <row r="777">
      <c r="A777" s="33"/>
      <c r="B777" s="2"/>
      <c r="C777" s="2"/>
      <c r="D777" s="2"/>
      <c r="E777" s="2"/>
      <c r="F777" s="4"/>
      <c r="G777" s="2"/>
      <c r="H777" s="2"/>
      <c r="I777" s="2"/>
      <c r="J777" s="2"/>
      <c r="K777" s="5"/>
      <c r="L777" s="2"/>
      <c r="M777" s="2"/>
      <c r="N777" s="2"/>
      <c r="O777" s="2"/>
      <c r="P777" s="2"/>
      <c r="Q777" s="2"/>
      <c r="R777" s="7"/>
      <c r="S777" s="224"/>
      <c r="T777" s="224"/>
      <c r="U777" s="224"/>
      <c r="V777" s="224"/>
    </row>
    <row r="778">
      <c r="A778" s="33"/>
      <c r="B778" s="2"/>
      <c r="C778" s="2"/>
      <c r="D778" s="2"/>
      <c r="E778" s="2"/>
      <c r="F778" s="4"/>
      <c r="G778" s="2"/>
      <c r="H778" s="2"/>
      <c r="I778" s="2"/>
      <c r="J778" s="2"/>
      <c r="K778" s="5"/>
      <c r="L778" s="2"/>
      <c r="M778" s="2"/>
      <c r="N778" s="2"/>
      <c r="O778" s="2"/>
      <c r="P778" s="2"/>
      <c r="Q778" s="2"/>
      <c r="R778" s="7"/>
      <c r="S778" s="224"/>
      <c r="T778" s="224"/>
      <c r="U778" s="224"/>
      <c r="V778" s="224"/>
    </row>
    <row r="779">
      <c r="A779" s="33"/>
      <c r="B779" s="2"/>
      <c r="C779" s="2"/>
      <c r="D779" s="2"/>
      <c r="E779" s="2"/>
      <c r="F779" s="4"/>
      <c r="G779" s="2"/>
      <c r="H779" s="2"/>
      <c r="I779" s="2"/>
      <c r="J779" s="2"/>
      <c r="K779" s="5"/>
      <c r="L779" s="2"/>
      <c r="M779" s="2"/>
      <c r="N779" s="2"/>
      <c r="O779" s="2"/>
      <c r="P779" s="2"/>
      <c r="Q779" s="2"/>
      <c r="R779" s="7"/>
      <c r="S779" s="224"/>
      <c r="T779" s="224"/>
      <c r="U779" s="224"/>
      <c r="V779" s="224"/>
    </row>
    <row r="780">
      <c r="A780" s="33"/>
      <c r="B780" s="2"/>
      <c r="C780" s="2"/>
      <c r="D780" s="2"/>
      <c r="E780" s="2"/>
      <c r="F780" s="4"/>
      <c r="G780" s="2"/>
      <c r="H780" s="2"/>
      <c r="I780" s="2"/>
      <c r="J780" s="2"/>
      <c r="K780" s="5"/>
      <c r="L780" s="2"/>
      <c r="M780" s="2"/>
      <c r="N780" s="2"/>
      <c r="O780" s="2"/>
      <c r="P780" s="2"/>
      <c r="Q780" s="2"/>
      <c r="R780" s="7"/>
      <c r="S780" s="224"/>
      <c r="T780" s="224"/>
      <c r="U780" s="224"/>
      <c r="V780" s="224"/>
    </row>
    <row r="781">
      <c r="A781" s="33"/>
      <c r="B781" s="2"/>
      <c r="C781" s="2"/>
      <c r="D781" s="2"/>
      <c r="E781" s="2"/>
      <c r="F781" s="4"/>
      <c r="G781" s="2"/>
      <c r="H781" s="2"/>
      <c r="I781" s="2"/>
      <c r="J781" s="2"/>
      <c r="K781" s="5"/>
      <c r="L781" s="2"/>
      <c r="M781" s="2"/>
      <c r="N781" s="2"/>
      <c r="O781" s="2"/>
      <c r="P781" s="2"/>
      <c r="Q781" s="2"/>
      <c r="R781" s="7"/>
      <c r="S781" s="224"/>
      <c r="T781" s="224"/>
      <c r="U781" s="224"/>
      <c r="V781" s="224"/>
    </row>
    <row r="782">
      <c r="A782" s="33"/>
      <c r="B782" s="2"/>
      <c r="C782" s="2"/>
      <c r="D782" s="2"/>
      <c r="E782" s="2"/>
      <c r="F782" s="4"/>
      <c r="G782" s="2"/>
      <c r="H782" s="2"/>
      <c r="I782" s="2"/>
      <c r="J782" s="2"/>
      <c r="K782" s="5"/>
      <c r="L782" s="2"/>
      <c r="M782" s="2"/>
      <c r="N782" s="2"/>
      <c r="O782" s="2"/>
      <c r="P782" s="2"/>
      <c r="Q782" s="2"/>
      <c r="R782" s="7"/>
      <c r="S782" s="224"/>
      <c r="T782" s="224"/>
      <c r="U782" s="224"/>
      <c r="V782" s="224"/>
    </row>
    <row r="783">
      <c r="A783" s="33"/>
      <c r="B783" s="2"/>
      <c r="C783" s="2"/>
      <c r="D783" s="2"/>
      <c r="E783" s="2"/>
      <c r="F783" s="4"/>
      <c r="G783" s="2"/>
      <c r="H783" s="2"/>
      <c r="I783" s="2"/>
      <c r="J783" s="2"/>
      <c r="K783" s="5"/>
      <c r="L783" s="2"/>
      <c r="M783" s="2"/>
      <c r="N783" s="2"/>
      <c r="O783" s="2"/>
      <c r="P783" s="2"/>
      <c r="Q783" s="2"/>
      <c r="R783" s="7"/>
      <c r="S783" s="224"/>
      <c r="T783" s="224"/>
      <c r="U783" s="224"/>
      <c r="V783" s="224"/>
    </row>
    <row r="784">
      <c r="A784" s="33"/>
      <c r="B784" s="2"/>
      <c r="C784" s="2"/>
      <c r="D784" s="2"/>
      <c r="E784" s="2"/>
      <c r="F784" s="4"/>
      <c r="G784" s="2"/>
      <c r="H784" s="2"/>
      <c r="I784" s="2"/>
      <c r="J784" s="2"/>
      <c r="K784" s="5"/>
      <c r="L784" s="2"/>
      <c r="M784" s="2"/>
      <c r="N784" s="2"/>
      <c r="O784" s="2"/>
      <c r="P784" s="2"/>
      <c r="Q784" s="2"/>
      <c r="R784" s="7"/>
      <c r="S784" s="224"/>
      <c r="T784" s="224"/>
      <c r="U784" s="224"/>
      <c r="V784" s="224"/>
    </row>
    <row r="785">
      <c r="A785" s="33"/>
      <c r="B785" s="2"/>
      <c r="C785" s="2"/>
      <c r="D785" s="2"/>
      <c r="E785" s="2"/>
      <c r="F785" s="4"/>
      <c r="G785" s="2"/>
      <c r="H785" s="2"/>
      <c r="I785" s="2"/>
      <c r="J785" s="2"/>
      <c r="K785" s="5"/>
      <c r="L785" s="2"/>
      <c r="M785" s="2"/>
      <c r="N785" s="2"/>
      <c r="O785" s="2"/>
      <c r="P785" s="2"/>
      <c r="Q785" s="2"/>
      <c r="R785" s="7"/>
      <c r="S785" s="224"/>
      <c r="T785" s="224"/>
      <c r="U785" s="224"/>
      <c r="V785" s="224"/>
    </row>
    <row r="786">
      <c r="A786" s="33"/>
      <c r="B786" s="2"/>
      <c r="C786" s="2"/>
      <c r="D786" s="2"/>
      <c r="E786" s="2"/>
      <c r="F786" s="4"/>
      <c r="G786" s="2"/>
      <c r="H786" s="2"/>
      <c r="I786" s="2"/>
      <c r="J786" s="2"/>
      <c r="K786" s="5"/>
      <c r="L786" s="2"/>
      <c r="M786" s="2"/>
      <c r="N786" s="2"/>
      <c r="O786" s="2"/>
      <c r="P786" s="2"/>
      <c r="Q786" s="2"/>
      <c r="R786" s="7"/>
      <c r="S786" s="224"/>
      <c r="T786" s="224"/>
      <c r="U786" s="224"/>
      <c r="V786" s="224"/>
    </row>
    <row r="787">
      <c r="A787" s="33"/>
      <c r="B787" s="2"/>
      <c r="C787" s="2"/>
      <c r="D787" s="2"/>
      <c r="E787" s="2"/>
      <c r="F787" s="4"/>
      <c r="G787" s="2"/>
      <c r="H787" s="2"/>
      <c r="I787" s="2"/>
      <c r="J787" s="2"/>
      <c r="K787" s="5"/>
      <c r="L787" s="2"/>
      <c r="M787" s="2"/>
      <c r="N787" s="2"/>
      <c r="O787" s="2"/>
      <c r="P787" s="2"/>
      <c r="Q787" s="2"/>
      <c r="R787" s="7"/>
      <c r="S787" s="224"/>
      <c r="T787" s="224"/>
      <c r="U787" s="224"/>
      <c r="V787" s="224"/>
    </row>
    <row r="788">
      <c r="A788" s="33"/>
      <c r="B788" s="2"/>
      <c r="C788" s="2"/>
      <c r="D788" s="2"/>
      <c r="E788" s="2"/>
      <c r="F788" s="4"/>
      <c r="G788" s="2"/>
      <c r="H788" s="2"/>
      <c r="I788" s="2"/>
      <c r="J788" s="2"/>
      <c r="K788" s="5"/>
      <c r="L788" s="2"/>
      <c r="M788" s="2"/>
      <c r="N788" s="2"/>
      <c r="O788" s="2"/>
      <c r="P788" s="2"/>
      <c r="Q788" s="2"/>
      <c r="R788" s="7"/>
      <c r="S788" s="224"/>
      <c r="T788" s="224"/>
      <c r="U788" s="224"/>
      <c r="V788" s="224"/>
    </row>
    <row r="789">
      <c r="A789" s="33"/>
      <c r="B789" s="2"/>
      <c r="C789" s="2"/>
      <c r="D789" s="2"/>
      <c r="E789" s="2"/>
      <c r="F789" s="4"/>
      <c r="G789" s="2"/>
      <c r="H789" s="2"/>
      <c r="I789" s="2"/>
      <c r="J789" s="2"/>
      <c r="K789" s="5"/>
      <c r="L789" s="2"/>
      <c r="M789" s="2"/>
      <c r="N789" s="2"/>
      <c r="O789" s="2"/>
      <c r="P789" s="2"/>
      <c r="Q789" s="2"/>
      <c r="R789" s="7"/>
      <c r="S789" s="224"/>
      <c r="T789" s="224"/>
      <c r="U789" s="224"/>
      <c r="V789" s="224"/>
    </row>
    <row r="790">
      <c r="A790" s="33"/>
      <c r="B790" s="2"/>
      <c r="C790" s="2"/>
      <c r="D790" s="2"/>
      <c r="E790" s="2"/>
      <c r="F790" s="4"/>
      <c r="G790" s="2"/>
      <c r="H790" s="2"/>
      <c r="I790" s="2"/>
      <c r="J790" s="2"/>
      <c r="K790" s="5"/>
      <c r="L790" s="2"/>
      <c r="M790" s="2"/>
      <c r="N790" s="2"/>
      <c r="O790" s="2"/>
      <c r="P790" s="2"/>
      <c r="Q790" s="2"/>
      <c r="R790" s="7"/>
      <c r="S790" s="224"/>
      <c r="T790" s="224"/>
      <c r="U790" s="224"/>
      <c r="V790" s="224"/>
    </row>
    <row r="791">
      <c r="A791" s="33"/>
      <c r="B791" s="2"/>
      <c r="C791" s="2"/>
      <c r="D791" s="2"/>
      <c r="E791" s="2"/>
      <c r="F791" s="4"/>
      <c r="G791" s="2"/>
      <c r="H791" s="2"/>
      <c r="I791" s="2"/>
      <c r="J791" s="2"/>
      <c r="K791" s="5"/>
      <c r="L791" s="2"/>
      <c r="M791" s="2"/>
      <c r="N791" s="2"/>
      <c r="O791" s="2"/>
      <c r="P791" s="2"/>
      <c r="Q791" s="2"/>
      <c r="R791" s="7"/>
      <c r="S791" s="224"/>
      <c r="T791" s="224"/>
      <c r="U791" s="224"/>
      <c r="V791" s="224"/>
    </row>
    <row r="792">
      <c r="A792" s="33"/>
      <c r="B792" s="2"/>
      <c r="C792" s="2"/>
      <c r="D792" s="2"/>
      <c r="E792" s="2"/>
      <c r="F792" s="4"/>
      <c r="G792" s="2"/>
      <c r="H792" s="2"/>
      <c r="I792" s="2"/>
      <c r="J792" s="2"/>
      <c r="K792" s="5"/>
      <c r="L792" s="2"/>
      <c r="M792" s="2"/>
      <c r="N792" s="2"/>
      <c r="O792" s="2"/>
      <c r="P792" s="2"/>
      <c r="Q792" s="2"/>
      <c r="R792" s="7"/>
      <c r="S792" s="224"/>
      <c r="T792" s="224"/>
      <c r="U792" s="224"/>
      <c r="V792" s="224"/>
    </row>
    <row r="793">
      <c r="A793" s="33"/>
      <c r="B793" s="2"/>
      <c r="C793" s="2"/>
      <c r="D793" s="2"/>
      <c r="E793" s="2"/>
      <c r="F793" s="4"/>
      <c r="G793" s="2"/>
      <c r="H793" s="2"/>
      <c r="I793" s="2"/>
      <c r="J793" s="2"/>
      <c r="K793" s="5"/>
      <c r="L793" s="2"/>
      <c r="M793" s="2"/>
      <c r="N793" s="2"/>
      <c r="O793" s="2"/>
      <c r="P793" s="2"/>
      <c r="Q793" s="2"/>
      <c r="R793" s="7"/>
      <c r="S793" s="224"/>
      <c r="T793" s="224"/>
      <c r="U793" s="224"/>
      <c r="V793" s="224"/>
    </row>
    <row r="794">
      <c r="A794" s="33"/>
      <c r="B794" s="2"/>
      <c r="C794" s="2"/>
      <c r="D794" s="2"/>
      <c r="E794" s="2"/>
      <c r="F794" s="4"/>
      <c r="G794" s="2"/>
      <c r="H794" s="2"/>
      <c r="I794" s="2"/>
      <c r="J794" s="2"/>
      <c r="K794" s="5"/>
      <c r="L794" s="2"/>
      <c r="M794" s="2"/>
      <c r="N794" s="2"/>
      <c r="O794" s="2"/>
      <c r="P794" s="2"/>
      <c r="Q794" s="2"/>
      <c r="R794" s="7"/>
      <c r="S794" s="224"/>
      <c r="T794" s="224"/>
      <c r="U794" s="224"/>
      <c r="V794" s="224"/>
    </row>
    <row r="795">
      <c r="A795" s="33"/>
      <c r="B795" s="2"/>
      <c r="C795" s="2"/>
      <c r="D795" s="2"/>
      <c r="E795" s="2"/>
      <c r="F795" s="4"/>
      <c r="G795" s="2"/>
      <c r="H795" s="2"/>
      <c r="I795" s="2"/>
      <c r="J795" s="2"/>
      <c r="K795" s="5"/>
      <c r="L795" s="2"/>
      <c r="M795" s="2"/>
      <c r="N795" s="2"/>
      <c r="O795" s="2"/>
      <c r="P795" s="2"/>
      <c r="Q795" s="2"/>
      <c r="R795" s="7"/>
      <c r="S795" s="224"/>
      <c r="T795" s="224"/>
      <c r="U795" s="224"/>
      <c r="V795" s="224"/>
    </row>
    <row r="796">
      <c r="A796" s="33"/>
      <c r="B796" s="2"/>
      <c r="C796" s="2"/>
      <c r="D796" s="2"/>
      <c r="E796" s="2"/>
      <c r="F796" s="4"/>
      <c r="G796" s="2"/>
      <c r="H796" s="2"/>
      <c r="I796" s="2"/>
      <c r="J796" s="2"/>
      <c r="K796" s="5"/>
      <c r="L796" s="2"/>
      <c r="M796" s="2"/>
      <c r="N796" s="2"/>
      <c r="O796" s="2"/>
      <c r="P796" s="2"/>
      <c r="Q796" s="2"/>
      <c r="R796" s="7"/>
      <c r="S796" s="224"/>
      <c r="T796" s="224"/>
      <c r="U796" s="224"/>
      <c r="V796" s="224"/>
    </row>
    <row r="797">
      <c r="A797" s="33"/>
      <c r="B797" s="2"/>
      <c r="C797" s="2"/>
      <c r="D797" s="2"/>
      <c r="E797" s="2"/>
      <c r="F797" s="4"/>
      <c r="G797" s="2"/>
      <c r="H797" s="2"/>
      <c r="I797" s="2"/>
      <c r="J797" s="2"/>
      <c r="K797" s="5"/>
      <c r="L797" s="2"/>
      <c r="M797" s="2"/>
      <c r="N797" s="2"/>
      <c r="O797" s="2"/>
      <c r="P797" s="2"/>
      <c r="Q797" s="2"/>
      <c r="R797" s="7"/>
      <c r="S797" s="224"/>
      <c r="T797" s="224"/>
      <c r="U797" s="224"/>
      <c r="V797" s="224"/>
    </row>
    <row r="798">
      <c r="A798" s="33"/>
      <c r="B798" s="2"/>
      <c r="C798" s="2"/>
      <c r="D798" s="2"/>
      <c r="E798" s="2"/>
      <c r="F798" s="4"/>
      <c r="G798" s="2"/>
      <c r="H798" s="2"/>
      <c r="I798" s="2"/>
      <c r="J798" s="2"/>
      <c r="K798" s="5"/>
      <c r="L798" s="2"/>
      <c r="M798" s="2"/>
      <c r="N798" s="2"/>
      <c r="O798" s="2"/>
      <c r="P798" s="2"/>
      <c r="Q798" s="2"/>
      <c r="R798" s="7"/>
      <c r="S798" s="224"/>
      <c r="T798" s="224"/>
      <c r="U798" s="224"/>
      <c r="V798" s="224"/>
    </row>
    <row r="799">
      <c r="A799" s="33"/>
      <c r="B799" s="2"/>
      <c r="C799" s="2"/>
      <c r="D799" s="2"/>
      <c r="E799" s="2"/>
      <c r="F799" s="4"/>
      <c r="G799" s="2"/>
      <c r="H799" s="2"/>
      <c r="I799" s="2"/>
      <c r="J799" s="2"/>
      <c r="K799" s="5"/>
      <c r="L799" s="2"/>
      <c r="M799" s="2"/>
      <c r="N799" s="2"/>
      <c r="O799" s="2"/>
      <c r="P799" s="2"/>
      <c r="Q799" s="2"/>
      <c r="R799" s="7"/>
      <c r="S799" s="224"/>
      <c r="T799" s="224"/>
      <c r="U799" s="224"/>
      <c r="V799" s="224"/>
    </row>
    <row r="800">
      <c r="A800" s="33"/>
      <c r="B800" s="2"/>
      <c r="C800" s="2"/>
      <c r="D800" s="2"/>
      <c r="E800" s="2"/>
      <c r="F800" s="4"/>
      <c r="G800" s="2"/>
      <c r="H800" s="2"/>
      <c r="I800" s="2"/>
      <c r="J800" s="2"/>
      <c r="K800" s="5"/>
      <c r="L800" s="2"/>
      <c r="M800" s="2"/>
      <c r="N800" s="2"/>
      <c r="O800" s="2"/>
      <c r="P800" s="2"/>
      <c r="Q800" s="2"/>
      <c r="R800" s="7"/>
      <c r="S800" s="224"/>
      <c r="T800" s="224"/>
      <c r="U800" s="224"/>
      <c r="V800" s="224"/>
    </row>
    <row r="801">
      <c r="A801" s="33"/>
      <c r="B801" s="2"/>
      <c r="C801" s="2"/>
      <c r="D801" s="2"/>
      <c r="E801" s="2"/>
      <c r="F801" s="4"/>
      <c r="G801" s="2"/>
      <c r="H801" s="2"/>
      <c r="I801" s="2"/>
      <c r="J801" s="2"/>
      <c r="K801" s="5"/>
      <c r="L801" s="2"/>
      <c r="M801" s="2"/>
      <c r="N801" s="2"/>
      <c r="O801" s="2"/>
      <c r="P801" s="2"/>
      <c r="Q801" s="2"/>
      <c r="R801" s="7"/>
      <c r="S801" s="224"/>
      <c r="T801" s="224"/>
      <c r="U801" s="224"/>
      <c r="V801" s="224"/>
    </row>
    <row r="802">
      <c r="A802" s="33"/>
      <c r="B802" s="2"/>
      <c r="C802" s="2"/>
      <c r="D802" s="2"/>
      <c r="E802" s="2"/>
      <c r="F802" s="4"/>
      <c r="G802" s="2"/>
      <c r="H802" s="2"/>
      <c r="I802" s="2"/>
      <c r="J802" s="2"/>
      <c r="K802" s="5"/>
      <c r="L802" s="2"/>
      <c r="M802" s="2"/>
      <c r="N802" s="2"/>
      <c r="O802" s="2"/>
      <c r="P802" s="2"/>
      <c r="Q802" s="2"/>
      <c r="R802" s="7"/>
      <c r="S802" s="224"/>
      <c r="T802" s="224"/>
      <c r="U802" s="224"/>
      <c r="V802" s="224"/>
    </row>
    <row r="803">
      <c r="A803" s="33"/>
      <c r="B803" s="2"/>
      <c r="C803" s="2"/>
      <c r="D803" s="2"/>
      <c r="E803" s="2"/>
      <c r="F803" s="4"/>
      <c r="G803" s="2"/>
      <c r="H803" s="2"/>
      <c r="I803" s="2"/>
      <c r="J803" s="2"/>
      <c r="K803" s="5"/>
      <c r="L803" s="2"/>
      <c r="M803" s="2"/>
      <c r="N803" s="2"/>
      <c r="O803" s="2"/>
      <c r="P803" s="2"/>
      <c r="Q803" s="2"/>
      <c r="R803" s="7"/>
      <c r="S803" s="224"/>
      <c r="T803" s="224"/>
      <c r="U803" s="224"/>
      <c r="V803" s="224"/>
    </row>
    <row r="804">
      <c r="A804" s="33"/>
      <c r="B804" s="2"/>
      <c r="C804" s="2"/>
      <c r="D804" s="2"/>
      <c r="E804" s="2"/>
      <c r="F804" s="4"/>
      <c r="G804" s="2"/>
      <c r="H804" s="2"/>
      <c r="I804" s="2"/>
      <c r="J804" s="2"/>
      <c r="K804" s="5"/>
      <c r="L804" s="2"/>
      <c r="M804" s="2"/>
      <c r="N804" s="2"/>
      <c r="O804" s="2"/>
      <c r="P804" s="2"/>
      <c r="Q804" s="2"/>
      <c r="R804" s="7"/>
      <c r="S804" s="224"/>
      <c r="T804" s="224"/>
      <c r="U804" s="224"/>
      <c r="V804" s="224"/>
    </row>
    <row r="805">
      <c r="A805" s="33"/>
      <c r="B805" s="2"/>
      <c r="C805" s="2"/>
      <c r="D805" s="2"/>
      <c r="E805" s="2"/>
      <c r="F805" s="4"/>
      <c r="G805" s="2"/>
      <c r="H805" s="2"/>
      <c r="I805" s="2"/>
      <c r="J805" s="2"/>
      <c r="K805" s="5"/>
      <c r="L805" s="2"/>
      <c r="M805" s="2"/>
      <c r="N805" s="2"/>
      <c r="O805" s="2"/>
      <c r="P805" s="2"/>
      <c r="Q805" s="2"/>
      <c r="R805" s="7"/>
      <c r="S805" s="224"/>
      <c r="T805" s="224"/>
      <c r="U805" s="224"/>
      <c r="V805" s="224"/>
    </row>
    <row r="806">
      <c r="A806" s="33"/>
      <c r="B806" s="2"/>
      <c r="C806" s="2"/>
      <c r="D806" s="2"/>
      <c r="E806" s="2"/>
      <c r="F806" s="4"/>
      <c r="G806" s="2"/>
      <c r="H806" s="2"/>
      <c r="I806" s="2"/>
      <c r="J806" s="2"/>
      <c r="K806" s="5"/>
      <c r="L806" s="2"/>
      <c r="M806" s="2"/>
      <c r="N806" s="2"/>
      <c r="O806" s="2"/>
      <c r="P806" s="2"/>
      <c r="Q806" s="2"/>
      <c r="R806" s="7"/>
      <c r="S806" s="224"/>
      <c r="T806" s="224"/>
      <c r="U806" s="224"/>
      <c r="V806" s="224"/>
    </row>
    <row r="807">
      <c r="A807" s="33"/>
      <c r="B807" s="2"/>
      <c r="C807" s="2"/>
      <c r="D807" s="2"/>
      <c r="E807" s="2"/>
      <c r="F807" s="4"/>
      <c r="G807" s="2"/>
      <c r="H807" s="2"/>
      <c r="I807" s="2"/>
      <c r="J807" s="2"/>
      <c r="K807" s="5"/>
      <c r="L807" s="2"/>
      <c r="M807" s="2"/>
      <c r="N807" s="2"/>
      <c r="O807" s="2"/>
      <c r="P807" s="2"/>
      <c r="Q807" s="2"/>
      <c r="R807" s="7"/>
      <c r="S807" s="224"/>
      <c r="T807" s="224"/>
      <c r="U807" s="224"/>
      <c r="V807" s="224"/>
    </row>
    <row r="808">
      <c r="A808" s="33"/>
      <c r="B808" s="2"/>
      <c r="C808" s="2"/>
      <c r="D808" s="2"/>
      <c r="E808" s="2"/>
      <c r="F808" s="4"/>
      <c r="G808" s="2"/>
      <c r="H808" s="2"/>
      <c r="I808" s="2"/>
      <c r="J808" s="2"/>
      <c r="K808" s="5"/>
      <c r="L808" s="2"/>
      <c r="M808" s="2"/>
      <c r="N808" s="2"/>
      <c r="O808" s="2"/>
      <c r="P808" s="2"/>
      <c r="Q808" s="2"/>
      <c r="R808" s="7"/>
      <c r="S808" s="224"/>
      <c r="T808" s="224"/>
      <c r="U808" s="224"/>
      <c r="V808" s="224"/>
    </row>
    <row r="809">
      <c r="A809" s="33"/>
      <c r="B809" s="2"/>
      <c r="C809" s="2"/>
      <c r="D809" s="2"/>
      <c r="E809" s="2"/>
      <c r="F809" s="4"/>
      <c r="G809" s="2"/>
      <c r="H809" s="2"/>
      <c r="I809" s="2"/>
      <c r="J809" s="2"/>
      <c r="K809" s="5"/>
      <c r="L809" s="2"/>
      <c r="M809" s="2"/>
      <c r="N809" s="2"/>
      <c r="O809" s="2"/>
      <c r="P809" s="2"/>
      <c r="Q809" s="2"/>
      <c r="R809" s="7"/>
      <c r="S809" s="224"/>
      <c r="T809" s="224"/>
      <c r="U809" s="224"/>
      <c r="V809" s="224"/>
    </row>
    <row r="810">
      <c r="A810" s="33"/>
      <c r="B810" s="2"/>
      <c r="C810" s="2"/>
      <c r="D810" s="2"/>
      <c r="E810" s="2"/>
      <c r="F810" s="4"/>
      <c r="G810" s="2"/>
      <c r="H810" s="2"/>
      <c r="I810" s="2"/>
      <c r="J810" s="2"/>
      <c r="K810" s="5"/>
      <c r="L810" s="2"/>
      <c r="M810" s="2"/>
      <c r="N810" s="2"/>
      <c r="O810" s="2"/>
      <c r="P810" s="2"/>
      <c r="Q810" s="2"/>
      <c r="R810" s="7"/>
      <c r="S810" s="224"/>
      <c r="T810" s="224"/>
      <c r="U810" s="224"/>
      <c r="V810" s="224"/>
    </row>
    <row r="811">
      <c r="A811" s="33"/>
      <c r="B811" s="2"/>
      <c r="C811" s="2"/>
      <c r="D811" s="2"/>
      <c r="E811" s="2"/>
      <c r="F811" s="4"/>
      <c r="G811" s="2"/>
      <c r="H811" s="2"/>
      <c r="I811" s="2"/>
      <c r="J811" s="2"/>
      <c r="K811" s="5"/>
      <c r="L811" s="2"/>
      <c r="M811" s="2"/>
      <c r="N811" s="2"/>
      <c r="O811" s="2"/>
      <c r="P811" s="2"/>
      <c r="Q811" s="2"/>
      <c r="R811" s="7"/>
      <c r="S811" s="224"/>
      <c r="T811" s="224"/>
      <c r="U811" s="224"/>
      <c r="V811" s="224"/>
    </row>
    <row r="812">
      <c r="A812" s="33"/>
      <c r="B812" s="2"/>
      <c r="C812" s="2"/>
      <c r="D812" s="2"/>
      <c r="E812" s="2"/>
      <c r="F812" s="4"/>
      <c r="G812" s="2"/>
      <c r="H812" s="2"/>
      <c r="I812" s="2"/>
      <c r="J812" s="2"/>
      <c r="K812" s="5"/>
      <c r="L812" s="2"/>
      <c r="M812" s="2"/>
      <c r="N812" s="2"/>
      <c r="O812" s="2"/>
      <c r="P812" s="2"/>
      <c r="Q812" s="2"/>
      <c r="R812" s="7"/>
      <c r="S812" s="224"/>
      <c r="T812" s="224"/>
      <c r="U812" s="224"/>
      <c r="V812" s="224"/>
    </row>
    <row r="813">
      <c r="A813" s="33"/>
      <c r="B813" s="2"/>
      <c r="C813" s="2"/>
      <c r="D813" s="2"/>
      <c r="E813" s="2"/>
      <c r="F813" s="4"/>
      <c r="G813" s="2"/>
      <c r="H813" s="2"/>
      <c r="I813" s="2"/>
      <c r="J813" s="2"/>
      <c r="K813" s="5"/>
      <c r="L813" s="2"/>
      <c r="M813" s="2"/>
      <c r="N813" s="2"/>
      <c r="O813" s="2"/>
      <c r="P813" s="2"/>
      <c r="Q813" s="2"/>
      <c r="R813" s="7"/>
      <c r="S813" s="224"/>
      <c r="T813" s="224"/>
      <c r="U813" s="224"/>
      <c r="V813" s="224"/>
    </row>
    <row r="814">
      <c r="A814" s="33"/>
      <c r="B814" s="2"/>
      <c r="C814" s="2"/>
      <c r="D814" s="2"/>
      <c r="E814" s="2"/>
      <c r="F814" s="4"/>
      <c r="G814" s="2"/>
      <c r="H814" s="2"/>
      <c r="I814" s="2"/>
      <c r="J814" s="2"/>
      <c r="K814" s="5"/>
      <c r="L814" s="2"/>
      <c r="M814" s="2"/>
      <c r="N814" s="2"/>
      <c r="O814" s="2"/>
      <c r="P814" s="2"/>
      <c r="Q814" s="2"/>
      <c r="R814" s="7"/>
      <c r="S814" s="224"/>
      <c r="T814" s="224"/>
      <c r="U814" s="224"/>
      <c r="V814" s="224"/>
    </row>
    <row r="815">
      <c r="A815" s="33"/>
      <c r="B815" s="2"/>
      <c r="C815" s="2"/>
      <c r="D815" s="2"/>
      <c r="E815" s="2"/>
      <c r="F815" s="4"/>
      <c r="G815" s="2"/>
      <c r="H815" s="2"/>
      <c r="I815" s="2"/>
      <c r="J815" s="2"/>
      <c r="K815" s="5"/>
      <c r="L815" s="2"/>
      <c r="M815" s="2"/>
      <c r="N815" s="2"/>
      <c r="O815" s="2"/>
      <c r="P815" s="2"/>
      <c r="Q815" s="2"/>
      <c r="R815" s="7"/>
      <c r="S815" s="224"/>
      <c r="T815" s="224"/>
      <c r="U815" s="224"/>
      <c r="V815" s="224"/>
    </row>
    <row r="816">
      <c r="A816" s="33"/>
      <c r="B816" s="2"/>
      <c r="C816" s="2"/>
      <c r="D816" s="2"/>
      <c r="E816" s="2"/>
      <c r="F816" s="4"/>
      <c r="G816" s="2"/>
      <c r="H816" s="2"/>
      <c r="I816" s="2"/>
      <c r="J816" s="2"/>
      <c r="K816" s="5"/>
      <c r="L816" s="2"/>
      <c r="M816" s="2"/>
      <c r="N816" s="2"/>
      <c r="O816" s="2"/>
      <c r="P816" s="2"/>
      <c r="Q816" s="2"/>
      <c r="R816" s="7"/>
      <c r="S816" s="224"/>
      <c r="T816" s="224"/>
      <c r="U816" s="224"/>
      <c r="V816" s="224"/>
    </row>
    <row r="817">
      <c r="A817" s="33"/>
      <c r="B817" s="2"/>
      <c r="C817" s="2"/>
      <c r="D817" s="2"/>
      <c r="E817" s="2"/>
      <c r="F817" s="4"/>
      <c r="G817" s="2"/>
      <c r="H817" s="2"/>
      <c r="I817" s="2"/>
      <c r="J817" s="2"/>
      <c r="K817" s="5"/>
      <c r="L817" s="2"/>
      <c r="M817" s="2"/>
      <c r="N817" s="2"/>
      <c r="O817" s="2"/>
      <c r="P817" s="2"/>
      <c r="Q817" s="2"/>
      <c r="R817" s="7"/>
      <c r="S817" s="224"/>
      <c r="T817" s="224"/>
      <c r="U817" s="224"/>
      <c r="V817" s="224"/>
    </row>
    <row r="818">
      <c r="A818" s="33"/>
      <c r="B818" s="2"/>
      <c r="C818" s="2"/>
      <c r="D818" s="2"/>
      <c r="E818" s="2"/>
      <c r="F818" s="4"/>
      <c r="G818" s="2"/>
      <c r="H818" s="2"/>
      <c r="I818" s="2"/>
      <c r="J818" s="2"/>
      <c r="K818" s="5"/>
      <c r="L818" s="2"/>
      <c r="M818" s="2"/>
      <c r="N818" s="2"/>
      <c r="O818" s="2"/>
      <c r="P818" s="2"/>
      <c r="Q818" s="2"/>
      <c r="R818" s="7"/>
      <c r="S818" s="224"/>
      <c r="T818" s="224"/>
      <c r="U818" s="224"/>
      <c r="V818" s="224"/>
    </row>
    <row r="819">
      <c r="A819" s="33"/>
      <c r="B819" s="2"/>
      <c r="C819" s="2"/>
      <c r="D819" s="2"/>
      <c r="E819" s="2"/>
      <c r="F819" s="4"/>
      <c r="G819" s="2"/>
      <c r="H819" s="2"/>
      <c r="I819" s="2"/>
      <c r="J819" s="2"/>
      <c r="K819" s="5"/>
      <c r="L819" s="2"/>
      <c r="M819" s="2"/>
      <c r="N819" s="2"/>
      <c r="O819" s="2"/>
      <c r="P819" s="2"/>
      <c r="Q819" s="2"/>
      <c r="R819" s="7"/>
      <c r="S819" s="224"/>
      <c r="T819" s="224"/>
      <c r="U819" s="224"/>
      <c r="V819" s="224"/>
    </row>
    <row r="820">
      <c r="A820" s="33"/>
      <c r="B820" s="2"/>
      <c r="C820" s="2"/>
      <c r="D820" s="2"/>
      <c r="E820" s="2"/>
      <c r="F820" s="4"/>
      <c r="G820" s="2"/>
      <c r="H820" s="2"/>
      <c r="I820" s="2"/>
      <c r="J820" s="2"/>
      <c r="K820" s="5"/>
      <c r="L820" s="2"/>
      <c r="M820" s="2"/>
      <c r="N820" s="2"/>
      <c r="O820" s="2"/>
      <c r="P820" s="2"/>
      <c r="Q820" s="2"/>
      <c r="R820" s="7"/>
      <c r="S820" s="224"/>
      <c r="T820" s="224"/>
      <c r="U820" s="224"/>
      <c r="V820" s="224"/>
    </row>
    <row r="821">
      <c r="A821" s="33"/>
      <c r="B821" s="2"/>
      <c r="C821" s="2"/>
      <c r="D821" s="2"/>
      <c r="E821" s="2"/>
      <c r="F821" s="4"/>
      <c r="G821" s="2"/>
      <c r="H821" s="2"/>
      <c r="I821" s="2"/>
      <c r="J821" s="2"/>
      <c r="K821" s="5"/>
      <c r="L821" s="2"/>
      <c r="M821" s="2"/>
      <c r="N821" s="2"/>
      <c r="O821" s="2"/>
      <c r="P821" s="2"/>
      <c r="Q821" s="2"/>
      <c r="R821" s="7"/>
      <c r="S821" s="224"/>
      <c r="T821" s="224"/>
      <c r="U821" s="224"/>
      <c r="V821" s="224"/>
    </row>
    <row r="822">
      <c r="A822" s="33"/>
      <c r="B822" s="2"/>
      <c r="C822" s="2"/>
      <c r="D822" s="2"/>
      <c r="E822" s="2"/>
      <c r="F822" s="4"/>
      <c r="G822" s="2"/>
      <c r="H822" s="2"/>
      <c r="I822" s="2"/>
      <c r="J822" s="2"/>
      <c r="K822" s="5"/>
      <c r="L822" s="2"/>
      <c r="M822" s="2"/>
      <c r="N822" s="2"/>
      <c r="O822" s="2"/>
      <c r="P822" s="2"/>
      <c r="Q822" s="2"/>
      <c r="R822" s="7"/>
      <c r="S822" s="224"/>
      <c r="T822" s="224"/>
      <c r="U822" s="224"/>
      <c r="V822" s="224"/>
    </row>
    <row r="823">
      <c r="A823" s="33"/>
      <c r="B823" s="2"/>
      <c r="C823" s="2"/>
      <c r="D823" s="2"/>
      <c r="E823" s="2"/>
      <c r="F823" s="4"/>
      <c r="G823" s="2"/>
      <c r="H823" s="2"/>
      <c r="I823" s="2"/>
      <c r="J823" s="2"/>
      <c r="K823" s="5"/>
      <c r="L823" s="2"/>
      <c r="M823" s="2"/>
      <c r="N823" s="2"/>
      <c r="O823" s="2"/>
      <c r="P823" s="2"/>
      <c r="Q823" s="2"/>
      <c r="R823" s="7"/>
      <c r="S823" s="224"/>
      <c r="T823" s="224"/>
      <c r="U823" s="224"/>
      <c r="V823" s="224"/>
    </row>
    <row r="824">
      <c r="A824" s="33"/>
      <c r="B824" s="2"/>
      <c r="C824" s="2"/>
      <c r="D824" s="2"/>
      <c r="E824" s="2"/>
      <c r="F824" s="4"/>
      <c r="G824" s="2"/>
      <c r="H824" s="2"/>
      <c r="I824" s="2"/>
      <c r="J824" s="2"/>
      <c r="K824" s="5"/>
      <c r="L824" s="2"/>
      <c r="M824" s="2"/>
      <c r="N824" s="2"/>
      <c r="O824" s="2"/>
      <c r="P824" s="2"/>
      <c r="Q824" s="2"/>
      <c r="R824" s="7"/>
      <c r="S824" s="224"/>
      <c r="T824" s="224"/>
      <c r="U824" s="224"/>
      <c r="V824" s="224"/>
    </row>
    <row r="825">
      <c r="A825" s="33"/>
      <c r="B825" s="2"/>
      <c r="C825" s="2"/>
      <c r="D825" s="2"/>
      <c r="E825" s="2"/>
      <c r="F825" s="4"/>
      <c r="G825" s="2"/>
      <c r="H825" s="2"/>
      <c r="I825" s="2"/>
      <c r="J825" s="2"/>
      <c r="K825" s="5"/>
      <c r="L825" s="2"/>
      <c r="M825" s="2"/>
      <c r="N825" s="2"/>
      <c r="O825" s="2"/>
      <c r="P825" s="2"/>
      <c r="Q825" s="2"/>
      <c r="R825" s="7"/>
      <c r="S825" s="224"/>
      <c r="T825" s="224"/>
      <c r="U825" s="224"/>
      <c r="V825" s="224"/>
    </row>
    <row r="826">
      <c r="A826" s="33"/>
      <c r="B826" s="2"/>
      <c r="C826" s="2"/>
      <c r="D826" s="2"/>
      <c r="E826" s="2"/>
      <c r="F826" s="4"/>
      <c r="G826" s="2"/>
      <c r="H826" s="2"/>
      <c r="I826" s="2"/>
      <c r="J826" s="2"/>
      <c r="K826" s="5"/>
      <c r="L826" s="2"/>
      <c r="M826" s="2"/>
      <c r="N826" s="2"/>
      <c r="O826" s="2"/>
      <c r="P826" s="2"/>
      <c r="Q826" s="2"/>
      <c r="R826" s="7"/>
      <c r="S826" s="224"/>
      <c r="T826" s="224"/>
      <c r="U826" s="224"/>
      <c r="V826" s="224"/>
    </row>
    <row r="827">
      <c r="A827" s="33"/>
      <c r="B827" s="2"/>
      <c r="C827" s="2"/>
      <c r="D827" s="2"/>
      <c r="E827" s="2"/>
      <c r="F827" s="4"/>
      <c r="G827" s="2"/>
      <c r="H827" s="2"/>
      <c r="I827" s="2"/>
      <c r="J827" s="2"/>
      <c r="K827" s="5"/>
      <c r="L827" s="2"/>
      <c r="M827" s="2"/>
      <c r="N827" s="2"/>
      <c r="O827" s="2"/>
      <c r="P827" s="2"/>
      <c r="Q827" s="2"/>
      <c r="R827" s="7"/>
      <c r="S827" s="224"/>
      <c r="T827" s="224"/>
      <c r="U827" s="224"/>
      <c r="V827" s="224"/>
    </row>
    <row r="828">
      <c r="A828" s="33"/>
      <c r="B828" s="2"/>
      <c r="C828" s="2"/>
      <c r="D828" s="2"/>
      <c r="E828" s="2"/>
      <c r="F828" s="4"/>
      <c r="G828" s="2"/>
      <c r="H828" s="2"/>
      <c r="I828" s="2"/>
      <c r="J828" s="2"/>
      <c r="K828" s="5"/>
      <c r="L828" s="2"/>
      <c r="M828" s="2"/>
      <c r="N828" s="2"/>
      <c r="O828" s="2"/>
      <c r="P828" s="2"/>
      <c r="Q828" s="2"/>
      <c r="R828" s="7"/>
      <c r="S828" s="224"/>
      <c r="T828" s="224"/>
      <c r="U828" s="224"/>
      <c r="V828" s="224"/>
    </row>
    <row r="829">
      <c r="A829" s="33"/>
      <c r="B829" s="2"/>
      <c r="C829" s="2"/>
      <c r="D829" s="2"/>
      <c r="E829" s="2"/>
      <c r="F829" s="4"/>
      <c r="G829" s="2"/>
      <c r="H829" s="2"/>
      <c r="I829" s="2"/>
      <c r="J829" s="2"/>
      <c r="K829" s="5"/>
      <c r="L829" s="2"/>
      <c r="M829" s="2"/>
      <c r="N829" s="2"/>
      <c r="O829" s="2"/>
      <c r="P829" s="2"/>
      <c r="Q829" s="2"/>
      <c r="R829" s="7"/>
      <c r="S829" s="224"/>
      <c r="T829" s="224"/>
      <c r="U829" s="224"/>
      <c r="V829" s="224"/>
    </row>
    <row r="830">
      <c r="A830" s="33"/>
      <c r="B830" s="2"/>
      <c r="C830" s="2"/>
      <c r="D830" s="2"/>
      <c r="E830" s="2"/>
      <c r="F830" s="4"/>
      <c r="G830" s="2"/>
      <c r="H830" s="2"/>
      <c r="I830" s="2"/>
      <c r="J830" s="2"/>
      <c r="K830" s="5"/>
      <c r="L830" s="2"/>
      <c r="M830" s="2"/>
      <c r="N830" s="2"/>
      <c r="O830" s="2"/>
      <c r="P830" s="2"/>
      <c r="Q830" s="2"/>
      <c r="R830" s="7"/>
      <c r="S830" s="224"/>
      <c r="T830" s="224"/>
      <c r="U830" s="224"/>
      <c r="V830" s="224"/>
    </row>
    <row r="831">
      <c r="A831" s="33"/>
      <c r="B831" s="2"/>
      <c r="C831" s="2"/>
      <c r="D831" s="2"/>
      <c r="E831" s="2"/>
      <c r="F831" s="4"/>
      <c r="G831" s="2"/>
      <c r="H831" s="2"/>
      <c r="I831" s="2"/>
      <c r="J831" s="2"/>
      <c r="K831" s="5"/>
      <c r="L831" s="2"/>
      <c r="M831" s="2"/>
      <c r="N831" s="2"/>
      <c r="O831" s="2"/>
      <c r="P831" s="2"/>
      <c r="Q831" s="2"/>
      <c r="R831" s="7"/>
      <c r="S831" s="224"/>
      <c r="T831" s="224"/>
      <c r="U831" s="224"/>
      <c r="V831" s="224"/>
    </row>
    <row r="832">
      <c r="A832" s="33"/>
      <c r="B832" s="2"/>
      <c r="C832" s="2"/>
      <c r="D832" s="2"/>
      <c r="E832" s="2"/>
      <c r="F832" s="4"/>
      <c r="G832" s="2"/>
      <c r="H832" s="2"/>
      <c r="I832" s="2"/>
      <c r="J832" s="2"/>
      <c r="K832" s="5"/>
      <c r="L832" s="2"/>
      <c r="M832" s="2"/>
      <c r="N832" s="2"/>
      <c r="O832" s="2"/>
      <c r="P832" s="2"/>
      <c r="Q832" s="2"/>
      <c r="R832" s="7"/>
      <c r="S832" s="224"/>
      <c r="T832" s="224"/>
      <c r="U832" s="224"/>
      <c r="V832" s="224"/>
    </row>
    <row r="833">
      <c r="A833" s="33"/>
      <c r="B833" s="2"/>
      <c r="C833" s="2"/>
      <c r="D833" s="2"/>
      <c r="E833" s="2"/>
      <c r="F833" s="4"/>
      <c r="G833" s="2"/>
      <c r="H833" s="2"/>
      <c r="I833" s="2"/>
      <c r="J833" s="2"/>
      <c r="K833" s="5"/>
      <c r="L833" s="2"/>
      <c r="M833" s="2"/>
      <c r="N833" s="2"/>
      <c r="O833" s="2"/>
      <c r="P833" s="2"/>
      <c r="Q833" s="2"/>
      <c r="R833" s="7"/>
      <c r="S833" s="224"/>
      <c r="T833" s="224"/>
      <c r="U833" s="224"/>
      <c r="V833" s="224"/>
    </row>
    <row r="834">
      <c r="A834" s="33"/>
      <c r="B834" s="2"/>
      <c r="C834" s="2"/>
      <c r="D834" s="2"/>
      <c r="E834" s="2"/>
      <c r="F834" s="4"/>
      <c r="G834" s="2"/>
      <c r="H834" s="2"/>
      <c r="I834" s="2"/>
      <c r="J834" s="2"/>
      <c r="K834" s="5"/>
      <c r="L834" s="2"/>
      <c r="M834" s="2"/>
      <c r="N834" s="2"/>
      <c r="O834" s="2"/>
      <c r="P834" s="2"/>
      <c r="Q834" s="2"/>
      <c r="R834" s="7"/>
      <c r="S834" s="224"/>
      <c r="T834" s="224"/>
      <c r="U834" s="224"/>
      <c r="V834" s="224"/>
    </row>
    <row r="835">
      <c r="A835" s="33"/>
      <c r="B835" s="2"/>
      <c r="C835" s="2"/>
      <c r="D835" s="2"/>
      <c r="E835" s="2"/>
      <c r="F835" s="4"/>
      <c r="G835" s="2"/>
      <c r="H835" s="2"/>
      <c r="I835" s="2"/>
      <c r="J835" s="2"/>
      <c r="K835" s="5"/>
      <c r="L835" s="2"/>
      <c r="M835" s="2"/>
      <c r="N835" s="2"/>
      <c r="O835" s="2"/>
      <c r="P835" s="2"/>
      <c r="Q835" s="2"/>
      <c r="R835" s="7"/>
      <c r="S835" s="224"/>
      <c r="T835" s="224"/>
      <c r="U835" s="224"/>
      <c r="V835" s="224"/>
    </row>
    <row r="836">
      <c r="A836" s="33"/>
      <c r="B836" s="2"/>
      <c r="C836" s="2"/>
      <c r="D836" s="2"/>
      <c r="E836" s="2"/>
      <c r="F836" s="4"/>
      <c r="G836" s="2"/>
      <c r="H836" s="2"/>
      <c r="I836" s="2"/>
      <c r="J836" s="2"/>
      <c r="K836" s="5"/>
      <c r="L836" s="2"/>
      <c r="M836" s="2"/>
      <c r="N836" s="2"/>
      <c r="O836" s="2"/>
      <c r="P836" s="2"/>
      <c r="Q836" s="2"/>
      <c r="R836" s="7"/>
      <c r="S836" s="224"/>
      <c r="T836" s="224"/>
      <c r="U836" s="224"/>
      <c r="V836" s="224"/>
    </row>
    <row r="837">
      <c r="A837" s="33"/>
      <c r="B837" s="2"/>
      <c r="C837" s="2"/>
      <c r="D837" s="2"/>
      <c r="E837" s="2"/>
      <c r="F837" s="4"/>
      <c r="G837" s="2"/>
      <c r="H837" s="2"/>
      <c r="I837" s="2"/>
      <c r="J837" s="2"/>
      <c r="K837" s="5"/>
      <c r="L837" s="2"/>
      <c r="M837" s="2"/>
      <c r="N837" s="2"/>
      <c r="O837" s="2"/>
      <c r="P837" s="2"/>
      <c r="Q837" s="2"/>
      <c r="R837" s="7"/>
      <c r="S837" s="224"/>
      <c r="T837" s="224"/>
      <c r="U837" s="224"/>
      <c r="V837" s="224"/>
    </row>
    <row r="838">
      <c r="A838" s="33"/>
      <c r="B838" s="2"/>
      <c r="C838" s="2"/>
      <c r="D838" s="2"/>
      <c r="E838" s="2"/>
      <c r="F838" s="4"/>
      <c r="G838" s="2"/>
      <c r="H838" s="2"/>
      <c r="I838" s="2"/>
      <c r="J838" s="2"/>
      <c r="K838" s="5"/>
      <c r="L838" s="2"/>
      <c r="M838" s="2"/>
      <c r="N838" s="2"/>
      <c r="O838" s="2"/>
      <c r="P838" s="2"/>
      <c r="Q838" s="2"/>
      <c r="R838" s="7"/>
      <c r="S838" s="224"/>
      <c r="T838" s="224"/>
      <c r="U838" s="224"/>
      <c r="V838" s="224"/>
    </row>
    <row r="839">
      <c r="A839" s="33"/>
      <c r="B839" s="2"/>
      <c r="C839" s="2"/>
      <c r="D839" s="2"/>
      <c r="E839" s="2"/>
      <c r="F839" s="4"/>
      <c r="G839" s="2"/>
      <c r="H839" s="2"/>
      <c r="I839" s="2"/>
      <c r="J839" s="2"/>
      <c r="K839" s="5"/>
      <c r="L839" s="2"/>
      <c r="M839" s="2"/>
      <c r="N839" s="2"/>
      <c r="O839" s="2"/>
      <c r="P839" s="2"/>
      <c r="Q839" s="2"/>
      <c r="R839" s="7"/>
      <c r="S839" s="224"/>
      <c r="T839" s="224"/>
      <c r="U839" s="224"/>
      <c r="V839" s="224"/>
    </row>
    <row r="840">
      <c r="A840" s="33"/>
      <c r="B840" s="2"/>
      <c r="C840" s="2"/>
      <c r="D840" s="2"/>
      <c r="E840" s="2"/>
      <c r="F840" s="4"/>
      <c r="G840" s="2"/>
      <c r="H840" s="2"/>
      <c r="I840" s="2"/>
      <c r="J840" s="2"/>
      <c r="K840" s="5"/>
      <c r="L840" s="2"/>
      <c r="M840" s="2"/>
      <c r="N840" s="2"/>
      <c r="O840" s="2"/>
      <c r="P840" s="2"/>
      <c r="Q840" s="2"/>
      <c r="R840" s="7"/>
      <c r="S840" s="224"/>
      <c r="T840" s="224"/>
      <c r="U840" s="224"/>
      <c r="V840" s="224"/>
    </row>
    <row r="841">
      <c r="A841" s="33"/>
      <c r="B841" s="2"/>
      <c r="C841" s="2"/>
      <c r="D841" s="2"/>
      <c r="E841" s="2"/>
      <c r="F841" s="4"/>
      <c r="G841" s="2"/>
      <c r="H841" s="2"/>
      <c r="I841" s="2"/>
      <c r="J841" s="2"/>
      <c r="K841" s="5"/>
      <c r="L841" s="2"/>
      <c r="M841" s="2"/>
      <c r="N841" s="2"/>
      <c r="O841" s="2"/>
      <c r="P841" s="2"/>
      <c r="Q841" s="2"/>
      <c r="R841" s="7"/>
      <c r="S841" s="224"/>
      <c r="T841" s="224"/>
      <c r="U841" s="224"/>
      <c r="V841" s="224"/>
    </row>
    <row r="842">
      <c r="A842" s="33"/>
      <c r="B842" s="2"/>
      <c r="C842" s="2"/>
      <c r="D842" s="2"/>
      <c r="E842" s="2"/>
      <c r="F842" s="4"/>
      <c r="G842" s="2"/>
      <c r="H842" s="2"/>
      <c r="I842" s="2"/>
      <c r="J842" s="2"/>
      <c r="K842" s="5"/>
      <c r="L842" s="2"/>
      <c r="M842" s="2"/>
      <c r="N842" s="2"/>
      <c r="O842" s="2"/>
      <c r="P842" s="2"/>
      <c r="Q842" s="2"/>
      <c r="R842" s="7"/>
      <c r="S842" s="224"/>
      <c r="T842" s="224"/>
      <c r="U842" s="224"/>
      <c r="V842" s="224"/>
    </row>
    <row r="843">
      <c r="A843" s="33"/>
      <c r="B843" s="2"/>
      <c r="C843" s="2"/>
      <c r="D843" s="2"/>
      <c r="E843" s="2"/>
      <c r="F843" s="4"/>
      <c r="G843" s="2"/>
      <c r="H843" s="2"/>
      <c r="I843" s="2"/>
      <c r="J843" s="2"/>
      <c r="K843" s="5"/>
      <c r="L843" s="2"/>
      <c r="M843" s="2"/>
      <c r="N843" s="2"/>
      <c r="O843" s="2"/>
      <c r="P843" s="2"/>
      <c r="Q843" s="2"/>
      <c r="R843" s="7"/>
      <c r="S843" s="224"/>
      <c r="T843" s="224"/>
      <c r="U843" s="224"/>
      <c r="V843" s="224"/>
    </row>
    <row r="844">
      <c r="A844" s="33"/>
      <c r="B844" s="2"/>
      <c r="C844" s="2"/>
      <c r="D844" s="2"/>
      <c r="E844" s="2"/>
      <c r="F844" s="4"/>
      <c r="G844" s="2"/>
      <c r="H844" s="2"/>
      <c r="I844" s="2"/>
      <c r="J844" s="2"/>
      <c r="K844" s="5"/>
      <c r="L844" s="2"/>
      <c r="M844" s="2"/>
      <c r="N844" s="2"/>
      <c r="O844" s="2"/>
      <c r="P844" s="2"/>
      <c r="Q844" s="2"/>
      <c r="R844" s="7"/>
      <c r="S844" s="224"/>
      <c r="T844" s="224"/>
      <c r="U844" s="224"/>
      <c r="V844" s="224"/>
    </row>
    <row r="845">
      <c r="A845" s="33"/>
      <c r="B845" s="2"/>
      <c r="C845" s="2"/>
      <c r="D845" s="2"/>
      <c r="E845" s="2"/>
      <c r="F845" s="4"/>
      <c r="G845" s="2"/>
      <c r="H845" s="2"/>
      <c r="I845" s="2"/>
      <c r="J845" s="2"/>
      <c r="K845" s="5"/>
      <c r="L845" s="2"/>
      <c r="M845" s="2"/>
      <c r="N845" s="2"/>
      <c r="O845" s="2"/>
      <c r="P845" s="2"/>
      <c r="Q845" s="2"/>
      <c r="R845" s="7"/>
      <c r="S845" s="224"/>
      <c r="T845" s="224"/>
      <c r="U845" s="224"/>
      <c r="V845" s="224"/>
    </row>
    <row r="846">
      <c r="A846" s="33"/>
      <c r="B846" s="2"/>
      <c r="C846" s="2"/>
      <c r="D846" s="2"/>
      <c r="E846" s="2"/>
      <c r="F846" s="4"/>
      <c r="G846" s="2"/>
      <c r="H846" s="2"/>
      <c r="I846" s="2"/>
      <c r="J846" s="2"/>
      <c r="K846" s="5"/>
      <c r="L846" s="2"/>
      <c r="M846" s="2"/>
      <c r="N846" s="2"/>
      <c r="O846" s="2"/>
      <c r="P846" s="2"/>
      <c r="Q846" s="2"/>
      <c r="R846" s="7"/>
      <c r="S846" s="224"/>
      <c r="T846" s="224"/>
      <c r="U846" s="224"/>
      <c r="V846" s="224"/>
    </row>
    <row r="847">
      <c r="A847" s="33"/>
      <c r="B847" s="2"/>
      <c r="C847" s="2"/>
      <c r="D847" s="2"/>
      <c r="E847" s="2"/>
      <c r="F847" s="4"/>
      <c r="G847" s="2"/>
      <c r="H847" s="2"/>
      <c r="I847" s="2"/>
      <c r="J847" s="2"/>
      <c r="K847" s="5"/>
      <c r="L847" s="2"/>
      <c r="M847" s="2"/>
      <c r="N847" s="2"/>
      <c r="O847" s="2"/>
      <c r="P847" s="2"/>
      <c r="Q847" s="2"/>
      <c r="R847" s="7"/>
      <c r="S847" s="224"/>
      <c r="T847" s="224"/>
      <c r="U847" s="224"/>
      <c r="V847" s="224"/>
    </row>
    <row r="848">
      <c r="A848" s="33"/>
      <c r="B848" s="2"/>
      <c r="C848" s="2"/>
      <c r="D848" s="2"/>
      <c r="E848" s="2"/>
      <c r="F848" s="4"/>
      <c r="G848" s="2"/>
      <c r="H848" s="2"/>
      <c r="I848" s="2"/>
      <c r="J848" s="2"/>
      <c r="K848" s="5"/>
      <c r="L848" s="2"/>
      <c r="M848" s="2"/>
      <c r="N848" s="2"/>
      <c r="O848" s="2"/>
      <c r="P848" s="2"/>
      <c r="Q848" s="2"/>
      <c r="R848" s="7"/>
      <c r="S848" s="224"/>
      <c r="T848" s="224"/>
      <c r="U848" s="224"/>
      <c r="V848" s="224"/>
    </row>
    <row r="849">
      <c r="A849" s="33"/>
      <c r="B849" s="2"/>
      <c r="C849" s="2"/>
      <c r="D849" s="2"/>
      <c r="E849" s="2"/>
      <c r="F849" s="4"/>
      <c r="G849" s="2"/>
      <c r="H849" s="2"/>
      <c r="I849" s="2"/>
      <c r="J849" s="2"/>
      <c r="K849" s="5"/>
      <c r="L849" s="2"/>
      <c r="M849" s="2"/>
      <c r="N849" s="2"/>
      <c r="O849" s="2"/>
      <c r="P849" s="2"/>
      <c r="Q849" s="2"/>
      <c r="R849" s="7"/>
      <c r="S849" s="224"/>
      <c r="T849" s="224"/>
      <c r="U849" s="224"/>
      <c r="V849" s="224"/>
    </row>
    <row r="850">
      <c r="A850" s="33"/>
      <c r="B850" s="2"/>
      <c r="C850" s="2"/>
      <c r="D850" s="2"/>
      <c r="E850" s="2"/>
      <c r="F850" s="4"/>
      <c r="G850" s="2"/>
      <c r="H850" s="2"/>
      <c r="I850" s="2"/>
      <c r="J850" s="2"/>
      <c r="K850" s="5"/>
      <c r="L850" s="2"/>
      <c r="M850" s="2"/>
      <c r="N850" s="2"/>
      <c r="O850" s="2"/>
      <c r="P850" s="2"/>
      <c r="Q850" s="2"/>
      <c r="R850" s="7"/>
      <c r="S850" s="224"/>
      <c r="T850" s="224"/>
      <c r="U850" s="224"/>
      <c r="V850" s="224"/>
    </row>
    <row r="851">
      <c r="A851" s="33"/>
      <c r="B851" s="2"/>
      <c r="C851" s="2"/>
      <c r="D851" s="2"/>
      <c r="E851" s="2"/>
      <c r="F851" s="4"/>
      <c r="G851" s="2"/>
      <c r="H851" s="2"/>
      <c r="I851" s="2"/>
      <c r="J851" s="2"/>
      <c r="K851" s="5"/>
      <c r="L851" s="2"/>
      <c r="M851" s="2"/>
      <c r="N851" s="2"/>
      <c r="O851" s="2"/>
      <c r="P851" s="2"/>
      <c r="Q851" s="2"/>
      <c r="R851" s="7"/>
      <c r="S851" s="224"/>
      <c r="T851" s="224"/>
      <c r="U851" s="224"/>
      <c r="V851" s="224"/>
    </row>
    <row r="852">
      <c r="A852" s="33"/>
      <c r="B852" s="2"/>
      <c r="C852" s="2"/>
      <c r="D852" s="2"/>
      <c r="E852" s="2"/>
      <c r="F852" s="4"/>
      <c r="G852" s="2"/>
      <c r="H852" s="2"/>
      <c r="I852" s="2"/>
      <c r="J852" s="2"/>
      <c r="K852" s="5"/>
      <c r="L852" s="2"/>
      <c r="M852" s="2"/>
      <c r="N852" s="2"/>
      <c r="O852" s="2"/>
      <c r="P852" s="2"/>
      <c r="Q852" s="2"/>
      <c r="R852" s="7"/>
      <c r="S852" s="224"/>
      <c r="T852" s="224"/>
      <c r="U852" s="224"/>
      <c r="V852" s="224"/>
    </row>
    <row r="853">
      <c r="A853" s="33"/>
      <c r="B853" s="2"/>
      <c r="C853" s="2"/>
      <c r="D853" s="2"/>
      <c r="E853" s="2"/>
      <c r="F853" s="4"/>
      <c r="G853" s="2"/>
      <c r="H853" s="2"/>
      <c r="I853" s="2"/>
      <c r="J853" s="2"/>
      <c r="K853" s="5"/>
      <c r="L853" s="2"/>
      <c r="M853" s="2"/>
      <c r="N853" s="2"/>
      <c r="O853" s="2"/>
      <c r="P853" s="2"/>
      <c r="Q853" s="2"/>
      <c r="R853" s="7"/>
      <c r="S853" s="224"/>
      <c r="T853" s="224"/>
      <c r="U853" s="224"/>
      <c r="V853" s="224"/>
    </row>
    <row r="854">
      <c r="A854" s="33"/>
      <c r="B854" s="2"/>
      <c r="C854" s="2"/>
      <c r="D854" s="2"/>
      <c r="E854" s="2"/>
      <c r="F854" s="4"/>
      <c r="G854" s="2"/>
      <c r="H854" s="2"/>
      <c r="I854" s="2"/>
      <c r="J854" s="2"/>
      <c r="K854" s="5"/>
      <c r="L854" s="2"/>
      <c r="M854" s="2"/>
      <c r="N854" s="2"/>
      <c r="O854" s="2"/>
      <c r="P854" s="2"/>
      <c r="Q854" s="2"/>
      <c r="R854" s="7"/>
      <c r="S854" s="224"/>
      <c r="T854" s="224"/>
      <c r="U854" s="224"/>
      <c r="V854" s="224"/>
    </row>
    <row r="855">
      <c r="A855" s="33"/>
      <c r="B855" s="2"/>
      <c r="C855" s="2"/>
      <c r="D855" s="2"/>
      <c r="E855" s="2"/>
      <c r="F855" s="4"/>
      <c r="G855" s="2"/>
      <c r="H855" s="2"/>
      <c r="I855" s="2"/>
      <c r="J855" s="2"/>
      <c r="K855" s="5"/>
      <c r="L855" s="2"/>
      <c r="M855" s="2"/>
      <c r="N855" s="2"/>
      <c r="O855" s="2"/>
      <c r="P855" s="2"/>
      <c r="Q855" s="2"/>
      <c r="R855" s="7"/>
      <c r="S855" s="224"/>
      <c r="T855" s="224"/>
      <c r="U855" s="224"/>
      <c r="V855" s="224"/>
    </row>
    <row r="856">
      <c r="A856" s="33"/>
      <c r="B856" s="2"/>
      <c r="C856" s="2"/>
      <c r="D856" s="2"/>
      <c r="E856" s="2"/>
      <c r="F856" s="4"/>
      <c r="G856" s="2"/>
      <c r="H856" s="2"/>
      <c r="I856" s="2"/>
      <c r="J856" s="2"/>
      <c r="K856" s="5"/>
      <c r="L856" s="2"/>
      <c r="M856" s="2"/>
      <c r="N856" s="2"/>
      <c r="O856" s="2"/>
      <c r="P856" s="2"/>
      <c r="Q856" s="2"/>
      <c r="R856" s="7"/>
      <c r="S856" s="224"/>
      <c r="T856" s="224"/>
      <c r="U856" s="224"/>
      <c r="V856" s="224"/>
    </row>
    <row r="857">
      <c r="A857" s="33"/>
      <c r="B857" s="2"/>
      <c r="C857" s="2"/>
      <c r="D857" s="2"/>
      <c r="E857" s="2"/>
      <c r="F857" s="4"/>
      <c r="G857" s="2"/>
      <c r="H857" s="2"/>
      <c r="I857" s="2"/>
      <c r="J857" s="2"/>
      <c r="K857" s="5"/>
      <c r="L857" s="2"/>
      <c r="M857" s="2"/>
      <c r="N857" s="2"/>
      <c r="O857" s="2"/>
      <c r="P857" s="2"/>
      <c r="Q857" s="2"/>
      <c r="R857" s="7"/>
      <c r="S857" s="224"/>
      <c r="T857" s="224"/>
      <c r="U857" s="224"/>
      <c r="V857" s="224"/>
    </row>
    <row r="858">
      <c r="A858" s="33"/>
      <c r="B858" s="2"/>
      <c r="C858" s="2"/>
      <c r="D858" s="2"/>
      <c r="E858" s="2"/>
      <c r="F858" s="4"/>
      <c r="G858" s="2"/>
      <c r="H858" s="2"/>
      <c r="I858" s="2"/>
      <c r="J858" s="2"/>
      <c r="K858" s="5"/>
      <c r="L858" s="2"/>
      <c r="M858" s="2"/>
      <c r="N858" s="2"/>
      <c r="O858" s="2"/>
      <c r="P858" s="2"/>
      <c r="Q858" s="2"/>
      <c r="R858" s="7"/>
      <c r="S858" s="224"/>
      <c r="T858" s="224"/>
      <c r="U858" s="224"/>
      <c r="V858" s="224"/>
    </row>
    <row r="859">
      <c r="A859" s="33"/>
      <c r="B859" s="2"/>
      <c r="C859" s="2"/>
      <c r="D859" s="2"/>
      <c r="E859" s="2"/>
      <c r="F859" s="4"/>
      <c r="G859" s="2"/>
      <c r="H859" s="2"/>
      <c r="I859" s="2"/>
      <c r="J859" s="2"/>
      <c r="K859" s="5"/>
      <c r="L859" s="2"/>
      <c r="M859" s="2"/>
      <c r="N859" s="2"/>
      <c r="O859" s="2"/>
      <c r="P859" s="2"/>
      <c r="Q859" s="2"/>
      <c r="R859" s="7"/>
      <c r="S859" s="224"/>
      <c r="T859" s="224"/>
      <c r="U859" s="224"/>
      <c r="V859" s="224"/>
    </row>
    <row r="860">
      <c r="A860" s="33"/>
      <c r="B860" s="2"/>
      <c r="C860" s="2"/>
      <c r="D860" s="2"/>
      <c r="E860" s="2"/>
      <c r="F860" s="4"/>
      <c r="G860" s="2"/>
      <c r="H860" s="2"/>
      <c r="I860" s="2"/>
      <c r="J860" s="2"/>
      <c r="K860" s="5"/>
      <c r="L860" s="2"/>
      <c r="M860" s="2"/>
      <c r="N860" s="2"/>
      <c r="O860" s="2"/>
      <c r="P860" s="2"/>
      <c r="Q860" s="2"/>
      <c r="R860" s="7"/>
      <c r="S860" s="224"/>
      <c r="T860" s="224"/>
      <c r="U860" s="224"/>
      <c r="V860" s="224"/>
    </row>
    <row r="861">
      <c r="A861" s="33"/>
      <c r="B861" s="2"/>
      <c r="C861" s="2"/>
      <c r="D861" s="2"/>
      <c r="E861" s="2"/>
      <c r="F861" s="4"/>
      <c r="G861" s="2"/>
      <c r="H861" s="2"/>
      <c r="I861" s="2"/>
      <c r="J861" s="2"/>
      <c r="K861" s="5"/>
      <c r="L861" s="2"/>
      <c r="M861" s="2"/>
      <c r="N861" s="2"/>
      <c r="O861" s="2"/>
      <c r="P861" s="2"/>
      <c r="Q861" s="2"/>
      <c r="R861" s="7"/>
      <c r="S861" s="224"/>
      <c r="T861" s="224"/>
      <c r="U861" s="224"/>
      <c r="V861" s="224"/>
    </row>
    <row r="862">
      <c r="A862" s="33"/>
      <c r="B862" s="2"/>
      <c r="C862" s="2"/>
      <c r="D862" s="2"/>
      <c r="E862" s="2"/>
      <c r="F862" s="4"/>
      <c r="G862" s="2"/>
      <c r="H862" s="2"/>
      <c r="I862" s="2"/>
      <c r="J862" s="2"/>
      <c r="K862" s="5"/>
      <c r="L862" s="2"/>
      <c r="M862" s="2"/>
      <c r="N862" s="2"/>
      <c r="O862" s="2"/>
      <c r="P862" s="2"/>
      <c r="Q862" s="2"/>
      <c r="R862" s="7"/>
      <c r="S862" s="224"/>
      <c r="T862" s="224"/>
      <c r="U862" s="224"/>
      <c r="V862" s="224"/>
    </row>
    <row r="863">
      <c r="A863" s="33"/>
      <c r="B863" s="2"/>
      <c r="C863" s="2"/>
      <c r="D863" s="2"/>
      <c r="E863" s="2"/>
      <c r="F863" s="4"/>
      <c r="G863" s="2"/>
      <c r="H863" s="2"/>
      <c r="I863" s="2"/>
      <c r="J863" s="2"/>
      <c r="K863" s="5"/>
      <c r="L863" s="2"/>
      <c r="M863" s="2"/>
      <c r="N863" s="2"/>
      <c r="O863" s="2"/>
      <c r="P863" s="2"/>
      <c r="Q863" s="2"/>
      <c r="R863" s="7"/>
      <c r="S863" s="224"/>
      <c r="T863" s="224"/>
      <c r="U863" s="224"/>
      <c r="V863" s="224"/>
    </row>
    <row r="864">
      <c r="A864" s="33"/>
      <c r="B864" s="2"/>
      <c r="C864" s="2"/>
      <c r="D864" s="2"/>
      <c r="E864" s="2"/>
      <c r="F864" s="4"/>
      <c r="G864" s="2"/>
      <c r="H864" s="2"/>
      <c r="I864" s="2"/>
      <c r="J864" s="2"/>
      <c r="K864" s="5"/>
      <c r="L864" s="2"/>
      <c r="M864" s="2"/>
      <c r="N864" s="2"/>
      <c r="O864" s="2"/>
      <c r="P864" s="2"/>
      <c r="Q864" s="2"/>
      <c r="R864" s="7"/>
      <c r="S864" s="224"/>
      <c r="T864" s="224"/>
      <c r="U864" s="224"/>
      <c r="V864" s="224"/>
    </row>
    <row r="865">
      <c r="A865" s="33"/>
      <c r="B865" s="2"/>
      <c r="C865" s="2"/>
      <c r="D865" s="2"/>
      <c r="E865" s="2"/>
      <c r="F865" s="4"/>
      <c r="G865" s="2"/>
      <c r="H865" s="2"/>
      <c r="I865" s="2"/>
      <c r="J865" s="2"/>
      <c r="K865" s="5"/>
      <c r="L865" s="2"/>
      <c r="M865" s="2"/>
      <c r="N865" s="2"/>
      <c r="O865" s="2"/>
      <c r="P865" s="2"/>
      <c r="Q865" s="2"/>
      <c r="R865" s="7"/>
      <c r="S865" s="224"/>
      <c r="T865" s="224"/>
      <c r="U865" s="224"/>
      <c r="V865" s="224"/>
    </row>
    <row r="866">
      <c r="A866" s="33"/>
      <c r="B866" s="2"/>
      <c r="C866" s="2"/>
      <c r="D866" s="2"/>
      <c r="E866" s="2"/>
      <c r="F866" s="4"/>
      <c r="G866" s="2"/>
      <c r="H866" s="2"/>
      <c r="I866" s="2"/>
      <c r="J866" s="2"/>
      <c r="K866" s="5"/>
      <c r="L866" s="2"/>
      <c r="M866" s="2"/>
      <c r="N866" s="2"/>
      <c r="O866" s="2"/>
      <c r="P866" s="2"/>
      <c r="Q866" s="2"/>
      <c r="R866" s="7"/>
      <c r="S866" s="224"/>
      <c r="T866" s="224"/>
      <c r="U866" s="224"/>
      <c r="V866" s="224"/>
    </row>
    <row r="867">
      <c r="A867" s="33"/>
      <c r="B867" s="2"/>
      <c r="C867" s="2"/>
      <c r="D867" s="2"/>
      <c r="E867" s="2"/>
      <c r="F867" s="4"/>
      <c r="G867" s="2"/>
      <c r="H867" s="2"/>
      <c r="I867" s="2"/>
      <c r="J867" s="2"/>
      <c r="K867" s="5"/>
      <c r="L867" s="2"/>
      <c r="M867" s="2"/>
      <c r="N867" s="2"/>
      <c r="O867" s="2"/>
      <c r="P867" s="2"/>
      <c r="Q867" s="2"/>
      <c r="R867" s="7"/>
      <c r="S867" s="224"/>
      <c r="T867" s="224"/>
      <c r="U867" s="224"/>
      <c r="V867" s="224"/>
    </row>
    <row r="868">
      <c r="A868" s="33"/>
      <c r="B868" s="2"/>
      <c r="C868" s="2"/>
      <c r="D868" s="2"/>
      <c r="E868" s="2"/>
      <c r="F868" s="4"/>
      <c r="G868" s="2"/>
      <c r="H868" s="2"/>
      <c r="I868" s="2"/>
      <c r="J868" s="2"/>
      <c r="K868" s="5"/>
      <c r="L868" s="2"/>
      <c r="M868" s="2"/>
      <c r="N868" s="2"/>
      <c r="O868" s="2"/>
      <c r="P868" s="2"/>
      <c r="Q868" s="2"/>
      <c r="R868" s="7"/>
      <c r="S868" s="224"/>
      <c r="T868" s="224"/>
      <c r="U868" s="224"/>
      <c r="V868" s="224"/>
    </row>
    <row r="869">
      <c r="A869" s="33"/>
      <c r="B869" s="2"/>
      <c r="C869" s="2"/>
      <c r="D869" s="2"/>
      <c r="E869" s="2"/>
      <c r="F869" s="4"/>
      <c r="G869" s="2"/>
      <c r="H869" s="2"/>
      <c r="I869" s="2"/>
      <c r="J869" s="2"/>
      <c r="K869" s="5"/>
      <c r="L869" s="2"/>
      <c r="M869" s="2"/>
      <c r="N869" s="2"/>
      <c r="O869" s="2"/>
      <c r="P869" s="2"/>
      <c r="Q869" s="2"/>
      <c r="R869" s="7"/>
      <c r="S869" s="224"/>
      <c r="T869" s="224"/>
      <c r="U869" s="224"/>
      <c r="V869" s="224"/>
    </row>
    <row r="870">
      <c r="A870" s="33"/>
      <c r="B870" s="2"/>
      <c r="C870" s="2"/>
      <c r="D870" s="2"/>
      <c r="E870" s="2"/>
      <c r="F870" s="4"/>
      <c r="G870" s="2"/>
      <c r="H870" s="2"/>
      <c r="I870" s="2"/>
      <c r="J870" s="2"/>
      <c r="K870" s="5"/>
      <c r="L870" s="2"/>
      <c r="M870" s="2"/>
      <c r="N870" s="2"/>
      <c r="O870" s="2"/>
      <c r="P870" s="2"/>
      <c r="Q870" s="2"/>
      <c r="R870" s="7"/>
      <c r="S870" s="224"/>
      <c r="T870" s="224"/>
      <c r="U870" s="224"/>
      <c r="V870" s="224"/>
    </row>
    <row r="871">
      <c r="A871" s="33"/>
      <c r="B871" s="2"/>
      <c r="C871" s="2"/>
      <c r="D871" s="2"/>
      <c r="E871" s="2"/>
      <c r="F871" s="4"/>
      <c r="G871" s="2"/>
      <c r="H871" s="2"/>
      <c r="I871" s="2"/>
      <c r="J871" s="2"/>
      <c r="K871" s="5"/>
      <c r="L871" s="2"/>
      <c r="M871" s="2"/>
      <c r="N871" s="2"/>
      <c r="O871" s="2"/>
      <c r="P871" s="2"/>
      <c r="Q871" s="2"/>
      <c r="R871" s="7"/>
      <c r="S871" s="224"/>
      <c r="T871" s="224"/>
      <c r="U871" s="224"/>
      <c r="V871" s="224"/>
    </row>
    <row r="872">
      <c r="A872" s="33"/>
      <c r="B872" s="2"/>
      <c r="C872" s="2"/>
      <c r="D872" s="2"/>
      <c r="E872" s="2"/>
      <c r="F872" s="4"/>
      <c r="G872" s="2"/>
      <c r="H872" s="2"/>
      <c r="I872" s="2"/>
      <c r="J872" s="2"/>
      <c r="K872" s="5"/>
      <c r="L872" s="2"/>
      <c r="M872" s="2"/>
      <c r="N872" s="2"/>
      <c r="O872" s="2"/>
      <c r="P872" s="2"/>
      <c r="Q872" s="2"/>
      <c r="R872" s="7"/>
      <c r="S872" s="224"/>
      <c r="T872" s="224"/>
      <c r="U872" s="224"/>
      <c r="V872" s="224"/>
    </row>
    <row r="873">
      <c r="A873" s="33"/>
      <c r="B873" s="2"/>
      <c r="C873" s="2"/>
      <c r="D873" s="2"/>
      <c r="E873" s="2"/>
      <c r="F873" s="4"/>
      <c r="G873" s="2"/>
      <c r="H873" s="2"/>
      <c r="I873" s="2"/>
      <c r="J873" s="2"/>
      <c r="K873" s="5"/>
      <c r="L873" s="2"/>
      <c r="M873" s="2"/>
      <c r="N873" s="2"/>
      <c r="O873" s="2"/>
      <c r="P873" s="2"/>
      <c r="Q873" s="2"/>
      <c r="R873" s="7"/>
      <c r="S873" s="224"/>
      <c r="T873" s="224"/>
      <c r="U873" s="224"/>
      <c r="V873" s="224"/>
    </row>
    <row r="874">
      <c r="A874" s="33"/>
      <c r="B874" s="2"/>
      <c r="C874" s="2"/>
      <c r="D874" s="2"/>
      <c r="E874" s="2"/>
      <c r="F874" s="4"/>
      <c r="G874" s="2"/>
      <c r="H874" s="2"/>
      <c r="I874" s="2"/>
      <c r="J874" s="2"/>
      <c r="K874" s="5"/>
      <c r="L874" s="2"/>
      <c r="M874" s="2"/>
      <c r="N874" s="2"/>
      <c r="O874" s="2"/>
      <c r="P874" s="2"/>
      <c r="Q874" s="2"/>
      <c r="R874" s="7"/>
      <c r="S874" s="224"/>
      <c r="T874" s="224"/>
      <c r="U874" s="224"/>
      <c r="V874" s="224"/>
    </row>
    <row r="875">
      <c r="A875" s="33"/>
      <c r="B875" s="2"/>
      <c r="C875" s="2"/>
      <c r="D875" s="2"/>
      <c r="E875" s="2"/>
      <c r="F875" s="4"/>
      <c r="G875" s="2"/>
      <c r="H875" s="2"/>
      <c r="I875" s="2"/>
      <c r="J875" s="2"/>
      <c r="K875" s="5"/>
      <c r="L875" s="2"/>
      <c r="M875" s="2"/>
      <c r="N875" s="2"/>
      <c r="O875" s="2"/>
      <c r="P875" s="2"/>
      <c r="Q875" s="2"/>
      <c r="R875" s="7"/>
      <c r="S875" s="224"/>
      <c r="T875" s="224"/>
      <c r="U875" s="224"/>
      <c r="V875" s="224"/>
    </row>
    <row r="876">
      <c r="A876" s="33"/>
      <c r="B876" s="2"/>
      <c r="C876" s="2"/>
      <c r="D876" s="2"/>
      <c r="E876" s="2"/>
      <c r="F876" s="4"/>
      <c r="G876" s="2"/>
      <c r="H876" s="2"/>
      <c r="I876" s="2"/>
      <c r="J876" s="2"/>
      <c r="K876" s="5"/>
      <c r="L876" s="2"/>
      <c r="M876" s="2"/>
      <c r="N876" s="2"/>
      <c r="O876" s="2"/>
      <c r="P876" s="2"/>
      <c r="Q876" s="2"/>
      <c r="R876" s="7"/>
      <c r="S876" s="224"/>
      <c r="T876" s="224"/>
      <c r="U876" s="224"/>
      <c r="V876" s="224"/>
    </row>
    <row r="877">
      <c r="A877" s="33"/>
      <c r="B877" s="2"/>
      <c r="C877" s="2"/>
      <c r="D877" s="2"/>
      <c r="E877" s="2"/>
      <c r="F877" s="4"/>
      <c r="G877" s="2"/>
      <c r="H877" s="2"/>
      <c r="I877" s="2"/>
      <c r="J877" s="2"/>
      <c r="K877" s="5"/>
      <c r="L877" s="2"/>
      <c r="M877" s="2"/>
      <c r="N877" s="2"/>
      <c r="O877" s="2"/>
      <c r="P877" s="2"/>
      <c r="Q877" s="2"/>
      <c r="R877" s="7"/>
      <c r="S877" s="224"/>
      <c r="T877" s="224"/>
      <c r="U877" s="224"/>
      <c r="V877" s="224"/>
    </row>
    <row r="878">
      <c r="A878" s="33"/>
      <c r="B878" s="2"/>
      <c r="C878" s="2"/>
      <c r="D878" s="2"/>
      <c r="E878" s="2"/>
      <c r="F878" s="4"/>
      <c r="G878" s="2"/>
      <c r="H878" s="2"/>
      <c r="I878" s="2"/>
      <c r="J878" s="2"/>
      <c r="K878" s="5"/>
      <c r="L878" s="2"/>
      <c r="M878" s="2"/>
      <c r="N878" s="2"/>
      <c r="O878" s="2"/>
      <c r="P878" s="2"/>
      <c r="Q878" s="2"/>
      <c r="R878" s="7"/>
      <c r="S878" s="224"/>
      <c r="T878" s="224"/>
      <c r="U878" s="224"/>
      <c r="V878" s="224"/>
    </row>
    <row r="879">
      <c r="A879" s="33"/>
      <c r="B879" s="2"/>
      <c r="C879" s="2"/>
      <c r="D879" s="2"/>
      <c r="E879" s="2"/>
      <c r="F879" s="4"/>
      <c r="G879" s="2"/>
      <c r="H879" s="2"/>
      <c r="I879" s="2"/>
      <c r="J879" s="2"/>
      <c r="K879" s="5"/>
      <c r="L879" s="2"/>
      <c r="M879" s="2"/>
      <c r="N879" s="2"/>
      <c r="O879" s="2"/>
      <c r="P879" s="2"/>
      <c r="Q879" s="2"/>
      <c r="R879" s="7"/>
      <c r="S879" s="224"/>
      <c r="T879" s="224"/>
      <c r="U879" s="224"/>
      <c r="V879" s="224"/>
    </row>
    <row r="880">
      <c r="A880" s="33"/>
      <c r="B880" s="2"/>
      <c r="C880" s="2"/>
      <c r="D880" s="2"/>
      <c r="E880" s="2"/>
      <c r="F880" s="4"/>
      <c r="G880" s="2"/>
      <c r="H880" s="2"/>
      <c r="I880" s="2"/>
      <c r="J880" s="2"/>
      <c r="K880" s="5"/>
      <c r="L880" s="2"/>
      <c r="M880" s="2"/>
      <c r="N880" s="2"/>
      <c r="O880" s="2"/>
      <c r="P880" s="2"/>
      <c r="Q880" s="2"/>
      <c r="R880" s="7"/>
      <c r="S880" s="224"/>
      <c r="T880" s="224"/>
      <c r="U880" s="224"/>
      <c r="V880" s="224"/>
    </row>
    <row r="881">
      <c r="A881" s="33"/>
      <c r="B881" s="2"/>
      <c r="C881" s="2"/>
      <c r="D881" s="2"/>
      <c r="E881" s="2"/>
      <c r="F881" s="4"/>
      <c r="G881" s="2"/>
      <c r="H881" s="2"/>
      <c r="I881" s="2"/>
      <c r="J881" s="2"/>
      <c r="K881" s="5"/>
      <c r="L881" s="2"/>
      <c r="M881" s="2"/>
      <c r="N881" s="2"/>
      <c r="O881" s="2"/>
      <c r="P881" s="2"/>
      <c r="Q881" s="2"/>
      <c r="R881" s="7"/>
      <c r="S881" s="224"/>
      <c r="T881" s="224"/>
      <c r="U881" s="224"/>
      <c r="V881" s="224"/>
    </row>
    <row r="882">
      <c r="A882" s="33"/>
      <c r="B882" s="2"/>
      <c r="C882" s="2"/>
      <c r="D882" s="2"/>
      <c r="E882" s="2"/>
      <c r="F882" s="4"/>
      <c r="G882" s="2"/>
      <c r="H882" s="2"/>
      <c r="I882" s="2"/>
      <c r="J882" s="2"/>
      <c r="K882" s="5"/>
      <c r="L882" s="2"/>
      <c r="M882" s="2"/>
      <c r="N882" s="2"/>
      <c r="O882" s="2"/>
      <c r="P882" s="2"/>
      <c r="Q882" s="2"/>
      <c r="R882" s="7"/>
      <c r="S882" s="224"/>
      <c r="T882" s="224"/>
      <c r="U882" s="224"/>
      <c r="V882" s="224"/>
    </row>
    <row r="883">
      <c r="A883" s="33"/>
      <c r="B883" s="2"/>
      <c r="C883" s="2"/>
      <c r="D883" s="2"/>
      <c r="E883" s="2"/>
      <c r="F883" s="4"/>
      <c r="G883" s="2"/>
      <c r="H883" s="2"/>
      <c r="I883" s="2"/>
      <c r="J883" s="2"/>
      <c r="K883" s="5"/>
      <c r="L883" s="2"/>
      <c r="M883" s="2"/>
      <c r="N883" s="2"/>
      <c r="O883" s="2"/>
      <c r="P883" s="2"/>
      <c r="Q883" s="2"/>
      <c r="R883" s="7"/>
      <c r="S883" s="224"/>
      <c r="T883" s="224"/>
      <c r="U883" s="224"/>
      <c r="V883" s="224"/>
    </row>
    <row r="884">
      <c r="A884" s="33"/>
      <c r="B884" s="2"/>
      <c r="C884" s="2"/>
      <c r="D884" s="2"/>
      <c r="E884" s="2"/>
      <c r="F884" s="4"/>
      <c r="G884" s="2"/>
      <c r="H884" s="2"/>
      <c r="I884" s="2"/>
      <c r="J884" s="2"/>
      <c r="K884" s="5"/>
      <c r="L884" s="2"/>
      <c r="M884" s="2"/>
      <c r="N884" s="2"/>
      <c r="O884" s="2"/>
      <c r="P884" s="2"/>
      <c r="Q884" s="2"/>
      <c r="R884" s="7"/>
      <c r="S884" s="224"/>
      <c r="T884" s="224"/>
      <c r="U884" s="224"/>
      <c r="V884" s="224"/>
    </row>
    <row r="885">
      <c r="A885" s="33"/>
      <c r="B885" s="2"/>
      <c r="C885" s="2"/>
      <c r="D885" s="2"/>
      <c r="E885" s="2"/>
      <c r="F885" s="4"/>
      <c r="G885" s="2"/>
      <c r="H885" s="2"/>
      <c r="I885" s="2"/>
      <c r="J885" s="2"/>
      <c r="K885" s="5"/>
      <c r="L885" s="2"/>
      <c r="M885" s="2"/>
      <c r="N885" s="2"/>
      <c r="O885" s="2"/>
      <c r="P885" s="2"/>
      <c r="Q885" s="2"/>
      <c r="R885" s="7"/>
      <c r="S885" s="224"/>
      <c r="T885" s="224"/>
      <c r="U885" s="224"/>
      <c r="V885" s="224"/>
    </row>
    <row r="886">
      <c r="A886" s="33"/>
      <c r="B886" s="2"/>
      <c r="C886" s="2"/>
      <c r="D886" s="2"/>
      <c r="E886" s="2"/>
      <c r="F886" s="4"/>
      <c r="G886" s="2"/>
      <c r="H886" s="2"/>
      <c r="I886" s="2"/>
      <c r="J886" s="2"/>
      <c r="K886" s="5"/>
      <c r="L886" s="2"/>
      <c r="M886" s="2"/>
      <c r="N886" s="2"/>
      <c r="O886" s="2"/>
      <c r="P886" s="2"/>
      <c r="Q886" s="2"/>
      <c r="R886" s="7"/>
      <c r="S886" s="224"/>
      <c r="T886" s="224"/>
      <c r="U886" s="224"/>
      <c r="V886" s="224"/>
    </row>
    <row r="887">
      <c r="A887" s="33"/>
      <c r="B887" s="2"/>
      <c r="C887" s="2"/>
      <c r="D887" s="2"/>
      <c r="E887" s="2"/>
      <c r="F887" s="4"/>
      <c r="G887" s="2"/>
      <c r="H887" s="2"/>
      <c r="I887" s="2"/>
      <c r="J887" s="2"/>
      <c r="K887" s="5"/>
      <c r="L887" s="2"/>
      <c r="M887" s="2"/>
      <c r="N887" s="2"/>
      <c r="O887" s="2"/>
      <c r="P887" s="2"/>
      <c r="Q887" s="2"/>
      <c r="R887" s="7"/>
      <c r="S887" s="224"/>
      <c r="T887" s="224"/>
      <c r="U887" s="224"/>
      <c r="V887" s="224"/>
    </row>
    <row r="888">
      <c r="A888" s="33"/>
      <c r="B888" s="2"/>
      <c r="C888" s="2"/>
      <c r="D888" s="2"/>
      <c r="E888" s="2"/>
      <c r="F888" s="4"/>
      <c r="G888" s="2"/>
      <c r="H888" s="2"/>
      <c r="I888" s="2"/>
      <c r="J888" s="2"/>
      <c r="K888" s="5"/>
      <c r="L888" s="2"/>
      <c r="M888" s="2"/>
      <c r="N888" s="2"/>
      <c r="O888" s="2"/>
      <c r="P888" s="2"/>
      <c r="Q888" s="2"/>
      <c r="R888" s="7"/>
      <c r="S888" s="224"/>
      <c r="T888" s="224"/>
      <c r="U888" s="224"/>
      <c r="V888" s="224"/>
    </row>
    <row r="889">
      <c r="A889" s="33"/>
      <c r="B889" s="2"/>
      <c r="C889" s="2"/>
      <c r="D889" s="2"/>
      <c r="E889" s="2"/>
      <c r="F889" s="4"/>
      <c r="G889" s="2"/>
      <c r="H889" s="2"/>
      <c r="I889" s="2"/>
      <c r="J889" s="2"/>
      <c r="K889" s="5"/>
      <c r="L889" s="2"/>
      <c r="M889" s="2"/>
      <c r="N889" s="2"/>
      <c r="O889" s="2"/>
      <c r="P889" s="2"/>
      <c r="Q889" s="2"/>
      <c r="R889" s="7"/>
      <c r="S889" s="224"/>
      <c r="T889" s="224"/>
      <c r="U889" s="224"/>
      <c r="V889" s="224"/>
    </row>
    <row r="890">
      <c r="A890" s="33"/>
      <c r="B890" s="2"/>
      <c r="C890" s="2"/>
      <c r="D890" s="2"/>
      <c r="E890" s="2"/>
      <c r="F890" s="4"/>
      <c r="G890" s="2"/>
      <c r="H890" s="2"/>
      <c r="I890" s="2"/>
      <c r="J890" s="2"/>
      <c r="K890" s="5"/>
      <c r="L890" s="2"/>
      <c r="M890" s="2"/>
      <c r="N890" s="2"/>
      <c r="O890" s="2"/>
      <c r="P890" s="2"/>
      <c r="Q890" s="2"/>
      <c r="R890" s="7"/>
      <c r="S890" s="224"/>
      <c r="T890" s="224"/>
      <c r="U890" s="224"/>
      <c r="V890" s="224"/>
    </row>
    <row r="891">
      <c r="A891" s="33"/>
      <c r="B891" s="2"/>
      <c r="C891" s="2"/>
      <c r="D891" s="2"/>
      <c r="E891" s="2"/>
      <c r="F891" s="4"/>
      <c r="G891" s="2"/>
      <c r="H891" s="2"/>
      <c r="I891" s="2"/>
      <c r="J891" s="2"/>
      <c r="K891" s="5"/>
      <c r="L891" s="2"/>
      <c r="M891" s="2"/>
      <c r="N891" s="2"/>
      <c r="O891" s="2"/>
      <c r="P891" s="2"/>
      <c r="Q891" s="2"/>
      <c r="R891" s="7"/>
      <c r="S891" s="224"/>
      <c r="T891" s="224"/>
      <c r="U891" s="224"/>
      <c r="V891" s="224"/>
    </row>
    <row r="892">
      <c r="A892" s="33"/>
      <c r="B892" s="2"/>
      <c r="C892" s="2"/>
      <c r="D892" s="2"/>
      <c r="E892" s="2"/>
      <c r="F892" s="4"/>
      <c r="G892" s="2"/>
      <c r="H892" s="2"/>
      <c r="I892" s="2"/>
      <c r="J892" s="2"/>
      <c r="K892" s="5"/>
      <c r="L892" s="2"/>
      <c r="M892" s="2"/>
      <c r="N892" s="2"/>
      <c r="O892" s="2"/>
      <c r="P892" s="2"/>
      <c r="Q892" s="2"/>
      <c r="R892" s="7"/>
      <c r="S892" s="224"/>
      <c r="T892" s="224"/>
      <c r="U892" s="224"/>
      <c r="V892" s="224"/>
    </row>
    <row r="893">
      <c r="A893" s="33"/>
      <c r="B893" s="2"/>
      <c r="C893" s="2"/>
      <c r="D893" s="2"/>
      <c r="E893" s="2"/>
      <c r="F893" s="4"/>
      <c r="G893" s="2"/>
      <c r="H893" s="2"/>
      <c r="I893" s="2"/>
      <c r="J893" s="2"/>
      <c r="K893" s="5"/>
      <c r="L893" s="2"/>
      <c r="M893" s="2"/>
      <c r="N893" s="2"/>
      <c r="O893" s="2"/>
      <c r="P893" s="2"/>
      <c r="Q893" s="2"/>
      <c r="R893" s="7"/>
      <c r="S893" s="224"/>
      <c r="T893" s="224"/>
      <c r="U893" s="224"/>
      <c r="V893" s="224"/>
    </row>
    <row r="894">
      <c r="A894" s="33"/>
      <c r="B894" s="2"/>
      <c r="C894" s="2"/>
      <c r="D894" s="2"/>
      <c r="E894" s="2"/>
      <c r="F894" s="4"/>
      <c r="G894" s="2"/>
      <c r="H894" s="2"/>
      <c r="I894" s="2"/>
      <c r="J894" s="2"/>
      <c r="K894" s="5"/>
      <c r="L894" s="2"/>
      <c r="M894" s="2"/>
      <c r="N894" s="2"/>
      <c r="O894" s="2"/>
      <c r="P894" s="2"/>
      <c r="Q894" s="2"/>
      <c r="R894" s="7"/>
      <c r="S894" s="224"/>
      <c r="T894" s="224"/>
      <c r="U894" s="224"/>
      <c r="V894" s="224"/>
    </row>
    <row r="895">
      <c r="A895" s="33"/>
      <c r="B895" s="2"/>
      <c r="C895" s="2"/>
      <c r="D895" s="2"/>
      <c r="E895" s="2"/>
      <c r="F895" s="4"/>
      <c r="G895" s="2"/>
      <c r="H895" s="2"/>
      <c r="I895" s="2"/>
      <c r="J895" s="2"/>
      <c r="K895" s="5"/>
      <c r="L895" s="2"/>
      <c r="M895" s="2"/>
      <c r="N895" s="2"/>
      <c r="O895" s="2"/>
      <c r="P895" s="2"/>
      <c r="Q895" s="2"/>
      <c r="R895" s="7"/>
      <c r="S895" s="224"/>
      <c r="T895" s="224"/>
      <c r="U895" s="224"/>
      <c r="V895" s="224"/>
    </row>
    <row r="896">
      <c r="A896" s="33"/>
      <c r="B896" s="2"/>
      <c r="C896" s="2"/>
      <c r="D896" s="2"/>
      <c r="E896" s="2"/>
      <c r="F896" s="4"/>
      <c r="G896" s="2"/>
      <c r="H896" s="2"/>
      <c r="I896" s="2"/>
      <c r="J896" s="2"/>
      <c r="K896" s="5"/>
      <c r="L896" s="2"/>
      <c r="M896" s="2"/>
      <c r="N896" s="2"/>
      <c r="O896" s="2"/>
      <c r="P896" s="2"/>
      <c r="Q896" s="2"/>
      <c r="R896" s="7"/>
      <c r="S896" s="224"/>
      <c r="T896" s="224"/>
      <c r="U896" s="224"/>
      <c r="V896" s="224"/>
    </row>
    <row r="897">
      <c r="A897" s="33"/>
      <c r="B897" s="2"/>
      <c r="C897" s="2"/>
      <c r="D897" s="2"/>
      <c r="E897" s="2"/>
      <c r="F897" s="4"/>
      <c r="G897" s="2"/>
      <c r="H897" s="2"/>
      <c r="I897" s="2"/>
      <c r="J897" s="2"/>
      <c r="K897" s="5"/>
      <c r="L897" s="2"/>
      <c r="M897" s="2"/>
      <c r="N897" s="2"/>
      <c r="O897" s="2"/>
      <c r="P897" s="2"/>
      <c r="Q897" s="2"/>
      <c r="R897" s="7"/>
      <c r="S897" s="224"/>
      <c r="T897" s="224"/>
      <c r="U897" s="224"/>
      <c r="V897" s="224"/>
    </row>
    <row r="898">
      <c r="A898" s="33"/>
      <c r="B898" s="2"/>
      <c r="C898" s="2"/>
      <c r="D898" s="2"/>
      <c r="E898" s="2"/>
      <c r="F898" s="4"/>
      <c r="G898" s="2"/>
      <c r="H898" s="2"/>
      <c r="I898" s="2"/>
      <c r="J898" s="2"/>
      <c r="K898" s="5"/>
      <c r="L898" s="2"/>
      <c r="M898" s="2"/>
      <c r="N898" s="2"/>
      <c r="O898" s="2"/>
      <c r="P898" s="2"/>
      <c r="Q898" s="2"/>
      <c r="R898" s="7"/>
      <c r="S898" s="224"/>
      <c r="T898" s="224"/>
      <c r="U898" s="224"/>
      <c r="V898" s="224"/>
    </row>
    <row r="899">
      <c r="A899" s="33"/>
      <c r="B899" s="2"/>
      <c r="C899" s="2"/>
      <c r="D899" s="2"/>
      <c r="E899" s="2"/>
      <c r="F899" s="4"/>
      <c r="G899" s="2"/>
      <c r="H899" s="2"/>
      <c r="I899" s="2"/>
      <c r="J899" s="2"/>
      <c r="K899" s="5"/>
      <c r="L899" s="2"/>
      <c r="M899" s="2"/>
      <c r="N899" s="2"/>
      <c r="O899" s="2"/>
      <c r="P899" s="2"/>
      <c r="Q899" s="2"/>
      <c r="R899" s="7"/>
      <c r="S899" s="224"/>
      <c r="T899" s="224"/>
      <c r="U899" s="224"/>
      <c r="V899" s="224"/>
    </row>
    <row r="900">
      <c r="A900" s="33"/>
      <c r="B900" s="2"/>
      <c r="C900" s="2"/>
      <c r="D900" s="2"/>
      <c r="E900" s="2"/>
      <c r="F900" s="4"/>
      <c r="G900" s="2"/>
      <c r="H900" s="2"/>
      <c r="I900" s="2"/>
      <c r="J900" s="2"/>
      <c r="K900" s="5"/>
      <c r="L900" s="2"/>
      <c r="M900" s="2"/>
      <c r="N900" s="2"/>
      <c r="O900" s="2"/>
      <c r="P900" s="2"/>
      <c r="Q900" s="2"/>
      <c r="R900" s="7"/>
      <c r="S900" s="224"/>
      <c r="T900" s="224"/>
      <c r="U900" s="224"/>
      <c r="V900" s="224"/>
    </row>
    <row r="901">
      <c r="A901" s="33"/>
      <c r="B901" s="2"/>
      <c r="C901" s="2"/>
      <c r="D901" s="2"/>
      <c r="E901" s="2"/>
      <c r="F901" s="4"/>
      <c r="G901" s="2"/>
      <c r="H901" s="2"/>
      <c r="I901" s="2"/>
      <c r="J901" s="2"/>
      <c r="K901" s="5"/>
      <c r="L901" s="2"/>
      <c r="M901" s="2"/>
      <c r="N901" s="2"/>
      <c r="O901" s="2"/>
      <c r="P901" s="2"/>
      <c r="Q901" s="2"/>
      <c r="R901" s="7"/>
      <c r="S901" s="224"/>
      <c r="T901" s="224"/>
      <c r="U901" s="224"/>
      <c r="V901" s="224"/>
    </row>
    <row r="902">
      <c r="A902" s="33"/>
      <c r="B902" s="2"/>
      <c r="C902" s="2"/>
      <c r="D902" s="2"/>
      <c r="E902" s="2"/>
      <c r="F902" s="4"/>
      <c r="G902" s="2"/>
      <c r="H902" s="2"/>
      <c r="I902" s="2"/>
      <c r="J902" s="2"/>
      <c r="K902" s="5"/>
      <c r="L902" s="2"/>
      <c r="M902" s="2"/>
      <c r="N902" s="2"/>
      <c r="O902" s="2"/>
      <c r="P902" s="2"/>
      <c r="Q902" s="2"/>
      <c r="R902" s="7"/>
      <c r="S902" s="224"/>
      <c r="T902" s="224"/>
      <c r="U902" s="224"/>
      <c r="V902" s="224"/>
    </row>
    <row r="903">
      <c r="A903" s="33"/>
      <c r="B903" s="2"/>
      <c r="C903" s="2"/>
      <c r="D903" s="2"/>
      <c r="E903" s="2"/>
      <c r="F903" s="4"/>
      <c r="G903" s="2"/>
      <c r="H903" s="2"/>
      <c r="I903" s="2"/>
      <c r="J903" s="2"/>
      <c r="K903" s="5"/>
      <c r="L903" s="2"/>
      <c r="M903" s="2"/>
      <c r="N903" s="2"/>
      <c r="O903" s="2"/>
      <c r="P903" s="2"/>
      <c r="Q903" s="2"/>
      <c r="R903" s="7"/>
      <c r="S903" s="224"/>
      <c r="T903" s="224"/>
      <c r="U903" s="224"/>
      <c r="V903" s="224"/>
    </row>
    <row r="904">
      <c r="A904" s="33"/>
      <c r="B904" s="2"/>
      <c r="C904" s="2"/>
      <c r="D904" s="2"/>
      <c r="E904" s="2"/>
      <c r="F904" s="4"/>
      <c r="G904" s="2"/>
      <c r="H904" s="2"/>
      <c r="I904" s="2"/>
      <c r="J904" s="2"/>
      <c r="K904" s="5"/>
      <c r="L904" s="2"/>
      <c r="M904" s="2"/>
      <c r="N904" s="2"/>
      <c r="O904" s="2"/>
      <c r="P904" s="2"/>
      <c r="Q904" s="2"/>
      <c r="R904" s="7"/>
      <c r="S904" s="224"/>
      <c r="T904" s="224"/>
      <c r="U904" s="224"/>
      <c r="V904" s="224"/>
    </row>
    <row r="905">
      <c r="A905" s="33"/>
      <c r="B905" s="2"/>
      <c r="C905" s="2"/>
      <c r="D905" s="2"/>
      <c r="E905" s="2"/>
      <c r="F905" s="4"/>
      <c r="G905" s="2"/>
      <c r="H905" s="2"/>
      <c r="I905" s="2"/>
      <c r="J905" s="2"/>
      <c r="K905" s="5"/>
      <c r="L905" s="2"/>
      <c r="M905" s="2"/>
      <c r="N905" s="2"/>
      <c r="O905" s="2"/>
      <c r="P905" s="2"/>
      <c r="Q905" s="2"/>
      <c r="R905" s="7"/>
      <c r="S905" s="224"/>
      <c r="T905" s="224"/>
      <c r="U905" s="224"/>
      <c r="V905" s="224"/>
    </row>
    <row r="906">
      <c r="A906" s="33"/>
      <c r="B906" s="2"/>
      <c r="C906" s="2"/>
      <c r="D906" s="2"/>
      <c r="E906" s="2"/>
      <c r="F906" s="4"/>
      <c r="G906" s="2"/>
      <c r="H906" s="2"/>
      <c r="I906" s="2"/>
      <c r="J906" s="2"/>
      <c r="K906" s="5"/>
      <c r="L906" s="2"/>
      <c r="M906" s="2"/>
      <c r="N906" s="2"/>
      <c r="O906" s="2"/>
      <c r="P906" s="2"/>
      <c r="Q906" s="2"/>
      <c r="R906" s="7"/>
      <c r="S906" s="224"/>
      <c r="T906" s="224"/>
      <c r="U906" s="224"/>
      <c r="V906" s="224"/>
    </row>
    <row r="907">
      <c r="A907" s="33"/>
      <c r="B907" s="2"/>
      <c r="C907" s="2"/>
      <c r="D907" s="2"/>
      <c r="E907" s="2"/>
      <c r="F907" s="4"/>
      <c r="G907" s="2"/>
      <c r="H907" s="2"/>
      <c r="I907" s="2"/>
      <c r="J907" s="2"/>
      <c r="K907" s="5"/>
      <c r="L907" s="2"/>
      <c r="M907" s="2"/>
      <c r="N907" s="2"/>
      <c r="O907" s="2"/>
      <c r="P907" s="2"/>
      <c r="Q907" s="2"/>
      <c r="R907" s="7"/>
      <c r="S907" s="224"/>
      <c r="T907" s="224"/>
      <c r="U907" s="224"/>
      <c r="V907" s="224"/>
    </row>
    <row r="908">
      <c r="A908" s="33"/>
      <c r="B908" s="2"/>
      <c r="C908" s="2"/>
      <c r="D908" s="2"/>
      <c r="E908" s="2"/>
      <c r="F908" s="4"/>
      <c r="G908" s="2"/>
      <c r="H908" s="2"/>
      <c r="I908" s="2"/>
      <c r="J908" s="2"/>
      <c r="K908" s="5"/>
      <c r="L908" s="2"/>
      <c r="M908" s="2"/>
      <c r="N908" s="2"/>
      <c r="O908" s="2"/>
      <c r="P908" s="2"/>
      <c r="Q908" s="2"/>
      <c r="R908" s="7"/>
      <c r="S908" s="224"/>
      <c r="T908" s="224"/>
      <c r="U908" s="224"/>
      <c r="V908" s="224"/>
    </row>
    <row r="909">
      <c r="A909" s="33"/>
      <c r="B909" s="2"/>
      <c r="C909" s="2"/>
      <c r="D909" s="2"/>
      <c r="E909" s="2"/>
      <c r="F909" s="4"/>
      <c r="G909" s="2"/>
      <c r="H909" s="2"/>
      <c r="I909" s="2"/>
      <c r="J909" s="2"/>
      <c r="K909" s="5"/>
      <c r="L909" s="2"/>
      <c r="M909" s="2"/>
      <c r="N909" s="2"/>
      <c r="O909" s="2"/>
      <c r="P909" s="2"/>
      <c r="Q909" s="2"/>
      <c r="R909" s="7"/>
      <c r="S909" s="224"/>
      <c r="T909" s="224"/>
      <c r="U909" s="224"/>
      <c r="V909" s="224"/>
    </row>
    <row r="910">
      <c r="A910" s="33"/>
      <c r="B910" s="2"/>
      <c r="C910" s="2"/>
      <c r="D910" s="2"/>
      <c r="E910" s="2"/>
      <c r="F910" s="4"/>
      <c r="G910" s="2"/>
      <c r="H910" s="2"/>
      <c r="I910" s="2"/>
      <c r="J910" s="2"/>
      <c r="K910" s="5"/>
      <c r="L910" s="2"/>
      <c r="M910" s="2"/>
      <c r="N910" s="2"/>
      <c r="O910" s="2"/>
      <c r="P910" s="2"/>
      <c r="Q910" s="2"/>
      <c r="R910" s="7"/>
      <c r="S910" s="224"/>
      <c r="T910" s="224"/>
      <c r="U910" s="224"/>
      <c r="V910" s="224"/>
    </row>
    <row r="911">
      <c r="A911" s="33"/>
      <c r="B911" s="2"/>
      <c r="C911" s="2"/>
      <c r="D911" s="2"/>
      <c r="E911" s="2"/>
      <c r="F911" s="4"/>
      <c r="G911" s="2"/>
      <c r="H911" s="2"/>
      <c r="I911" s="2"/>
      <c r="J911" s="2"/>
      <c r="K911" s="5"/>
      <c r="L911" s="2"/>
      <c r="M911" s="2"/>
      <c r="N911" s="2"/>
      <c r="O911" s="2"/>
      <c r="P911" s="2"/>
      <c r="Q911" s="2"/>
      <c r="R911" s="7"/>
      <c r="S911" s="224"/>
      <c r="T911" s="224"/>
      <c r="U911" s="224"/>
      <c r="V911" s="224"/>
    </row>
    <row r="912">
      <c r="A912" s="33"/>
      <c r="B912" s="2"/>
      <c r="C912" s="2"/>
      <c r="D912" s="2"/>
      <c r="E912" s="2"/>
      <c r="F912" s="4"/>
      <c r="G912" s="2"/>
      <c r="H912" s="2"/>
      <c r="I912" s="2"/>
      <c r="J912" s="2"/>
      <c r="K912" s="5"/>
      <c r="L912" s="2"/>
      <c r="M912" s="2"/>
      <c r="N912" s="2"/>
      <c r="O912" s="2"/>
      <c r="P912" s="2"/>
      <c r="Q912" s="2"/>
      <c r="R912" s="7"/>
      <c r="S912" s="224"/>
      <c r="T912" s="224"/>
      <c r="U912" s="224"/>
      <c r="V912" s="224"/>
    </row>
    <row r="913">
      <c r="A913" s="33"/>
      <c r="B913" s="2"/>
      <c r="C913" s="2"/>
      <c r="D913" s="2"/>
      <c r="E913" s="2"/>
      <c r="F913" s="4"/>
      <c r="G913" s="2"/>
      <c r="H913" s="2"/>
      <c r="I913" s="2"/>
      <c r="J913" s="2"/>
      <c r="K913" s="5"/>
      <c r="L913" s="2"/>
      <c r="M913" s="2"/>
      <c r="N913" s="2"/>
      <c r="O913" s="2"/>
      <c r="P913" s="2"/>
      <c r="Q913" s="2"/>
      <c r="R913" s="7"/>
      <c r="S913" s="224"/>
      <c r="T913" s="224"/>
      <c r="U913" s="224"/>
      <c r="V913" s="224"/>
    </row>
    <row r="914">
      <c r="A914" s="33"/>
      <c r="B914" s="2"/>
      <c r="C914" s="2"/>
      <c r="D914" s="2"/>
      <c r="E914" s="2"/>
      <c r="F914" s="4"/>
      <c r="G914" s="2"/>
      <c r="H914" s="2"/>
      <c r="I914" s="2"/>
      <c r="J914" s="2"/>
      <c r="K914" s="5"/>
      <c r="L914" s="2"/>
      <c r="M914" s="2"/>
      <c r="N914" s="2"/>
      <c r="O914" s="2"/>
      <c r="P914" s="2"/>
      <c r="Q914" s="2"/>
      <c r="R914" s="7"/>
      <c r="S914" s="224"/>
      <c r="T914" s="224"/>
      <c r="U914" s="224"/>
      <c r="V914" s="224"/>
    </row>
    <row r="915">
      <c r="A915" s="33"/>
      <c r="B915" s="2"/>
      <c r="C915" s="2"/>
      <c r="D915" s="2"/>
      <c r="E915" s="2"/>
      <c r="F915" s="4"/>
      <c r="G915" s="2"/>
      <c r="H915" s="2"/>
      <c r="I915" s="2"/>
      <c r="J915" s="2"/>
      <c r="K915" s="5"/>
      <c r="L915" s="2"/>
      <c r="M915" s="2"/>
      <c r="N915" s="2"/>
      <c r="O915" s="2"/>
      <c r="P915" s="2"/>
      <c r="Q915" s="2"/>
      <c r="R915" s="7"/>
      <c r="S915" s="224"/>
      <c r="T915" s="224"/>
      <c r="U915" s="224"/>
      <c r="V915" s="224"/>
    </row>
    <row r="916">
      <c r="A916" s="33"/>
      <c r="B916" s="2"/>
      <c r="C916" s="2"/>
      <c r="D916" s="2"/>
      <c r="E916" s="2"/>
      <c r="F916" s="4"/>
      <c r="G916" s="2"/>
      <c r="H916" s="2"/>
      <c r="I916" s="2"/>
      <c r="J916" s="2"/>
      <c r="K916" s="5"/>
      <c r="L916" s="2"/>
      <c r="M916" s="2"/>
      <c r="N916" s="2"/>
      <c r="O916" s="2"/>
      <c r="P916" s="2"/>
      <c r="Q916" s="2"/>
      <c r="R916" s="7"/>
      <c r="S916" s="224"/>
      <c r="T916" s="224"/>
      <c r="U916" s="224"/>
      <c r="V916" s="224"/>
    </row>
    <row r="917">
      <c r="A917" s="33"/>
      <c r="B917" s="2"/>
      <c r="C917" s="2"/>
      <c r="D917" s="2"/>
      <c r="E917" s="2"/>
      <c r="F917" s="4"/>
      <c r="G917" s="2"/>
      <c r="H917" s="2"/>
      <c r="I917" s="2"/>
      <c r="J917" s="2"/>
      <c r="K917" s="5"/>
      <c r="L917" s="2"/>
      <c r="M917" s="2"/>
      <c r="N917" s="2"/>
      <c r="O917" s="2"/>
      <c r="P917" s="2"/>
      <c r="Q917" s="2"/>
      <c r="R917" s="7"/>
      <c r="S917" s="224"/>
      <c r="T917" s="224"/>
      <c r="U917" s="224"/>
      <c r="V917" s="224"/>
    </row>
    <row r="918">
      <c r="A918" s="33"/>
      <c r="B918" s="2"/>
      <c r="C918" s="2"/>
      <c r="D918" s="2"/>
      <c r="E918" s="2"/>
      <c r="F918" s="4"/>
      <c r="G918" s="2"/>
      <c r="H918" s="2"/>
      <c r="I918" s="2"/>
      <c r="J918" s="2"/>
      <c r="K918" s="5"/>
      <c r="L918" s="2"/>
      <c r="M918" s="2"/>
      <c r="N918" s="2"/>
      <c r="O918" s="2"/>
      <c r="P918" s="2"/>
      <c r="Q918" s="2"/>
      <c r="R918" s="7"/>
      <c r="S918" s="224"/>
      <c r="T918" s="224"/>
      <c r="U918" s="224"/>
      <c r="V918" s="224"/>
    </row>
    <row r="919">
      <c r="A919" s="33"/>
      <c r="B919" s="2"/>
      <c r="C919" s="2"/>
      <c r="D919" s="2"/>
      <c r="E919" s="2"/>
      <c r="F919" s="4"/>
      <c r="G919" s="2"/>
      <c r="H919" s="2"/>
      <c r="I919" s="2"/>
      <c r="J919" s="2"/>
      <c r="K919" s="5"/>
      <c r="L919" s="2"/>
      <c r="M919" s="2"/>
      <c r="N919" s="2"/>
      <c r="O919" s="2"/>
      <c r="P919" s="2"/>
      <c r="Q919" s="2"/>
      <c r="R919" s="7"/>
      <c r="S919" s="224"/>
      <c r="T919" s="224"/>
      <c r="U919" s="224"/>
      <c r="V919" s="224"/>
    </row>
    <row r="920">
      <c r="A920" s="33"/>
      <c r="B920" s="2"/>
      <c r="C920" s="2"/>
      <c r="D920" s="2"/>
      <c r="E920" s="2"/>
      <c r="F920" s="4"/>
      <c r="G920" s="2"/>
      <c r="H920" s="2"/>
      <c r="I920" s="2"/>
      <c r="J920" s="2"/>
      <c r="K920" s="5"/>
      <c r="L920" s="2"/>
      <c r="M920" s="2"/>
      <c r="N920" s="2"/>
      <c r="O920" s="2"/>
      <c r="P920" s="2"/>
      <c r="Q920" s="2"/>
      <c r="R920" s="7"/>
      <c r="S920" s="224"/>
      <c r="T920" s="224"/>
      <c r="U920" s="224"/>
      <c r="V920" s="224"/>
    </row>
    <row r="921">
      <c r="A921" s="33"/>
      <c r="B921" s="2"/>
      <c r="C921" s="2"/>
      <c r="D921" s="2"/>
      <c r="E921" s="2"/>
      <c r="F921" s="4"/>
      <c r="G921" s="2"/>
      <c r="H921" s="2"/>
      <c r="I921" s="2"/>
      <c r="J921" s="2"/>
      <c r="K921" s="5"/>
      <c r="L921" s="2"/>
      <c r="M921" s="2"/>
      <c r="N921" s="2"/>
      <c r="O921" s="2"/>
      <c r="P921" s="2"/>
      <c r="Q921" s="2"/>
      <c r="R921" s="7"/>
      <c r="S921" s="224"/>
      <c r="T921" s="224"/>
      <c r="U921" s="224"/>
      <c r="V921" s="224"/>
    </row>
    <row r="922">
      <c r="A922" s="33"/>
      <c r="B922" s="2"/>
      <c r="C922" s="2"/>
      <c r="D922" s="2"/>
      <c r="E922" s="2"/>
      <c r="F922" s="4"/>
      <c r="G922" s="2"/>
      <c r="H922" s="2"/>
      <c r="I922" s="2"/>
      <c r="J922" s="2"/>
      <c r="K922" s="5"/>
      <c r="L922" s="2"/>
      <c r="M922" s="2"/>
      <c r="N922" s="2"/>
      <c r="O922" s="2"/>
      <c r="P922" s="2"/>
      <c r="Q922" s="2"/>
      <c r="R922" s="7"/>
      <c r="S922" s="224"/>
      <c r="T922" s="224"/>
      <c r="U922" s="224"/>
      <c r="V922" s="224"/>
    </row>
    <row r="923">
      <c r="A923" s="33"/>
      <c r="B923" s="2"/>
      <c r="C923" s="2"/>
      <c r="D923" s="2"/>
      <c r="E923" s="2"/>
      <c r="F923" s="4"/>
      <c r="G923" s="2"/>
      <c r="H923" s="2"/>
      <c r="I923" s="2"/>
      <c r="J923" s="2"/>
      <c r="K923" s="5"/>
      <c r="L923" s="2"/>
      <c r="M923" s="2"/>
      <c r="N923" s="2"/>
      <c r="O923" s="2"/>
      <c r="P923" s="2"/>
      <c r="Q923" s="2"/>
      <c r="R923" s="7"/>
      <c r="S923" s="224"/>
      <c r="T923" s="224"/>
      <c r="U923" s="224"/>
      <c r="V923" s="224"/>
    </row>
    <row r="924">
      <c r="A924" s="33"/>
      <c r="B924" s="2"/>
      <c r="C924" s="2"/>
      <c r="D924" s="2"/>
      <c r="E924" s="2"/>
      <c r="F924" s="4"/>
      <c r="G924" s="2"/>
      <c r="H924" s="2"/>
      <c r="I924" s="2"/>
      <c r="J924" s="2"/>
      <c r="K924" s="5"/>
      <c r="L924" s="2"/>
      <c r="M924" s="2"/>
      <c r="N924" s="2"/>
      <c r="O924" s="2"/>
      <c r="P924" s="2"/>
      <c r="Q924" s="2"/>
      <c r="R924" s="7"/>
      <c r="S924" s="224"/>
      <c r="T924" s="224"/>
      <c r="U924" s="224"/>
      <c r="V924" s="224"/>
    </row>
    <row r="925">
      <c r="A925" s="33"/>
      <c r="B925" s="2"/>
      <c r="C925" s="2"/>
      <c r="D925" s="2"/>
      <c r="E925" s="2"/>
      <c r="F925" s="4"/>
      <c r="G925" s="2"/>
      <c r="H925" s="2"/>
      <c r="I925" s="2"/>
      <c r="J925" s="2"/>
      <c r="K925" s="5"/>
      <c r="L925" s="2"/>
      <c r="M925" s="2"/>
      <c r="N925" s="2"/>
      <c r="O925" s="2"/>
      <c r="P925" s="2"/>
      <c r="Q925" s="2"/>
      <c r="R925" s="7"/>
      <c r="S925" s="224"/>
      <c r="T925" s="224"/>
      <c r="U925" s="224"/>
      <c r="V925" s="224"/>
    </row>
    <row r="926">
      <c r="A926" s="33"/>
      <c r="B926" s="2"/>
      <c r="C926" s="2"/>
      <c r="D926" s="2"/>
      <c r="E926" s="2"/>
      <c r="F926" s="4"/>
      <c r="G926" s="2"/>
      <c r="H926" s="2"/>
      <c r="I926" s="2"/>
      <c r="J926" s="2"/>
      <c r="K926" s="5"/>
      <c r="L926" s="2"/>
      <c r="M926" s="2"/>
      <c r="N926" s="2"/>
      <c r="O926" s="2"/>
      <c r="P926" s="2"/>
      <c r="Q926" s="2"/>
      <c r="R926" s="7"/>
      <c r="S926" s="224"/>
      <c r="T926" s="224"/>
      <c r="U926" s="224"/>
      <c r="V926" s="224"/>
    </row>
    <row r="927">
      <c r="A927" s="33"/>
      <c r="B927" s="2"/>
      <c r="C927" s="2"/>
      <c r="D927" s="2"/>
      <c r="E927" s="2"/>
      <c r="F927" s="4"/>
      <c r="G927" s="2"/>
      <c r="H927" s="2"/>
      <c r="I927" s="2"/>
      <c r="J927" s="2"/>
      <c r="K927" s="5"/>
      <c r="L927" s="2"/>
      <c r="M927" s="2"/>
      <c r="N927" s="2"/>
      <c r="O927" s="2"/>
      <c r="P927" s="2"/>
      <c r="Q927" s="2"/>
      <c r="R927" s="7"/>
      <c r="S927" s="224"/>
      <c r="T927" s="224"/>
      <c r="U927" s="224"/>
      <c r="V927" s="224"/>
    </row>
    <row r="928">
      <c r="A928" s="33"/>
      <c r="B928" s="2"/>
      <c r="C928" s="2"/>
      <c r="D928" s="2"/>
      <c r="E928" s="2"/>
      <c r="F928" s="4"/>
      <c r="G928" s="2"/>
      <c r="H928" s="2"/>
      <c r="I928" s="2"/>
      <c r="J928" s="2"/>
      <c r="K928" s="5"/>
      <c r="L928" s="2"/>
      <c r="M928" s="2"/>
      <c r="N928" s="2"/>
      <c r="O928" s="2"/>
      <c r="P928" s="2"/>
      <c r="Q928" s="2"/>
      <c r="R928" s="7"/>
      <c r="S928" s="224"/>
      <c r="T928" s="224"/>
      <c r="U928" s="224"/>
      <c r="V928" s="224"/>
    </row>
    <row r="929">
      <c r="A929" s="33"/>
      <c r="B929" s="2"/>
      <c r="C929" s="2"/>
      <c r="D929" s="2"/>
      <c r="E929" s="2"/>
      <c r="F929" s="4"/>
      <c r="G929" s="2"/>
      <c r="H929" s="2"/>
      <c r="I929" s="2"/>
      <c r="J929" s="2"/>
      <c r="K929" s="5"/>
      <c r="L929" s="2"/>
      <c r="M929" s="2"/>
      <c r="N929" s="2"/>
      <c r="O929" s="2"/>
      <c r="P929" s="2"/>
      <c r="Q929" s="2"/>
      <c r="R929" s="7"/>
      <c r="S929" s="224"/>
      <c r="T929" s="224"/>
      <c r="U929" s="224"/>
      <c r="V929" s="224"/>
    </row>
    <row r="930">
      <c r="A930" s="33"/>
      <c r="B930" s="2"/>
      <c r="C930" s="2"/>
      <c r="D930" s="2"/>
      <c r="E930" s="2"/>
      <c r="F930" s="4"/>
      <c r="G930" s="2"/>
      <c r="H930" s="2"/>
      <c r="I930" s="2"/>
      <c r="J930" s="2"/>
      <c r="K930" s="5"/>
      <c r="L930" s="2"/>
      <c r="M930" s="2"/>
      <c r="N930" s="2"/>
      <c r="O930" s="2"/>
      <c r="P930" s="2"/>
      <c r="Q930" s="2"/>
      <c r="R930" s="7"/>
      <c r="S930" s="224"/>
      <c r="T930" s="224"/>
      <c r="U930" s="224"/>
      <c r="V930" s="224"/>
    </row>
    <row r="931">
      <c r="A931" s="33"/>
      <c r="B931" s="2"/>
      <c r="C931" s="2"/>
      <c r="D931" s="2"/>
      <c r="E931" s="2"/>
      <c r="F931" s="4"/>
      <c r="G931" s="2"/>
      <c r="H931" s="2"/>
      <c r="I931" s="2"/>
      <c r="J931" s="2"/>
      <c r="K931" s="5"/>
      <c r="L931" s="2"/>
      <c r="M931" s="2"/>
      <c r="N931" s="2"/>
      <c r="O931" s="2"/>
      <c r="P931" s="2"/>
      <c r="Q931" s="2"/>
      <c r="R931" s="7"/>
      <c r="S931" s="224"/>
      <c r="T931" s="224"/>
      <c r="U931" s="224"/>
      <c r="V931" s="224"/>
    </row>
    <row r="932">
      <c r="A932" s="33"/>
      <c r="B932" s="2"/>
      <c r="C932" s="2"/>
      <c r="D932" s="2"/>
      <c r="E932" s="2"/>
      <c r="F932" s="4"/>
      <c r="G932" s="2"/>
      <c r="H932" s="2"/>
      <c r="I932" s="2"/>
      <c r="J932" s="2"/>
      <c r="K932" s="5"/>
      <c r="L932" s="2"/>
      <c r="M932" s="2"/>
      <c r="N932" s="2"/>
      <c r="O932" s="2"/>
      <c r="P932" s="2"/>
      <c r="Q932" s="2"/>
      <c r="R932" s="7"/>
      <c r="S932" s="224"/>
      <c r="T932" s="224"/>
      <c r="U932" s="224"/>
      <c r="V932" s="224"/>
    </row>
    <row r="933">
      <c r="A933" s="33"/>
      <c r="B933" s="2"/>
      <c r="C933" s="2"/>
      <c r="D933" s="2"/>
      <c r="E933" s="2"/>
      <c r="F933" s="4"/>
      <c r="G933" s="2"/>
      <c r="H933" s="2"/>
      <c r="I933" s="2"/>
      <c r="J933" s="2"/>
      <c r="K933" s="5"/>
      <c r="L933" s="2"/>
      <c r="M933" s="2"/>
      <c r="N933" s="2"/>
      <c r="O933" s="2"/>
      <c r="P933" s="2"/>
      <c r="Q933" s="2"/>
      <c r="R933" s="7"/>
      <c r="S933" s="224"/>
      <c r="T933" s="224"/>
      <c r="U933" s="224"/>
      <c r="V933" s="224"/>
    </row>
    <row r="934">
      <c r="A934" s="33"/>
      <c r="B934" s="2"/>
      <c r="C934" s="2"/>
      <c r="D934" s="2"/>
      <c r="E934" s="2"/>
      <c r="F934" s="4"/>
      <c r="G934" s="2"/>
      <c r="H934" s="2"/>
      <c r="I934" s="2"/>
      <c r="J934" s="2"/>
      <c r="K934" s="5"/>
      <c r="L934" s="2"/>
      <c r="M934" s="2"/>
      <c r="N934" s="2"/>
      <c r="O934" s="2"/>
      <c r="P934" s="2"/>
      <c r="Q934" s="2"/>
      <c r="R934" s="7"/>
      <c r="S934" s="224"/>
      <c r="T934" s="224"/>
      <c r="U934" s="224"/>
      <c r="V934" s="224"/>
    </row>
    <row r="935">
      <c r="A935" s="33"/>
      <c r="B935" s="2"/>
      <c r="C935" s="2"/>
      <c r="D935" s="2"/>
      <c r="E935" s="2"/>
      <c r="F935" s="4"/>
      <c r="G935" s="2"/>
      <c r="H935" s="2"/>
      <c r="I935" s="2"/>
      <c r="J935" s="2"/>
      <c r="K935" s="5"/>
      <c r="L935" s="2"/>
      <c r="M935" s="2"/>
      <c r="N935" s="2"/>
      <c r="O935" s="2"/>
      <c r="P935" s="2"/>
      <c r="Q935" s="2"/>
      <c r="R935" s="7"/>
      <c r="S935" s="224"/>
      <c r="T935" s="224"/>
      <c r="U935" s="224"/>
      <c r="V935" s="224"/>
    </row>
    <row r="936">
      <c r="A936" s="33"/>
      <c r="B936" s="2"/>
      <c r="C936" s="2"/>
      <c r="D936" s="2"/>
      <c r="E936" s="2"/>
      <c r="F936" s="4"/>
      <c r="G936" s="2"/>
      <c r="H936" s="2"/>
      <c r="I936" s="2"/>
      <c r="J936" s="2"/>
      <c r="K936" s="5"/>
      <c r="L936" s="2"/>
      <c r="M936" s="2"/>
      <c r="N936" s="2"/>
      <c r="O936" s="2"/>
      <c r="P936" s="2"/>
      <c r="Q936" s="2"/>
      <c r="R936" s="7"/>
      <c r="S936" s="224"/>
      <c r="T936" s="224"/>
      <c r="U936" s="224"/>
      <c r="V936" s="224"/>
    </row>
    <row r="937">
      <c r="A937" s="33"/>
      <c r="B937" s="2"/>
      <c r="C937" s="2"/>
      <c r="D937" s="2"/>
      <c r="E937" s="2"/>
      <c r="F937" s="4"/>
      <c r="G937" s="2"/>
      <c r="H937" s="2"/>
      <c r="I937" s="2"/>
      <c r="J937" s="2"/>
      <c r="K937" s="5"/>
      <c r="L937" s="2"/>
      <c r="M937" s="2"/>
      <c r="N937" s="2"/>
      <c r="O937" s="2"/>
      <c r="P937" s="2"/>
      <c r="Q937" s="2"/>
      <c r="R937" s="7"/>
      <c r="S937" s="224"/>
      <c r="T937" s="224"/>
      <c r="U937" s="224"/>
      <c r="V937" s="224"/>
    </row>
    <row r="938">
      <c r="A938" s="33"/>
      <c r="B938" s="2"/>
      <c r="C938" s="2"/>
      <c r="D938" s="2"/>
      <c r="E938" s="2"/>
      <c r="F938" s="4"/>
      <c r="G938" s="2"/>
      <c r="H938" s="2"/>
      <c r="I938" s="2"/>
      <c r="J938" s="2"/>
      <c r="K938" s="5"/>
      <c r="L938" s="2"/>
      <c r="M938" s="2"/>
      <c r="N938" s="2"/>
      <c r="O938" s="2"/>
      <c r="P938" s="2"/>
      <c r="Q938" s="2"/>
      <c r="R938" s="7"/>
      <c r="S938" s="224"/>
      <c r="T938" s="224"/>
      <c r="U938" s="224"/>
      <c r="V938" s="224"/>
    </row>
    <row r="939">
      <c r="A939" s="33"/>
      <c r="B939" s="2"/>
      <c r="C939" s="2"/>
      <c r="D939" s="2"/>
      <c r="E939" s="2"/>
      <c r="F939" s="4"/>
      <c r="G939" s="2"/>
      <c r="H939" s="2"/>
      <c r="I939" s="2"/>
      <c r="J939" s="2"/>
      <c r="K939" s="5"/>
      <c r="L939" s="2"/>
      <c r="M939" s="2"/>
      <c r="N939" s="2"/>
      <c r="O939" s="2"/>
      <c r="P939" s="2"/>
      <c r="Q939" s="2"/>
      <c r="R939" s="7"/>
      <c r="S939" s="224"/>
      <c r="T939" s="224"/>
      <c r="U939" s="224"/>
      <c r="V939" s="224"/>
    </row>
    <row r="940">
      <c r="A940" s="33"/>
      <c r="B940" s="2"/>
      <c r="C940" s="2"/>
      <c r="D940" s="2"/>
      <c r="E940" s="2"/>
      <c r="F940" s="4"/>
      <c r="G940" s="2"/>
      <c r="H940" s="2"/>
      <c r="I940" s="2"/>
      <c r="J940" s="2"/>
      <c r="K940" s="5"/>
      <c r="L940" s="2"/>
      <c r="M940" s="2"/>
      <c r="N940" s="2"/>
      <c r="O940" s="2"/>
      <c r="P940" s="2"/>
      <c r="Q940" s="2"/>
      <c r="R940" s="7"/>
      <c r="S940" s="224"/>
      <c r="T940" s="224"/>
      <c r="U940" s="224"/>
      <c r="V940" s="224"/>
    </row>
    <row r="941">
      <c r="A941" s="33"/>
      <c r="B941" s="2"/>
      <c r="C941" s="2"/>
      <c r="D941" s="2"/>
      <c r="E941" s="2"/>
      <c r="F941" s="4"/>
      <c r="G941" s="2"/>
      <c r="H941" s="2"/>
      <c r="I941" s="2"/>
      <c r="J941" s="2"/>
      <c r="K941" s="5"/>
      <c r="L941" s="2"/>
      <c r="M941" s="2"/>
      <c r="N941" s="2"/>
      <c r="O941" s="2"/>
      <c r="P941" s="2"/>
      <c r="Q941" s="2"/>
      <c r="R941" s="7"/>
      <c r="S941" s="224"/>
      <c r="T941" s="224"/>
      <c r="U941" s="224"/>
      <c r="V941" s="224"/>
    </row>
    <row r="942">
      <c r="A942" s="33"/>
      <c r="B942" s="2"/>
      <c r="C942" s="2"/>
      <c r="D942" s="2"/>
      <c r="E942" s="2"/>
      <c r="F942" s="4"/>
      <c r="G942" s="2"/>
      <c r="H942" s="2"/>
      <c r="I942" s="2"/>
      <c r="J942" s="2"/>
      <c r="K942" s="5"/>
      <c r="L942" s="2"/>
      <c r="M942" s="2"/>
      <c r="N942" s="2"/>
      <c r="O942" s="2"/>
      <c r="P942" s="2"/>
      <c r="Q942" s="2"/>
      <c r="R942" s="7"/>
      <c r="S942" s="224"/>
      <c r="T942" s="224"/>
      <c r="U942" s="224"/>
      <c r="V942" s="224"/>
    </row>
    <row r="943">
      <c r="A943" s="33"/>
      <c r="B943" s="2"/>
      <c r="C943" s="2"/>
      <c r="D943" s="2"/>
      <c r="E943" s="2"/>
      <c r="F943" s="4"/>
      <c r="G943" s="2"/>
      <c r="H943" s="2"/>
      <c r="I943" s="2"/>
      <c r="J943" s="2"/>
      <c r="K943" s="5"/>
      <c r="L943" s="2"/>
      <c r="M943" s="2"/>
      <c r="N943" s="2"/>
      <c r="O943" s="2"/>
      <c r="P943" s="2"/>
      <c r="Q943" s="2"/>
      <c r="R943" s="7"/>
      <c r="S943" s="224"/>
      <c r="T943" s="224"/>
      <c r="U943" s="224"/>
      <c r="V943" s="224"/>
    </row>
    <row r="944">
      <c r="A944" s="33"/>
      <c r="B944" s="2"/>
      <c r="C944" s="2"/>
      <c r="D944" s="2"/>
      <c r="E944" s="2"/>
      <c r="F944" s="4"/>
      <c r="G944" s="2"/>
      <c r="H944" s="2"/>
      <c r="I944" s="2"/>
      <c r="J944" s="2"/>
      <c r="K944" s="5"/>
      <c r="L944" s="2"/>
      <c r="M944" s="2"/>
      <c r="N944" s="2"/>
      <c r="O944" s="2"/>
      <c r="P944" s="2"/>
      <c r="Q944" s="2"/>
      <c r="R944" s="7"/>
      <c r="S944" s="224"/>
      <c r="T944" s="224"/>
      <c r="U944" s="224"/>
      <c r="V944" s="224"/>
    </row>
    <row r="945">
      <c r="A945" s="33"/>
      <c r="B945" s="2"/>
      <c r="C945" s="2"/>
      <c r="D945" s="2"/>
      <c r="E945" s="2"/>
      <c r="F945" s="4"/>
      <c r="G945" s="2"/>
      <c r="H945" s="2"/>
      <c r="I945" s="2"/>
      <c r="J945" s="2"/>
      <c r="K945" s="5"/>
      <c r="L945" s="2"/>
      <c r="M945" s="2"/>
      <c r="N945" s="2"/>
      <c r="O945" s="2"/>
      <c r="P945" s="2"/>
      <c r="Q945" s="2"/>
      <c r="R945" s="7"/>
      <c r="S945" s="224"/>
      <c r="T945" s="224"/>
      <c r="U945" s="224"/>
      <c r="V945" s="224"/>
    </row>
    <row r="946">
      <c r="A946" s="33"/>
      <c r="B946" s="2"/>
      <c r="C946" s="2"/>
      <c r="D946" s="2"/>
      <c r="E946" s="2"/>
      <c r="F946" s="4"/>
      <c r="G946" s="2"/>
      <c r="H946" s="2"/>
      <c r="I946" s="2"/>
      <c r="J946" s="2"/>
      <c r="K946" s="5"/>
      <c r="L946" s="2"/>
      <c r="M946" s="2"/>
      <c r="N946" s="2"/>
      <c r="O946" s="2"/>
      <c r="P946" s="2"/>
      <c r="Q946" s="2"/>
      <c r="R946" s="7"/>
      <c r="S946" s="224"/>
      <c r="T946" s="224"/>
      <c r="U946" s="224"/>
      <c r="V946" s="224"/>
    </row>
    <row r="947">
      <c r="A947" s="33"/>
      <c r="B947" s="2"/>
      <c r="C947" s="2"/>
      <c r="D947" s="2"/>
      <c r="E947" s="2"/>
      <c r="F947" s="4"/>
      <c r="G947" s="2"/>
      <c r="H947" s="2"/>
      <c r="I947" s="2"/>
      <c r="J947" s="2"/>
      <c r="K947" s="5"/>
      <c r="L947" s="2"/>
      <c r="M947" s="2"/>
      <c r="N947" s="2"/>
      <c r="O947" s="2"/>
      <c r="P947" s="2"/>
      <c r="Q947" s="2"/>
      <c r="R947" s="7"/>
      <c r="S947" s="224"/>
      <c r="T947" s="224"/>
      <c r="U947" s="224"/>
      <c r="V947" s="224"/>
    </row>
    <row r="948">
      <c r="A948" s="33"/>
      <c r="B948" s="2"/>
      <c r="C948" s="2"/>
      <c r="D948" s="2"/>
      <c r="E948" s="2"/>
      <c r="F948" s="4"/>
      <c r="G948" s="2"/>
      <c r="H948" s="2"/>
      <c r="I948" s="2"/>
      <c r="J948" s="2"/>
      <c r="K948" s="5"/>
      <c r="L948" s="2"/>
      <c r="M948" s="2"/>
      <c r="N948" s="2"/>
      <c r="O948" s="2"/>
      <c r="P948" s="2"/>
      <c r="Q948" s="2"/>
      <c r="R948" s="7"/>
      <c r="S948" s="224"/>
      <c r="T948" s="224"/>
      <c r="U948" s="224"/>
      <c r="V948" s="224"/>
    </row>
    <row r="949">
      <c r="A949" s="33"/>
      <c r="B949" s="2"/>
      <c r="C949" s="2"/>
      <c r="D949" s="2"/>
      <c r="E949" s="2"/>
      <c r="F949" s="4"/>
      <c r="G949" s="2"/>
      <c r="H949" s="2"/>
      <c r="I949" s="2"/>
      <c r="J949" s="2"/>
      <c r="K949" s="5"/>
      <c r="L949" s="2"/>
      <c r="M949" s="2"/>
      <c r="N949" s="2"/>
      <c r="O949" s="2"/>
      <c r="P949" s="2"/>
      <c r="Q949" s="2"/>
      <c r="R949" s="7"/>
      <c r="S949" s="224"/>
      <c r="T949" s="224"/>
      <c r="U949" s="224"/>
      <c r="V949" s="224"/>
    </row>
    <row r="950">
      <c r="A950" s="33"/>
      <c r="B950" s="2"/>
      <c r="C950" s="2"/>
      <c r="D950" s="2"/>
      <c r="E950" s="2"/>
      <c r="F950" s="4"/>
      <c r="G950" s="2"/>
      <c r="H950" s="2"/>
      <c r="I950" s="2"/>
      <c r="J950" s="2"/>
      <c r="K950" s="5"/>
      <c r="L950" s="2"/>
      <c r="M950" s="2"/>
      <c r="N950" s="2"/>
      <c r="O950" s="2"/>
      <c r="P950" s="2"/>
      <c r="Q950" s="2"/>
      <c r="R950" s="7"/>
      <c r="S950" s="224"/>
      <c r="T950" s="224"/>
      <c r="U950" s="224"/>
      <c r="V950" s="224"/>
    </row>
    <row r="951">
      <c r="A951" s="33"/>
      <c r="B951" s="2"/>
      <c r="C951" s="2"/>
      <c r="D951" s="2"/>
      <c r="E951" s="2"/>
      <c r="F951" s="4"/>
      <c r="G951" s="2"/>
      <c r="H951" s="2"/>
      <c r="I951" s="2"/>
      <c r="J951" s="2"/>
      <c r="K951" s="5"/>
      <c r="L951" s="2"/>
      <c r="M951" s="2"/>
      <c r="N951" s="2"/>
      <c r="O951" s="2"/>
      <c r="P951" s="2"/>
      <c r="Q951" s="2"/>
      <c r="R951" s="7"/>
      <c r="S951" s="224"/>
      <c r="T951" s="224"/>
      <c r="U951" s="224"/>
      <c r="V951" s="224"/>
    </row>
    <row r="952">
      <c r="A952" s="33"/>
      <c r="B952" s="2"/>
      <c r="C952" s="2"/>
      <c r="D952" s="2"/>
      <c r="E952" s="2"/>
      <c r="F952" s="4"/>
      <c r="G952" s="2"/>
      <c r="H952" s="2"/>
      <c r="I952" s="2"/>
      <c r="J952" s="2"/>
      <c r="K952" s="5"/>
      <c r="L952" s="2"/>
      <c r="M952" s="2"/>
      <c r="N952" s="2"/>
      <c r="O952" s="2"/>
      <c r="P952" s="2"/>
      <c r="Q952" s="2"/>
      <c r="R952" s="7"/>
      <c r="S952" s="224"/>
      <c r="T952" s="224"/>
      <c r="U952" s="224"/>
      <c r="V952" s="224"/>
    </row>
    <row r="953">
      <c r="A953" s="33"/>
      <c r="B953" s="2"/>
      <c r="C953" s="2"/>
      <c r="D953" s="2"/>
      <c r="E953" s="2"/>
      <c r="F953" s="4"/>
      <c r="G953" s="2"/>
      <c r="H953" s="2"/>
      <c r="I953" s="2"/>
      <c r="J953" s="2"/>
      <c r="K953" s="5"/>
      <c r="L953" s="2"/>
      <c r="M953" s="2"/>
      <c r="N953" s="2"/>
      <c r="O953" s="2"/>
      <c r="P953" s="2"/>
      <c r="Q953" s="2"/>
      <c r="R953" s="7"/>
      <c r="S953" s="224"/>
      <c r="T953" s="224"/>
      <c r="U953" s="224"/>
      <c r="V953" s="224"/>
    </row>
    <row r="954">
      <c r="A954" s="33"/>
      <c r="B954" s="2"/>
      <c r="C954" s="2"/>
      <c r="D954" s="2"/>
      <c r="E954" s="2"/>
      <c r="F954" s="4"/>
      <c r="G954" s="2"/>
      <c r="H954" s="2"/>
      <c r="I954" s="2"/>
      <c r="J954" s="2"/>
      <c r="K954" s="5"/>
      <c r="L954" s="2"/>
      <c r="M954" s="2"/>
      <c r="N954" s="2"/>
      <c r="O954" s="2"/>
      <c r="P954" s="2"/>
      <c r="Q954" s="2"/>
      <c r="R954" s="7"/>
      <c r="S954" s="224"/>
      <c r="T954" s="224"/>
      <c r="U954" s="224"/>
      <c r="V954" s="224"/>
    </row>
    <row r="955">
      <c r="A955" s="33"/>
      <c r="B955" s="2"/>
      <c r="C955" s="2"/>
      <c r="D955" s="2"/>
      <c r="E955" s="2"/>
      <c r="F955" s="4"/>
      <c r="G955" s="2"/>
      <c r="H955" s="2"/>
      <c r="I955" s="2"/>
      <c r="J955" s="2"/>
      <c r="K955" s="5"/>
      <c r="L955" s="2"/>
      <c r="M955" s="2"/>
      <c r="N955" s="2"/>
      <c r="O955" s="2"/>
      <c r="P955" s="2"/>
      <c r="Q955" s="2"/>
      <c r="R955" s="7"/>
      <c r="S955" s="224"/>
      <c r="T955" s="224"/>
      <c r="U955" s="224"/>
      <c r="V955" s="224"/>
    </row>
    <row r="956">
      <c r="A956" s="33"/>
      <c r="B956" s="2"/>
      <c r="C956" s="2"/>
      <c r="D956" s="2"/>
      <c r="E956" s="2"/>
      <c r="F956" s="4"/>
      <c r="G956" s="2"/>
      <c r="H956" s="2"/>
      <c r="I956" s="2"/>
      <c r="J956" s="2"/>
      <c r="K956" s="5"/>
      <c r="L956" s="2"/>
      <c r="M956" s="2"/>
      <c r="N956" s="2"/>
      <c r="O956" s="2"/>
      <c r="P956" s="2"/>
      <c r="Q956" s="2"/>
      <c r="R956" s="7"/>
      <c r="S956" s="224"/>
      <c r="T956" s="224"/>
      <c r="U956" s="224"/>
      <c r="V956" s="224"/>
    </row>
    <row r="957">
      <c r="A957" s="33"/>
      <c r="B957" s="2"/>
      <c r="C957" s="2"/>
      <c r="D957" s="2"/>
      <c r="E957" s="2"/>
      <c r="F957" s="4"/>
      <c r="G957" s="2"/>
      <c r="H957" s="2"/>
      <c r="I957" s="2"/>
      <c r="J957" s="2"/>
      <c r="K957" s="5"/>
      <c r="L957" s="2"/>
      <c r="M957" s="2"/>
      <c r="N957" s="2"/>
      <c r="O957" s="2"/>
      <c r="P957" s="2"/>
      <c r="Q957" s="2"/>
      <c r="R957" s="7"/>
      <c r="S957" s="224"/>
      <c r="T957" s="224"/>
      <c r="U957" s="224"/>
      <c r="V957" s="224"/>
    </row>
    <row r="958">
      <c r="A958" s="33"/>
      <c r="B958" s="2"/>
      <c r="C958" s="2"/>
      <c r="D958" s="2"/>
      <c r="E958" s="2"/>
      <c r="F958" s="4"/>
      <c r="G958" s="2"/>
      <c r="H958" s="2"/>
      <c r="I958" s="2"/>
      <c r="J958" s="2"/>
      <c r="K958" s="5"/>
      <c r="L958" s="2"/>
      <c r="M958" s="2"/>
      <c r="N958" s="2"/>
      <c r="O958" s="2"/>
      <c r="P958" s="2"/>
      <c r="Q958" s="2"/>
      <c r="R958" s="7"/>
      <c r="S958" s="224"/>
      <c r="T958" s="224"/>
      <c r="U958" s="224"/>
      <c r="V958" s="224"/>
    </row>
    <row r="959">
      <c r="A959" s="33"/>
      <c r="B959" s="2"/>
      <c r="C959" s="2"/>
      <c r="D959" s="2"/>
      <c r="E959" s="2"/>
      <c r="F959" s="4"/>
      <c r="G959" s="2"/>
      <c r="H959" s="2"/>
      <c r="I959" s="2"/>
      <c r="J959" s="2"/>
      <c r="K959" s="5"/>
      <c r="L959" s="2"/>
      <c r="M959" s="2"/>
      <c r="N959" s="2"/>
      <c r="O959" s="2"/>
      <c r="P959" s="2"/>
      <c r="Q959" s="2"/>
      <c r="R959" s="7"/>
      <c r="S959" s="224"/>
      <c r="T959" s="224"/>
      <c r="U959" s="224"/>
      <c r="V959" s="224"/>
    </row>
    <row r="960">
      <c r="A960" s="33"/>
      <c r="B960" s="2"/>
      <c r="C960" s="2"/>
      <c r="D960" s="2"/>
      <c r="E960" s="2"/>
      <c r="F960" s="4"/>
      <c r="G960" s="2"/>
      <c r="H960" s="2"/>
      <c r="I960" s="2"/>
      <c r="J960" s="2"/>
      <c r="K960" s="5"/>
      <c r="L960" s="2"/>
      <c r="M960" s="2"/>
      <c r="N960" s="2"/>
      <c r="O960" s="2"/>
      <c r="P960" s="2"/>
      <c r="Q960" s="2"/>
      <c r="R960" s="7"/>
      <c r="S960" s="224"/>
      <c r="T960" s="224"/>
      <c r="U960" s="224"/>
      <c r="V960" s="224"/>
    </row>
    <row r="961">
      <c r="A961" s="33"/>
      <c r="B961" s="2"/>
      <c r="C961" s="2"/>
      <c r="D961" s="2"/>
      <c r="E961" s="2"/>
      <c r="F961" s="4"/>
      <c r="G961" s="2"/>
      <c r="H961" s="2"/>
      <c r="I961" s="2"/>
      <c r="J961" s="2"/>
      <c r="K961" s="5"/>
      <c r="L961" s="2"/>
      <c r="M961" s="2"/>
      <c r="N961" s="2"/>
      <c r="O961" s="2"/>
      <c r="P961" s="2"/>
      <c r="Q961" s="2"/>
      <c r="R961" s="7"/>
      <c r="S961" s="224"/>
      <c r="T961" s="224"/>
      <c r="U961" s="224"/>
      <c r="V961" s="224"/>
    </row>
    <row r="962">
      <c r="A962" s="33"/>
      <c r="B962" s="2"/>
      <c r="C962" s="2"/>
      <c r="D962" s="2"/>
      <c r="E962" s="2"/>
      <c r="F962" s="4"/>
      <c r="G962" s="2"/>
      <c r="H962" s="2"/>
      <c r="I962" s="2"/>
      <c r="J962" s="2"/>
      <c r="K962" s="5"/>
      <c r="L962" s="2"/>
      <c r="M962" s="2"/>
      <c r="N962" s="2"/>
      <c r="O962" s="2"/>
      <c r="P962" s="2"/>
      <c r="Q962" s="2"/>
      <c r="R962" s="7"/>
      <c r="S962" s="224"/>
      <c r="T962" s="224"/>
      <c r="U962" s="224"/>
      <c r="V962" s="224"/>
    </row>
    <row r="963">
      <c r="A963" s="33"/>
      <c r="B963" s="2"/>
      <c r="C963" s="2"/>
      <c r="D963" s="2"/>
      <c r="E963" s="2"/>
      <c r="F963" s="4"/>
      <c r="G963" s="2"/>
      <c r="H963" s="2"/>
      <c r="I963" s="2"/>
      <c r="J963" s="2"/>
      <c r="K963" s="5"/>
      <c r="L963" s="2"/>
      <c r="M963" s="2"/>
      <c r="N963" s="2"/>
      <c r="O963" s="2"/>
      <c r="P963" s="2"/>
      <c r="Q963" s="2"/>
      <c r="R963" s="7"/>
      <c r="S963" s="224"/>
      <c r="T963" s="224"/>
      <c r="U963" s="224"/>
      <c r="V963" s="224"/>
    </row>
    <row r="964">
      <c r="A964" s="33"/>
      <c r="B964" s="2"/>
      <c r="C964" s="2"/>
      <c r="D964" s="2"/>
      <c r="E964" s="2"/>
      <c r="F964" s="4"/>
      <c r="G964" s="2"/>
      <c r="H964" s="2"/>
      <c r="I964" s="2"/>
      <c r="J964" s="2"/>
      <c r="K964" s="5"/>
      <c r="L964" s="2"/>
      <c r="M964" s="2"/>
      <c r="N964" s="2"/>
      <c r="O964" s="2"/>
      <c r="P964" s="2"/>
      <c r="Q964" s="2"/>
      <c r="R964" s="7"/>
      <c r="S964" s="224"/>
      <c r="T964" s="224"/>
      <c r="U964" s="224"/>
      <c r="V964" s="224"/>
    </row>
    <row r="965">
      <c r="A965" s="33"/>
      <c r="B965" s="2"/>
      <c r="C965" s="2"/>
      <c r="D965" s="2"/>
      <c r="E965" s="2"/>
      <c r="F965" s="4"/>
      <c r="G965" s="2"/>
      <c r="H965" s="2"/>
      <c r="I965" s="2"/>
      <c r="J965" s="2"/>
      <c r="K965" s="5"/>
      <c r="L965" s="2"/>
      <c r="M965" s="2"/>
      <c r="N965" s="2"/>
      <c r="O965" s="2"/>
      <c r="P965" s="2"/>
      <c r="Q965" s="2"/>
      <c r="R965" s="7"/>
      <c r="S965" s="224"/>
      <c r="T965" s="224"/>
      <c r="U965" s="224"/>
      <c r="V965" s="224"/>
    </row>
    <row r="966">
      <c r="A966" s="33"/>
      <c r="B966" s="2"/>
      <c r="C966" s="2"/>
      <c r="D966" s="2"/>
      <c r="E966" s="2"/>
      <c r="F966" s="4"/>
      <c r="G966" s="2"/>
      <c r="H966" s="2"/>
      <c r="I966" s="2"/>
      <c r="J966" s="2"/>
      <c r="K966" s="5"/>
      <c r="L966" s="2"/>
      <c r="M966" s="2"/>
      <c r="N966" s="2"/>
      <c r="O966" s="2"/>
      <c r="P966" s="2"/>
      <c r="Q966" s="2"/>
      <c r="R966" s="7"/>
      <c r="S966" s="224"/>
      <c r="T966" s="224"/>
      <c r="U966" s="224"/>
      <c r="V966" s="224"/>
    </row>
    <row r="967">
      <c r="A967" s="33"/>
      <c r="B967" s="2"/>
      <c r="C967" s="2"/>
      <c r="D967" s="2"/>
      <c r="E967" s="2"/>
      <c r="F967" s="4"/>
      <c r="G967" s="2"/>
      <c r="H967" s="2"/>
      <c r="I967" s="2"/>
      <c r="J967" s="2"/>
      <c r="K967" s="5"/>
      <c r="L967" s="2"/>
      <c r="M967" s="2"/>
      <c r="N967" s="2"/>
      <c r="O967" s="2"/>
      <c r="P967" s="2"/>
      <c r="Q967" s="2"/>
      <c r="R967" s="7"/>
      <c r="S967" s="224"/>
      <c r="T967" s="224"/>
      <c r="U967" s="224"/>
      <c r="V967" s="224"/>
    </row>
    <row r="968">
      <c r="A968" s="33"/>
      <c r="B968" s="2"/>
      <c r="C968" s="2"/>
      <c r="D968" s="2"/>
      <c r="E968" s="2"/>
      <c r="F968" s="4"/>
      <c r="G968" s="2"/>
      <c r="H968" s="2"/>
      <c r="I968" s="2"/>
      <c r="J968" s="2"/>
      <c r="K968" s="5"/>
      <c r="L968" s="2"/>
      <c r="M968" s="2"/>
      <c r="N968" s="2"/>
      <c r="O968" s="2"/>
      <c r="P968" s="2"/>
      <c r="Q968" s="2"/>
      <c r="R968" s="7"/>
      <c r="S968" s="224"/>
      <c r="T968" s="224"/>
      <c r="U968" s="224"/>
      <c r="V968" s="224"/>
    </row>
    <row r="969">
      <c r="A969" s="33"/>
      <c r="B969" s="2"/>
      <c r="C969" s="2"/>
      <c r="D969" s="2"/>
      <c r="E969" s="2"/>
      <c r="F969" s="4"/>
      <c r="G969" s="2"/>
      <c r="H969" s="2"/>
      <c r="I969" s="2"/>
      <c r="J969" s="2"/>
      <c r="K969" s="5"/>
      <c r="L969" s="2"/>
      <c r="M969" s="2"/>
      <c r="N969" s="2"/>
      <c r="O969" s="2"/>
      <c r="P969" s="2"/>
      <c r="Q969" s="2"/>
      <c r="R969" s="7"/>
      <c r="S969" s="224"/>
      <c r="T969" s="224"/>
      <c r="U969" s="224"/>
      <c r="V969" s="224"/>
    </row>
    <row r="970">
      <c r="A970" s="33"/>
      <c r="B970" s="2"/>
      <c r="C970" s="2"/>
      <c r="D970" s="2"/>
      <c r="E970" s="2"/>
      <c r="F970" s="4"/>
      <c r="G970" s="2"/>
      <c r="H970" s="2"/>
      <c r="I970" s="2"/>
      <c r="J970" s="2"/>
      <c r="K970" s="5"/>
      <c r="L970" s="2"/>
      <c r="M970" s="2"/>
      <c r="N970" s="2"/>
      <c r="O970" s="2"/>
      <c r="P970" s="2"/>
      <c r="Q970" s="2"/>
      <c r="R970" s="7"/>
      <c r="S970" s="224"/>
      <c r="T970" s="224"/>
      <c r="U970" s="224"/>
      <c r="V970" s="224"/>
    </row>
    <row r="971">
      <c r="A971" s="33"/>
      <c r="B971" s="2"/>
      <c r="C971" s="2"/>
      <c r="D971" s="2"/>
      <c r="E971" s="2"/>
      <c r="F971" s="4"/>
      <c r="G971" s="2"/>
      <c r="H971" s="2"/>
      <c r="I971" s="2"/>
      <c r="J971" s="2"/>
      <c r="K971" s="5"/>
      <c r="L971" s="2"/>
      <c r="M971" s="2"/>
      <c r="N971" s="2"/>
      <c r="O971" s="2"/>
      <c r="P971" s="2"/>
      <c r="Q971" s="2"/>
      <c r="R971" s="7"/>
      <c r="S971" s="224"/>
      <c r="T971" s="224"/>
      <c r="U971" s="224"/>
      <c r="V971" s="224"/>
    </row>
    <row r="972">
      <c r="A972" s="33"/>
      <c r="B972" s="2"/>
      <c r="C972" s="2"/>
      <c r="D972" s="2"/>
      <c r="E972" s="2"/>
      <c r="F972" s="4"/>
      <c r="G972" s="2"/>
      <c r="H972" s="2"/>
      <c r="I972" s="2"/>
      <c r="J972" s="2"/>
      <c r="K972" s="5"/>
      <c r="L972" s="2"/>
      <c r="M972" s="2"/>
      <c r="N972" s="2"/>
      <c r="O972" s="2"/>
      <c r="P972" s="2"/>
      <c r="Q972" s="2"/>
      <c r="R972" s="7"/>
      <c r="S972" s="224"/>
      <c r="T972" s="224"/>
      <c r="U972" s="224"/>
      <c r="V972" s="224"/>
    </row>
    <row r="973">
      <c r="A973" s="33"/>
      <c r="B973" s="2"/>
      <c r="C973" s="2"/>
      <c r="D973" s="2"/>
      <c r="E973" s="2"/>
      <c r="F973" s="4"/>
      <c r="G973" s="2"/>
      <c r="H973" s="2"/>
      <c r="I973" s="2"/>
      <c r="J973" s="2"/>
      <c r="K973" s="5"/>
      <c r="L973" s="2"/>
      <c r="M973" s="2"/>
      <c r="N973" s="2"/>
      <c r="O973" s="2"/>
      <c r="P973" s="2"/>
      <c r="Q973" s="2"/>
      <c r="R973" s="7"/>
      <c r="S973" s="224"/>
      <c r="T973" s="224"/>
      <c r="U973" s="224"/>
      <c r="V973" s="224"/>
    </row>
    <row r="974">
      <c r="A974" s="33"/>
      <c r="B974" s="2"/>
      <c r="C974" s="2"/>
      <c r="D974" s="2"/>
      <c r="E974" s="2"/>
      <c r="F974" s="4"/>
      <c r="G974" s="2"/>
      <c r="H974" s="2"/>
      <c r="I974" s="2"/>
      <c r="J974" s="2"/>
      <c r="K974" s="5"/>
      <c r="L974" s="2"/>
      <c r="M974" s="2"/>
      <c r="N974" s="2"/>
      <c r="O974" s="2"/>
      <c r="P974" s="2"/>
      <c r="Q974" s="2"/>
      <c r="R974" s="7"/>
      <c r="S974" s="224"/>
      <c r="T974" s="224"/>
      <c r="U974" s="224"/>
      <c r="V974" s="224"/>
    </row>
    <row r="975">
      <c r="A975" s="33"/>
      <c r="B975" s="2"/>
      <c r="C975" s="2"/>
      <c r="D975" s="2"/>
      <c r="E975" s="2"/>
      <c r="F975" s="4"/>
      <c r="G975" s="2"/>
      <c r="H975" s="2"/>
      <c r="I975" s="2"/>
      <c r="J975" s="2"/>
      <c r="K975" s="5"/>
      <c r="L975" s="2"/>
      <c r="M975" s="2"/>
      <c r="N975" s="2"/>
      <c r="O975" s="2"/>
      <c r="P975" s="2"/>
      <c r="Q975" s="2"/>
      <c r="R975" s="7"/>
      <c r="S975" s="224"/>
      <c r="T975" s="224"/>
      <c r="U975" s="224"/>
      <c r="V975" s="224"/>
    </row>
    <row r="976">
      <c r="A976" s="33"/>
      <c r="B976" s="2"/>
      <c r="C976" s="2"/>
      <c r="D976" s="2"/>
      <c r="E976" s="2"/>
      <c r="F976" s="4"/>
      <c r="G976" s="2"/>
      <c r="H976" s="2"/>
      <c r="I976" s="2"/>
      <c r="J976" s="2"/>
      <c r="K976" s="5"/>
      <c r="L976" s="2"/>
      <c r="M976" s="2"/>
      <c r="N976" s="2"/>
      <c r="O976" s="2"/>
      <c r="P976" s="2"/>
      <c r="Q976" s="2"/>
      <c r="R976" s="7"/>
      <c r="S976" s="224"/>
      <c r="T976" s="224"/>
      <c r="U976" s="224"/>
      <c r="V976" s="224"/>
    </row>
    <row r="977">
      <c r="A977" s="33"/>
      <c r="B977" s="2"/>
      <c r="C977" s="2"/>
      <c r="D977" s="2"/>
      <c r="E977" s="2"/>
      <c r="F977" s="4"/>
      <c r="G977" s="2"/>
      <c r="H977" s="2"/>
      <c r="I977" s="2"/>
      <c r="J977" s="2"/>
      <c r="K977" s="5"/>
      <c r="L977" s="2"/>
      <c r="M977" s="2"/>
      <c r="N977" s="2"/>
      <c r="O977" s="2"/>
      <c r="P977" s="2"/>
      <c r="Q977" s="2"/>
      <c r="R977" s="7"/>
      <c r="S977" s="224"/>
      <c r="T977" s="224"/>
      <c r="U977" s="224"/>
      <c r="V977" s="224"/>
    </row>
    <row r="978">
      <c r="A978" s="33"/>
      <c r="B978" s="2"/>
      <c r="C978" s="2"/>
      <c r="D978" s="2"/>
      <c r="E978" s="2"/>
      <c r="F978" s="4"/>
      <c r="G978" s="2"/>
      <c r="H978" s="2"/>
      <c r="I978" s="2"/>
      <c r="J978" s="2"/>
      <c r="K978" s="5"/>
      <c r="L978" s="2"/>
      <c r="M978" s="2"/>
      <c r="N978" s="2"/>
      <c r="O978" s="2"/>
      <c r="P978" s="2"/>
      <c r="Q978" s="2"/>
      <c r="R978" s="7"/>
      <c r="S978" s="224"/>
      <c r="T978" s="224"/>
      <c r="U978" s="224"/>
      <c r="V978" s="224"/>
    </row>
    <row r="979">
      <c r="A979" s="33"/>
      <c r="B979" s="2"/>
      <c r="C979" s="2"/>
      <c r="D979" s="2"/>
      <c r="E979" s="2"/>
      <c r="F979" s="4"/>
      <c r="G979" s="2"/>
      <c r="H979" s="2"/>
      <c r="I979" s="2"/>
      <c r="J979" s="2"/>
      <c r="K979" s="5"/>
      <c r="L979" s="2"/>
      <c r="M979" s="2"/>
      <c r="N979" s="2"/>
      <c r="O979" s="2"/>
      <c r="P979" s="2"/>
      <c r="Q979" s="2"/>
      <c r="R979" s="7"/>
      <c r="S979" s="224"/>
      <c r="T979" s="224"/>
      <c r="U979" s="224"/>
      <c r="V979" s="224"/>
    </row>
    <row r="980">
      <c r="A980" s="33"/>
      <c r="B980" s="2"/>
      <c r="C980" s="2"/>
      <c r="D980" s="2"/>
      <c r="E980" s="2"/>
      <c r="F980" s="4"/>
      <c r="G980" s="2"/>
      <c r="H980" s="2"/>
      <c r="I980" s="2"/>
      <c r="J980" s="2"/>
      <c r="K980" s="5"/>
      <c r="L980" s="2"/>
      <c r="M980" s="2"/>
      <c r="N980" s="2"/>
      <c r="O980" s="2"/>
      <c r="P980" s="2"/>
      <c r="Q980" s="2"/>
      <c r="R980" s="7"/>
      <c r="S980" s="224"/>
      <c r="T980" s="224"/>
      <c r="U980" s="224"/>
      <c r="V980" s="224"/>
    </row>
    <row r="981">
      <c r="A981" s="33"/>
      <c r="B981" s="2"/>
      <c r="C981" s="2"/>
      <c r="D981" s="2"/>
      <c r="E981" s="2"/>
      <c r="F981" s="4"/>
      <c r="G981" s="2"/>
      <c r="H981" s="2"/>
      <c r="I981" s="2"/>
      <c r="J981" s="2"/>
      <c r="K981" s="5"/>
      <c r="L981" s="2"/>
      <c r="M981" s="2"/>
      <c r="N981" s="2"/>
      <c r="O981" s="2"/>
      <c r="P981" s="2"/>
      <c r="Q981" s="2"/>
      <c r="R981" s="7"/>
      <c r="S981" s="224"/>
      <c r="T981" s="224"/>
      <c r="U981" s="224"/>
      <c r="V981" s="224"/>
    </row>
    <row r="982">
      <c r="A982" s="33"/>
      <c r="B982" s="2"/>
      <c r="C982" s="2"/>
      <c r="D982" s="2"/>
      <c r="E982" s="2"/>
      <c r="F982" s="4"/>
      <c r="G982" s="2"/>
      <c r="H982" s="2"/>
      <c r="I982" s="2"/>
      <c r="J982" s="2"/>
      <c r="K982" s="5"/>
      <c r="L982" s="2"/>
      <c r="M982" s="2"/>
      <c r="N982" s="2"/>
      <c r="O982" s="2"/>
      <c r="P982" s="2"/>
      <c r="Q982" s="2"/>
      <c r="R982" s="7"/>
      <c r="S982" s="224"/>
      <c r="T982" s="224"/>
      <c r="U982" s="224"/>
      <c r="V982" s="224"/>
    </row>
    <row r="983">
      <c r="A983" s="33"/>
      <c r="B983" s="2"/>
      <c r="C983" s="2"/>
      <c r="D983" s="2"/>
      <c r="E983" s="2"/>
      <c r="F983" s="4"/>
      <c r="G983" s="2"/>
      <c r="H983" s="2"/>
      <c r="I983" s="2"/>
      <c r="J983" s="2"/>
      <c r="K983" s="5"/>
      <c r="L983" s="2"/>
      <c r="M983" s="2"/>
      <c r="N983" s="2"/>
      <c r="O983" s="2"/>
      <c r="P983" s="2"/>
      <c r="Q983" s="2"/>
      <c r="R983" s="7"/>
      <c r="S983" s="224"/>
      <c r="T983" s="224"/>
      <c r="U983" s="224"/>
      <c r="V983" s="224"/>
    </row>
    <row r="984">
      <c r="A984" s="33"/>
      <c r="B984" s="2"/>
      <c r="C984" s="2"/>
      <c r="D984" s="2"/>
      <c r="E984" s="2"/>
      <c r="F984" s="4"/>
      <c r="G984" s="2"/>
      <c r="H984" s="2"/>
      <c r="I984" s="2"/>
      <c r="J984" s="2"/>
      <c r="K984" s="5"/>
      <c r="L984" s="2"/>
      <c r="M984" s="2"/>
      <c r="N984" s="2"/>
      <c r="O984" s="2"/>
      <c r="P984" s="2"/>
      <c r="Q984" s="2"/>
      <c r="R984" s="7"/>
      <c r="S984" s="224"/>
      <c r="T984" s="224"/>
      <c r="U984" s="224"/>
      <c r="V984" s="224"/>
    </row>
    <row r="985">
      <c r="A985" s="33"/>
      <c r="B985" s="2"/>
      <c r="C985" s="2"/>
      <c r="D985" s="2"/>
      <c r="E985" s="2"/>
      <c r="F985" s="4"/>
      <c r="G985" s="2"/>
      <c r="H985" s="2"/>
      <c r="I985" s="2"/>
      <c r="J985" s="2"/>
      <c r="K985" s="5"/>
      <c r="L985" s="2"/>
      <c r="M985" s="2"/>
      <c r="N985" s="2"/>
      <c r="O985" s="2"/>
      <c r="P985" s="2"/>
      <c r="Q985" s="2"/>
      <c r="R985" s="7"/>
      <c r="S985" s="224"/>
      <c r="T985" s="224"/>
      <c r="U985" s="224"/>
      <c r="V985" s="224"/>
    </row>
    <row r="986">
      <c r="A986" s="33"/>
      <c r="B986" s="2"/>
      <c r="C986" s="2"/>
      <c r="D986" s="2"/>
      <c r="E986" s="2"/>
      <c r="F986" s="4"/>
      <c r="G986" s="2"/>
      <c r="H986" s="2"/>
      <c r="I986" s="2"/>
      <c r="J986" s="2"/>
      <c r="K986" s="5"/>
      <c r="L986" s="2"/>
      <c r="M986" s="2"/>
      <c r="N986" s="2"/>
      <c r="O986" s="2"/>
      <c r="P986" s="2"/>
      <c r="Q986" s="2"/>
      <c r="R986" s="7"/>
      <c r="S986" s="224"/>
      <c r="T986" s="224"/>
      <c r="U986" s="224"/>
      <c r="V986" s="224"/>
    </row>
    <row r="987">
      <c r="A987" s="33"/>
      <c r="B987" s="2"/>
      <c r="C987" s="2"/>
      <c r="D987" s="2"/>
      <c r="E987" s="2"/>
      <c r="F987" s="4"/>
      <c r="G987" s="2"/>
      <c r="H987" s="2"/>
      <c r="I987" s="2"/>
      <c r="J987" s="2"/>
      <c r="K987" s="5"/>
      <c r="L987" s="2"/>
      <c r="M987" s="2"/>
      <c r="N987" s="2"/>
      <c r="O987" s="2"/>
      <c r="P987" s="2"/>
      <c r="Q987" s="2"/>
      <c r="R987" s="7"/>
      <c r="S987" s="224"/>
      <c r="T987" s="224"/>
      <c r="U987" s="224"/>
      <c r="V987" s="224"/>
    </row>
    <row r="988">
      <c r="A988" s="33"/>
      <c r="B988" s="2"/>
      <c r="C988" s="2"/>
      <c r="D988" s="2"/>
      <c r="E988" s="2"/>
      <c r="F988" s="4"/>
      <c r="G988" s="2"/>
      <c r="H988" s="2"/>
      <c r="I988" s="2"/>
      <c r="J988" s="2"/>
      <c r="K988" s="5"/>
      <c r="L988" s="2"/>
      <c r="M988" s="2"/>
      <c r="N988" s="2"/>
      <c r="O988" s="2"/>
      <c r="P988" s="2"/>
      <c r="Q988" s="2"/>
      <c r="R988" s="7"/>
      <c r="S988" s="224"/>
      <c r="T988" s="224"/>
      <c r="U988" s="224"/>
      <c r="V988" s="224"/>
    </row>
    <row r="989">
      <c r="A989" s="33"/>
      <c r="B989" s="2"/>
      <c r="C989" s="2"/>
      <c r="D989" s="2"/>
      <c r="E989" s="2"/>
      <c r="F989" s="4"/>
      <c r="G989" s="2"/>
      <c r="H989" s="2"/>
      <c r="I989" s="2"/>
      <c r="J989" s="2"/>
      <c r="K989" s="5"/>
      <c r="L989" s="2"/>
      <c r="M989" s="2"/>
      <c r="N989" s="2"/>
      <c r="O989" s="2"/>
      <c r="P989" s="2"/>
      <c r="Q989" s="2"/>
      <c r="R989" s="7"/>
      <c r="S989" s="224"/>
      <c r="T989" s="224"/>
      <c r="U989" s="224"/>
      <c r="V989" s="224"/>
    </row>
    <row r="990">
      <c r="A990" s="33"/>
      <c r="B990" s="2"/>
      <c r="C990" s="2"/>
      <c r="D990" s="2"/>
      <c r="E990" s="2"/>
      <c r="F990" s="4"/>
      <c r="G990" s="2"/>
      <c r="H990" s="2"/>
      <c r="I990" s="2"/>
      <c r="J990" s="2"/>
      <c r="K990" s="5"/>
      <c r="L990" s="2"/>
      <c r="M990" s="2"/>
      <c r="N990" s="2"/>
      <c r="O990" s="2"/>
      <c r="P990" s="2"/>
      <c r="Q990" s="2"/>
      <c r="R990" s="7"/>
      <c r="S990" s="224"/>
      <c r="T990" s="224"/>
      <c r="U990" s="224"/>
      <c r="V990" s="224"/>
    </row>
    <row r="991">
      <c r="A991" s="33"/>
      <c r="B991" s="2"/>
      <c r="C991" s="2"/>
      <c r="D991" s="2"/>
      <c r="E991" s="2"/>
      <c r="F991" s="4"/>
      <c r="G991" s="2"/>
      <c r="H991" s="2"/>
      <c r="I991" s="2"/>
      <c r="J991" s="2"/>
      <c r="K991" s="5"/>
      <c r="L991" s="2"/>
      <c r="M991" s="2"/>
      <c r="N991" s="2"/>
      <c r="O991" s="2"/>
      <c r="P991" s="2"/>
      <c r="Q991" s="2"/>
      <c r="R991" s="7"/>
      <c r="S991" s="224"/>
      <c r="T991" s="224"/>
      <c r="U991" s="224"/>
      <c r="V991" s="224"/>
    </row>
    <row r="992">
      <c r="A992" s="33"/>
      <c r="B992" s="2"/>
      <c r="C992" s="2"/>
      <c r="D992" s="2"/>
      <c r="E992" s="2"/>
      <c r="F992" s="4"/>
      <c r="G992" s="2"/>
      <c r="H992" s="2"/>
      <c r="I992" s="2"/>
      <c r="J992" s="2"/>
      <c r="K992" s="5"/>
      <c r="L992" s="2"/>
      <c r="M992" s="2"/>
      <c r="N992" s="2"/>
      <c r="O992" s="2"/>
      <c r="P992" s="2"/>
      <c r="Q992" s="2"/>
      <c r="R992" s="7"/>
      <c r="S992" s="224"/>
      <c r="T992" s="224"/>
      <c r="U992" s="224"/>
      <c r="V992" s="224"/>
    </row>
    <row r="993">
      <c r="A993" s="33"/>
      <c r="B993" s="2"/>
      <c r="C993" s="2"/>
      <c r="D993" s="2"/>
      <c r="E993" s="2"/>
      <c r="F993" s="4"/>
      <c r="G993" s="2"/>
      <c r="H993" s="2"/>
      <c r="I993" s="2"/>
      <c r="J993" s="2"/>
      <c r="K993" s="5"/>
      <c r="L993" s="2"/>
      <c r="M993" s="2"/>
      <c r="N993" s="2"/>
      <c r="O993" s="2"/>
      <c r="P993" s="2"/>
      <c r="Q993" s="2"/>
      <c r="R993" s="7"/>
      <c r="S993" s="224"/>
      <c r="T993" s="224"/>
      <c r="U993" s="224"/>
      <c r="V993" s="224"/>
    </row>
    <row r="994">
      <c r="A994" s="33"/>
      <c r="B994" s="2"/>
      <c r="C994" s="2"/>
      <c r="D994" s="2"/>
      <c r="E994" s="2"/>
      <c r="F994" s="4"/>
      <c r="G994" s="2"/>
      <c r="H994" s="2"/>
      <c r="I994" s="2"/>
      <c r="J994" s="2"/>
      <c r="K994" s="5"/>
      <c r="L994" s="2"/>
      <c r="M994" s="2"/>
      <c r="N994" s="2"/>
      <c r="O994" s="2"/>
      <c r="P994" s="2"/>
      <c r="Q994" s="2"/>
      <c r="R994" s="7"/>
      <c r="S994" s="224"/>
      <c r="T994" s="224"/>
      <c r="U994" s="224"/>
      <c r="V994" s="224"/>
    </row>
    <row r="995">
      <c r="A995" s="33"/>
      <c r="B995" s="2"/>
      <c r="C995" s="2"/>
      <c r="D995" s="2"/>
      <c r="E995" s="2"/>
      <c r="F995" s="4"/>
      <c r="G995" s="2"/>
      <c r="H995" s="2"/>
      <c r="I995" s="2"/>
      <c r="J995" s="2"/>
      <c r="K995" s="5"/>
      <c r="L995" s="2"/>
      <c r="M995" s="2"/>
      <c r="N995" s="2"/>
      <c r="O995" s="2"/>
      <c r="P995" s="2"/>
      <c r="Q995" s="2"/>
      <c r="R995" s="7"/>
      <c r="S995" s="224"/>
      <c r="T995" s="224"/>
      <c r="U995" s="224"/>
      <c r="V995" s="224"/>
    </row>
    <row r="996">
      <c r="A996" s="33"/>
      <c r="B996" s="2"/>
      <c r="C996" s="2"/>
      <c r="D996" s="2"/>
      <c r="E996" s="2"/>
      <c r="F996" s="4"/>
      <c r="G996" s="2"/>
      <c r="H996" s="2"/>
      <c r="I996" s="2"/>
      <c r="J996" s="2"/>
      <c r="K996" s="5"/>
      <c r="L996" s="2"/>
      <c r="M996" s="2"/>
      <c r="N996" s="2"/>
      <c r="O996" s="2"/>
      <c r="P996" s="2"/>
      <c r="Q996" s="2"/>
      <c r="R996" s="7"/>
      <c r="S996" s="224"/>
      <c r="T996" s="224"/>
      <c r="U996" s="224"/>
      <c r="V996" s="224"/>
    </row>
    <row r="997">
      <c r="A997" s="33"/>
      <c r="B997" s="2"/>
      <c r="C997" s="2"/>
      <c r="D997" s="2"/>
      <c r="E997" s="2"/>
      <c r="F997" s="4"/>
      <c r="G997" s="2"/>
      <c r="H997" s="2"/>
      <c r="I997" s="2"/>
      <c r="J997" s="2"/>
      <c r="K997" s="5"/>
      <c r="L997" s="2"/>
      <c r="M997" s="2"/>
      <c r="N997" s="2"/>
      <c r="O997" s="2"/>
      <c r="P997" s="2"/>
      <c r="Q997" s="2"/>
      <c r="R997" s="7"/>
      <c r="S997" s="224"/>
      <c r="T997" s="224"/>
      <c r="U997" s="224"/>
      <c r="V997" s="224"/>
    </row>
    <row r="998">
      <c r="A998" s="33"/>
      <c r="B998" s="2"/>
      <c r="C998" s="2"/>
      <c r="D998" s="2"/>
      <c r="E998" s="2"/>
      <c r="F998" s="4"/>
      <c r="G998" s="2"/>
      <c r="H998" s="2"/>
      <c r="I998" s="2"/>
      <c r="J998" s="2"/>
      <c r="K998" s="5"/>
      <c r="L998" s="2"/>
      <c r="M998" s="2"/>
      <c r="N998" s="2"/>
      <c r="O998" s="2"/>
      <c r="P998" s="2"/>
      <c r="Q998" s="2"/>
      <c r="R998" s="7"/>
      <c r="S998" s="224"/>
      <c r="T998" s="224"/>
      <c r="U998" s="224"/>
      <c r="V998" s="224"/>
    </row>
    <row r="999">
      <c r="A999" s="33"/>
      <c r="B999" s="2"/>
      <c r="C999" s="2"/>
      <c r="D999" s="2"/>
      <c r="E999" s="2"/>
      <c r="F999" s="4"/>
      <c r="G999" s="2"/>
      <c r="H999" s="2"/>
      <c r="I999" s="2"/>
      <c r="J999" s="2"/>
      <c r="K999" s="5"/>
      <c r="L999" s="2"/>
      <c r="M999" s="2"/>
      <c r="N999" s="2"/>
      <c r="O999" s="2"/>
      <c r="P999" s="2"/>
      <c r="Q999" s="2"/>
      <c r="R999" s="7"/>
      <c r="S999" s="224"/>
      <c r="T999" s="224"/>
      <c r="U999" s="224"/>
      <c r="V999" s="224"/>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row>
  </sheetData>
  <customSheetViews>
    <customSheetView guid="{39996A8C-728C-43A0-9466-BCA8143660DF}" filter="1" showAutoFilter="1">
      <autoFilter ref="$T$19:$T$107">
        <filterColumn colId="0">
          <filters blank="1">
            <filter val="Đề xuất thêm"/>
          </filters>
        </filterColumn>
      </autoFilter>
    </customSheetView>
  </customSheetViews>
  <mergeCells count="351">
    <mergeCell ref="B40:B41"/>
    <mergeCell ref="C40:C41"/>
    <mergeCell ref="D40:D41"/>
    <mergeCell ref="E40:E41"/>
    <mergeCell ref="F40:F41"/>
    <mergeCell ref="G40:G41"/>
    <mergeCell ref="A42:B43"/>
    <mergeCell ref="A40:A41"/>
    <mergeCell ref="B45:B46"/>
    <mergeCell ref="C45:C46"/>
    <mergeCell ref="D45:D46"/>
    <mergeCell ref="E45:E46"/>
    <mergeCell ref="F45:F46"/>
    <mergeCell ref="G45:G46"/>
    <mergeCell ref="A24:A25"/>
    <mergeCell ref="B26:B27"/>
    <mergeCell ref="C26:C27"/>
    <mergeCell ref="D26:D27"/>
    <mergeCell ref="E26:E27"/>
    <mergeCell ref="F26:F27"/>
    <mergeCell ref="G26:G27"/>
    <mergeCell ref="A26:A27"/>
    <mergeCell ref="B28:B29"/>
    <mergeCell ref="C28:C29"/>
    <mergeCell ref="D28:D29"/>
    <mergeCell ref="E28:E29"/>
    <mergeCell ref="F28:F29"/>
    <mergeCell ref="G28:G29"/>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38:A39"/>
    <mergeCell ref="B38:B39"/>
    <mergeCell ref="C38:C39"/>
    <mergeCell ref="D38:D39"/>
    <mergeCell ref="E38:E39"/>
    <mergeCell ref="F38:F39"/>
    <mergeCell ref="G38:G39"/>
    <mergeCell ref="A63:A64"/>
    <mergeCell ref="A66:A67"/>
    <mergeCell ref="B66:B67"/>
    <mergeCell ref="C66:C67"/>
    <mergeCell ref="D66:D67"/>
    <mergeCell ref="E66:E67"/>
    <mergeCell ref="F66:F67"/>
    <mergeCell ref="G66:G67"/>
    <mergeCell ref="A61:A62"/>
    <mergeCell ref="B63:B64"/>
    <mergeCell ref="C63:C64"/>
    <mergeCell ref="D63:D64"/>
    <mergeCell ref="E63:E64"/>
    <mergeCell ref="F63:F64"/>
    <mergeCell ref="G63:G64"/>
    <mergeCell ref="A76:A77"/>
    <mergeCell ref="B76:B77"/>
    <mergeCell ref="C76:C77"/>
    <mergeCell ref="D76:D77"/>
    <mergeCell ref="E76:E77"/>
    <mergeCell ref="F76:F77"/>
    <mergeCell ref="G76:G77"/>
    <mergeCell ref="A78:A79"/>
    <mergeCell ref="B78:B79"/>
    <mergeCell ref="C78:C79"/>
    <mergeCell ref="D78:D79"/>
    <mergeCell ref="E78:E79"/>
    <mergeCell ref="F78:F79"/>
    <mergeCell ref="G78:G79"/>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8:A69"/>
    <mergeCell ref="B68:B69"/>
    <mergeCell ref="C68:C69"/>
    <mergeCell ref="D68:D69"/>
    <mergeCell ref="E68:E69"/>
    <mergeCell ref="F68:F69"/>
    <mergeCell ref="G68:G69"/>
    <mergeCell ref="A70:A71"/>
    <mergeCell ref="B70:B71"/>
    <mergeCell ref="C70:C71"/>
    <mergeCell ref="D70:D71"/>
    <mergeCell ref="E70:E71"/>
    <mergeCell ref="F70:F71"/>
    <mergeCell ref="G70:G71"/>
    <mergeCell ref="A72:A73"/>
    <mergeCell ref="B72:B73"/>
    <mergeCell ref="C72:C73"/>
    <mergeCell ref="D72:D73"/>
    <mergeCell ref="E72:E73"/>
    <mergeCell ref="F72:F73"/>
    <mergeCell ref="G72:G73"/>
    <mergeCell ref="A74:A75"/>
    <mergeCell ref="B74:B75"/>
    <mergeCell ref="C74:C75"/>
    <mergeCell ref="D74:D75"/>
    <mergeCell ref="E74:E75"/>
    <mergeCell ref="F74:F75"/>
    <mergeCell ref="G74:G75"/>
    <mergeCell ref="A81:A82"/>
    <mergeCell ref="B81:B82"/>
    <mergeCell ref="C81:C82"/>
    <mergeCell ref="D81:D82"/>
    <mergeCell ref="E81:E82"/>
    <mergeCell ref="F81:F82"/>
    <mergeCell ref="G81:G82"/>
    <mergeCell ref="A5:A6"/>
    <mergeCell ref="B5:B6"/>
    <mergeCell ref="E5:E6"/>
    <mergeCell ref="A7:A8"/>
    <mergeCell ref="B7:B8"/>
    <mergeCell ref="A9:A10"/>
    <mergeCell ref="B9:B10"/>
    <mergeCell ref="A20:B21"/>
    <mergeCell ref="B22:B23"/>
    <mergeCell ref="C22:C23"/>
    <mergeCell ref="D22:D23"/>
    <mergeCell ref="E22:E23"/>
    <mergeCell ref="F22:F23"/>
    <mergeCell ref="G22:G23"/>
    <mergeCell ref="E7:E8"/>
    <mergeCell ref="E9:E10"/>
    <mergeCell ref="M20:M21"/>
    <mergeCell ref="N20:N21"/>
    <mergeCell ref="Q20:Q21"/>
    <mergeCell ref="S22:S23"/>
    <mergeCell ref="T22:T23"/>
    <mergeCell ref="A22:A23"/>
    <mergeCell ref="B24:B25"/>
    <mergeCell ref="C24:C25"/>
    <mergeCell ref="D24:D25"/>
    <mergeCell ref="E24:E25"/>
    <mergeCell ref="F24:F25"/>
    <mergeCell ref="G24:G25"/>
    <mergeCell ref="R22:R23"/>
    <mergeCell ref="R24:R25"/>
    <mergeCell ref="S24:S25"/>
    <mergeCell ref="T24:T25"/>
    <mergeCell ref="R26:R27"/>
    <mergeCell ref="S26:S27"/>
    <mergeCell ref="T26:T27"/>
    <mergeCell ref="A28:A29"/>
    <mergeCell ref="A30:A31"/>
    <mergeCell ref="B30:B31"/>
    <mergeCell ref="C30:C31"/>
    <mergeCell ref="D30:D31"/>
    <mergeCell ref="E30:E31"/>
    <mergeCell ref="F30:F31"/>
    <mergeCell ref="G30:G31"/>
    <mergeCell ref="R34:R35"/>
    <mergeCell ref="S34:S35"/>
    <mergeCell ref="T34:T35"/>
    <mergeCell ref="A45:A46"/>
    <mergeCell ref="B47:B48"/>
    <mergeCell ref="C47:C48"/>
    <mergeCell ref="D47:D48"/>
    <mergeCell ref="E47:E48"/>
    <mergeCell ref="F47:F48"/>
    <mergeCell ref="G47:G48"/>
    <mergeCell ref="A47:A48"/>
    <mergeCell ref="B49:B50"/>
    <mergeCell ref="C49:C50"/>
    <mergeCell ref="D49:D50"/>
    <mergeCell ref="E49:E50"/>
    <mergeCell ref="F49:F50"/>
    <mergeCell ref="G49:G50"/>
    <mergeCell ref="A49:A50"/>
    <mergeCell ref="B51:B52"/>
    <mergeCell ref="C51:C52"/>
    <mergeCell ref="D51:D52"/>
    <mergeCell ref="E51:E52"/>
    <mergeCell ref="F51:F52"/>
    <mergeCell ref="G51:G52"/>
    <mergeCell ref="A51:A52"/>
    <mergeCell ref="B53:B54"/>
    <mergeCell ref="C53:C54"/>
    <mergeCell ref="D53:D54"/>
    <mergeCell ref="E53:E54"/>
    <mergeCell ref="F53:F54"/>
    <mergeCell ref="G53:G54"/>
    <mergeCell ref="S32:S33"/>
    <mergeCell ref="T32:T33"/>
    <mergeCell ref="R28:R29"/>
    <mergeCell ref="S28:S29"/>
    <mergeCell ref="T28:T29"/>
    <mergeCell ref="R30:R31"/>
    <mergeCell ref="S30:S31"/>
    <mergeCell ref="T30:T31"/>
    <mergeCell ref="R32:R33"/>
    <mergeCell ref="S40:S41"/>
    <mergeCell ref="T40:T41"/>
    <mergeCell ref="M42:M43"/>
    <mergeCell ref="N42:N43"/>
    <mergeCell ref="Q42:Q43"/>
    <mergeCell ref="R36:R37"/>
    <mergeCell ref="S36:S37"/>
    <mergeCell ref="T36:T37"/>
    <mergeCell ref="R38:R39"/>
    <mergeCell ref="S38:S39"/>
    <mergeCell ref="T38:T39"/>
    <mergeCell ref="R40:R41"/>
    <mergeCell ref="S49:S50"/>
    <mergeCell ref="T49:T50"/>
    <mergeCell ref="R45:R46"/>
    <mergeCell ref="S45:S46"/>
    <mergeCell ref="T45:T46"/>
    <mergeCell ref="R47:R48"/>
    <mergeCell ref="S47:S48"/>
    <mergeCell ref="T47:T48"/>
    <mergeCell ref="R49:R50"/>
    <mergeCell ref="R57:R58"/>
    <mergeCell ref="S57:S58"/>
    <mergeCell ref="T57:T58"/>
    <mergeCell ref="T66:T67"/>
    <mergeCell ref="S68:S69"/>
    <mergeCell ref="T68:T69"/>
    <mergeCell ref="S76:S77"/>
    <mergeCell ref="T76:T77"/>
    <mergeCell ref="S78:S79"/>
    <mergeCell ref="T78:T79"/>
    <mergeCell ref="T81:T82"/>
    <mergeCell ref="T83:T84"/>
    <mergeCell ref="T85:T86"/>
    <mergeCell ref="T87:T88"/>
    <mergeCell ref="T90:T91"/>
    <mergeCell ref="T92:T93"/>
    <mergeCell ref="R59:R60"/>
    <mergeCell ref="S59:S60"/>
    <mergeCell ref="T59:T60"/>
    <mergeCell ref="R61:R62"/>
    <mergeCell ref="T61:T62"/>
    <mergeCell ref="R63:R64"/>
    <mergeCell ref="R66:R79"/>
    <mergeCell ref="S92:S93"/>
    <mergeCell ref="S94:S95"/>
    <mergeCell ref="T94:T95"/>
    <mergeCell ref="M96:M97"/>
    <mergeCell ref="N96:N97"/>
    <mergeCell ref="Q96:Q97"/>
    <mergeCell ref="R81:R88"/>
    <mergeCell ref="S81:S82"/>
    <mergeCell ref="S83:S84"/>
    <mergeCell ref="S85:S86"/>
    <mergeCell ref="S87:S88"/>
    <mergeCell ref="R90:R95"/>
    <mergeCell ref="S90:S91"/>
    <mergeCell ref="S55:S56"/>
    <mergeCell ref="T55:T56"/>
    <mergeCell ref="R51:R52"/>
    <mergeCell ref="S51:S52"/>
    <mergeCell ref="T51:T52"/>
    <mergeCell ref="R53:R54"/>
    <mergeCell ref="S53:S54"/>
    <mergeCell ref="T53:T54"/>
    <mergeCell ref="R55:R56"/>
    <mergeCell ref="S63:S64"/>
    <mergeCell ref="T63:T64"/>
    <mergeCell ref="S61:S62"/>
    <mergeCell ref="S66:S67"/>
    <mergeCell ref="S70:S71"/>
    <mergeCell ref="T70:T71"/>
    <mergeCell ref="S72:S73"/>
    <mergeCell ref="T72:T73"/>
    <mergeCell ref="S74:S75"/>
    <mergeCell ref="T74:T75"/>
    <mergeCell ref="A92:A93"/>
    <mergeCell ref="B92:B93"/>
    <mergeCell ref="C92:C93"/>
    <mergeCell ref="D92:D93"/>
    <mergeCell ref="E92:E93"/>
    <mergeCell ref="F92:F93"/>
    <mergeCell ref="G92:G93"/>
    <mergeCell ref="A94:A95"/>
    <mergeCell ref="B94:B95"/>
    <mergeCell ref="C94:C95"/>
    <mergeCell ref="D94:D95"/>
    <mergeCell ref="E94:E95"/>
    <mergeCell ref="F94:F95"/>
    <mergeCell ref="A96:B97"/>
    <mergeCell ref="A53:A54"/>
    <mergeCell ref="B55:B56"/>
    <mergeCell ref="C55:C56"/>
    <mergeCell ref="D55:D56"/>
    <mergeCell ref="E55:E56"/>
    <mergeCell ref="F55:F56"/>
    <mergeCell ref="G55:G56"/>
    <mergeCell ref="A55:A56"/>
    <mergeCell ref="B57:B58"/>
    <mergeCell ref="C57:C58"/>
    <mergeCell ref="D57:D58"/>
    <mergeCell ref="E57:E58"/>
    <mergeCell ref="F57:F58"/>
    <mergeCell ref="G57:G58"/>
    <mergeCell ref="A83:A84"/>
    <mergeCell ref="B83:B84"/>
    <mergeCell ref="C83:C84"/>
    <mergeCell ref="D83:D84"/>
    <mergeCell ref="E83:E84"/>
    <mergeCell ref="F83:F84"/>
    <mergeCell ref="G83:G84"/>
    <mergeCell ref="A85:A86"/>
    <mergeCell ref="B85:B86"/>
    <mergeCell ref="C85:C86"/>
    <mergeCell ref="D85:D86"/>
    <mergeCell ref="E85:E86"/>
    <mergeCell ref="F85:F86"/>
    <mergeCell ref="G85:G86"/>
    <mergeCell ref="A87:A88"/>
    <mergeCell ref="B87:B88"/>
    <mergeCell ref="C87:C88"/>
    <mergeCell ref="D87:D88"/>
    <mergeCell ref="E87:E88"/>
    <mergeCell ref="F87:F88"/>
    <mergeCell ref="G87:G88"/>
    <mergeCell ref="A90:A91"/>
    <mergeCell ref="B90:B91"/>
    <mergeCell ref="C90:C91"/>
    <mergeCell ref="D90:D91"/>
    <mergeCell ref="E90:E91"/>
    <mergeCell ref="F90:F91"/>
    <mergeCell ref="G90:G91"/>
    <mergeCell ref="G94:G95"/>
    <mergeCell ref="C109:H109"/>
  </mergeCells>
  <conditionalFormatting sqref="D22:D86 D89:D95">
    <cfRule type="expression" dxfId="0" priority="1">
      <formula>#REF!=TRUE</formula>
    </cfRule>
  </conditionalFormatting>
  <conditionalFormatting sqref="D22:D86 D89:D95">
    <cfRule type="expression" dxfId="1" priority="2">
      <formula>#REF!=TRUE</formula>
    </cfRule>
  </conditionalFormatting>
  <conditionalFormatting sqref="D22:D23 D38:D39 D51:D56 D65:D67 D70:D71 D76:D77 D80 D85:D86 D89 D99:D100 D104 D108">
    <cfRule type="expression" dxfId="0" priority="3">
      <formula>#REF!=TRUE</formula>
    </cfRule>
  </conditionalFormatting>
  <conditionalFormatting sqref="D22:D23 D38:D39 D51:D56 D65:D67 D70:D71 D76:D77 D80 D85:D86 D89 D99:D100 D104 D108">
    <cfRule type="expression" dxfId="1" priority="4">
      <formula>P22=TRUE</formula>
    </cfRule>
  </conditionalFormatting>
  <dataValidations>
    <dataValidation type="list" allowBlank="1" showErrorMessage="1" sqref="G22 G24 G26 G28 G30 G32 G34 G36 G38 G40 G44:G45 G47 G49 G51 G53 G55 G57 G59 G61 G63 G66 G68 G70 G72 G74 G76 G78 G81 G83 G85 G87 G89:G90 G92 G94 G98:G107">
      <formula1>"Hồ Chí Minh,Đồng Nai,Bình Dương,Hải Dương,Hà Nội ,Hải Phòng,Sóc Trăng,Cần Thơ,Mass,Đồng Tháp"</formula1>
    </dataValidation>
    <dataValidation type="list" allowBlank="1" showErrorMessage="1" sqref="T22 T24 T26 T28 T30 T32 T34 T36 T38 T40 T44:T45 T47 T49 T51 T53 T55 T57 T59 T61 T63 T65:T66 T68 T70 T72 T74 T76 T78 T80:T81 T83 T85 T87 T89:T90 T92 T94 T98:T107">
      <formula1>"Confirm,Không phù hợp,Đề xuất thêm"</formula1>
    </dataValidation>
    <dataValidation type="list" allowBlank="1" showErrorMessage="1" sqref="E22 E24 E26 E28 E30 E32 E34 E36 E38 E40 E44:E45 E47 E49 E51 E53 E55 E57 E59 E61 E63 E66 E68 E70 E72 E74 E76 E78 E81 E83 E85 E87 E89:E90 E92 E94 E98:E107">
      <formula1>"Nano,Macro,Micro"</formula1>
    </dataValidation>
    <dataValidation type="list" allowBlank="1" showErrorMessage="1" sqref="C22 C24 C26 C28 C30 C32 C34 C36 C38 C40 C44:C45 C47 C49 C51 C53 C55 C57 C59 C61 C63 C66 C68 C70 C72 C74 C76 C78 C81 C83 C85 C87 C89:C90 C92 C94 C98:C107">
      <formula1>"Tiktok,Facebook,Instagram,TikTok &amp; Facebook"</formula1>
    </dataValidation>
  </dataValidations>
  <hyperlinks>
    <hyperlink r:id="rId1" ref="F22"/>
    <hyperlink r:id="rId2" ref="H22"/>
    <hyperlink r:id="rId3" ref="F24"/>
    <hyperlink r:id="rId4" ref="H24"/>
    <hyperlink r:id="rId5" ref="F26"/>
    <hyperlink r:id="rId6" ref="H26"/>
    <hyperlink r:id="rId7" ref="F28"/>
    <hyperlink r:id="rId8" ref="H28"/>
    <hyperlink r:id="rId9" ref="F30"/>
    <hyperlink r:id="rId10" ref="H30"/>
    <hyperlink r:id="rId11" ref="F32"/>
    <hyperlink r:id="rId12" ref="H32"/>
    <hyperlink r:id="rId13" ref="S32"/>
    <hyperlink r:id="rId14" ref="F34"/>
    <hyperlink r:id="rId15" ref="H34"/>
    <hyperlink r:id="rId16" ref="F36"/>
    <hyperlink r:id="rId17" ref="H36"/>
    <hyperlink r:id="rId18" ref="F38"/>
    <hyperlink r:id="rId19" ref="H38"/>
    <hyperlink r:id="rId20" ref="F40"/>
    <hyperlink r:id="rId21" ref="H40"/>
    <hyperlink r:id="rId22" ref="F45"/>
    <hyperlink r:id="rId23" ref="H45"/>
    <hyperlink r:id="rId24" ref="F47"/>
    <hyperlink r:id="rId25" ref="H47"/>
    <hyperlink r:id="rId26" ref="F49"/>
    <hyperlink r:id="rId27" ref="H49"/>
    <hyperlink r:id="rId28" ref="F51"/>
    <hyperlink r:id="rId29" ref="H51"/>
    <hyperlink r:id="rId30" ref="F53"/>
    <hyperlink r:id="rId31" ref="H53"/>
    <hyperlink r:id="rId32" ref="F55"/>
    <hyperlink r:id="rId33" ref="H55"/>
    <hyperlink r:id="rId34" ref="F57"/>
    <hyperlink r:id="rId35" ref="H57"/>
    <hyperlink r:id="rId36" ref="F59"/>
    <hyperlink r:id="rId37" ref="H59"/>
    <hyperlink r:id="rId38" ref="F61"/>
    <hyperlink r:id="rId39" ref="H61"/>
    <hyperlink r:id="rId40" ref="F63"/>
    <hyperlink r:id="rId41" ref="H63"/>
    <hyperlink r:id="rId42" ref="F66"/>
    <hyperlink r:id="rId43" ref="H66"/>
    <hyperlink r:id="rId44" ref="F68"/>
    <hyperlink r:id="rId45" ref="H68"/>
    <hyperlink r:id="rId46" ref="F70"/>
    <hyperlink r:id="rId47" ref="H70"/>
    <hyperlink r:id="rId48" ref="F72"/>
    <hyperlink r:id="rId49" ref="H72"/>
    <hyperlink r:id="rId50" ref="F74"/>
    <hyperlink r:id="rId51" ref="H74"/>
    <hyperlink r:id="rId52" ref="F76"/>
    <hyperlink r:id="rId53" ref="H76"/>
    <hyperlink r:id="rId54" ref="F78"/>
    <hyperlink r:id="rId55" ref="H78"/>
    <hyperlink r:id="rId56" ref="F81"/>
    <hyperlink r:id="rId57" ref="H81"/>
    <hyperlink r:id="rId58" ref="F83"/>
    <hyperlink r:id="rId59" ref="H83"/>
    <hyperlink r:id="rId60" ref="F85"/>
    <hyperlink r:id="rId61" ref="H85"/>
    <hyperlink r:id="rId62" ref="F87"/>
    <hyperlink r:id="rId63" ref="H87"/>
    <hyperlink r:id="rId64" ref="F90"/>
    <hyperlink r:id="rId65" ref="H90"/>
    <hyperlink r:id="rId66" ref="F92"/>
    <hyperlink r:id="rId67" ref="H92"/>
    <hyperlink r:id="rId68" ref="F94"/>
    <hyperlink r:id="rId69" ref="H94"/>
    <hyperlink r:id="rId70" ref="F98"/>
    <hyperlink r:id="rId71" ref="F99"/>
    <hyperlink r:id="rId72" ref="F100"/>
    <hyperlink r:id="rId73" ref="F101"/>
    <hyperlink r:id="rId74" ref="F102"/>
    <hyperlink r:id="rId75" ref="F103"/>
    <hyperlink r:id="rId76" ref="F104"/>
    <hyperlink r:id="rId77" ref="F105"/>
    <hyperlink r:id="rId78" ref="F106"/>
    <hyperlink r:id="rId79" ref="F107"/>
  </hyperlinks>
  <drawing r:id="rId8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4" width="51.38"/>
    <col customWidth="1" min="5" max="5" width="20.63"/>
    <col customWidth="1" min="6" max="6" width="15.13"/>
    <col customWidth="1" min="7" max="7" width="51.38"/>
  </cols>
  <sheetData>
    <row r="1">
      <c r="A1" s="1132" t="s">
        <v>2035</v>
      </c>
      <c r="B1" s="1133" t="s">
        <v>2036</v>
      </c>
      <c r="C1" s="585"/>
      <c r="D1" s="585"/>
      <c r="E1" s="585"/>
      <c r="F1" s="585"/>
      <c r="G1" s="585"/>
      <c r="H1" s="585"/>
      <c r="I1" s="585"/>
      <c r="J1" s="585"/>
    </row>
    <row r="2">
      <c r="A2" s="1132" t="s">
        <v>2037</v>
      </c>
      <c r="B2" s="1133" t="s">
        <v>2038</v>
      </c>
      <c r="C2" s="1134"/>
      <c r="D2" s="585"/>
      <c r="E2" s="585"/>
      <c r="F2" s="585"/>
      <c r="G2" s="585"/>
      <c r="H2" s="585"/>
      <c r="I2" s="585"/>
      <c r="J2" s="585"/>
    </row>
    <row r="3">
      <c r="A3" s="1135" t="s">
        <v>2039</v>
      </c>
      <c r="B3" s="1133" t="s">
        <v>2040</v>
      </c>
      <c r="C3" s="1134"/>
      <c r="D3" s="585"/>
      <c r="E3" s="585"/>
      <c r="F3" s="585"/>
      <c r="G3" s="585"/>
      <c r="H3" s="585"/>
      <c r="I3" s="585"/>
      <c r="J3" s="585"/>
    </row>
    <row r="4">
      <c r="A4" s="1136" t="s">
        <v>2041</v>
      </c>
      <c r="B4" s="1137">
        <v>46086.0</v>
      </c>
      <c r="C4" s="585"/>
      <c r="D4" s="585"/>
      <c r="E4" s="585"/>
      <c r="F4" s="585"/>
      <c r="G4" s="585"/>
      <c r="H4" s="585"/>
      <c r="I4" s="585"/>
      <c r="J4" s="585"/>
    </row>
    <row r="5">
      <c r="A5" s="585"/>
      <c r="B5" s="585"/>
      <c r="C5" s="585"/>
      <c r="D5" s="585"/>
      <c r="E5" s="585"/>
      <c r="F5" s="585"/>
      <c r="G5" s="585"/>
      <c r="H5" s="585"/>
      <c r="I5" s="585"/>
      <c r="J5" s="585"/>
    </row>
    <row r="6" ht="42.0" customHeight="1">
      <c r="A6" s="1138" t="s">
        <v>2042</v>
      </c>
      <c r="B6" s="1139"/>
      <c r="C6" s="1139"/>
      <c r="D6" s="1139"/>
      <c r="E6" s="1139"/>
      <c r="F6" s="1139"/>
      <c r="G6" s="1140"/>
      <c r="H6" s="523"/>
      <c r="I6" s="523"/>
      <c r="J6" s="523"/>
      <c r="K6" s="671"/>
      <c r="L6" s="671"/>
      <c r="M6" s="671"/>
      <c r="N6" s="671"/>
      <c r="O6" s="671"/>
      <c r="P6" s="671"/>
      <c r="Q6" s="671"/>
      <c r="R6" s="671"/>
      <c r="S6" s="671"/>
      <c r="T6" s="671"/>
      <c r="U6" s="671"/>
      <c r="V6" s="671"/>
      <c r="W6" s="671"/>
      <c r="X6" s="671"/>
      <c r="Y6" s="671"/>
      <c r="Z6" s="671"/>
    </row>
    <row r="7">
      <c r="A7" s="1141" t="s">
        <v>2043</v>
      </c>
      <c r="B7" s="1142" t="s">
        <v>2044</v>
      </c>
      <c r="C7" s="1142" t="s">
        <v>2045</v>
      </c>
      <c r="D7" s="1142" t="s">
        <v>2046</v>
      </c>
      <c r="E7" s="1142" t="s">
        <v>2047</v>
      </c>
      <c r="F7" s="1142" t="s">
        <v>2048</v>
      </c>
      <c r="G7" s="1143" t="s">
        <v>856</v>
      </c>
      <c r="H7" s="523"/>
      <c r="I7" s="523"/>
      <c r="J7" s="523"/>
      <c r="K7" s="671"/>
      <c r="L7" s="671"/>
      <c r="M7" s="671"/>
      <c r="N7" s="671"/>
      <c r="O7" s="671"/>
      <c r="P7" s="671"/>
      <c r="Q7" s="671"/>
      <c r="R7" s="671"/>
      <c r="S7" s="671"/>
      <c r="T7" s="671"/>
      <c r="U7" s="671"/>
      <c r="V7" s="671"/>
      <c r="W7" s="671"/>
      <c r="X7" s="671"/>
      <c r="Y7" s="671"/>
      <c r="Z7" s="671"/>
    </row>
    <row r="8" ht="32.25" customHeight="1">
      <c r="A8" s="1144" t="s">
        <v>2049</v>
      </c>
      <c r="B8" s="1145" t="s">
        <v>2050</v>
      </c>
      <c r="C8" s="1146"/>
      <c r="D8" s="1147"/>
      <c r="E8" s="1147"/>
      <c r="F8" s="1147"/>
      <c r="G8" s="1148"/>
      <c r="H8" s="523"/>
      <c r="I8" s="523"/>
      <c r="J8" s="523"/>
      <c r="K8" s="671"/>
      <c r="L8" s="671"/>
      <c r="M8" s="671"/>
      <c r="N8" s="671"/>
      <c r="O8" s="671"/>
      <c r="P8" s="671"/>
      <c r="Q8" s="671"/>
      <c r="R8" s="671"/>
      <c r="S8" s="671"/>
      <c r="T8" s="671"/>
      <c r="U8" s="671"/>
      <c r="V8" s="671"/>
      <c r="W8" s="671"/>
      <c r="X8" s="671"/>
      <c r="Y8" s="671"/>
      <c r="Z8" s="671"/>
    </row>
    <row r="9" ht="39.75" customHeight="1">
      <c r="A9" s="1149">
        <v>1.0</v>
      </c>
      <c r="B9" s="1150" t="s">
        <v>2051</v>
      </c>
      <c r="C9" s="1151" t="s">
        <v>2052</v>
      </c>
      <c r="D9" s="1152"/>
      <c r="E9" s="845"/>
      <c r="F9" s="1153">
        <v>5.0</v>
      </c>
      <c r="G9" s="1154" t="s">
        <v>2053</v>
      </c>
      <c r="H9" s="523"/>
      <c r="I9" s="523"/>
      <c r="J9" s="523"/>
      <c r="K9" s="671"/>
      <c r="L9" s="671"/>
      <c r="M9" s="671"/>
      <c r="N9" s="671"/>
      <c r="O9" s="671"/>
      <c r="P9" s="671"/>
      <c r="Q9" s="671"/>
      <c r="R9" s="671"/>
      <c r="S9" s="671"/>
      <c r="T9" s="671"/>
      <c r="U9" s="671"/>
      <c r="V9" s="671"/>
      <c r="W9" s="671"/>
      <c r="X9" s="671"/>
      <c r="Y9" s="671"/>
      <c r="Z9" s="671"/>
    </row>
    <row r="10" ht="39.75" customHeight="1">
      <c r="A10" s="1155"/>
      <c r="B10" s="628"/>
      <c r="C10" s="1151" t="s">
        <v>2054</v>
      </c>
      <c r="D10" s="1156" t="s">
        <v>2055</v>
      </c>
      <c r="E10" s="845"/>
      <c r="F10" s="1157">
        <v>2.0</v>
      </c>
      <c r="G10" s="1154" t="s">
        <v>2056</v>
      </c>
      <c r="H10" s="523"/>
      <c r="I10" s="523"/>
      <c r="J10" s="523"/>
      <c r="K10" s="671"/>
      <c r="L10" s="671"/>
      <c r="M10" s="671"/>
      <c r="N10" s="671"/>
      <c r="O10" s="671"/>
      <c r="P10" s="671"/>
      <c r="Q10" s="671"/>
      <c r="R10" s="671"/>
      <c r="S10" s="671"/>
      <c r="T10" s="671"/>
      <c r="U10" s="671"/>
      <c r="V10" s="671"/>
      <c r="W10" s="671"/>
      <c r="X10" s="671"/>
      <c r="Y10" s="671"/>
      <c r="Z10" s="671"/>
    </row>
    <row r="11" ht="39.75" customHeight="1">
      <c r="A11" s="1155"/>
      <c r="B11" s="628"/>
      <c r="C11" s="1151" t="s">
        <v>2057</v>
      </c>
      <c r="D11" s="1156" t="s">
        <v>2058</v>
      </c>
      <c r="E11" s="845"/>
      <c r="F11" s="1157">
        <v>4.0</v>
      </c>
      <c r="G11" s="1154" t="s">
        <v>2053</v>
      </c>
      <c r="H11" s="523"/>
      <c r="I11" s="523"/>
      <c r="J11" s="523"/>
      <c r="K11" s="671"/>
      <c r="L11" s="671"/>
      <c r="M11" s="671"/>
      <c r="N11" s="671"/>
      <c r="O11" s="671"/>
      <c r="P11" s="671"/>
      <c r="Q11" s="671"/>
      <c r="R11" s="671"/>
      <c r="S11" s="671"/>
      <c r="T11" s="671"/>
      <c r="U11" s="671"/>
      <c r="V11" s="671"/>
      <c r="W11" s="671"/>
      <c r="X11" s="671"/>
      <c r="Y11" s="671"/>
      <c r="Z11" s="671"/>
    </row>
    <row r="12" ht="39.75" customHeight="1">
      <c r="A12" s="1158"/>
      <c r="B12" s="26"/>
      <c r="C12" s="1151" t="s">
        <v>2059</v>
      </c>
      <c r="D12" s="1156" t="s">
        <v>2060</v>
      </c>
      <c r="E12" s="845"/>
      <c r="F12" s="1157">
        <v>2.0</v>
      </c>
      <c r="G12" s="1154" t="s">
        <v>2056</v>
      </c>
      <c r="H12" s="523"/>
      <c r="I12" s="523"/>
      <c r="J12" s="523"/>
      <c r="K12" s="671"/>
      <c r="L12" s="671"/>
      <c r="M12" s="671"/>
      <c r="N12" s="671"/>
      <c r="O12" s="671"/>
      <c r="P12" s="671"/>
      <c r="Q12" s="671"/>
      <c r="R12" s="671"/>
      <c r="S12" s="671"/>
      <c r="T12" s="671"/>
      <c r="U12" s="671"/>
      <c r="V12" s="671"/>
      <c r="W12" s="671"/>
      <c r="X12" s="671"/>
      <c r="Y12" s="671"/>
      <c r="Z12" s="671"/>
    </row>
    <row r="13" ht="72.0" customHeight="1">
      <c r="A13" s="1159" t="s">
        <v>2061</v>
      </c>
      <c r="B13" s="1150" t="s">
        <v>2062</v>
      </c>
      <c r="C13" s="1151" t="s">
        <v>2063</v>
      </c>
      <c r="D13" s="1156" t="s">
        <v>2064</v>
      </c>
      <c r="E13" s="845"/>
      <c r="F13" s="1153">
        <v>4.0</v>
      </c>
      <c r="G13" s="1154" t="s">
        <v>2053</v>
      </c>
      <c r="H13" s="523"/>
      <c r="I13" s="523"/>
      <c r="J13" s="523"/>
      <c r="K13" s="671"/>
      <c r="L13" s="671"/>
      <c r="M13" s="671"/>
      <c r="N13" s="671"/>
      <c r="O13" s="671"/>
      <c r="P13" s="671"/>
      <c r="Q13" s="671"/>
      <c r="R13" s="671"/>
      <c r="S13" s="671"/>
      <c r="T13" s="671"/>
      <c r="U13" s="671"/>
      <c r="V13" s="671"/>
      <c r="W13" s="671"/>
      <c r="X13" s="671"/>
      <c r="Y13" s="671"/>
      <c r="Z13" s="671"/>
    </row>
    <row r="14" ht="39.75" customHeight="1">
      <c r="A14" s="1155"/>
      <c r="B14" s="628"/>
      <c r="C14" s="1151" t="s">
        <v>2065</v>
      </c>
      <c r="D14" s="1156" t="s">
        <v>2066</v>
      </c>
      <c r="E14" s="845"/>
      <c r="F14" s="1157">
        <v>2.0</v>
      </c>
      <c r="G14" s="1154" t="s">
        <v>2056</v>
      </c>
      <c r="H14" s="523"/>
      <c r="I14" s="523"/>
      <c r="J14" s="523"/>
      <c r="K14" s="671"/>
      <c r="L14" s="671"/>
      <c r="M14" s="671"/>
      <c r="N14" s="671"/>
      <c r="O14" s="671"/>
      <c r="P14" s="671"/>
      <c r="Q14" s="671"/>
      <c r="R14" s="671"/>
      <c r="S14" s="671"/>
      <c r="T14" s="671"/>
      <c r="U14" s="671"/>
      <c r="V14" s="671"/>
      <c r="W14" s="671"/>
      <c r="X14" s="671"/>
      <c r="Y14" s="671"/>
      <c r="Z14" s="671"/>
    </row>
    <row r="15" ht="39.75" customHeight="1">
      <c r="A15" s="1155"/>
      <c r="B15" s="628"/>
      <c r="C15" s="1151" t="s">
        <v>2057</v>
      </c>
      <c r="D15" s="1156" t="s">
        <v>2067</v>
      </c>
      <c r="E15" s="845"/>
      <c r="F15" s="1153">
        <v>4.0</v>
      </c>
      <c r="G15" s="1154" t="s">
        <v>2053</v>
      </c>
      <c r="H15" s="523"/>
      <c r="I15" s="523"/>
      <c r="J15" s="523"/>
      <c r="K15" s="671"/>
      <c r="L15" s="671"/>
      <c r="M15" s="671"/>
      <c r="N15" s="671"/>
      <c r="O15" s="671"/>
      <c r="P15" s="671"/>
      <c r="Q15" s="671"/>
      <c r="R15" s="671"/>
      <c r="S15" s="671"/>
      <c r="T15" s="671"/>
      <c r="U15" s="671"/>
      <c r="V15" s="671"/>
      <c r="W15" s="671"/>
      <c r="X15" s="671"/>
      <c r="Y15" s="671"/>
      <c r="Z15" s="671"/>
    </row>
    <row r="16" ht="39.75" customHeight="1">
      <c r="A16" s="1158"/>
      <c r="B16" s="26"/>
      <c r="C16" s="1151" t="s">
        <v>2068</v>
      </c>
      <c r="D16" s="1156" t="s">
        <v>2069</v>
      </c>
      <c r="E16" s="845"/>
      <c r="F16" s="1153">
        <v>2.0</v>
      </c>
      <c r="G16" s="1154" t="s">
        <v>2056</v>
      </c>
      <c r="H16" s="523"/>
      <c r="I16" s="523"/>
      <c r="J16" s="523"/>
      <c r="K16" s="671"/>
      <c r="L16" s="671"/>
      <c r="M16" s="671"/>
      <c r="N16" s="671"/>
      <c r="O16" s="671"/>
      <c r="P16" s="671"/>
      <c r="Q16" s="671"/>
      <c r="R16" s="671"/>
      <c r="S16" s="671"/>
      <c r="T16" s="671"/>
      <c r="U16" s="671"/>
      <c r="V16" s="671"/>
      <c r="W16" s="671"/>
      <c r="X16" s="671"/>
      <c r="Y16" s="671"/>
      <c r="Z16" s="671"/>
    </row>
    <row r="17" ht="39.75" customHeight="1">
      <c r="A17" s="1160" t="s">
        <v>2070</v>
      </c>
      <c r="B17" s="1161" t="s">
        <v>2071</v>
      </c>
      <c r="C17" s="1151" t="s">
        <v>2072</v>
      </c>
      <c r="D17" s="1156" t="s">
        <v>2067</v>
      </c>
      <c r="E17" s="845"/>
      <c r="F17" s="1153">
        <v>5.0</v>
      </c>
      <c r="G17" s="1154" t="s">
        <v>2053</v>
      </c>
      <c r="H17" s="523"/>
      <c r="I17" s="523"/>
      <c r="J17" s="523"/>
      <c r="K17" s="671"/>
      <c r="L17" s="671"/>
      <c r="M17" s="671"/>
      <c r="N17" s="671"/>
      <c r="O17" s="671"/>
      <c r="P17" s="671"/>
      <c r="Q17" s="671"/>
      <c r="R17" s="671"/>
      <c r="S17" s="671"/>
      <c r="T17" s="671"/>
      <c r="U17" s="671"/>
      <c r="V17" s="671"/>
      <c r="W17" s="671"/>
      <c r="X17" s="671"/>
      <c r="Y17" s="671"/>
      <c r="Z17" s="671"/>
    </row>
    <row r="18" ht="39.75" customHeight="1">
      <c r="A18" s="1159" t="s">
        <v>2073</v>
      </c>
      <c r="B18" s="1162" t="s">
        <v>2074</v>
      </c>
      <c r="C18" s="1151" t="s">
        <v>2075</v>
      </c>
      <c r="D18" s="1156" t="s">
        <v>2076</v>
      </c>
      <c r="E18" s="845"/>
      <c r="F18" s="1153">
        <v>4.0</v>
      </c>
      <c r="G18" s="1154" t="s">
        <v>2053</v>
      </c>
      <c r="H18" s="523"/>
      <c r="I18" s="523"/>
      <c r="J18" s="523"/>
      <c r="K18" s="671"/>
      <c r="L18" s="671"/>
      <c r="M18" s="671"/>
      <c r="N18" s="671"/>
      <c r="O18" s="671"/>
      <c r="P18" s="671"/>
      <c r="Q18" s="671"/>
      <c r="R18" s="671"/>
      <c r="S18" s="671"/>
      <c r="T18" s="671"/>
      <c r="U18" s="671"/>
      <c r="V18" s="671"/>
      <c r="W18" s="671"/>
      <c r="X18" s="671"/>
      <c r="Y18" s="671"/>
      <c r="Z18" s="671"/>
    </row>
    <row r="19" ht="39.75" customHeight="1">
      <c r="A19" s="1155"/>
      <c r="B19" s="628"/>
      <c r="C19" s="1151" t="s">
        <v>2077</v>
      </c>
      <c r="D19" s="1163"/>
      <c r="E19" s="845"/>
      <c r="F19" s="1157">
        <v>3.0</v>
      </c>
      <c r="G19" s="1154" t="s">
        <v>2056</v>
      </c>
      <c r="H19" s="523"/>
      <c r="I19" s="523"/>
      <c r="J19" s="523"/>
      <c r="K19" s="671"/>
      <c r="L19" s="671"/>
      <c r="M19" s="671"/>
      <c r="N19" s="671"/>
      <c r="O19" s="671"/>
      <c r="P19" s="671"/>
      <c r="Q19" s="671"/>
      <c r="R19" s="671"/>
      <c r="S19" s="671"/>
      <c r="T19" s="671"/>
      <c r="U19" s="671"/>
      <c r="V19" s="671"/>
      <c r="W19" s="671"/>
      <c r="X19" s="671"/>
      <c r="Y19" s="671"/>
      <c r="Z19" s="671"/>
    </row>
    <row r="20" ht="39.75" customHeight="1">
      <c r="A20" s="1155"/>
      <c r="B20" s="628"/>
      <c r="C20" s="1151" t="s">
        <v>2078</v>
      </c>
      <c r="D20" s="1164" t="s">
        <v>2079</v>
      </c>
      <c r="E20" s="845"/>
      <c r="F20" s="1153">
        <v>4.0</v>
      </c>
      <c r="G20" s="1154" t="s">
        <v>2053</v>
      </c>
      <c r="H20" s="523"/>
      <c r="I20" s="523"/>
      <c r="J20" s="523"/>
      <c r="K20" s="671"/>
      <c r="L20" s="671"/>
      <c r="M20" s="671"/>
      <c r="N20" s="671"/>
      <c r="O20" s="671"/>
      <c r="P20" s="671"/>
      <c r="Q20" s="671"/>
      <c r="R20" s="671"/>
      <c r="S20" s="671"/>
      <c r="T20" s="671"/>
      <c r="U20" s="671"/>
      <c r="V20" s="671"/>
      <c r="W20" s="671"/>
      <c r="X20" s="671"/>
      <c r="Y20" s="671"/>
      <c r="Z20" s="671"/>
    </row>
    <row r="21" ht="39.75" customHeight="1">
      <c r="A21" s="1155"/>
      <c r="B21" s="628"/>
      <c r="C21" s="1151" t="s">
        <v>2080</v>
      </c>
      <c r="D21" s="1164" t="s">
        <v>2081</v>
      </c>
      <c r="E21" s="845"/>
      <c r="F21" s="1157">
        <v>7.0</v>
      </c>
      <c r="G21" s="1154" t="s">
        <v>2053</v>
      </c>
      <c r="H21" s="523"/>
      <c r="I21" s="523"/>
      <c r="J21" s="523"/>
      <c r="K21" s="671"/>
      <c r="L21" s="671"/>
      <c r="M21" s="671"/>
      <c r="N21" s="671"/>
      <c r="O21" s="671"/>
      <c r="P21" s="671"/>
      <c r="Q21" s="671"/>
      <c r="R21" s="671"/>
      <c r="S21" s="671"/>
      <c r="T21" s="671"/>
      <c r="U21" s="671"/>
      <c r="V21" s="671"/>
      <c r="W21" s="671"/>
      <c r="X21" s="671"/>
      <c r="Y21" s="671"/>
      <c r="Z21" s="671"/>
    </row>
    <row r="22" ht="39.75" customHeight="1">
      <c r="A22" s="1155"/>
      <c r="B22" s="628"/>
      <c r="C22" s="1151" t="s">
        <v>2082</v>
      </c>
      <c r="D22" s="1163"/>
      <c r="E22" s="845"/>
      <c r="F22" s="1153">
        <v>2.0</v>
      </c>
      <c r="G22" s="1154" t="s">
        <v>2056</v>
      </c>
      <c r="H22" s="523"/>
      <c r="I22" s="523"/>
      <c r="J22" s="523"/>
      <c r="K22" s="671"/>
      <c r="L22" s="671"/>
      <c r="M22" s="671"/>
      <c r="N22" s="671"/>
      <c r="O22" s="671"/>
      <c r="P22" s="671"/>
      <c r="Q22" s="671"/>
      <c r="R22" s="671"/>
      <c r="S22" s="671"/>
      <c r="T22" s="671"/>
      <c r="U22" s="671"/>
      <c r="V22" s="671"/>
      <c r="W22" s="671"/>
      <c r="X22" s="671"/>
      <c r="Y22" s="671"/>
      <c r="Z22" s="671"/>
    </row>
    <row r="23" ht="39.75" customHeight="1">
      <c r="A23" s="1155"/>
      <c r="B23" s="628"/>
      <c r="C23" s="1151" t="s">
        <v>2083</v>
      </c>
      <c r="D23" s="1164" t="s">
        <v>2084</v>
      </c>
      <c r="E23" s="845"/>
      <c r="F23" s="1153">
        <v>4.0</v>
      </c>
      <c r="G23" s="1154" t="s">
        <v>2053</v>
      </c>
      <c r="H23" s="523"/>
      <c r="I23" s="523"/>
      <c r="J23" s="523"/>
      <c r="K23" s="671"/>
      <c r="L23" s="671"/>
      <c r="M23" s="671"/>
      <c r="N23" s="671"/>
      <c r="O23" s="671"/>
      <c r="P23" s="671"/>
      <c r="Q23" s="671"/>
      <c r="R23" s="671"/>
      <c r="S23" s="671"/>
      <c r="T23" s="671"/>
      <c r="U23" s="671"/>
      <c r="V23" s="671"/>
      <c r="W23" s="671"/>
      <c r="X23" s="671"/>
      <c r="Y23" s="671"/>
      <c r="Z23" s="671"/>
    </row>
    <row r="24" ht="39.75" customHeight="1">
      <c r="A24" s="1158"/>
      <c r="B24" s="26"/>
      <c r="C24" s="1151" t="s">
        <v>2085</v>
      </c>
      <c r="D24" s="1163"/>
      <c r="E24" s="845"/>
      <c r="F24" s="1157">
        <v>1.0</v>
      </c>
      <c r="G24" s="1154" t="s">
        <v>2056</v>
      </c>
      <c r="H24" s="523"/>
      <c r="I24" s="523"/>
      <c r="J24" s="523"/>
      <c r="K24" s="671"/>
      <c r="L24" s="671"/>
      <c r="M24" s="671"/>
      <c r="N24" s="671"/>
      <c r="O24" s="671"/>
      <c r="P24" s="671"/>
      <c r="Q24" s="671"/>
      <c r="R24" s="671"/>
      <c r="S24" s="671"/>
      <c r="T24" s="671"/>
      <c r="U24" s="671"/>
      <c r="V24" s="671"/>
      <c r="W24" s="671"/>
      <c r="X24" s="671"/>
      <c r="Y24" s="671"/>
      <c r="Z24" s="671"/>
    </row>
    <row r="25" ht="39.75" customHeight="1">
      <c r="A25" s="1159" t="s">
        <v>2086</v>
      </c>
      <c r="B25" s="1162" t="s">
        <v>2087</v>
      </c>
      <c r="C25" s="1151" t="s">
        <v>2088</v>
      </c>
      <c r="D25" s="1164" t="s">
        <v>2089</v>
      </c>
      <c r="E25" s="845"/>
      <c r="F25" s="1157">
        <v>1.0</v>
      </c>
      <c r="G25" s="1154" t="s">
        <v>2053</v>
      </c>
      <c r="H25" s="523"/>
      <c r="I25" s="523"/>
      <c r="J25" s="523"/>
      <c r="K25" s="671"/>
      <c r="L25" s="671"/>
      <c r="M25" s="671"/>
      <c r="N25" s="671"/>
      <c r="O25" s="671"/>
      <c r="P25" s="671"/>
      <c r="Q25" s="671"/>
      <c r="R25" s="671"/>
      <c r="S25" s="671"/>
      <c r="T25" s="671"/>
      <c r="U25" s="671"/>
      <c r="V25" s="671"/>
      <c r="W25" s="671"/>
      <c r="X25" s="671"/>
      <c r="Y25" s="671"/>
      <c r="Z25" s="671"/>
    </row>
    <row r="26" ht="39.75" customHeight="1">
      <c r="A26" s="1155"/>
      <c r="B26" s="628"/>
      <c r="C26" s="1151" t="s">
        <v>2090</v>
      </c>
      <c r="D26" s="1164" t="s">
        <v>2091</v>
      </c>
      <c r="E26" s="845"/>
      <c r="F26" s="1157">
        <v>1.0</v>
      </c>
      <c r="G26" s="1154" t="s">
        <v>2053</v>
      </c>
      <c r="H26" s="523"/>
      <c r="I26" s="523"/>
      <c r="J26" s="523"/>
      <c r="K26" s="671"/>
      <c r="L26" s="671"/>
      <c r="M26" s="671"/>
      <c r="N26" s="671"/>
      <c r="O26" s="671"/>
      <c r="P26" s="671"/>
      <c r="Q26" s="671"/>
      <c r="R26" s="671"/>
      <c r="S26" s="671"/>
      <c r="T26" s="671"/>
      <c r="U26" s="671"/>
      <c r="V26" s="671"/>
      <c r="W26" s="671"/>
      <c r="X26" s="671"/>
      <c r="Y26" s="671"/>
      <c r="Z26" s="671"/>
    </row>
    <row r="27" ht="39.75" customHeight="1">
      <c r="A27" s="1165"/>
      <c r="B27" s="1166"/>
      <c r="C27" s="1167" t="s">
        <v>2092</v>
      </c>
      <c r="D27" s="1168" t="s">
        <v>2093</v>
      </c>
      <c r="E27" s="1169"/>
      <c r="F27" s="1170">
        <v>15.0</v>
      </c>
      <c r="G27" s="1171" t="s">
        <v>2053</v>
      </c>
      <c r="H27" s="523"/>
      <c r="I27" s="523"/>
      <c r="J27" s="523"/>
      <c r="K27" s="671"/>
      <c r="L27" s="671"/>
      <c r="M27" s="671"/>
      <c r="N27" s="671"/>
      <c r="O27" s="671"/>
      <c r="P27" s="671"/>
      <c r="Q27" s="671"/>
      <c r="R27" s="671"/>
      <c r="S27" s="671"/>
      <c r="T27" s="671"/>
      <c r="U27" s="671"/>
      <c r="V27" s="671"/>
      <c r="W27" s="671"/>
      <c r="X27" s="671"/>
      <c r="Y27" s="671"/>
      <c r="Z27" s="671"/>
    </row>
    <row r="28">
      <c r="A28" s="585"/>
      <c r="B28" s="585"/>
      <c r="C28" s="585"/>
      <c r="D28" s="585"/>
      <c r="E28" s="585"/>
      <c r="F28" s="585"/>
      <c r="G28" s="585"/>
      <c r="H28" s="585"/>
      <c r="I28" s="585"/>
      <c r="J28" s="585"/>
    </row>
    <row r="29">
      <c r="A29" s="1172" t="s">
        <v>2094</v>
      </c>
      <c r="H29" s="585"/>
      <c r="I29" s="585"/>
      <c r="J29" s="585"/>
    </row>
    <row r="30">
      <c r="A30" s="585"/>
      <c r="B30" s="585"/>
      <c r="C30" s="585"/>
      <c r="D30" s="585"/>
      <c r="E30" s="585"/>
      <c r="F30" s="585"/>
      <c r="G30" s="585"/>
      <c r="H30" s="585"/>
      <c r="I30" s="585"/>
      <c r="J30" s="585"/>
    </row>
    <row r="31">
      <c r="A31" s="585"/>
      <c r="B31" s="585"/>
      <c r="C31" s="585"/>
      <c r="D31" s="1173"/>
      <c r="E31" s="1173"/>
      <c r="F31" s="1173"/>
      <c r="G31" s="585"/>
      <c r="H31" s="585"/>
      <c r="I31" s="585"/>
      <c r="J31" s="585"/>
    </row>
    <row r="32">
      <c r="A32" s="585"/>
      <c r="B32" s="585"/>
      <c r="C32" s="585"/>
      <c r="D32" s="585"/>
      <c r="E32" s="585"/>
      <c r="F32" s="585"/>
      <c r="G32" s="585"/>
      <c r="H32" s="585"/>
      <c r="I32" s="585"/>
      <c r="J32" s="585"/>
    </row>
    <row r="33">
      <c r="A33" s="585"/>
      <c r="B33" s="585"/>
      <c r="C33" s="585"/>
      <c r="D33" s="585"/>
      <c r="E33" s="585"/>
      <c r="F33" s="585"/>
      <c r="G33" s="585"/>
      <c r="H33" s="585"/>
      <c r="I33" s="585"/>
      <c r="J33" s="585"/>
    </row>
    <row r="34">
      <c r="A34" s="585"/>
      <c r="B34" s="585"/>
      <c r="C34" s="585"/>
      <c r="D34" s="585"/>
      <c r="E34" s="585"/>
      <c r="F34" s="585"/>
      <c r="G34" s="585"/>
      <c r="H34" s="585"/>
      <c r="I34" s="585"/>
      <c r="J34" s="585"/>
    </row>
    <row r="35">
      <c r="A35" s="585"/>
      <c r="B35" s="585"/>
      <c r="C35" s="585"/>
      <c r="D35" s="585"/>
      <c r="E35" s="585"/>
      <c r="F35" s="585"/>
      <c r="G35" s="585"/>
      <c r="H35" s="585"/>
      <c r="I35" s="585"/>
      <c r="J35" s="585"/>
    </row>
    <row r="36">
      <c r="A36" s="585"/>
      <c r="B36" s="585"/>
      <c r="C36" s="585"/>
      <c r="D36" s="585"/>
      <c r="E36" s="585"/>
      <c r="F36" s="585"/>
      <c r="G36" s="585"/>
      <c r="H36" s="585"/>
      <c r="I36" s="585"/>
      <c r="J36" s="585"/>
    </row>
    <row r="37">
      <c r="A37" s="585"/>
      <c r="B37" s="585"/>
      <c r="C37" s="585"/>
      <c r="D37" s="585"/>
      <c r="E37" s="585"/>
      <c r="F37" s="585"/>
      <c r="G37" s="585"/>
      <c r="H37" s="585"/>
      <c r="I37" s="585"/>
      <c r="J37" s="585"/>
    </row>
    <row r="38">
      <c r="A38" s="585"/>
      <c r="B38" s="585"/>
      <c r="C38" s="585"/>
      <c r="D38" s="585"/>
      <c r="E38" s="585"/>
      <c r="F38" s="585"/>
      <c r="G38" s="585"/>
      <c r="H38" s="585"/>
      <c r="I38" s="585"/>
      <c r="J38" s="585"/>
    </row>
    <row r="39">
      <c r="A39" s="585"/>
      <c r="B39" s="585"/>
      <c r="C39" s="585"/>
      <c r="D39" s="585"/>
      <c r="E39" s="585"/>
      <c r="F39" s="585"/>
      <c r="G39" s="585"/>
      <c r="H39" s="585"/>
      <c r="I39" s="585"/>
      <c r="J39" s="585"/>
    </row>
    <row r="40">
      <c r="A40" s="585"/>
      <c r="B40" s="585"/>
      <c r="C40" s="585"/>
      <c r="D40" s="585"/>
      <c r="E40" s="585"/>
      <c r="F40" s="585"/>
      <c r="G40" s="585"/>
      <c r="H40" s="585"/>
      <c r="I40" s="585"/>
      <c r="J40" s="585"/>
    </row>
    <row r="41">
      <c r="A41" s="585"/>
      <c r="B41" s="585"/>
      <c r="C41" s="585"/>
      <c r="D41" s="585"/>
      <c r="E41" s="585"/>
      <c r="F41" s="585"/>
      <c r="G41" s="585"/>
      <c r="H41" s="585"/>
      <c r="I41" s="585"/>
      <c r="J41" s="585"/>
    </row>
    <row r="42">
      <c r="A42" s="585"/>
      <c r="B42" s="585"/>
      <c r="C42" s="585"/>
      <c r="D42" s="585"/>
      <c r="E42" s="585"/>
      <c r="F42" s="585"/>
      <c r="G42" s="585"/>
      <c r="H42" s="585"/>
      <c r="I42" s="585"/>
      <c r="J42" s="585"/>
    </row>
    <row r="43">
      <c r="A43" s="585"/>
      <c r="B43" s="585"/>
      <c r="C43" s="585"/>
      <c r="D43" s="585"/>
      <c r="E43" s="585"/>
      <c r="F43" s="585"/>
      <c r="G43" s="585"/>
      <c r="H43" s="585"/>
      <c r="I43" s="585"/>
      <c r="J43" s="585"/>
    </row>
    <row r="44">
      <c r="A44" s="585"/>
      <c r="B44" s="585"/>
      <c r="C44" s="585"/>
      <c r="D44" s="585"/>
      <c r="E44" s="585"/>
      <c r="F44" s="585"/>
      <c r="G44" s="585"/>
      <c r="H44" s="585"/>
      <c r="I44" s="585"/>
      <c r="J44" s="585"/>
    </row>
    <row r="45">
      <c r="A45" s="585"/>
      <c r="B45" s="585"/>
      <c r="C45" s="585"/>
      <c r="D45" s="585"/>
      <c r="E45" s="585"/>
      <c r="F45" s="585"/>
      <c r="G45" s="585"/>
      <c r="H45" s="585"/>
      <c r="I45" s="585"/>
      <c r="J45" s="585"/>
    </row>
    <row r="46">
      <c r="A46" s="585"/>
      <c r="B46" s="585"/>
      <c r="C46" s="585"/>
      <c r="D46" s="585"/>
      <c r="E46" s="585"/>
      <c r="F46" s="585"/>
      <c r="G46" s="585"/>
      <c r="H46" s="585"/>
      <c r="I46" s="585"/>
      <c r="J46" s="585"/>
    </row>
    <row r="47">
      <c r="A47" s="585"/>
      <c r="B47" s="585"/>
      <c r="C47" s="585"/>
      <c r="D47" s="585"/>
      <c r="E47" s="585"/>
      <c r="F47" s="585"/>
      <c r="G47" s="585"/>
      <c r="H47" s="585"/>
      <c r="I47" s="585"/>
      <c r="J47" s="585"/>
    </row>
    <row r="48">
      <c r="A48" s="585"/>
      <c r="B48" s="585"/>
      <c r="C48" s="585"/>
      <c r="D48" s="585"/>
      <c r="E48" s="585"/>
      <c r="F48" s="585"/>
      <c r="G48" s="585"/>
      <c r="H48" s="585"/>
      <c r="I48" s="585"/>
      <c r="J48" s="585"/>
    </row>
    <row r="49">
      <c r="A49" s="585"/>
      <c r="B49" s="585"/>
      <c r="C49" s="585"/>
      <c r="D49" s="585"/>
      <c r="E49" s="585"/>
      <c r="F49" s="585"/>
      <c r="G49" s="585"/>
      <c r="H49" s="585"/>
      <c r="I49" s="585"/>
      <c r="J49" s="585"/>
    </row>
  </sheetData>
  <mergeCells count="29">
    <mergeCell ref="A13:A16"/>
    <mergeCell ref="B13:B16"/>
    <mergeCell ref="A18:A24"/>
    <mergeCell ref="B18:B24"/>
    <mergeCell ref="A25:A27"/>
    <mergeCell ref="B25:B27"/>
    <mergeCell ref="A6:G6"/>
    <mergeCell ref="A9:A12"/>
    <mergeCell ref="B9:B12"/>
    <mergeCell ref="D9:E9"/>
    <mergeCell ref="D10:E10"/>
    <mergeCell ref="D11:E11"/>
    <mergeCell ref="D12:E12"/>
    <mergeCell ref="D13:E13"/>
    <mergeCell ref="D14:E14"/>
    <mergeCell ref="D15:E15"/>
    <mergeCell ref="D16:E16"/>
    <mergeCell ref="D17:E17"/>
    <mergeCell ref="D18:E18"/>
    <mergeCell ref="D19:E19"/>
    <mergeCell ref="D27:E27"/>
    <mergeCell ref="A29:G29"/>
    <mergeCell ref="D20:E20"/>
    <mergeCell ref="D21:E21"/>
    <mergeCell ref="D22:E22"/>
    <mergeCell ref="D23:E23"/>
    <mergeCell ref="D24:E24"/>
    <mergeCell ref="D25:E25"/>
    <mergeCell ref="D26:E26"/>
  </mergeCells>
  <dataValidations>
    <dataValidation type="list" allowBlank="1" showErrorMessage="1" sqref="G9:G27">
      <formula1>"Agency team,C.P Five Star team,Both team"</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174" t="s">
        <v>826</v>
      </c>
      <c r="B2" s="1174" t="s">
        <v>2095</v>
      </c>
      <c r="C2" s="1174" t="s">
        <v>21</v>
      </c>
      <c r="D2" s="1174" t="s">
        <v>2096</v>
      </c>
      <c r="E2" s="1174" t="s">
        <v>2097</v>
      </c>
      <c r="F2" s="1175" t="s">
        <v>2098</v>
      </c>
      <c r="G2" s="1176"/>
      <c r="H2" s="1174" t="s">
        <v>2099</v>
      </c>
    </row>
    <row r="3">
      <c r="A3" s="1177"/>
      <c r="B3" s="1177"/>
      <c r="C3" s="1177"/>
      <c r="D3" s="1177"/>
      <c r="E3" s="1177"/>
      <c r="F3" s="1178" t="s">
        <v>2100</v>
      </c>
      <c r="G3" s="1178" t="s">
        <v>2101</v>
      </c>
      <c r="H3" s="1177"/>
    </row>
    <row r="4">
      <c r="A4" s="1179">
        <v>1.0</v>
      </c>
      <c r="B4" s="1179" t="str">
        <f>IFERROR(__xludf.DUMMYFUNCTION("REGEXEXTRACT(C4, ""@([^/?]+)"")"),"ngocshopna")</f>
        <v>ngocshopna</v>
      </c>
      <c r="C4" s="1180" t="s">
        <v>2102</v>
      </c>
      <c r="D4" s="1181"/>
      <c r="E4" s="1182" t="b">
        <v>1</v>
      </c>
      <c r="F4" s="1179">
        <v>36.4079212</v>
      </c>
      <c r="G4" s="1183"/>
      <c r="H4" s="1181"/>
    </row>
    <row r="5">
      <c r="A5" s="1179">
        <v>2.0</v>
      </c>
      <c r="B5" s="1179" t="str">
        <f>IFERROR(__xludf.DUMMYFUNCTION("REGEXEXTRACT(C5, ""@([^/?]+)"")"),"huumanh247")</f>
        <v>huumanh247</v>
      </c>
      <c r="C5" s="1180" t="s">
        <v>2103</v>
      </c>
      <c r="D5" s="1181"/>
      <c r="E5" s="1182" t="b">
        <v>1</v>
      </c>
      <c r="F5" s="1179">
        <v>9.7131761E8</v>
      </c>
      <c r="G5" s="1183"/>
      <c r="H5" s="1181"/>
    </row>
    <row r="6">
      <c r="A6" s="1179">
        <v>3.0</v>
      </c>
      <c r="B6" s="1179" t="str">
        <f>IFERROR(__xludf.DUMMYFUNCTION("REGEXEXTRACT(C6, ""@([^/?]+)"")"),"sanbengua2025")</f>
        <v>sanbengua2025</v>
      </c>
      <c r="C6" s="1180" t="s">
        <v>2104</v>
      </c>
      <c r="D6" s="1181"/>
      <c r="E6" s="1182" t="b">
        <v>1</v>
      </c>
      <c r="F6" s="1181"/>
      <c r="G6" s="1183"/>
      <c r="H6" s="1181"/>
    </row>
    <row r="7">
      <c r="A7" s="1179">
        <v>4.0</v>
      </c>
      <c r="B7" s="1179" t="str">
        <f>IFERROR(__xludf.DUMMYFUNCTION("REGEXEXTRACT(C7, ""@([^/?]+)"")"),"lethituyetnghi")</f>
        <v>lethituyetnghi</v>
      </c>
      <c r="C7" s="1180" t="s">
        <v>2105</v>
      </c>
      <c r="D7" s="1181"/>
      <c r="E7" s="1182" t="b">
        <v>1</v>
      </c>
      <c r="F7" s="1179" t="s">
        <v>2106</v>
      </c>
      <c r="G7" s="1183"/>
      <c r="H7" s="1181"/>
    </row>
    <row r="8">
      <c r="A8" s="1179">
        <v>5.0</v>
      </c>
      <c r="B8" s="1179" t="str">
        <f>IFERROR(__xludf.DUMMYFUNCTION("REGEXEXTRACT(C8, ""@([^/?]+)"")"),"anvatcungtientien")</f>
        <v>anvatcungtientien</v>
      </c>
      <c r="C8" s="1180" t="s">
        <v>2107</v>
      </c>
      <c r="D8" s="1181"/>
      <c r="E8" s="1182" t="b">
        <v>1</v>
      </c>
      <c r="F8" s="1181"/>
      <c r="G8" s="1183"/>
      <c r="H8" s="1181"/>
    </row>
    <row r="9">
      <c r="A9" s="1179">
        <v>6.0</v>
      </c>
      <c r="B9" s="1179" t="str">
        <f>IFERROR(__xludf.DUMMYFUNCTION("REGEXEXTRACT(C9, ""@([^/?]+)"")"),"letuyen9879official")</f>
        <v>letuyen9879official</v>
      </c>
      <c r="C9" s="1184" t="s">
        <v>2108</v>
      </c>
      <c r="D9" s="586"/>
      <c r="E9" s="1182" t="b">
        <v>1</v>
      </c>
      <c r="F9" s="1179" t="s">
        <v>2109</v>
      </c>
      <c r="G9" s="1183"/>
      <c r="H9" s="1181"/>
    </row>
    <row r="10">
      <c r="A10" s="1179">
        <v>7.0</v>
      </c>
      <c r="B10" s="1179" t="str">
        <f>IFERROR(__xludf.DUMMYFUNCTION("REGEXEXTRACT(C10, ""@([^/?]+)"")"),"tienbandoanvat1")</f>
        <v>tienbandoanvat1</v>
      </c>
      <c r="C10" s="1185" t="s">
        <v>2110</v>
      </c>
      <c r="D10" s="1186"/>
      <c r="E10" s="1182" t="b">
        <v>1</v>
      </c>
      <c r="F10" s="1186"/>
      <c r="G10" s="621"/>
      <c r="H10" s="1186"/>
    </row>
    <row r="11">
      <c r="A11" s="1179">
        <v>8.0</v>
      </c>
      <c r="B11" s="1179" t="str">
        <f>IFERROR(__xludf.DUMMYFUNCTION("REGEXEXTRACT(C11, ""@([^/?]+)"")"),"anngoncungtien2")</f>
        <v>anngoncungtien2</v>
      </c>
      <c r="C11" s="1185" t="s">
        <v>2111</v>
      </c>
      <c r="D11" s="1186"/>
      <c r="E11" s="1182" t="b">
        <v>1</v>
      </c>
      <c r="F11" s="621" t="s">
        <v>2112</v>
      </c>
      <c r="G11" s="621"/>
      <c r="H11" s="1186"/>
    </row>
    <row r="12">
      <c r="A12" s="1179">
        <v>9.0</v>
      </c>
      <c r="B12" s="1179" t="str">
        <f>IFERROR(__xludf.DUMMYFUNCTION("REGEXEXTRACT(C12, ""@([^/?]+)"")"),"maioanh119")</f>
        <v>maioanh119</v>
      </c>
      <c r="C12" s="1185" t="s">
        <v>2113</v>
      </c>
      <c r="D12" s="1186"/>
      <c r="E12" s="1182" t="b">
        <v>1</v>
      </c>
      <c r="F12" s="1187" t="s">
        <v>2114</v>
      </c>
      <c r="G12" s="621"/>
      <c r="H12" s="1186"/>
    </row>
    <row r="13">
      <c r="A13" s="1179">
        <v>10.0</v>
      </c>
      <c r="B13" s="1179" t="str">
        <f>IFERROR(__xludf.DUMMYFUNCTION("REGEXEXTRACT(C13, ""@([^/?]+)"")"),"langacday")</f>
        <v>langacday</v>
      </c>
      <c r="C13" s="1185" t="s">
        <v>2115</v>
      </c>
      <c r="D13" s="1186"/>
      <c r="E13" s="1182" t="b">
        <v>1</v>
      </c>
      <c r="F13" s="1186"/>
      <c r="G13" s="621"/>
      <c r="H13" s="1186"/>
    </row>
    <row r="14">
      <c r="A14" s="1179">
        <v>11.0</v>
      </c>
      <c r="B14" s="1179" t="str">
        <f>IFERROR(__xludf.DUMMYFUNCTION("REGEXEXTRACT(C14, ""@([^/?]+)"")"),"bidone_2411")</f>
        <v>bidone_2411</v>
      </c>
      <c r="C14" s="1185" t="s">
        <v>2116</v>
      </c>
      <c r="D14" s="1186"/>
      <c r="E14" s="1182" t="b">
        <v>1</v>
      </c>
      <c r="F14" s="1186"/>
      <c r="G14" s="621"/>
      <c r="H14" s="1186"/>
    </row>
    <row r="15">
      <c r="A15" s="1179">
        <v>12.0</v>
      </c>
      <c r="B15" s="1179" t="str">
        <f>IFERROR(__xludf.DUMMYFUNCTION("REGEXEXTRACT(C15, ""@([^/?]+)"")"),"nhihehe")</f>
        <v>nhihehe</v>
      </c>
      <c r="C15" s="1185" t="s">
        <v>2117</v>
      </c>
      <c r="D15" s="1186"/>
      <c r="E15" s="1182" t="b">
        <v>1</v>
      </c>
      <c r="F15" s="1186"/>
      <c r="G15" s="621"/>
      <c r="H15" s="1186"/>
    </row>
    <row r="16">
      <c r="A16" s="1179">
        <v>13.0</v>
      </c>
      <c r="B16" s="1179" t="str">
        <f>IFERROR(__xludf.DUMMYFUNCTION("REGEXEXTRACT(C16, ""@([^/?]+)"")"),"chuthiquynh27")</f>
        <v>chuthiquynh27</v>
      </c>
      <c r="C16" s="1185" t="s">
        <v>2118</v>
      </c>
      <c r="D16" s="1186"/>
      <c r="E16" s="1188" t="b">
        <v>1</v>
      </c>
      <c r="F16" s="1189">
        <v>9.68550703E8</v>
      </c>
      <c r="G16" s="621"/>
      <c r="H16" s="1186"/>
    </row>
    <row r="17">
      <c r="A17" s="1179">
        <v>14.0</v>
      </c>
      <c r="B17" s="1179" t="str">
        <f>IFERROR(__xludf.DUMMYFUNCTION("REGEXEXTRACT(C17, ""@([^/?]+)"")"),"hisoxinh")</f>
        <v>hisoxinh</v>
      </c>
      <c r="C17" s="1185" t="s">
        <v>2119</v>
      </c>
      <c r="D17" s="1186"/>
      <c r="E17" s="1188" t="b">
        <v>1</v>
      </c>
      <c r="F17" s="1189">
        <v>3.76236157E8</v>
      </c>
      <c r="G17" s="1190"/>
      <c r="H17" s="1191" t="s">
        <v>2120</v>
      </c>
    </row>
    <row r="18">
      <c r="A18" s="1179">
        <v>15.0</v>
      </c>
      <c r="B18" s="1179" t="str">
        <f>IFERROR(__xludf.DUMMYFUNCTION("REGEXEXTRACT(C18, ""@([^/?]+)"")"),"netcoshop")</f>
        <v>netcoshop</v>
      </c>
      <c r="C18" s="1185" t="s">
        <v>2121</v>
      </c>
      <c r="D18" s="1186"/>
      <c r="E18" s="1188" t="b">
        <v>1</v>
      </c>
      <c r="F18" s="621" t="s">
        <v>2122</v>
      </c>
      <c r="G18" s="621"/>
      <c r="H18" s="1186"/>
    </row>
    <row r="19">
      <c r="A19" s="1179">
        <v>16.0</v>
      </c>
      <c r="B19" s="1179" t="str">
        <f>IFERROR(__xludf.DUMMYFUNCTION("REGEXEXTRACT(C19, ""@([^/?]+)"")"),"myyunbox")</f>
        <v>myyunbox</v>
      </c>
      <c r="C19" s="1185" t="s">
        <v>2123</v>
      </c>
      <c r="D19" s="1186"/>
      <c r="E19" s="1188" t="b">
        <v>1</v>
      </c>
      <c r="F19" s="1189">
        <v>3.3650444E8</v>
      </c>
      <c r="G19" s="621"/>
      <c r="H19" s="1186"/>
    </row>
    <row r="20">
      <c r="A20" s="1179">
        <v>17.0</v>
      </c>
      <c r="B20" s="1179" t="str">
        <f>IFERROR(__xludf.DUMMYFUNCTION("REGEXEXTRACT(C20, ""@([^/?]+)"")"),"lyly_shop6")</f>
        <v>lyly_shop6</v>
      </c>
      <c r="C20" s="1192" t="s">
        <v>2124</v>
      </c>
      <c r="D20" s="1181"/>
      <c r="E20" s="1188" t="b">
        <v>1</v>
      </c>
      <c r="F20" s="1179" t="s">
        <v>2125</v>
      </c>
      <c r="G20" s="1183"/>
      <c r="H20" s="1181"/>
    </row>
    <row r="21">
      <c r="A21" s="1179">
        <v>18.0</v>
      </c>
      <c r="B21" s="1179" t="str">
        <f>IFERROR(__xludf.DUMMYFUNCTION("REGEXEXTRACT(C21, ""@([^/?]+)"")"),"qahn04")</f>
        <v>qahn04</v>
      </c>
      <c r="C21" s="1192" t="s">
        <v>2126</v>
      </c>
      <c r="D21" s="1181"/>
      <c r="E21" s="1188" t="b">
        <v>1</v>
      </c>
      <c r="F21" s="1179">
        <v>5.87633456E8</v>
      </c>
      <c r="G21" s="1183"/>
      <c r="H21" s="1181"/>
    </row>
    <row r="22">
      <c r="A22" s="1179">
        <v>19.0</v>
      </c>
      <c r="B22" s="1179" t="str">
        <f>IFERROR(__xludf.DUMMYFUNCTION("REGEXEXTRACT(C22, ""@([^/?]+)"")"),"pudding.diary")</f>
        <v>pudding.diary</v>
      </c>
      <c r="C22" s="1192" t="s">
        <v>2127</v>
      </c>
      <c r="D22" s="1181"/>
      <c r="E22" s="1188" t="b">
        <v>1</v>
      </c>
      <c r="F22" s="1181">
        <v>3.83692562E8</v>
      </c>
      <c r="G22" s="1183"/>
      <c r="H22" s="1181"/>
    </row>
    <row r="23">
      <c r="A23" s="1179">
        <v>20.0</v>
      </c>
      <c r="B23" s="1179" t="str">
        <f>IFERROR(__xludf.DUMMYFUNCTION("REGEXEXTRACT(C23, ""@([^/?]+)"")"),"cn.mp09")</f>
        <v>cn.mp09</v>
      </c>
      <c r="C23" s="1192" t="s">
        <v>2128</v>
      </c>
      <c r="D23" s="1181"/>
      <c r="E23" s="1188" t="b">
        <v>1</v>
      </c>
      <c r="F23" s="1179">
        <v>0.868406795</v>
      </c>
      <c r="G23" s="1183"/>
      <c r="H23" s="1181"/>
    </row>
    <row r="24">
      <c r="A24" s="1179">
        <v>21.0</v>
      </c>
      <c r="B24" s="1179" t="str">
        <f>IFERROR(__xludf.DUMMYFUNCTION("REGEXEXTRACT(C24, ""@([^/?]+)"")"),"tina_day25")</f>
        <v>tina_day25</v>
      </c>
      <c r="C24" s="1192" t="s">
        <v>2129</v>
      </c>
      <c r="D24" s="1181"/>
      <c r="E24" s="1188" t="b">
        <v>1</v>
      </c>
      <c r="F24" s="1181" t="s">
        <v>2130</v>
      </c>
      <c r="G24" s="1183"/>
      <c r="H24" s="1181"/>
    </row>
    <row r="25">
      <c r="A25" s="1179">
        <v>22.0</v>
      </c>
      <c r="B25" s="1179" t="str">
        <f>IFERROR(__xludf.DUMMYFUNCTION("REGEXEXTRACT(C25, ""@([^/?]+)"")"),"pudding.diary")</f>
        <v>pudding.diary</v>
      </c>
      <c r="C25" s="1192" t="s">
        <v>2127</v>
      </c>
      <c r="D25" s="586"/>
      <c r="E25" s="1188" t="b">
        <v>1</v>
      </c>
      <c r="F25" s="1179">
        <v>3.83692562E8</v>
      </c>
      <c r="G25" s="1183"/>
      <c r="H25" s="1181"/>
    </row>
    <row r="26">
      <c r="A26" s="1179">
        <v>23.0</v>
      </c>
      <c r="B26" s="1179" t="str">
        <f>IFERROR(__xludf.DUMMYFUNCTION("REGEXEXTRACT(C26, ""@([^/?]+)"")"),"thaothaoriview")</f>
        <v>thaothaoriview</v>
      </c>
      <c r="C26" s="1192" t="s">
        <v>2131</v>
      </c>
      <c r="D26" s="1186"/>
      <c r="E26" s="1188" t="b">
        <v>1</v>
      </c>
      <c r="F26" s="1186">
        <v>3.2654597E8</v>
      </c>
      <c r="G26" s="621"/>
      <c r="H26" s="1186"/>
    </row>
    <row r="27">
      <c r="A27" s="1179">
        <v>24.0</v>
      </c>
      <c r="B27" s="1179" t="str">
        <f>IFERROR(__xludf.DUMMYFUNCTION("REGEXEXTRACT(C27, ""@([^/?]+)"")"),"madrie_02")</f>
        <v>madrie_02</v>
      </c>
      <c r="C27" s="1192" t="s">
        <v>2132</v>
      </c>
      <c r="D27" s="1186"/>
      <c r="E27" s="1188" t="b">
        <v>1</v>
      </c>
      <c r="F27" s="621">
        <v>3.45837309E8</v>
      </c>
      <c r="G27" s="621"/>
      <c r="H27" s="1186"/>
    </row>
    <row r="28">
      <c r="A28" s="1179">
        <v>25.0</v>
      </c>
      <c r="B28" s="1179" t="str">
        <f>IFERROR(__xludf.DUMMYFUNCTION("REGEXEXTRACT(C28, ""@([^/?]+)"")"),"0phaibounbun")</f>
        <v>0phaibounbun</v>
      </c>
      <c r="C28" s="1192" t="s">
        <v>2133</v>
      </c>
      <c r="D28" s="1186"/>
      <c r="E28" s="1188" t="b">
        <v>1</v>
      </c>
      <c r="F28" s="1187">
        <v>9.83682935E8</v>
      </c>
      <c r="G28" s="621"/>
      <c r="H28" s="1186"/>
    </row>
    <row r="29">
      <c r="A29" s="1179">
        <v>26.0</v>
      </c>
      <c r="B29" s="1179" t="str">
        <f>IFERROR(__xludf.DUMMYFUNCTION("REGEXEXTRACT(C29, ""@([^/?]+)"")"),"i0m.bunny")</f>
        <v>i0m.bunny</v>
      </c>
      <c r="C29" s="1192" t="s">
        <v>2134</v>
      </c>
      <c r="D29" s="1186"/>
      <c r="E29" s="1188" t="b">
        <v>1</v>
      </c>
      <c r="F29" s="1186">
        <v>3.73986369E8</v>
      </c>
      <c r="G29" s="621"/>
      <c r="H29" s="1186"/>
    </row>
    <row r="30">
      <c r="A30" s="1179">
        <v>27.0</v>
      </c>
      <c r="B30" s="1179" t="str">
        <f>IFERROR(__xludf.DUMMYFUNCTION("REGEXEXTRACT(C30, ""@([^/?]+)"")"),"uchiha_satrantran")</f>
        <v>uchiha_satrantran</v>
      </c>
      <c r="C30" s="1192" t="s">
        <v>2135</v>
      </c>
      <c r="D30" s="1186"/>
      <c r="E30" s="1188" t="b">
        <v>1</v>
      </c>
      <c r="F30" s="1186">
        <v>3.94698077E8</v>
      </c>
      <c r="G30" s="621"/>
      <c r="H30" s="1186"/>
    </row>
    <row r="31">
      <c r="A31" s="1179">
        <v>28.0</v>
      </c>
      <c r="B31" s="1179" t="str">
        <f>IFERROR(__xludf.DUMMYFUNCTION("REGEXEXTRACT(C31, ""@([^/?]+)"")"),"minhminhanlinhtinh")</f>
        <v>minhminhanlinhtinh</v>
      </c>
      <c r="C31" s="1192" t="s">
        <v>2136</v>
      </c>
      <c r="D31" s="1186"/>
      <c r="E31" s="1188" t="b">
        <v>1</v>
      </c>
      <c r="F31" s="1186">
        <v>3.58940645E8</v>
      </c>
      <c r="G31" s="621"/>
      <c r="H31" s="1186"/>
    </row>
    <row r="32">
      <c r="A32" s="1179">
        <v>29.0</v>
      </c>
      <c r="B32" s="1179" t="str">
        <f>IFERROR(__xludf.DUMMYFUNCTION("REGEXEXTRACT(C32, ""@([^/?]+)"")"),"17tiktok202")</f>
        <v>17tiktok202</v>
      </c>
      <c r="C32" s="1192" t="s">
        <v>2137</v>
      </c>
      <c r="D32" s="1186"/>
      <c r="E32" s="1188" t="b">
        <v>1</v>
      </c>
      <c r="F32" s="1189">
        <v>939.672133</v>
      </c>
      <c r="G32" s="621"/>
      <c r="H32" s="1186"/>
    </row>
    <row r="33">
      <c r="A33" s="1179">
        <v>30.0</v>
      </c>
      <c r="B33" s="1179" t="str">
        <f>IFERROR(__xludf.DUMMYFUNCTION("REGEXEXTRACT(C33, ""@([^/?]+)"")"),"donna_iuu")</f>
        <v>donna_iuu</v>
      </c>
      <c r="C33" s="1192" t="s">
        <v>2138</v>
      </c>
      <c r="D33" s="1186"/>
      <c r="E33" s="1188" t="b">
        <v>1</v>
      </c>
      <c r="F33" s="1189" t="s">
        <v>2139</v>
      </c>
      <c r="G33" s="1190"/>
      <c r="H33" s="1191"/>
    </row>
    <row r="34">
      <c r="A34" s="1179">
        <v>31.0</v>
      </c>
      <c r="B34" s="1179" t="str">
        <f>IFERROR(__xludf.DUMMYFUNCTION("REGEXEXTRACT(C34, ""@([^/?]+)"")"),"linhta_linhtinh1109")</f>
        <v>linhta_linhtinh1109</v>
      </c>
      <c r="C34" s="1192" t="s">
        <v>2140</v>
      </c>
      <c r="D34" s="1186"/>
      <c r="E34" s="1188" t="b">
        <v>1</v>
      </c>
      <c r="F34" s="621">
        <v>7.69666216E8</v>
      </c>
      <c r="G34" s="621"/>
      <c r="H34" s="1186"/>
    </row>
    <row r="35">
      <c r="A35" s="1179">
        <v>32.0</v>
      </c>
      <c r="B35" s="1179" t="str">
        <f>IFERROR(__xludf.DUMMYFUNCTION("REGEXEXTRACT(C35, ""@([^/?]+)"")"),"bagiaanvung")</f>
        <v>bagiaanvung</v>
      </c>
      <c r="C35" s="1192" t="s">
        <v>2141</v>
      </c>
      <c r="D35" s="1186"/>
      <c r="E35" s="1188" t="b">
        <v>1</v>
      </c>
      <c r="F35" s="1189">
        <v>3.73223688E8</v>
      </c>
      <c r="G35" s="621"/>
      <c r="H35" s="1186"/>
    </row>
    <row r="36">
      <c r="A36" s="1179">
        <v>33.0</v>
      </c>
      <c r="B36" s="1179" t="str">
        <f>IFERROR(__xludf.DUMMYFUNCTION("REGEXEXTRACT(C36, ""@([^/?]+)"")"),"dhoa.nguyen_")</f>
        <v>dhoa.nguyen_</v>
      </c>
      <c r="C36" s="1192" t="s">
        <v>2142</v>
      </c>
      <c r="D36" s="1181"/>
      <c r="E36" s="1188" t="b">
        <v>1</v>
      </c>
      <c r="F36" s="1179" t="s">
        <v>2143</v>
      </c>
      <c r="G36" s="1183"/>
      <c r="H36" s="1181"/>
    </row>
    <row r="37">
      <c r="A37" s="1179">
        <v>34.0</v>
      </c>
      <c r="B37" s="1179" t="str">
        <f>IFERROR(__xludf.DUMMYFUNCTION("REGEXEXTRACT(C37, ""@([^/?]+)"")"),"kokuma04")</f>
        <v>kokuma04</v>
      </c>
      <c r="C37" s="1192" t="s">
        <v>2144</v>
      </c>
      <c r="D37" s="1181"/>
      <c r="E37" s="1188" t="b">
        <v>1</v>
      </c>
      <c r="F37" s="1179" t="s">
        <v>2145</v>
      </c>
      <c r="G37" s="1183"/>
      <c r="H37" s="1181"/>
    </row>
    <row r="38">
      <c r="A38" s="1179">
        <v>35.0</v>
      </c>
      <c r="B38" s="1179" t="str">
        <f>IFERROR(__xludf.DUMMYFUNCTION("REGEXEXTRACT(C38, ""@([^/?]+)"")"),"buunboxlonxon")</f>
        <v>buunboxlonxon</v>
      </c>
      <c r="C38" s="1192" t="s">
        <v>2146</v>
      </c>
      <c r="D38" s="1181"/>
      <c r="E38" s="1188" t="b">
        <v>1</v>
      </c>
      <c r="F38" s="1181">
        <v>7.98021849E8</v>
      </c>
      <c r="G38" s="1183"/>
      <c r="H38" s="1181"/>
    </row>
    <row r="39">
      <c r="A39" s="1179">
        <v>36.0</v>
      </c>
      <c r="B39" s="1179" t="str">
        <f>IFERROR(__xludf.DUMMYFUNCTION("REGEXEXTRACT(C39, ""@([^/?]+)"")"),"sangthichanvat")</f>
        <v>sangthichanvat</v>
      </c>
      <c r="C39" s="1192" t="s">
        <v>2147</v>
      </c>
      <c r="D39" s="1181"/>
      <c r="E39" s="1188" t="b">
        <v>1</v>
      </c>
      <c r="F39" s="1179">
        <v>8.79122777E8</v>
      </c>
      <c r="G39" s="1183"/>
      <c r="H39" s="1181"/>
    </row>
    <row r="40">
      <c r="A40" s="1179">
        <v>37.0</v>
      </c>
      <c r="B40" s="1179" t="str">
        <f>IFERROR(__xludf.DUMMYFUNCTION("REGEXEXTRACT(C40, ""@([^/?]+)"")"),"thuvaobep.23")</f>
        <v>thuvaobep.23</v>
      </c>
      <c r="C40" s="1192" t="s">
        <v>2148</v>
      </c>
      <c r="D40" s="1181"/>
      <c r="E40" s="1188" t="b">
        <v>1</v>
      </c>
      <c r="F40" s="1181">
        <v>9.62283807E8</v>
      </c>
      <c r="G40" s="1183"/>
      <c r="H40" s="1181"/>
    </row>
    <row r="41">
      <c r="A41" s="1179">
        <v>38.0</v>
      </c>
      <c r="B41" s="1179" t="str">
        <f>IFERROR(__xludf.DUMMYFUNCTION("REGEXEXTRACT(C41, ""@([^/?]+)"")"),"angidayphong")</f>
        <v>angidayphong</v>
      </c>
      <c r="C41" s="1192" t="s">
        <v>2149</v>
      </c>
      <c r="D41" s="586"/>
      <c r="E41" s="1188" t="b">
        <v>1</v>
      </c>
      <c r="F41" s="1179"/>
      <c r="G41" s="1183"/>
      <c r="H41" s="1181"/>
    </row>
    <row r="42">
      <c r="A42" s="1179">
        <v>39.0</v>
      </c>
      <c r="B42" s="1179" t="str">
        <f>IFERROR(__xludf.DUMMYFUNCTION("REGEXEXTRACT(C42, ""@([^/?]+)"")"),"thuytymy88")</f>
        <v>thuytymy88</v>
      </c>
      <c r="C42" s="1192" t="s">
        <v>2150</v>
      </c>
      <c r="D42" s="1186"/>
      <c r="E42" s="1188" t="b">
        <v>1</v>
      </c>
      <c r="F42" s="1186" t="s">
        <v>2151</v>
      </c>
      <c r="G42" s="621"/>
      <c r="H42" s="1186"/>
    </row>
    <row r="43">
      <c r="A43" s="1179">
        <v>40.0</v>
      </c>
      <c r="B43" s="586"/>
      <c r="C43" s="586"/>
      <c r="D43" s="1186"/>
      <c r="E43" s="1188" t="b">
        <v>1</v>
      </c>
      <c r="F43" s="621"/>
      <c r="G43" s="621"/>
      <c r="H43" s="1186"/>
    </row>
    <row r="44">
      <c r="A44" s="1179">
        <v>41.0</v>
      </c>
      <c r="B44" s="1179" t="str">
        <f>IFERROR(__xludf.DUMMYFUNCTION("REGEXEXTRACT(C44, ""@([^/?]+)"")"),"thichhuongne")</f>
        <v>thichhuongne</v>
      </c>
      <c r="C44" s="1192" t="s">
        <v>2152</v>
      </c>
      <c r="D44" s="1186"/>
      <c r="E44" s="1188" t="b">
        <v>1</v>
      </c>
      <c r="F44" s="1187"/>
      <c r="G44" s="621"/>
      <c r="H44" s="1186"/>
    </row>
    <row r="45">
      <c r="A45" s="1179">
        <v>42.0</v>
      </c>
      <c r="B45" s="1179" t="str">
        <f>IFERROR(__xludf.DUMMYFUNCTION("REGEXEXTRACT(C45, ""@([^/?]+)"")"),"vinhcorau")</f>
        <v>vinhcorau</v>
      </c>
      <c r="C45" s="1192" t="s">
        <v>2153</v>
      </c>
      <c r="D45" s="1186"/>
      <c r="E45" s="1188" t="b">
        <v>1</v>
      </c>
      <c r="F45" s="1186"/>
      <c r="G45" s="621"/>
      <c r="H45" s="1186"/>
    </row>
    <row r="46">
      <c r="A46" s="1179">
        <v>43.0</v>
      </c>
      <c r="B46" s="1179" t="str">
        <f>IFERROR(__xludf.DUMMYFUNCTION("REGEXEXTRACT(C46, ""@([^/?]+)"")"),"hungbeosanseo")</f>
        <v>hungbeosanseo</v>
      </c>
      <c r="C46" s="1192" t="s">
        <v>2154</v>
      </c>
      <c r="D46" s="1186"/>
      <c r="E46" s="1188" t="b">
        <v>1</v>
      </c>
      <c r="F46" s="1186">
        <v>8.65019794E8</v>
      </c>
      <c r="G46" s="621"/>
      <c r="H46" s="1186"/>
    </row>
    <row r="47">
      <c r="A47" s="1179">
        <v>44.0</v>
      </c>
      <c r="B47" s="1179" t="str">
        <f>IFERROR(__xludf.DUMMYFUNCTION("REGEXEXTRACT(C47, ""@([^/?]+)"")"),"hienbachhoa01")</f>
        <v>hienbachhoa01</v>
      </c>
      <c r="C47" s="1192" t="s">
        <v>2155</v>
      </c>
      <c r="D47" s="1186"/>
      <c r="E47" s="1188" t="b">
        <v>1</v>
      </c>
      <c r="F47" s="1186">
        <v>9.01488634E8</v>
      </c>
      <c r="G47" s="621"/>
      <c r="H47" s="1186"/>
    </row>
    <row r="48">
      <c r="A48" s="1179">
        <v>45.0</v>
      </c>
      <c r="B48" s="1179" t="str">
        <f>IFERROR(__xludf.DUMMYFUNCTION("REGEXEXTRACT(C48, ""@([^/?]+)"")"),"_dknhat_")</f>
        <v>_dknhat_</v>
      </c>
      <c r="C48" s="1192" t="s">
        <v>2156</v>
      </c>
      <c r="D48" s="1186"/>
      <c r="E48" s="1188" t="b">
        <v>1</v>
      </c>
      <c r="F48" s="1189" t="s">
        <v>2157</v>
      </c>
      <c r="G48" s="621"/>
      <c r="H48" s="1186"/>
    </row>
    <row r="49">
      <c r="A49" s="1179">
        <v>46.0</v>
      </c>
      <c r="B49" s="1179" t="str">
        <f>IFERROR(__xludf.DUMMYFUNCTION("REGEXEXTRACT(C49, ""@([^/?]+)"")"),"thanh.san.deal")</f>
        <v>thanh.san.deal</v>
      </c>
      <c r="C49" s="1192" t="s">
        <v>2158</v>
      </c>
      <c r="D49" s="1186"/>
      <c r="E49" s="1188" t="b">
        <v>1</v>
      </c>
      <c r="F49" s="1189">
        <v>9.67490575E8</v>
      </c>
      <c r="G49" s="1190"/>
      <c r="H49" s="1191"/>
    </row>
    <row r="50">
      <c r="A50" s="1179">
        <v>47.0</v>
      </c>
      <c r="B50" s="1179" t="str">
        <f>IFERROR(__xludf.DUMMYFUNCTION("REGEXEXTRACT(C50, ""@([^/?]+)"")"),"quoc.anvat")</f>
        <v>quoc.anvat</v>
      </c>
      <c r="C50" s="1192" t="s">
        <v>2159</v>
      </c>
      <c r="D50" s="1186"/>
      <c r="E50" s="1188" t="b">
        <v>1</v>
      </c>
      <c r="F50" s="621">
        <v>9.78153718E8</v>
      </c>
      <c r="G50" s="621"/>
      <c r="H50" s="1186"/>
    </row>
    <row r="51">
      <c r="A51" s="1179">
        <v>48.0</v>
      </c>
      <c r="B51" s="1179" t="str">
        <f>IFERROR(__xludf.DUMMYFUNCTION("REGEXEXTRACT(C51, ""@([^/?]+)"")"),"lemlem1602")</f>
        <v>lemlem1602</v>
      </c>
      <c r="C51" s="1192" t="s">
        <v>2160</v>
      </c>
      <c r="D51" s="1186"/>
      <c r="E51" s="1188" t="b">
        <v>1</v>
      </c>
      <c r="F51" s="1189">
        <v>9.890123E8</v>
      </c>
      <c r="G51" s="621"/>
      <c r="H51" s="1186"/>
    </row>
    <row r="52">
      <c r="A52" s="1179">
        <v>49.0</v>
      </c>
      <c r="B52" s="1179" t="str">
        <f>IFERROR(__xludf.DUMMYFUNCTION("REGEXEXTRACT(C52, ""@([^/?]+)"")"),"luuluutham91")</f>
        <v>luuluutham91</v>
      </c>
      <c r="C52" s="1192" t="s">
        <v>2161</v>
      </c>
      <c r="D52" s="1186"/>
      <c r="E52" s="1188" t="b">
        <v>1</v>
      </c>
      <c r="F52" s="1186" t="s">
        <v>2162</v>
      </c>
      <c r="G52" s="621"/>
      <c r="H52" s="1186"/>
    </row>
    <row r="53">
      <c r="A53" s="1179">
        <v>50.0</v>
      </c>
      <c r="B53" s="1179" t="str">
        <f>IFERROR(__xludf.DUMMYFUNCTION("REGEXEXTRACT(C53, ""@([^/?]+)"")"),"celinecam94")</f>
        <v>celinecam94</v>
      </c>
      <c r="C53" s="1192" t="s">
        <v>2163</v>
      </c>
      <c r="D53" s="1186"/>
      <c r="E53" s="1188" t="b">
        <v>1</v>
      </c>
      <c r="F53" s="621">
        <v>8.14721386E8</v>
      </c>
      <c r="G53" s="621" t="s">
        <v>2164</v>
      </c>
      <c r="H53" s="1186"/>
    </row>
    <row r="54">
      <c r="A54" s="1179">
        <v>51.0</v>
      </c>
      <c r="B54" s="1179" t="str">
        <f>IFERROR(__xludf.DUMMYFUNCTION("REGEXEXTRACT(C54, ""@([^/?]+)"")"),"kieuchi.live")</f>
        <v>kieuchi.live</v>
      </c>
      <c r="C54" s="1192" t="s">
        <v>2165</v>
      </c>
      <c r="D54" s="1186"/>
      <c r="E54" s="1188" t="b">
        <v>1</v>
      </c>
      <c r="F54" s="1187"/>
      <c r="G54" s="621"/>
      <c r="H54" s="1186"/>
    </row>
    <row r="55">
      <c r="A55" s="1179">
        <v>52.0</v>
      </c>
      <c r="B55" s="1179" t="str">
        <f>IFERROR(__xludf.DUMMYFUNCTION("REGEXEXTRACT(C55, ""@([^/?]+)"")"),"phan_vi170804")</f>
        <v>phan_vi170804</v>
      </c>
      <c r="C55" s="1192" t="s">
        <v>2166</v>
      </c>
      <c r="D55" s="1186"/>
      <c r="E55" s="1188" t="b">
        <v>1</v>
      </c>
      <c r="F55" s="1186" t="s">
        <v>2167</v>
      </c>
      <c r="G55" s="621"/>
      <c r="H55" s="1186"/>
    </row>
    <row r="56">
      <c r="A56" s="1179">
        <v>53.0</v>
      </c>
      <c r="B56" s="1179" t="str">
        <f>IFERROR(__xludf.DUMMYFUNCTION("REGEXEXTRACT(C56, ""@([^/?]+)"")"),"tranmyle1992")</f>
        <v>tranmyle1992</v>
      </c>
      <c r="C56" s="1192" t="s">
        <v>2168</v>
      </c>
      <c r="D56" s="1186"/>
      <c r="E56" s="1188" t="b">
        <v>1</v>
      </c>
      <c r="F56" s="1186">
        <v>9.87110081E8</v>
      </c>
      <c r="G56" s="621"/>
      <c r="H56" s="1186"/>
    </row>
    <row r="57">
      <c r="A57" s="1179">
        <v>54.0</v>
      </c>
      <c r="B57" s="1193" t="str">
        <f>IFERROR(__xludf.DUMMYFUNCTION("REGEXEXTRACT(C57, ""@([^/?]+)"")"),"ngan.huynh.ne")</f>
        <v>ngan.huynh.ne</v>
      </c>
      <c r="C57" s="1192" t="s">
        <v>2169</v>
      </c>
      <c r="D57" s="1186"/>
      <c r="E57" s="1188" t="b">
        <v>1</v>
      </c>
      <c r="F57" s="1186" t="s">
        <v>2170</v>
      </c>
      <c r="G57" s="621"/>
      <c r="H57" s="1186"/>
    </row>
    <row r="58">
      <c r="A58" s="1179">
        <v>55.0</v>
      </c>
      <c r="B58" s="1179" t="str">
        <f>IFERROR(__xludf.DUMMYFUNCTION("REGEXEXTRACT(C58, ""@([^/?]+)"")"),"nhatlinhnoithat.94")</f>
        <v>nhatlinhnoithat.94</v>
      </c>
      <c r="C58" s="1192" t="s">
        <v>2171</v>
      </c>
      <c r="D58" s="1186"/>
      <c r="E58" s="1188" t="b">
        <v>1</v>
      </c>
      <c r="F58" s="1189" t="s">
        <v>2172</v>
      </c>
      <c r="G58" s="621"/>
      <c r="H58" s="1186"/>
    </row>
    <row r="59">
      <c r="A59" s="1179">
        <v>56.0</v>
      </c>
      <c r="B59" s="1179" t="str">
        <f>IFERROR(__xludf.DUMMYFUNCTION("REGEXEXTRACT(C59, ""@([^/?]+)"")"),"tieumyluoinauan")</f>
        <v>tieumyluoinauan</v>
      </c>
      <c r="C59" s="1192" t="s">
        <v>2173</v>
      </c>
      <c r="D59" s="1186"/>
      <c r="E59" s="1188" t="b">
        <v>1</v>
      </c>
      <c r="F59" s="1189">
        <v>8.37563555E8</v>
      </c>
      <c r="G59" s="1190"/>
      <c r="H59" s="1191"/>
    </row>
    <row r="60">
      <c r="A60" s="1179">
        <v>57.0</v>
      </c>
      <c r="B60" s="1179" t="str">
        <f>IFERROR(__xludf.DUMMYFUNCTION("REGEXEXTRACT(C60, ""@([^/?]+)"")"),"meberyne")</f>
        <v>meberyne</v>
      </c>
      <c r="C60" s="1192" t="s">
        <v>2174</v>
      </c>
      <c r="D60" s="1186"/>
      <c r="E60" s="1188" t="b">
        <v>1</v>
      </c>
      <c r="F60" s="621">
        <v>9.7503486E8</v>
      </c>
      <c r="G60" s="621"/>
      <c r="H60" s="1186"/>
    </row>
  </sheetData>
  <mergeCells count="7">
    <mergeCell ref="A2:A3"/>
    <mergeCell ref="B2:B3"/>
    <mergeCell ref="C2:C3"/>
    <mergeCell ref="D2:D3"/>
    <mergeCell ref="E2:E3"/>
    <mergeCell ref="F2:G2"/>
    <mergeCell ref="H2:H3"/>
  </mergeCells>
  <hyperlinks>
    <hyperlink r:id="rId1" ref="C4"/>
    <hyperlink r:id="rId2" ref="C5"/>
    <hyperlink r:id="rId3" ref="C6"/>
    <hyperlink r:id="rId4" ref="C7"/>
    <hyperlink r:id="rId5" ref="C8"/>
    <hyperlink r:id="rId6" ref="C9"/>
    <hyperlink r:id="rId7" ref="C10"/>
    <hyperlink r:id="rId8" ref="C11"/>
    <hyperlink r:id="rId9" ref="C12"/>
    <hyperlink r:id="rId10" ref="F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 r:id="rId53" ref="C56"/>
    <hyperlink r:id="rId54" ref="C57"/>
    <hyperlink r:id="rId55" ref="C58"/>
    <hyperlink r:id="rId56" ref="C59"/>
    <hyperlink r:id="rId57" ref="C60"/>
  </hyperlinks>
  <drawing r:id="rId5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1.5"/>
    <col customWidth="1" min="21" max="22" width="13.25"/>
  </cols>
  <sheetData>
    <row r="1" outlineLevel="1">
      <c r="A1" s="1" t="s">
        <v>2175</v>
      </c>
      <c r="B1" s="2"/>
      <c r="C1" s="2"/>
      <c r="D1" s="3"/>
      <c r="E1" s="2"/>
      <c r="F1" s="4"/>
      <c r="G1" s="2"/>
      <c r="H1" s="2"/>
      <c r="I1" s="2"/>
      <c r="J1" s="2"/>
      <c r="K1" s="5"/>
      <c r="L1" s="6"/>
      <c r="M1" s="6"/>
      <c r="N1" s="6"/>
      <c r="O1" s="6"/>
      <c r="P1" s="6"/>
      <c r="Q1" s="6"/>
      <c r="R1" s="7"/>
      <c r="S1" s="8"/>
      <c r="T1" s="8"/>
      <c r="U1" s="8"/>
      <c r="V1" s="8"/>
    </row>
    <row r="2" outlineLevel="1">
      <c r="A2" s="10"/>
      <c r="B2" s="11"/>
      <c r="C2" s="11"/>
      <c r="D2" s="11"/>
      <c r="E2" s="2"/>
      <c r="F2" s="4"/>
      <c r="G2" s="2"/>
      <c r="H2" s="2"/>
      <c r="I2" s="2"/>
      <c r="J2" s="2"/>
      <c r="K2" s="5"/>
      <c r="L2" s="6"/>
      <c r="M2" s="6"/>
      <c r="N2" s="6"/>
      <c r="O2" s="6"/>
      <c r="P2" s="6"/>
      <c r="Q2" s="6"/>
      <c r="R2" s="7"/>
      <c r="S2" s="8"/>
      <c r="T2" s="8"/>
      <c r="U2" s="8"/>
      <c r="V2" s="8"/>
    </row>
    <row r="3" ht="27.0" customHeight="1" outlineLevel="1">
      <c r="A3" s="12" t="s">
        <v>1</v>
      </c>
      <c r="B3" s="13" t="s">
        <v>2</v>
      </c>
      <c r="C3" s="14" t="s">
        <v>3</v>
      </c>
      <c r="D3" s="14" t="s">
        <v>4</v>
      </c>
      <c r="E3" s="15" t="s">
        <v>5</v>
      </c>
      <c r="J3" s="6"/>
      <c r="K3" s="2"/>
      <c r="L3" s="5"/>
      <c r="M3" s="6"/>
      <c r="N3" s="6"/>
      <c r="O3" s="6"/>
      <c r="P3" s="6"/>
      <c r="Q3" s="6"/>
      <c r="R3" s="6"/>
      <c r="S3" s="7"/>
      <c r="T3" s="7"/>
      <c r="U3" s="7"/>
      <c r="V3" s="7"/>
    </row>
    <row r="4" ht="27.0" customHeight="1" outlineLevel="1">
      <c r="A4" s="17"/>
      <c r="B4" s="18"/>
      <c r="C4" s="19" t="s">
        <v>6</v>
      </c>
      <c r="D4" s="20">
        <f>sum(D5,D7,D9:D10)</f>
        <v>39</v>
      </c>
      <c r="E4" s="20">
        <f>Sum(E5:E11)</f>
        <v>601000000</v>
      </c>
      <c r="J4" s="2"/>
      <c r="K4" s="2"/>
      <c r="L4" s="5"/>
      <c r="M4" s="6"/>
      <c r="N4" s="6"/>
      <c r="O4" s="6"/>
      <c r="P4" s="6"/>
      <c r="Q4" s="6"/>
      <c r="R4" s="6"/>
      <c r="S4" s="7"/>
      <c r="T4" s="7"/>
      <c r="U4" s="7"/>
      <c r="V4" s="7"/>
    </row>
    <row r="5" ht="27.0" customHeight="1" outlineLevel="1">
      <c r="A5" s="675">
        <v>1.0</v>
      </c>
      <c r="B5" s="22" t="str">
        <f>A20</f>
        <v>FOODY REVIEWER</v>
      </c>
      <c r="C5" s="23" t="s">
        <v>7</v>
      </c>
      <c r="D5" s="24">
        <f t="shared" ref="D5:D6" si="1">K20</f>
        <v>8</v>
      </c>
      <c r="E5" s="25">
        <f>Q20</f>
        <v>171000000</v>
      </c>
      <c r="J5" s="2"/>
      <c r="K5" s="2"/>
      <c r="L5" s="5"/>
      <c r="M5" s="6"/>
      <c r="N5" s="6"/>
      <c r="O5" s="6"/>
      <c r="P5" s="6"/>
      <c r="Q5" s="6"/>
      <c r="R5" s="6"/>
      <c r="S5" s="7"/>
      <c r="T5" s="7"/>
      <c r="U5" s="7"/>
      <c r="V5" s="7"/>
    </row>
    <row r="6" ht="27.0" customHeight="1" outlineLevel="1">
      <c r="A6" s="26"/>
      <c r="B6" s="26"/>
      <c r="C6" s="23" t="s">
        <v>8</v>
      </c>
      <c r="D6" s="24">
        <f t="shared" si="1"/>
        <v>5</v>
      </c>
      <c r="E6" s="26"/>
      <c r="J6" s="2"/>
      <c r="K6" s="2"/>
      <c r="L6" s="5"/>
      <c r="M6" s="6"/>
      <c r="N6" s="6"/>
      <c r="O6" s="6"/>
      <c r="P6" s="6"/>
      <c r="Q6" s="6"/>
      <c r="R6" s="6"/>
      <c r="S6" s="7"/>
      <c r="T6" s="7"/>
      <c r="U6" s="7"/>
      <c r="V6" s="7"/>
    </row>
    <row r="7" ht="27.0" customHeight="1" outlineLevel="1">
      <c r="A7" s="676">
        <v>2.0</v>
      </c>
      <c r="B7" s="22" t="str">
        <f>A42</f>
        <v>FOODY UGC</v>
      </c>
      <c r="C7" s="23" t="s">
        <v>7</v>
      </c>
      <c r="D7" s="24">
        <f t="shared" ref="D7:D8" si="2">K42</f>
        <v>21</v>
      </c>
      <c r="E7" s="25">
        <f>Q42</f>
        <v>194000000</v>
      </c>
      <c r="J7" s="2"/>
      <c r="K7" s="2"/>
      <c r="L7" s="5"/>
      <c r="M7" s="6"/>
      <c r="N7" s="6"/>
      <c r="O7" s="6"/>
      <c r="P7" s="6"/>
      <c r="Q7" s="6"/>
      <c r="R7" s="6"/>
      <c r="S7" s="7"/>
      <c r="T7" s="7"/>
      <c r="U7" s="7"/>
      <c r="V7" s="7"/>
    </row>
    <row r="8" ht="27.0" customHeight="1" outlineLevel="1">
      <c r="A8" s="26"/>
      <c r="B8" s="26"/>
      <c r="C8" s="23" t="s">
        <v>8</v>
      </c>
      <c r="D8" s="28">
        <f t="shared" si="2"/>
        <v>21</v>
      </c>
      <c r="E8" s="26"/>
      <c r="J8" s="2"/>
      <c r="K8" s="2"/>
      <c r="L8" s="5"/>
      <c r="M8" s="6"/>
      <c r="N8" s="6"/>
      <c r="O8" s="6"/>
      <c r="P8" s="6"/>
      <c r="Q8" s="6"/>
      <c r="R8" s="6"/>
      <c r="S8" s="7"/>
      <c r="T8" s="7"/>
      <c r="U8" s="7"/>
      <c r="V8" s="7"/>
    </row>
    <row r="9" ht="27.0" customHeight="1" outlineLevel="1">
      <c r="A9" s="676">
        <v>3.0</v>
      </c>
      <c r="B9" s="22" t="str">
        <f>A96</f>
        <v>FOODY COMMUNITY</v>
      </c>
      <c r="C9" s="23" t="s">
        <v>9</v>
      </c>
      <c r="D9" s="28">
        <f>K97</f>
        <v>5</v>
      </c>
      <c r="E9" s="25">
        <f>Q96</f>
        <v>216000000</v>
      </c>
      <c r="J9" s="2"/>
      <c r="K9" s="2"/>
      <c r="L9" s="5"/>
      <c r="M9" s="6"/>
      <c r="N9" s="6"/>
      <c r="O9" s="6"/>
      <c r="P9" s="6"/>
      <c r="Q9" s="6"/>
      <c r="R9" s="6"/>
      <c r="S9" s="7"/>
      <c r="T9" s="7"/>
      <c r="U9" s="7"/>
      <c r="V9" s="7"/>
    </row>
    <row r="10" ht="27.0" customHeight="1" outlineLevel="1">
      <c r="A10" s="26"/>
      <c r="B10" s="26"/>
      <c r="C10" s="29" t="s">
        <v>10</v>
      </c>
      <c r="D10" s="28">
        <f>K96</f>
        <v>5</v>
      </c>
      <c r="E10" s="26"/>
      <c r="J10" s="2"/>
      <c r="K10" s="2"/>
      <c r="L10" s="5"/>
      <c r="M10" s="6"/>
      <c r="N10" s="6"/>
      <c r="O10" s="6"/>
      <c r="P10" s="6"/>
      <c r="Q10" s="6"/>
      <c r="R10" s="6"/>
      <c r="S10" s="7"/>
      <c r="T10" s="7"/>
      <c r="U10" s="7"/>
      <c r="V10" s="7"/>
    </row>
    <row r="11" ht="27.0" customHeight="1" outlineLevel="1">
      <c r="A11" s="677">
        <v>4.0</v>
      </c>
      <c r="B11" s="31" t="str">
        <f>A108</f>
        <v>SEEDING PACKAGE</v>
      </c>
      <c r="C11" s="29" t="s">
        <v>11</v>
      </c>
      <c r="D11" s="28">
        <f>K109</f>
        <v>2000</v>
      </c>
      <c r="E11" s="32">
        <f>Q108</f>
        <v>20000000</v>
      </c>
      <c r="J11" s="2"/>
      <c r="K11" s="2"/>
      <c r="L11" s="5"/>
      <c r="M11" s="6"/>
      <c r="N11" s="6"/>
      <c r="O11" s="6"/>
      <c r="P11" s="6"/>
      <c r="Q11" s="6"/>
      <c r="R11" s="6"/>
      <c r="S11" s="7"/>
      <c r="T11" s="7"/>
      <c r="U11" s="7"/>
      <c r="V11" s="7"/>
    </row>
    <row r="12" ht="27.0" customHeight="1" outlineLevel="1">
      <c r="A12" s="33"/>
      <c r="B12" s="34" t="s">
        <v>12</v>
      </c>
      <c r="C12" s="35"/>
      <c r="D12" s="35"/>
      <c r="E12" s="36">
        <f>E4</f>
        <v>601000000</v>
      </c>
      <c r="K12" s="2"/>
      <c r="L12" s="5"/>
      <c r="M12" s="6"/>
      <c r="N12" s="6"/>
      <c r="O12" s="6"/>
      <c r="P12" s="6"/>
      <c r="Q12" s="6"/>
      <c r="R12" s="681"/>
      <c r="S12" s="7"/>
      <c r="T12" s="7"/>
      <c r="U12" s="7"/>
      <c r="V12" s="7"/>
    </row>
    <row r="13" ht="27.0" customHeight="1" outlineLevel="1">
      <c r="A13" s="38"/>
      <c r="B13" s="34" t="s">
        <v>13</v>
      </c>
      <c r="C13" s="39"/>
      <c r="D13" s="40">
        <v>0.12</v>
      </c>
      <c r="E13" s="41">
        <f>E12*D13</f>
        <v>72120000</v>
      </c>
      <c r="J13" s="42"/>
      <c r="K13" s="42"/>
      <c r="L13" s="43"/>
      <c r="M13" s="43"/>
      <c r="N13" s="43"/>
      <c r="O13" s="43"/>
      <c r="P13" s="43"/>
      <c r="Q13" s="43"/>
      <c r="R13" s="7"/>
      <c r="S13" s="8"/>
      <c r="T13" s="8"/>
      <c r="U13" s="8"/>
      <c r="V13" s="8"/>
    </row>
    <row r="14" ht="27.0" customHeight="1" outlineLevel="1">
      <c r="A14" s="38"/>
      <c r="B14" s="34" t="s">
        <v>14</v>
      </c>
      <c r="C14" s="39"/>
      <c r="D14" s="39"/>
      <c r="E14" s="41">
        <f>sum(E12:E13)</f>
        <v>673120000</v>
      </c>
      <c r="J14" s="42"/>
      <c r="K14" s="42"/>
      <c r="L14" s="43"/>
      <c r="M14" s="43"/>
      <c r="N14" s="43"/>
      <c r="O14" s="43"/>
      <c r="P14" s="43"/>
      <c r="Q14" s="43"/>
      <c r="R14" s="7"/>
      <c r="S14" s="8"/>
      <c r="T14" s="8"/>
      <c r="U14" s="8"/>
      <c r="V14" s="8"/>
    </row>
    <row r="15" ht="27.0" customHeight="1" outlineLevel="1">
      <c r="A15" s="38"/>
      <c r="B15" s="34" t="s">
        <v>15</v>
      </c>
      <c r="C15" s="39"/>
      <c r="D15" s="39"/>
      <c r="E15" s="41">
        <f>E14*1.08</f>
        <v>726969600</v>
      </c>
      <c r="J15" s="42"/>
      <c r="K15" s="42"/>
      <c r="L15" s="43"/>
      <c r="M15" s="43"/>
      <c r="N15" s="43"/>
      <c r="O15" s="43"/>
      <c r="P15" s="43"/>
      <c r="Q15" s="43"/>
      <c r="R15" s="7"/>
      <c r="S15" s="8"/>
      <c r="T15" s="8"/>
      <c r="U15" s="8"/>
      <c r="V15" s="8"/>
    </row>
    <row r="16" outlineLevel="1">
      <c r="A16" s="38"/>
      <c r="B16" s="44"/>
      <c r="C16" s="42"/>
      <c r="D16" s="42"/>
      <c r="E16" s="42"/>
      <c r="J16" s="42"/>
      <c r="K16" s="42"/>
      <c r="L16" s="43"/>
      <c r="M16" s="43"/>
      <c r="N16" s="43"/>
      <c r="O16" s="43"/>
      <c r="P16" s="43"/>
      <c r="Q16" s="43"/>
      <c r="R16" s="7"/>
      <c r="S16" s="8"/>
      <c r="T16" s="8"/>
      <c r="U16" s="8"/>
      <c r="V16" s="8"/>
    </row>
    <row r="17" outlineLevel="1">
      <c r="R17" s="892"/>
      <c r="S17" s="8"/>
      <c r="T17" s="8"/>
      <c r="U17" s="8"/>
      <c r="V17" s="8"/>
    </row>
    <row r="18" ht="44.25" customHeight="1" outlineLevel="1">
      <c r="A18" s="43"/>
      <c r="B18" s="43"/>
      <c r="C18" s="43"/>
      <c r="D18" s="43"/>
      <c r="E18" s="43"/>
      <c r="G18" s="43"/>
      <c r="H18" s="43"/>
      <c r="K18" s="43"/>
      <c r="L18" s="43"/>
      <c r="M18" s="43"/>
      <c r="N18" s="43"/>
      <c r="O18" s="43"/>
      <c r="P18" s="43"/>
      <c r="Q18" s="43"/>
      <c r="R18" s="690"/>
      <c r="S18" s="47"/>
      <c r="T18" s="47"/>
      <c r="U18" s="47"/>
      <c r="V18" s="47"/>
    </row>
    <row r="19" ht="30.75" customHeight="1">
      <c r="A19" s="48" t="s">
        <v>16</v>
      </c>
      <c r="B19" s="49" t="s">
        <v>17</v>
      </c>
      <c r="C19" s="49" t="s">
        <v>18</v>
      </c>
      <c r="D19" s="50" t="s">
        <v>19</v>
      </c>
      <c r="E19" s="51" t="s">
        <v>20</v>
      </c>
      <c r="F19" s="52" t="s">
        <v>21</v>
      </c>
      <c r="G19" s="49" t="s">
        <v>22</v>
      </c>
      <c r="H19" s="49" t="s">
        <v>23</v>
      </c>
      <c r="I19" s="49" t="s">
        <v>24</v>
      </c>
      <c r="J19" s="49" t="s">
        <v>3</v>
      </c>
      <c r="K19" s="49" t="s">
        <v>4</v>
      </c>
      <c r="L19" s="49" t="s">
        <v>25</v>
      </c>
      <c r="M19" s="50" t="s">
        <v>26</v>
      </c>
      <c r="N19" s="49" t="s">
        <v>27</v>
      </c>
      <c r="O19" s="49" t="s">
        <v>28</v>
      </c>
      <c r="P19" s="49" t="s">
        <v>29</v>
      </c>
      <c r="Q19" s="49" t="s">
        <v>30</v>
      </c>
      <c r="R19" s="49" t="s">
        <v>31</v>
      </c>
      <c r="S19" s="53" t="s">
        <v>32</v>
      </c>
      <c r="T19" s="53" t="s">
        <v>34</v>
      </c>
      <c r="U19" s="54"/>
      <c r="V19" s="54"/>
    </row>
    <row r="20" ht="30.0" customHeight="1">
      <c r="A20" s="55" t="s">
        <v>35</v>
      </c>
      <c r="B20" s="56"/>
      <c r="C20" s="57"/>
      <c r="D20" s="58"/>
      <c r="E20" s="59"/>
      <c r="F20" s="60"/>
      <c r="G20" s="61"/>
      <c r="H20" s="61"/>
      <c r="I20" s="62"/>
      <c r="J20" s="63" t="s">
        <v>7</v>
      </c>
      <c r="K20" s="64">
        <f>SUMIFS(K22:K41,J22:J41,"Video Post")</f>
        <v>8</v>
      </c>
      <c r="L20" s="65"/>
      <c r="M20" s="66">
        <f t="shared" ref="M20:N20" si="3">sum(M22:M41)</f>
        <v>690000</v>
      </c>
      <c r="N20" s="66">
        <f t="shared" si="3"/>
        <v>24200</v>
      </c>
      <c r="O20" s="65"/>
      <c r="P20" s="65"/>
      <c r="Q20" s="66">
        <f>sum(Q22:Q41)</f>
        <v>171000000</v>
      </c>
      <c r="R20" s="67"/>
      <c r="S20" s="68"/>
      <c r="T20" s="68"/>
      <c r="U20" s="69"/>
      <c r="V20" s="69"/>
    </row>
    <row r="21" ht="30.0" customHeight="1">
      <c r="A21" s="70"/>
      <c r="B21" s="71"/>
      <c r="C21" s="57"/>
      <c r="D21" s="58"/>
      <c r="E21" s="59"/>
      <c r="F21" s="60"/>
      <c r="G21" s="61"/>
      <c r="H21" s="61"/>
      <c r="I21" s="62"/>
      <c r="J21" s="63" t="s">
        <v>8</v>
      </c>
      <c r="K21" s="64">
        <f>SUMIFS(K22:K41,J22:J41,"Tháng")</f>
        <v>5</v>
      </c>
      <c r="L21" s="65"/>
      <c r="M21" s="72"/>
      <c r="N21" s="72"/>
      <c r="O21" s="65"/>
      <c r="P21" s="65"/>
      <c r="Q21" s="72"/>
      <c r="R21" s="67"/>
      <c r="S21" s="72"/>
      <c r="T21" s="72"/>
      <c r="U21" s="69"/>
      <c r="V21" s="69"/>
    </row>
    <row r="22" ht="114.75" customHeight="1" outlineLevel="1">
      <c r="A22" s="73" t="s">
        <v>36</v>
      </c>
      <c r="B22" s="74" t="s">
        <v>37</v>
      </c>
      <c r="C22" s="75" t="s">
        <v>38</v>
      </c>
      <c r="D22" s="76" t="s">
        <v>39</v>
      </c>
      <c r="E22" s="77" t="s">
        <v>40</v>
      </c>
      <c r="F22" s="78" t="s">
        <v>21</v>
      </c>
      <c r="G22" s="79" t="s">
        <v>41</v>
      </c>
      <c r="H22" s="80" t="s">
        <v>2176</v>
      </c>
      <c r="I22" s="81" t="b">
        <v>1</v>
      </c>
      <c r="J22" s="82" t="s">
        <v>7</v>
      </c>
      <c r="K22" s="83">
        <f t="shared" ref="K22:K41" si="4">if(I22=True,1,if(I22=False,0))</f>
        <v>1</v>
      </c>
      <c r="L22" s="84">
        <v>1.6E7</v>
      </c>
      <c r="M22" s="84">
        <v>50000.0</v>
      </c>
      <c r="N22" s="84">
        <v>3000.0</v>
      </c>
      <c r="O22" s="84">
        <f t="shared" ref="O22:O32" si="5">IFERROR(Q22/M22,"-")</f>
        <v>320</v>
      </c>
      <c r="P22" s="84">
        <f t="shared" ref="P22:P32" si="6">IFERROR(Q22/N22,"-")</f>
        <v>5333.333333</v>
      </c>
      <c r="Q22" s="84">
        <f t="shared" ref="Q22:Q41" si="7">iferror(L22*K22,"-")</f>
        <v>16000000</v>
      </c>
      <c r="R22" s="75" t="s">
        <v>2177</v>
      </c>
      <c r="S22" s="85" t="s">
        <v>44</v>
      </c>
      <c r="T22" s="86" t="s">
        <v>45</v>
      </c>
      <c r="U22" s="87"/>
      <c r="V22" s="87"/>
    </row>
    <row r="23" ht="114.75" customHeight="1" outlineLevel="1">
      <c r="A23" s="72"/>
      <c r="B23" s="72"/>
      <c r="C23" s="72"/>
      <c r="D23" s="72"/>
      <c r="E23" s="72"/>
      <c r="F23" s="72"/>
      <c r="G23" s="72"/>
      <c r="H23" s="88" t="s">
        <v>2178</v>
      </c>
      <c r="I23" s="81" t="b">
        <v>1</v>
      </c>
      <c r="J23" s="82" t="s">
        <v>47</v>
      </c>
      <c r="K23" s="83">
        <f t="shared" si="4"/>
        <v>1</v>
      </c>
      <c r="L23" s="84">
        <v>8000000.0</v>
      </c>
      <c r="M23" s="84">
        <v>0.0</v>
      </c>
      <c r="N23" s="84">
        <v>0.0</v>
      </c>
      <c r="O23" s="84" t="str">
        <f t="shared" si="5"/>
        <v>-</v>
      </c>
      <c r="P23" s="84" t="str">
        <f t="shared" si="6"/>
        <v>-</v>
      </c>
      <c r="Q23" s="84">
        <f t="shared" si="7"/>
        <v>8000000</v>
      </c>
      <c r="R23" s="72"/>
      <c r="S23" s="72"/>
      <c r="T23" s="72"/>
      <c r="U23" s="87"/>
      <c r="V23" s="87"/>
    </row>
    <row r="24" ht="114.75" customHeight="1" outlineLevel="1">
      <c r="A24" s="73" t="s">
        <v>36</v>
      </c>
      <c r="B24" s="89" t="s">
        <v>48</v>
      </c>
      <c r="C24" s="75" t="s">
        <v>38</v>
      </c>
      <c r="D24" s="76" t="s">
        <v>49</v>
      </c>
      <c r="E24" s="77" t="s">
        <v>40</v>
      </c>
      <c r="F24" s="78" t="s">
        <v>21</v>
      </c>
      <c r="G24" s="79" t="s">
        <v>50</v>
      </c>
      <c r="H24" s="80" t="s">
        <v>2179</v>
      </c>
      <c r="I24" s="81" t="b">
        <v>1</v>
      </c>
      <c r="J24" s="82" t="s">
        <v>7</v>
      </c>
      <c r="K24" s="83">
        <f t="shared" si="4"/>
        <v>1</v>
      </c>
      <c r="L24" s="84">
        <v>1.2E7</v>
      </c>
      <c r="M24" s="84">
        <v>100000.0</v>
      </c>
      <c r="N24" s="84">
        <v>3000.0</v>
      </c>
      <c r="O24" s="84">
        <f t="shared" si="5"/>
        <v>120</v>
      </c>
      <c r="P24" s="84">
        <f t="shared" si="6"/>
        <v>4000</v>
      </c>
      <c r="Q24" s="84">
        <f t="shared" si="7"/>
        <v>12000000</v>
      </c>
      <c r="R24" s="75" t="s">
        <v>2180</v>
      </c>
      <c r="S24" s="85" t="s">
        <v>53</v>
      </c>
      <c r="T24" s="86" t="s">
        <v>45</v>
      </c>
      <c r="U24" s="87"/>
      <c r="V24" s="87"/>
    </row>
    <row r="25" ht="114.75" customHeight="1" outlineLevel="1">
      <c r="A25" s="72"/>
      <c r="B25" s="72"/>
      <c r="C25" s="72"/>
      <c r="D25" s="72"/>
      <c r="E25" s="72"/>
      <c r="F25" s="72"/>
      <c r="G25" s="72"/>
      <c r="H25" s="88" t="s">
        <v>2181</v>
      </c>
      <c r="I25" s="81" t="b">
        <v>1</v>
      </c>
      <c r="J25" s="82" t="s">
        <v>47</v>
      </c>
      <c r="K25" s="83">
        <f t="shared" si="4"/>
        <v>1</v>
      </c>
      <c r="L25" s="90">
        <v>6000000.0</v>
      </c>
      <c r="M25" s="84">
        <v>0.0</v>
      </c>
      <c r="N25" s="84">
        <v>0.0</v>
      </c>
      <c r="O25" s="84" t="str">
        <f t="shared" si="5"/>
        <v>-</v>
      </c>
      <c r="P25" s="84" t="str">
        <f t="shared" si="6"/>
        <v>-</v>
      </c>
      <c r="Q25" s="84">
        <f t="shared" si="7"/>
        <v>6000000</v>
      </c>
      <c r="R25" s="72"/>
      <c r="S25" s="72"/>
      <c r="T25" s="72"/>
      <c r="U25" s="9"/>
      <c r="V25" s="9"/>
    </row>
    <row r="26" ht="114.75" customHeight="1" outlineLevel="1">
      <c r="A26" s="73" t="s">
        <v>36</v>
      </c>
      <c r="B26" s="89" t="s">
        <v>55</v>
      </c>
      <c r="C26" s="75" t="s">
        <v>38</v>
      </c>
      <c r="D26" s="76" t="s">
        <v>56</v>
      </c>
      <c r="E26" s="77" t="s">
        <v>40</v>
      </c>
      <c r="F26" s="78" t="s">
        <v>21</v>
      </c>
      <c r="G26" s="79" t="s">
        <v>50</v>
      </c>
      <c r="H26" s="80" t="s">
        <v>2182</v>
      </c>
      <c r="I26" s="81" t="b">
        <v>1</v>
      </c>
      <c r="J26" s="82" t="s">
        <v>7</v>
      </c>
      <c r="K26" s="83">
        <f t="shared" si="4"/>
        <v>1</v>
      </c>
      <c r="L26" s="84">
        <v>2.0E7</v>
      </c>
      <c r="M26" s="84">
        <v>130000.0</v>
      </c>
      <c r="N26" s="84">
        <v>4000.0</v>
      </c>
      <c r="O26" s="84">
        <f t="shared" si="5"/>
        <v>153.8461538</v>
      </c>
      <c r="P26" s="84">
        <f t="shared" si="6"/>
        <v>5000</v>
      </c>
      <c r="Q26" s="84">
        <f t="shared" si="7"/>
        <v>20000000</v>
      </c>
      <c r="R26" s="75" t="s">
        <v>2183</v>
      </c>
      <c r="S26" s="85" t="s">
        <v>59</v>
      </c>
      <c r="T26" s="86" t="s">
        <v>45</v>
      </c>
      <c r="U26" s="87"/>
      <c r="V26" s="87"/>
    </row>
    <row r="27" ht="114.75" customHeight="1" outlineLevel="1">
      <c r="A27" s="72"/>
      <c r="B27" s="72"/>
      <c r="C27" s="72"/>
      <c r="D27" s="72"/>
      <c r="E27" s="72"/>
      <c r="F27" s="72"/>
      <c r="G27" s="72"/>
      <c r="H27" s="88" t="s">
        <v>2184</v>
      </c>
      <c r="I27" s="81" t="b">
        <v>1</v>
      </c>
      <c r="J27" s="82" t="s">
        <v>47</v>
      </c>
      <c r="K27" s="83">
        <f t="shared" si="4"/>
        <v>1</v>
      </c>
      <c r="L27" s="84">
        <v>1.3E7</v>
      </c>
      <c r="M27" s="84">
        <v>0.0</v>
      </c>
      <c r="N27" s="84">
        <v>0.0</v>
      </c>
      <c r="O27" s="84" t="str">
        <f t="shared" si="5"/>
        <v>-</v>
      </c>
      <c r="P27" s="84" t="str">
        <f t="shared" si="6"/>
        <v>-</v>
      </c>
      <c r="Q27" s="84">
        <f t="shared" si="7"/>
        <v>13000000</v>
      </c>
      <c r="R27" s="72"/>
      <c r="S27" s="72"/>
      <c r="T27" s="72"/>
      <c r="U27" s="9"/>
      <c r="V27" s="9"/>
    </row>
    <row r="28" ht="114.75" customHeight="1" outlineLevel="1">
      <c r="A28" s="73" t="s">
        <v>36</v>
      </c>
      <c r="B28" s="89" t="s">
        <v>61</v>
      </c>
      <c r="C28" s="75" t="s">
        <v>38</v>
      </c>
      <c r="D28" s="76" t="s">
        <v>62</v>
      </c>
      <c r="E28" s="77" t="s">
        <v>40</v>
      </c>
      <c r="F28" s="78" t="s">
        <v>21</v>
      </c>
      <c r="G28" s="79" t="s">
        <v>50</v>
      </c>
      <c r="H28" s="80" t="s">
        <v>2185</v>
      </c>
      <c r="I28" s="81" t="b">
        <v>1</v>
      </c>
      <c r="J28" s="82" t="s">
        <v>7</v>
      </c>
      <c r="K28" s="83">
        <f t="shared" si="4"/>
        <v>1</v>
      </c>
      <c r="L28" s="84">
        <v>8000000.0</v>
      </c>
      <c r="M28" s="84">
        <v>30000.0</v>
      </c>
      <c r="N28" s="84">
        <v>1200.0</v>
      </c>
      <c r="O28" s="84">
        <f t="shared" si="5"/>
        <v>266.6666667</v>
      </c>
      <c r="P28" s="84">
        <f t="shared" si="6"/>
        <v>6666.666667</v>
      </c>
      <c r="Q28" s="84">
        <f t="shared" si="7"/>
        <v>8000000</v>
      </c>
      <c r="R28" s="75" t="s">
        <v>2186</v>
      </c>
      <c r="S28" s="85" t="s">
        <v>65</v>
      </c>
      <c r="T28" s="86" t="s">
        <v>45</v>
      </c>
      <c r="U28" s="87"/>
      <c r="V28" s="87"/>
    </row>
    <row r="29" ht="114.75" customHeight="1" outlineLevel="1">
      <c r="A29" s="72"/>
      <c r="B29" s="72"/>
      <c r="C29" s="72"/>
      <c r="D29" s="72"/>
      <c r="E29" s="72"/>
      <c r="F29" s="72"/>
      <c r="G29" s="72"/>
      <c r="H29" s="88" t="s">
        <v>2187</v>
      </c>
      <c r="I29" s="81" t="b">
        <v>1</v>
      </c>
      <c r="J29" s="82" t="s">
        <v>47</v>
      </c>
      <c r="K29" s="83">
        <f t="shared" si="4"/>
        <v>1</v>
      </c>
      <c r="L29" s="90">
        <v>4000000.0</v>
      </c>
      <c r="M29" s="84">
        <v>0.0</v>
      </c>
      <c r="N29" s="84">
        <v>0.0</v>
      </c>
      <c r="O29" s="84" t="str">
        <f t="shared" si="5"/>
        <v>-</v>
      </c>
      <c r="P29" s="84" t="str">
        <f t="shared" si="6"/>
        <v>-</v>
      </c>
      <c r="Q29" s="84">
        <f t="shared" si="7"/>
        <v>4000000</v>
      </c>
      <c r="R29" s="72"/>
      <c r="S29" s="72"/>
      <c r="T29" s="72"/>
      <c r="U29" s="9"/>
      <c r="V29" s="9"/>
    </row>
    <row r="30" ht="114.75" customHeight="1" outlineLevel="1">
      <c r="A30" s="73" t="s">
        <v>36</v>
      </c>
      <c r="B30" s="89" t="s">
        <v>67</v>
      </c>
      <c r="C30" s="75" t="s">
        <v>38</v>
      </c>
      <c r="D30" s="76" t="s">
        <v>68</v>
      </c>
      <c r="E30" s="77" t="s">
        <v>40</v>
      </c>
      <c r="F30" s="78" t="s">
        <v>21</v>
      </c>
      <c r="G30" s="79" t="s">
        <v>50</v>
      </c>
      <c r="H30" s="80" t="s">
        <v>2188</v>
      </c>
      <c r="I30" s="81" t="b">
        <v>1</v>
      </c>
      <c r="J30" s="82" t="s">
        <v>7</v>
      </c>
      <c r="K30" s="83">
        <f t="shared" si="4"/>
        <v>1</v>
      </c>
      <c r="L30" s="84">
        <v>1.0E7</v>
      </c>
      <c r="M30" s="84">
        <v>50000.0</v>
      </c>
      <c r="N30" s="84">
        <v>3000.0</v>
      </c>
      <c r="O30" s="84">
        <f t="shared" si="5"/>
        <v>200</v>
      </c>
      <c r="P30" s="84">
        <f t="shared" si="6"/>
        <v>3333.333333</v>
      </c>
      <c r="Q30" s="84">
        <f t="shared" si="7"/>
        <v>10000000</v>
      </c>
      <c r="R30" s="75" t="s">
        <v>2189</v>
      </c>
      <c r="S30" s="85" t="s">
        <v>71</v>
      </c>
      <c r="T30" s="86" t="s">
        <v>45</v>
      </c>
      <c r="U30" s="87"/>
      <c r="V30" s="87"/>
    </row>
    <row r="31" ht="114.75" customHeight="1" outlineLevel="1">
      <c r="A31" s="72"/>
      <c r="B31" s="72"/>
      <c r="C31" s="72"/>
      <c r="D31" s="72"/>
      <c r="E31" s="72"/>
      <c r="F31" s="72"/>
      <c r="G31" s="72"/>
      <c r="H31" s="88" t="s">
        <v>2190</v>
      </c>
      <c r="I31" s="81" t="b">
        <v>1</v>
      </c>
      <c r="J31" s="82" t="s">
        <v>47</v>
      </c>
      <c r="K31" s="83">
        <f t="shared" si="4"/>
        <v>1</v>
      </c>
      <c r="L31" s="90">
        <v>5000000.0</v>
      </c>
      <c r="M31" s="84">
        <v>0.0</v>
      </c>
      <c r="N31" s="84">
        <v>0.0</v>
      </c>
      <c r="O31" s="84" t="str">
        <f t="shared" si="5"/>
        <v>-</v>
      </c>
      <c r="P31" s="84" t="str">
        <f t="shared" si="6"/>
        <v>-</v>
      </c>
      <c r="Q31" s="84">
        <f t="shared" si="7"/>
        <v>5000000</v>
      </c>
      <c r="R31" s="72"/>
      <c r="S31" s="72"/>
      <c r="T31" s="72"/>
      <c r="U31" s="9"/>
      <c r="V31" s="9"/>
    </row>
    <row r="32" ht="114.75" customHeight="1" outlineLevel="1">
      <c r="A32" s="73" t="s">
        <v>73</v>
      </c>
      <c r="B32" s="91" t="s">
        <v>74</v>
      </c>
      <c r="C32" s="75" t="s">
        <v>38</v>
      </c>
      <c r="D32" s="76" t="s">
        <v>75</v>
      </c>
      <c r="E32" s="77" t="s">
        <v>40</v>
      </c>
      <c r="F32" s="78" t="s">
        <v>21</v>
      </c>
      <c r="G32" s="79" t="s">
        <v>50</v>
      </c>
      <c r="H32" s="80" t="s">
        <v>2191</v>
      </c>
      <c r="I32" s="81" t="b">
        <v>1</v>
      </c>
      <c r="J32" s="82" t="s">
        <v>7</v>
      </c>
      <c r="K32" s="83">
        <f t="shared" si="4"/>
        <v>1</v>
      </c>
      <c r="L32" s="84">
        <v>3.0E7</v>
      </c>
      <c r="M32" s="84">
        <v>80000.0</v>
      </c>
      <c r="N32" s="84">
        <v>4000.0</v>
      </c>
      <c r="O32" s="84">
        <f t="shared" si="5"/>
        <v>375</v>
      </c>
      <c r="P32" s="84">
        <f t="shared" si="6"/>
        <v>7500</v>
      </c>
      <c r="Q32" s="84">
        <f t="shared" si="7"/>
        <v>30000000</v>
      </c>
      <c r="R32" s="75" t="s">
        <v>2192</v>
      </c>
      <c r="S32" s="92" t="s">
        <v>78</v>
      </c>
      <c r="T32" s="153" t="s">
        <v>222</v>
      </c>
      <c r="U32" s="9"/>
      <c r="V32" s="9"/>
    </row>
    <row r="33" ht="114.75" customHeight="1" outlineLevel="1">
      <c r="A33" s="72"/>
      <c r="B33" s="72"/>
      <c r="C33" s="72"/>
      <c r="D33" s="72"/>
      <c r="E33" s="72"/>
      <c r="F33" s="72"/>
      <c r="G33" s="72"/>
      <c r="H33" s="88" t="s">
        <v>2193</v>
      </c>
      <c r="I33" s="81" t="b">
        <v>0</v>
      </c>
      <c r="J33" s="82" t="s">
        <v>47</v>
      </c>
      <c r="K33" s="83">
        <f t="shared" si="4"/>
        <v>0</v>
      </c>
      <c r="L33" s="84">
        <v>1.7E7</v>
      </c>
      <c r="M33" s="84">
        <v>0.0</v>
      </c>
      <c r="N33" s="84">
        <v>0.0</v>
      </c>
      <c r="O33" s="84" t="s">
        <v>81</v>
      </c>
      <c r="P33" s="84" t="s">
        <v>81</v>
      </c>
      <c r="Q33" s="84">
        <f t="shared" si="7"/>
        <v>0</v>
      </c>
      <c r="R33" s="72"/>
      <c r="S33" s="72"/>
      <c r="T33" s="72"/>
      <c r="U33" s="9"/>
      <c r="V33" s="9"/>
    </row>
    <row r="34" ht="114.75" customHeight="1" outlineLevel="1">
      <c r="A34" s="73" t="s">
        <v>73</v>
      </c>
      <c r="B34" s="95" t="s">
        <v>82</v>
      </c>
      <c r="C34" s="75" t="s">
        <v>38</v>
      </c>
      <c r="D34" s="76" t="s">
        <v>83</v>
      </c>
      <c r="E34" s="77" t="s">
        <v>40</v>
      </c>
      <c r="F34" s="78" t="s">
        <v>21</v>
      </c>
      <c r="G34" s="79" t="s">
        <v>50</v>
      </c>
      <c r="H34" s="80" t="s">
        <v>2194</v>
      </c>
      <c r="I34" s="81" t="b">
        <v>1</v>
      </c>
      <c r="J34" s="82" t="s">
        <v>7</v>
      </c>
      <c r="K34" s="83">
        <f t="shared" si="4"/>
        <v>1</v>
      </c>
      <c r="L34" s="84">
        <v>2.2E7</v>
      </c>
      <c r="M34" s="84">
        <v>100000.0</v>
      </c>
      <c r="N34" s="84">
        <v>2000.0</v>
      </c>
      <c r="O34" s="84">
        <f t="shared" ref="O34:O41" si="8">IFERROR(Q34/M34,"-")</f>
        <v>220</v>
      </c>
      <c r="P34" s="84">
        <f t="shared" ref="P34:P41" si="9">IFERROR(Q34/N34,"-")</f>
        <v>11000</v>
      </c>
      <c r="Q34" s="84">
        <f t="shared" si="7"/>
        <v>22000000</v>
      </c>
      <c r="R34" s="75" t="s">
        <v>2195</v>
      </c>
      <c r="S34" s="85" t="s">
        <v>86</v>
      </c>
      <c r="T34" s="153" t="s">
        <v>222</v>
      </c>
      <c r="U34" s="87"/>
      <c r="V34" s="87"/>
    </row>
    <row r="35" ht="114.75" customHeight="1" outlineLevel="1">
      <c r="A35" s="72"/>
      <c r="B35" s="72"/>
      <c r="C35" s="72"/>
      <c r="D35" s="72"/>
      <c r="E35" s="72"/>
      <c r="F35" s="72"/>
      <c r="G35" s="72"/>
      <c r="H35" s="88" t="s">
        <v>2196</v>
      </c>
      <c r="I35" s="81" t="b">
        <v>0</v>
      </c>
      <c r="J35" s="82" t="s">
        <v>47</v>
      </c>
      <c r="K35" s="83">
        <f t="shared" si="4"/>
        <v>0</v>
      </c>
      <c r="L35" s="84">
        <v>1.3E7</v>
      </c>
      <c r="M35" s="84">
        <v>0.0</v>
      </c>
      <c r="N35" s="84">
        <v>0.0</v>
      </c>
      <c r="O35" s="84" t="str">
        <f t="shared" si="8"/>
        <v>-</v>
      </c>
      <c r="P35" s="84" t="str">
        <f t="shared" si="9"/>
        <v>-</v>
      </c>
      <c r="Q35" s="84">
        <f t="shared" si="7"/>
        <v>0</v>
      </c>
      <c r="R35" s="72"/>
      <c r="S35" s="72"/>
      <c r="T35" s="72"/>
      <c r="U35" s="9"/>
      <c r="V35" s="9"/>
    </row>
    <row r="36" ht="114.75" customHeight="1" outlineLevel="1">
      <c r="A36" s="73" t="s">
        <v>73</v>
      </c>
      <c r="B36" s="91" t="s">
        <v>89</v>
      </c>
      <c r="C36" s="75" t="s">
        <v>38</v>
      </c>
      <c r="D36" s="76" t="s">
        <v>90</v>
      </c>
      <c r="E36" s="77" t="s">
        <v>40</v>
      </c>
      <c r="F36" s="78" t="s">
        <v>21</v>
      </c>
      <c r="G36" s="79" t="s">
        <v>50</v>
      </c>
      <c r="H36" s="80" t="s">
        <v>2197</v>
      </c>
      <c r="I36" s="81" t="b">
        <v>1</v>
      </c>
      <c r="J36" s="82" t="s">
        <v>7</v>
      </c>
      <c r="K36" s="83">
        <f t="shared" si="4"/>
        <v>1</v>
      </c>
      <c r="L36" s="84">
        <v>1.7E7</v>
      </c>
      <c r="M36" s="84">
        <v>150000.0</v>
      </c>
      <c r="N36" s="84">
        <v>4000.0</v>
      </c>
      <c r="O36" s="84">
        <f t="shared" si="8"/>
        <v>113.3333333</v>
      </c>
      <c r="P36" s="84">
        <f t="shared" si="9"/>
        <v>4250</v>
      </c>
      <c r="Q36" s="84">
        <f t="shared" si="7"/>
        <v>17000000</v>
      </c>
      <c r="R36" s="75" t="s">
        <v>2198</v>
      </c>
      <c r="S36" s="85" t="s">
        <v>93</v>
      </c>
      <c r="T36" s="153" t="s">
        <v>222</v>
      </c>
      <c r="U36" s="9"/>
      <c r="V36" s="9"/>
    </row>
    <row r="37" ht="114.75" customHeight="1" outlineLevel="1">
      <c r="A37" s="72"/>
      <c r="B37" s="72"/>
      <c r="C37" s="72"/>
      <c r="D37" s="72"/>
      <c r="E37" s="72"/>
      <c r="F37" s="72"/>
      <c r="G37" s="72"/>
      <c r="H37" s="88" t="s">
        <v>2199</v>
      </c>
      <c r="I37" s="81" t="b">
        <v>0</v>
      </c>
      <c r="J37" s="82" t="s">
        <v>47</v>
      </c>
      <c r="K37" s="83">
        <f t="shared" si="4"/>
        <v>0</v>
      </c>
      <c r="L37" s="84">
        <v>7000000.0</v>
      </c>
      <c r="M37" s="84">
        <v>0.0</v>
      </c>
      <c r="N37" s="84">
        <v>0.0</v>
      </c>
      <c r="O37" s="84" t="str">
        <f t="shared" si="8"/>
        <v>-</v>
      </c>
      <c r="P37" s="84" t="str">
        <f t="shared" si="9"/>
        <v>-</v>
      </c>
      <c r="Q37" s="84">
        <f t="shared" si="7"/>
        <v>0</v>
      </c>
      <c r="R37" s="72"/>
      <c r="S37" s="72"/>
      <c r="T37" s="72"/>
      <c r="U37" s="9"/>
      <c r="V37" s="9"/>
    </row>
    <row r="38" ht="114.75" customHeight="1" outlineLevel="1">
      <c r="A38" s="73" t="s">
        <v>73</v>
      </c>
      <c r="B38" s="96" t="s">
        <v>95</v>
      </c>
      <c r="C38" s="75" t="s">
        <v>38</v>
      </c>
      <c r="D38" s="76" t="s">
        <v>96</v>
      </c>
      <c r="E38" s="77" t="s">
        <v>40</v>
      </c>
      <c r="F38" s="78" t="s">
        <v>21</v>
      </c>
      <c r="G38" s="79" t="s">
        <v>50</v>
      </c>
      <c r="H38" s="80" t="s">
        <v>2200</v>
      </c>
      <c r="I38" s="81" t="b">
        <v>0</v>
      </c>
      <c r="J38" s="82" t="s">
        <v>7</v>
      </c>
      <c r="K38" s="83">
        <f t="shared" si="4"/>
        <v>0</v>
      </c>
      <c r="L38" s="84">
        <v>1.7E7</v>
      </c>
      <c r="M38" s="84">
        <v>0.0</v>
      </c>
      <c r="N38" s="84">
        <v>0.0</v>
      </c>
      <c r="O38" s="84" t="str">
        <f t="shared" si="8"/>
        <v>-</v>
      </c>
      <c r="P38" s="84" t="str">
        <f t="shared" si="9"/>
        <v>-</v>
      </c>
      <c r="Q38" s="84">
        <f t="shared" si="7"/>
        <v>0</v>
      </c>
      <c r="R38" s="75" t="s">
        <v>2201</v>
      </c>
      <c r="S38" s="85" t="s">
        <v>99</v>
      </c>
      <c r="T38" s="153" t="s">
        <v>222</v>
      </c>
      <c r="U38" s="9"/>
      <c r="V38" s="9"/>
    </row>
    <row r="39" ht="114.75" customHeight="1" outlineLevel="1">
      <c r="A39" s="72"/>
      <c r="B39" s="72"/>
      <c r="C39" s="72"/>
      <c r="D39" s="72"/>
      <c r="E39" s="72"/>
      <c r="F39" s="72"/>
      <c r="G39" s="72"/>
      <c r="H39" s="88" t="s">
        <v>2202</v>
      </c>
      <c r="I39" s="97" t="b">
        <v>0</v>
      </c>
      <c r="J39" s="98" t="s">
        <v>47</v>
      </c>
      <c r="K39" s="99">
        <f t="shared" si="4"/>
        <v>0</v>
      </c>
      <c r="L39" s="84">
        <v>1.0E7</v>
      </c>
      <c r="M39" s="100">
        <v>0.0</v>
      </c>
      <c r="N39" s="100">
        <v>0.0</v>
      </c>
      <c r="O39" s="100" t="str">
        <f t="shared" si="8"/>
        <v>-</v>
      </c>
      <c r="P39" s="100" t="str">
        <f t="shared" si="9"/>
        <v>-</v>
      </c>
      <c r="Q39" s="84">
        <f t="shared" si="7"/>
        <v>0</v>
      </c>
      <c r="R39" s="72"/>
      <c r="S39" s="72"/>
      <c r="T39" s="72"/>
      <c r="U39" s="9"/>
      <c r="V39" s="9"/>
    </row>
    <row r="40" ht="114.75" customHeight="1" outlineLevel="1">
      <c r="A40" s="73" t="s">
        <v>186</v>
      </c>
      <c r="B40" s="152" t="s">
        <v>1455</v>
      </c>
      <c r="C40" s="75" t="s">
        <v>38</v>
      </c>
      <c r="D40" s="76" t="s">
        <v>1456</v>
      </c>
      <c r="E40" s="77" t="s">
        <v>40</v>
      </c>
      <c r="F40" s="78" t="s">
        <v>21</v>
      </c>
      <c r="G40" s="79" t="s">
        <v>50</v>
      </c>
      <c r="H40" s="80" t="s">
        <v>2203</v>
      </c>
      <c r="I40" s="81" t="b">
        <v>0</v>
      </c>
      <c r="J40" s="82" t="s">
        <v>7</v>
      </c>
      <c r="K40" s="83">
        <f t="shared" si="4"/>
        <v>0</v>
      </c>
      <c r="L40" s="84">
        <v>3.9E7</v>
      </c>
      <c r="M40" s="84">
        <v>0.0</v>
      </c>
      <c r="N40" s="84">
        <v>0.0</v>
      </c>
      <c r="O40" s="84" t="str">
        <f t="shared" si="8"/>
        <v>-</v>
      </c>
      <c r="P40" s="84" t="str">
        <f t="shared" si="9"/>
        <v>-</v>
      </c>
      <c r="Q40" s="84">
        <f t="shared" si="7"/>
        <v>0</v>
      </c>
      <c r="R40" s="75" t="s">
        <v>2204</v>
      </c>
      <c r="S40" s="85" t="s">
        <v>1292</v>
      </c>
      <c r="T40" s="94" t="s">
        <v>122</v>
      </c>
      <c r="U40" s="9"/>
      <c r="V40" s="9"/>
    </row>
    <row r="41" ht="114.75" customHeight="1" outlineLevel="1">
      <c r="A41" s="72"/>
      <c r="B41" s="72"/>
      <c r="C41" s="72"/>
      <c r="D41" s="72"/>
      <c r="E41" s="72"/>
      <c r="F41" s="72"/>
      <c r="G41" s="72"/>
      <c r="H41" s="88" t="s">
        <v>2205</v>
      </c>
      <c r="I41" s="81" t="b">
        <v>0</v>
      </c>
      <c r="J41" s="82" t="s">
        <v>47</v>
      </c>
      <c r="K41" s="83">
        <f t="shared" si="4"/>
        <v>0</v>
      </c>
      <c r="L41" s="84">
        <v>1.3E7</v>
      </c>
      <c r="M41" s="84">
        <v>0.0</v>
      </c>
      <c r="N41" s="84">
        <v>0.0</v>
      </c>
      <c r="O41" s="84" t="str">
        <f t="shared" si="8"/>
        <v>-</v>
      </c>
      <c r="P41" s="84" t="str">
        <f t="shared" si="9"/>
        <v>-</v>
      </c>
      <c r="Q41" s="84">
        <f t="shared" si="7"/>
        <v>0</v>
      </c>
      <c r="R41" s="72"/>
      <c r="S41" s="72"/>
      <c r="T41" s="72"/>
      <c r="U41" s="9"/>
      <c r="V41" s="9"/>
    </row>
    <row r="42" ht="30.0" customHeight="1">
      <c r="A42" s="55" t="s">
        <v>134</v>
      </c>
      <c r="B42" s="56"/>
      <c r="C42" s="57"/>
      <c r="D42" s="58"/>
      <c r="E42" s="59"/>
      <c r="F42" s="59"/>
      <c r="G42" s="61"/>
      <c r="H42" s="61"/>
      <c r="I42" s="62"/>
      <c r="J42" s="63" t="s">
        <v>7</v>
      </c>
      <c r="K42" s="64">
        <f>SUMIFS(K45:K95,J45:J95,"Video Post")</f>
        <v>21</v>
      </c>
      <c r="L42" s="65"/>
      <c r="M42" s="66">
        <f t="shared" ref="M42:N42" si="10">sum(M45:M95)</f>
        <v>625000</v>
      </c>
      <c r="N42" s="66">
        <f t="shared" si="10"/>
        <v>42000</v>
      </c>
      <c r="O42" s="65"/>
      <c r="P42" s="65"/>
      <c r="Q42" s="66">
        <f>sum(Q45:Q95)</f>
        <v>194000000</v>
      </c>
      <c r="R42" s="133"/>
      <c r="S42" s="133"/>
      <c r="T42" s="133"/>
      <c r="U42" s="69"/>
      <c r="V42" s="69"/>
    </row>
    <row r="43" ht="30.0" customHeight="1">
      <c r="A43" s="70"/>
      <c r="B43" s="71"/>
      <c r="C43" s="57"/>
      <c r="D43" s="58"/>
      <c r="E43" s="59"/>
      <c r="F43" s="60"/>
      <c r="G43" s="61"/>
      <c r="H43" s="61"/>
      <c r="I43" s="62"/>
      <c r="J43" s="63" t="s">
        <v>8</v>
      </c>
      <c r="K43" s="64">
        <f>SUMIFS(K45:K95,J45:J95,"Tháng")</f>
        <v>21</v>
      </c>
      <c r="L43" s="65"/>
      <c r="M43" s="72"/>
      <c r="N43" s="72"/>
      <c r="O43" s="65"/>
      <c r="P43" s="65"/>
      <c r="Q43" s="72"/>
      <c r="R43" s="133"/>
      <c r="S43" s="133"/>
      <c r="T43" s="133"/>
      <c r="U43" s="69"/>
      <c r="V43" s="69"/>
    </row>
    <row r="44" outlineLevel="1">
      <c r="A44" s="134" t="s">
        <v>135</v>
      </c>
      <c r="B44" s="135" t="s">
        <v>136</v>
      </c>
      <c r="C44" s="136"/>
      <c r="D44" s="137"/>
      <c r="E44" s="138"/>
      <c r="F44" s="139"/>
      <c r="G44" s="140"/>
      <c r="H44" s="136"/>
      <c r="I44" s="141" t="b">
        <v>0</v>
      </c>
      <c r="J44" s="142"/>
      <c r="K44" s="143"/>
      <c r="L44" s="144"/>
      <c r="M44" s="144"/>
      <c r="N44" s="144"/>
      <c r="O44" s="144"/>
      <c r="P44" s="144"/>
      <c r="Q44" s="144"/>
      <c r="R44" s="136"/>
      <c r="S44" s="145"/>
      <c r="T44" s="138"/>
      <c r="U44" s="146"/>
      <c r="V44" s="146"/>
    </row>
    <row r="45" ht="96.0" customHeight="1" outlineLevel="1">
      <c r="A45" s="73" t="s">
        <v>45</v>
      </c>
      <c r="B45" s="147" t="s">
        <v>137</v>
      </c>
      <c r="C45" s="75" t="s">
        <v>38</v>
      </c>
      <c r="D45" s="76" t="s">
        <v>138</v>
      </c>
      <c r="E45" s="77" t="s">
        <v>40</v>
      </c>
      <c r="F45" s="78" t="s">
        <v>139</v>
      </c>
      <c r="G45" s="79" t="s">
        <v>50</v>
      </c>
      <c r="H45" s="80" t="s">
        <v>2206</v>
      </c>
      <c r="I45" s="81" t="b">
        <v>1</v>
      </c>
      <c r="J45" s="82" t="s">
        <v>7</v>
      </c>
      <c r="K45" s="83">
        <f t="shared" ref="K45:K64" si="11">if(I45=True,1,if(I45=False,0))</f>
        <v>1</v>
      </c>
      <c r="L45" s="84">
        <v>6000000.0</v>
      </c>
      <c r="M45" s="84">
        <v>30000.0</v>
      </c>
      <c r="N45" s="84">
        <v>2000.0</v>
      </c>
      <c r="O45" s="84">
        <f>IFERROR(Q45/M45,"-")</f>
        <v>200</v>
      </c>
      <c r="P45" s="84">
        <f>IFERROR(Q45/N45,"-")</f>
        <v>3000</v>
      </c>
      <c r="Q45" s="84">
        <f t="shared" ref="Q45:Q64" si="12">iferror(L45*K45,"-")</f>
        <v>6000000</v>
      </c>
      <c r="R45" s="75" t="s">
        <v>2207</v>
      </c>
      <c r="S45" s="85" t="s">
        <v>142</v>
      </c>
      <c r="T45" s="86" t="s">
        <v>45</v>
      </c>
      <c r="U45" s="9"/>
      <c r="V45" s="9"/>
    </row>
    <row r="46" ht="96.0" customHeight="1" outlineLevel="1">
      <c r="A46" s="72"/>
      <c r="B46" s="72"/>
      <c r="C46" s="72"/>
      <c r="D46" s="72"/>
      <c r="E46" s="72"/>
      <c r="F46" s="72"/>
      <c r="G46" s="72"/>
      <c r="H46" s="88" t="s">
        <v>2208</v>
      </c>
      <c r="I46" s="81" t="b">
        <v>1</v>
      </c>
      <c r="J46" s="82" t="s">
        <v>47</v>
      </c>
      <c r="K46" s="83">
        <f t="shared" si="11"/>
        <v>1</v>
      </c>
      <c r="L46" s="84">
        <v>2000000.0</v>
      </c>
      <c r="M46" s="84">
        <v>0.0</v>
      </c>
      <c r="N46" s="84">
        <v>0.0</v>
      </c>
      <c r="O46" s="84" t="s">
        <v>81</v>
      </c>
      <c r="P46" s="84" t="s">
        <v>81</v>
      </c>
      <c r="Q46" s="84">
        <f t="shared" si="12"/>
        <v>2000000</v>
      </c>
      <c r="R46" s="72"/>
      <c r="S46" s="72"/>
      <c r="T46" s="72"/>
      <c r="U46" s="9"/>
      <c r="V46" s="9"/>
    </row>
    <row r="47" ht="96.0" customHeight="1" outlineLevel="1">
      <c r="A47" s="73" t="s">
        <v>45</v>
      </c>
      <c r="B47" s="89" t="s">
        <v>144</v>
      </c>
      <c r="C47" s="75" t="s">
        <v>38</v>
      </c>
      <c r="D47" s="76" t="s">
        <v>145</v>
      </c>
      <c r="E47" s="77" t="s">
        <v>146</v>
      </c>
      <c r="F47" s="78" t="s">
        <v>139</v>
      </c>
      <c r="G47" s="79" t="s">
        <v>50</v>
      </c>
      <c r="H47" s="80" t="s">
        <v>2209</v>
      </c>
      <c r="I47" s="81" t="b">
        <v>1</v>
      </c>
      <c r="J47" s="82" t="s">
        <v>7</v>
      </c>
      <c r="K47" s="83">
        <f t="shared" si="11"/>
        <v>1</v>
      </c>
      <c r="L47" s="84">
        <v>5000000.0</v>
      </c>
      <c r="M47" s="84">
        <v>20000.0</v>
      </c>
      <c r="N47" s="84">
        <v>1500.0</v>
      </c>
      <c r="O47" s="84">
        <f t="shared" ref="O47:O64" si="13">IFERROR(Q47/M47,"-")</f>
        <v>250</v>
      </c>
      <c r="P47" s="84">
        <f t="shared" ref="P47:P64" si="14">IFERROR(Q47/N47,"-")</f>
        <v>3333.333333</v>
      </c>
      <c r="Q47" s="84">
        <f t="shared" si="12"/>
        <v>5000000</v>
      </c>
      <c r="R47" s="75" t="s">
        <v>2210</v>
      </c>
      <c r="S47" s="85" t="s">
        <v>149</v>
      </c>
      <c r="T47" s="86" t="s">
        <v>45</v>
      </c>
      <c r="U47" s="87"/>
      <c r="V47" s="87"/>
    </row>
    <row r="48" ht="96.0" customHeight="1" outlineLevel="1">
      <c r="A48" s="72"/>
      <c r="B48" s="72"/>
      <c r="C48" s="72"/>
      <c r="D48" s="72"/>
      <c r="E48" s="72"/>
      <c r="F48" s="72"/>
      <c r="G48" s="72"/>
      <c r="H48" s="88" t="s">
        <v>2211</v>
      </c>
      <c r="I48" s="81" t="b">
        <v>1</v>
      </c>
      <c r="J48" s="82" t="s">
        <v>47</v>
      </c>
      <c r="K48" s="83">
        <f t="shared" si="11"/>
        <v>1</v>
      </c>
      <c r="L48" s="84">
        <v>2000000.0</v>
      </c>
      <c r="M48" s="84">
        <v>0.0</v>
      </c>
      <c r="N48" s="84">
        <v>0.0</v>
      </c>
      <c r="O48" s="84" t="str">
        <f t="shared" si="13"/>
        <v>-</v>
      </c>
      <c r="P48" s="84" t="str">
        <f t="shared" si="14"/>
        <v>-</v>
      </c>
      <c r="Q48" s="84">
        <f t="shared" si="12"/>
        <v>2000000</v>
      </c>
      <c r="R48" s="72"/>
      <c r="S48" s="72"/>
      <c r="T48" s="72"/>
      <c r="U48" s="9"/>
      <c r="V48" s="9"/>
    </row>
    <row r="49" ht="96.0" customHeight="1" outlineLevel="1">
      <c r="A49" s="73" t="s">
        <v>45</v>
      </c>
      <c r="B49" s="147" t="s">
        <v>151</v>
      </c>
      <c r="C49" s="75" t="s">
        <v>38</v>
      </c>
      <c r="D49" s="76" t="s">
        <v>152</v>
      </c>
      <c r="E49" s="77" t="s">
        <v>146</v>
      </c>
      <c r="F49" s="78" t="s">
        <v>139</v>
      </c>
      <c r="G49" s="79" t="s">
        <v>50</v>
      </c>
      <c r="H49" s="80" t="s">
        <v>2212</v>
      </c>
      <c r="I49" s="81" t="b">
        <v>1</v>
      </c>
      <c r="J49" s="82" t="s">
        <v>7</v>
      </c>
      <c r="K49" s="83">
        <f t="shared" si="11"/>
        <v>1</v>
      </c>
      <c r="L49" s="84">
        <v>3000000.0</v>
      </c>
      <c r="M49" s="84">
        <v>20000.0</v>
      </c>
      <c r="N49" s="84">
        <v>1500.0</v>
      </c>
      <c r="O49" s="84">
        <f t="shared" si="13"/>
        <v>150</v>
      </c>
      <c r="P49" s="84">
        <f t="shared" si="14"/>
        <v>2000</v>
      </c>
      <c r="Q49" s="84">
        <f t="shared" si="12"/>
        <v>3000000</v>
      </c>
      <c r="R49" s="75" t="s">
        <v>2213</v>
      </c>
      <c r="S49" s="85" t="s">
        <v>155</v>
      </c>
      <c r="T49" s="86" t="s">
        <v>45</v>
      </c>
      <c r="U49" s="9"/>
      <c r="V49" s="9"/>
    </row>
    <row r="50" ht="96.0" customHeight="1" outlineLevel="1">
      <c r="A50" s="72"/>
      <c r="B50" s="72"/>
      <c r="C50" s="72"/>
      <c r="D50" s="72"/>
      <c r="E50" s="72"/>
      <c r="F50" s="72"/>
      <c r="G50" s="72"/>
      <c r="H50" s="88" t="s">
        <v>2214</v>
      </c>
      <c r="I50" s="81" t="b">
        <v>1</v>
      </c>
      <c r="J50" s="82" t="s">
        <v>47</v>
      </c>
      <c r="K50" s="83">
        <f t="shared" si="11"/>
        <v>1</v>
      </c>
      <c r="L50" s="84">
        <v>2000000.0</v>
      </c>
      <c r="M50" s="84">
        <v>0.0</v>
      </c>
      <c r="N50" s="84">
        <v>0.0</v>
      </c>
      <c r="O50" s="84" t="str">
        <f t="shared" si="13"/>
        <v>-</v>
      </c>
      <c r="P50" s="84" t="str">
        <f t="shared" si="14"/>
        <v>-</v>
      </c>
      <c r="Q50" s="84">
        <f t="shared" si="12"/>
        <v>2000000</v>
      </c>
      <c r="R50" s="72"/>
      <c r="S50" s="72"/>
      <c r="T50" s="72"/>
      <c r="U50" s="9"/>
      <c r="V50" s="9"/>
    </row>
    <row r="51" ht="96.0" customHeight="1" outlineLevel="1">
      <c r="A51" s="73" t="s">
        <v>73</v>
      </c>
      <c r="B51" s="96" t="s">
        <v>157</v>
      </c>
      <c r="C51" s="75" t="s">
        <v>38</v>
      </c>
      <c r="D51" s="76" t="s">
        <v>158</v>
      </c>
      <c r="E51" s="77" t="s">
        <v>40</v>
      </c>
      <c r="F51" s="78" t="s">
        <v>139</v>
      </c>
      <c r="G51" s="79" t="s">
        <v>50</v>
      </c>
      <c r="H51" s="80" t="s">
        <v>2215</v>
      </c>
      <c r="I51" s="81" t="b">
        <v>1</v>
      </c>
      <c r="J51" s="82" t="s">
        <v>7</v>
      </c>
      <c r="K51" s="83">
        <f t="shared" si="11"/>
        <v>1</v>
      </c>
      <c r="L51" s="84">
        <v>6000000.0</v>
      </c>
      <c r="M51" s="84">
        <v>30000.0</v>
      </c>
      <c r="N51" s="84">
        <v>2000.0</v>
      </c>
      <c r="O51" s="84">
        <f t="shared" si="13"/>
        <v>200</v>
      </c>
      <c r="P51" s="84">
        <f t="shared" si="14"/>
        <v>3000</v>
      </c>
      <c r="Q51" s="84">
        <f t="shared" si="12"/>
        <v>6000000</v>
      </c>
      <c r="R51" s="75" t="s">
        <v>2216</v>
      </c>
      <c r="S51" s="85" t="s">
        <v>161</v>
      </c>
      <c r="T51" s="153" t="s">
        <v>222</v>
      </c>
      <c r="U51" s="87"/>
      <c r="V51" s="87"/>
    </row>
    <row r="52" ht="96.0" customHeight="1" outlineLevel="1">
      <c r="A52" s="72"/>
      <c r="B52" s="72"/>
      <c r="C52" s="72"/>
      <c r="D52" s="72"/>
      <c r="E52" s="72"/>
      <c r="F52" s="72"/>
      <c r="G52" s="72"/>
      <c r="H52" s="88" t="s">
        <v>2217</v>
      </c>
      <c r="I52" s="81" t="b">
        <v>1</v>
      </c>
      <c r="J52" s="82" t="s">
        <v>47</v>
      </c>
      <c r="K52" s="83">
        <f t="shared" si="11"/>
        <v>1</v>
      </c>
      <c r="L52" s="84">
        <v>2000000.0</v>
      </c>
      <c r="M52" s="84">
        <v>0.0</v>
      </c>
      <c r="N52" s="84">
        <v>0.0</v>
      </c>
      <c r="O52" s="84" t="str">
        <f t="shared" si="13"/>
        <v>-</v>
      </c>
      <c r="P52" s="84" t="str">
        <f t="shared" si="14"/>
        <v>-</v>
      </c>
      <c r="Q52" s="84">
        <f t="shared" si="12"/>
        <v>2000000</v>
      </c>
      <c r="R52" s="72"/>
      <c r="S52" s="72"/>
      <c r="T52" s="72"/>
      <c r="U52" s="87"/>
      <c r="V52" s="87"/>
    </row>
    <row r="53" ht="96.0" customHeight="1" outlineLevel="1">
      <c r="A53" s="73" t="s">
        <v>73</v>
      </c>
      <c r="B53" s="96" t="s">
        <v>163</v>
      </c>
      <c r="C53" s="75" t="s">
        <v>38</v>
      </c>
      <c r="D53" s="76" t="s">
        <v>164</v>
      </c>
      <c r="E53" s="77" t="s">
        <v>146</v>
      </c>
      <c r="F53" s="78" t="s">
        <v>21</v>
      </c>
      <c r="G53" s="79" t="s">
        <v>50</v>
      </c>
      <c r="H53" s="80" t="s">
        <v>2218</v>
      </c>
      <c r="I53" s="81" t="b">
        <v>1</v>
      </c>
      <c r="J53" s="82" t="s">
        <v>7</v>
      </c>
      <c r="K53" s="83">
        <f t="shared" si="11"/>
        <v>1</v>
      </c>
      <c r="L53" s="84">
        <v>5000000.0</v>
      </c>
      <c r="M53" s="84">
        <v>20000.0</v>
      </c>
      <c r="N53" s="84">
        <v>1500.0</v>
      </c>
      <c r="O53" s="84">
        <f t="shared" si="13"/>
        <v>250</v>
      </c>
      <c r="P53" s="84">
        <f t="shared" si="14"/>
        <v>3333.333333</v>
      </c>
      <c r="Q53" s="84">
        <f t="shared" si="12"/>
        <v>5000000</v>
      </c>
      <c r="R53" s="75" t="s">
        <v>2219</v>
      </c>
      <c r="S53" s="85" t="s">
        <v>167</v>
      </c>
      <c r="T53" s="153" t="s">
        <v>222</v>
      </c>
      <c r="U53" s="87"/>
      <c r="V53" s="87"/>
    </row>
    <row r="54" ht="96.0" customHeight="1" outlineLevel="1">
      <c r="A54" s="72"/>
      <c r="B54" s="72"/>
      <c r="C54" s="72"/>
      <c r="D54" s="72"/>
      <c r="E54" s="72"/>
      <c r="F54" s="72"/>
      <c r="G54" s="72"/>
      <c r="H54" s="88" t="s">
        <v>2220</v>
      </c>
      <c r="I54" s="81" t="b">
        <v>1</v>
      </c>
      <c r="J54" s="82" t="s">
        <v>47</v>
      </c>
      <c r="K54" s="83">
        <f t="shared" si="11"/>
        <v>1</v>
      </c>
      <c r="L54" s="84">
        <v>3000000.0</v>
      </c>
      <c r="M54" s="84">
        <v>0.0</v>
      </c>
      <c r="N54" s="84">
        <v>0.0</v>
      </c>
      <c r="O54" s="84" t="str">
        <f t="shared" si="13"/>
        <v>-</v>
      </c>
      <c r="P54" s="84" t="str">
        <f t="shared" si="14"/>
        <v>-</v>
      </c>
      <c r="Q54" s="84">
        <f t="shared" si="12"/>
        <v>3000000</v>
      </c>
      <c r="R54" s="72"/>
      <c r="S54" s="72"/>
      <c r="T54" s="72"/>
      <c r="U54" s="9"/>
      <c r="V54" s="9"/>
    </row>
    <row r="55" ht="96.0" customHeight="1" outlineLevel="1">
      <c r="A55" s="73" t="s">
        <v>73</v>
      </c>
      <c r="B55" s="91" t="s">
        <v>169</v>
      </c>
      <c r="C55" s="75" t="s">
        <v>38</v>
      </c>
      <c r="D55" s="76">
        <v>6489.0</v>
      </c>
      <c r="E55" s="77" t="s">
        <v>146</v>
      </c>
      <c r="F55" s="78" t="s">
        <v>139</v>
      </c>
      <c r="G55" s="79" t="s">
        <v>50</v>
      </c>
      <c r="H55" s="80" t="s">
        <v>2221</v>
      </c>
      <c r="I55" s="81" t="b">
        <v>1</v>
      </c>
      <c r="J55" s="82" t="s">
        <v>7</v>
      </c>
      <c r="K55" s="83">
        <f t="shared" si="11"/>
        <v>1</v>
      </c>
      <c r="L55" s="84">
        <v>3000000.0</v>
      </c>
      <c r="M55" s="84">
        <v>10000.0</v>
      </c>
      <c r="N55" s="84">
        <v>1000.0</v>
      </c>
      <c r="O55" s="84">
        <f t="shared" si="13"/>
        <v>300</v>
      </c>
      <c r="P55" s="84">
        <f t="shared" si="14"/>
        <v>3000</v>
      </c>
      <c r="Q55" s="84">
        <f t="shared" si="12"/>
        <v>3000000</v>
      </c>
      <c r="R55" s="75" t="s">
        <v>2222</v>
      </c>
      <c r="S55" s="85" t="s">
        <v>172</v>
      </c>
      <c r="T55" s="153" t="s">
        <v>222</v>
      </c>
      <c r="U55" s="9"/>
      <c r="V55" s="9"/>
    </row>
    <row r="56" ht="96.0" customHeight="1" outlineLevel="1">
      <c r="A56" s="72"/>
      <c r="B56" s="72"/>
      <c r="C56" s="72"/>
      <c r="D56" s="72"/>
      <c r="E56" s="72"/>
      <c r="F56" s="72"/>
      <c r="G56" s="72"/>
      <c r="H56" s="88" t="s">
        <v>2223</v>
      </c>
      <c r="I56" s="81" t="b">
        <v>1</v>
      </c>
      <c r="J56" s="82" t="s">
        <v>47</v>
      </c>
      <c r="K56" s="83">
        <f t="shared" si="11"/>
        <v>1</v>
      </c>
      <c r="L56" s="84">
        <v>2000000.0</v>
      </c>
      <c r="M56" s="84">
        <v>0.0</v>
      </c>
      <c r="N56" s="84">
        <v>0.0</v>
      </c>
      <c r="O56" s="84" t="str">
        <f t="shared" si="13"/>
        <v>-</v>
      </c>
      <c r="P56" s="84" t="str">
        <f t="shared" si="14"/>
        <v>-</v>
      </c>
      <c r="Q56" s="84">
        <f t="shared" si="12"/>
        <v>2000000</v>
      </c>
      <c r="R56" s="72"/>
      <c r="S56" s="72"/>
      <c r="T56" s="72"/>
      <c r="U56" s="9"/>
      <c r="V56" s="9"/>
    </row>
    <row r="57" ht="96.0" customHeight="1" outlineLevel="1">
      <c r="A57" s="73" t="s">
        <v>186</v>
      </c>
      <c r="B57" s="151" t="s">
        <v>237</v>
      </c>
      <c r="C57" s="75" t="s">
        <v>38</v>
      </c>
      <c r="D57" s="76" t="s">
        <v>238</v>
      </c>
      <c r="E57" s="77" t="s">
        <v>146</v>
      </c>
      <c r="F57" s="78" t="s">
        <v>139</v>
      </c>
      <c r="G57" s="79" t="s">
        <v>50</v>
      </c>
      <c r="H57" s="80" t="s">
        <v>2224</v>
      </c>
      <c r="I57" s="81" t="b">
        <v>1</v>
      </c>
      <c r="J57" s="82" t="s">
        <v>7</v>
      </c>
      <c r="K57" s="83">
        <f t="shared" si="11"/>
        <v>1</v>
      </c>
      <c r="L57" s="84">
        <v>1.6E7</v>
      </c>
      <c r="M57" s="84">
        <v>70000.0</v>
      </c>
      <c r="N57" s="84">
        <v>4000.0</v>
      </c>
      <c r="O57" s="84">
        <f t="shared" si="13"/>
        <v>228.5714286</v>
      </c>
      <c r="P57" s="84">
        <f t="shared" si="14"/>
        <v>4000</v>
      </c>
      <c r="Q57" s="84">
        <f t="shared" si="12"/>
        <v>16000000</v>
      </c>
      <c r="R57" s="75" t="s">
        <v>2225</v>
      </c>
      <c r="S57" s="85"/>
      <c r="T57" s="149" t="s">
        <v>122</v>
      </c>
      <c r="U57" s="87"/>
      <c r="V57" s="87"/>
    </row>
    <row r="58" ht="96.0" customHeight="1" outlineLevel="1">
      <c r="A58" s="72"/>
      <c r="B58" s="72"/>
      <c r="C58" s="72"/>
      <c r="D58" s="72"/>
      <c r="E58" s="72"/>
      <c r="F58" s="72"/>
      <c r="G58" s="72"/>
      <c r="H58" s="88" t="s">
        <v>2226</v>
      </c>
      <c r="I58" s="81" t="b">
        <v>1</v>
      </c>
      <c r="J58" s="82" t="s">
        <v>47</v>
      </c>
      <c r="K58" s="83">
        <f t="shared" si="11"/>
        <v>1</v>
      </c>
      <c r="L58" s="84">
        <v>8000000.0</v>
      </c>
      <c r="M58" s="84">
        <v>0.0</v>
      </c>
      <c r="N58" s="84">
        <v>0.0</v>
      </c>
      <c r="O58" s="84" t="str">
        <f t="shared" si="13"/>
        <v>-</v>
      </c>
      <c r="P58" s="84" t="str">
        <f t="shared" si="14"/>
        <v>-</v>
      </c>
      <c r="Q58" s="84">
        <f t="shared" si="12"/>
        <v>8000000</v>
      </c>
      <c r="R58" s="72"/>
      <c r="S58" s="72"/>
      <c r="T58" s="72"/>
      <c r="U58" s="9"/>
      <c r="V58" s="9"/>
    </row>
    <row r="59" ht="96.0" customHeight="1" outlineLevel="1">
      <c r="A59" s="73" t="s">
        <v>186</v>
      </c>
      <c r="B59" s="151" t="s">
        <v>187</v>
      </c>
      <c r="C59" s="75" t="s">
        <v>38</v>
      </c>
      <c r="D59" s="76" t="s">
        <v>188</v>
      </c>
      <c r="E59" s="77" t="s">
        <v>146</v>
      </c>
      <c r="F59" s="78" t="s">
        <v>139</v>
      </c>
      <c r="G59" s="79" t="s">
        <v>50</v>
      </c>
      <c r="H59" s="80" t="s">
        <v>2227</v>
      </c>
      <c r="I59" s="81" t="b">
        <v>1</v>
      </c>
      <c r="J59" s="82" t="s">
        <v>7</v>
      </c>
      <c r="K59" s="83">
        <f t="shared" si="11"/>
        <v>1</v>
      </c>
      <c r="L59" s="84">
        <v>1.2E7</v>
      </c>
      <c r="M59" s="84">
        <v>60000.0</v>
      </c>
      <c r="N59" s="84">
        <v>3000.0</v>
      </c>
      <c r="O59" s="84">
        <f t="shared" si="13"/>
        <v>200</v>
      </c>
      <c r="P59" s="84">
        <f t="shared" si="14"/>
        <v>4000</v>
      </c>
      <c r="Q59" s="84">
        <f t="shared" si="12"/>
        <v>12000000</v>
      </c>
      <c r="R59" s="75" t="s">
        <v>2228</v>
      </c>
      <c r="S59" s="85"/>
      <c r="T59" s="149" t="s">
        <v>122</v>
      </c>
      <c r="U59" s="87"/>
      <c r="V59" s="87"/>
    </row>
    <row r="60" ht="96.0" customHeight="1" outlineLevel="1">
      <c r="A60" s="72"/>
      <c r="B60" s="72"/>
      <c r="C60" s="72"/>
      <c r="D60" s="72"/>
      <c r="E60" s="72"/>
      <c r="F60" s="72"/>
      <c r="G60" s="72"/>
      <c r="H60" s="88" t="s">
        <v>2229</v>
      </c>
      <c r="I60" s="81" t="b">
        <v>1</v>
      </c>
      <c r="J60" s="82" t="s">
        <v>47</v>
      </c>
      <c r="K60" s="83">
        <f t="shared" si="11"/>
        <v>1</v>
      </c>
      <c r="L60" s="84">
        <v>8000000.0</v>
      </c>
      <c r="M60" s="84">
        <v>0.0</v>
      </c>
      <c r="N60" s="84">
        <v>0.0</v>
      </c>
      <c r="O60" s="84" t="str">
        <f t="shared" si="13"/>
        <v>-</v>
      </c>
      <c r="P60" s="84" t="str">
        <f t="shared" si="14"/>
        <v>-</v>
      </c>
      <c r="Q60" s="84">
        <f t="shared" si="12"/>
        <v>8000000</v>
      </c>
      <c r="R60" s="72"/>
      <c r="S60" s="72"/>
      <c r="T60" s="72"/>
      <c r="U60" s="9"/>
      <c r="V60" s="9"/>
    </row>
    <row r="61" ht="96.0" customHeight="1" outlineLevel="1">
      <c r="A61" s="73" t="s">
        <v>186</v>
      </c>
      <c r="B61" s="151" t="s">
        <v>192</v>
      </c>
      <c r="C61" s="75" t="s">
        <v>38</v>
      </c>
      <c r="D61" s="76" t="s">
        <v>193</v>
      </c>
      <c r="E61" s="77" t="s">
        <v>146</v>
      </c>
      <c r="F61" s="78" t="s">
        <v>139</v>
      </c>
      <c r="G61" s="79" t="s">
        <v>50</v>
      </c>
      <c r="H61" s="80" t="s">
        <v>2230</v>
      </c>
      <c r="I61" s="81" t="b">
        <v>1</v>
      </c>
      <c r="J61" s="82" t="s">
        <v>7</v>
      </c>
      <c r="K61" s="83">
        <f t="shared" si="11"/>
        <v>1</v>
      </c>
      <c r="L61" s="84">
        <v>6000000.0</v>
      </c>
      <c r="M61" s="84">
        <v>25000.0</v>
      </c>
      <c r="N61" s="84">
        <v>2000.0</v>
      </c>
      <c r="O61" s="84">
        <f t="shared" si="13"/>
        <v>240</v>
      </c>
      <c r="P61" s="84">
        <f t="shared" si="14"/>
        <v>3000</v>
      </c>
      <c r="Q61" s="84">
        <f t="shared" si="12"/>
        <v>6000000</v>
      </c>
      <c r="R61" s="75" t="s">
        <v>2231</v>
      </c>
      <c r="S61" s="85"/>
      <c r="T61" s="149" t="s">
        <v>122</v>
      </c>
      <c r="U61" s="87"/>
      <c r="V61" s="87"/>
    </row>
    <row r="62" ht="96.0" customHeight="1" outlineLevel="1">
      <c r="A62" s="72"/>
      <c r="B62" s="72"/>
      <c r="C62" s="72"/>
      <c r="D62" s="72"/>
      <c r="E62" s="72"/>
      <c r="F62" s="72"/>
      <c r="G62" s="72"/>
      <c r="H62" s="88" t="s">
        <v>2232</v>
      </c>
      <c r="I62" s="81" t="b">
        <v>1</v>
      </c>
      <c r="J62" s="82" t="s">
        <v>47</v>
      </c>
      <c r="K62" s="83">
        <f t="shared" si="11"/>
        <v>1</v>
      </c>
      <c r="L62" s="84">
        <v>2000000.0</v>
      </c>
      <c r="M62" s="84">
        <v>0.0</v>
      </c>
      <c r="N62" s="84">
        <v>0.0</v>
      </c>
      <c r="O62" s="84" t="str">
        <f t="shared" si="13"/>
        <v>-</v>
      </c>
      <c r="P62" s="84" t="str">
        <f t="shared" si="14"/>
        <v>-</v>
      </c>
      <c r="Q62" s="84">
        <f t="shared" si="12"/>
        <v>2000000</v>
      </c>
      <c r="R62" s="72"/>
      <c r="S62" s="72"/>
      <c r="T62" s="72"/>
      <c r="U62" s="9"/>
      <c r="V62" s="9"/>
    </row>
    <row r="63" ht="96.0" customHeight="1" outlineLevel="1">
      <c r="A63" s="73" t="s">
        <v>186</v>
      </c>
      <c r="B63" s="152" t="s">
        <v>197</v>
      </c>
      <c r="C63" s="75" t="s">
        <v>38</v>
      </c>
      <c r="D63" s="76" t="s">
        <v>198</v>
      </c>
      <c r="E63" s="77" t="s">
        <v>40</v>
      </c>
      <c r="F63" s="78" t="s">
        <v>139</v>
      </c>
      <c r="G63" s="79" t="s">
        <v>50</v>
      </c>
      <c r="H63" s="80" t="s">
        <v>2233</v>
      </c>
      <c r="I63" s="81" t="b">
        <v>0</v>
      </c>
      <c r="J63" s="82" t="s">
        <v>7</v>
      </c>
      <c r="K63" s="83">
        <f t="shared" si="11"/>
        <v>0</v>
      </c>
      <c r="L63" s="84">
        <v>2.2E7</v>
      </c>
      <c r="M63" s="84">
        <v>0.0</v>
      </c>
      <c r="N63" s="84">
        <v>0.0</v>
      </c>
      <c r="O63" s="84" t="str">
        <f t="shared" si="13"/>
        <v>-</v>
      </c>
      <c r="P63" s="84" t="str">
        <f t="shared" si="14"/>
        <v>-</v>
      </c>
      <c r="Q63" s="84">
        <f t="shared" si="12"/>
        <v>0</v>
      </c>
      <c r="R63" s="75" t="s">
        <v>2234</v>
      </c>
      <c r="S63" s="85"/>
      <c r="T63" s="149" t="s">
        <v>122</v>
      </c>
      <c r="U63" s="9"/>
      <c r="V63" s="9"/>
    </row>
    <row r="64" ht="96.0" customHeight="1" outlineLevel="1">
      <c r="A64" s="72"/>
      <c r="B64" s="72"/>
      <c r="C64" s="72"/>
      <c r="D64" s="72"/>
      <c r="E64" s="72"/>
      <c r="F64" s="72"/>
      <c r="G64" s="72"/>
      <c r="H64" s="88" t="s">
        <v>2235</v>
      </c>
      <c r="I64" s="81" t="b">
        <v>0</v>
      </c>
      <c r="J64" s="82" t="s">
        <v>47</v>
      </c>
      <c r="K64" s="83">
        <f t="shared" si="11"/>
        <v>0</v>
      </c>
      <c r="L64" s="84">
        <v>6000000.0</v>
      </c>
      <c r="M64" s="84">
        <v>0.0</v>
      </c>
      <c r="N64" s="84">
        <v>0.0</v>
      </c>
      <c r="O64" s="84" t="str">
        <f t="shared" si="13"/>
        <v>-</v>
      </c>
      <c r="P64" s="84" t="str">
        <f t="shared" si="14"/>
        <v>-</v>
      </c>
      <c r="Q64" s="84">
        <f t="shared" si="12"/>
        <v>0</v>
      </c>
      <c r="R64" s="72"/>
      <c r="S64" s="72"/>
      <c r="T64" s="72"/>
      <c r="U64" s="9"/>
      <c r="V64" s="9"/>
    </row>
    <row r="65" outlineLevel="1">
      <c r="A65" s="134" t="s">
        <v>202</v>
      </c>
      <c r="B65" s="135" t="s">
        <v>203</v>
      </c>
      <c r="C65" s="136"/>
      <c r="D65" s="137"/>
      <c r="E65" s="138"/>
      <c r="F65" s="139"/>
      <c r="G65" s="140"/>
      <c r="H65" s="136"/>
      <c r="I65" s="141" t="b">
        <v>0</v>
      </c>
      <c r="J65" s="142"/>
      <c r="K65" s="143"/>
      <c r="L65" s="144"/>
      <c r="M65" s="144"/>
      <c r="N65" s="144"/>
      <c r="O65" s="144"/>
      <c r="P65" s="144"/>
      <c r="Q65" s="144"/>
      <c r="R65" s="136"/>
      <c r="S65" s="145"/>
      <c r="T65" s="138"/>
      <c r="U65" s="146"/>
      <c r="V65" s="146"/>
    </row>
    <row r="66" ht="96.0" customHeight="1" outlineLevel="1">
      <c r="A66" s="73" t="s">
        <v>101</v>
      </c>
      <c r="B66" s="147" t="s">
        <v>204</v>
      </c>
      <c r="C66" s="75" t="s">
        <v>38</v>
      </c>
      <c r="D66" s="76" t="s">
        <v>205</v>
      </c>
      <c r="E66" s="77" t="s">
        <v>146</v>
      </c>
      <c r="F66" s="78" t="s">
        <v>206</v>
      </c>
      <c r="G66" s="79" t="s">
        <v>105</v>
      </c>
      <c r="H66" s="80" t="s">
        <v>2236</v>
      </c>
      <c r="I66" s="81" t="b">
        <v>1</v>
      </c>
      <c r="J66" s="82" t="s">
        <v>7</v>
      </c>
      <c r="K66" s="83">
        <f t="shared" ref="K66:K79" si="15">if(I66=True,1,if(I66=False,0))</f>
        <v>1</v>
      </c>
      <c r="L66" s="84">
        <v>4000000.0</v>
      </c>
      <c r="M66" s="84">
        <v>20000.0</v>
      </c>
      <c r="N66" s="84">
        <v>1500.0</v>
      </c>
      <c r="O66" s="84">
        <f t="shared" ref="O66:O72" si="16">IFERROR(Q66/M66,"-")</f>
        <v>200</v>
      </c>
      <c r="P66" s="84">
        <f t="shared" ref="P66:P72" si="17">IFERROR(Q66/N66,"-")</f>
        <v>2666.666667</v>
      </c>
      <c r="Q66" s="84">
        <f t="shared" ref="Q66:Q79" si="18">iferror(L66*K66,"-")</f>
        <v>4000000</v>
      </c>
      <c r="R66" s="75" t="s">
        <v>2237</v>
      </c>
      <c r="S66" s="85" t="s">
        <v>209</v>
      </c>
      <c r="T66" s="86" t="s">
        <v>45</v>
      </c>
      <c r="U66" s="9"/>
      <c r="V66" s="9"/>
    </row>
    <row r="67" ht="96.0" customHeight="1" outlineLevel="1">
      <c r="A67" s="72"/>
      <c r="B67" s="72"/>
      <c r="C67" s="72"/>
      <c r="D67" s="72"/>
      <c r="E67" s="72"/>
      <c r="F67" s="72"/>
      <c r="G67" s="72"/>
      <c r="H67" s="88" t="s">
        <v>2238</v>
      </c>
      <c r="I67" s="81" t="b">
        <v>1</v>
      </c>
      <c r="J67" s="82" t="s">
        <v>47</v>
      </c>
      <c r="K67" s="83">
        <f t="shared" si="15"/>
        <v>1</v>
      </c>
      <c r="L67" s="84">
        <v>2000000.0</v>
      </c>
      <c r="M67" s="84">
        <v>0.0</v>
      </c>
      <c r="N67" s="84">
        <v>0.0</v>
      </c>
      <c r="O67" s="84" t="str">
        <f t="shared" si="16"/>
        <v>-</v>
      </c>
      <c r="P67" s="84" t="str">
        <f t="shared" si="17"/>
        <v>-</v>
      </c>
      <c r="Q67" s="84">
        <f t="shared" si="18"/>
        <v>2000000</v>
      </c>
      <c r="R67" s="68"/>
      <c r="S67" s="72"/>
      <c r="T67" s="72"/>
      <c r="U67" s="9"/>
      <c r="V67" s="9"/>
    </row>
    <row r="68" ht="96.0" customHeight="1" outlineLevel="1">
      <c r="A68" s="73" t="s">
        <v>101</v>
      </c>
      <c r="B68" s="89" t="s">
        <v>211</v>
      </c>
      <c r="C68" s="75" t="s">
        <v>38</v>
      </c>
      <c r="D68" s="76">
        <v>45000.0</v>
      </c>
      <c r="E68" s="77" t="s">
        <v>146</v>
      </c>
      <c r="F68" s="78" t="s">
        <v>212</v>
      </c>
      <c r="G68" s="79" t="s">
        <v>213</v>
      </c>
      <c r="H68" s="80" t="s">
        <v>2239</v>
      </c>
      <c r="I68" s="81" t="b">
        <v>1</v>
      </c>
      <c r="J68" s="82" t="s">
        <v>7</v>
      </c>
      <c r="K68" s="83">
        <f t="shared" si="15"/>
        <v>1</v>
      </c>
      <c r="L68" s="84">
        <v>5000000.0</v>
      </c>
      <c r="M68" s="84">
        <v>20000.0</v>
      </c>
      <c r="N68" s="84">
        <v>1500.0</v>
      </c>
      <c r="O68" s="84">
        <f t="shared" si="16"/>
        <v>250</v>
      </c>
      <c r="P68" s="84">
        <f t="shared" si="17"/>
        <v>3333.333333</v>
      </c>
      <c r="Q68" s="84">
        <f t="shared" si="18"/>
        <v>5000000</v>
      </c>
      <c r="R68" s="68"/>
      <c r="S68" s="85" t="s">
        <v>215</v>
      </c>
      <c r="T68" s="86" t="s">
        <v>45</v>
      </c>
      <c r="U68" s="9"/>
      <c r="V68" s="9"/>
    </row>
    <row r="69" ht="96.0" customHeight="1" outlineLevel="1">
      <c r="A69" s="72"/>
      <c r="B69" s="72"/>
      <c r="C69" s="72"/>
      <c r="D69" s="72"/>
      <c r="E69" s="72"/>
      <c r="F69" s="72"/>
      <c r="G69" s="72"/>
      <c r="H69" s="88" t="s">
        <v>2240</v>
      </c>
      <c r="I69" s="81" t="b">
        <v>1</v>
      </c>
      <c r="J69" s="82" t="s">
        <v>47</v>
      </c>
      <c r="K69" s="83">
        <f t="shared" si="15"/>
        <v>1</v>
      </c>
      <c r="L69" s="84">
        <v>2000000.0</v>
      </c>
      <c r="M69" s="84">
        <v>0.0</v>
      </c>
      <c r="N69" s="84">
        <v>0.0</v>
      </c>
      <c r="O69" s="84" t="str">
        <f t="shared" si="16"/>
        <v>-</v>
      </c>
      <c r="P69" s="84" t="str">
        <f t="shared" si="17"/>
        <v>-</v>
      </c>
      <c r="Q69" s="84">
        <f t="shared" si="18"/>
        <v>2000000</v>
      </c>
      <c r="R69" s="68"/>
      <c r="S69" s="72"/>
      <c r="T69" s="72"/>
      <c r="U69" s="87"/>
      <c r="V69" s="87"/>
    </row>
    <row r="70" ht="96.0" customHeight="1" outlineLevel="1">
      <c r="A70" s="73" t="s">
        <v>101</v>
      </c>
      <c r="B70" s="96" t="s">
        <v>217</v>
      </c>
      <c r="C70" s="75" t="s">
        <v>38</v>
      </c>
      <c r="D70" s="76" t="s">
        <v>218</v>
      </c>
      <c r="E70" s="77" t="s">
        <v>146</v>
      </c>
      <c r="F70" s="78" t="s">
        <v>219</v>
      </c>
      <c r="G70" s="79" t="s">
        <v>105</v>
      </c>
      <c r="H70" s="80" t="s">
        <v>2241</v>
      </c>
      <c r="I70" s="81" t="b">
        <v>1</v>
      </c>
      <c r="J70" s="82" t="s">
        <v>7</v>
      </c>
      <c r="K70" s="83">
        <f t="shared" si="15"/>
        <v>1</v>
      </c>
      <c r="L70" s="84">
        <v>4000000.0</v>
      </c>
      <c r="M70" s="84">
        <v>20000.0</v>
      </c>
      <c r="N70" s="84">
        <v>1500.0</v>
      </c>
      <c r="O70" s="84">
        <f t="shared" si="16"/>
        <v>200</v>
      </c>
      <c r="P70" s="84">
        <f t="shared" si="17"/>
        <v>2666.666667</v>
      </c>
      <c r="Q70" s="84">
        <f t="shared" si="18"/>
        <v>4000000</v>
      </c>
      <c r="R70" s="68"/>
      <c r="S70" s="85" t="s">
        <v>221</v>
      </c>
      <c r="T70" s="153" t="s">
        <v>222</v>
      </c>
      <c r="U70" s="9"/>
      <c r="V70" s="9"/>
    </row>
    <row r="71" ht="96.0" customHeight="1" outlineLevel="1">
      <c r="A71" s="72"/>
      <c r="B71" s="72"/>
      <c r="C71" s="72"/>
      <c r="D71" s="72"/>
      <c r="E71" s="72"/>
      <c r="F71" s="72"/>
      <c r="G71" s="72"/>
      <c r="H71" s="88" t="s">
        <v>2242</v>
      </c>
      <c r="I71" s="81" t="b">
        <v>1</v>
      </c>
      <c r="J71" s="82" t="s">
        <v>47</v>
      </c>
      <c r="K71" s="83">
        <f t="shared" si="15"/>
        <v>1</v>
      </c>
      <c r="L71" s="84">
        <v>2000000.0</v>
      </c>
      <c r="M71" s="84">
        <v>0.0</v>
      </c>
      <c r="N71" s="84">
        <v>0.0</v>
      </c>
      <c r="O71" s="84" t="str">
        <f t="shared" si="16"/>
        <v>-</v>
      </c>
      <c r="P71" s="84" t="str">
        <f t="shared" si="17"/>
        <v>-</v>
      </c>
      <c r="Q71" s="84">
        <f t="shared" si="18"/>
        <v>2000000</v>
      </c>
      <c r="R71" s="68"/>
      <c r="S71" s="72"/>
      <c r="T71" s="72"/>
      <c r="U71" s="87"/>
      <c r="V71" s="87"/>
    </row>
    <row r="72" ht="96.0" customHeight="1" outlineLevel="1">
      <c r="A72" s="73" t="s">
        <v>101</v>
      </c>
      <c r="B72" s="91" t="s">
        <v>224</v>
      </c>
      <c r="C72" s="75" t="s">
        <v>38</v>
      </c>
      <c r="D72" s="76">
        <v>76600.0</v>
      </c>
      <c r="E72" s="77" t="s">
        <v>146</v>
      </c>
      <c r="F72" s="78" t="s">
        <v>225</v>
      </c>
      <c r="G72" s="79" t="s">
        <v>226</v>
      </c>
      <c r="H72" s="80" t="s">
        <v>2243</v>
      </c>
      <c r="I72" s="81" t="b">
        <v>1</v>
      </c>
      <c r="J72" s="82" t="s">
        <v>7</v>
      </c>
      <c r="K72" s="83">
        <f t="shared" si="15"/>
        <v>1</v>
      </c>
      <c r="L72" s="84">
        <v>5000000.0</v>
      </c>
      <c r="M72" s="84">
        <v>30000.0</v>
      </c>
      <c r="N72" s="84">
        <v>2000.0</v>
      </c>
      <c r="O72" s="84">
        <f t="shared" si="16"/>
        <v>166.6666667</v>
      </c>
      <c r="P72" s="84">
        <f t="shared" si="17"/>
        <v>2500</v>
      </c>
      <c r="Q72" s="84">
        <f t="shared" si="18"/>
        <v>5000000</v>
      </c>
      <c r="R72" s="68"/>
      <c r="S72" s="85" t="s">
        <v>228</v>
      </c>
      <c r="T72" s="153" t="s">
        <v>222</v>
      </c>
      <c r="U72" s="9"/>
      <c r="V72" s="9"/>
    </row>
    <row r="73" ht="96.0" customHeight="1" outlineLevel="1">
      <c r="A73" s="72"/>
      <c r="B73" s="72"/>
      <c r="C73" s="72"/>
      <c r="D73" s="72"/>
      <c r="E73" s="72"/>
      <c r="F73" s="72"/>
      <c r="G73" s="72"/>
      <c r="H73" s="88" t="s">
        <v>2244</v>
      </c>
      <c r="I73" s="81" t="b">
        <v>1</v>
      </c>
      <c r="J73" s="82" t="s">
        <v>47</v>
      </c>
      <c r="K73" s="83">
        <f t="shared" si="15"/>
        <v>1</v>
      </c>
      <c r="L73" s="84">
        <v>2000000.0</v>
      </c>
      <c r="M73" s="84">
        <v>0.0</v>
      </c>
      <c r="N73" s="84">
        <v>0.0</v>
      </c>
      <c r="O73" s="84" t="s">
        <v>81</v>
      </c>
      <c r="P73" s="84" t="s">
        <v>81</v>
      </c>
      <c r="Q73" s="84">
        <f t="shared" si="18"/>
        <v>2000000</v>
      </c>
      <c r="R73" s="68"/>
      <c r="S73" s="72"/>
      <c r="T73" s="72"/>
      <c r="U73" s="9"/>
      <c r="V73" s="9"/>
    </row>
    <row r="74" ht="96.0" customHeight="1" outlineLevel="1">
      <c r="A74" s="73" t="s">
        <v>101</v>
      </c>
      <c r="B74" s="91" t="s">
        <v>230</v>
      </c>
      <c r="C74" s="75" t="s">
        <v>38</v>
      </c>
      <c r="D74" s="76" t="s">
        <v>231</v>
      </c>
      <c r="E74" s="77" t="s">
        <v>146</v>
      </c>
      <c r="F74" s="78" t="s">
        <v>232</v>
      </c>
      <c r="G74" s="79" t="s">
        <v>226</v>
      </c>
      <c r="H74" s="80" t="s">
        <v>2245</v>
      </c>
      <c r="I74" s="81" t="b">
        <v>1</v>
      </c>
      <c r="J74" s="82" t="s">
        <v>7</v>
      </c>
      <c r="K74" s="83">
        <f t="shared" si="15"/>
        <v>1</v>
      </c>
      <c r="L74" s="84">
        <v>4000000.0</v>
      </c>
      <c r="M74" s="84">
        <v>30000.0</v>
      </c>
      <c r="N74" s="84">
        <v>2000.0</v>
      </c>
      <c r="O74" s="84">
        <f>IFERROR(Q74/M74,"-")</f>
        <v>133.3333333</v>
      </c>
      <c r="P74" s="84">
        <f>IFERROR(Q74/N74,"-")</f>
        <v>2000</v>
      </c>
      <c r="Q74" s="84">
        <f t="shared" si="18"/>
        <v>4000000</v>
      </c>
      <c r="R74" s="68"/>
      <c r="S74" s="85" t="s">
        <v>234</v>
      </c>
      <c r="T74" s="153" t="s">
        <v>222</v>
      </c>
      <c r="U74" s="9"/>
      <c r="V74" s="9"/>
    </row>
    <row r="75" ht="96.0" customHeight="1" outlineLevel="1">
      <c r="A75" s="72"/>
      <c r="B75" s="72"/>
      <c r="C75" s="72"/>
      <c r="D75" s="72"/>
      <c r="E75" s="72"/>
      <c r="F75" s="72"/>
      <c r="G75" s="72"/>
      <c r="H75" s="88" t="s">
        <v>2246</v>
      </c>
      <c r="I75" s="81" t="b">
        <v>1</v>
      </c>
      <c r="J75" s="82" t="s">
        <v>47</v>
      </c>
      <c r="K75" s="83">
        <f t="shared" si="15"/>
        <v>1</v>
      </c>
      <c r="L75" s="84">
        <v>2000000.0</v>
      </c>
      <c r="M75" s="84">
        <v>0.0</v>
      </c>
      <c r="N75" s="84">
        <v>0.0</v>
      </c>
      <c r="O75" s="84" t="s">
        <v>81</v>
      </c>
      <c r="P75" s="84" t="s">
        <v>81</v>
      </c>
      <c r="Q75" s="84">
        <f t="shared" si="18"/>
        <v>2000000</v>
      </c>
      <c r="R75" s="68"/>
      <c r="S75" s="72"/>
      <c r="T75" s="72"/>
      <c r="U75" s="9"/>
      <c r="V75" s="9"/>
    </row>
    <row r="76" ht="96.0" customHeight="1" outlineLevel="1">
      <c r="A76" s="73" t="s">
        <v>101</v>
      </c>
      <c r="B76" s="154" t="s">
        <v>260</v>
      </c>
      <c r="C76" s="75" t="s">
        <v>38</v>
      </c>
      <c r="D76" s="76" t="s">
        <v>261</v>
      </c>
      <c r="E76" s="77" t="s">
        <v>146</v>
      </c>
      <c r="F76" s="78" t="s">
        <v>262</v>
      </c>
      <c r="G76" s="79" t="s">
        <v>105</v>
      </c>
      <c r="H76" s="80" t="s">
        <v>2247</v>
      </c>
      <c r="I76" s="81" t="b">
        <v>0</v>
      </c>
      <c r="J76" s="82" t="s">
        <v>7</v>
      </c>
      <c r="K76" s="83">
        <f t="shared" si="15"/>
        <v>0</v>
      </c>
      <c r="L76" s="84">
        <v>6000000.0</v>
      </c>
      <c r="M76" s="84">
        <v>0.0</v>
      </c>
      <c r="N76" s="84">
        <v>0.0</v>
      </c>
      <c r="O76" s="84" t="str">
        <f t="shared" ref="O76:O79" si="19">IFERROR(Q76/M76,"-")</f>
        <v>-</v>
      </c>
      <c r="P76" s="84" t="str">
        <f t="shared" ref="P76:P79" si="20">IFERROR(Q76/N76,"-")</f>
        <v>-</v>
      </c>
      <c r="Q76" s="84">
        <f t="shared" si="18"/>
        <v>0</v>
      </c>
      <c r="R76" s="68"/>
      <c r="S76" s="85"/>
      <c r="T76" s="149" t="s">
        <v>122</v>
      </c>
      <c r="U76" s="9"/>
      <c r="V76" s="9"/>
    </row>
    <row r="77" ht="96.0" customHeight="1" outlineLevel="1">
      <c r="A77" s="72"/>
      <c r="B77" s="72"/>
      <c r="C77" s="72"/>
      <c r="D77" s="72"/>
      <c r="E77" s="72"/>
      <c r="F77" s="72"/>
      <c r="G77" s="72"/>
      <c r="H77" s="88" t="s">
        <v>2248</v>
      </c>
      <c r="I77" s="81" t="b">
        <v>0</v>
      </c>
      <c r="J77" s="82" t="s">
        <v>47</v>
      </c>
      <c r="K77" s="83">
        <f t="shared" si="15"/>
        <v>0</v>
      </c>
      <c r="L77" s="84">
        <v>3000000.0</v>
      </c>
      <c r="M77" s="84">
        <v>0.0</v>
      </c>
      <c r="N77" s="84">
        <v>0.0</v>
      </c>
      <c r="O77" s="84" t="str">
        <f t="shared" si="19"/>
        <v>-</v>
      </c>
      <c r="P77" s="84" t="str">
        <f t="shared" si="20"/>
        <v>-</v>
      </c>
      <c r="Q77" s="84">
        <f t="shared" si="18"/>
        <v>0</v>
      </c>
      <c r="R77" s="68"/>
      <c r="S77" s="72"/>
      <c r="T77" s="72"/>
      <c r="U77" s="87"/>
      <c r="V77" s="87"/>
    </row>
    <row r="78" ht="96.0" customHeight="1" outlineLevel="1">
      <c r="A78" s="73" t="s">
        <v>101</v>
      </c>
      <c r="B78" s="151" t="s">
        <v>265</v>
      </c>
      <c r="C78" s="75" t="s">
        <v>38</v>
      </c>
      <c r="D78" s="76" t="s">
        <v>266</v>
      </c>
      <c r="E78" s="77" t="s">
        <v>146</v>
      </c>
      <c r="F78" s="78" t="s">
        <v>267</v>
      </c>
      <c r="G78" s="79" t="s">
        <v>226</v>
      </c>
      <c r="H78" s="80" t="s">
        <v>2249</v>
      </c>
      <c r="I78" s="81" t="b">
        <v>0</v>
      </c>
      <c r="J78" s="82" t="s">
        <v>7</v>
      </c>
      <c r="K78" s="83">
        <f t="shared" si="15"/>
        <v>0</v>
      </c>
      <c r="L78" s="84">
        <v>8000000.0</v>
      </c>
      <c r="M78" s="84">
        <v>0.0</v>
      </c>
      <c r="N78" s="84">
        <v>0.0</v>
      </c>
      <c r="O78" s="84" t="str">
        <f t="shared" si="19"/>
        <v>-</v>
      </c>
      <c r="P78" s="84" t="str">
        <f t="shared" si="20"/>
        <v>-</v>
      </c>
      <c r="Q78" s="84">
        <f t="shared" si="18"/>
        <v>0</v>
      </c>
      <c r="R78" s="68"/>
      <c r="S78" s="85"/>
      <c r="T78" s="149" t="s">
        <v>122</v>
      </c>
      <c r="U78" s="9"/>
      <c r="V78" s="9"/>
    </row>
    <row r="79" ht="96.0" customHeight="1" outlineLevel="1">
      <c r="A79" s="72"/>
      <c r="B79" s="72"/>
      <c r="C79" s="72"/>
      <c r="D79" s="72"/>
      <c r="E79" s="72"/>
      <c r="F79" s="72"/>
      <c r="G79" s="72"/>
      <c r="H79" s="88" t="s">
        <v>2250</v>
      </c>
      <c r="I79" s="81" t="b">
        <v>0</v>
      </c>
      <c r="J79" s="82" t="s">
        <v>47</v>
      </c>
      <c r="K79" s="83">
        <f t="shared" si="15"/>
        <v>0</v>
      </c>
      <c r="L79" s="84">
        <v>4000000.0</v>
      </c>
      <c r="M79" s="84">
        <v>0.0</v>
      </c>
      <c r="N79" s="84">
        <v>0.0</v>
      </c>
      <c r="O79" s="84" t="str">
        <f t="shared" si="19"/>
        <v>-</v>
      </c>
      <c r="P79" s="84" t="str">
        <f t="shared" si="20"/>
        <v>-</v>
      </c>
      <c r="Q79" s="84">
        <f t="shared" si="18"/>
        <v>0</v>
      </c>
      <c r="R79" s="72"/>
      <c r="S79" s="72"/>
      <c r="T79" s="72"/>
      <c r="U79" s="9"/>
      <c r="V79" s="9"/>
    </row>
    <row r="80" outlineLevel="1">
      <c r="A80" s="134" t="s">
        <v>270</v>
      </c>
      <c r="B80" s="135" t="s">
        <v>271</v>
      </c>
      <c r="C80" s="136"/>
      <c r="D80" s="137"/>
      <c r="E80" s="138"/>
      <c r="F80" s="139"/>
      <c r="G80" s="140"/>
      <c r="H80" s="136"/>
      <c r="I80" s="141" t="b">
        <v>0</v>
      </c>
      <c r="J80" s="142"/>
      <c r="K80" s="143"/>
      <c r="L80" s="144"/>
      <c r="M80" s="144"/>
      <c r="N80" s="144"/>
      <c r="O80" s="144"/>
      <c r="P80" s="144"/>
      <c r="Q80" s="144"/>
      <c r="R80" s="136"/>
      <c r="S80" s="145"/>
      <c r="T80" s="138"/>
      <c r="U80" s="146"/>
      <c r="V80" s="146"/>
    </row>
    <row r="81" ht="96.0" customHeight="1" outlineLevel="1">
      <c r="A81" s="73" t="s">
        <v>45</v>
      </c>
      <c r="B81" s="147" t="s">
        <v>272</v>
      </c>
      <c r="C81" s="75" t="s">
        <v>38</v>
      </c>
      <c r="D81" s="76" t="s">
        <v>273</v>
      </c>
      <c r="E81" s="77" t="s">
        <v>146</v>
      </c>
      <c r="F81" s="78" t="s">
        <v>274</v>
      </c>
      <c r="G81" s="79" t="s">
        <v>275</v>
      </c>
      <c r="H81" s="80" t="s">
        <v>2251</v>
      </c>
      <c r="I81" s="81" t="b">
        <v>1</v>
      </c>
      <c r="J81" s="82" t="s">
        <v>7</v>
      </c>
      <c r="K81" s="83">
        <f t="shared" ref="K81:K88" si="21">if(I81=True,1,if(I81=False,0))</f>
        <v>1</v>
      </c>
      <c r="L81" s="84">
        <v>5000000.0</v>
      </c>
      <c r="M81" s="84">
        <v>40000.0</v>
      </c>
      <c r="N81" s="84">
        <v>2000.0</v>
      </c>
      <c r="O81" s="84">
        <f t="shared" ref="O81:O88" si="22">IFERROR(Q81/M81,"-")</f>
        <v>125</v>
      </c>
      <c r="P81" s="84">
        <f t="shared" ref="P81:P88" si="23">IFERROR(Q81/N81,"-")</f>
        <v>2500</v>
      </c>
      <c r="Q81" s="84">
        <f t="shared" ref="Q81:Q88" si="24">iferror(L81*K81,"-")</f>
        <v>5000000</v>
      </c>
      <c r="R81" s="75" t="s">
        <v>2252</v>
      </c>
      <c r="S81" s="85" t="s">
        <v>278</v>
      </c>
      <c r="T81" s="86" t="s">
        <v>45</v>
      </c>
      <c r="U81" s="9"/>
      <c r="V81" s="9"/>
    </row>
    <row r="82" ht="96.0" customHeight="1" outlineLevel="1">
      <c r="A82" s="72"/>
      <c r="B82" s="72"/>
      <c r="C82" s="72"/>
      <c r="D82" s="72"/>
      <c r="E82" s="72"/>
      <c r="F82" s="72"/>
      <c r="G82" s="72"/>
      <c r="H82" s="88" t="s">
        <v>2253</v>
      </c>
      <c r="I82" s="81" t="b">
        <v>1</v>
      </c>
      <c r="J82" s="82" t="s">
        <v>47</v>
      </c>
      <c r="K82" s="83">
        <f t="shared" si="21"/>
        <v>1</v>
      </c>
      <c r="L82" s="84">
        <v>2000000.0</v>
      </c>
      <c r="M82" s="84">
        <v>0.0</v>
      </c>
      <c r="N82" s="84">
        <v>0.0</v>
      </c>
      <c r="O82" s="84" t="str">
        <f t="shared" si="22"/>
        <v>-</v>
      </c>
      <c r="P82" s="84" t="str">
        <f t="shared" si="23"/>
        <v>-</v>
      </c>
      <c r="Q82" s="84">
        <f t="shared" si="24"/>
        <v>2000000</v>
      </c>
      <c r="R82" s="68"/>
      <c r="S82" s="72"/>
      <c r="T82" s="72"/>
      <c r="U82" s="9"/>
      <c r="V82" s="9"/>
    </row>
    <row r="83" ht="96.0" customHeight="1" outlineLevel="1">
      <c r="A83" s="73" t="s">
        <v>73</v>
      </c>
      <c r="B83" s="91" t="s">
        <v>280</v>
      </c>
      <c r="C83" s="75" t="s">
        <v>38</v>
      </c>
      <c r="D83" s="76">
        <v>13600.0</v>
      </c>
      <c r="E83" s="77" t="s">
        <v>146</v>
      </c>
      <c r="F83" s="78" t="s">
        <v>281</v>
      </c>
      <c r="G83" s="79" t="s">
        <v>41</v>
      </c>
      <c r="H83" s="80" t="s">
        <v>2254</v>
      </c>
      <c r="I83" s="81" t="b">
        <v>1</v>
      </c>
      <c r="J83" s="82" t="s">
        <v>7</v>
      </c>
      <c r="K83" s="83">
        <f t="shared" si="21"/>
        <v>1</v>
      </c>
      <c r="L83" s="84">
        <v>5000000.0</v>
      </c>
      <c r="M83" s="84">
        <v>20000.0</v>
      </c>
      <c r="N83" s="84">
        <v>1500.0</v>
      </c>
      <c r="O83" s="84">
        <f t="shared" si="22"/>
        <v>250</v>
      </c>
      <c r="P83" s="84">
        <f t="shared" si="23"/>
        <v>3333.333333</v>
      </c>
      <c r="Q83" s="84">
        <f t="shared" si="24"/>
        <v>5000000</v>
      </c>
      <c r="R83" s="68"/>
      <c r="S83" s="85" t="s">
        <v>283</v>
      </c>
      <c r="T83" s="153" t="s">
        <v>222</v>
      </c>
      <c r="U83" s="9"/>
      <c r="V83" s="9"/>
    </row>
    <row r="84" ht="96.0" customHeight="1" outlineLevel="1">
      <c r="A84" s="72"/>
      <c r="B84" s="72"/>
      <c r="C84" s="72"/>
      <c r="D84" s="72"/>
      <c r="E84" s="72"/>
      <c r="F84" s="72"/>
      <c r="G84" s="72"/>
      <c r="H84" s="88" t="s">
        <v>2255</v>
      </c>
      <c r="I84" s="81" t="b">
        <v>1</v>
      </c>
      <c r="J84" s="82" t="s">
        <v>47</v>
      </c>
      <c r="K84" s="83">
        <f t="shared" si="21"/>
        <v>1</v>
      </c>
      <c r="L84" s="84">
        <v>2000000.0</v>
      </c>
      <c r="M84" s="84">
        <v>0.0</v>
      </c>
      <c r="N84" s="84">
        <v>0.0</v>
      </c>
      <c r="O84" s="84" t="str">
        <f t="shared" si="22"/>
        <v>-</v>
      </c>
      <c r="P84" s="84" t="str">
        <f t="shared" si="23"/>
        <v>-</v>
      </c>
      <c r="Q84" s="84">
        <f t="shared" si="24"/>
        <v>2000000</v>
      </c>
      <c r="R84" s="68"/>
      <c r="S84" s="72"/>
      <c r="T84" s="72"/>
      <c r="U84" s="9"/>
      <c r="V84" s="9"/>
    </row>
    <row r="85" ht="96.0" customHeight="1" outlineLevel="1">
      <c r="A85" s="73" t="s">
        <v>73</v>
      </c>
      <c r="B85" s="96" t="s">
        <v>285</v>
      </c>
      <c r="C85" s="75" t="s">
        <v>38</v>
      </c>
      <c r="D85" s="76" t="s">
        <v>286</v>
      </c>
      <c r="E85" s="77" t="s">
        <v>146</v>
      </c>
      <c r="F85" s="78" t="s">
        <v>287</v>
      </c>
      <c r="G85" s="79" t="s">
        <v>275</v>
      </c>
      <c r="H85" s="80" t="s">
        <v>2256</v>
      </c>
      <c r="I85" s="81" t="b">
        <v>1</v>
      </c>
      <c r="J85" s="82" t="s">
        <v>7</v>
      </c>
      <c r="K85" s="83">
        <f t="shared" si="21"/>
        <v>1</v>
      </c>
      <c r="L85" s="84">
        <v>5000000.0</v>
      </c>
      <c r="M85" s="84">
        <v>10000.0</v>
      </c>
      <c r="N85" s="84">
        <v>1000.0</v>
      </c>
      <c r="O85" s="84">
        <f t="shared" si="22"/>
        <v>500</v>
      </c>
      <c r="P85" s="84">
        <f t="shared" si="23"/>
        <v>5000</v>
      </c>
      <c r="Q85" s="84">
        <f t="shared" si="24"/>
        <v>5000000</v>
      </c>
      <c r="R85" s="68"/>
      <c r="S85" s="85" t="s">
        <v>289</v>
      </c>
      <c r="T85" s="153" t="s">
        <v>222</v>
      </c>
      <c r="U85" s="9"/>
      <c r="V85" s="9"/>
    </row>
    <row r="86" ht="96.0" customHeight="1" outlineLevel="1">
      <c r="A86" s="72"/>
      <c r="B86" s="72"/>
      <c r="C86" s="72"/>
      <c r="D86" s="72"/>
      <c r="E86" s="72"/>
      <c r="F86" s="72"/>
      <c r="G86" s="72"/>
      <c r="H86" s="88" t="s">
        <v>2257</v>
      </c>
      <c r="I86" s="81" t="b">
        <v>1</v>
      </c>
      <c r="J86" s="82" t="s">
        <v>47</v>
      </c>
      <c r="K86" s="83">
        <f t="shared" si="21"/>
        <v>1</v>
      </c>
      <c r="L86" s="84">
        <v>2000000.0</v>
      </c>
      <c r="M86" s="84">
        <v>0.0</v>
      </c>
      <c r="N86" s="84">
        <v>0.0</v>
      </c>
      <c r="O86" s="84" t="str">
        <f t="shared" si="22"/>
        <v>-</v>
      </c>
      <c r="P86" s="84" t="str">
        <f t="shared" si="23"/>
        <v>-</v>
      </c>
      <c r="Q86" s="84">
        <f t="shared" si="24"/>
        <v>2000000</v>
      </c>
      <c r="R86" s="68"/>
      <c r="S86" s="72"/>
      <c r="T86" s="72"/>
      <c r="U86" s="9"/>
      <c r="V86" s="9"/>
    </row>
    <row r="87" ht="96.0" customHeight="1" outlineLevel="1">
      <c r="A87" s="73" t="s">
        <v>101</v>
      </c>
      <c r="B87" s="151" t="s">
        <v>291</v>
      </c>
      <c r="C87" s="75" t="s">
        <v>38</v>
      </c>
      <c r="D87" s="155" t="s">
        <v>292</v>
      </c>
      <c r="E87" s="77" t="s">
        <v>146</v>
      </c>
      <c r="F87" s="78" t="s">
        <v>293</v>
      </c>
      <c r="G87" s="79" t="s">
        <v>41</v>
      </c>
      <c r="H87" s="80" t="s">
        <v>2258</v>
      </c>
      <c r="I87" s="81" t="b">
        <v>1</v>
      </c>
      <c r="J87" s="82" t="s">
        <v>7</v>
      </c>
      <c r="K87" s="83">
        <f t="shared" si="21"/>
        <v>1</v>
      </c>
      <c r="L87" s="84">
        <v>5000000.0</v>
      </c>
      <c r="M87" s="84">
        <v>20000.0</v>
      </c>
      <c r="N87" s="84">
        <v>1500.0</v>
      </c>
      <c r="O87" s="84">
        <f t="shared" si="22"/>
        <v>250</v>
      </c>
      <c r="P87" s="84">
        <f t="shared" si="23"/>
        <v>3333.333333</v>
      </c>
      <c r="Q87" s="84">
        <f t="shared" si="24"/>
        <v>5000000</v>
      </c>
      <c r="R87" s="68"/>
      <c r="S87" s="85"/>
      <c r="T87" s="149" t="s">
        <v>122</v>
      </c>
      <c r="U87" s="9"/>
      <c r="V87" s="9"/>
    </row>
    <row r="88" ht="96.0" customHeight="1" outlineLevel="1">
      <c r="A88" s="72"/>
      <c r="B88" s="72"/>
      <c r="C88" s="72"/>
      <c r="D88" s="72"/>
      <c r="E88" s="72"/>
      <c r="F88" s="72"/>
      <c r="G88" s="72"/>
      <c r="H88" s="88" t="s">
        <v>2259</v>
      </c>
      <c r="I88" s="81" t="b">
        <v>1</v>
      </c>
      <c r="J88" s="82" t="s">
        <v>47</v>
      </c>
      <c r="K88" s="83">
        <f t="shared" si="21"/>
        <v>1</v>
      </c>
      <c r="L88" s="84">
        <v>3000000.0</v>
      </c>
      <c r="M88" s="84">
        <v>0.0</v>
      </c>
      <c r="N88" s="84">
        <v>0.0</v>
      </c>
      <c r="O88" s="84" t="str">
        <f t="shared" si="22"/>
        <v>-</v>
      </c>
      <c r="P88" s="84" t="str">
        <f t="shared" si="23"/>
        <v>-</v>
      </c>
      <c r="Q88" s="84">
        <f t="shared" si="24"/>
        <v>3000000</v>
      </c>
      <c r="R88" s="72"/>
      <c r="S88" s="72"/>
      <c r="T88" s="72"/>
      <c r="U88" s="87"/>
      <c r="V88" s="87"/>
    </row>
    <row r="89" outlineLevel="1">
      <c r="A89" s="134" t="s">
        <v>296</v>
      </c>
      <c r="B89" s="135" t="s">
        <v>297</v>
      </c>
      <c r="C89" s="136"/>
      <c r="D89" s="137"/>
      <c r="E89" s="138"/>
      <c r="F89" s="139"/>
      <c r="G89" s="140"/>
      <c r="H89" s="136"/>
      <c r="I89" s="141" t="b">
        <v>0</v>
      </c>
      <c r="J89" s="142"/>
      <c r="K89" s="143"/>
      <c r="L89" s="144"/>
      <c r="M89" s="144"/>
      <c r="N89" s="144"/>
      <c r="O89" s="144"/>
      <c r="P89" s="144"/>
      <c r="Q89" s="144"/>
      <c r="R89" s="136"/>
      <c r="S89" s="145"/>
      <c r="T89" s="138"/>
      <c r="U89" s="146"/>
      <c r="V89" s="146"/>
    </row>
    <row r="90" ht="96.0" customHeight="1" outlineLevel="1">
      <c r="A90" s="73" t="s">
        <v>45</v>
      </c>
      <c r="B90" s="147" t="s">
        <v>298</v>
      </c>
      <c r="C90" s="75" t="s">
        <v>38</v>
      </c>
      <c r="D90" s="76">
        <v>270000.0</v>
      </c>
      <c r="E90" s="77" t="s">
        <v>40</v>
      </c>
      <c r="F90" s="78" t="s">
        <v>299</v>
      </c>
      <c r="G90" s="79" t="s">
        <v>300</v>
      </c>
      <c r="H90" s="80" t="s">
        <v>2260</v>
      </c>
      <c r="I90" s="81" t="b">
        <v>1</v>
      </c>
      <c r="J90" s="82" t="s">
        <v>7</v>
      </c>
      <c r="K90" s="83">
        <f t="shared" ref="K90:K95" si="25">if(I90=True,1,if(I90=False,0))</f>
        <v>1</v>
      </c>
      <c r="L90" s="84">
        <v>6000000.0</v>
      </c>
      <c r="M90" s="84">
        <v>30000.0</v>
      </c>
      <c r="N90" s="84">
        <v>2000.0</v>
      </c>
      <c r="O90" s="84">
        <f>IFERROR(Q90/M90,"-")</f>
        <v>200</v>
      </c>
      <c r="P90" s="84">
        <f>IFERROR(Q90/N90,"-")</f>
        <v>3000</v>
      </c>
      <c r="Q90" s="84">
        <f t="shared" ref="Q90:Q95" si="26">iferror(L90*K90,"-")</f>
        <v>6000000</v>
      </c>
      <c r="R90" s="75" t="s">
        <v>2261</v>
      </c>
      <c r="S90" s="85" t="s">
        <v>303</v>
      </c>
      <c r="T90" s="86" t="s">
        <v>45</v>
      </c>
      <c r="U90" s="9"/>
      <c r="V90" s="9"/>
    </row>
    <row r="91" ht="96.0" customHeight="1" outlineLevel="1">
      <c r="A91" s="72"/>
      <c r="B91" s="72"/>
      <c r="C91" s="72"/>
      <c r="D91" s="72"/>
      <c r="E91" s="72"/>
      <c r="F91" s="72"/>
      <c r="G91" s="72"/>
      <c r="H91" s="88" t="s">
        <v>2262</v>
      </c>
      <c r="I91" s="81" t="b">
        <v>1</v>
      </c>
      <c r="J91" s="82" t="s">
        <v>47</v>
      </c>
      <c r="K91" s="83">
        <f t="shared" si="25"/>
        <v>1</v>
      </c>
      <c r="L91" s="84">
        <v>2000000.0</v>
      </c>
      <c r="M91" s="84">
        <v>0.0</v>
      </c>
      <c r="N91" s="84">
        <v>0.0</v>
      </c>
      <c r="O91" s="84" t="s">
        <v>81</v>
      </c>
      <c r="P91" s="84" t="s">
        <v>81</v>
      </c>
      <c r="Q91" s="84">
        <f t="shared" si="26"/>
        <v>2000000</v>
      </c>
      <c r="R91" s="68"/>
      <c r="S91" s="72"/>
      <c r="T91" s="72"/>
      <c r="U91" s="9"/>
      <c r="V91" s="9"/>
    </row>
    <row r="92" ht="96.0" customHeight="1" outlineLevel="1">
      <c r="A92" s="73" t="s">
        <v>73</v>
      </c>
      <c r="B92" s="91" t="s">
        <v>306</v>
      </c>
      <c r="C92" s="75" t="s">
        <v>38</v>
      </c>
      <c r="D92" s="76">
        <v>129000.0</v>
      </c>
      <c r="E92" s="77" t="s">
        <v>40</v>
      </c>
      <c r="F92" s="78" t="s">
        <v>307</v>
      </c>
      <c r="G92" s="79" t="s">
        <v>308</v>
      </c>
      <c r="H92" s="80" t="s">
        <v>2263</v>
      </c>
      <c r="I92" s="81" t="b">
        <v>1</v>
      </c>
      <c r="J92" s="82" t="s">
        <v>7</v>
      </c>
      <c r="K92" s="83">
        <f t="shared" si="25"/>
        <v>1</v>
      </c>
      <c r="L92" s="84">
        <v>6000000.0</v>
      </c>
      <c r="M92" s="84">
        <v>30000.0</v>
      </c>
      <c r="N92" s="84">
        <v>2000.0</v>
      </c>
      <c r="O92" s="84">
        <f>IFERROR(Q92/M92,"-")</f>
        <v>200</v>
      </c>
      <c r="P92" s="84">
        <f>IFERROR(Q92/N92,"-")</f>
        <v>3000</v>
      </c>
      <c r="Q92" s="84">
        <f t="shared" si="26"/>
        <v>6000000</v>
      </c>
      <c r="R92" s="68"/>
      <c r="S92" s="85" t="s">
        <v>310</v>
      </c>
      <c r="T92" s="153" t="s">
        <v>222</v>
      </c>
      <c r="U92" s="9"/>
      <c r="V92" s="9"/>
    </row>
    <row r="93" ht="96.0" customHeight="1" outlineLevel="1">
      <c r="A93" s="72"/>
      <c r="B93" s="72"/>
      <c r="C93" s="72"/>
      <c r="D93" s="72"/>
      <c r="E93" s="72"/>
      <c r="F93" s="72"/>
      <c r="G93" s="72"/>
      <c r="H93" s="88" t="s">
        <v>2264</v>
      </c>
      <c r="I93" s="81" t="b">
        <v>1</v>
      </c>
      <c r="J93" s="82" t="s">
        <v>47</v>
      </c>
      <c r="K93" s="83">
        <f t="shared" si="25"/>
        <v>1</v>
      </c>
      <c r="L93" s="84">
        <v>2000000.0</v>
      </c>
      <c r="M93" s="84">
        <v>0.0</v>
      </c>
      <c r="N93" s="84">
        <v>0.0</v>
      </c>
      <c r="O93" s="84" t="s">
        <v>81</v>
      </c>
      <c r="P93" s="84" t="s">
        <v>81</v>
      </c>
      <c r="Q93" s="84">
        <f t="shared" si="26"/>
        <v>2000000</v>
      </c>
      <c r="R93" s="68"/>
      <c r="S93" s="72"/>
      <c r="T93" s="72"/>
      <c r="U93" s="9"/>
      <c r="V93" s="9"/>
    </row>
    <row r="94" ht="96.0" customHeight="1" outlineLevel="1">
      <c r="A94" s="73" t="s">
        <v>101</v>
      </c>
      <c r="B94" s="152" t="s">
        <v>312</v>
      </c>
      <c r="C94" s="75" t="s">
        <v>38</v>
      </c>
      <c r="D94" s="76" t="s">
        <v>313</v>
      </c>
      <c r="E94" s="77" t="s">
        <v>40</v>
      </c>
      <c r="F94" s="78" t="s">
        <v>314</v>
      </c>
      <c r="G94" s="79" t="s">
        <v>315</v>
      </c>
      <c r="H94" s="80" t="s">
        <v>2265</v>
      </c>
      <c r="I94" s="81" t="b">
        <v>1</v>
      </c>
      <c r="J94" s="82" t="s">
        <v>7</v>
      </c>
      <c r="K94" s="83">
        <f t="shared" si="25"/>
        <v>1</v>
      </c>
      <c r="L94" s="84">
        <v>1.7E7</v>
      </c>
      <c r="M94" s="84">
        <v>70000.0</v>
      </c>
      <c r="N94" s="84">
        <v>5000.0</v>
      </c>
      <c r="O94" s="84">
        <f>IFERROR(Q94/M94,"-")</f>
        <v>242.8571429</v>
      </c>
      <c r="P94" s="84">
        <f>IFERROR(Q94/N94,"-")</f>
        <v>3400</v>
      </c>
      <c r="Q94" s="84">
        <f t="shared" si="26"/>
        <v>17000000</v>
      </c>
      <c r="R94" s="68"/>
      <c r="S94" s="85"/>
      <c r="T94" s="149" t="s">
        <v>122</v>
      </c>
      <c r="U94" s="9"/>
      <c r="V94" s="9"/>
    </row>
    <row r="95" ht="96.0" customHeight="1" outlineLevel="1">
      <c r="A95" s="72"/>
      <c r="B95" s="72"/>
      <c r="C95" s="72"/>
      <c r="D95" s="72"/>
      <c r="E95" s="72"/>
      <c r="F95" s="72"/>
      <c r="G95" s="72"/>
      <c r="H95" s="88" t="s">
        <v>2266</v>
      </c>
      <c r="I95" s="81" t="b">
        <v>1</v>
      </c>
      <c r="J95" s="82" t="s">
        <v>47</v>
      </c>
      <c r="K95" s="83">
        <f t="shared" si="25"/>
        <v>1</v>
      </c>
      <c r="L95" s="84">
        <v>7000000.0</v>
      </c>
      <c r="M95" s="84">
        <v>0.0</v>
      </c>
      <c r="N95" s="84">
        <v>0.0</v>
      </c>
      <c r="O95" s="84" t="s">
        <v>81</v>
      </c>
      <c r="P95" s="84" t="s">
        <v>81</v>
      </c>
      <c r="Q95" s="84">
        <f t="shared" si="26"/>
        <v>7000000</v>
      </c>
      <c r="R95" s="72"/>
      <c r="S95" s="72"/>
      <c r="T95" s="72"/>
      <c r="U95" s="9"/>
      <c r="V95" s="9"/>
    </row>
    <row r="96" ht="34.5" customHeight="1">
      <c r="A96" s="156" t="s">
        <v>318</v>
      </c>
      <c r="B96" s="56"/>
      <c r="C96" s="61"/>
      <c r="D96" s="61"/>
      <c r="E96" s="61"/>
      <c r="F96" s="61"/>
      <c r="G96" s="61"/>
      <c r="H96" s="61"/>
      <c r="I96" s="62"/>
      <c r="J96" s="63" t="s">
        <v>10</v>
      </c>
      <c r="K96" s="64">
        <f>SUMIFS(K98:K107,J98:J107,"Photo Post")</f>
        <v>5</v>
      </c>
      <c r="L96" s="65"/>
      <c r="M96" s="66">
        <f t="shared" ref="M96:N96" si="27">sum(M98:M107)</f>
        <v>320000</v>
      </c>
      <c r="N96" s="66">
        <f t="shared" si="27"/>
        <v>23500</v>
      </c>
      <c r="O96" s="65"/>
      <c r="P96" s="65"/>
      <c r="Q96" s="66">
        <f>sum(Q98:Q107)</f>
        <v>216000000</v>
      </c>
      <c r="R96" s="133"/>
      <c r="S96" s="133"/>
      <c r="T96" s="133"/>
      <c r="U96" s="69"/>
      <c r="V96" s="69"/>
    </row>
    <row r="97" ht="34.5" customHeight="1">
      <c r="A97" s="70"/>
      <c r="B97" s="71"/>
      <c r="C97" s="61"/>
      <c r="D97" s="61"/>
      <c r="E97" s="61"/>
      <c r="F97" s="61"/>
      <c r="G97" s="61"/>
      <c r="H97" s="61"/>
      <c r="I97" s="62"/>
      <c r="J97" s="63" t="s">
        <v>7</v>
      </c>
      <c r="K97" s="64">
        <f>SUMIFS(K98:K107,J98:J107,"Video Post")</f>
        <v>5</v>
      </c>
      <c r="L97" s="65"/>
      <c r="M97" s="72"/>
      <c r="N97" s="72"/>
      <c r="O97" s="65"/>
      <c r="P97" s="65"/>
      <c r="Q97" s="72"/>
      <c r="R97" s="133"/>
      <c r="S97" s="133"/>
      <c r="T97" s="133"/>
      <c r="U97" s="69"/>
      <c r="V97" s="69"/>
    </row>
    <row r="98" ht="151.5" customHeight="1" outlineLevel="1">
      <c r="A98" s="157" t="s">
        <v>45</v>
      </c>
      <c r="B98" s="158" t="s">
        <v>319</v>
      </c>
      <c r="C98" s="159" t="s">
        <v>320</v>
      </c>
      <c r="D98" s="160" t="s">
        <v>321</v>
      </c>
      <c r="E98" s="161" t="s">
        <v>118</v>
      </c>
      <c r="F98" s="162" t="s">
        <v>21</v>
      </c>
      <c r="G98" s="163" t="s">
        <v>322</v>
      </c>
      <c r="H98" s="164" t="s">
        <v>323</v>
      </c>
      <c r="I98" s="97" t="b">
        <v>1</v>
      </c>
      <c r="J98" s="98" t="s">
        <v>10</v>
      </c>
      <c r="K98" s="99">
        <f t="shared" ref="K98:K107" si="28">if(I98=True,1,if(I98=False,0))</f>
        <v>1</v>
      </c>
      <c r="L98" s="100">
        <v>3.2E7</v>
      </c>
      <c r="M98" s="100">
        <v>0.0</v>
      </c>
      <c r="N98" s="100">
        <v>3000.0</v>
      </c>
      <c r="O98" s="100" t="str">
        <f t="shared" ref="O98:O107" si="29">IFERROR(Q98/M98,"-")</f>
        <v>-</v>
      </c>
      <c r="P98" s="100">
        <f t="shared" ref="P98:P107" si="30">IFERROR(Q98/N98,"-")</f>
        <v>10666.66667</v>
      </c>
      <c r="Q98" s="100">
        <f t="shared" ref="Q98:Q107" si="31">iferror(L98*K98,"-")</f>
        <v>32000000</v>
      </c>
      <c r="R98" s="165" t="s">
        <v>2267</v>
      </c>
      <c r="S98" s="166"/>
      <c r="T98" s="167" t="s">
        <v>45</v>
      </c>
      <c r="U98" s="168"/>
      <c r="V98" s="168"/>
    </row>
    <row r="99" ht="151.5" customHeight="1" outlineLevel="1">
      <c r="A99" s="157" t="s">
        <v>45</v>
      </c>
      <c r="B99" s="158" t="s">
        <v>325</v>
      </c>
      <c r="C99" s="159" t="s">
        <v>320</v>
      </c>
      <c r="D99" s="160" t="s">
        <v>326</v>
      </c>
      <c r="E99" s="161" t="s">
        <v>118</v>
      </c>
      <c r="F99" s="162" t="s">
        <v>139</v>
      </c>
      <c r="G99" s="163" t="s">
        <v>322</v>
      </c>
      <c r="H99" s="164" t="s">
        <v>323</v>
      </c>
      <c r="I99" s="97" t="b">
        <v>1</v>
      </c>
      <c r="J99" s="98" t="s">
        <v>10</v>
      </c>
      <c r="K99" s="99">
        <f t="shared" si="28"/>
        <v>1</v>
      </c>
      <c r="L99" s="100">
        <v>2.6E7</v>
      </c>
      <c r="M99" s="100">
        <v>0.0</v>
      </c>
      <c r="N99" s="100">
        <v>3000.0</v>
      </c>
      <c r="O99" s="100" t="str">
        <f t="shared" si="29"/>
        <v>-</v>
      </c>
      <c r="P99" s="100">
        <f t="shared" si="30"/>
        <v>8666.666667</v>
      </c>
      <c r="Q99" s="100">
        <f t="shared" si="31"/>
        <v>26000000</v>
      </c>
      <c r="R99" s="165" t="s">
        <v>2268</v>
      </c>
      <c r="S99" s="169"/>
      <c r="T99" s="167" t="s">
        <v>45</v>
      </c>
      <c r="U99" s="170"/>
      <c r="V99" s="170"/>
    </row>
    <row r="100" ht="151.5" customHeight="1" outlineLevel="1">
      <c r="A100" s="157" t="s">
        <v>45</v>
      </c>
      <c r="B100" s="158" t="s">
        <v>328</v>
      </c>
      <c r="C100" s="159" t="s">
        <v>320</v>
      </c>
      <c r="D100" s="160" t="s">
        <v>329</v>
      </c>
      <c r="E100" s="161" t="s">
        <v>118</v>
      </c>
      <c r="F100" s="162" t="s">
        <v>21</v>
      </c>
      <c r="G100" s="163" t="s">
        <v>322</v>
      </c>
      <c r="H100" s="164" t="s">
        <v>323</v>
      </c>
      <c r="I100" s="97" t="b">
        <v>1</v>
      </c>
      <c r="J100" s="98" t="s">
        <v>10</v>
      </c>
      <c r="K100" s="99">
        <f t="shared" si="28"/>
        <v>1</v>
      </c>
      <c r="L100" s="100">
        <v>2.6E7</v>
      </c>
      <c r="M100" s="100">
        <v>0.0</v>
      </c>
      <c r="N100" s="100">
        <v>3000.0</v>
      </c>
      <c r="O100" s="100" t="str">
        <f t="shared" si="29"/>
        <v>-</v>
      </c>
      <c r="P100" s="100">
        <f t="shared" si="30"/>
        <v>8666.666667</v>
      </c>
      <c r="Q100" s="100">
        <f t="shared" si="31"/>
        <v>26000000</v>
      </c>
      <c r="R100" s="165" t="s">
        <v>2269</v>
      </c>
      <c r="S100" s="169"/>
      <c r="T100" s="167" t="s">
        <v>45</v>
      </c>
      <c r="U100" s="170"/>
      <c r="V100" s="170"/>
    </row>
    <row r="101" ht="151.5" customHeight="1" outlineLevel="1">
      <c r="A101" s="157" t="s">
        <v>45</v>
      </c>
      <c r="B101" s="171" t="s">
        <v>331</v>
      </c>
      <c r="C101" s="159" t="s">
        <v>320</v>
      </c>
      <c r="D101" s="160" t="s">
        <v>332</v>
      </c>
      <c r="E101" s="161" t="s">
        <v>40</v>
      </c>
      <c r="F101" s="162" t="s">
        <v>21</v>
      </c>
      <c r="G101" s="163" t="s">
        <v>50</v>
      </c>
      <c r="H101" s="164" t="s">
        <v>323</v>
      </c>
      <c r="I101" s="97" t="b">
        <v>1</v>
      </c>
      <c r="J101" s="98" t="s">
        <v>10</v>
      </c>
      <c r="K101" s="99">
        <f t="shared" si="28"/>
        <v>1</v>
      </c>
      <c r="L101" s="100">
        <v>2.5E7</v>
      </c>
      <c r="M101" s="100">
        <v>0.0</v>
      </c>
      <c r="N101" s="100">
        <v>3000.0</v>
      </c>
      <c r="O101" s="100" t="str">
        <f t="shared" si="29"/>
        <v>-</v>
      </c>
      <c r="P101" s="100">
        <f t="shared" si="30"/>
        <v>8333.333333</v>
      </c>
      <c r="Q101" s="100">
        <f t="shared" si="31"/>
        <v>25000000</v>
      </c>
      <c r="R101" s="165" t="s">
        <v>2270</v>
      </c>
      <c r="S101" s="169"/>
      <c r="T101" s="167" t="s">
        <v>45</v>
      </c>
      <c r="U101" s="170"/>
      <c r="V101" s="170"/>
    </row>
    <row r="102" ht="151.5" customHeight="1" outlineLevel="1">
      <c r="A102" s="157" t="s">
        <v>45</v>
      </c>
      <c r="B102" s="158" t="s">
        <v>334</v>
      </c>
      <c r="C102" s="159" t="s">
        <v>320</v>
      </c>
      <c r="D102" s="160" t="s">
        <v>335</v>
      </c>
      <c r="E102" s="161" t="s">
        <v>40</v>
      </c>
      <c r="F102" s="162" t="s">
        <v>21</v>
      </c>
      <c r="G102" s="163" t="s">
        <v>322</v>
      </c>
      <c r="H102" s="164" t="s">
        <v>336</v>
      </c>
      <c r="I102" s="97" t="b">
        <v>1</v>
      </c>
      <c r="J102" s="98" t="s">
        <v>10</v>
      </c>
      <c r="K102" s="99">
        <f t="shared" si="28"/>
        <v>1</v>
      </c>
      <c r="L102" s="100">
        <v>1.7E7</v>
      </c>
      <c r="M102" s="100">
        <v>0.0</v>
      </c>
      <c r="N102" s="100">
        <v>3000.0</v>
      </c>
      <c r="O102" s="100" t="str">
        <f t="shared" si="29"/>
        <v>-</v>
      </c>
      <c r="P102" s="100">
        <f t="shared" si="30"/>
        <v>5666.666667</v>
      </c>
      <c r="Q102" s="100">
        <f t="shared" si="31"/>
        <v>17000000</v>
      </c>
      <c r="R102" s="165" t="s">
        <v>2271</v>
      </c>
      <c r="S102" s="169"/>
      <c r="T102" s="167" t="s">
        <v>45</v>
      </c>
      <c r="U102" s="170"/>
      <c r="V102" s="170"/>
    </row>
    <row r="103" ht="151.5" customHeight="1" outlineLevel="1">
      <c r="A103" s="157" t="s">
        <v>45</v>
      </c>
      <c r="B103" s="171" t="s">
        <v>338</v>
      </c>
      <c r="C103" s="159" t="s">
        <v>38</v>
      </c>
      <c r="D103" s="160" t="s">
        <v>339</v>
      </c>
      <c r="E103" s="161" t="s">
        <v>118</v>
      </c>
      <c r="F103" s="162" t="s">
        <v>21</v>
      </c>
      <c r="G103" s="163" t="s">
        <v>105</v>
      </c>
      <c r="H103" s="164" t="s">
        <v>340</v>
      </c>
      <c r="I103" s="97" t="b">
        <v>1</v>
      </c>
      <c r="J103" s="98" t="s">
        <v>7</v>
      </c>
      <c r="K103" s="99">
        <f t="shared" si="28"/>
        <v>1</v>
      </c>
      <c r="L103" s="100">
        <v>2.5E7</v>
      </c>
      <c r="M103" s="100">
        <v>80000.0</v>
      </c>
      <c r="N103" s="100">
        <v>2000.0</v>
      </c>
      <c r="O103" s="100">
        <f t="shared" si="29"/>
        <v>312.5</v>
      </c>
      <c r="P103" s="100">
        <f t="shared" si="30"/>
        <v>12500</v>
      </c>
      <c r="Q103" s="100">
        <f t="shared" si="31"/>
        <v>25000000</v>
      </c>
      <c r="R103" s="165" t="s">
        <v>2272</v>
      </c>
      <c r="S103" s="169"/>
      <c r="T103" s="167" t="s">
        <v>45</v>
      </c>
      <c r="U103" s="170"/>
      <c r="V103" s="170"/>
    </row>
    <row r="104" ht="151.5" customHeight="1" outlineLevel="1">
      <c r="A104" s="157" t="s">
        <v>45</v>
      </c>
      <c r="B104" s="158" t="s">
        <v>342</v>
      </c>
      <c r="C104" s="159" t="s">
        <v>38</v>
      </c>
      <c r="D104" s="160" t="s">
        <v>343</v>
      </c>
      <c r="E104" s="161" t="s">
        <v>40</v>
      </c>
      <c r="F104" s="162" t="s">
        <v>21</v>
      </c>
      <c r="G104" s="163" t="s">
        <v>50</v>
      </c>
      <c r="H104" s="164" t="s">
        <v>340</v>
      </c>
      <c r="I104" s="97" t="b">
        <v>1</v>
      </c>
      <c r="J104" s="98" t="s">
        <v>7</v>
      </c>
      <c r="K104" s="99">
        <f t="shared" si="28"/>
        <v>1</v>
      </c>
      <c r="L104" s="100">
        <v>1.5E7</v>
      </c>
      <c r="M104" s="100">
        <v>30000.0</v>
      </c>
      <c r="N104" s="100">
        <v>1500.0</v>
      </c>
      <c r="O104" s="100">
        <f t="shared" si="29"/>
        <v>500</v>
      </c>
      <c r="P104" s="100">
        <f t="shared" si="30"/>
        <v>10000</v>
      </c>
      <c r="Q104" s="100">
        <f t="shared" si="31"/>
        <v>15000000</v>
      </c>
      <c r="R104" s="165" t="s">
        <v>2273</v>
      </c>
      <c r="S104" s="169"/>
      <c r="T104" s="167" t="s">
        <v>45</v>
      </c>
      <c r="U104" s="170"/>
      <c r="V104" s="170"/>
    </row>
    <row r="105" ht="151.5" customHeight="1" outlineLevel="1">
      <c r="A105" s="157" t="s">
        <v>45</v>
      </c>
      <c r="B105" s="158" t="s">
        <v>345</v>
      </c>
      <c r="C105" s="159" t="s">
        <v>38</v>
      </c>
      <c r="D105" s="160" t="s">
        <v>346</v>
      </c>
      <c r="E105" s="161" t="s">
        <v>40</v>
      </c>
      <c r="F105" s="162" t="s">
        <v>21</v>
      </c>
      <c r="G105" s="163" t="s">
        <v>322</v>
      </c>
      <c r="H105" s="164" t="s">
        <v>340</v>
      </c>
      <c r="I105" s="97" t="b">
        <v>1</v>
      </c>
      <c r="J105" s="98" t="s">
        <v>7</v>
      </c>
      <c r="K105" s="99">
        <f t="shared" si="28"/>
        <v>1</v>
      </c>
      <c r="L105" s="100">
        <v>1.8E7</v>
      </c>
      <c r="M105" s="100">
        <v>80000.0</v>
      </c>
      <c r="N105" s="100">
        <v>1500.0</v>
      </c>
      <c r="O105" s="100">
        <f t="shared" si="29"/>
        <v>225</v>
      </c>
      <c r="P105" s="100">
        <f t="shared" si="30"/>
        <v>12000</v>
      </c>
      <c r="Q105" s="100">
        <f t="shared" si="31"/>
        <v>18000000</v>
      </c>
      <c r="R105" s="165" t="s">
        <v>2274</v>
      </c>
      <c r="S105" s="169"/>
      <c r="T105" s="167" t="s">
        <v>45</v>
      </c>
      <c r="U105" s="170"/>
      <c r="V105" s="170"/>
    </row>
    <row r="106" ht="151.5" customHeight="1" outlineLevel="1">
      <c r="A106" s="157" t="s">
        <v>45</v>
      </c>
      <c r="B106" s="158" t="s">
        <v>348</v>
      </c>
      <c r="C106" s="159" t="s">
        <v>38</v>
      </c>
      <c r="D106" s="160" t="s">
        <v>349</v>
      </c>
      <c r="E106" s="161" t="s">
        <v>40</v>
      </c>
      <c r="F106" s="162" t="s">
        <v>21</v>
      </c>
      <c r="G106" s="163" t="s">
        <v>50</v>
      </c>
      <c r="H106" s="164" t="s">
        <v>340</v>
      </c>
      <c r="I106" s="97" t="b">
        <v>1</v>
      </c>
      <c r="J106" s="98" t="s">
        <v>7</v>
      </c>
      <c r="K106" s="99">
        <f t="shared" si="28"/>
        <v>1</v>
      </c>
      <c r="L106" s="100">
        <v>1.2E7</v>
      </c>
      <c r="M106" s="100">
        <v>50000.0</v>
      </c>
      <c r="N106" s="100">
        <v>1500.0</v>
      </c>
      <c r="O106" s="100">
        <f t="shared" si="29"/>
        <v>240</v>
      </c>
      <c r="P106" s="100">
        <f t="shared" si="30"/>
        <v>8000</v>
      </c>
      <c r="Q106" s="100">
        <f t="shared" si="31"/>
        <v>12000000</v>
      </c>
      <c r="R106" s="165" t="s">
        <v>2275</v>
      </c>
      <c r="S106" s="169"/>
      <c r="T106" s="167" t="s">
        <v>45</v>
      </c>
      <c r="U106" s="170"/>
      <c r="V106" s="170"/>
    </row>
    <row r="107" ht="151.5" customHeight="1" outlineLevel="1">
      <c r="A107" s="157" t="s">
        <v>45</v>
      </c>
      <c r="B107" s="158" t="s">
        <v>351</v>
      </c>
      <c r="C107" s="159" t="s">
        <v>38</v>
      </c>
      <c r="D107" s="160" t="s">
        <v>352</v>
      </c>
      <c r="E107" s="161" t="s">
        <v>40</v>
      </c>
      <c r="F107" s="162" t="s">
        <v>21</v>
      </c>
      <c r="G107" s="163" t="s">
        <v>105</v>
      </c>
      <c r="H107" s="164" t="s">
        <v>340</v>
      </c>
      <c r="I107" s="97" t="b">
        <v>1</v>
      </c>
      <c r="J107" s="98" t="s">
        <v>7</v>
      </c>
      <c r="K107" s="99">
        <f t="shared" si="28"/>
        <v>1</v>
      </c>
      <c r="L107" s="100">
        <v>2.0E7</v>
      </c>
      <c r="M107" s="100">
        <v>80000.0</v>
      </c>
      <c r="N107" s="100">
        <v>2000.0</v>
      </c>
      <c r="O107" s="100">
        <f t="shared" si="29"/>
        <v>250</v>
      </c>
      <c r="P107" s="100">
        <f t="shared" si="30"/>
        <v>10000</v>
      </c>
      <c r="Q107" s="100">
        <f t="shared" si="31"/>
        <v>20000000</v>
      </c>
      <c r="R107" s="165" t="s">
        <v>2276</v>
      </c>
      <c r="S107" s="166"/>
      <c r="T107" s="167" t="s">
        <v>45</v>
      </c>
      <c r="U107" s="168"/>
      <c r="V107" s="168"/>
    </row>
    <row r="108" ht="54.0" customHeight="1">
      <c r="A108" s="172" t="s">
        <v>354</v>
      </c>
      <c r="B108" s="173"/>
      <c r="C108" s="174"/>
      <c r="D108" s="175"/>
      <c r="E108" s="174"/>
      <c r="F108" s="174"/>
      <c r="G108" s="174"/>
      <c r="H108" s="174"/>
      <c r="I108" s="176"/>
      <c r="J108" s="177"/>
      <c r="K108" s="178"/>
      <c r="L108" s="177"/>
      <c r="M108" s="177"/>
      <c r="N108" s="179">
        <f>K109</f>
        <v>2000</v>
      </c>
      <c r="O108" s="177"/>
      <c r="P108" s="177"/>
      <c r="Q108" s="179">
        <f>Q109</f>
        <v>20000000</v>
      </c>
      <c r="R108" s="812"/>
      <c r="S108" s="181"/>
      <c r="T108" s="181"/>
      <c r="U108" s="181"/>
      <c r="V108" s="181"/>
    </row>
    <row r="109" ht="67.5" customHeight="1" outlineLevel="1">
      <c r="A109" s="182">
        <v>1.0</v>
      </c>
      <c r="B109" s="183" t="s">
        <v>355</v>
      </c>
      <c r="C109" s="184" t="s">
        <v>356</v>
      </c>
      <c r="D109" s="185"/>
      <c r="E109" s="185"/>
      <c r="F109" s="185"/>
      <c r="G109" s="185"/>
      <c r="H109" s="186"/>
      <c r="I109" s="187" t="b">
        <v>1</v>
      </c>
      <c r="J109" s="188" t="s">
        <v>11</v>
      </c>
      <c r="K109" s="189">
        <v>2000.0</v>
      </c>
      <c r="L109" s="189">
        <v>10000.0</v>
      </c>
      <c r="M109" s="190"/>
      <c r="N109" s="191">
        <v>10000.0</v>
      </c>
      <c r="O109" s="190"/>
      <c r="P109" s="190"/>
      <c r="Q109" s="192">
        <f>iferror(L109*K109,"-")</f>
        <v>20000000</v>
      </c>
      <c r="R109" s="1014"/>
      <c r="S109" s="181"/>
      <c r="T109" s="181"/>
      <c r="U109" s="181"/>
      <c r="V109" s="181"/>
    </row>
    <row r="110" ht="23.25" customHeight="1">
      <c r="A110" s="194"/>
      <c r="B110" s="195"/>
      <c r="C110" s="195"/>
      <c r="D110" s="195"/>
      <c r="E110" s="195"/>
      <c r="F110" s="196"/>
      <c r="G110" s="195"/>
      <c r="H110" s="195"/>
      <c r="I110" s="197" t="s">
        <v>357</v>
      </c>
      <c r="J110" s="195"/>
      <c r="K110" s="195"/>
      <c r="L110" s="195"/>
      <c r="M110" s="198">
        <f t="shared" ref="M110:N110" si="32">sum(M108,M96,M42,M20)</f>
        <v>1635000</v>
      </c>
      <c r="N110" s="198">
        <f t="shared" si="32"/>
        <v>91700</v>
      </c>
      <c r="O110" s="199"/>
      <c r="P110" s="199"/>
      <c r="Q110" s="198">
        <f>sum(Q108,Q96,Q42,Q20)</f>
        <v>601000000</v>
      </c>
      <c r="R110" s="200"/>
      <c r="S110" s="8"/>
      <c r="T110" s="8"/>
      <c r="U110" s="8"/>
      <c r="V110" s="8"/>
    </row>
    <row r="111" ht="25.5" customHeight="1">
      <c r="A111" s="194"/>
      <c r="B111" s="195"/>
      <c r="C111" s="195"/>
      <c r="D111" s="195"/>
      <c r="E111" s="195"/>
      <c r="F111" s="196"/>
      <c r="G111" s="195"/>
      <c r="H111" s="195"/>
      <c r="I111" s="197" t="s">
        <v>358</v>
      </c>
      <c r="J111" s="195"/>
      <c r="K111" s="195"/>
      <c r="L111" s="195"/>
      <c r="M111" s="195"/>
      <c r="N111" s="195"/>
      <c r="O111" s="195"/>
      <c r="P111" s="201">
        <v>0.12</v>
      </c>
      <c r="Q111" s="198">
        <f>Q110*P111</f>
        <v>72120000</v>
      </c>
      <c r="R111" s="200"/>
      <c r="S111" s="8"/>
      <c r="T111" s="8"/>
      <c r="U111" s="8"/>
      <c r="V111" s="8"/>
    </row>
    <row r="112" ht="25.5" customHeight="1">
      <c r="A112" s="202"/>
      <c r="B112" s="203"/>
      <c r="C112" s="203"/>
      <c r="D112" s="203"/>
      <c r="E112" s="203"/>
      <c r="F112" s="204"/>
      <c r="G112" s="203"/>
      <c r="H112" s="203"/>
      <c r="I112" s="205" t="s">
        <v>359</v>
      </c>
      <c r="J112" s="203"/>
      <c r="K112" s="203"/>
      <c r="L112" s="203"/>
      <c r="M112" s="203"/>
      <c r="N112" s="203"/>
      <c r="O112" s="203"/>
      <c r="P112" s="206"/>
      <c r="Q112" s="207">
        <f>SUM(Q110:Q111)</f>
        <v>673120000</v>
      </c>
      <c r="R112" s="208"/>
      <c r="S112" s="8"/>
      <c r="T112" s="8"/>
      <c r="U112" s="8"/>
      <c r="V112" s="8"/>
    </row>
    <row r="113" ht="25.5" customHeight="1">
      <c r="A113" s="209"/>
      <c r="B113" s="210"/>
      <c r="C113" s="210"/>
      <c r="D113" s="210"/>
      <c r="E113" s="210"/>
      <c r="F113" s="211"/>
      <c r="G113" s="210"/>
      <c r="H113" s="210"/>
      <c r="I113" s="212" t="s">
        <v>360</v>
      </c>
      <c r="J113" s="210"/>
      <c r="K113" s="210"/>
      <c r="L113" s="210"/>
      <c r="M113" s="210"/>
      <c r="N113" s="210"/>
      <c r="O113" s="210"/>
      <c r="P113" s="213"/>
      <c r="Q113" s="214">
        <f>Q112*1.08</f>
        <v>726969600</v>
      </c>
      <c r="R113" s="215"/>
      <c r="S113" s="8"/>
      <c r="T113" s="8"/>
      <c r="U113" s="8"/>
      <c r="V113" s="8"/>
    </row>
    <row r="114" ht="25.5" customHeight="1">
      <c r="S114" s="8"/>
      <c r="T114" s="8"/>
      <c r="U114" s="8"/>
      <c r="V114" s="8"/>
    </row>
    <row r="115" ht="25.5" customHeight="1">
      <c r="A115" s="217"/>
      <c r="B115" s="218"/>
      <c r="C115" s="218"/>
      <c r="D115" s="219"/>
      <c r="E115" s="218"/>
      <c r="F115" s="220"/>
      <c r="G115" s="218"/>
      <c r="H115" s="218"/>
      <c r="I115" s="218"/>
      <c r="J115" s="221"/>
      <c r="K115" s="222"/>
      <c r="L115" s="221"/>
      <c r="M115" s="221"/>
      <c r="N115" s="221"/>
      <c r="O115" s="221"/>
      <c r="P115" s="221"/>
      <c r="Q115" s="221"/>
      <c r="R115" s="223"/>
      <c r="S115" s="8"/>
      <c r="T115" s="8"/>
      <c r="U115" s="8"/>
      <c r="V115" s="8"/>
    </row>
    <row r="116" ht="29.25" customHeight="1">
      <c r="A116" s="33"/>
      <c r="B116" s="2"/>
      <c r="C116" s="2"/>
      <c r="D116" s="2"/>
      <c r="E116" s="2"/>
      <c r="F116" s="4"/>
      <c r="G116" s="2"/>
      <c r="H116" s="2"/>
      <c r="I116" s="2"/>
      <c r="J116" s="2"/>
      <c r="K116" s="5"/>
      <c r="L116" s="2"/>
      <c r="M116" s="2"/>
      <c r="N116" s="2"/>
      <c r="O116" s="2"/>
      <c r="P116" s="2"/>
      <c r="Q116" s="2"/>
      <c r="R116" s="7"/>
      <c r="S116" s="224"/>
      <c r="T116" s="224"/>
      <c r="U116" s="224"/>
      <c r="V116" s="224"/>
    </row>
    <row r="117">
      <c r="A117" s="33"/>
      <c r="B117" s="2"/>
      <c r="C117" s="2"/>
      <c r="D117" s="2"/>
      <c r="E117" s="2"/>
      <c r="F117" s="4"/>
      <c r="G117" s="2"/>
      <c r="H117" s="2"/>
      <c r="I117" s="2"/>
      <c r="J117" s="2"/>
      <c r="K117" s="5"/>
      <c r="L117" s="2"/>
      <c r="M117" s="2"/>
      <c r="N117" s="2"/>
      <c r="O117" s="2"/>
      <c r="P117" s="2"/>
      <c r="Q117" s="2"/>
      <c r="R117" s="7"/>
      <c r="S117" s="224"/>
      <c r="T117" s="224"/>
      <c r="U117" s="224"/>
      <c r="V117" s="224"/>
    </row>
    <row r="118">
      <c r="A118" s="33"/>
      <c r="B118" s="2"/>
      <c r="C118" s="225"/>
      <c r="D118" s="2"/>
      <c r="E118" s="2"/>
      <c r="F118" s="4"/>
      <c r="G118" s="2"/>
      <c r="H118" s="2"/>
      <c r="I118" s="2"/>
      <c r="J118" s="2"/>
      <c r="K118" s="5"/>
      <c r="L118" s="2"/>
      <c r="M118" s="2"/>
      <c r="N118" s="2"/>
      <c r="O118" s="2"/>
      <c r="P118" s="2"/>
      <c r="Q118" s="2"/>
      <c r="R118" s="7"/>
      <c r="S118" s="224"/>
      <c r="T118" s="224"/>
      <c r="U118" s="224"/>
      <c r="V118" s="224"/>
    </row>
    <row r="119">
      <c r="A119" s="33"/>
      <c r="B119" s="2"/>
      <c r="C119" s="2"/>
      <c r="D119" s="2"/>
      <c r="E119" s="2"/>
      <c r="F119" s="4"/>
      <c r="G119" s="2"/>
      <c r="H119" s="2"/>
      <c r="I119" s="2"/>
      <c r="J119" s="2"/>
      <c r="K119" s="5"/>
      <c r="L119" s="2"/>
      <c r="M119" s="2"/>
      <c r="N119" s="2"/>
      <c r="O119" s="2"/>
      <c r="P119" s="2"/>
      <c r="Q119" s="2"/>
      <c r="R119" s="7"/>
      <c r="S119" s="224"/>
      <c r="T119" s="224"/>
      <c r="U119" s="224"/>
      <c r="V119" s="224"/>
    </row>
    <row r="120">
      <c r="A120" s="33"/>
      <c r="B120" s="2"/>
      <c r="C120" s="2"/>
      <c r="D120" s="2"/>
      <c r="E120" s="2"/>
      <c r="F120" s="4"/>
      <c r="G120" s="2"/>
      <c r="H120" s="2"/>
      <c r="I120" s="2"/>
      <c r="J120" s="2"/>
      <c r="K120" s="5"/>
      <c r="L120" s="2"/>
      <c r="M120" s="2"/>
      <c r="N120" s="2"/>
      <c r="O120" s="2"/>
      <c r="P120" s="2"/>
      <c r="Q120" s="2"/>
      <c r="R120" s="7"/>
      <c r="S120" s="224"/>
      <c r="T120" s="224"/>
      <c r="U120" s="224"/>
      <c r="V120" s="224"/>
    </row>
    <row r="121">
      <c r="A121" s="33"/>
      <c r="B121" s="2"/>
      <c r="C121" s="2"/>
      <c r="D121" s="2"/>
      <c r="E121" s="2"/>
      <c r="F121" s="4"/>
      <c r="G121" s="2"/>
      <c r="H121" s="2"/>
      <c r="I121" s="2"/>
      <c r="J121" s="2"/>
      <c r="K121" s="5"/>
      <c r="L121" s="2"/>
      <c r="M121" s="2"/>
      <c r="N121" s="2"/>
      <c r="O121" s="2"/>
      <c r="P121" s="2"/>
      <c r="Q121" s="2"/>
      <c r="R121" s="7"/>
      <c r="S121" s="224"/>
      <c r="T121" s="224"/>
      <c r="U121" s="224"/>
      <c r="V121" s="224"/>
    </row>
    <row r="122">
      <c r="A122" s="33"/>
      <c r="B122" s="2"/>
      <c r="C122" s="2"/>
      <c r="D122" s="2"/>
      <c r="E122" s="2"/>
      <c r="F122" s="4"/>
      <c r="G122" s="2"/>
      <c r="H122" s="2"/>
      <c r="I122" s="2"/>
      <c r="J122" s="2"/>
      <c r="K122" s="5"/>
      <c r="L122" s="2"/>
      <c r="M122" s="2"/>
      <c r="N122" s="2"/>
      <c r="O122" s="2"/>
      <c r="P122" s="2"/>
      <c r="Q122" s="2"/>
      <c r="R122" s="7"/>
      <c r="S122" s="224"/>
      <c r="T122" s="224"/>
      <c r="U122" s="224"/>
      <c r="V122" s="224"/>
    </row>
    <row r="123">
      <c r="A123" s="33"/>
      <c r="B123" s="2"/>
      <c r="C123" s="2"/>
      <c r="D123" s="2"/>
      <c r="E123" s="2"/>
      <c r="F123" s="4"/>
      <c r="G123" s="2"/>
      <c r="H123" s="2"/>
      <c r="I123" s="2"/>
      <c r="J123" s="2"/>
      <c r="K123" s="5"/>
      <c r="L123" s="2"/>
      <c r="M123" s="2"/>
      <c r="N123" s="2"/>
      <c r="O123" s="2"/>
      <c r="P123" s="2"/>
      <c r="Q123" s="2"/>
      <c r="R123" s="7"/>
      <c r="S123" s="224"/>
      <c r="T123" s="224"/>
      <c r="U123" s="224"/>
      <c r="V123" s="224"/>
    </row>
    <row r="124">
      <c r="A124" s="33"/>
      <c r="B124" s="2"/>
      <c r="C124" s="2"/>
      <c r="D124" s="2"/>
      <c r="E124" s="2"/>
      <c r="F124" s="4"/>
      <c r="G124" s="2"/>
      <c r="H124" s="2"/>
      <c r="I124" s="2"/>
      <c r="J124" s="2"/>
      <c r="K124" s="5"/>
      <c r="L124" s="2"/>
      <c r="M124" s="2"/>
      <c r="N124" s="2"/>
      <c r="O124" s="2"/>
      <c r="P124" s="2"/>
      <c r="Q124" s="2"/>
      <c r="R124" s="7"/>
      <c r="S124" s="224"/>
      <c r="T124" s="224"/>
      <c r="U124" s="224"/>
      <c r="V124" s="224"/>
    </row>
    <row r="125">
      <c r="A125" s="33"/>
      <c r="B125" s="2"/>
      <c r="C125" s="2"/>
      <c r="D125" s="2"/>
      <c r="E125" s="2"/>
      <c r="F125" s="4"/>
      <c r="G125" s="2"/>
      <c r="H125" s="2"/>
      <c r="I125" s="2"/>
      <c r="J125" s="2"/>
      <c r="K125" s="5"/>
      <c r="L125" s="2"/>
      <c r="M125" s="2"/>
      <c r="N125" s="2"/>
      <c r="O125" s="2"/>
      <c r="P125" s="2"/>
      <c r="Q125" s="2"/>
      <c r="R125" s="7"/>
      <c r="S125" s="224"/>
      <c r="T125" s="224"/>
      <c r="U125" s="224"/>
      <c r="V125" s="224"/>
    </row>
    <row r="126">
      <c r="A126" s="33"/>
      <c r="B126" s="2"/>
      <c r="C126" s="2"/>
      <c r="D126" s="2"/>
      <c r="E126" s="2"/>
      <c r="F126" s="4"/>
      <c r="G126" s="2"/>
      <c r="H126" s="2"/>
      <c r="I126" s="2"/>
      <c r="J126" s="2"/>
      <c r="K126" s="5"/>
      <c r="L126" s="2"/>
      <c r="M126" s="2"/>
      <c r="N126" s="2"/>
      <c r="O126" s="2"/>
      <c r="P126" s="2"/>
      <c r="Q126" s="2"/>
      <c r="R126" s="7"/>
      <c r="S126" s="224"/>
      <c r="T126" s="224"/>
      <c r="U126" s="224"/>
      <c r="V126" s="224"/>
    </row>
    <row r="127">
      <c r="A127" s="33"/>
      <c r="B127" s="2"/>
      <c r="C127" s="2"/>
      <c r="D127" s="2"/>
      <c r="E127" s="2"/>
      <c r="F127" s="4"/>
      <c r="G127" s="2"/>
      <c r="H127" s="2"/>
      <c r="I127" s="2"/>
      <c r="J127" s="2"/>
      <c r="K127" s="5"/>
      <c r="L127" s="2"/>
      <c r="M127" s="2"/>
      <c r="N127" s="2"/>
      <c r="O127" s="2"/>
      <c r="P127" s="2"/>
      <c r="Q127" s="2"/>
      <c r="R127" s="7"/>
      <c r="S127" s="224"/>
      <c r="T127" s="224"/>
      <c r="U127" s="224"/>
      <c r="V127" s="224"/>
    </row>
    <row r="128">
      <c r="A128" s="33"/>
      <c r="B128" s="2"/>
      <c r="C128" s="2"/>
      <c r="D128" s="2"/>
      <c r="E128" s="2"/>
      <c r="F128" s="4"/>
      <c r="G128" s="2"/>
      <c r="H128" s="2"/>
      <c r="I128" s="2"/>
      <c r="J128" s="2"/>
      <c r="K128" s="5"/>
      <c r="L128" s="2"/>
      <c r="M128" s="2"/>
      <c r="N128" s="2"/>
      <c r="O128" s="2"/>
      <c r="P128" s="2"/>
      <c r="Q128" s="2"/>
      <c r="R128" s="7"/>
      <c r="S128" s="224"/>
      <c r="T128" s="224"/>
      <c r="U128" s="224"/>
      <c r="V128" s="224"/>
    </row>
    <row r="129">
      <c r="A129" s="33"/>
      <c r="B129" s="2"/>
      <c r="C129" s="2"/>
      <c r="D129" s="2"/>
      <c r="E129" s="2"/>
      <c r="F129" s="4"/>
      <c r="G129" s="2"/>
      <c r="H129" s="2"/>
      <c r="I129" s="2"/>
      <c r="J129" s="2"/>
      <c r="K129" s="5"/>
      <c r="L129" s="2"/>
      <c r="M129" s="2"/>
      <c r="N129" s="2"/>
      <c r="O129" s="2"/>
      <c r="P129" s="2"/>
      <c r="Q129" s="2"/>
      <c r="R129" s="7"/>
      <c r="S129" s="224"/>
      <c r="T129" s="224"/>
      <c r="U129" s="224"/>
      <c r="V129" s="224"/>
    </row>
    <row r="130">
      <c r="A130" s="33"/>
      <c r="B130" s="2"/>
      <c r="C130" s="2"/>
      <c r="D130" s="2"/>
      <c r="E130" s="2"/>
      <c r="F130" s="4"/>
      <c r="G130" s="2"/>
      <c r="H130" s="2"/>
      <c r="I130" s="2"/>
      <c r="J130" s="2"/>
      <c r="K130" s="5"/>
      <c r="L130" s="2"/>
      <c r="M130" s="2"/>
      <c r="N130" s="2"/>
      <c r="O130" s="2"/>
      <c r="P130" s="2"/>
      <c r="Q130" s="2"/>
      <c r="R130" s="7"/>
      <c r="S130" s="224"/>
      <c r="T130" s="224"/>
      <c r="U130" s="224"/>
      <c r="V130" s="224"/>
    </row>
    <row r="131">
      <c r="A131" s="33"/>
      <c r="B131" s="2"/>
      <c r="C131" s="2"/>
      <c r="D131" s="2"/>
      <c r="E131" s="2"/>
      <c r="F131" s="4"/>
      <c r="G131" s="2"/>
      <c r="H131" s="2"/>
      <c r="I131" s="2"/>
      <c r="J131" s="2"/>
      <c r="K131" s="5"/>
      <c r="L131" s="2"/>
      <c r="M131" s="2"/>
      <c r="N131" s="2"/>
      <c r="O131" s="2"/>
      <c r="P131" s="2"/>
      <c r="Q131" s="2"/>
      <c r="R131" s="7"/>
      <c r="S131" s="224"/>
      <c r="T131" s="224"/>
      <c r="U131" s="224"/>
      <c r="V131" s="224"/>
    </row>
    <row r="132">
      <c r="A132" s="33"/>
      <c r="B132" s="2"/>
      <c r="C132" s="2"/>
      <c r="D132" s="2"/>
      <c r="E132" s="2"/>
      <c r="F132" s="4"/>
      <c r="G132" s="2"/>
      <c r="H132" s="2"/>
      <c r="I132" s="2"/>
      <c r="J132" s="2"/>
      <c r="K132" s="5"/>
      <c r="L132" s="2"/>
      <c r="M132" s="2"/>
      <c r="N132" s="2"/>
      <c r="O132" s="2"/>
      <c r="P132" s="2"/>
      <c r="Q132" s="2"/>
      <c r="R132" s="7"/>
      <c r="S132" s="224"/>
      <c r="T132" s="224"/>
      <c r="U132" s="224"/>
      <c r="V132" s="224"/>
    </row>
    <row r="133">
      <c r="A133" s="33"/>
      <c r="B133" s="2"/>
      <c r="C133" s="2"/>
      <c r="D133" s="2"/>
      <c r="E133" s="2"/>
      <c r="F133" s="4"/>
      <c r="G133" s="2"/>
      <c r="H133" s="2"/>
      <c r="I133" s="2"/>
      <c r="J133" s="2"/>
      <c r="K133" s="5"/>
      <c r="L133" s="2"/>
      <c r="M133" s="2"/>
      <c r="N133" s="2"/>
      <c r="O133" s="2"/>
      <c r="P133" s="2"/>
      <c r="Q133" s="2"/>
      <c r="R133" s="7"/>
      <c r="S133" s="224"/>
      <c r="T133" s="224"/>
      <c r="U133" s="224"/>
      <c r="V133" s="224"/>
    </row>
    <row r="134">
      <c r="A134" s="33"/>
      <c r="B134" s="2"/>
      <c r="C134" s="2"/>
      <c r="D134" s="2"/>
      <c r="E134" s="2"/>
      <c r="F134" s="4"/>
      <c r="G134" s="2"/>
      <c r="H134" s="2"/>
      <c r="I134" s="2"/>
      <c r="J134" s="2"/>
      <c r="K134" s="5"/>
      <c r="L134" s="2"/>
      <c r="M134" s="2"/>
      <c r="N134" s="2"/>
      <c r="O134" s="2"/>
      <c r="P134" s="2"/>
      <c r="Q134" s="2"/>
      <c r="R134" s="7"/>
      <c r="S134" s="224"/>
      <c r="T134" s="224"/>
      <c r="U134" s="224"/>
      <c r="V134" s="224"/>
    </row>
    <row r="135">
      <c r="A135" s="33"/>
      <c r="B135" s="2"/>
      <c r="C135" s="2"/>
      <c r="D135" s="2"/>
      <c r="E135" s="2"/>
      <c r="F135" s="4"/>
      <c r="G135" s="2"/>
      <c r="H135" s="2"/>
      <c r="I135" s="2"/>
      <c r="J135" s="2"/>
      <c r="K135" s="5"/>
      <c r="L135" s="2"/>
      <c r="M135" s="2"/>
      <c r="N135" s="2"/>
      <c r="O135" s="2"/>
      <c r="P135" s="2"/>
      <c r="Q135" s="2"/>
      <c r="R135" s="7"/>
      <c r="S135" s="224"/>
      <c r="T135" s="224"/>
      <c r="U135" s="224"/>
      <c r="V135" s="224"/>
    </row>
    <row r="136">
      <c r="A136" s="33"/>
      <c r="B136" s="2"/>
      <c r="C136" s="2"/>
      <c r="D136" s="2"/>
      <c r="E136" s="2"/>
      <c r="F136" s="4"/>
      <c r="G136" s="2"/>
      <c r="H136" s="2"/>
      <c r="I136" s="2"/>
      <c r="J136" s="2"/>
      <c r="K136" s="5"/>
      <c r="L136" s="2"/>
      <c r="M136" s="2"/>
      <c r="N136" s="2"/>
      <c r="O136" s="2"/>
      <c r="P136" s="2"/>
      <c r="Q136" s="2"/>
      <c r="R136" s="7"/>
      <c r="S136" s="224"/>
      <c r="T136" s="224"/>
      <c r="U136" s="224"/>
      <c r="V136" s="224"/>
    </row>
    <row r="137">
      <c r="A137" s="33"/>
      <c r="B137" s="2"/>
      <c r="C137" s="2"/>
      <c r="D137" s="2"/>
      <c r="E137" s="2"/>
      <c r="F137" s="4"/>
      <c r="G137" s="2"/>
      <c r="H137" s="2"/>
      <c r="I137" s="2"/>
      <c r="J137" s="2"/>
      <c r="K137" s="5"/>
      <c r="L137" s="2"/>
      <c r="M137" s="2"/>
      <c r="N137" s="2"/>
      <c r="O137" s="2"/>
      <c r="P137" s="2"/>
      <c r="Q137" s="2"/>
      <c r="R137" s="7"/>
      <c r="S137" s="224"/>
      <c r="T137" s="224"/>
      <c r="U137" s="224"/>
      <c r="V137" s="224"/>
    </row>
    <row r="138">
      <c r="A138" s="33"/>
      <c r="B138" s="2"/>
      <c r="C138" s="2"/>
      <c r="D138" s="2"/>
      <c r="E138" s="2"/>
      <c r="F138" s="4"/>
      <c r="G138" s="2"/>
      <c r="H138" s="2"/>
      <c r="I138" s="2"/>
      <c r="J138" s="2"/>
      <c r="K138" s="5"/>
      <c r="L138" s="2"/>
      <c r="M138" s="2"/>
      <c r="N138" s="2"/>
      <c r="O138" s="2"/>
      <c r="P138" s="2"/>
      <c r="Q138" s="2"/>
      <c r="R138" s="7"/>
      <c r="S138" s="224"/>
      <c r="T138" s="224"/>
      <c r="U138" s="224"/>
      <c r="V138" s="224"/>
    </row>
    <row r="139">
      <c r="A139" s="33"/>
      <c r="B139" s="2"/>
      <c r="C139" s="2"/>
      <c r="D139" s="2"/>
      <c r="E139" s="2"/>
      <c r="F139" s="4"/>
      <c r="G139" s="2"/>
      <c r="H139" s="2"/>
      <c r="I139" s="2"/>
      <c r="J139" s="2"/>
      <c r="K139" s="5"/>
      <c r="L139" s="2"/>
      <c r="M139" s="2"/>
      <c r="N139" s="2"/>
      <c r="O139" s="2"/>
      <c r="P139" s="2"/>
      <c r="Q139" s="2"/>
      <c r="R139" s="7"/>
      <c r="S139" s="224"/>
      <c r="T139" s="224"/>
      <c r="U139" s="224"/>
      <c r="V139" s="224"/>
    </row>
    <row r="140">
      <c r="A140" s="33"/>
      <c r="B140" s="2"/>
      <c r="C140" s="2"/>
      <c r="D140" s="2"/>
      <c r="E140" s="2"/>
      <c r="F140" s="4"/>
      <c r="G140" s="2"/>
      <c r="H140" s="2"/>
      <c r="I140" s="2"/>
      <c r="J140" s="2"/>
      <c r="K140" s="5"/>
      <c r="L140" s="2"/>
      <c r="M140" s="2"/>
      <c r="N140" s="2"/>
      <c r="O140" s="2"/>
      <c r="P140" s="2"/>
      <c r="Q140" s="2"/>
      <c r="R140" s="7"/>
      <c r="S140" s="224"/>
      <c r="T140" s="224"/>
      <c r="U140" s="224"/>
      <c r="V140" s="224"/>
    </row>
    <row r="141">
      <c r="A141" s="33"/>
      <c r="B141" s="2"/>
      <c r="C141" s="2"/>
      <c r="D141" s="2"/>
      <c r="E141" s="2"/>
      <c r="F141" s="4"/>
      <c r="G141" s="2"/>
      <c r="H141" s="2"/>
      <c r="I141" s="2"/>
      <c r="J141" s="2"/>
      <c r="K141" s="5"/>
      <c r="L141" s="2"/>
      <c r="M141" s="2"/>
      <c r="N141" s="2"/>
      <c r="O141" s="2"/>
      <c r="P141" s="2"/>
      <c r="Q141" s="2"/>
      <c r="R141" s="7"/>
      <c r="S141" s="224"/>
      <c r="T141" s="224"/>
      <c r="U141" s="224"/>
      <c r="V141" s="224"/>
    </row>
    <row r="142">
      <c r="A142" s="33"/>
      <c r="B142" s="2"/>
      <c r="C142" s="2"/>
      <c r="D142" s="2"/>
      <c r="E142" s="2"/>
      <c r="F142" s="4"/>
      <c r="G142" s="2"/>
      <c r="H142" s="2"/>
      <c r="I142" s="2"/>
      <c r="J142" s="2"/>
      <c r="K142" s="5"/>
      <c r="L142" s="2"/>
      <c r="M142" s="2"/>
      <c r="N142" s="2"/>
      <c r="O142" s="2"/>
      <c r="P142" s="2"/>
      <c r="Q142" s="2"/>
      <c r="R142" s="7"/>
      <c r="S142" s="224"/>
      <c r="T142" s="224"/>
      <c r="U142" s="224"/>
      <c r="V142" s="224"/>
    </row>
    <row r="143">
      <c r="A143" s="33"/>
      <c r="B143" s="2"/>
      <c r="C143" s="2"/>
      <c r="D143" s="2"/>
      <c r="E143" s="2"/>
      <c r="F143" s="4"/>
      <c r="G143" s="2"/>
      <c r="H143" s="2"/>
      <c r="I143" s="2"/>
      <c r="J143" s="2"/>
      <c r="K143" s="5"/>
      <c r="L143" s="2"/>
      <c r="M143" s="2"/>
      <c r="N143" s="2"/>
      <c r="O143" s="2"/>
      <c r="P143" s="2"/>
      <c r="Q143" s="2"/>
      <c r="R143" s="7"/>
      <c r="S143" s="224"/>
      <c r="T143" s="224"/>
      <c r="U143" s="224"/>
      <c r="V143" s="224"/>
    </row>
    <row r="144">
      <c r="A144" s="33"/>
      <c r="B144" s="2"/>
      <c r="C144" s="2"/>
      <c r="D144" s="2"/>
      <c r="E144" s="2"/>
      <c r="F144" s="4"/>
      <c r="G144" s="2"/>
      <c r="H144" s="2"/>
      <c r="I144" s="2"/>
      <c r="J144" s="2"/>
      <c r="K144" s="5"/>
      <c r="L144" s="2"/>
      <c r="M144" s="2"/>
      <c r="N144" s="2"/>
      <c r="O144" s="2"/>
      <c r="P144" s="2"/>
      <c r="Q144" s="2"/>
      <c r="R144" s="7"/>
      <c r="S144" s="224"/>
      <c r="T144" s="224"/>
      <c r="U144" s="224"/>
      <c r="V144" s="224"/>
    </row>
    <row r="145">
      <c r="A145" s="33"/>
      <c r="B145" s="2"/>
      <c r="C145" s="2"/>
      <c r="D145" s="2"/>
      <c r="E145" s="2"/>
      <c r="F145" s="4"/>
      <c r="G145" s="2"/>
      <c r="H145" s="2"/>
      <c r="I145" s="2"/>
      <c r="J145" s="2"/>
      <c r="K145" s="5"/>
      <c r="L145" s="2"/>
      <c r="M145" s="2"/>
      <c r="N145" s="2"/>
      <c r="O145" s="2"/>
      <c r="P145" s="2"/>
      <c r="Q145" s="2"/>
      <c r="R145" s="7"/>
      <c r="S145" s="224"/>
      <c r="T145" s="224"/>
      <c r="U145" s="224"/>
      <c r="V145" s="224"/>
    </row>
    <row r="146">
      <c r="A146" s="33"/>
      <c r="B146" s="2"/>
      <c r="C146" s="2"/>
      <c r="D146" s="2"/>
      <c r="E146" s="2"/>
      <c r="F146" s="4"/>
      <c r="G146" s="2"/>
      <c r="H146" s="2"/>
      <c r="I146" s="2"/>
      <c r="J146" s="2"/>
      <c r="K146" s="5"/>
      <c r="L146" s="2"/>
      <c r="M146" s="2"/>
      <c r="N146" s="2"/>
      <c r="O146" s="2"/>
      <c r="P146" s="2"/>
      <c r="Q146" s="2"/>
      <c r="R146" s="7"/>
      <c r="S146" s="226"/>
      <c r="T146" s="226"/>
      <c r="U146" s="226"/>
      <c r="V146" s="226"/>
    </row>
    <row r="147">
      <c r="A147" s="33"/>
      <c r="B147" s="2"/>
      <c r="C147" s="2"/>
      <c r="D147" s="2"/>
      <c r="E147" s="2"/>
      <c r="F147" s="4"/>
      <c r="G147" s="2"/>
      <c r="H147" s="2"/>
      <c r="I147" s="2"/>
      <c r="J147" s="2"/>
      <c r="K147" s="5"/>
      <c r="L147" s="2"/>
      <c r="M147" s="2"/>
      <c r="N147" s="2"/>
      <c r="O147" s="2"/>
      <c r="P147" s="2"/>
      <c r="Q147" s="2"/>
      <c r="R147" s="7"/>
      <c r="S147" s="224"/>
      <c r="T147" s="224"/>
      <c r="U147" s="224"/>
      <c r="V147" s="224"/>
    </row>
    <row r="148">
      <c r="A148" s="33"/>
      <c r="B148" s="2"/>
      <c r="C148" s="2"/>
      <c r="D148" s="2"/>
      <c r="E148" s="2"/>
      <c r="F148" s="4"/>
      <c r="G148" s="2"/>
      <c r="H148" s="2"/>
      <c r="I148" s="2"/>
      <c r="J148" s="2"/>
      <c r="K148" s="5"/>
      <c r="L148" s="2"/>
      <c r="M148" s="2"/>
      <c r="N148" s="2"/>
      <c r="O148" s="2"/>
      <c r="P148" s="2"/>
      <c r="Q148" s="2"/>
      <c r="R148" s="7"/>
      <c r="S148" s="224"/>
      <c r="T148" s="224"/>
      <c r="U148" s="224"/>
      <c r="V148" s="224"/>
    </row>
    <row r="149">
      <c r="A149" s="33"/>
      <c r="B149" s="2"/>
      <c r="C149" s="2"/>
      <c r="D149" s="2"/>
      <c r="E149" s="2"/>
      <c r="F149" s="4"/>
      <c r="G149" s="2"/>
      <c r="H149" s="2"/>
      <c r="I149" s="2"/>
      <c r="J149" s="2"/>
      <c r="K149" s="5"/>
      <c r="L149" s="2"/>
      <c r="M149" s="2"/>
      <c r="N149" s="2"/>
      <c r="O149" s="2"/>
      <c r="P149" s="2"/>
      <c r="Q149" s="2"/>
      <c r="R149" s="7"/>
      <c r="S149" s="224"/>
      <c r="T149" s="224"/>
      <c r="U149" s="224"/>
      <c r="V149" s="224"/>
    </row>
    <row r="150">
      <c r="A150" s="33"/>
      <c r="B150" s="2"/>
      <c r="C150" s="2"/>
      <c r="D150" s="2"/>
      <c r="E150" s="2"/>
      <c r="F150" s="4"/>
      <c r="G150" s="2"/>
      <c r="H150" s="2"/>
      <c r="I150" s="2"/>
      <c r="J150" s="2"/>
      <c r="K150" s="5"/>
      <c r="L150" s="2"/>
      <c r="M150" s="2"/>
      <c r="N150" s="2"/>
      <c r="O150" s="2"/>
      <c r="P150" s="2"/>
      <c r="Q150" s="2"/>
      <c r="R150" s="7"/>
      <c r="S150" s="224"/>
      <c r="T150" s="224"/>
      <c r="U150" s="224"/>
      <c r="V150" s="224"/>
    </row>
    <row r="151">
      <c r="A151" s="33"/>
      <c r="B151" s="2"/>
      <c r="C151" s="2"/>
      <c r="D151" s="2"/>
      <c r="E151" s="2"/>
      <c r="F151" s="4"/>
      <c r="G151" s="2"/>
      <c r="H151" s="2"/>
      <c r="I151" s="2"/>
      <c r="J151" s="2"/>
      <c r="K151" s="5"/>
      <c r="L151" s="2"/>
      <c r="M151" s="2"/>
      <c r="N151" s="2"/>
      <c r="O151" s="2"/>
      <c r="P151" s="2"/>
      <c r="Q151" s="2"/>
      <c r="R151" s="7"/>
      <c r="S151" s="224"/>
      <c r="T151" s="224"/>
      <c r="U151" s="224"/>
      <c r="V151" s="224"/>
    </row>
    <row r="152">
      <c r="A152" s="33"/>
      <c r="B152" s="2"/>
      <c r="C152" s="2"/>
      <c r="D152" s="2"/>
      <c r="E152" s="2"/>
      <c r="F152" s="4"/>
      <c r="G152" s="2"/>
      <c r="H152" s="2"/>
      <c r="I152" s="2"/>
      <c r="J152" s="2"/>
      <c r="K152" s="5"/>
      <c r="L152" s="2"/>
      <c r="M152" s="2"/>
      <c r="N152" s="2"/>
      <c r="O152" s="2"/>
      <c r="P152" s="2"/>
      <c r="Q152" s="2"/>
      <c r="R152" s="7"/>
      <c r="S152" s="224"/>
      <c r="T152" s="224"/>
      <c r="U152" s="224"/>
      <c r="V152" s="224"/>
    </row>
    <row r="153">
      <c r="A153" s="33"/>
      <c r="B153" s="2"/>
      <c r="C153" s="2"/>
      <c r="D153" s="2"/>
      <c r="E153" s="2"/>
      <c r="F153" s="4"/>
      <c r="G153" s="2"/>
      <c r="H153" s="2"/>
      <c r="I153" s="2"/>
      <c r="J153" s="2"/>
      <c r="K153" s="5"/>
      <c r="L153" s="2"/>
      <c r="M153" s="2"/>
      <c r="N153" s="2"/>
      <c r="O153" s="2"/>
      <c r="P153" s="2"/>
      <c r="Q153" s="2"/>
      <c r="R153" s="7"/>
      <c r="S153" s="224"/>
      <c r="T153" s="224"/>
      <c r="U153" s="224"/>
      <c r="V153" s="224"/>
    </row>
    <row r="154">
      <c r="A154" s="33"/>
      <c r="B154" s="2"/>
      <c r="C154" s="2"/>
      <c r="D154" s="2"/>
      <c r="E154" s="2"/>
      <c r="F154" s="4"/>
      <c r="G154" s="2"/>
      <c r="H154" s="2"/>
      <c r="I154" s="2"/>
      <c r="J154" s="2"/>
      <c r="K154" s="5"/>
      <c r="L154" s="2"/>
      <c r="M154" s="2"/>
      <c r="N154" s="2"/>
      <c r="O154" s="2"/>
      <c r="P154" s="2"/>
      <c r="Q154" s="2"/>
      <c r="R154" s="7"/>
      <c r="S154" s="224"/>
      <c r="T154" s="224"/>
      <c r="U154" s="224"/>
      <c r="V154" s="224"/>
    </row>
    <row r="155">
      <c r="A155" s="33"/>
      <c r="B155" s="2"/>
      <c r="C155" s="2"/>
      <c r="D155" s="2"/>
      <c r="E155" s="2"/>
      <c r="F155" s="4"/>
      <c r="G155" s="2"/>
      <c r="H155" s="2"/>
      <c r="I155" s="2"/>
      <c r="J155" s="2"/>
      <c r="K155" s="5"/>
      <c r="L155" s="2"/>
      <c r="M155" s="2"/>
      <c r="N155" s="2"/>
      <c r="O155" s="2"/>
      <c r="P155" s="2"/>
      <c r="Q155" s="2"/>
      <c r="R155" s="7"/>
      <c r="S155" s="224"/>
      <c r="T155" s="224"/>
      <c r="U155" s="224"/>
      <c r="V155" s="224"/>
    </row>
    <row r="156">
      <c r="A156" s="33"/>
      <c r="B156" s="2"/>
      <c r="C156" s="2"/>
      <c r="D156" s="2"/>
      <c r="E156" s="2"/>
      <c r="F156" s="4"/>
      <c r="G156" s="2"/>
      <c r="H156" s="2"/>
      <c r="I156" s="2"/>
      <c r="J156" s="2"/>
      <c r="K156" s="5"/>
      <c r="L156" s="2"/>
      <c r="M156" s="2"/>
      <c r="N156" s="2"/>
      <c r="O156" s="2"/>
      <c r="P156" s="2"/>
      <c r="Q156" s="2"/>
      <c r="R156" s="7"/>
      <c r="S156" s="224"/>
      <c r="T156" s="224"/>
      <c r="U156" s="224"/>
      <c r="V156" s="224"/>
    </row>
    <row r="157">
      <c r="A157" s="33"/>
      <c r="B157" s="2"/>
      <c r="C157" s="2"/>
      <c r="D157" s="2"/>
      <c r="E157" s="2"/>
      <c r="F157" s="4"/>
      <c r="G157" s="2"/>
      <c r="H157" s="2"/>
      <c r="I157" s="2"/>
      <c r="J157" s="2"/>
      <c r="K157" s="5"/>
      <c r="L157" s="2"/>
      <c r="M157" s="2"/>
      <c r="N157" s="2"/>
      <c r="O157" s="2"/>
      <c r="P157" s="2"/>
      <c r="Q157" s="2"/>
      <c r="R157" s="7"/>
      <c r="S157" s="224"/>
      <c r="T157" s="224"/>
      <c r="U157" s="224"/>
      <c r="V157" s="224"/>
    </row>
    <row r="158">
      <c r="A158" s="33"/>
      <c r="B158" s="2"/>
      <c r="C158" s="2"/>
      <c r="D158" s="2"/>
      <c r="E158" s="2"/>
      <c r="F158" s="4"/>
      <c r="G158" s="2"/>
      <c r="H158" s="2"/>
      <c r="I158" s="2"/>
      <c r="J158" s="2"/>
      <c r="K158" s="5"/>
      <c r="L158" s="2"/>
      <c r="M158" s="2"/>
      <c r="N158" s="2"/>
      <c r="O158" s="2"/>
      <c r="P158" s="2"/>
      <c r="Q158" s="2"/>
      <c r="R158" s="7"/>
      <c r="S158" s="224"/>
      <c r="T158" s="224"/>
      <c r="U158" s="224"/>
      <c r="V158" s="224"/>
    </row>
    <row r="159">
      <c r="A159" s="33"/>
      <c r="B159" s="2"/>
      <c r="C159" s="2"/>
      <c r="D159" s="2"/>
      <c r="E159" s="2"/>
      <c r="F159" s="4"/>
      <c r="G159" s="2"/>
      <c r="H159" s="2"/>
      <c r="I159" s="2"/>
      <c r="J159" s="2"/>
      <c r="K159" s="5"/>
      <c r="L159" s="2"/>
      <c r="M159" s="2"/>
      <c r="N159" s="2"/>
      <c r="O159" s="2"/>
      <c r="P159" s="2"/>
      <c r="Q159" s="2"/>
      <c r="R159" s="7"/>
      <c r="S159" s="224"/>
      <c r="T159" s="224"/>
      <c r="U159" s="224"/>
      <c r="V159" s="224"/>
    </row>
    <row r="160">
      <c r="A160" s="33"/>
      <c r="B160" s="2"/>
      <c r="C160" s="2"/>
      <c r="D160" s="2"/>
      <c r="E160" s="2"/>
      <c r="F160" s="4"/>
      <c r="G160" s="2"/>
      <c r="H160" s="2"/>
      <c r="I160" s="2"/>
      <c r="J160" s="2"/>
      <c r="K160" s="5"/>
      <c r="L160" s="2"/>
      <c r="M160" s="2"/>
      <c r="N160" s="2"/>
      <c r="O160" s="2"/>
      <c r="P160" s="2"/>
      <c r="Q160" s="2"/>
      <c r="R160" s="7"/>
      <c r="S160" s="224"/>
      <c r="T160" s="224"/>
      <c r="U160" s="224"/>
      <c r="V160" s="224"/>
    </row>
    <row r="161">
      <c r="A161" s="33"/>
      <c r="B161" s="2"/>
      <c r="C161" s="2"/>
      <c r="D161" s="2"/>
      <c r="E161" s="2"/>
      <c r="F161" s="4"/>
      <c r="G161" s="2"/>
      <c r="H161" s="2"/>
      <c r="I161" s="2"/>
      <c r="J161" s="2"/>
      <c r="K161" s="5"/>
      <c r="L161" s="2"/>
      <c r="M161" s="2"/>
      <c r="N161" s="2"/>
      <c r="O161" s="2"/>
      <c r="P161" s="2"/>
      <c r="Q161" s="2"/>
      <c r="R161" s="7"/>
      <c r="S161" s="224"/>
      <c r="T161" s="224"/>
      <c r="U161" s="224"/>
      <c r="V161" s="224"/>
    </row>
    <row r="162">
      <c r="A162" s="33"/>
      <c r="B162" s="2"/>
      <c r="C162" s="2"/>
      <c r="D162" s="2"/>
      <c r="E162" s="2"/>
      <c r="F162" s="4"/>
      <c r="G162" s="2"/>
      <c r="H162" s="2"/>
      <c r="I162" s="2"/>
      <c r="J162" s="2"/>
      <c r="K162" s="5"/>
      <c r="L162" s="2"/>
      <c r="M162" s="2"/>
      <c r="N162" s="2"/>
      <c r="O162" s="2"/>
      <c r="P162" s="2"/>
      <c r="Q162" s="2"/>
      <c r="R162" s="7"/>
      <c r="S162" s="224"/>
      <c r="T162" s="224"/>
      <c r="U162" s="224"/>
      <c r="V162" s="224"/>
    </row>
    <row r="163">
      <c r="A163" s="33"/>
      <c r="B163" s="2"/>
      <c r="C163" s="2"/>
      <c r="D163" s="2"/>
      <c r="E163" s="2"/>
      <c r="F163" s="4"/>
      <c r="G163" s="2"/>
      <c r="H163" s="2"/>
      <c r="I163" s="2"/>
      <c r="J163" s="2"/>
      <c r="K163" s="5"/>
      <c r="L163" s="2"/>
      <c r="M163" s="2"/>
      <c r="N163" s="2"/>
      <c r="O163" s="2"/>
      <c r="P163" s="2"/>
      <c r="Q163" s="2"/>
      <c r="R163" s="7"/>
      <c r="S163" s="224"/>
      <c r="T163" s="224"/>
      <c r="U163" s="224"/>
      <c r="V163" s="224"/>
    </row>
    <row r="164">
      <c r="A164" s="33"/>
      <c r="B164" s="2"/>
      <c r="C164" s="2"/>
      <c r="D164" s="2"/>
      <c r="E164" s="2"/>
      <c r="F164" s="4"/>
      <c r="G164" s="2"/>
      <c r="H164" s="2"/>
      <c r="I164" s="2"/>
      <c r="J164" s="2"/>
      <c r="K164" s="5"/>
      <c r="L164" s="2"/>
      <c r="M164" s="2"/>
      <c r="N164" s="2"/>
      <c r="O164" s="2"/>
      <c r="P164" s="2"/>
      <c r="Q164" s="2"/>
      <c r="R164" s="7"/>
      <c r="S164" s="224"/>
      <c r="T164" s="224"/>
      <c r="U164" s="224"/>
      <c r="V164" s="224"/>
    </row>
    <row r="165">
      <c r="A165" s="33"/>
      <c r="B165" s="2"/>
      <c r="C165" s="2"/>
      <c r="D165" s="2"/>
      <c r="E165" s="2"/>
      <c r="F165" s="4"/>
      <c r="G165" s="2"/>
      <c r="H165" s="2"/>
      <c r="I165" s="2"/>
      <c r="J165" s="2"/>
      <c r="K165" s="5"/>
      <c r="L165" s="2"/>
      <c r="M165" s="2"/>
      <c r="N165" s="2"/>
      <c r="O165" s="2"/>
      <c r="P165" s="2"/>
      <c r="Q165" s="2"/>
      <c r="R165" s="7"/>
      <c r="S165" s="224"/>
      <c r="T165" s="224"/>
      <c r="U165" s="224"/>
      <c r="V165" s="224"/>
    </row>
    <row r="166">
      <c r="A166" s="33"/>
      <c r="B166" s="2"/>
      <c r="C166" s="2"/>
      <c r="D166" s="2"/>
      <c r="E166" s="2"/>
      <c r="F166" s="4"/>
      <c r="G166" s="2"/>
      <c r="H166" s="2"/>
      <c r="I166" s="2"/>
      <c r="J166" s="2"/>
      <c r="K166" s="5"/>
      <c r="L166" s="2"/>
      <c r="M166" s="2"/>
      <c r="N166" s="2"/>
      <c r="O166" s="2"/>
      <c r="P166" s="2"/>
      <c r="Q166" s="2"/>
      <c r="R166" s="7"/>
      <c r="S166" s="224"/>
      <c r="T166" s="224"/>
      <c r="U166" s="224"/>
      <c r="V166" s="224"/>
    </row>
    <row r="167">
      <c r="A167" s="33"/>
      <c r="B167" s="2"/>
      <c r="C167" s="2"/>
      <c r="D167" s="2"/>
      <c r="E167" s="2"/>
      <c r="F167" s="4"/>
      <c r="G167" s="2"/>
      <c r="H167" s="2"/>
      <c r="I167" s="2"/>
      <c r="J167" s="2"/>
      <c r="K167" s="5"/>
      <c r="L167" s="2"/>
      <c r="M167" s="2"/>
      <c r="N167" s="2"/>
      <c r="O167" s="2"/>
      <c r="P167" s="2"/>
      <c r="Q167" s="2"/>
      <c r="R167" s="7"/>
      <c r="S167" s="224"/>
      <c r="T167" s="224"/>
      <c r="U167" s="224"/>
      <c r="V167" s="224"/>
    </row>
    <row r="168">
      <c r="A168" s="33"/>
      <c r="B168" s="2"/>
      <c r="C168" s="2"/>
      <c r="D168" s="2"/>
      <c r="E168" s="2"/>
      <c r="F168" s="4"/>
      <c r="G168" s="2"/>
      <c r="H168" s="2"/>
      <c r="I168" s="2"/>
      <c r="J168" s="2"/>
      <c r="K168" s="5"/>
      <c r="L168" s="2"/>
      <c r="M168" s="2"/>
      <c r="N168" s="2"/>
      <c r="O168" s="2"/>
      <c r="P168" s="2"/>
      <c r="Q168" s="2"/>
      <c r="R168" s="7"/>
      <c r="S168" s="224"/>
      <c r="T168" s="224"/>
      <c r="U168" s="224"/>
      <c r="V168" s="224"/>
    </row>
    <row r="169">
      <c r="A169" s="33"/>
      <c r="B169" s="2"/>
      <c r="C169" s="2"/>
      <c r="D169" s="2"/>
      <c r="E169" s="2"/>
      <c r="F169" s="4"/>
      <c r="G169" s="2"/>
      <c r="H169" s="2"/>
      <c r="I169" s="2"/>
      <c r="J169" s="2"/>
      <c r="K169" s="5"/>
      <c r="L169" s="2"/>
      <c r="M169" s="2"/>
      <c r="N169" s="2"/>
      <c r="O169" s="2"/>
      <c r="P169" s="2"/>
      <c r="Q169" s="2"/>
      <c r="R169" s="7"/>
      <c r="S169" s="224"/>
      <c r="T169" s="224"/>
      <c r="U169" s="224"/>
      <c r="V169" s="224"/>
    </row>
    <row r="170">
      <c r="A170" s="33"/>
      <c r="B170" s="2"/>
      <c r="C170" s="2"/>
      <c r="D170" s="2"/>
      <c r="E170" s="2"/>
      <c r="F170" s="4"/>
      <c r="G170" s="2"/>
      <c r="H170" s="2"/>
      <c r="I170" s="2"/>
      <c r="J170" s="2"/>
      <c r="K170" s="5"/>
      <c r="L170" s="2"/>
      <c r="M170" s="2"/>
      <c r="N170" s="2"/>
      <c r="O170" s="2"/>
      <c r="P170" s="2"/>
      <c r="Q170" s="2"/>
      <c r="R170" s="7"/>
      <c r="S170" s="224"/>
      <c r="T170" s="224"/>
      <c r="U170" s="224"/>
      <c r="V170" s="224"/>
    </row>
    <row r="171">
      <c r="A171" s="33"/>
      <c r="B171" s="2"/>
      <c r="C171" s="2"/>
      <c r="D171" s="2"/>
      <c r="E171" s="2"/>
      <c r="F171" s="4"/>
      <c r="G171" s="2"/>
      <c r="H171" s="2"/>
      <c r="I171" s="2"/>
      <c r="J171" s="2"/>
      <c r="K171" s="5"/>
      <c r="L171" s="2"/>
      <c r="M171" s="2"/>
      <c r="N171" s="2"/>
      <c r="O171" s="2"/>
      <c r="P171" s="2"/>
      <c r="Q171" s="2"/>
      <c r="R171" s="7"/>
      <c r="S171" s="224"/>
      <c r="T171" s="224"/>
      <c r="U171" s="224"/>
      <c r="V171" s="224"/>
    </row>
    <row r="172">
      <c r="A172" s="33"/>
      <c r="B172" s="2"/>
      <c r="C172" s="2"/>
      <c r="D172" s="2"/>
      <c r="E172" s="2"/>
      <c r="F172" s="4"/>
      <c r="G172" s="2"/>
      <c r="H172" s="2"/>
      <c r="I172" s="2"/>
      <c r="J172" s="2"/>
      <c r="K172" s="5"/>
      <c r="L172" s="2"/>
      <c r="M172" s="2"/>
      <c r="N172" s="2"/>
      <c r="O172" s="2"/>
      <c r="P172" s="2"/>
      <c r="Q172" s="2"/>
      <c r="R172" s="7"/>
      <c r="S172" s="224"/>
      <c r="T172" s="224"/>
      <c r="U172" s="224"/>
      <c r="V172" s="224"/>
    </row>
    <row r="173">
      <c r="A173" s="33"/>
      <c r="B173" s="2"/>
      <c r="C173" s="2"/>
      <c r="D173" s="2"/>
      <c r="E173" s="2"/>
      <c r="F173" s="4"/>
      <c r="G173" s="2"/>
      <c r="H173" s="2"/>
      <c r="I173" s="2"/>
      <c r="J173" s="2"/>
      <c r="K173" s="5"/>
      <c r="L173" s="2"/>
      <c r="M173" s="2"/>
      <c r="N173" s="2"/>
      <c r="O173" s="2"/>
      <c r="P173" s="2"/>
      <c r="Q173" s="2"/>
      <c r="R173" s="7"/>
      <c r="S173" s="224"/>
      <c r="T173" s="224"/>
      <c r="U173" s="224"/>
      <c r="V173" s="224"/>
    </row>
    <row r="174">
      <c r="A174" s="33"/>
      <c r="B174" s="2"/>
      <c r="C174" s="2"/>
      <c r="D174" s="2"/>
      <c r="E174" s="2"/>
      <c r="F174" s="4"/>
      <c r="G174" s="2"/>
      <c r="H174" s="2"/>
      <c r="I174" s="2"/>
      <c r="J174" s="2"/>
      <c r="K174" s="5"/>
      <c r="L174" s="2"/>
      <c r="M174" s="2"/>
      <c r="N174" s="2"/>
      <c r="O174" s="2"/>
      <c r="P174" s="2"/>
      <c r="Q174" s="2"/>
      <c r="R174" s="7"/>
      <c r="S174" s="224"/>
      <c r="T174" s="224"/>
      <c r="U174" s="224"/>
      <c r="V174" s="224"/>
    </row>
    <row r="175">
      <c r="A175" s="33"/>
      <c r="B175" s="2"/>
      <c r="C175" s="2"/>
      <c r="D175" s="2"/>
      <c r="E175" s="2"/>
      <c r="F175" s="4"/>
      <c r="G175" s="2"/>
      <c r="H175" s="2"/>
      <c r="I175" s="2"/>
      <c r="J175" s="2"/>
      <c r="K175" s="5"/>
      <c r="L175" s="2"/>
      <c r="M175" s="2"/>
      <c r="N175" s="2"/>
      <c r="O175" s="2"/>
      <c r="P175" s="2"/>
      <c r="Q175" s="2"/>
      <c r="R175" s="7"/>
      <c r="S175" s="224"/>
      <c r="T175" s="224"/>
      <c r="U175" s="224"/>
      <c r="V175" s="224"/>
    </row>
    <row r="176">
      <c r="A176" s="33"/>
      <c r="B176" s="2"/>
      <c r="C176" s="2"/>
      <c r="D176" s="2"/>
      <c r="E176" s="2"/>
      <c r="F176" s="4"/>
      <c r="G176" s="2"/>
      <c r="H176" s="2"/>
      <c r="I176" s="2"/>
      <c r="J176" s="2"/>
      <c r="K176" s="5"/>
      <c r="L176" s="2"/>
      <c r="M176" s="2"/>
      <c r="N176" s="2"/>
      <c r="O176" s="2"/>
      <c r="P176" s="2"/>
      <c r="Q176" s="2"/>
      <c r="R176" s="7"/>
      <c r="S176" s="224"/>
      <c r="T176" s="224"/>
      <c r="U176" s="224"/>
      <c r="V176" s="224"/>
    </row>
    <row r="177">
      <c r="A177" s="33"/>
      <c r="B177" s="2"/>
      <c r="C177" s="2"/>
      <c r="D177" s="2"/>
      <c r="E177" s="2"/>
      <c r="F177" s="4"/>
      <c r="G177" s="2"/>
      <c r="H177" s="2"/>
      <c r="I177" s="2"/>
      <c r="J177" s="2"/>
      <c r="K177" s="5"/>
      <c r="L177" s="2"/>
      <c r="M177" s="2"/>
      <c r="N177" s="2"/>
      <c r="O177" s="2"/>
      <c r="P177" s="2"/>
      <c r="Q177" s="2"/>
      <c r="R177" s="7"/>
      <c r="S177" s="224"/>
      <c r="T177" s="224"/>
      <c r="U177" s="224"/>
      <c r="V177" s="224"/>
    </row>
    <row r="178">
      <c r="A178" s="33"/>
      <c r="B178" s="2"/>
      <c r="C178" s="2"/>
      <c r="D178" s="2"/>
      <c r="E178" s="2"/>
      <c r="F178" s="4"/>
      <c r="G178" s="2"/>
      <c r="H178" s="2"/>
      <c r="I178" s="2"/>
      <c r="J178" s="2"/>
      <c r="K178" s="5"/>
      <c r="L178" s="2"/>
      <c r="M178" s="2"/>
      <c r="N178" s="2"/>
      <c r="O178" s="2"/>
      <c r="P178" s="2"/>
      <c r="Q178" s="2"/>
      <c r="R178" s="7"/>
      <c r="S178" s="224"/>
      <c r="T178" s="224"/>
      <c r="U178" s="224"/>
      <c r="V178" s="224"/>
    </row>
    <row r="179">
      <c r="A179" s="33"/>
      <c r="B179" s="2"/>
      <c r="C179" s="2"/>
      <c r="D179" s="2"/>
      <c r="E179" s="2"/>
      <c r="F179" s="4"/>
      <c r="G179" s="2"/>
      <c r="H179" s="2"/>
      <c r="I179" s="2"/>
      <c r="J179" s="2"/>
      <c r="K179" s="5"/>
      <c r="L179" s="2"/>
      <c r="M179" s="2"/>
      <c r="N179" s="2"/>
      <c r="O179" s="2"/>
      <c r="P179" s="2"/>
      <c r="Q179" s="2"/>
      <c r="R179" s="7"/>
      <c r="S179" s="224"/>
      <c r="T179" s="224"/>
      <c r="U179" s="224"/>
      <c r="V179" s="224"/>
    </row>
    <row r="180">
      <c r="A180" s="33"/>
      <c r="B180" s="2"/>
      <c r="C180" s="2"/>
      <c r="D180" s="2"/>
      <c r="E180" s="2"/>
      <c r="F180" s="4"/>
      <c r="G180" s="2"/>
      <c r="H180" s="2"/>
      <c r="I180" s="2"/>
      <c r="J180" s="2"/>
      <c r="K180" s="5"/>
      <c r="L180" s="2"/>
      <c r="M180" s="2"/>
      <c r="N180" s="2"/>
      <c r="O180" s="2"/>
      <c r="P180" s="2"/>
      <c r="Q180" s="2"/>
      <c r="R180" s="7"/>
      <c r="S180" s="224"/>
      <c r="T180" s="224"/>
      <c r="U180" s="224"/>
      <c r="V180" s="224"/>
    </row>
    <row r="181">
      <c r="A181" s="33"/>
      <c r="B181" s="2"/>
      <c r="C181" s="2"/>
      <c r="D181" s="2"/>
      <c r="E181" s="2"/>
      <c r="F181" s="4"/>
      <c r="G181" s="2"/>
      <c r="H181" s="2"/>
      <c r="I181" s="2"/>
      <c r="J181" s="2"/>
      <c r="K181" s="5"/>
      <c r="L181" s="2"/>
      <c r="M181" s="2"/>
      <c r="N181" s="2"/>
      <c r="O181" s="2"/>
      <c r="P181" s="2"/>
      <c r="Q181" s="2"/>
      <c r="R181" s="7"/>
      <c r="S181" s="224"/>
      <c r="T181" s="224"/>
      <c r="U181" s="224"/>
      <c r="V181" s="224"/>
    </row>
    <row r="182">
      <c r="A182" s="33"/>
      <c r="B182" s="2"/>
      <c r="C182" s="2"/>
      <c r="D182" s="2"/>
      <c r="E182" s="2"/>
      <c r="F182" s="4"/>
      <c r="G182" s="2"/>
      <c r="H182" s="2"/>
      <c r="I182" s="2"/>
      <c r="J182" s="2"/>
      <c r="K182" s="5"/>
      <c r="L182" s="2"/>
      <c r="M182" s="2"/>
      <c r="N182" s="2"/>
      <c r="O182" s="2"/>
      <c r="P182" s="2"/>
      <c r="Q182" s="2"/>
      <c r="R182" s="7"/>
      <c r="S182" s="224"/>
      <c r="T182" s="224"/>
      <c r="U182" s="224"/>
      <c r="V182" s="224"/>
    </row>
    <row r="183">
      <c r="A183" s="33"/>
      <c r="B183" s="2"/>
      <c r="C183" s="2"/>
      <c r="D183" s="2"/>
      <c r="E183" s="2"/>
      <c r="F183" s="4"/>
      <c r="G183" s="2"/>
      <c r="H183" s="2"/>
      <c r="I183" s="2"/>
      <c r="J183" s="2"/>
      <c r="K183" s="5"/>
      <c r="L183" s="2"/>
      <c r="M183" s="2"/>
      <c r="N183" s="2"/>
      <c r="O183" s="2"/>
      <c r="P183" s="2"/>
      <c r="Q183" s="2"/>
      <c r="R183" s="7"/>
      <c r="S183" s="224"/>
      <c r="T183" s="224"/>
      <c r="U183" s="224"/>
      <c r="V183" s="224"/>
    </row>
    <row r="184">
      <c r="A184" s="33"/>
      <c r="B184" s="2"/>
      <c r="C184" s="2"/>
      <c r="D184" s="2"/>
      <c r="E184" s="2"/>
      <c r="F184" s="4"/>
      <c r="G184" s="2"/>
      <c r="H184" s="2"/>
      <c r="I184" s="2"/>
      <c r="J184" s="2"/>
      <c r="K184" s="5"/>
      <c r="L184" s="2"/>
      <c r="M184" s="2"/>
      <c r="N184" s="2"/>
      <c r="O184" s="2"/>
      <c r="P184" s="2"/>
      <c r="Q184" s="2"/>
      <c r="R184" s="7"/>
      <c r="S184" s="224"/>
      <c r="T184" s="224"/>
      <c r="U184" s="224"/>
      <c r="V184" s="224"/>
    </row>
    <row r="185">
      <c r="A185" s="33"/>
      <c r="B185" s="2"/>
      <c r="C185" s="2"/>
      <c r="D185" s="2"/>
      <c r="E185" s="2"/>
      <c r="F185" s="4"/>
      <c r="G185" s="2"/>
      <c r="H185" s="2"/>
      <c r="I185" s="2"/>
      <c r="J185" s="2"/>
      <c r="K185" s="5"/>
      <c r="L185" s="2"/>
      <c r="M185" s="2"/>
      <c r="N185" s="2"/>
      <c r="O185" s="2"/>
      <c r="P185" s="2"/>
      <c r="Q185" s="2"/>
      <c r="R185" s="7"/>
      <c r="S185" s="224"/>
      <c r="T185" s="224"/>
      <c r="U185" s="224"/>
      <c r="V185" s="224"/>
    </row>
    <row r="186">
      <c r="A186" s="33"/>
      <c r="B186" s="2"/>
      <c r="C186" s="2"/>
      <c r="D186" s="2"/>
      <c r="E186" s="2"/>
      <c r="F186" s="4"/>
      <c r="G186" s="2"/>
      <c r="H186" s="2"/>
      <c r="I186" s="2"/>
      <c r="J186" s="2"/>
      <c r="K186" s="5"/>
      <c r="L186" s="2"/>
      <c r="M186" s="2"/>
      <c r="N186" s="2"/>
      <c r="O186" s="2"/>
      <c r="P186" s="2"/>
      <c r="Q186" s="2"/>
      <c r="R186" s="7"/>
      <c r="S186" s="224"/>
      <c r="T186" s="224"/>
      <c r="U186" s="224"/>
      <c r="V186" s="224"/>
    </row>
    <row r="187">
      <c r="A187" s="33"/>
      <c r="B187" s="2"/>
      <c r="C187" s="2"/>
      <c r="D187" s="2"/>
      <c r="E187" s="2"/>
      <c r="F187" s="4"/>
      <c r="G187" s="2"/>
      <c r="H187" s="2"/>
      <c r="I187" s="2"/>
      <c r="J187" s="2"/>
      <c r="K187" s="5"/>
      <c r="L187" s="2"/>
      <c r="M187" s="2"/>
      <c r="N187" s="2"/>
      <c r="O187" s="2"/>
      <c r="P187" s="2"/>
      <c r="Q187" s="2"/>
      <c r="R187" s="7"/>
      <c r="S187" s="224"/>
      <c r="T187" s="224"/>
      <c r="U187" s="224"/>
      <c r="V187" s="224"/>
    </row>
    <row r="188">
      <c r="A188" s="33"/>
      <c r="B188" s="2"/>
      <c r="C188" s="2"/>
      <c r="D188" s="2"/>
      <c r="E188" s="2"/>
      <c r="F188" s="4"/>
      <c r="G188" s="2"/>
      <c r="H188" s="2"/>
      <c r="I188" s="2"/>
      <c r="J188" s="2"/>
      <c r="K188" s="5"/>
      <c r="L188" s="2"/>
      <c r="M188" s="2"/>
      <c r="N188" s="2"/>
      <c r="O188" s="2"/>
      <c r="P188" s="2"/>
      <c r="Q188" s="2"/>
      <c r="R188" s="7"/>
      <c r="S188" s="224"/>
      <c r="T188" s="224"/>
      <c r="U188" s="224"/>
      <c r="V188" s="224"/>
    </row>
    <row r="189">
      <c r="A189" s="33"/>
      <c r="B189" s="2"/>
      <c r="C189" s="2"/>
      <c r="D189" s="2"/>
      <c r="E189" s="2"/>
      <c r="F189" s="4"/>
      <c r="G189" s="2"/>
      <c r="H189" s="2"/>
      <c r="I189" s="2"/>
      <c r="J189" s="2"/>
      <c r="K189" s="5"/>
      <c r="L189" s="2"/>
      <c r="M189" s="2"/>
      <c r="N189" s="2"/>
      <c r="O189" s="2"/>
      <c r="P189" s="2"/>
      <c r="Q189" s="2"/>
      <c r="R189" s="7"/>
      <c r="S189" s="224"/>
      <c r="T189" s="224"/>
      <c r="U189" s="224"/>
      <c r="V189" s="224"/>
    </row>
    <row r="190">
      <c r="A190" s="33"/>
      <c r="B190" s="2"/>
      <c r="C190" s="2"/>
      <c r="D190" s="2"/>
      <c r="E190" s="2"/>
      <c r="F190" s="4"/>
      <c r="G190" s="2"/>
      <c r="H190" s="2"/>
      <c r="I190" s="2"/>
      <c r="J190" s="2"/>
      <c r="K190" s="5"/>
      <c r="L190" s="2"/>
      <c r="M190" s="2"/>
      <c r="N190" s="2"/>
      <c r="O190" s="2"/>
      <c r="P190" s="2"/>
      <c r="Q190" s="2"/>
      <c r="R190" s="7"/>
      <c r="S190" s="224"/>
      <c r="T190" s="224"/>
      <c r="U190" s="224"/>
      <c r="V190" s="224"/>
    </row>
    <row r="191">
      <c r="A191" s="33"/>
      <c r="B191" s="2"/>
      <c r="C191" s="2"/>
      <c r="D191" s="2"/>
      <c r="E191" s="2"/>
      <c r="F191" s="4"/>
      <c r="G191" s="2"/>
      <c r="H191" s="2"/>
      <c r="I191" s="2"/>
      <c r="J191" s="2"/>
      <c r="K191" s="5"/>
      <c r="L191" s="2"/>
      <c r="M191" s="2"/>
      <c r="N191" s="2"/>
      <c r="O191" s="2"/>
      <c r="P191" s="2"/>
      <c r="Q191" s="2"/>
      <c r="R191" s="7"/>
      <c r="S191" s="224"/>
      <c r="T191" s="224"/>
      <c r="U191" s="224"/>
      <c r="V191" s="224"/>
    </row>
    <row r="192">
      <c r="A192" s="33"/>
      <c r="B192" s="2"/>
      <c r="C192" s="2"/>
      <c r="D192" s="2"/>
      <c r="E192" s="2"/>
      <c r="F192" s="4"/>
      <c r="G192" s="2"/>
      <c r="H192" s="2"/>
      <c r="I192" s="2"/>
      <c r="J192" s="2"/>
      <c r="K192" s="5"/>
      <c r="L192" s="2"/>
      <c r="M192" s="2"/>
      <c r="N192" s="2"/>
      <c r="O192" s="2"/>
      <c r="P192" s="2"/>
      <c r="Q192" s="2"/>
      <c r="R192" s="7"/>
      <c r="S192" s="224"/>
      <c r="T192" s="224"/>
      <c r="U192" s="224"/>
      <c r="V192" s="224"/>
    </row>
    <row r="193">
      <c r="A193" s="33"/>
      <c r="B193" s="2"/>
      <c r="C193" s="2"/>
      <c r="D193" s="2"/>
      <c r="E193" s="2"/>
      <c r="F193" s="4"/>
      <c r="G193" s="2"/>
      <c r="H193" s="2"/>
      <c r="I193" s="2"/>
      <c r="J193" s="2"/>
      <c r="K193" s="5"/>
      <c r="L193" s="2"/>
      <c r="M193" s="2"/>
      <c r="N193" s="2"/>
      <c r="O193" s="2"/>
      <c r="P193" s="2"/>
      <c r="Q193" s="2"/>
      <c r="R193" s="7"/>
      <c r="S193" s="224"/>
      <c r="T193" s="224"/>
      <c r="U193" s="224"/>
      <c r="V193" s="224"/>
    </row>
    <row r="194">
      <c r="A194" s="33"/>
      <c r="B194" s="2"/>
      <c r="C194" s="2"/>
      <c r="D194" s="2"/>
      <c r="E194" s="2"/>
      <c r="F194" s="4"/>
      <c r="G194" s="2"/>
      <c r="H194" s="2"/>
      <c r="I194" s="2"/>
      <c r="J194" s="2"/>
      <c r="K194" s="5"/>
      <c r="L194" s="2"/>
      <c r="M194" s="2"/>
      <c r="N194" s="2"/>
      <c r="O194" s="2"/>
      <c r="P194" s="2"/>
      <c r="Q194" s="2"/>
      <c r="R194" s="7"/>
      <c r="S194" s="224"/>
      <c r="T194" s="224"/>
      <c r="U194" s="224"/>
      <c r="V194" s="224"/>
    </row>
    <row r="195">
      <c r="A195" s="33"/>
      <c r="B195" s="2"/>
      <c r="C195" s="2"/>
      <c r="D195" s="2"/>
      <c r="E195" s="2"/>
      <c r="F195" s="4"/>
      <c r="G195" s="2"/>
      <c r="H195" s="2"/>
      <c r="I195" s="2"/>
      <c r="J195" s="2"/>
      <c r="K195" s="5"/>
      <c r="L195" s="2"/>
      <c r="M195" s="2"/>
      <c r="N195" s="2"/>
      <c r="O195" s="2"/>
      <c r="P195" s="2"/>
      <c r="Q195" s="2"/>
      <c r="R195" s="7"/>
      <c r="S195" s="224"/>
      <c r="T195" s="224"/>
      <c r="U195" s="224"/>
      <c r="V195" s="224"/>
    </row>
    <row r="196">
      <c r="A196" s="33"/>
      <c r="B196" s="2"/>
      <c r="C196" s="2"/>
      <c r="D196" s="2"/>
      <c r="E196" s="2"/>
      <c r="F196" s="4"/>
      <c r="G196" s="2"/>
      <c r="H196" s="2"/>
      <c r="I196" s="2"/>
      <c r="J196" s="2"/>
      <c r="K196" s="5"/>
      <c r="L196" s="2"/>
      <c r="M196" s="2"/>
      <c r="N196" s="2"/>
      <c r="O196" s="2"/>
      <c r="P196" s="2"/>
      <c r="Q196" s="2"/>
      <c r="R196" s="7"/>
      <c r="S196" s="224"/>
      <c r="T196" s="224"/>
      <c r="U196" s="224"/>
      <c r="V196" s="224"/>
    </row>
    <row r="197">
      <c r="A197" s="33"/>
      <c r="B197" s="2"/>
      <c r="C197" s="2"/>
      <c r="D197" s="2"/>
      <c r="E197" s="2"/>
      <c r="F197" s="4"/>
      <c r="G197" s="2"/>
      <c r="H197" s="2"/>
      <c r="I197" s="2"/>
      <c r="J197" s="2"/>
      <c r="K197" s="5"/>
      <c r="L197" s="2"/>
      <c r="M197" s="2"/>
      <c r="N197" s="2"/>
      <c r="O197" s="2"/>
      <c r="P197" s="2"/>
      <c r="Q197" s="2"/>
      <c r="R197" s="7"/>
      <c r="S197" s="224"/>
      <c r="T197" s="224"/>
      <c r="U197" s="224"/>
      <c r="V197" s="224"/>
    </row>
    <row r="198">
      <c r="A198" s="33"/>
      <c r="B198" s="2"/>
      <c r="C198" s="2"/>
      <c r="D198" s="2"/>
      <c r="E198" s="2"/>
      <c r="F198" s="4"/>
      <c r="G198" s="2"/>
      <c r="H198" s="2"/>
      <c r="I198" s="2"/>
      <c r="J198" s="2"/>
      <c r="K198" s="5"/>
      <c r="L198" s="2"/>
      <c r="M198" s="2"/>
      <c r="N198" s="2"/>
      <c r="O198" s="2"/>
      <c r="P198" s="2"/>
      <c r="Q198" s="2"/>
      <c r="R198" s="7"/>
      <c r="S198" s="224"/>
      <c r="T198" s="224"/>
      <c r="U198" s="224"/>
      <c r="V198" s="224"/>
    </row>
    <row r="199">
      <c r="A199" s="33"/>
      <c r="B199" s="2"/>
      <c r="C199" s="2"/>
      <c r="D199" s="2"/>
      <c r="E199" s="2"/>
      <c r="F199" s="4"/>
      <c r="G199" s="2"/>
      <c r="H199" s="2"/>
      <c r="I199" s="2"/>
      <c r="J199" s="2"/>
      <c r="K199" s="5"/>
      <c r="L199" s="2"/>
      <c r="M199" s="2"/>
      <c r="N199" s="2"/>
      <c r="O199" s="2"/>
      <c r="P199" s="2"/>
      <c r="Q199" s="2"/>
      <c r="R199" s="7"/>
      <c r="S199" s="224"/>
      <c r="T199" s="224"/>
      <c r="U199" s="224"/>
      <c r="V199" s="224"/>
    </row>
    <row r="200">
      <c r="A200" s="33"/>
      <c r="B200" s="2"/>
      <c r="C200" s="2"/>
      <c r="D200" s="2"/>
      <c r="E200" s="2"/>
      <c r="F200" s="4"/>
      <c r="G200" s="2"/>
      <c r="H200" s="2"/>
      <c r="I200" s="2"/>
      <c r="J200" s="2"/>
      <c r="K200" s="5"/>
      <c r="L200" s="2"/>
      <c r="M200" s="2"/>
      <c r="N200" s="2"/>
      <c r="O200" s="2"/>
      <c r="P200" s="2"/>
      <c r="Q200" s="2"/>
      <c r="R200" s="7"/>
      <c r="S200" s="224"/>
      <c r="T200" s="224"/>
      <c r="U200" s="224"/>
      <c r="V200" s="224"/>
    </row>
    <row r="201">
      <c r="A201" s="33"/>
      <c r="B201" s="2"/>
      <c r="C201" s="2"/>
      <c r="D201" s="2"/>
      <c r="E201" s="2"/>
      <c r="F201" s="4"/>
      <c r="G201" s="2"/>
      <c r="H201" s="2"/>
      <c r="I201" s="2"/>
      <c r="J201" s="2"/>
      <c r="K201" s="5"/>
      <c r="L201" s="2"/>
      <c r="M201" s="2"/>
      <c r="N201" s="2"/>
      <c r="O201" s="2"/>
      <c r="P201" s="2"/>
      <c r="Q201" s="2"/>
      <c r="R201" s="7"/>
      <c r="S201" s="224"/>
      <c r="T201" s="224"/>
      <c r="U201" s="224"/>
      <c r="V201" s="224"/>
    </row>
    <row r="202">
      <c r="A202" s="33"/>
      <c r="B202" s="2"/>
      <c r="C202" s="2"/>
      <c r="D202" s="2"/>
      <c r="E202" s="2"/>
      <c r="F202" s="4"/>
      <c r="G202" s="2"/>
      <c r="H202" s="2"/>
      <c r="I202" s="2"/>
      <c r="J202" s="2"/>
      <c r="K202" s="5"/>
      <c r="L202" s="2"/>
      <c r="M202" s="2"/>
      <c r="N202" s="2"/>
      <c r="O202" s="2"/>
      <c r="P202" s="2"/>
      <c r="Q202" s="2"/>
      <c r="R202" s="7"/>
      <c r="S202" s="224"/>
      <c r="T202" s="224"/>
      <c r="U202" s="224"/>
      <c r="V202" s="224"/>
    </row>
    <row r="203">
      <c r="A203" s="33"/>
      <c r="B203" s="2"/>
      <c r="C203" s="2"/>
      <c r="D203" s="2"/>
      <c r="E203" s="2"/>
      <c r="F203" s="4"/>
      <c r="G203" s="2"/>
      <c r="H203" s="2"/>
      <c r="I203" s="2"/>
      <c r="J203" s="2"/>
      <c r="K203" s="5"/>
      <c r="L203" s="2"/>
      <c r="M203" s="2"/>
      <c r="N203" s="2"/>
      <c r="O203" s="2"/>
      <c r="P203" s="2"/>
      <c r="Q203" s="2"/>
      <c r="R203" s="7"/>
      <c r="S203" s="224"/>
      <c r="T203" s="224"/>
      <c r="U203" s="224"/>
      <c r="V203" s="224"/>
    </row>
    <row r="204">
      <c r="A204" s="33"/>
      <c r="B204" s="2"/>
      <c r="C204" s="2"/>
      <c r="D204" s="2"/>
      <c r="E204" s="2"/>
      <c r="F204" s="4"/>
      <c r="G204" s="2"/>
      <c r="H204" s="2"/>
      <c r="I204" s="2"/>
      <c r="J204" s="2"/>
      <c r="K204" s="5"/>
      <c r="L204" s="2"/>
      <c r="M204" s="2"/>
      <c r="N204" s="2"/>
      <c r="O204" s="2"/>
      <c r="P204" s="2"/>
      <c r="Q204" s="2"/>
      <c r="R204" s="7"/>
      <c r="S204" s="224"/>
      <c r="T204" s="224"/>
      <c r="U204" s="224"/>
      <c r="V204" s="224"/>
    </row>
    <row r="205">
      <c r="A205" s="33"/>
      <c r="B205" s="2"/>
      <c r="C205" s="2"/>
      <c r="D205" s="2"/>
      <c r="E205" s="2"/>
      <c r="F205" s="4"/>
      <c r="G205" s="2"/>
      <c r="H205" s="2"/>
      <c r="I205" s="2"/>
      <c r="J205" s="2"/>
      <c r="K205" s="5"/>
      <c r="L205" s="2"/>
      <c r="M205" s="2"/>
      <c r="N205" s="2"/>
      <c r="O205" s="2"/>
      <c r="P205" s="2"/>
      <c r="Q205" s="2"/>
      <c r="R205" s="7"/>
      <c r="S205" s="224"/>
      <c r="T205" s="224"/>
      <c r="U205" s="224"/>
      <c r="V205" s="224"/>
    </row>
    <row r="206">
      <c r="A206" s="33"/>
      <c r="B206" s="2"/>
      <c r="C206" s="2"/>
      <c r="D206" s="2"/>
      <c r="E206" s="2"/>
      <c r="F206" s="4"/>
      <c r="G206" s="2"/>
      <c r="H206" s="2"/>
      <c r="I206" s="2"/>
      <c r="J206" s="2"/>
      <c r="K206" s="5"/>
      <c r="L206" s="2"/>
      <c r="M206" s="2"/>
      <c r="N206" s="2"/>
      <c r="O206" s="2"/>
      <c r="P206" s="2"/>
      <c r="Q206" s="2"/>
      <c r="R206" s="7"/>
      <c r="S206" s="224"/>
      <c r="T206" s="224"/>
      <c r="U206" s="224"/>
      <c r="V206" s="224"/>
    </row>
    <row r="207">
      <c r="A207" s="33"/>
      <c r="B207" s="2"/>
      <c r="C207" s="2"/>
      <c r="D207" s="2"/>
      <c r="E207" s="2"/>
      <c r="F207" s="4"/>
      <c r="G207" s="2"/>
      <c r="H207" s="2"/>
      <c r="I207" s="2"/>
      <c r="J207" s="2"/>
      <c r="K207" s="5"/>
      <c r="L207" s="2"/>
      <c r="M207" s="2"/>
      <c r="N207" s="2"/>
      <c r="O207" s="2"/>
      <c r="P207" s="2"/>
      <c r="Q207" s="2"/>
      <c r="R207" s="7"/>
      <c r="S207" s="224"/>
      <c r="T207" s="224"/>
      <c r="U207" s="224"/>
      <c r="V207" s="224"/>
    </row>
    <row r="208">
      <c r="A208" s="33"/>
      <c r="B208" s="2"/>
      <c r="C208" s="2"/>
      <c r="D208" s="2"/>
      <c r="E208" s="2"/>
      <c r="F208" s="4"/>
      <c r="G208" s="2"/>
      <c r="H208" s="2"/>
      <c r="I208" s="2"/>
      <c r="J208" s="2"/>
      <c r="K208" s="5"/>
      <c r="L208" s="2"/>
      <c r="M208" s="2"/>
      <c r="N208" s="2"/>
      <c r="O208" s="2"/>
      <c r="P208" s="2"/>
      <c r="Q208" s="2"/>
      <c r="R208" s="7"/>
      <c r="S208" s="224"/>
      <c r="T208" s="224"/>
      <c r="U208" s="224"/>
      <c r="V208" s="224"/>
    </row>
    <row r="209">
      <c r="A209" s="33"/>
      <c r="B209" s="2"/>
      <c r="C209" s="2"/>
      <c r="D209" s="2"/>
      <c r="E209" s="2"/>
      <c r="F209" s="4"/>
      <c r="G209" s="2"/>
      <c r="H209" s="2"/>
      <c r="I209" s="2"/>
      <c r="J209" s="2"/>
      <c r="K209" s="5"/>
      <c r="L209" s="2"/>
      <c r="M209" s="2"/>
      <c r="N209" s="2"/>
      <c r="O209" s="2"/>
      <c r="P209" s="2"/>
      <c r="Q209" s="2"/>
      <c r="R209" s="7"/>
      <c r="S209" s="224"/>
      <c r="T209" s="224"/>
      <c r="U209" s="224"/>
      <c r="V209" s="224"/>
    </row>
    <row r="210">
      <c r="A210" s="33"/>
      <c r="B210" s="2"/>
      <c r="C210" s="2"/>
      <c r="D210" s="2"/>
      <c r="E210" s="2"/>
      <c r="F210" s="4"/>
      <c r="G210" s="2"/>
      <c r="H210" s="2"/>
      <c r="I210" s="2"/>
      <c r="J210" s="2"/>
      <c r="K210" s="5"/>
      <c r="L210" s="2"/>
      <c r="M210" s="2"/>
      <c r="N210" s="2"/>
      <c r="O210" s="2"/>
      <c r="P210" s="2"/>
      <c r="Q210" s="2"/>
      <c r="R210" s="7"/>
      <c r="S210" s="224"/>
      <c r="T210" s="224"/>
      <c r="U210" s="224"/>
      <c r="V210" s="224"/>
    </row>
    <row r="211">
      <c r="A211" s="33"/>
      <c r="B211" s="2"/>
      <c r="C211" s="2"/>
      <c r="D211" s="2"/>
      <c r="E211" s="2"/>
      <c r="F211" s="4"/>
      <c r="G211" s="2"/>
      <c r="H211" s="2"/>
      <c r="I211" s="2"/>
      <c r="J211" s="2"/>
      <c r="K211" s="5"/>
      <c r="L211" s="2"/>
      <c r="M211" s="2"/>
      <c r="N211" s="2"/>
      <c r="O211" s="2"/>
      <c r="P211" s="2"/>
      <c r="Q211" s="2"/>
      <c r="R211" s="7"/>
      <c r="S211" s="224"/>
      <c r="T211" s="224"/>
      <c r="U211" s="224"/>
      <c r="V211" s="224"/>
    </row>
    <row r="212">
      <c r="A212" s="33"/>
      <c r="B212" s="2"/>
      <c r="C212" s="2"/>
      <c r="D212" s="2"/>
      <c r="E212" s="2"/>
      <c r="F212" s="4"/>
      <c r="G212" s="2"/>
      <c r="H212" s="2"/>
      <c r="I212" s="2"/>
      <c r="J212" s="2"/>
      <c r="K212" s="5"/>
      <c r="L212" s="2"/>
      <c r="M212" s="2"/>
      <c r="N212" s="2"/>
      <c r="O212" s="2"/>
      <c r="P212" s="2"/>
      <c r="Q212" s="2"/>
      <c r="R212" s="7"/>
      <c r="S212" s="224"/>
      <c r="T212" s="224"/>
      <c r="U212" s="224"/>
      <c r="V212" s="224"/>
    </row>
    <row r="213">
      <c r="A213" s="33"/>
      <c r="B213" s="2"/>
      <c r="C213" s="2"/>
      <c r="D213" s="2"/>
      <c r="E213" s="2"/>
      <c r="F213" s="4"/>
      <c r="G213" s="2"/>
      <c r="H213" s="2"/>
      <c r="I213" s="2"/>
      <c r="J213" s="2"/>
      <c r="K213" s="5"/>
      <c r="L213" s="2"/>
      <c r="M213" s="2"/>
      <c r="N213" s="2"/>
      <c r="O213" s="2"/>
      <c r="P213" s="2"/>
      <c r="Q213" s="2"/>
      <c r="R213" s="7"/>
      <c r="S213" s="224"/>
      <c r="T213" s="224"/>
      <c r="U213" s="224"/>
      <c r="V213" s="224"/>
    </row>
    <row r="214">
      <c r="A214" s="33"/>
      <c r="B214" s="2"/>
      <c r="C214" s="2"/>
      <c r="D214" s="2"/>
      <c r="E214" s="2"/>
      <c r="F214" s="4"/>
      <c r="G214" s="2"/>
      <c r="H214" s="2"/>
      <c r="I214" s="2"/>
      <c r="J214" s="2"/>
      <c r="K214" s="5"/>
      <c r="L214" s="2"/>
      <c r="M214" s="2"/>
      <c r="N214" s="2"/>
      <c r="O214" s="2"/>
      <c r="P214" s="2"/>
      <c r="Q214" s="2"/>
      <c r="R214" s="7"/>
      <c r="S214" s="224"/>
      <c r="T214" s="224"/>
      <c r="U214" s="224"/>
      <c r="V214" s="224"/>
    </row>
    <row r="215">
      <c r="A215" s="33"/>
      <c r="B215" s="2"/>
      <c r="C215" s="2"/>
      <c r="D215" s="2"/>
      <c r="E215" s="2"/>
      <c r="F215" s="4"/>
      <c r="G215" s="2"/>
      <c r="H215" s="2"/>
      <c r="I215" s="2"/>
      <c r="J215" s="2"/>
      <c r="K215" s="5"/>
      <c r="L215" s="2"/>
      <c r="M215" s="2"/>
      <c r="N215" s="2"/>
      <c r="O215" s="2"/>
      <c r="P215" s="2"/>
      <c r="Q215" s="2"/>
      <c r="R215" s="7"/>
      <c r="S215" s="224"/>
      <c r="T215" s="224"/>
      <c r="U215" s="224"/>
      <c r="V215" s="224"/>
    </row>
    <row r="216">
      <c r="A216" s="33"/>
      <c r="B216" s="2"/>
      <c r="C216" s="2"/>
      <c r="D216" s="2"/>
      <c r="E216" s="2"/>
      <c r="F216" s="4"/>
      <c r="G216" s="2"/>
      <c r="H216" s="2"/>
      <c r="I216" s="2"/>
      <c r="J216" s="2"/>
      <c r="K216" s="5"/>
      <c r="L216" s="2"/>
      <c r="M216" s="2"/>
      <c r="N216" s="2"/>
      <c r="O216" s="2"/>
      <c r="P216" s="2"/>
      <c r="Q216" s="2"/>
      <c r="R216" s="7"/>
      <c r="S216" s="224"/>
      <c r="T216" s="224"/>
      <c r="U216" s="224"/>
      <c r="V216" s="224"/>
    </row>
    <row r="217">
      <c r="A217" s="33"/>
      <c r="B217" s="2"/>
      <c r="C217" s="2"/>
      <c r="D217" s="2"/>
      <c r="E217" s="2"/>
      <c r="F217" s="4"/>
      <c r="G217" s="2"/>
      <c r="H217" s="2"/>
      <c r="I217" s="2"/>
      <c r="J217" s="2"/>
      <c r="K217" s="5"/>
      <c r="L217" s="2"/>
      <c r="M217" s="2"/>
      <c r="N217" s="2"/>
      <c r="O217" s="2"/>
      <c r="P217" s="2"/>
      <c r="Q217" s="2"/>
      <c r="R217" s="7"/>
      <c r="S217" s="224"/>
      <c r="T217" s="224"/>
      <c r="U217" s="224"/>
      <c r="V217" s="224"/>
    </row>
    <row r="218">
      <c r="A218" s="33"/>
      <c r="B218" s="2"/>
      <c r="C218" s="2"/>
      <c r="D218" s="2"/>
      <c r="E218" s="2"/>
      <c r="F218" s="4"/>
      <c r="G218" s="2"/>
      <c r="H218" s="2"/>
      <c r="I218" s="2"/>
      <c r="J218" s="2"/>
      <c r="K218" s="5"/>
      <c r="L218" s="2"/>
      <c r="M218" s="2"/>
      <c r="N218" s="2"/>
      <c r="O218" s="2"/>
      <c r="P218" s="2"/>
      <c r="Q218" s="2"/>
      <c r="R218" s="7"/>
      <c r="S218" s="224"/>
      <c r="T218" s="224"/>
      <c r="U218" s="224"/>
      <c r="V218" s="224"/>
    </row>
    <row r="219">
      <c r="A219" s="33"/>
      <c r="B219" s="2"/>
      <c r="C219" s="2"/>
      <c r="D219" s="2"/>
      <c r="E219" s="2"/>
      <c r="F219" s="4"/>
      <c r="G219" s="2"/>
      <c r="H219" s="2"/>
      <c r="I219" s="2"/>
      <c r="J219" s="2"/>
      <c r="K219" s="5"/>
      <c r="L219" s="2"/>
      <c r="M219" s="2"/>
      <c r="N219" s="2"/>
      <c r="O219" s="2"/>
      <c r="P219" s="2"/>
      <c r="Q219" s="2"/>
      <c r="R219" s="7"/>
      <c r="S219" s="224"/>
      <c r="T219" s="224"/>
      <c r="U219" s="224"/>
      <c r="V219" s="224"/>
    </row>
    <row r="220">
      <c r="A220" s="33"/>
      <c r="B220" s="2"/>
      <c r="C220" s="2"/>
      <c r="D220" s="2"/>
      <c r="E220" s="2"/>
      <c r="F220" s="4"/>
      <c r="G220" s="2"/>
      <c r="H220" s="2"/>
      <c r="I220" s="2"/>
      <c r="J220" s="2"/>
      <c r="K220" s="5"/>
      <c r="L220" s="2"/>
      <c r="M220" s="2"/>
      <c r="N220" s="2"/>
      <c r="O220" s="2"/>
      <c r="P220" s="2"/>
      <c r="Q220" s="2"/>
      <c r="R220" s="7"/>
      <c r="S220" s="224"/>
      <c r="T220" s="224"/>
      <c r="U220" s="224"/>
      <c r="V220" s="224"/>
    </row>
    <row r="221">
      <c r="A221" s="33"/>
      <c r="B221" s="2"/>
      <c r="C221" s="2"/>
      <c r="D221" s="2"/>
      <c r="E221" s="2"/>
      <c r="F221" s="4"/>
      <c r="G221" s="2"/>
      <c r="H221" s="2"/>
      <c r="I221" s="2"/>
      <c r="J221" s="2"/>
      <c r="K221" s="5"/>
      <c r="L221" s="2"/>
      <c r="M221" s="2"/>
      <c r="N221" s="2"/>
      <c r="O221" s="2"/>
      <c r="P221" s="2"/>
      <c r="Q221" s="2"/>
      <c r="R221" s="7"/>
      <c r="S221" s="224"/>
      <c r="T221" s="224"/>
      <c r="U221" s="224"/>
      <c r="V221" s="224"/>
    </row>
    <row r="222">
      <c r="A222" s="33"/>
      <c r="B222" s="2"/>
      <c r="C222" s="2"/>
      <c r="D222" s="2"/>
      <c r="E222" s="2"/>
      <c r="F222" s="4"/>
      <c r="G222" s="2"/>
      <c r="H222" s="2"/>
      <c r="I222" s="2"/>
      <c r="J222" s="2"/>
      <c r="K222" s="5"/>
      <c r="L222" s="2"/>
      <c r="M222" s="2"/>
      <c r="N222" s="2"/>
      <c r="O222" s="2"/>
      <c r="P222" s="2"/>
      <c r="Q222" s="2"/>
      <c r="R222" s="7"/>
      <c r="S222" s="224"/>
      <c r="T222" s="224"/>
      <c r="U222" s="224"/>
      <c r="V222" s="224"/>
    </row>
    <row r="223">
      <c r="A223" s="33"/>
      <c r="B223" s="2"/>
      <c r="C223" s="2"/>
      <c r="D223" s="2"/>
      <c r="E223" s="2"/>
      <c r="F223" s="4"/>
      <c r="G223" s="2"/>
      <c r="H223" s="2"/>
      <c r="I223" s="2"/>
      <c r="J223" s="2"/>
      <c r="K223" s="5"/>
      <c r="L223" s="2"/>
      <c r="M223" s="2"/>
      <c r="N223" s="2"/>
      <c r="O223" s="2"/>
      <c r="P223" s="2"/>
      <c r="Q223" s="2"/>
      <c r="R223" s="7"/>
      <c r="S223" s="224"/>
      <c r="T223" s="224"/>
      <c r="U223" s="224"/>
      <c r="V223" s="224"/>
    </row>
    <row r="224">
      <c r="A224" s="33"/>
      <c r="B224" s="2"/>
      <c r="C224" s="2"/>
      <c r="D224" s="2"/>
      <c r="E224" s="2"/>
      <c r="F224" s="4"/>
      <c r="G224" s="2"/>
      <c r="H224" s="2"/>
      <c r="I224" s="2"/>
      <c r="J224" s="2"/>
      <c r="K224" s="5"/>
      <c r="L224" s="2"/>
      <c r="M224" s="2"/>
      <c r="N224" s="2"/>
      <c r="O224" s="2"/>
      <c r="P224" s="2"/>
      <c r="Q224" s="2"/>
      <c r="R224" s="7"/>
      <c r="S224" s="224"/>
      <c r="T224" s="224"/>
      <c r="U224" s="224"/>
      <c r="V224" s="224"/>
    </row>
    <row r="225">
      <c r="A225" s="33"/>
      <c r="B225" s="2"/>
      <c r="C225" s="2"/>
      <c r="D225" s="2"/>
      <c r="E225" s="2"/>
      <c r="F225" s="4"/>
      <c r="G225" s="2"/>
      <c r="H225" s="2"/>
      <c r="I225" s="2"/>
      <c r="J225" s="2"/>
      <c r="K225" s="5"/>
      <c r="L225" s="2"/>
      <c r="M225" s="2"/>
      <c r="N225" s="2"/>
      <c r="O225" s="2"/>
      <c r="P225" s="2"/>
      <c r="Q225" s="2"/>
      <c r="R225" s="7"/>
      <c r="S225" s="224"/>
      <c r="T225" s="224"/>
      <c r="U225" s="224"/>
      <c r="V225" s="224"/>
    </row>
    <row r="226">
      <c r="A226" s="33"/>
      <c r="B226" s="2"/>
      <c r="C226" s="2"/>
      <c r="D226" s="2"/>
      <c r="E226" s="2"/>
      <c r="F226" s="4"/>
      <c r="G226" s="2"/>
      <c r="H226" s="2"/>
      <c r="I226" s="2"/>
      <c r="J226" s="2"/>
      <c r="K226" s="5"/>
      <c r="L226" s="2"/>
      <c r="M226" s="2"/>
      <c r="N226" s="2"/>
      <c r="O226" s="2"/>
      <c r="P226" s="2"/>
      <c r="Q226" s="2"/>
      <c r="R226" s="7"/>
      <c r="S226" s="224"/>
      <c r="T226" s="224"/>
      <c r="U226" s="224"/>
      <c r="V226" s="224"/>
    </row>
    <row r="227">
      <c r="A227" s="33"/>
      <c r="B227" s="2"/>
      <c r="C227" s="2"/>
      <c r="D227" s="2"/>
      <c r="E227" s="2"/>
      <c r="F227" s="4"/>
      <c r="G227" s="2"/>
      <c r="H227" s="2"/>
      <c r="I227" s="2"/>
      <c r="J227" s="2"/>
      <c r="K227" s="5"/>
      <c r="L227" s="2"/>
      <c r="M227" s="2"/>
      <c r="N227" s="2"/>
      <c r="O227" s="2"/>
      <c r="P227" s="2"/>
      <c r="Q227" s="2"/>
      <c r="R227" s="7"/>
      <c r="S227" s="224"/>
      <c r="T227" s="224"/>
      <c r="U227" s="224"/>
      <c r="V227" s="224"/>
    </row>
    <row r="228">
      <c r="A228" s="33"/>
      <c r="B228" s="2"/>
      <c r="C228" s="2"/>
      <c r="D228" s="2"/>
      <c r="E228" s="2"/>
      <c r="F228" s="4"/>
      <c r="G228" s="2"/>
      <c r="H228" s="2"/>
      <c r="I228" s="2"/>
      <c r="J228" s="2"/>
      <c r="K228" s="5"/>
      <c r="L228" s="2"/>
      <c r="M228" s="2"/>
      <c r="N228" s="2"/>
      <c r="O228" s="2"/>
      <c r="P228" s="2"/>
      <c r="Q228" s="2"/>
      <c r="R228" s="7"/>
      <c r="S228" s="224"/>
      <c r="T228" s="224"/>
      <c r="U228" s="224"/>
      <c r="V228" s="224"/>
    </row>
    <row r="229">
      <c r="A229" s="33"/>
      <c r="B229" s="2"/>
      <c r="C229" s="2"/>
      <c r="D229" s="2"/>
      <c r="E229" s="2"/>
      <c r="F229" s="4"/>
      <c r="G229" s="2"/>
      <c r="H229" s="2"/>
      <c r="I229" s="2"/>
      <c r="J229" s="2"/>
      <c r="K229" s="5"/>
      <c r="L229" s="2"/>
      <c r="M229" s="2"/>
      <c r="N229" s="2"/>
      <c r="O229" s="2"/>
      <c r="P229" s="2"/>
      <c r="Q229" s="2"/>
      <c r="R229" s="7"/>
      <c r="S229" s="224"/>
      <c r="T229" s="224"/>
      <c r="U229" s="224"/>
      <c r="V229" s="224"/>
    </row>
    <row r="230">
      <c r="A230" s="33"/>
      <c r="B230" s="2"/>
      <c r="C230" s="2"/>
      <c r="D230" s="2"/>
      <c r="E230" s="2"/>
      <c r="F230" s="4"/>
      <c r="G230" s="2"/>
      <c r="H230" s="2"/>
      <c r="I230" s="2"/>
      <c r="J230" s="2"/>
      <c r="K230" s="5"/>
      <c r="L230" s="2"/>
      <c r="M230" s="2"/>
      <c r="N230" s="2"/>
      <c r="O230" s="2"/>
      <c r="P230" s="2"/>
      <c r="Q230" s="2"/>
      <c r="R230" s="7"/>
      <c r="S230" s="224"/>
      <c r="T230" s="224"/>
      <c r="U230" s="224"/>
      <c r="V230" s="224"/>
    </row>
    <row r="231">
      <c r="A231" s="33"/>
      <c r="B231" s="2"/>
      <c r="C231" s="2"/>
      <c r="D231" s="2"/>
      <c r="E231" s="2"/>
      <c r="F231" s="4"/>
      <c r="G231" s="2"/>
      <c r="H231" s="2"/>
      <c r="I231" s="2"/>
      <c r="J231" s="2"/>
      <c r="K231" s="5"/>
      <c r="L231" s="2"/>
      <c r="M231" s="2"/>
      <c r="N231" s="2"/>
      <c r="O231" s="2"/>
      <c r="P231" s="2"/>
      <c r="Q231" s="2"/>
      <c r="R231" s="7"/>
      <c r="S231" s="224"/>
      <c r="T231" s="224"/>
      <c r="U231" s="224"/>
      <c r="V231" s="224"/>
    </row>
    <row r="232">
      <c r="A232" s="33"/>
      <c r="B232" s="2"/>
      <c r="C232" s="2"/>
      <c r="D232" s="2"/>
      <c r="E232" s="2"/>
      <c r="F232" s="4"/>
      <c r="G232" s="2"/>
      <c r="H232" s="2"/>
      <c r="I232" s="2"/>
      <c r="J232" s="2"/>
      <c r="K232" s="5"/>
      <c r="L232" s="2"/>
      <c r="M232" s="2"/>
      <c r="N232" s="2"/>
      <c r="O232" s="2"/>
      <c r="P232" s="2"/>
      <c r="Q232" s="2"/>
      <c r="R232" s="7"/>
      <c r="S232" s="224"/>
      <c r="T232" s="224"/>
      <c r="U232" s="224"/>
      <c r="V232" s="224"/>
    </row>
    <row r="233">
      <c r="A233" s="33"/>
      <c r="B233" s="2"/>
      <c r="C233" s="2"/>
      <c r="D233" s="2"/>
      <c r="E233" s="2"/>
      <c r="F233" s="4"/>
      <c r="G233" s="2"/>
      <c r="H233" s="2"/>
      <c r="I233" s="2"/>
      <c r="J233" s="2"/>
      <c r="K233" s="5"/>
      <c r="L233" s="2"/>
      <c r="M233" s="2"/>
      <c r="N233" s="2"/>
      <c r="O233" s="2"/>
      <c r="P233" s="2"/>
      <c r="Q233" s="2"/>
      <c r="R233" s="7"/>
      <c r="S233" s="224"/>
      <c r="T233" s="224"/>
      <c r="U233" s="224"/>
      <c r="V233" s="224"/>
    </row>
    <row r="234">
      <c r="A234" s="33"/>
      <c r="B234" s="2"/>
      <c r="C234" s="2"/>
      <c r="D234" s="2"/>
      <c r="E234" s="2"/>
      <c r="F234" s="4"/>
      <c r="G234" s="2"/>
      <c r="H234" s="2"/>
      <c r="I234" s="2"/>
      <c r="J234" s="2"/>
      <c r="K234" s="5"/>
      <c r="L234" s="2"/>
      <c r="M234" s="2"/>
      <c r="N234" s="2"/>
      <c r="O234" s="2"/>
      <c r="P234" s="2"/>
      <c r="Q234" s="2"/>
      <c r="R234" s="7"/>
      <c r="S234" s="224"/>
      <c r="T234" s="224"/>
      <c r="U234" s="224"/>
      <c r="V234" s="224"/>
    </row>
    <row r="235">
      <c r="A235" s="33"/>
      <c r="B235" s="2"/>
      <c r="C235" s="2"/>
      <c r="D235" s="2"/>
      <c r="E235" s="2"/>
      <c r="F235" s="4"/>
      <c r="G235" s="2"/>
      <c r="H235" s="2"/>
      <c r="I235" s="2"/>
      <c r="J235" s="2"/>
      <c r="K235" s="5"/>
      <c r="L235" s="2"/>
      <c r="M235" s="2"/>
      <c r="N235" s="2"/>
      <c r="O235" s="2"/>
      <c r="P235" s="2"/>
      <c r="Q235" s="2"/>
      <c r="R235" s="7"/>
      <c r="S235" s="224"/>
      <c r="T235" s="224"/>
      <c r="U235" s="224"/>
      <c r="V235" s="224"/>
    </row>
    <row r="236">
      <c r="A236" s="33"/>
      <c r="B236" s="2"/>
      <c r="C236" s="2"/>
      <c r="D236" s="2"/>
      <c r="E236" s="2"/>
      <c r="F236" s="4"/>
      <c r="G236" s="2"/>
      <c r="H236" s="2"/>
      <c r="I236" s="2"/>
      <c r="J236" s="2"/>
      <c r="K236" s="5"/>
      <c r="L236" s="2"/>
      <c r="M236" s="2"/>
      <c r="N236" s="2"/>
      <c r="O236" s="2"/>
      <c r="P236" s="2"/>
      <c r="Q236" s="2"/>
      <c r="R236" s="7"/>
      <c r="S236" s="224"/>
      <c r="T236" s="224"/>
      <c r="U236" s="224"/>
      <c r="V236" s="224"/>
    </row>
    <row r="237">
      <c r="A237" s="33"/>
      <c r="B237" s="2"/>
      <c r="C237" s="2"/>
      <c r="D237" s="2"/>
      <c r="E237" s="2"/>
      <c r="F237" s="4"/>
      <c r="G237" s="2"/>
      <c r="H237" s="2"/>
      <c r="I237" s="2"/>
      <c r="J237" s="2"/>
      <c r="K237" s="5"/>
      <c r="L237" s="2"/>
      <c r="M237" s="2"/>
      <c r="N237" s="2"/>
      <c r="O237" s="2"/>
      <c r="P237" s="2"/>
      <c r="Q237" s="2"/>
      <c r="R237" s="7"/>
      <c r="S237" s="224"/>
      <c r="T237" s="224"/>
      <c r="U237" s="224"/>
      <c r="V237" s="224"/>
    </row>
    <row r="238">
      <c r="A238" s="33"/>
      <c r="B238" s="2"/>
      <c r="C238" s="2"/>
      <c r="D238" s="2"/>
      <c r="E238" s="2"/>
      <c r="F238" s="4"/>
      <c r="G238" s="2"/>
      <c r="H238" s="2"/>
      <c r="I238" s="2"/>
      <c r="J238" s="2"/>
      <c r="K238" s="5"/>
      <c r="L238" s="2"/>
      <c r="M238" s="2"/>
      <c r="N238" s="2"/>
      <c r="O238" s="2"/>
      <c r="P238" s="2"/>
      <c r="Q238" s="2"/>
      <c r="R238" s="7"/>
      <c r="S238" s="224"/>
      <c r="T238" s="224"/>
      <c r="U238" s="224"/>
      <c r="V238" s="224"/>
    </row>
    <row r="239">
      <c r="A239" s="33"/>
      <c r="B239" s="2"/>
      <c r="C239" s="2"/>
      <c r="D239" s="2"/>
      <c r="E239" s="2"/>
      <c r="F239" s="4"/>
      <c r="G239" s="2"/>
      <c r="H239" s="2"/>
      <c r="I239" s="2"/>
      <c r="J239" s="2"/>
      <c r="K239" s="5"/>
      <c r="L239" s="2"/>
      <c r="M239" s="2"/>
      <c r="N239" s="2"/>
      <c r="O239" s="2"/>
      <c r="P239" s="2"/>
      <c r="Q239" s="2"/>
      <c r="R239" s="7"/>
      <c r="S239" s="224"/>
      <c r="T239" s="224"/>
      <c r="U239" s="224"/>
      <c r="V239" s="224"/>
    </row>
    <row r="240">
      <c r="A240" s="33"/>
      <c r="B240" s="2"/>
      <c r="C240" s="2"/>
      <c r="D240" s="2"/>
      <c r="E240" s="2"/>
      <c r="F240" s="4"/>
      <c r="G240" s="2"/>
      <c r="H240" s="2"/>
      <c r="I240" s="2"/>
      <c r="J240" s="2"/>
      <c r="K240" s="5"/>
      <c r="L240" s="2"/>
      <c r="M240" s="2"/>
      <c r="N240" s="2"/>
      <c r="O240" s="2"/>
      <c r="P240" s="2"/>
      <c r="Q240" s="2"/>
      <c r="R240" s="7"/>
      <c r="S240" s="224"/>
      <c r="T240" s="224"/>
      <c r="U240" s="224"/>
      <c r="V240" s="224"/>
    </row>
    <row r="241">
      <c r="A241" s="33"/>
      <c r="B241" s="2"/>
      <c r="C241" s="2"/>
      <c r="D241" s="2"/>
      <c r="E241" s="2"/>
      <c r="F241" s="4"/>
      <c r="G241" s="2"/>
      <c r="H241" s="2"/>
      <c r="I241" s="2"/>
      <c r="J241" s="2"/>
      <c r="K241" s="5"/>
      <c r="L241" s="2"/>
      <c r="M241" s="2"/>
      <c r="N241" s="2"/>
      <c r="O241" s="2"/>
      <c r="P241" s="2"/>
      <c r="Q241" s="2"/>
      <c r="R241" s="7"/>
      <c r="S241" s="224"/>
      <c r="T241" s="224"/>
      <c r="U241" s="224"/>
      <c r="V241" s="224"/>
    </row>
    <row r="242">
      <c r="A242" s="33"/>
      <c r="B242" s="2"/>
      <c r="C242" s="2"/>
      <c r="D242" s="2"/>
      <c r="E242" s="2"/>
      <c r="F242" s="4"/>
      <c r="G242" s="2"/>
      <c r="H242" s="2"/>
      <c r="I242" s="2"/>
      <c r="J242" s="2"/>
      <c r="K242" s="5"/>
      <c r="L242" s="2"/>
      <c r="M242" s="2"/>
      <c r="N242" s="2"/>
      <c r="O242" s="2"/>
      <c r="P242" s="2"/>
      <c r="Q242" s="2"/>
      <c r="R242" s="7"/>
      <c r="S242" s="224"/>
      <c r="T242" s="224"/>
      <c r="U242" s="224"/>
      <c r="V242" s="224"/>
    </row>
    <row r="243">
      <c r="A243" s="33"/>
      <c r="B243" s="2"/>
      <c r="C243" s="2"/>
      <c r="D243" s="2"/>
      <c r="E243" s="2"/>
      <c r="F243" s="4"/>
      <c r="G243" s="2"/>
      <c r="H243" s="2"/>
      <c r="I243" s="2"/>
      <c r="J243" s="2"/>
      <c r="K243" s="5"/>
      <c r="L243" s="2"/>
      <c r="M243" s="2"/>
      <c r="N243" s="2"/>
      <c r="O243" s="2"/>
      <c r="P243" s="2"/>
      <c r="Q243" s="2"/>
      <c r="R243" s="7"/>
      <c r="S243" s="224"/>
      <c r="T243" s="224"/>
      <c r="U243" s="224"/>
      <c r="V243" s="224"/>
    </row>
    <row r="244">
      <c r="A244" s="33"/>
      <c r="B244" s="2"/>
      <c r="C244" s="2"/>
      <c r="D244" s="2"/>
      <c r="E244" s="2"/>
      <c r="F244" s="4"/>
      <c r="G244" s="2"/>
      <c r="H244" s="2"/>
      <c r="I244" s="2"/>
      <c r="J244" s="2"/>
      <c r="K244" s="5"/>
      <c r="L244" s="2"/>
      <c r="M244" s="2"/>
      <c r="N244" s="2"/>
      <c r="O244" s="2"/>
      <c r="P244" s="2"/>
      <c r="Q244" s="2"/>
      <c r="R244" s="7"/>
      <c r="S244" s="224"/>
      <c r="T244" s="224"/>
      <c r="U244" s="224"/>
      <c r="V244" s="224"/>
    </row>
    <row r="245">
      <c r="A245" s="33"/>
      <c r="B245" s="2"/>
      <c r="C245" s="2"/>
      <c r="D245" s="2"/>
      <c r="E245" s="2"/>
      <c r="F245" s="4"/>
      <c r="G245" s="2"/>
      <c r="H245" s="2"/>
      <c r="I245" s="2"/>
      <c r="J245" s="2"/>
      <c r="K245" s="5"/>
      <c r="L245" s="2"/>
      <c r="M245" s="2"/>
      <c r="N245" s="2"/>
      <c r="O245" s="2"/>
      <c r="P245" s="2"/>
      <c r="Q245" s="2"/>
      <c r="R245" s="7"/>
      <c r="S245" s="224"/>
      <c r="T245" s="224"/>
      <c r="U245" s="224"/>
      <c r="V245" s="224"/>
    </row>
    <row r="246">
      <c r="A246" s="33"/>
      <c r="B246" s="2"/>
      <c r="C246" s="2"/>
      <c r="D246" s="2"/>
      <c r="E246" s="2"/>
      <c r="F246" s="4"/>
      <c r="G246" s="2"/>
      <c r="H246" s="2"/>
      <c r="I246" s="2"/>
      <c r="J246" s="2"/>
      <c r="K246" s="5"/>
      <c r="L246" s="2"/>
      <c r="M246" s="2"/>
      <c r="N246" s="2"/>
      <c r="O246" s="2"/>
      <c r="P246" s="2"/>
      <c r="Q246" s="2"/>
      <c r="R246" s="7"/>
      <c r="S246" s="224"/>
      <c r="T246" s="224"/>
      <c r="U246" s="224"/>
      <c r="V246" s="224"/>
    </row>
    <row r="247">
      <c r="A247" s="33"/>
      <c r="B247" s="2"/>
      <c r="C247" s="2"/>
      <c r="D247" s="2"/>
      <c r="E247" s="2"/>
      <c r="F247" s="4"/>
      <c r="G247" s="2"/>
      <c r="H247" s="2"/>
      <c r="I247" s="2"/>
      <c r="J247" s="2"/>
      <c r="K247" s="5"/>
      <c r="L247" s="2"/>
      <c r="M247" s="2"/>
      <c r="N247" s="2"/>
      <c r="O247" s="2"/>
      <c r="P247" s="2"/>
      <c r="Q247" s="2"/>
      <c r="R247" s="7"/>
      <c r="S247" s="224"/>
      <c r="T247" s="224"/>
      <c r="U247" s="224"/>
      <c r="V247" s="224"/>
    </row>
    <row r="248">
      <c r="A248" s="33"/>
      <c r="B248" s="2"/>
      <c r="C248" s="2"/>
      <c r="D248" s="2"/>
      <c r="E248" s="2"/>
      <c r="F248" s="4"/>
      <c r="G248" s="2"/>
      <c r="H248" s="2"/>
      <c r="I248" s="2"/>
      <c r="J248" s="2"/>
      <c r="K248" s="5"/>
      <c r="L248" s="2"/>
      <c r="M248" s="2"/>
      <c r="N248" s="2"/>
      <c r="O248" s="2"/>
      <c r="P248" s="2"/>
      <c r="Q248" s="2"/>
      <c r="R248" s="7"/>
      <c r="S248" s="224"/>
      <c r="T248" s="224"/>
      <c r="U248" s="224"/>
      <c r="V248" s="224"/>
    </row>
    <row r="249">
      <c r="A249" s="33"/>
      <c r="B249" s="2"/>
      <c r="C249" s="2"/>
      <c r="D249" s="2"/>
      <c r="E249" s="2"/>
      <c r="F249" s="4"/>
      <c r="G249" s="2"/>
      <c r="H249" s="2"/>
      <c r="I249" s="2"/>
      <c r="J249" s="2"/>
      <c r="K249" s="5"/>
      <c r="L249" s="2"/>
      <c r="M249" s="2"/>
      <c r="N249" s="2"/>
      <c r="O249" s="2"/>
      <c r="P249" s="2"/>
      <c r="Q249" s="2"/>
      <c r="R249" s="7"/>
      <c r="S249" s="224"/>
      <c r="T249" s="224"/>
      <c r="U249" s="224"/>
      <c r="V249" s="224"/>
    </row>
    <row r="250">
      <c r="A250" s="33"/>
      <c r="B250" s="2"/>
      <c r="C250" s="2"/>
      <c r="D250" s="2"/>
      <c r="E250" s="2"/>
      <c r="F250" s="4"/>
      <c r="G250" s="2"/>
      <c r="H250" s="2"/>
      <c r="I250" s="2"/>
      <c r="J250" s="2"/>
      <c r="K250" s="5"/>
      <c r="L250" s="2"/>
      <c r="M250" s="2"/>
      <c r="N250" s="2"/>
      <c r="O250" s="2"/>
      <c r="P250" s="2"/>
      <c r="Q250" s="2"/>
      <c r="R250" s="7"/>
      <c r="S250" s="224"/>
      <c r="T250" s="224"/>
      <c r="U250" s="224"/>
      <c r="V250" s="224"/>
    </row>
    <row r="251">
      <c r="A251" s="33"/>
      <c r="B251" s="2"/>
      <c r="C251" s="2"/>
      <c r="D251" s="2"/>
      <c r="E251" s="2"/>
      <c r="F251" s="4"/>
      <c r="G251" s="2"/>
      <c r="H251" s="2"/>
      <c r="I251" s="2"/>
      <c r="J251" s="2"/>
      <c r="K251" s="5"/>
      <c r="L251" s="2"/>
      <c r="M251" s="2"/>
      <c r="N251" s="2"/>
      <c r="O251" s="2"/>
      <c r="P251" s="2"/>
      <c r="Q251" s="2"/>
      <c r="R251" s="7"/>
      <c r="S251" s="224"/>
      <c r="T251" s="224"/>
      <c r="U251" s="224"/>
      <c r="V251" s="224"/>
    </row>
    <row r="252">
      <c r="A252" s="33"/>
      <c r="B252" s="2"/>
      <c r="C252" s="2"/>
      <c r="D252" s="2"/>
      <c r="E252" s="2"/>
      <c r="F252" s="4"/>
      <c r="G252" s="2"/>
      <c r="H252" s="2"/>
      <c r="I252" s="2"/>
      <c r="J252" s="2"/>
      <c r="K252" s="5"/>
      <c r="L252" s="2"/>
      <c r="M252" s="2"/>
      <c r="N252" s="2"/>
      <c r="O252" s="2"/>
      <c r="P252" s="2"/>
      <c r="Q252" s="2"/>
      <c r="R252" s="7"/>
      <c r="S252" s="224"/>
      <c r="T252" s="224"/>
      <c r="U252" s="224"/>
      <c r="V252" s="224"/>
    </row>
    <row r="253">
      <c r="A253" s="33"/>
      <c r="B253" s="2"/>
      <c r="C253" s="2"/>
      <c r="D253" s="2"/>
      <c r="E253" s="2"/>
      <c r="F253" s="4"/>
      <c r="G253" s="2"/>
      <c r="H253" s="2"/>
      <c r="I253" s="2"/>
      <c r="J253" s="2"/>
      <c r="K253" s="5"/>
      <c r="L253" s="2"/>
      <c r="M253" s="2"/>
      <c r="N253" s="2"/>
      <c r="O253" s="2"/>
      <c r="P253" s="2"/>
      <c r="Q253" s="2"/>
      <c r="R253" s="7"/>
      <c r="S253" s="224"/>
      <c r="T253" s="224"/>
      <c r="U253" s="224"/>
      <c r="V253" s="224"/>
    </row>
    <row r="254">
      <c r="A254" s="33"/>
      <c r="B254" s="2"/>
      <c r="C254" s="2"/>
      <c r="D254" s="2"/>
      <c r="E254" s="2"/>
      <c r="F254" s="4"/>
      <c r="G254" s="2"/>
      <c r="H254" s="2"/>
      <c r="I254" s="2"/>
      <c r="J254" s="2"/>
      <c r="K254" s="5"/>
      <c r="L254" s="2"/>
      <c r="M254" s="2"/>
      <c r="N254" s="2"/>
      <c r="O254" s="2"/>
      <c r="P254" s="2"/>
      <c r="Q254" s="2"/>
      <c r="R254" s="7"/>
      <c r="S254" s="224"/>
      <c r="T254" s="224"/>
      <c r="U254" s="224"/>
      <c r="V254" s="224"/>
    </row>
    <row r="255">
      <c r="A255" s="33"/>
      <c r="B255" s="2"/>
      <c r="C255" s="2"/>
      <c r="D255" s="2"/>
      <c r="E255" s="2"/>
      <c r="F255" s="4"/>
      <c r="G255" s="2"/>
      <c r="H255" s="2"/>
      <c r="I255" s="2"/>
      <c r="J255" s="2"/>
      <c r="K255" s="5"/>
      <c r="L255" s="2"/>
      <c r="M255" s="2"/>
      <c r="N255" s="2"/>
      <c r="O255" s="2"/>
      <c r="P255" s="2"/>
      <c r="Q255" s="2"/>
      <c r="R255" s="7"/>
      <c r="S255" s="224"/>
      <c r="T255" s="224"/>
      <c r="U255" s="224"/>
      <c r="V255" s="224"/>
    </row>
    <row r="256">
      <c r="A256" s="33"/>
      <c r="B256" s="2"/>
      <c r="C256" s="2"/>
      <c r="D256" s="2"/>
      <c r="E256" s="2"/>
      <c r="F256" s="4"/>
      <c r="G256" s="2"/>
      <c r="H256" s="2"/>
      <c r="I256" s="2"/>
      <c r="J256" s="2"/>
      <c r="K256" s="5"/>
      <c r="L256" s="2"/>
      <c r="M256" s="2"/>
      <c r="N256" s="2"/>
      <c r="O256" s="2"/>
      <c r="P256" s="2"/>
      <c r="Q256" s="2"/>
      <c r="R256" s="7"/>
      <c r="S256" s="224"/>
      <c r="T256" s="224"/>
      <c r="U256" s="224"/>
      <c r="V256" s="224"/>
    </row>
    <row r="257">
      <c r="A257" s="33"/>
      <c r="B257" s="2"/>
      <c r="C257" s="2"/>
      <c r="D257" s="2"/>
      <c r="E257" s="2"/>
      <c r="F257" s="4"/>
      <c r="G257" s="2"/>
      <c r="H257" s="2"/>
      <c r="I257" s="2"/>
      <c r="J257" s="2"/>
      <c r="K257" s="5"/>
      <c r="L257" s="2"/>
      <c r="M257" s="2"/>
      <c r="N257" s="2"/>
      <c r="O257" s="2"/>
      <c r="P257" s="2"/>
      <c r="Q257" s="2"/>
      <c r="R257" s="7"/>
      <c r="S257" s="224"/>
      <c r="T257" s="224"/>
      <c r="U257" s="224"/>
      <c r="V257" s="224"/>
    </row>
    <row r="258">
      <c r="A258" s="33"/>
      <c r="B258" s="2"/>
      <c r="C258" s="2"/>
      <c r="D258" s="2"/>
      <c r="E258" s="2"/>
      <c r="F258" s="4"/>
      <c r="G258" s="2"/>
      <c r="H258" s="2"/>
      <c r="I258" s="2"/>
      <c r="J258" s="2"/>
      <c r="K258" s="5"/>
      <c r="L258" s="2"/>
      <c r="M258" s="2"/>
      <c r="N258" s="2"/>
      <c r="O258" s="2"/>
      <c r="P258" s="2"/>
      <c r="Q258" s="2"/>
      <c r="R258" s="7"/>
      <c r="S258" s="224"/>
      <c r="T258" s="224"/>
      <c r="U258" s="224"/>
      <c r="V258" s="224"/>
    </row>
    <row r="259">
      <c r="A259" s="33"/>
      <c r="B259" s="2"/>
      <c r="C259" s="2"/>
      <c r="D259" s="2"/>
      <c r="E259" s="2"/>
      <c r="F259" s="4"/>
      <c r="G259" s="2"/>
      <c r="H259" s="2"/>
      <c r="I259" s="2"/>
      <c r="J259" s="2"/>
      <c r="K259" s="5"/>
      <c r="L259" s="2"/>
      <c r="M259" s="2"/>
      <c r="N259" s="2"/>
      <c r="O259" s="2"/>
      <c r="P259" s="2"/>
      <c r="Q259" s="2"/>
      <c r="R259" s="7"/>
      <c r="S259" s="224"/>
      <c r="T259" s="224"/>
      <c r="U259" s="224"/>
      <c r="V259" s="224"/>
    </row>
    <row r="260">
      <c r="A260" s="33"/>
      <c r="B260" s="2"/>
      <c r="C260" s="2"/>
      <c r="D260" s="2"/>
      <c r="E260" s="2"/>
      <c r="F260" s="4"/>
      <c r="G260" s="2"/>
      <c r="H260" s="2"/>
      <c r="I260" s="2"/>
      <c r="J260" s="2"/>
      <c r="K260" s="5"/>
      <c r="L260" s="2"/>
      <c r="M260" s="2"/>
      <c r="N260" s="2"/>
      <c r="O260" s="2"/>
      <c r="P260" s="2"/>
      <c r="Q260" s="2"/>
      <c r="R260" s="7"/>
      <c r="S260" s="224"/>
      <c r="T260" s="224"/>
      <c r="U260" s="224"/>
      <c r="V260" s="224"/>
    </row>
    <row r="261">
      <c r="A261" s="33"/>
      <c r="B261" s="2"/>
      <c r="C261" s="2"/>
      <c r="D261" s="2"/>
      <c r="E261" s="2"/>
      <c r="F261" s="4"/>
      <c r="G261" s="2"/>
      <c r="H261" s="2"/>
      <c r="I261" s="2"/>
      <c r="J261" s="2"/>
      <c r="K261" s="5"/>
      <c r="L261" s="2"/>
      <c r="M261" s="2"/>
      <c r="N261" s="2"/>
      <c r="O261" s="2"/>
      <c r="P261" s="2"/>
      <c r="Q261" s="2"/>
      <c r="R261" s="7"/>
      <c r="S261" s="224"/>
      <c r="T261" s="224"/>
      <c r="U261" s="224"/>
      <c r="V261" s="224"/>
    </row>
    <row r="262">
      <c r="A262" s="33"/>
      <c r="B262" s="2"/>
      <c r="C262" s="2"/>
      <c r="D262" s="2"/>
      <c r="E262" s="2"/>
      <c r="F262" s="4"/>
      <c r="G262" s="2"/>
      <c r="H262" s="2"/>
      <c r="I262" s="2"/>
      <c r="J262" s="2"/>
      <c r="K262" s="5"/>
      <c r="L262" s="2"/>
      <c r="M262" s="2"/>
      <c r="N262" s="2"/>
      <c r="O262" s="2"/>
      <c r="P262" s="2"/>
      <c r="Q262" s="2"/>
      <c r="R262" s="7"/>
      <c r="S262" s="224"/>
      <c r="T262" s="224"/>
      <c r="U262" s="224"/>
      <c r="V262" s="224"/>
    </row>
    <row r="263">
      <c r="A263" s="33"/>
      <c r="B263" s="2"/>
      <c r="C263" s="2"/>
      <c r="D263" s="2"/>
      <c r="E263" s="2"/>
      <c r="F263" s="4"/>
      <c r="G263" s="2"/>
      <c r="H263" s="2"/>
      <c r="I263" s="2"/>
      <c r="J263" s="2"/>
      <c r="K263" s="5"/>
      <c r="L263" s="2"/>
      <c r="M263" s="2"/>
      <c r="N263" s="2"/>
      <c r="O263" s="2"/>
      <c r="P263" s="2"/>
      <c r="Q263" s="2"/>
      <c r="R263" s="7"/>
      <c r="S263" s="224"/>
      <c r="T263" s="224"/>
      <c r="U263" s="224"/>
      <c r="V263" s="224"/>
    </row>
    <row r="264">
      <c r="A264" s="33"/>
      <c r="B264" s="2"/>
      <c r="C264" s="2"/>
      <c r="D264" s="2"/>
      <c r="E264" s="2"/>
      <c r="F264" s="4"/>
      <c r="G264" s="2"/>
      <c r="H264" s="2"/>
      <c r="I264" s="2"/>
      <c r="J264" s="2"/>
      <c r="K264" s="5"/>
      <c r="L264" s="2"/>
      <c r="M264" s="2"/>
      <c r="N264" s="2"/>
      <c r="O264" s="2"/>
      <c r="P264" s="2"/>
      <c r="Q264" s="2"/>
      <c r="R264" s="7"/>
      <c r="S264" s="224"/>
      <c r="T264" s="224"/>
      <c r="U264" s="224"/>
      <c r="V264" s="224"/>
    </row>
    <row r="265">
      <c r="A265" s="33"/>
      <c r="B265" s="2"/>
      <c r="C265" s="2"/>
      <c r="D265" s="2"/>
      <c r="E265" s="2"/>
      <c r="F265" s="4"/>
      <c r="G265" s="2"/>
      <c r="H265" s="2"/>
      <c r="I265" s="2"/>
      <c r="J265" s="2"/>
      <c r="K265" s="5"/>
      <c r="L265" s="2"/>
      <c r="M265" s="2"/>
      <c r="N265" s="2"/>
      <c r="O265" s="2"/>
      <c r="P265" s="2"/>
      <c r="Q265" s="2"/>
      <c r="R265" s="7"/>
      <c r="S265" s="224"/>
      <c r="T265" s="224"/>
      <c r="U265" s="224"/>
      <c r="V265" s="224"/>
    </row>
    <row r="266">
      <c r="A266" s="33"/>
      <c r="B266" s="2"/>
      <c r="C266" s="2"/>
      <c r="D266" s="2"/>
      <c r="E266" s="2"/>
      <c r="F266" s="4"/>
      <c r="G266" s="2"/>
      <c r="H266" s="2"/>
      <c r="I266" s="2"/>
      <c r="J266" s="2"/>
      <c r="K266" s="5"/>
      <c r="L266" s="2"/>
      <c r="M266" s="2"/>
      <c r="N266" s="2"/>
      <c r="O266" s="2"/>
      <c r="P266" s="2"/>
      <c r="Q266" s="2"/>
      <c r="R266" s="7"/>
      <c r="S266" s="224"/>
      <c r="T266" s="224"/>
      <c r="U266" s="224"/>
      <c r="V266" s="224"/>
    </row>
    <row r="267">
      <c r="A267" s="33"/>
      <c r="B267" s="2"/>
      <c r="C267" s="2"/>
      <c r="D267" s="2"/>
      <c r="E267" s="2"/>
      <c r="F267" s="4"/>
      <c r="G267" s="2"/>
      <c r="H267" s="2"/>
      <c r="I267" s="2"/>
      <c r="J267" s="2"/>
      <c r="K267" s="5"/>
      <c r="L267" s="2"/>
      <c r="M267" s="2"/>
      <c r="N267" s="2"/>
      <c r="O267" s="2"/>
      <c r="P267" s="2"/>
      <c r="Q267" s="2"/>
      <c r="R267" s="7"/>
      <c r="S267" s="224"/>
      <c r="T267" s="224"/>
      <c r="U267" s="224"/>
      <c r="V267" s="224"/>
    </row>
    <row r="268">
      <c r="A268" s="33"/>
      <c r="B268" s="2"/>
      <c r="C268" s="2"/>
      <c r="D268" s="2"/>
      <c r="E268" s="2"/>
      <c r="F268" s="4"/>
      <c r="G268" s="2"/>
      <c r="H268" s="2"/>
      <c r="I268" s="2"/>
      <c r="J268" s="2"/>
      <c r="K268" s="5"/>
      <c r="L268" s="2"/>
      <c r="M268" s="2"/>
      <c r="N268" s="2"/>
      <c r="O268" s="2"/>
      <c r="P268" s="2"/>
      <c r="Q268" s="2"/>
      <c r="R268" s="7"/>
      <c r="S268" s="224"/>
      <c r="T268" s="224"/>
      <c r="U268" s="224"/>
      <c r="V268" s="224"/>
    </row>
    <row r="269">
      <c r="A269" s="33"/>
      <c r="B269" s="2"/>
      <c r="C269" s="2"/>
      <c r="D269" s="2"/>
      <c r="E269" s="2"/>
      <c r="F269" s="4"/>
      <c r="G269" s="2"/>
      <c r="H269" s="2"/>
      <c r="I269" s="2"/>
      <c r="J269" s="2"/>
      <c r="K269" s="5"/>
      <c r="L269" s="2"/>
      <c r="M269" s="2"/>
      <c r="N269" s="2"/>
      <c r="O269" s="2"/>
      <c r="P269" s="2"/>
      <c r="Q269" s="2"/>
      <c r="R269" s="7"/>
      <c r="S269" s="224"/>
      <c r="T269" s="224"/>
      <c r="U269" s="224"/>
      <c r="V269" s="224"/>
    </row>
    <row r="270">
      <c r="A270" s="33"/>
      <c r="B270" s="2"/>
      <c r="C270" s="2"/>
      <c r="D270" s="2"/>
      <c r="E270" s="2"/>
      <c r="F270" s="4"/>
      <c r="G270" s="2"/>
      <c r="H270" s="2"/>
      <c r="I270" s="2"/>
      <c r="J270" s="2"/>
      <c r="K270" s="5"/>
      <c r="L270" s="2"/>
      <c r="M270" s="2"/>
      <c r="N270" s="2"/>
      <c r="O270" s="2"/>
      <c r="P270" s="2"/>
      <c r="Q270" s="2"/>
      <c r="R270" s="7"/>
      <c r="S270" s="224"/>
      <c r="T270" s="224"/>
      <c r="U270" s="224"/>
      <c r="V270" s="224"/>
    </row>
    <row r="271">
      <c r="A271" s="33"/>
      <c r="B271" s="2"/>
      <c r="C271" s="2"/>
      <c r="D271" s="2"/>
      <c r="E271" s="2"/>
      <c r="F271" s="4"/>
      <c r="G271" s="2"/>
      <c r="H271" s="2"/>
      <c r="I271" s="2"/>
      <c r="J271" s="2"/>
      <c r="K271" s="5"/>
      <c r="L271" s="2"/>
      <c r="M271" s="2"/>
      <c r="N271" s="2"/>
      <c r="O271" s="2"/>
      <c r="P271" s="2"/>
      <c r="Q271" s="2"/>
      <c r="R271" s="7"/>
      <c r="S271" s="224"/>
      <c r="T271" s="224"/>
      <c r="U271" s="224"/>
      <c r="V271" s="224"/>
    </row>
    <row r="272">
      <c r="A272" s="33"/>
      <c r="B272" s="2"/>
      <c r="C272" s="2"/>
      <c r="D272" s="2"/>
      <c r="E272" s="2"/>
      <c r="F272" s="4"/>
      <c r="G272" s="2"/>
      <c r="H272" s="2"/>
      <c r="I272" s="2"/>
      <c r="J272" s="2"/>
      <c r="K272" s="5"/>
      <c r="L272" s="2"/>
      <c r="M272" s="2"/>
      <c r="N272" s="2"/>
      <c r="O272" s="2"/>
      <c r="P272" s="2"/>
      <c r="Q272" s="2"/>
      <c r="R272" s="7"/>
      <c r="S272" s="224"/>
      <c r="T272" s="224"/>
      <c r="U272" s="224"/>
      <c r="V272" s="224"/>
    </row>
    <row r="273">
      <c r="A273" s="33"/>
      <c r="B273" s="2"/>
      <c r="C273" s="2"/>
      <c r="D273" s="2"/>
      <c r="E273" s="2"/>
      <c r="F273" s="4"/>
      <c r="G273" s="2"/>
      <c r="H273" s="2"/>
      <c r="I273" s="2"/>
      <c r="J273" s="2"/>
      <c r="K273" s="5"/>
      <c r="L273" s="2"/>
      <c r="M273" s="2"/>
      <c r="N273" s="2"/>
      <c r="O273" s="2"/>
      <c r="P273" s="2"/>
      <c r="Q273" s="2"/>
      <c r="R273" s="7"/>
      <c r="S273" s="224"/>
      <c r="T273" s="224"/>
      <c r="U273" s="224"/>
      <c r="V273" s="224"/>
    </row>
    <row r="274">
      <c r="A274" s="33"/>
      <c r="B274" s="2"/>
      <c r="C274" s="2"/>
      <c r="D274" s="2"/>
      <c r="E274" s="2"/>
      <c r="F274" s="4"/>
      <c r="G274" s="2"/>
      <c r="H274" s="2"/>
      <c r="I274" s="2"/>
      <c r="J274" s="2"/>
      <c r="K274" s="5"/>
      <c r="L274" s="2"/>
      <c r="M274" s="2"/>
      <c r="N274" s="2"/>
      <c r="O274" s="2"/>
      <c r="P274" s="2"/>
      <c r="Q274" s="2"/>
      <c r="R274" s="7"/>
      <c r="S274" s="224"/>
      <c r="T274" s="224"/>
      <c r="U274" s="224"/>
      <c r="V274" s="224"/>
    </row>
    <row r="275">
      <c r="A275" s="33"/>
      <c r="B275" s="2"/>
      <c r="C275" s="2"/>
      <c r="D275" s="2"/>
      <c r="E275" s="2"/>
      <c r="F275" s="4"/>
      <c r="G275" s="2"/>
      <c r="H275" s="2"/>
      <c r="I275" s="2"/>
      <c r="J275" s="2"/>
      <c r="K275" s="5"/>
      <c r="L275" s="2"/>
      <c r="M275" s="2"/>
      <c r="N275" s="2"/>
      <c r="O275" s="2"/>
      <c r="P275" s="2"/>
      <c r="Q275" s="2"/>
      <c r="R275" s="7"/>
      <c r="S275" s="224"/>
      <c r="T275" s="224"/>
      <c r="U275" s="224"/>
      <c r="V275" s="224"/>
    </row>
    <row r="276">
      <c r="A276" s="33"/>
      <c r="B276" s="2"/>
      <c r="C276" s="2"/>
      <c r="D276" s="2"/>
      <c r="E276" s="2"/>
      <c r="F276" s="4"/>
      <c r="G276" s="2"/>
      <c r="H276" s="2"/>
      <c r="I276" s="2"/>
      <c r="J276" s="2"/>
      <c r="K276" s="5"/>
      <c r="L276" s="2"/>
      <c r="M276" s="2"/>
      <c r="N276" s="2"/>
      <c r="O276" s="2"/>
      <c r="P276" s="2"/>
      <c r="Q276" s="2"/>
      <c r="R276" s="7"/>
      <c r="S276" s="224"/>
      <c r="T276" s="224"/>
      <c r="U276" s="224"/>
      <c r="V276" s="224"/>
    </row>
    <row r="277">
      <c r="A277" s="33"/>
      <c r="B277" s="2"/>
      <c r="C277" s="2"/>
      <c r="D277" s="2"/>
      <c r="E277" s="2"/>
      <c r="F277" s="4"/>
      <c r="G277" s="2"/>
      <c r="H277" s="2"/>
      <c r="I277" s="2"/>
      <c r="J277" s="2"/>
      <c r="K277" s="5"/>
      <c r="L277" s="2"/>
      <c r="M277" s="2"/>
      <c r="N277" s="2"/>
      <c r="O277" s="2"/>
      <c r="P277" s="2"/>
      <c r="Q277" s="2"/>
      <c r="R277" s="7"/>
      <c r="S277" s="224"/>
      <c r="T277" s="224"/>
      <c r="U277" s="224"/>
      <c r="V277" s="224"/>
    </row>
    <row r="278">
      <c r="A278" s="33"/>
      <c r="B278" s="2"/>
      <c r="C278" s="2"/>
      <c r="D278" s="2"/>
      <c r="E278" s="2"/>
      <c r="F278" s="4"/>
      <c r="G278" s="2"/>
      <c r="H278" s="2"/>
      <c r="I278" s="2"/>
      <c r="J278" s="2"/>
      <c r="K278" s="5"/>
      <c r="L278" s="2"/>
      <c r="M278" s="2"/>
      <c r="N278" s="2"/>
      <c r="O278" s="2"/>
      <c r="P278" s="2"/>
      <c r="Q278" s="2"/>
      <c r="R278" s="7"/>
      <c r="S278" s="224"/>
      <c r="T278" s="224"/>
      <c r="U278" s="224"/>
      <c r="V278" s="224"/>
    </row>
    <row r="279">
      <c r="A279" s="33"/>
      <c r="B279" s="2"/>
      <c r="C279" s="2"/>
      <c r="D279" s="2"/>
      <c r="E279" s="2"/>
      <c r="F279" s="4"/>
      <c r="G279" s="2"/>
      <c r="H279" s="2"/>
      <c r="I279" s="2"/>
      <c r="J279" s="2"/>
      <c r="K279" s="5"/>
      <c r="L279" s="2"/>
      <c r="M279" s="2"/>
      <c r="N279" s="2"/>
      <c r="O279" s="2"/>
      <c r="P279" s="2"/>
      <c r="Q279" s="2"/>
      <c r="R279" s="7"/>
      <c r="S279" s="224"/>
      <c r="T279" s="224"/>
      <c r="U279" s="224"/>
      <c r="V279" s="224"/>
    </row>
    <row r="280">
      <c r="A280" s="33"/>
      <c r="B280" s="2"/>
      <c r="C280" s="2"/>
      <c r="D280" s="2"/>
      <c r="E280" s="2"/>
      <c r="F280" s="4"/>
      <c r="G280" s="2"/>
      <c r="H280" s="2"/>
      <c r="I280" s="2"/>
      <c r="J280" s="2"/>
      <c r="K280" s="5"/>
      <c r="L280" s="2"/>
      <c r="M280" s="2"/>
      <c r="N280" s="2"/>
      <c r="O280" s="2"/>
      <c r="P280" s="2"/>
      <c r="Q280" s="2"/>
      <c r="R280" s="7"/>
      <c r="S280" s="224"/>
      <c r="T280" s="224"/>
      <c r="U280" s="224"/>
      <c r="V280" s="224"/>
    </row>
    <row r="281">
      <c r="A281" s="33"/>
      <c r="B281" s="2"/>
      <c r="C281" s="2"/>
      <c r="D281" s="2"/>
      <c r="E281" s="2"/>
      <c r="F281" s="4"/>
      <c r="G281" s="2"/>
      <c r="H281" s="2"/>
      <c r="I281" s="2"/>
      <c r="J281" s="2"/>
      <c r="K281" s="5"/>
      <c r="L281" s="2"/>
      <c r="M281" s="2"/>
      <c r="N281" s="2"/>
      <c r="O281" s="2"/>
      <c r="P281" s="2"/>
      <c r="Q281" s="2"/>
      <c r="R281" s="7"/>
      <c r="S281" s="224"/>
      <c r="T281" s="224"/>
      <c r="U281" s="224"/>
      <c r="V281" s="224"/>
    </row>
    <row r="282">
      <c r="A282" s="33"/>
      <c r="B282" s="2"/>
      <c r="C282" s="2"/>
      <c r="D282" s="2"/>
      <c r="E282" s="2"/>
      <c r="F282" s="4"/>
      <c r="G282" s="2"/>
      <c r="H282" s="2"/>
      <c r="I282" s="2"/>
      <c r="J282" s="2"/>
      <c r="K282" s="5"/>
      <c r="L282" s="2"/>
      <c r="M282" s="2"/>
      <c r="N282" s="2"/>
      <c r="O282" s="2"/>
      <c r="P282" s="2"/>
      <c r="Q282" s="2"/>
      <c r="R282" s="7"/>
      <c r="S282" s="224"/>
      <c r="T282" s="224"/>
      <c r="U282" s="224"/>
      <c r="V282" s="224"/>
    </row>
    <row r="283">
      <c r="A283" s="33"/>
      <c r="B283" s="2"/>
      <c r="C283" s="2"/>
      <c r="D283" s="2"/>
      <c r="E283" s="2"/>
      <c r="F283" s="4"/>
      <c r="G283" s="2"/>
      <c r="H283" s="2"/>
      <c r="I283" s="2"/>
      <c r="J283" s="2"/>
      <c r="K283" s="5"/>
      <c r="L283" s="2"/>
      <c r="M283" s="2"/>
      <c r="N283" s="2"/>
      <c r="O283" s="2"/>
      <c r="P283" s="2"/>
      <c r="Q283" s="2"/>
      <c r="R283" s="7"/>
      <c r="S283" s="224"/>
      <c r="T283" s="224"/>
      <c r="U283" s="224"/>
      <c r="V283" s="224"/>
    </row>
    <row r="284">
      <c r="A284" s="33"/>
      <c r="B284" s="2"/>
      <c r="C284" s="2"/>
      <c r="D284" s="2"/>
      <c r="E284" s="2"/>
      <c r="F284" s="4"/>
      <c r="G284" s="2"/>
      <c r="H284" s="2"/>
      <c r="I284" s="2"/>
      <c r="J284" s="2"/>
      <c r="K284" s="5"/>
      <c r="L284" s="2"/>
      <c r="M284" s="2"/>
      <c r="N284" s="2"/>
      <c r="O284" s="2"/>
      <c r="P284" s="2"/>
      <c r="Q284" s="2"/>
      <c r="R284" s="7"/>
      <c r="S284" s="224"/>
      <c r="T284" s="224"/>
      <c r="U284" s="224"/>
      <c r="V284" s="224"/>
    </row>
    <row r="285">
      <c r="A285" s="33"/>
      <c r="B285" s="2"/>
      <c r="C285" s="2"/>
      <c r="D285" s="2"/>
      <c r="E285" s="2"/>
      <c r="F285" s="4"/>
      <c r="G285" s="2"/>
      <c r="H285" s="2"/>
      <c r="I285" s="2"/>
      <c r="J285" s="2"/>
      <c r="K285" s="5"/>
      <c r="L285" s="2"/>
      <c r="M285" s="2"/>
      <c r="N285" s="2"/>
      <c r="O285" s="2"/>
      <c r="P285" s="2"/>
      <c r="Q285" s="2"/>
      <c r="R285" s="7"/>
      <c r="S285" s="224"/>
      <c r="T285" s="224"/>
      <c r="U285" s="224"/>
      <c r="V285" s="224"/>
    </row>
    <row r="286">
      <c r="A286" s="33"/>
      <c r="B286" s="2"/>
      <c r="C286" s="2"/>
      <c r="D286" s="2"/>
      <c r="E286" s="2"/>
      <c r="F286" s="4"/>
      <c r="G286" s="2"/>
      <c r="H286" s="2"/>
      <c r="I286" s="2"/>
      <c r="J286" s="2"/>
      <c r="K286" s="5"/>
      <c r="L286" s="2"/>
      <c r="M286" s="2"/>
      <c r="N286" s="2"/>
      <c r="O286" s="2"/>
      <c r="P286" s="2"/>
      <c r="Q286" s="2"/>
      <c r="R286" s="7"/>
      <c r="S286" s="224"/>
      <c r="T286" s="224"/>
      <c r="U286" s="224"/>
      <c r="V286" s="224"/>
    </row>
    <row r="287">
      <c r="A287" s="33"/>
      <c r="B287" s="2"/>
      <c r="C287" s="2"/>
      <c r="D287" s="2"/>
      <c r="E287" s="2"/>
      <c r="F287" s="4"/>
      <c r="G287" s="2"/>
      <c r="H287" s="2"/>
      <c r="I287" s="2"/>
      <c r="J287" s="2"/>
      <c r="K287" s="5"/>
      <c r="L287" s="2"/>
      <c r="M287" s="2"/>
      <c r="N287" s="2"/>
      <c r="O287" s="2"/>
      <c r="P287" s="2"/>
      <c r="Q287" s="2"/>
      <c r="R287" s="7"/>
      <c r="S287" s="224"/>
      <c r="T287" s="224"/>
      <c r="U287" s="224"/>
      <c r="V287" s="224"/>
    </row>
    <row r="288">
      <c r="A288" s="33"/>
      <c r="B288" s="2"/>
      <c r="C288" s="2"/>
      <c r="D288" s="2"/>
      <c r="E288" s="2"/>
      <c r="F288" s="4"/>
      <c r="G288" s="2"/>
      <c r="H288" s="2"/>
      <c r="I288" s="2"/>
      <c r="J288" s="2"/>
      <c r="K288" s="5"/>
      <c r="L288" s="2"/>
      <c r="M288" s="2"/>
      <c r="N288" s="2"/>
      <c r="O288" s="2"/>
      <c r="P288" s="2"/>
      <c r="Q288" s="2"/>
      <c r="R288" s="7"/>
      <c r="S288" s="224"/>
      <c r="T288" s="224"/>
      <c r="U288" s="224"/>
      <c r="V288" s="224"/>
    </row>
    <row r="289">
      <c r="A289" s="33"/>
      <c r="B289" s="2"/>
      <c r="C289" s="2"/>
      <c r="D289" s="2"/>
      <c r="E289" s="2"/>
      <c r="F289" s="4"/>
      <c r="G289" s="2"/>
      <c r="H289" s="2"/>
      <c r="I289" s="2"/>
      <c r="J289" s="2"/>
      <c r="K289" s="5"/>
      <c r="L289" s="2"/>
      <c r="M289" s="2"/>
      <c r="N289" s="2"/>
      <c r="O289" s="2"/>
      <c r="P289" s="2"/>
      <c r="Q289" s="2"/>
      <c r="R289" s="7"/>
      <c r="S289" s="224"/>
      <c r="T289" s="224"/>
      <c r="U289" s="224"/>
      <c r="V289" s="224"/>
    </row>
    <row r="290">
      <c r="A290" s="33"/>
      <c r="B290" s="2"/>
      <c r="C290" s="2"/>
      <c r="D290" s="2"/>
      <c r="E290" s="2"/>
      <c r="F290" s="4"/>
      <c r="G290" s="2"/>
      <c r="H290" s="2"/>
      <c r="I290" s="2"/>
      <c r="J290" s="2"/>
      <c r="K290" s="5"/>
      <c r="L290" s="2"/>
      <c r="M290" s="2"/>
      <c r="N290" s="2"/>
      <c r="O290" s="2"/>
      <c r="P290" s="2"/>
      <c r="Q290" s="2"/>
      <c r="R290" s="7"/>
      <c r="S290" s="224"/>
      <c r="T290" s="224"/>
      <c r="U290" s="224"/>
      <c r="V290" s="224"/>
    </row>
    <row r="291">
      <c r="A291" s="33"/>
      <c r="B291" s="2"/>
      <c r="C291" s="2"/>
      <c r="D291" s="2"/>
      <c r="E291" s="2"/>
      <c r="F291" s="4"/>
      <c r="G291" s="2"/>
      <c r="H291" s="2"/>
      <c r="I291" s="2"/>
      <c r="J291" s="2"/>
      <c r="K291" s="5"/>
      <c r="L291" s="2"/>
      <c r="M291" s="2"/>
      <c r="N291" s="2"/>
      <c r="O291" s="2"/>
      <c r="P291" s="2"/>
      <c r="Q291" s="2"/>
      <c r="R291" s="7"/>
      <c r="S291" s="224"/>
      <c r="T291" s="224"/>
      <c r="U291" s="224"/>
      <c r="V291" s="224"/>
    </row>
    <row r="292">
      <c r="A292" s="33"/>
      <c r="B292" s="2"/>
      <c r="C292" s="2"/>
      <c r="D292" s="2"/>
      <c r="E292" s="2"/>
      <c r="F292" s="4"/>
      <c r="G292" s="2"/>
      <c r="H292" s="2"/>
      <c r="I292" s="2"/>
      <c r="J292" s="2"/>
      <c r="K292" s="5"/>
      <c r="L292" s="2"/>
      <c r="M292" s="2"/>
      <c r="N292" s="2"/>
      <c r="O292" s="2"/>
      <c r="P292" s="2"/>
      <c r="Q292" s="2"/>
      <c r="R292" s="7"/>
      <c r="S292" s="224"/>
      <c r="T292" s="224"/>
      <c r="U292" s="224"/>
      <c r="V292" s="224"/>
    </row>
    <row r="293">
      <c r="A293" s="33"/>
      <c r="B293" s="2"/>
      <c r="C293" s="2"/>
      <c r="D293" s="2"/>
      <c r="E293" s="2"/>
      <c r="F293" s="4"/>
      <c r="G293" s="2"/>
      <c r="H293" s="2"/>
      <c r="I293" s="2"/>
      <c r="J293" s="2"/>
      <c r="K293" s="5"/>
      <c r="L293" s="2"/>
      <c r="M293" s="2"/>
      <c r="N293" s="2"/>
      <c r="O293" s="2"/>
      <c r="P293" s="2"/>
      <c r="Q293" s="2"/>
      <c r="R293" s="7"/>
      <c r="S293" s="224"/>
      <c r="T293" s="224"/>
      <c r="U293" s="224"/>
      <c r="V293" s="224"/>
    </row>
    <row r="294">
      <c r="A294" s="33"/>
      <c r="B294" s="2"/>
      <c r="C294" s="2"/>
      <c r="D294" s="2"/>
      <c r="E294" s="2"/>
      <c r="F294" s="4"/>
      <c r="G294" s="2"/>
      <c r="H294" s="2"/>
      <c r="I294" s="2"/>
      <c r="J294" s="2"/>
      <c r="K294" s="5"/>
      <c r="L294" s="2"/>
      <c r="M294" s="2"/>
      <c r="N294" s="2"/>
      <c r="O294" s="2"/>
      <c r="P294" s="2"/>
      <c r="Q294" s="2"/>
      <c r="R294" s="7"/>
      <c r="S294" s="224"/>
      <c r="T294" s="224"/>
      <c r="U294" s="224"/>
      <c r="V294" s="224"/>
    </row>
    <row r="295">
      <c r="A295" s="33"/>
      <c r="B295" s="2"/>
      <c r="C295" s="2"/>
      <c r="D295" s="2"/>
      <c r="E295" s="2"/>
      <c r="F295" s="4"/>
      <c r="G295" s="2"/>
      <c r="H295" s="2"/>
      <c r="I295" s="2"/>
      <c r="J295" s="2"/>
      <c r="K295" s="5"/>
      <c r="L295" s="2"/>
      <c r="M295" s="2"/>
      <c r="N295" s="2"/>
      <c r="O295" s="2"/>
      <c r="P295" s="2"/>
      <c r="Q295" s="2"/>
      <c r="R295" s="7"/>
      <c r="S295" s="224"/>
      <c r="T295" s="224"/>
      <c r="U295" s="224"/>
      <c r="V295" s="224"/>
    </row>
    <row r="296">
      <c r="A296" s="33"/>
      <c r="B296" s="2"/>
      <c r="C296" s="2"/>
      <c r="D296" s="2"/>
      <c r="E296" s="2"/>
      <c r="F296" s="4"/>
      <c r="G296" s="2"/>
      <c r="H296" s="2"/>
      <c r="I296" s="2"/>
      <c r="J296" s="2"/>
      <c r="K296" s="5"/>
      <c r="L296" s="2"/>
      <c r="M296" s="2"/>
      <c r="N296" s="2"/>
      <c r="O296" s="2"/>
      <c r="P296" s="2"/>
      <c r="Q296" s="2"/>
      <c r="R296" s="7"/>
      <c r="S296" s="224"/>
      <c r="T296" s="224"/>
      <c r="U296" s="224"/>
      <c r="V296" s="224"/>
    </row>
    <row r="297">
      <c r="A297" s="33"/>
      <c r="B297" s="2"/>
      <c r="C297" s="2"/>
      <c r="D297" s="2"/>
      <c r="E297" s="2"/>
      <c r="F297" s="4"/>
      <c r="G297" s="2"/>
      <c r="H297" s="2"/>
      <c r="I297" s="2"/>
      <c r="J297" s="2"/>
      <c r="K297" s="5"/>
      <c r="L297" s="2"/>
      <c r="M297" s="2"/>
      <c r="N297" s="2"/>
      <c r="O297" s="2"/>
      <c r="P297" s="2"/>
      <c r="Q297" s="2"/>
      <c r="R297" s="7"/>
      <c r="S297" s="224"/>
      <c r="T297" s="224"/>
      <c r="U297" s="224"/>
      <c r="V297" s="224"/>
    </row>
    <row r="298">
      <c r="A298" s="33"/>
      <c r="B298" s="2"/>
      <c r="C298" s="2"/>
      <c r="D298" s="2"/>
      <c r="E298" s="2"/>
      <c r="F298" s="4"/>
      <c r="G298" s="2"/>
      <c r="H298" s="2"/>
      <c r="I298" s="2"/>
      <c r="J298" s="2"/>
      <c r="K298" s="5"/>
      <c r="L298" s="2"/>
      <c r="M298" s="2"/>
      <c r="N298" s="2"/>
      <c r="O298" s="2"/>
      <c r="P298" s="2"/>
      <c r="Q298" s="2"/>
      <c r="R298" s="7"/>
      <c r="S298" s="224"/>
      <c r="T298" s="224"/>
      <c r="U298" s="224"/>
      <c r="V298" s="224"/>
    </row>
    <row r="299">
      <c r="A299" s="33"/>
      <c r="B299" s="2"/>
      <c r="C299" s="2"/>
      <c r="D299" s="2"/>
      <c r="E299" s="2"/>
      <c r="F299" s="4"/>
      <c r="G299" s="2"/>
      <c r="H299" s="2"/>
      <c r="I299" s="2"/>
      <c r="J299" s="2"/>
      <c r="K299" s="5"/>
      <c r="L299" s="2"/>
      <c r="M299" s="2"/>
      <c r="N299" s="2"/>
      <c r="O299" s="2"/>
      <c r="P299" s="2"/>
      <c r="Q299" s="2"/>
      <c r="R299" s="7"/>
      <c r="S299" s="224"/>
      <c r="T299" s="224"/>
      <c r="U299" s="224"/>
      <c r="V299" s="224"/>
    </row>
    <row r="300">
      <c r="A300" s="33"/>
      <c r="B300" s="2"/>
      <c r="C300" s="2"/>
      <c r="D300" s="2"/>
      <c r="E300" s="2"/>
      <c r="F300" s="4"/>
      <c r="G300" s="2"/>
      <c r="H300" s="2"/>
      <c r="I300" s="2"/>
      <c r="J300" s="2"/>
      <c r="K300" s="5"/>
      <c r="L300" s="2"/>
      <c r="M300" s="2"/>
      <c r="N300" s="2"/>
      <c r="O300" s="2"/>
      <c r="P300" s="2"/>
      <c r="Q300" s="2"/>
      <c r="R300" s="7"/>
      <c r="S300" s="224"/>
      <c r="T300" s="224"/>
      <c r="U300" s="224"/>
      <c r="V300" s="224"/>
    </row>
    <row r="301">
      <c r="A301" s="33"/>
      <c r="B301" s="2"/>
      <c r="C301" s="2"/>
      <c r="D301" s="2"/>
      <c r="E301" s="2"/>
      <c r="F301" s="4"/>
      <c r="G301" s="2"/>
      <c r="H301" s="2"/>
      <c r="I301" s="2"/>
      <c r="J301" s="2"/>
      <c r="K301" s="5"/>
      <c r="L301" s="2"/>
      <c r="M301" s="2"/>
      <c r="N301" s="2"/>
      <c r="O301" s="2"/>
      <c r="P301" s="2"/>
      <c r="Q301" s="2"/>
      <c r="R301" s="7"/>
      <c r="S301" s="224"/>
      <c r="T301" s="224"/>
      <c r="U301" s="224"/>
      <c r="V301" s="224"/>
    </row>
    <row r="302">
      <c r="A302" s="33"/>
      <c r="B302" s="2"/>
      <c r="C302" s="2"/>
      <c r="D302" s="2"/>
      <c r="E302" s="2"/>
      <c r="F302" s="4"/>
      <c r="G302" s="2"/>
      <c r="H302" s="2"/>
      <c r="I302" s="2"/>
      <c r="J302" s="2"/>
      <c r="K302" s="5"/>
      <c r="L302" s="2"/>
      <c r="M302" s="2"/>
      <c r="N302" s="2"/>
      <c r="O302" s="2"/>
      <c r="P302" s="2"/>
      <c r="Q302" s="2"/>
      <c r="R302" s="7"/>
      <c r="S302" s="224"/>
      <c r="T302" s="224"/>
      <c r="U302" s="224"/>
      <c r="V302" s="224"/>
    </row>
    <row r="303">
      <c r="A303" s="33"/>
      <c r="B303" s="2"/>
      <c r="C303" s="2"/>
      <c r="D303" s="2"/>
      <c r="E303" s="2"/>
      <c r="F303" s="4"/>
      <c r="G303" s="2"/>
      <c r="H303" s="2"/>
      <c r="I303" s="2"/>
      <c r="J303" s="2"/>
      <c r="K303" s="5"/>
      <c r="L303" s="2"/>
      <c r="M303" s="2"/>
      <c r="N303" s="2"/>
      <c r="O303" s="2"/>
      <c r="P303" s="2"/>
      <c r="Q303" s="2"/>
      <c r="R303" s="7"/>
      <c r="S303" s="224"/>
      <c r="T303" s="224"/>
      <c r="U303" s="224"/>
      <c r="V303" s="224"/>
    </row>
    <row r="304">
      <c r="A304" s="33"/>
      <c r="B304" s="2"/>
      <c r="C304" s="2"/>
      <c r="D304" s="2"/>
      <c r="E304" s="2"/>
      <c r="F304" s="4"/>
      <c r="G304" s="2"/>
      <c r="H304" s="2"/>
      <c r="I304" s="2"/>
      <c r="J304" s="2"/>
      <c r="K304" s="5"/>
      <c r="L304" s="2"/>
      <c r="M304" s="2"/>
      <c r="N304" s="2"/>
      <c r="O304" s="2"/>
      <c r="P304" s="2"/>
      <c r="Q304" s="2"/>
      <c r="R304" s="7"/>
      <c r="S304" s="224"/>
      <c r="T304" s="224"/>
      <c r="U304" s="224"/>
      <c r="V304" s="224"/>
    </row>
    <row r="305">
      <c r="A305" s="33"/>
      <c r="B305" s="2"/>
      <c r="C305" s="2"/>
      <c r="D305" s="2"/>
      <c r="E305" s="2"/>
      <c r="F305" s="4"/>
      <c r="G305" s="2"/>
      <c r="H305" s="2"/>
      <c r="I305" s="2"/>
      <c r="J305" s="2"/>
      <c r="K305" s="5"/>
      <c r="L305" s="2"/>
      <c r="M305" s="2"/>
      <c r="N305" s="2"/>
      <c r="O305" s="2"/>
      <c r="P305" s="2"/>
      <c r="Q305" s="2"/>
      <c r="R305" s="7"/>
      <c r="S305" s="224"/>
      <c r="T305" s="224"/>
      <c r="U305" s="224"/>
      <c r="V305" s="224"/>
    </row>
    <row r="306">
      <c r="A306" s="33"/>
      <c r="B306" s="2"/>
      <c r="C306" s="2"/>
      <c r="D306" s="2"/>
      <c r="E306" s="2"/>
      <c r="F306" s="4"/>
      <c r="G306" s="2"/>
      <c r="H306" s="2"/>
      <c r="I306" s="2"/>
      <c r="J306" s="2"/>
      <c r="K306" s="5"/>
      <c r="L306" s="2"/>
      <c r="M306" s="2"/>
      <c r="N306" s="2"/>
      <c r="O306" s="2"/>
      <c r="P306" s="2"/>
      <c r="Q306" s="2"/>
      <c r="R306" s="7"/>
      <c r="S306" s="224"/>
      <c r="T306" s="224"/>
      <c r="U306" s="224"/>
      <c r="V306" s="224"/>
    </row>
    <row r="307">
      <c r="A307" s="33"/>
      <c r="B307" s="2"/>
      <c r="C307" s="2"/>
      <c r="D307" s="2"/>
      <c r="E307" s="2"/>
      <c r="F307" s="4"/>
      <c r="G307" s="2"/>
      <c r="H307" s="2"/>
      <c r="I307" s="2"/>
      <c r="J307" s="2"/>
      <c r="K307" s="5"/>
      <c r="L307" s="2"/>
      <c r="M307" s="2"/>
      <c r="N307" s="2"/>
      <c r="O307" s="2"/>
      <c r="P307" s="2"/>
      <c r="Q307" s="2"/>
      <c r="R307" s="7"/>
      <c r="S307" s="224"/>
      <c r="T307" s="224"/>
      <c r="U307" s="224"/>
      <c r="V307" s="224"/>
    </row>
    <row r="308">
      <c r="A308" s="33"/>
      <c r="B308" s="2"/>
      <c r="C308" s="2"/>
      <c r="D308" s="2"/>
      <c r="E308" s="2"/>
      <c r="F308" s="4"/>
      <c r="G308" s="2"/>
      <c r="H308" s="2"/>
      <c r="I308" s="2"/>
      <c r="J308" s="2"/>
      <c r="K308" s="5"/>
      <c r="L308" s="2"/>
      <c r="M308" s="2"/>
      <c r="N308" s="2"/>
      <c r="O308" s="2"/>
      <c r="P308" s="2"/>
      <c r="Q308" s="2"/>
      <c r="R308" s="7"/>
      <c r="S308" s="224"/>
      <c r="T308" s="224"/>
      <c r="U308" s="224"/>
      <c r="V308" s="224"/>
    </row>
    <row r="309">
      <c r="A309" s="33"/>
      <c r="B309" s="2"/>
      <c r="C309" s="2"/>
      <c r="D309" s="2"/>
      <c r="E309" s="2"/>
      <c r="F309" s="4"/>
      <c r="G309" s="2"/>
      <c r="H309" s="2"/>
      <c r="I309" s="2"/>
      <c r="J309" s="2"/>
      <c r="K309" s="5"/>
      <c r="L309" s="2"/>
      <c r="M309" s="2"/>
      <c r="N309" s="2"/>
      <c r="O309" s="2"/>
      <c r="P309" s="2"/>
      <c r="Q309" s="2"/>
      <c r="R309" s="7"/>
      <c r="S309" s="224"/>
      <c r="T309" s="224"/>
      <c r="U309" s="224"/>
      <c r="V309" s="224"/>
    </row>
    <row r="310">
      <c r="A310" s="33"/>
      <c r="B310" s="2"/>
      <c r="C310" s="2"/>
      <c r="D310" s="2"/>
      <c r="E310" s="2"/>
      <c r="F310" s="4"/>
      <c r="G310" s="2"/>
      <c r="H310" s="2"/>
      <c r="I310" s="2"/>
      <c r="J310" s="2"/>
      <c r="K310" s="5"/>
      <c r="L310" s="2"/>
      <c r="M310" s="2"/>
      <c r="N310" s="2"/>
      <c r="O310" s="2"/>
      <c r="P310" s="2"/>
      <c r="Q310" s="2"/>
      <c r="R310" s="7"/>
      <c r="S310" s="224"/>
      <c r="T310" s="224"/>
      <c r="U310" s="224"/>
      <c r="V310" s="224"/>
    </row>
    <row r="311">
      <c r="A311" s="33"/>
      <c r="B311" s="2"/>
      <c r="C311" s="2"/>
      <c r="D311" s="2"/>
      <c r="E311" s="2"/>
      <c r="F311" s="4"/>
      <c r="G311" s="2"/>
      <c r="H311" s="2"/>
      <c r="I311" s="2"/>
      <c r="J311" s="2"/>
      <c r="K311" s="5"/>
      <c r="L311" s="2"/>
      <c r="M311" s="2"/>
      <c r="N311" s="2"/>
      <c r="O311" s="2"/>
      <c r="P311" s="2"/>
      <c r="Q311" s="2"/>
      <c r="R311" s="7"/>
      <c r="S311" s="224"/>
      <c r="T311" s="224"/>
      <c r="U311" s="224"/>
      <c r="V311" s="224"/>
    </row>
    <row r="312">
      <c r="A312" s="33"/>
      <c r="B312" s="2"/>
      <c r="C312" s="2"/>
      <c r="D312" s="2"/>
      <c r="E312" s="2"/>
      <c r="F312" s="4"/>
      <c r="G312" s="2"/>
      <c r="H312" s="2"/>
      <c r="I312" s="2"/>
      <c r="J312" s="2"/>
      <c r="K312" s="5"/>
      <c r="L312" s="2"/>
      <c r="M312" s="2"/>
      <c r="N312" s="2"/>
      <c r="O312" s="2"/>
      <c r="P312" s="2"/>
      <c r="Q312" s="2"/>
      <c r="R312" s="7"/>
      <c r="S312" s="224"/>
      <c r="T312" s="224"/>
      <c r="U312" s="224"/>
      <c r="V312" s="224"/>
    </row>
    <row r="313">
      <c r="A313" s="33"/>
      <c r="B313" s="2"/>
      <c r="C313" s="2"/>
      <c r="D313" s="2"/>
      <c r="E313" s="2"/>
      <c r="F313" s="4"/>
      <c r="G313" s="2"/>
      <c r="H313" s="2"/>
      <c r="I313" s="2"/>
      <c r="J313" s="2"/>
      <c r="K313" s="5"/>
      <c r="L313" s="2"/>
      <c r="M313" s="2"/>
      <c r="N313" s="2"/>
      <c r="O313" s="2"/>
      <c r="P313" s="2"/>
      <c r="Q313" s="2"/>
      <c r="R313" s="7"/>
      <c r="S313" s="224"/>
      <c r="T313" s="224"/>
      <c r="U313" s="224"/>
      <c r="V313" s="224"/>
    </row>
    <row r="314">
      <c r="A314" s="33"/>
      <c r="B314" s="2"/>
      <c r="C314" s="2"/>
      <c r="D314" s="2"/>
      <c r="E314" s="2"/>
      <c r="F314" s="4"/>
      <c r="G314" s="2"/>
      <c r="H314" s="2"/>
      <c r="I314" s="2"/>
      <c r="J314" s="2"/>
      <c r="K314" s="5"/>
      <c r="L314" s="2"/>
      <c r="M314" s="2"/>
      <c r="N314" s="2"/>
      <c r="O314" s="2"/>
      <c r="P314" s="2"/>
      <c r="Q314" s="2"/>
      <c r="R314" s="7"/>
      <c r="S314" s="224"/>
      <c r="T314" s="224"/>
      <c r="U314" s="224"/>
      <c r="V314" s="224"/>
    </row>
    <row r="315">
      <c r="A315" s="33"/>
      <c r="B315" s="2"/>
      <c r="C315" s="2"/>
      <c r="D315" s="2"/>
      <c r="E315" s="2"/>
      <c r="F315" s="4"/>
      <c r="G315" s="2"/>
      <c r="H315" s="2"/>
      <c r="I315" s="2"/>
      <c r="J315" s="2"/>
      <c r="K315" s="5"/>
      <c r="L315" s="2"/>
      <c r="M315" s="2"/>
      <c r="N315" s="2"/>
      <c r="O315" s="2"/>
      <c r="P315" s="2"/>
      <c r="Q315" s="2"/>
      <c r="R315" s="7"/>
      <c r="S315" s="224"/>
      <c r="T315" s="224"/>
      <c r="U315" s="224"/>
      <c r="V315" s="224"/>
    </row>
    <row r="316">
      <c r="A316" s="33"/>
      <c r="B316" s="2"/>
      <c r="C316" s="2"/>
      <c r="D316" s="2"/>
      <c r="E316" s="2"/>
      <c r="F316" s="4"/>
      <c r="G316" s="2"/>
      <c r="H316" s="2"/>
      <c r="I316" s="2"/>
      <c r="J316" s="2"/>
      <c r="K316" s="5"/>
      <c r="L316" s="2"/>
      <c r="M316" s="2"/>
      <c r="N316" s="2"/>
      <c r="O316" s="2"/>
      <c r="P316" s="2"/>
      <c r="Q316" s="2"/>
      <c r="R316" s="7"/>
      <c r="S316" s="224"/>
      <c r="T316" s="224"/>
      <c r="U316" s="224"/>
      <c r="V316" s="224"/>
    </row>
    <row r="317">
      <c r="A317" s="33"/>
      <c r="B317" s="2"/>
      <c r="C317" s="2"/>
      <c r="D317" s="2"/>
      <c r="E317" s="2"/>
      <c r="F317" s="4"/>
      <c r="G317" s="2"/>
      <c r="H317" s="2"/>
      <c r="I317" s="2"/>
      <c r="J317" s="2"/>
      <c r="K317" s="5"/>
      <c r="L317" s="2"/>
      <c r="M317" s="2"/>
      <c r="N317" s="2"/>
      <c r="O317" s="2"/>
      <c r="P317" s="2"/>
      <c r="Q317" s="2"/>
      <c r="R317" s="7"/>
      <c r="S317" s="224"/>
      <c r="T317" s="224"/>
      <c r="U317" s="224"/>
      <c r="V317" s="224"/>
    </row>
    <row r="318">
      <c r="A318" s="33"/>
      <c r="B318" s="2"/>
      <c r="C318" s="2"/>
      <c r="D318" s="2"/>
      <c r="E318" s="2"/>
      <c r="F318" s="4"/>
      <c r="G318" s="2"/>
      <c r="H318" s="2"/>
      <c r="I318" s="2"/>
      <c r="J318" s="2"/>
      <c r="K318" s="5"/>
      <c r="L318" s="2"/>
      <c r="M318" s="2"/>
      <c r="N318" s="2"/>
      <c r="O318" s="2"/>
      <c r="P318" s="2"/>
      <c r="Q318" s="2"/>
      <c r="R318" s="7"/>
      <c r="S318" s="224"/>
      <c r="T318" s="224"/>
      <c r="U318" s="224"/>
      <c r="V318" s="224"/>
    </row>
    <row r="319">
      <c r="A319" s="33"/>
      <c r="B319" s="2"/>
      <c r="C319" s="2"/>
      <c r="D319" s="2"/>
      <c r="E319" s="2"/>
      <c r="F319" s="4"/>
      <c r="G319" s="2"/>
      <c r="H319" s="2"/>
      <c r="I319" s="2"/>
      <c r="J319" s="2"/>
      <c r="K319" s="5"/>
      <c r="L319" s="2"/>
      <c r="M319" s="2"/>
      <c r="N319" s="2"/>
      <c r="O319" s="2"/>
      <c r="P319" s="2"/>
      <c r="Q319" s="2"/>
      <c r="R319" s="7"/>
      <c r="S319" s="224"/>
      <c r="T319" s="224"/>
      <c r="U319" s="224"/>
      <c r="V319" s="224"/>
    </row>
    <row r="320">
      <c r="A320" s="33"/>
      <c r="B320" s="2"/>
      <c r="C320" s="2"/>
      <c r="D320" s="2"/>
      <c r="E320" s="2"/>
      <c r="F320" s="4"/>
      <c r="G320" s="2"/>
      <c r="H320" s="2"/>
      <c r="I320" s="2"/>
      <c r="J320" s="2"/>
      <c r="K320" s="5"/>
      <c r="L320" s="2"/>
      <c r="M320" s="2"/>
      <c r="N320" s="2"/>
      <c r="O320" s="2"/>
      <c r="P320" s="2"/>
      <c r="Q320" s="2"/>
      <c r="R320" s="7"/>
      <c r="S320" s="224"/>
      <c r="T320" s="224"/>
      <c r="U320" s="224"/>
      <c r="V320" s="224"/>
    </row>
    <row r="321">
      <c r="A321" s="33"/>
      <c r="B321" s="2"/>
      <c r="C321" s="2"/>
      <c r="D321" s="2"/>
      <c r="E321" s="2"/>
      <c r="F321" s="4"/>
      <c r="G321" s="2"/>
      <c r="H321" s="2"/>
      <c r="I321" s="2"/>
      <c r="J321" s="2"/>
      <c r="K321" s="5"/>
      <c r="L321" s="2"/>
      <c r="M321" s="2"/>
      <c r="N321" s="2"/>
      <c r="O321" s="2"/>
      <c r="P321" s="2"/>
      <c r="Q321" s="2"/>
      <c r="R321" s="7"/>
      <c r="S321" s="224"/>
      <c r="T321" s="224"/>
      <c r="U321" s="224"/>
      <c r="V321" s="224"/>
    </row>
    <row r="322">
      <c r="A322" s="33"/>
      <c r="B322" s="2"/>
      <c r="C322" s="2"/>
      <c r="D322" s="2"/>
      <c r="E322" s="2"/>
      <c r="F322" s="4"/>
      <c r="G322" s="2"/>
      <c r="H322" s="2"/>
      <c r="I322" s="2"/>
      <c r="J322" s="2"/>
      <c r="K322" s="5"/>
      <c r="L322" s="2"/>
      <c r="M322" s="2"/>
      <c r="N322" s="2"/>
      <c r="O322" s="2"/>
      <c r="P322" s="2"/>
      <c r="Q322" s="2"/>
      <c r="R322" s="7"/>
      <c r="S322" s="224"/>
      <c r="T322" s="224"/>
      <c r="U322" s="224"/>
      <c r="V322" s="224"/>
    </row>
    <row r="323">
      <c r="A323" s="33"/>
      <c r="B323" s="2"/>
      <c r="C323" s="2"/>
      <c r="D323" s="2"/>
      <c r="E323" s="2"/>
      <c r="F323" s="4"/>
      <c r="G323" s="2"/>
      <c r="H323" s="2"/>
      <c r="I323" s="2"/>
      <c r="J323" s="2"/>
      <c r="K323" s="5"/>
      <c r="L323" s="2"/>
      <c r="M323" s="2"/>
      <c r="N323" s="2"/>
      <c r="O323" s="2"/>
      <c r="P323" s="2"/>
      <c r="Q323" s="2"/>
      <c r="R323" s="7"/>
      <c r="S323" s="224"/>
      <c r="T323" s="224"/>
      <c r="U323" s="224"/>
      <c r="V323" s="224"/>
    </row>
    <row r="324">
      <c r="A324" s="33"/>
      <c r="B324" s="2"/>
      <c r="C324" s="2"/>
      <c r="D324" s="2"/>
      <c r="E324" s="2"/>
      <c r="F324" s="4"/>
      <c r="G324" s="2"/>
      <c r="H324" s="2"/>
      <c r="I324" s="2"/>
      <c r="J324" s="2"/>
      <c r="K324" s="5"/>
      <c r="L324" s="2"/>
      <c r="M324" s="2"/>
      <c r="N324" s="2"/>
      <c r="O324" s="2"/>
      <c r="P324" s="2"/>
      <c r="Q324" s="2"/>
      <c r="R324" s="7"/>
      <c r="S324" s="224"/>
      <c r="T324" s="224"/>
      <c r="U324" s="224"/>
      <c r="V324" s="224"/>
    </row>
    <row r="325">
      <c r="A325" s="33"/>
      <c r="B325" s="2"/>
      <c r="C325" s="2"/>
      <c r="D325" s="2"/>
      <c r="E325" s="2"/>
      <c r="F325" s="4"/>
      <c r="G325" s="2"/>
      <c r="H325" s="2"/>
      <c r="I325" s="2"/>
      <c r="J325" s="2"/>
      <c r="K325" s="5"/>
      <c r="L325" s="2"/>
      <c r="M325" s="2"/>
      <c r="N325" s="2"/>
      <c r="O325" s="2"/>
      <c r="P325" s="2"/>
      <c r="Q325" s="2"/>
      <c r="R325" s="7"/>
      <c r="S325" s="224"/>
      <c r="T325" s="224"/>
      <c r="U325" s="224"/>
      <c r="V325" s="224"/>
    </row>
    <row r="326">
      <c r="A326" s="33"/>
      <c r="B326" s="2"/>
      <c r="C326" s="2"/>
      <c r="D326" s="2"/>
      <c r="E326" s="2"/>
      <c r="F326" s="4"/>
      <c r="G326" s="2"/>
      <c r="H326" s="2"/>
      <c r="I326" s="2"/>
      <c r="J326" s="2"/>
      <c r="K326" s="5"/>
      <c r="L326" s="2"/>
      <c r="M326" s="2"/>
      <c r="N326" s="2"/>
      <c r="O326" s="2"/>
      <c r="P326" s="2"/>
      <c r="Q326" s="2"/>
      <c r="R326" s="7"/>
      <c r="S326" s="224"/>
      <c r="T326" s="224"/>
      <c r="U326" s="224"/>
      <c r="V326" s="224"/>
    </row>
    <row r="327">
      <c r="A327" s="33"/>
      <c r="B327" s="2"/>
      <c r="C327" s="2"/>
      <c r="D327" s="2"/>
      <c r="E327" s="2"/>
      <c r="F327" s="4"/>
      <c r="G327" s="2"/>
      <c r="H327" s="2"/>
      <c r="I327" s="2"/>
      <c r="J327" s="2"/>
      <c r="K327" s="5"/>
      <c r="L327" s="2"/>
      <c r="M327" s="2"/>
      <c r="N327" s="2"/>
      <c r="O327" s="2"/>
      <c r="P327" s="2"/>
      <c r="Q327" s="2"/>
      <c r="R327" s="7"/>
      <c r="S327" s="224"/>
      <c r="T327" s="224"/>
      <c r="U327" s="224"/>
      <c r="V327" s="224"/>
    </row>
    <row r="328">
      <c r="A328" s="33"/>
      <c r="B328" s="2"/>
      <c r="C328" s="2"/>
      <c r="D328" s="2"/>
      <c r="E328" s="2"/>
      <c r="F328" s="4"/>
      <c r="G328" s="2"/>
      <c r="H328" s="2"/>
      <c r="I328" s="2"/>
      <c r="J328" s="2"/>
      <c r="K328" s="5"/>
      <c r="L328" s="2"/>
      <c r="M328" s="2"/>
      <c r="N328" s="2"/>
      <c r="O328" s="2"/>
      <c r="P328" s="2"/>
      <c r="Q328" s="2"/>
      <c r="R328" s="7"/>
      <c r="S328" s="224"/>
      <c r="T328" s="224"/>
      <c r="U328" s="224"/>
      <c r="V328" s="224"/>
    </row>
    <row r="329">
      <c r="A329" s="33"/>
      <c r="B329" s="2"/>
      <c r="C329" s="2"/>
      <c r="D329" s="2"/>
      <c r="E329" s="2"/>
      <c r="F329" s="4"/>
      <c r="G329" s="2"/>
      <c r="H329" s="2"/>
      <c r="I329" s="2"/>
      <c r="J329" s="2"/>
      <c r="K329" s="5"/>
      <c r="L329" s="2"/>
      <c r="M329" s="2"/>
      <c r="N329" s="2"/>
      <c r="O329" s="2"/>
      <c r="P329" s="2"/>
      <c r="Q329" s="2"/>
      <c r="R329" s="7"/>
      <c r="S329" s="224"/>
      <c r="T329" s="224"/>
      <c r="U329" s="224"/>
      <c r="V329" s="224"/>
    </row>
    <row r="330">
      <c r="A330" s="33"/>
      <c r="B330" s="2"/>
      <c r="C330" s="2"/>
      <c r="D330" s="2"/>
      <c r="E330" s="2"/>
      <c r="F330" s="4"/>
      <c r="G330" s="2"/>
      <c r="H330" s="2"/>
      <c r="I330" s="2"/>
      <c r="J330" s="2"/>
      <c r="K330" s="5"/>
      <c r="L330" s="2"/>
      <c r="M330" s="2"/>
      <c r="N330" s="2"/>
      <c r="O330" s="2"/>
      <c r="P330" s="2"/>
      <c r="Q330" s="2"/>
      <c r="R330" s="7"/>
      <c r="S330" s="224"/>
      <c r="T330" s="224"/>
      <c r="U330" s="224"/>
      <c r="V330" s="224"/>
    </row>
    <row r="331">
      <c r="A331" s="33"/>
      <c r="B331" s="2"/>
      <c r="C331" s="2"/>
      <c r="D331" s="2"/>
      <c r="E331" s="2"/>
      <c r="F331" s="4"/>
      <c r="G331" s="2"/>
      <c r="H331" s="2"/>
      <c r="I331" s="2"/>
      <c r="J331" s="2"/>
      <c r="K331" s="5"/>
      <c r="L331" s="2"/>
      <c r="M331" s="2"/>
      <c r="N331" s="2"/>
      <c r="O331" s="2"/>
      <c r="P331" s="2"/>
      <c r="Q331" s="2"/>
      <c r="R331" s="7"/>
      <c r="S331" s="224"/>
      <c r="T331" s="224"/>
      <c r="U331" s="224"/>
      <c r="V331" s="224"/>
    </row>
    <row r="332">
      <c r="A332" s="33"/>
      <c r="B332" s="2"/>
      <c r="C332" s="2"/>
      <c r="D332" s="2"/>
      <c r="E332" s="2"/>
      <c r="F332" s="4"/>
      <c r="G332" s="2"/>
      <c r="H332" s="2"/>
      <c r="I332" s="2"/>
      <c r="J332" s="2"/>
      <c r="K332" s="5"/>
      <c r="L332" s="2"/>
      <c r="M332" s="2"/>
      <c r="N332" s="2"/>
      <c r="O332" s="2"/>
      <c r="P332" s="2"/>
      <c r="Q332" s="2"/>
      <c r="R332" s="7"/>
      <c r="S332" s="224"/>
      <c r="T332" s="224"/>
      <c r="U332" s="224"/>
      <c r="V332" s="224"/>
    </row>
    <row r="333">
      <c r="A333" s="33"/>
      <c r="B333" s="2"/>
      <c r="C333" s="2"/>
      <c r="D333" s="2"/>
      <c r="E333" s="2"/>
      <c r="F333" s="4"/>
      <c r="G333" s="2"/>
      <c r="H333" s="2"/>
      <c r="I333" s="2"/>
      <c r="J333" s="2"/>
      <c r="K333" s="5"/>
      <c r="L333" s="2"/>
      <c r="M333" s="2"/>
      <c r="N333" s="2"/>
      <c r="O333" s="2"/>
      <c r="P333" s="2"/>
      <c r="Q333" s="2"/>
      <c r="R333" s="7"/>
      <c r="S333" s="224"/>
      <c r="T333" s="224"/>
      <c r="U333" s="224"/>
      <c r="V333" s="224"/>
    </row>
    <row r="334">
      <c r="A334" s="33"/>
      <c r="B334" s="2"/>
      <c r="C334" s="2"/>
      <c r="D334" s="2"/>
      <c r="E334" s="2"/>
      <c r="F334" s="4"/>
      <c r="G334" s="2"/>
      <c r="H334" s="2"/>
      <c r="I334" s="2"/>
      <c r="J334" s="2"/>
      <c r="K334" s="5"/>
      <c r="L334" s="2"/>
      <c r="M334" s="2"/>
      <c r="N334" s="2"/>
      <c r="O334" s="2"/>
      <c r="P334" s="2"/>
      <c r="Q334" s="2"/>
      <c r="R334" s="7"/>
      <c r="S334" s="224"/>
      <c r="T334" s="224"/>
      <c r="U334" s="224"/>
      <c r="V334" s="224"/>
    </row>
    <row r="335">
      <c r="A335" s="33"/>
      <c r="B335" s="2"/>
      <c r="C335" s="2"/>
      <c r="D335" s="2"/>
      <c r="E335" s="2"/>
      <c r="F335" s="4"/>
      <c r="G335" s="2"/>
      <c r="H335" s="2"/>
      <c r="I335" s="2"/>
      <c r="J335" s="2"/>
      <c r="K335" s="5"/>
      <c r="L335" s="2"/>
      <c r="M335" s="2"/>
      <c r="N335" s="2"/>
      <c r="O335" s="2"/>
      <c r="P335" s="2"/>
      <c r="Q335" s="2"/>
      <c r="R335" s="7"/>
      <c r="S335" s="224"/>
      <c r="T335" s="224"/>
      <c r="U335" s="224"/>
      <c r="V335" s="224"/>
    </row>
    <row r="336">
      <c r="A336" s="33"/>
      <c r="B336" s="2"/>
      <c r="C336" s="2"/>
      <c r="D336" s="2"/>
      <c r="E336" s="2"/>
      <c r="F336" s="4"/>
      <c r="G336" s="2"/>
      <c r="H336" s="2"/>
      <c r="I336" s="2"/>
      <c r="J336" s="2"/>
      <c r="K336" s="5"/>
      <c r="L336" s="2"/>
      <c r="M336" s="2"/>
      <c r="N336" s="2"/>
      <c r="O336" s="2"/>
      <c r="P336" s="2"/>
      <c r="Q336" s="2"/>
      <c r="R336" s="7"/>
      <c r="S336" s="224"/>
      <c r="T336" s="224"/>
      <c r="U336" s="224"/>
      <c r="V336" s="224"/>
    </row>
    <row r="337">
      <c r="A337" s="33"/>
      <c r="B337" s="2"/>
      <c r="C337" s="2"/>
      <c r="D337" s="2"/>
      <c r="E337" s="2"/>
      <c r="F337" s="4"/>
      <c r="G337" s="2"/>
      <c r="H337" s="2"/>
      <c r="I337" s="2"/>
      <c r="J337" s="2"/>
      <c r="K337" s="5"/>
      <c r="L337" s="2"/>
      <c r="M337" s="2"/>
      <c r="N337" s="2"/>
      <c r="O337" s="2"/>
      <c r="P337" s="2"/>
      <c r="Q337" s="2"/>
      <c r="R337" s="7"/>
      <c r="S337" s="224"/>
      <c r="T337" s="224"/>
      <c r="U337" s="224"/>
      <c r="V337" s="224"/>
    </row>
    <row r="338">
      <c r="A338" s="33"/>
      <c r="B338" s="2"/>
      <c r="C338" s="2"/>
      <c r="D338" s="2"/>
      <c r="E338" s="2"/>
      <c r="F338" s="4"/>
      <c r="G338" s="2"/>
      <c r="H338" s="2"/>
      <c r="I338" s="2"/>
      <c r="J338" s="2"/>
      <c r="K338" s="5"/>
      <c r="L338" s="2"/>
      <c r="M338" s="2"/>
      <c r="N338" s="2"/>
      <c r="O338" s="2"/>
      <c r="P338" s="2"/>
      <c r="Q338" s="2"/>
      <c r="R338" s="7"/>
      <c r="S338" s="224"/>
      <c r="T338" s="224"/>
      <c r="U338" s="224"/>
      <c r="V338" s="224"/>
    </row>
    <row r="339">
      <c r="A339" s="33"/>
      <c r="B339" s="2"/>
      <c r="C339" s="2"/>
      <c r="D339" s="2"/>
      <c r="E339" s="2"/>
      <c r="F339" s="4"/>
      <c r="G339" s="2"/>
      <c r="H339" s="2"/>
      <c r="I339" s="2"/>
      <c r="J339" s="2"/>
      <c r="K339" s="5"/>
      <c r="L339" s="2"/>
      <c r="M339" s="2"/>
      <c r="N339" s="2"/>
      <c r="O339" s="2"/>
      <c r="P339" s="2"/>
      <c r="Q339" s="2"/>
      <c r="R339" s="7"/>
      <c r="S339" s="224"/>
      <c r="T339" s="224"/>
      <c r="U339" s="224"/>
      <c r="V339" s="224"/>
    </row>
    <row r="340">
      <c r="A340" s="33"/>
      <c r="B340" s="2"/>
      <c r="C340" s="2"/>
      <c r="D340" s="2"/>
      <c r="E340" s="2"/>
      <c r="F340" s="4"/>
      <c r="G340" s="2"/>
      <c r="H340" s="2"/>
      <c r="I340" s="2"/>
      <c r="J340" s="2"/>
      <c r="K340" s="5"/>
      <c r="L340" s="2"/>
      <c r="M340" s="2"/>
      <c r="N340" s="2"/>
      <c r="O340" s="2"/>
      <c r="P340" s="2"/>
      <c r="Q340" s="2"/>
      <c r="R340" s="7"/>
      <c r="S340" s="224"/>
      <c r="T340" s="224"/>
      <c r="U340" s="224"/>
      <c r="V340" s="224"/>
    </row>
    <row r="341">
      <c r="A341" s="33"/>
      <c r="B341" s="2"/>
      <c r="C341" s="2"/>
      <c r="D341" s="2"/>
      <c r="E341" s="2"/>
      <c r="F341" s="4"/>
      <c r="G341" s="2"/>
      <c r="H341" s="2"/>
      <c r="I341" s="2"/>
      <c r="J341" s="2"/>
      <c r="K341" s="5"/>
      <c r="L341" s="2"/>
      <c r="M341" s="2"/>
      <c r="N341" s="2"/>
      <c r="O341" s="2"/>
      <c r="P341" s="2"/>
      <c r="Q341" s="2"/>
      <c r="R341" s="7"/>
      <c r="S341" s="224"/>
      <c r="T341" s="224"/>
      <c r="U341" s="224"/>
      <c r="V341" s="224"/>
    </row>
    <row r="342">
      <c r="A342" s="33"/>
      <c r="B342" s="2"/>
      <c r="C342" s="2"/>
      <c r="D342" s="2"/>
      <c r="E342" s="2"/>
      <c r="F342" s="4"/>
      <c r="G342" s="2"/>
      <c r="H342" s="2"/>
      <c r="I342" s="2"/>
      <c r="J342" s="2"/>
      <c r="K342" s="5"/>
      <c r="L342" s="2"/>
      <c r="M342" s="2"/>
      <c r="N342" s="2"/>
      <c r="O342" s="2"/>
      <c r="P342" s="2"/>
      <c r="Q342" s="2"/>
      <c r="R342" s="7"/>
      <c r="S342" s="224"/>
      <c r="T342" s="224"/>
      <c r="U342" s="224"/>
      <c r="V342" s="224"/>
    </row>
    <row r="343">
      <c r="A343" s="33"/>
      <c r="B343" s="2"/>
      <c r="C343" s="2"/>
      <c r="D343" s="2"/>
      <c r="E343" s="2"/>
      <c r="F343" s="4"/>
      <c r="G343" s="2"/>
      <c r="H343" s="2"/>
      <c r="I343" s="2"/>
      <c r="J343" s="2"/>
      <c r="K343" s="5"/>
      <c r="L343" s="2"/>
      <c r="M343" s="2"/>
      <c r="N343" s="2"/>
      <c r="O343" s="2"/>
      <c r="P343" s="2"/>
      <c r="Q343" s="2"/>
      <c r="R343" s="7"/>
      <c r="S343" s="224"/>
      <c r="T343" s="224"/>
      <c r="U343" s="224"/>
      <c r="V343" s="224"/>
    </row>
    <row r="344">
      <c r="A344" s="33"/>
      <c r="B344" s="2"/>
      <c r="C344" s="2"/>
      <c r="D344" s="2"/>
      <c r="E344" s="2"/>
      <c r="F344" s="4"/>
      <c r="G344" s="2"/>
      <c r="H344" s="2"/>
      <c r="I344" s="2"/>
      <c r="J344" s="2"/>
      <c r="K344" s="5"/>
      <c r="L344" s="2"/>
      <c r="M344" s="2"/>
      <c r="N344" s="2"/>
      <c r="O344" s="2"/>
      <c r="P344" s="2"/>
      <c r="Q344" s="2"/>
      <c r="R344" s="7"/>
      <c r="S344" s="224"/>
      <c r="T344" s="224"/>
      <c r="U344" s="224"/>
      <c r="V344" s="224"/>
    </row>
    <row r="345">
      <c r="A345" s="33"/>
      <c r="B345" s="2"/>
      <c r="C345" s="2"/>
      <c r="D345" s="2"/>
      <c r="E345" s="2"/>
      <c r="F345" s="4"/>
      <c r="G345" s="2"/>
      <c r="H345" s="2"/>
      <c r="I345" s="2"/>
      <c r="J345" s="2"/>
      <c r="K345" s="5"/>
      <c r="L345" s="2"/>
      <c r="M345" s="2"/>
      <c r="N345" s="2"/>
      <c r="O345" s="2"/>
      <c r="P345" s="2"/>
      <c r="Q345" s="2"/>
      <c r="R345" s="7"/>
      <c r="S345" s="224"/>
      <c r="T345" s="224"/>
      <c r="U345" s="224"/>
      <c r="V345" s="224"/>
    </row>
    <row r="346">
      <c r="A346" s="33"/>
      <c r="B346" s="2"/>
      <c r="C346" s="2"/>
      <c r="D346" s="2"/>
      <c r="E346" s="2"/>
      <c r="F346" s="4"/>
      <c r="G346" s="2"/>
      <c r="H346" s="2"/>
      <c r="I346" s="2"/>
      <c r="J346" s="2"/>
      <c r="K346" s="5"/>
      <c r="L346" s="2"/>
      <c r="M346" s="2"/>
      <c r="N346" s="2"/>
      <c r="O346" s="2"/>
      <c r="P346" s="2"/>
      <c r="Q346" s="2"/>
      <c r="R346" s="7"/>
      <c r="S346" s="224"/>
      <c r="T346" s="224"/>
      <c r="U346" s="224"/>
      <c r="V346" s="224"/>
    </row>
    <row r="347">
      <c r="A347" s="33"/>
      <c r="B347" s="2"/>
      <c r="C347" s="2"/>
      <c r="D347" s="2"/>
      <c r="E347" s="2"/>
      <c r="F347" s="4"/>
      <c r="G347" s="2"/>
      <c r="H347" s="2"/>
      <c r="I347" s="2"/>
      <c r="J347" s="2"/>
      <c r="K347" s="5"/>
      <c r="L347" s="2"/>
      <c r="M347" s="2"/>
      <c r="N347" s="2"/>
      <c r="O347" s="2"/>
      <c r="P347" s="2"/>
      <c r="Q347" s="2"/>
      <c r="R347" s="7"/>
      <c r="S347" s="224"/>
      <c r="T347" s="224"/>
      <c r="U347" s="224"/>
      <c r="V347" s="224"/>
    </row>
    <row r="348">
      <c r="A348" s="33"/>
      <c r="B348" s="2"/>
      <c r="C348" s="2"/>
      <c r="D348" s="2"/>
      <c r="E348" s="2"/>
      <c r="F348" s="4"/>
      <c r="G348" s="2"/>
      <c r="H348" s="2"/>
      <c r="I348" s="2"/>
      <c r="J348" s="2"/>
      <c r="K348" s="5"/>
      <c r="L348" s="2"/>
      <c r="M348" s="2"/>
      <c r="N348" s="2"/>
      <c r="O348" s="2"/>
      <c r="P348" s="2"/>
      <c r="Q348" s="2"/>
      <c r="R348" s="7"/>
      <c r="S348" s="224"/>
      <c r="T348" s="224"/>
      <c r="U348" s="224"/>
      <c r="V348" s="224"/>
    </row>
    <row r="349">
      <c r="A349" s="33"/>
      <c r="B349" s="2"/>
      <c r="C349" s="2"/>
      <c r="D349" s="2"/>
      <c r="E349" s="2"/>
      <c r="F349" s="4"/>
      <c r="G349" s="2"/>
      <c r="H349" s="2"/>
      <c r="I349" s="2"/>
      <c r="J349" s="2"/>
      <c r="K349" s="5"/>
      <c r="L349" s="2"/>
      <c r="M349" s="2"/>
      <c r="N349" s="2"/>
      <c r="O349" s="2"/>
      <c r="P349" s="2"/>
      <c r="Q349" s="2"/>
      <c r="R349" s="7"/>
      <c r="S349" s="224"/>
      <c r="T349" s="224"/>
      <c r="U349" s="224"/>
      <c r="V349" s="224"/>
    </row>
    <row r="350">
      <c r="A350" s="33"/>
      <c r="B350" s="2"/>
      <c r="C350" s="2"/>
      <c r="D350" s="2"/>
      <c r="E350" s="2"/>
      <c r="F350" s="4"/>
      <c r="G350" s="2"/>
      <c r="H350" s="2"/>
      <c r="I350" s="2"/>
      <c r="J350" s="2"/>
      <c r="K350" s="5"/>
      <c r="L350" s="2"/>
      <c r="M350" s="2"/>
      <c r="N350" s="2"/>
      <c r="O350" s="2"/>
      <c r="P350" s="2"/>
      <c r="Q350" s="2"/>
      <c r="R350" s="7"/>
      <c r="S350" s="224"/>
      <c r="T350" s="224"/>
      <c r="U350" s="224"/>
      <c r="V350" s="224"/>
    </row>
    <row r="351">
      <c r="A351" s="33"/>
      <c r="B351" s="2"/>
      <c r="C351" s="2"/>
      <c r="D351" s="2"/>
      <c r="E351" s="2"/>
      <c r="F351" s="4"/>
      <c r="G351" s="2"/>
      <c r="H351" s="2"/>
      <c r="I351" s="2"/>
      <c r="J351" s="2"/>
      <c r="K351" s="5"/>
      <c r="L351" s="2"/>
      <c r="M351" s="2"/>
      <c r="N351" s="2"/>
      <c r="O351" s="2"/>
      <c r="P351" s="2"/>
      <c r="Q351" s="2"/>
      <c r="R351" s="7"/>
      <c r="S351" s="224"/>
      <c r="T351" s="224"/>
      <c r="U351" s="224"/>
      <c r="V351" s="224"/>
    </row>
    <row r="352">
      <c r="A352" s="33"/>
      <c r="B352" s="2"/>
      <c r="C352" s="2"/>
      <c r="D352" s="2"/>
      <c r="E352" s="2"/>
      <c r="F352" s="4"/>
      <c r="G352" s="2"/>
      <c r="H352" s="2"/>
      <c r="I352" s="2"/>
      <c r="J352" s="2"/>
      <c r="K352" s="5"/>
      <c r="L352" s="2"/>
      <c r="M352" s="2"/>
      <c r="N352" s="2"/>
      <c r="O352" s="2"/>
      <c r="P352" s="2"/>
      <c r="Q352" s="2"/>
      <c r="R352" s="7"/>
      <c r="S352" s="224"/>
      <c r="T352" s="224"/>
      <c r="U352" s="224"/>
      <c r="V352" s="224"/>
    </row>
    <row r="353">
      <c r="A353" s="33"/>
      <c r="B353" s="2"/>
      <c r="C353" s="2"/>
      <c r="D353" s="2"/>
      <c r="E353" s="2"/>
      <c r="F353" s="4"/>
      <c r="G353" s="2"/>
      <c r="H353" s="2"/>
      <c r="I353" s="2"/>
      <c r="J353" s="2"/>
      <c r="K353" s="5"/>
      <c r="L353" s="2"/>
      <c r="M353" s="2"/>
      <c r="N353" s="2"/>
      <c r="O353" s="2"/>
      <c r="P353" s="2"/>
      <c r="Q353" s="2"/>
      <c r="R353" s="7"/>
      <c r="S353" s="224"/>
      <c r="T353" s="224"/>
      <c r="U353" s="224"/>
      <c r="V353" s="224"/>
    </row>
    <row r="354">
      <c r="A354" s="33"/>
      <c r="B354" s="2"/>
      <c r="C354" s="2"/>
      <c r="D354" s="2"/>
      <c r="E354" s="2"/>
      <c r="F354" s="4"/>
      <c r="G354" s="2"/>
      <c r="H354" s="2"/>
      <c r="I354" s="2"/>
      <c r="J354" s="2"/>
      <c r="K354" s="5"/>
      <c r="L354" s="2"/>
      <c r="M354" s="2"/>
      <c r="N354" s="2"/>
      <c r="O354" s="2"/>
      <c r="P354" s="2"/>
      <c r="Q354" s="2"/>
      <c r="R354" s="7"/>
      <c r="S354" s="224"/>
      <c r="T354" s="224"/>
      <c r="U354" s="224"/>
      <c r="V354" s="224"/>
    </row>
    <row r="355">
      <c r="A355" s="33"/>
      <c r="B355" s="2"/>
      <c r="C355" s="2"/>
      <c r="D355" s="2"/>
      <c r="E355" s="2"/>
      <c r="F355" s="4"/>
      <c r="G355" s="2"/>
      <c r="H355" s="2"/>
      <c r="I355" s="2"/>
      <c r="J355" s="2"/>
      <c r="K355" s="5"/>
      <c r="L355" s="2"/>
      <c r="M355" s="2"/>
      <c r="N355" s="2"/>
      <c r="O355" s="2"/>
      <c r="P355" s="2"/>
      <c r="Q355" s="2"/>
      <c r="R355" s="7"/>
      <c r="S355" s="224"/>
      <c r="T355" s="224"/>
      <c r="U355" s="224"/>
      <c r="V355" s="224"/>
    </row>
    <row r="356">
      <c r="A356" s="33"/>
      <c r="B356" s="2"/>
      <c r="C356" s="2"/>
      <c r="D356" s="2"/>
      <c r="E356" s="2"/>
      <c r="F356" s="4"/>
      <c r="G356" s="2"/>
      <c r="H356" s="2"/>
      <c r="I356" s="2"/>
      <c r="J356" s="2"/>
      <c r="K356" s="5"/>
      <c r="L356" s="2"/>
      <c r="M356" s="2"/>
      <c r="N356" s="2"/>
      <c r="O356" s="2"/>
      <c r="P356" s="2"/>
      <c r="Q356" s="2"/>
      <c r="R356" s="7"/>
      <c r="S356" s="224"/>
      <c r="T356" s="224"/>
      <c r="U356" s="224"/>
      <c r="V356" s="224"/>
    </row>
    <row r="357">
      <c r="A357" s="33"/>
      <c r="B357" s="2"/>
      <c r="C357" s="2"/>
      <c r="D357" s="2"/>
      <c r="E357" s="2"/>
      <c r="F357" s="4"/>
      <c r="G357" s="2"/>
      <c r="H357" s="2"/>
      <c r="I357" s="2"/>
      <c r="J357" s="2"/>
      <c r="K357" s="5"/>
      <c r="L357" s="2"/>
      <c r="M357" s="2"/>
      <c r="N357" s="2"/>
      <c r="O357" s="2"/>
      <c r="P357" s="2"/>
      <c r="Q357" s="2"/>
      <c r="R357" s="7"/>
      <c r="S357" s="224"/>
      <c r="T357" s="224"/>
      <c r="U357" s="224"/>
      <c r="V357" s="224"/>
    </row>
    <row r="358">
      <c r="A358" s="33"/>
      <c r="B358" s="2"/>
      <c r="C358" s="2"/>
      <c r="D358" s="2"/>
      <c r="E358" s="2"/>
      <c r="F358" s="4"/>
      <c r="G358" s="2"/>
      <c r="H358" s="2"/>
      <c r="I358" s="2"/>
      <c r="J358" s="2"/>
      <c r="K358" s="5"/>
      <c r="L358" s="2"/>
      <c r="M358" s="2"/>
      <c r="N358" s="2"/>
      <c r="O358" s="2"/>
      <c r="P358" s="2"/>
      <c r="Q358" s="2"/>
      <c r="R358" s="7"/>
      <c r="S358" s="224"/>
      <c r="T358" s="224"/>
      <c r="U358" s="224"/>
      <c r="V358" s="224"/>
    </row>
    <row r="359">
      <c r="A359" s="33"/>
      <c r="B359" s="2"/>
      <c r="C359" s="2"/>
      <c r="D359" s="2"/>
      <c r="E359" s="2"/>
      <c r="F359" s="4"/>
      <c r="G359" s="2"/>
      <c r="H359" s="2"/>
      <c r="I359" s="2"/>
      <c r="J359" s="2"/>
      <c r="K359" s="5"/>
      <c r="L359" s="2"/>
      <c r="M359" s="2"/>
      <c r="N359" s="2"/>
      <c r="O359" s="2"/>
      <c r="P359" s="2"/>
      <c r="Q359" s="2"/>
      <c r="R359" s="7"/>
      <c r="S359" s="224"/>
      <c r="T359" s="224"/>
      <c r="U359" s="224"/>
      <c r="V359" s="224"/>
    </row>
    <row r="360">
      <c r="A360" s="33"/>
      <c r="B360" s="2"/>
      <c r="C360" s="2"/>
      <c r="D360" s="2"/>
      <c r="E360" s="2"/>
      <c r="F360" s="4"/>
      <c r="G360" s="2"/>
      <c r="H360" s="2"/>
      <c r="I360" s="2"/>
      <c r="J360" s="2"/>
      <c r="K360" s="5"/>
      <c r="L360" s="2"/>
      <c r="M360" s="2"/>
      <c r="N360" s="2"/>
      <c r="O360" s="2"/>
      <c r="P360" s="2"/>
      <c r="Q360" s="2"/>
      <c r="R360" s="7"/>
      <c r="S360" s="224"/>
      <c r="T360" s="224"/>
      <c r="U360" s="224"/>
      <c r="V360" s="224"/>
    </row>
    <row r="361">
      <c r="A361" s="33"/>
      <c r="B361" s="2"/>
      <c r="C361" s="2"/>
      <c r="D361" s="2"/>
      <c r="E361" s="2"/>
      <c r="F361" s="4"/>
      <c r="G361" s="2"/>
      <c r="H361" s="2"/>
      <c r="I361" s="2"/>
      <c r="J361" s="2"/>
      <c r="K361" s="5"/>
      <c r="L361" s="2"/>
      <c r="M361" s="2"/>
      <c r="N361" s="2"/>
      <c r="O361" s="2"/>
      <c r="P361" s="2"/>
      <c r="Q361" s="2"/>
      <c r="R361" s="7"/>
      <c r="S361" s="224"/>
      <c r="T361" s="224"/>
      <c r="U361" s="224"/>
      <c r="V361" s="224"/>
    </row>
    <row r="362">
      <c r="A362" s="33"/>
      <c r="B362" s="2"/>
      <c r="C362" s="2"/>
      <c r="D362" s="2"/>
      <c r="E362" s="2"/>
      <c r="F362" s="4"/>
      <c r="G362" s="2"/>
      <c r="H362" s="2"/>
      <c r="I362" s="2"/>
      <c r="J362" s="2"/>
      <c r="K362" s="5"/>
      <c r="L362" s="2"/>
      <c r="M362" s="2"/>
      <c r="N362" s="2"/>
      <c r="O362" s="2"/>
      <c r="P362" s="2"/>
      <c r="Q362" s="2"/>
      <c r="R362" s="7"/>
      <c r="S362" s="224"/>
      <c r="T362" s="224"/>
      <c r="U362" s="224"/>
      <c r="V362" s="224"/>
    </row>
    <row r="363">
      <c r="A363" s="33"/>
      <c r="B363" s="2"/>
      <c r="C363" s="2"/>
      <c r="D363" s="2"/>
      <c r="E363" s="2"/>
      <c r="F363" s="4"/>
      <c r="G363" s="2"/>
      <c r="H363" s="2"/>
      <c r="I363" s="2"/>
      <c r="J363" s="2"/>
      <c r="K363" s="5"/>
      <c r="L363" s="2"/>
      <c r="M363" s="2"/>
      <c r="N363" s="2"/>
      <c r="O363" s="2"/>
      <c r="P363" s="2"/>
      <c r="Q363" s="2"/>
      <c r="R363" s="7"/>
      <c r="S363" s="224"/>
      <c r="T363" s="224"/>
      <c r="U363" s="224"/>
      <c r="V363" s="224"/>
    </row>
    <row r="364">
      <c r="A364" s="33"/>
      <c r="B364" s="2"/>
      <c r="C364" s="2"/>
      <c r="D364" s="2"/>
      <c r="E364" s="2"/>
      <c r="F364" s="4"/>
      <c r="G364" s="2"/>
      <c r="H364" s="2"/>
      <c r="I364" s="2"/>
      <c r="J364" s="2"/>
      <c r="K364" s="5"/>
      <c r="L364" s="2"/>
      <c r="M364" s="2"/>
      <c r="N364" s="2"/>
      <c r="O364" s="2"/>
      <c r="P364" s="2"/>
      <c r="Q364" s="2"/>
      <c r="R364" s="7"/>
      <c r="S364" s="224"/>
      <c r="T364" s="224"/>
      <c r="U364" s="224"/>
      <c r="V364" s="224"/>
    </row>
    <row r="365">
      <c r="A365" s="33"/>
      <c r="B365" s="2"/>
      <c r="C365" s="2"/>
      <c r="D365" s="2"/>
      <c r="E365" s="2"/>
      <c r="F365" s="4"/>
      <c r="G365" s="2"/>
      <c r="H365" s="2"/>
      <c r="I365" s="2"/>
      <c r="J365" s="2"/>
      <c r="K365" s="5"/>
      <c r="L365" s="2"/>
      <c r="M365" s="2"/>
      <c r="N365" s="2"/>
      <c r="O365" s="2"/>
      <c r="P365" s="2"/>
      <c r="Q365" s="2"/>
      <c r="R365" s="7"/>
      <c r="S365" s="224"/>
      <c r="T365" s="224"/>
      <c r="U365" s="224"/>
      <c r="V365" s="224"/>
    </row>
    <row r="366">
      <c r="A366" s="33"/>
      <c r="B366" s="2"/>
      <c r="C366" s="2"/>
      <c r="D366" s="2"/>
      <c r="E366" s="2"/>
      <c r="F366" s="4"/>
      <c r="G366" s="2"/>
      <c r="H366" s="2"/>
      <c r="I366" s="2"/>
      <c r="J366" s="2"/>
      <c r="K366" s="5"/>
      <c r="L366" s="2"/>
      <c r="M366" s="2"/>
      <c r="N366" s="2"/>
      <c r="O366" s="2"/>
      <c r="P366" s="2"/>
      <c r="Q366" s="2"/>
      <c r="R366" s="7"/>
      <c r="S366" s="224"/>
      <c r="T366" s="224"/>
      <c r="U366" s="224"/>
      <c r="V366" s="224"/>
    </row>
    <row r="367">
      <c r="A367" s="33"/>
      <c r="B367" s="2"/>
      <c r="C367" s="2"/>
      <c r="D367" s="2"/>
      <c r="E367" s="2"/>
      <c r="F367" s="4"/>
      <c r="G367" s="2"/>
      <c r="H367" s="2"/>
      <c r="I367" s="2"/>
      <c r="J367" s="2"/>
      <c r="K367" s="5"/>
      <c r="L367" s="2"/>
      <c r="M367" s="2"/>
      <c r="N367" s="2"/>
      <c r="O367" s="2"/>
      <c r="P367" s="2"/>
      <c r="Q367" s="2"/>
      <c r="R367" s="7"/>
      <c r="S367" s="224"/>
      <c r="T367" s="224"/>
      <c r="U367" s="224"/>
      <c r="V367" s="224"/>
    </row>
    <row r="368">
      <c r="A368" s="33"/>
      <c r="B368" s="2"/>
      <c r="C368" s="2"/>
      <c r="D368" s="2"/>
      <c r="E368" s="2"/>
      <c r="F368" s="4"/>
      <c r="G368" s="2"/>
      <c r="H368" s="2"/>
      <c r="I368" s="2"/>
      <c r="J368" s="2"/>
      <c r="K368" s="5"/>
      <c r="L368" s="2"/>
      <c r="M368" s="2"/>
      <c r="N368" s="2"/>
      <c r="O368" s="2"/>
      <c r="P368" s="2"/>
      <c r="Q368" s="2"/>
      <c r="R368" s="7"/>
      <c r="S368" s="224"/>
      <c r="T368" s="224"/>
      <c r="U368" s="224"/>
      <c r="V368" s="224"/>
    </row>
    <row r="369">
      <c r="A369" s="33"/>
      <c r="B369" s="2"/>
      <c r="C369" s="2"/>
      <c r="D369" s="2"/>
      <c r="E369" s="2"/>
      <c r="F369" s="4"/>
      <c r="G369" s="2"/>
      <c r="H369" s="2"/>
      <c r="I369" s="2"/>
      <c r="J369" s="2"/>
      <c r="K369" s="5"/>
      <c r="L369" s="2"/>
      <c r="M369" s="2"/>
      <c r="N369" s="2"/>
      <c r="O369" s="2"/>
      <c r="P369" s="2"/>
      <c r="Q369" s="2"/>
      <c r="R369" s="7"/>
      <c r="S369" s="224"/>
      <c r="T369" s="224"/>
      <c r="U369" s="224"/>
      <c r="V369" s="224"/>
    </row>
    <row r="370">
      <c r="A370" s="33"/>
      <c r="B370" s="2"/>
      <c r="C370" s="2"/>
      <c r="D370" s="2"/>
      <c r="E370" s="2"/>
      <c r="F370" s="4"/>
      <c r="G370" s="2"/>
      <c r="H370" s="2"/>
      <c r="I370" s="2"/>
      <c r="J370" s="2"/>
      <c r="K370" s="5"/>
      <c r="L370" s="2"/>
      <c r="M370" s="2"/>
      <c r="N370" s="2"/>
      <c r="O370" s="2"/>
      <c r="P370" s="2"/>
      <c r="Q370" s="2"/>
      <c r="R370" s="7"/>
      <c r="S370" s="224"/>
      <c r="T370" s="224"/>
      <c r="U370" s="224"/>
      <c r="V370" s="224"/>
    </row>
    <row r="371">
      <c r="A371" s="33"/>
      <c r="B371" s="2"/>
      <c r="C371" s="2"/>
      <c r="D371" s="2"/>
      <c r="E371" s="2"/>
      <c r="F371" s="4"/>
      <c r="G371" s="2"/>
      <c r="H371" s="2"/>
      <c r="I371" s="2"/>
      <c r="J371" s="2"/>
      <c r="K371" s="5"/>
      <c r="L371" s="2"/>
      <c r="M371" s="2"/>
      <c r="N371" s="2"/>
      <c r="O371" s="2"/>
      <c r="P371" s="2"/>
      <c r="Q371" s="2"/>
      <c r="R371" s="7"/>
      <c r="S371" s="224"/>
      <c r="T371" s="224"/>
      <c r="U371" s="224"/>
      <c r="V371" s="224"/>
    </row>
    <row r="372">
      <c r="A372" s="33"/>
      <c r="B372" s="2"/>
      <c r="C372" s="2"/>
      <c r="D372" s="2"/>
      <c r="E372" s="2"/>
      <c r="F372" s="4"/>
      <c r="G372" s="2"/>
      <c r="H372" s="2"/>
      <c r="I372" s="2"/>
      <c r="J372" s="2"/>
      <c r="K372" s="5"/>
      <c r="L372" s="2"/>
      <c r="M372" s="2"/>
      <c r="N372" s="2"/>
      <c r="O372" s="2"/>
      <c r="P372" s="2"/>
      <c r="Q372" s="2"/>
      <c r="R372" s="7"/>
      <c r="S372" s="224"/>
      <c r="T372" s="224"/>
      <c r="U372" s="224"/>
      <c r="V372" s="224"/>
    </row>
    <row r="373">
      <c r="A373" s="33"/>
      <c r="B373" s="2"/>
      <c r="C373" s="2"/>
      <c r="D373" s="2"/>
      <c r="E373" s="2"/>
      <c r="F373" s="4"/>
      <c r="G373" s="2"/>
      <c r="H373" s="2"/>
      <c r="I373" s="2"/>
      <c r="J373" s="2"/>
      <c r="K373" s="5"/>
      <c r="L373" s="2"/>
      <c r="M373" s="2"/>
      <c r="N373" s="2"/>
      <c r="O373" s="2"/>
      <c r="P373" s="2"/>
      <c r="Q373" s="2"/>
      <c r="R373" s="7"/>
      <c r="S373" s="224"/>
      <c r="T373" s="224"/>
      <c r="U373" s="224"/>
      <c r="V373" s="224"/>
    </row>
    <row r="374">
      <c r="A374" s="33"/>
      <c r="B374" s="2"/>
      <c r="C374" s="2"/>
      <c r="D374" s="2"/>
      <c r="E374" s="2"/>
      <c r="F374" s="4"/>
      <c r="G374" s="2"/>
      <c r="H374" s="2"/>
      <c r="I374" s="2"/>
      <c r="J374" s="2"/>
      <c r="K374" s="5"/>
      <c r="L374" s="2"/>
      <c r="M374" s="2"/>
      <c r="N374" s="2"/>
      <c r="O374" s="2"/>
      <c r="P374" s="2"/>
      <c r="Q374" s="2"/>
      <c r="R374" s="7"/>
      <c r="S374" s="224"/>
      <c r="T374" s="224"/>
      <c r="U374" s="224"/>
      <c r="V374" s="224"/>
    </row>
    <row r="375">
      <c r="A375" s="33"/>
      <c r="B375" s="2"/>
      <c r="C375" s="2"/>
      <c r="D375" s="2"/>
      <c r="E375" s="2"/>
      <c r="F375" s="4"/>
      <c r="G375" s="2"/>
      <c r="H375" s="2"/>
      <c r="I375" s="2"/>
      <c r="J375" s="2"/>
      <c r="K375" s="5"/>
      <c r="L375" s="2"/>
      <c r="M375" s="2"/>
      <c r="N375" s="2"/>
      <c r="O375" s="2"/>
      <c r="P375" s="2"/>
      <c r="Q375" s="2"/>
      <c r="R375" s="7"/>
      <c r="S375" s="224"/>
      <c r="T375" s="224"/>
      <c r="U375" s="224"/>
      <c r="V375" s="224"/>
    </row>
    <row r="376">
      <c r="A376" s="33"/>
      <c r="B376" s="2"/>
      <c r="C376" s="2"/>
      <c r="D376" s="2"/>
      <c r="E376" s="2"/>
      <c r="F376" s="4"/>
      <c r="G376" s="2"/>
      <c r="H376" s="2"/>
      <c r="I376" s="2"/>
      <c r="J376" s="2"/>
      <c r="K376" s="5"/>
      <c r="L376" s="2"/>
      <c r="M376" s="2"/>
      <c r="N376" s="2"/>
      <c r="O376" s="2"/>
      <c r="P376" s="2"/>
      <c r="Q376" s="2"/>
      <c r="R376" s="7"/>
      <c r="S376" s="224"/>
      <c r="T376" s="224"/>
      <c r="U376" s="224"/>
      <c r="V376" s="224"/>
    </row>
    <row r="377">
      <c r="A377" s="33"/>
      <c r="B377" s="2"/>
      <c r="C377" s="2"/>
      <c r="D377" s="2"/>
      <c r="E377" s="2"/>
      <c r="F377" s="4"/>
      <c r="G377" s="2"/>
      <c r="H377" s="2"/>
      <c r="I377" s="2"/>
      <c r="J377" s="2"/>
      <c r="K377" s="5"/>
      <c r="L377" s="2"/>
      <c r="M377" s="2"/>
      <c r="N377" s="2"/>
      <c r="O377" s="2"/>
      <c r="P377" s="2"/>
      <c r="Q377" s="2"/>
      <c r="R377" s="7"/>
      <c r="S377" s="224"/>
      <c r="T377" s="224"/>
      <c r="U377" s="224"/>
      <c r="V377" s="224"/>
    </row>
    <row r="378">
      <c r="A378" s="33"/>
      <c r="B378" s="2"/>
      <c r="C378" s="2"/>
      <c r="D378" s="2"/>
      <c r="E378" s="2"/>
      <c r="F378" s="4"/>
      <c r="G378" s="2"/>
      <c r="H378" s="2"/>
      <c r="I378" s="2"/>
      <c r="J378" s="2"/>
      <c r="K378" s="5"/>
      <c r="L378" s="2"/>
      <c r="M378" s="2"/>
      <c r="N378" s="2"/>
      <c r="O378" s="2"/>
      <c r="P378" s="2"/>
      <c r="Q378" s="2"/>
      <c r="R378" s="7"/>
      <c r="S378" s="224"/>
      <c r="T378" s="224"/>
      <c r="U378" s="224"/>
      <c r="V378" s="224"/>
    </row>
    <row r="379">
      <c r="A379" s="33"/>
      <c r="B379" s="2"/>
      <c r="C379" s="2"/>
      <c r="D379" s="2"/>
      <c r="E379" s="2"/>
      <c r="F379" s="4"/>
      <c r="G379" s="2"/>
      <c r="H379" s="2"/>
      <c r="I379" s="2"/>
      <c r="J379" s="2"/>
      <c r="K379" s="5"/>
      <c r="L379" s="2"/>
      <c r="M379" s="2"/>
      <c r="N379" s="2"/>
      <c r="O379" s="2"/>
      <c r="P379" s="2"/>
      <c r="Q379" s="2"/>
      <c r="R379" s="7"/>
      <c r="S379" s="224"/>
      <c r="T379" s="224"/>
      <c r="U379" s="224"/>
      <c r="V379" s="224"/>
    </row>
    <row r="380">
      <c r="A380" s="33"/>
      <c r="B380" s="2"/>
      <c r="C380" s="2"/>
      <c r="D380" s="2"/>
      <c r="E380" s="2"/>
      <c r="F380" s="4"/>
      <c r="G380" s="2"/>
      <c r="H380" s="2"/>
      <c r="I380" s="2"/>
      <c r="J380" s="2"/>
      <c r="K380" s="5"/>
      <c r="L380" s="2"/>
      <c r="M380" s="2"/>
      <c r="N380" s="2"/>
      <c r="O380" s="2"/>
      <c r="P380" s="2"/>
      <c r="Q380" s="2"/>
      <c r="R380" s="7"/>
      <c r="S380" s="224"/>
      <c r="T380" s="224"/>
      <c r="U380" s="224"/>
      <c r="V380" s="224"/>
    </row>
    <row r="381">
      <c r="A381" s="33"/>
      <c r="B381" s="2"/>
      <c r="C381" s="2"/>
      <c r="D381" s="2"/>
      <c r="E381" s="2"/>
      <c r="F381" s="4"/>
      <c r="G381" s="2"/>
      <c r="H381" s="2"/>
      <c r="I381" s="2"/>
      <c r="J381" s="2"/>
      <c r="K381" s="5"/>
      <c r="L381" s="2"/>
      <c r="M381" s="2"/>
      <c r="N381" s="2"/>
      <c r="O381" s="2"/>
      <c r="P381" s="2"/>
      <c r="Q381" s="2"/>
      <c r="R381" s="7"/>
      <c r="S381" s="224"/>
      <c r="T381" s="224"/>
      <c r="U381" s="224"/>
      <c r="V381" s="224"/>
    </row>
    <row r="382">
      <c r="A382" s="33"/>
      <c r="B382" s="2"/>
      <c r="C382" s="2"/>
      <c r="D382" s="2"/>
      <c r="E382" s="2"/>
      <c r="F382" s="4"/>
      <c r="G382" s="2"/>
      <c r="H382" s="2"/>
      <c r="I382" s="2"/>
      <c r="J382" s="2"/>
      <c r="K382" s="5"/>
      <c r="L382" s="2"/>
      <c r="M382" s="2"/>
      <c r="N382" s="2"/>
      <c r="O382" s="2"/>
      <c r="P382" s="2"/>
      <c r="Q382" s="2"/>
      <c r="R382" s="7"/>
      <c r="S382" s="224"/>
      <c r="T382" s="224"/>
      <c r="U382" s="224"/>
      <c r="V382" s="224"/>
    </row>
    <row r="383">
      <c r="A383" s="33"/>
      <c r="B383" s="2"/>
      <c r="C383" s="2"/>
      <c r="D383" s="2"/>
      <c r="E383" s="2"/>
      <c r="F383" s="4"/>
      <c r="G383" s="2"/>
      <c r="H383" s="2"/>
      <c r="I383" s="2"/>
      <c r="J383" s="2"/>
      <c r="K383" s="5"/>
      <c r="L383" s="2"/>
      <c r="M383" s="2"/>
      <c r="N383" s="2"/>
      <c r="O383" s="2"/>
      <c r="P383" s="2"/>
      <c r="Q383" s="2"/>
      <c r="R383" s="7"/>
      <c r="S383" s="224"/>
      <c r="T383" s="224"/>
      <c r="U383" s="224"/>
      <c r="V383" s="224"/>
    </row>
    <row r="384">
      <c r="A384" s="33"/>
      <c r="B384" s="2"/>
      <c r="C384" s="2"/>
      <c r="D384" s="2"/>
      <c r="E384" s="2"/>
      <c r="F384" s="4"/>
      <c r="G384" s="2"/>
      <c r="H384" s="2"/>
      <c r="I384" s="2"/>
      <c r="J384" s="2"/>
      <c r="K384" s="5"/>
      <c r="L384" s="2"/>
      <c r="M384" s="2"/>
      <c r="N384" s="2"/>
      <c r="O384" s="2"/>
      <c r="P384" s="2"/>
      <c r="Q384" s="2"/>
      <c r="R384" s="7"/>
      <c r="S384" s="224"/>
      <c r="T384" s="224"/>
      <c r="U384" s="224"/>
      <c r="V384" s="224"/>
    </row>
    <row r="385">
      <c r="A385" s="33"/>
      <c r="B385" s="2"/>
      <c r="C385" s="2"/>
      <c r="D385" s="2"/>
      <c r="E385" s="2"/>
      <c r="F385" s="4"/>
      <c r="G385" s="2"/>
      <c r="H385" s="2"/>
      <c r="I385" s="2"/>
      <c r="J385" s="2"/>
      <c r="K385" s="5"/>
      <c r="L385" s="2"/>
      <c r="M385" s="2"/>
      <c r="N385" s="2"/>
      <c r="O385" s="2"/>
      <c r="P385" s="2"/>
      <c r="Q385" s="2"/>
      <c r="R385" s="7"/>
      <c r="S385" s="224"/>
      <c r="T385" s="224"/>
      <c r="U385" s="224"/>
      <c r="V385" s="224"/>
    </row>
    <row r="386">
      <c r="A386" s="33"/>
      <c r="B386" s="2"/>
      <c r="C386" s="2"/>
      <c r="D386" s="2"/>
      <c r="E386" s="2"/>
      <c r="F386" s="4"/>
      <c r="G386" s="2"/>
      <c r="H386" s="2"/>
      <c r="I386" s="2"/>
      <c r="J386" s="2"/>
      <c r="K386" s="5"/>
      <c r="L386" s="2"/>
      <c r="M386" s="2"/>
      <c r="N386" s="2"/>
      <c r="O386" s="2"/>
      <c r="P386" s="2"/>
      <c r="Q386" s="2"/>
      <c r="R386" s="7"/>
      <c r="S386" s="224"/>
      <c r="T386" s="224"/>
      <c r="U386" s="224"/>
      <c r="V386" s="224"/>
    </row>
    <row r="387">
      <c r="A387" s="33"/>
      <c r="B387" s="2"/>
      <c r="C387" s="2"/>
      <c r="D387" s="2"/>
      <c r="E387" s="2"/>
      <c r="F387" s="4"/>
      <c r="G387" s="2"/>
      <c r="H387" s="2"/>
      <c r="I387" s="2"/>
      <c r="J387" s="2"/>
      <c r="K387" s="5"/>
      <c r="L387" s="2"/>
      <c r="M387" s="2"/>
      <c r="N387" s="2"/>
      <c r="O387" s="2"/>
      <c r="P387" s="2"/>
      <c r="Q387" s="2"/>
      <c r="R387" s="7"/>
      <c r="S387" s="224"/>
      <c r="T387" s="224"/>
      <c r="U387" s="224"/>
      <c r="V387" s="224"/>
    </row>
    <row r="388">
      <c r="A388" s="33"/>
      <c r="B388" s="2"/>
      <c r="C388" s="2"/>
      <c r="D388" s="2"/>
      <c r="E388" s="2"/>
      <c r="F388" s="4"/>
      <c r="G388" s="2"/>
      <c r="H388" s="2"/>
      <c r="I388" s="2"/>
      <c r="J388" s="2"/>
      <c r="K388" s="5"/>
      <c r="L388" s="2"/>
      <c r="M388" s="2"/>
      <c r="N388" s="2"/>
      <c r="O388" s="2"/>
      <c r="P388" s="2"/>
      <c r="Q388" s="2"/>
      <c r="R388" s="7"/>
      <c r="S388" s="224"/>
      <c r="T388" s="224"/>
      <c r="U388" s="224"/>
      <c r="V388" s="224"/>
    </row>
    <row r="389">
      <c r="A389" s="33"/>
      <c r="B389" s="2"/>
      <c r="C389" s="2"/>
      <c r="D389" s="2"/>
      <c r="E389" s="2"/>
      <c r="F389" s="4"/>
      <c r="G389" s="2"/>
      <c r="H389" s="2"/>
      <c r="I389" s="2"/>
      <c r="J389" s="2"/>
      <c r="K389" s="5"/>
      <c r="L389" s="2"/>
      <c r="M389" s="2"/>
      <c r="N389" s="2"/>
      <c r="O389" s="2"/>
      <c r="P389" s="2"/>
      <c r="Q389" s="2"/>
      <c r="R389" s="7"/>
      <c r="S389" s="224"/>
      <c r="T389" s="224"/>
      <c r="U389" s="224"/>
      <c r="V389" s="224"/>
    </row>
    <row r="390">
      <c r="A390" s="33"/>
      <c r="B390" s="2"/>
      <c r="C390" s="2"/>
      <c r="D390" s="2"/>
      <c r="E390" s="2"/>
      <c r="F390" s="4"/>
      <c r="G390" s="2"/>
      <c r="H390" s="2"/>
      <c r="I390" s="2"/>
      <c r="J390" s="2"/>
      <c r="K390" s="5"/>
      <c r="L390" s="2"/>
      <c r="M390" s="2"/>
      <c r="N390" s="2"/>
      <c r="O390" s="2"/>
      <c r="P390" s="2"/>
      <c r="Q390" s="2"/>
      <c r="R390" s="7"/>
      <c r="S390" s="224"/>
      <c r="T390" s="224"/>
      <c r="U390" s="224"/>
      <c r="V390" s="224"/>
    </row>
    <row r="391">
      <c r="A391" s="33"/>
      <c r="B391" s="2"/>
      <c r="C391" s="2"/>
      <c r="D391" s="2"/>
      <c r="E391" s="2"/>
      <c r="F391" s="4"/>
      <c r="G391" s="2"/>
      <c r="H391" s="2"/>
      <c r="I391" s="2"/>
      <c r="J391" s="2"/>
      <c r="K391" s="5"/>
      <c r="L391" s="2"/>
      <c r="M391" s="2"/>
      <c r="N391" s="2"/>
      <c r="O391" s="2"/>
      <c r="P391" s="2"/>
      <c r="Q391" s="2"/>
      <c r="R391" s="7"/>
      <c r="S391" s="224"/>
      <c r="T391" s="224"/>
      <c r="U391" s="224"/>
      <c r="V391" s="224"/>
    </row>
    <row r="392">
      <c r="A392" s="33"/>
      <c r="B392" s="2"/>
      <c r="C392" s="2"/>
      <c r="D392" s="2"/>
      <c r="E392" s="2"/>
      <c r="F392" s="4"/>
      <c r="G392" s="2"/>
      <c r="H392" s="2"/>
      <c r="I392" s="2"/>
      <c r="J392" s="2"/>
      <c r="K392" s="5"/>
      <c r="L392" s="2"/>
      <c r="M392" s="2"/>
      <c r="N392" s="2"/>
      <c r="O392" s="2"/>
      <c r="P392" s="2"/>
      <c r="Q392" s="2"/>
      <c r="R392" s="7"/>
      <c r="S392" s="224"/>
      <c r="T392" s="224"/>
      <c r="U392" s="224"/>
      <c r="V392" s="224"/>
    </row>
    <row r="393">
      <c r="A393" s="33"/>
      <c r="B393" s="2"/>
      <c r="C393" s="2"/>
      <c r="D393" s="2"/>
      <c r="E393" s="2"/>
      <c r="F393" s="4"/>
      <c r="G393" s="2"/>
      <c r="H393" s="2"/>
      <c r="I393" s="2"/>
      <c r="J393" s="2"/>
      <c r="K393" s="5"/>
      <c r="L393" s="2"/>
      <c r="M393" s="2"/>
      <c r="N393" s="2"/>
      <c r="O393" s="2"/>
      <c r="P393" s="2"/>
      <c r="Q393" s="2"/>
      <c r="R393" s="7"/>
      <c r="S393" s="224"/>
      <c r="T393" s="224"/>
      <c r="U393" s="224"/>
      <c r="V393" s="224"/>
    </row>
    <row r="394">
      <c r="A394" s="33"/>
      <c r="B394" s="2"/>
      <c r="C394" s="2"/>
      <c r="D394" s="2"/>
      <c r="E394" s="2"/>
      <c r="F394" s="4"/>
      <c r="G394" s="2"/>
      <c r="H394" s="2"/>
      <c r="I394" s="2"/>
      <c r="J394" s="2"/>
      <c r="K394" s="5"/>
      <c r="L394" s="2"/>
      <c r="M394" s="2"/>
      <c r="N394" s="2"/>
      <c r="O394" s="2"/>
      <c r="P394" s="2"/>
      <c r="Q394" s="2"/>
      <c r="R394" s="7"/>
      <c r="S394" s="224"/>
      <c r="T394" s="224"/>
      <c r="U394" s="224"/>
      <c r="V394" s="224"/>
    </row>
    <row r="395">
      <c r="A395" s="33"/>
      <c r="B395" s="2"/>
      <c r="C395" s="2"/>
      <c r="D395" s="2"/>
      <c r="E395" s="2"/>
      <c r="F395" s="4"/>
      <c r="G395" s="2"/>
      <c r="H395" s="2"/>
      <c r="I395" s="2"/>
      <c r="J395" s="2"/>
      <c r="K395" s="5"/>
      <c r="L395" s="2"/>
      <c r="M395" s="2"/>
      <c r="N395" s="2"/>
      <c r="O395" s="2"/>
      <c r="P395" s="2"/>
      <c r="Q395" s="2"/>
      <c r="R395" s="7"/>
      <c r="S395" s="224"/>
      <c r="T395" s="224"/>
      <c r="U395" s="224"/>
      <c r="V395" s="224"/>
    </row>
    <row r="396">
      <c r="A396" s="33"/>
      <c r="B396" s="2"/>
      <c r="C396" s="2"/>
      <c r="D396" s="2"/>
      <c r="E396" s="2"/>
      <c r="F396" s="4"/>
      <c r="G396" s="2"/>
      <c r="H396" s="2"/>
      <c r="I396" s="2"/>
      <c r="J396" s="2"/>
      <c r="K396" s="5"/>
      <c r="L396" s="2"/>
      <c r="M396" s="2"/>
      <c r="N396" s="2"/>
      <c r="O396" s="2"/>
      <c r="P396" s="2"/>
      <c r="Q396" s="2"/>
      <c r="R396" s="7"/>
      <c r="S396" s="224"/>
      <c r="T396" s="224"/>
      <c r="U396" s="224"/>
      <c r="V396" s="224"/>
    </row>
    <row r="397">
      <c r="A397" s="33"/>
      <c r="B397" s="2"/>
      <c r="C397" s="2"/>
      <c r="D397" s="2"/>
      <c r="E397" s="2"/>
      <c r="F397" s="4"/>
      <c r="G397" s="2"/>
      <c r="H397" s="2"/>
      <c r="I397" s="2"/>
      <c r="J397" s="2"/>
      <c r="K397" s="5"/>
      <c r="L397" s="2"/>
      <c r="M397" s="2"/>
      <c r="N397" s="2"/>
      <c r="O397" s="2"/>
      <c r="P397" s="2"/>
      <c r="Q397" s="2"/>
      <c r="R397" s="7"/>
      <c r="S397" s="224"/>
      <c r="T397" s="224"/>
      <c r="U397" s="224"/>
      <c r="V397" s="224"/>
    </row>
    <row r="398">
      <c r="A398" s="33"/>
      <c r="B398" s="2"/>
      <c r="C398" s="2"/>
      <c r="D398" s="2"/>
      <c r="E398" s="2"/>
      <c r="F398" s="4"/>
      <c r="G398" s="2"/>
      <c r="H398" s="2"/>
      <c r="I398" s="2"/>
      <c r="J398" s="2"/>
      <c r="K398" s="5"/>
      <c r="L398" s="2"/>
      <c r="M398" s="2"/>
      <c r="N398" s="2"/>
      <c r="O398" s="2"/>
      <c r="P398" s="2"/>
      <c r="Q398" s="2"/>
      <c r="R398" s="7"/>
      <c r="S398" s="224"/>
      <c r="T398" s="224"/>
      <c r="U398" s="224"/>
      <c r="V398" s="224"/>
    </row>
    <row r="399">
      <c r="A399" s="33"/>
      <c r="B399" s="2"/>
      <c r="C399" s="2"/>
      <c r="D399" s="2"/>
      <c r="E399" s="2"/>
      <c r="F399" s="4"/>
      <c r="G399" s="2"/>
      <c r="H399" s="2"/>
      <c r="I399" s="2"/>
      <c r="J399" s="2"/>
      <c r="K399" s="5"/>
      <c r="L399" s="2"/>
      <c r="M399" s="2"/>
      <c r="N399" s="2"/>
      <c r="O399" s="2"/>
      <c r="P399" s="2"/>
      <c r="Q399" s="2"/>
      <c r="R399" s="7"/>
      <c r="S399" s="224"/>
      <c r="T399" s="224"/>
      <c r="U399" s="224"/>
      <c r="V399" s="224"/>
    </row>
    <row r="400">
      <c r="A400" s="33"/>
      <c r="B400" s="2"/>
      <c r="C400" s="2"/>
      <c r="D400" s="2"/>
      <c r="E400" s="2"/>
      <c r="F400" s="4"/>
      <c r="G400" s="2"/>
      <c r="H400" s="2"/>
      <c r="I400" s="2"/>
      <c r="J400" s="2"/>
      <c r="K400" s="5"/>
      <c r="L400" s="2"/>
      <c r="M400" s="2"/>
      <c r="N400" s="2"/>
      <c r="O400" s="2"/>
      <c r="P400" s="2"/>
      <c r="Q400" s="2"/>
      <c r="R400" s="7"/>
      <c r="S400" s="224"/>
      <c r="T400" s="224"/>
      <c r="U400" s="224"/>
      <c r="V400" s="224"/>
    </row>
    <row r="401">
      <c r="A401" s="33"/>
      <c r="B401" s="2"/>
      <c r="C401" s="2"/>
      <c r="D401" s="2"/>
      <c r="E401" s="2"/>
      <c r="F401" s="4"/>
      <c r="G401" s="2"/>
      <c r="H401" s="2"/>
      <c r="I401" s="2"/>
      <c r="J401" s="2"/>
      <c r="K401" s="5"/>
      <c r="L401" s="2"/>
      <c r="M401" s="2"/>
      <c r="N401" s="2"/>
      <c r="O401" s="2"/>
      <c r="P401" s="2"/>
      <c r="Q401" s="2"/>
      <c r="R401" s="7"/>
      <c r="S401" s="224"/>
      <c r="T401" s="224"/>
      <c r="U401" s="224"/>
      <c r="V401" s="224"/>
    </row>
    <row r="402">
      <c r="A402" s="33"/>
      <c r="B402" s="2"/>
      <c r="C402" s="2"/>
      <c r="D402" s="2"/>
      <c r="E402" s="2"/>
      <c r="F402" s="4"/>
      <c r="G402" s="2"/>
      <c r="H402" s="2"/>
      <c r="I402" s="2"/>
      <c r="J402" s="2"/>
      <c r="K402" s="5"/>
      <c r="L402" s="2"/>
      <c r="M402" s="2"/>
      <c r="N402" s="2"/>
      <c r="O402" s="2"/>
      <c r="P402" s="2"/>
      <c r="Q402" s="2"/>
      <c r="R402" s="7"/>
      <c r="S402" s="224"/>
      <c r="T402" s="224"/>
      <c r="U402" s="224"/>
      <c r="V402" s="224"/>
    </row>
    <row r="403">
      <c r="A403" s="33"/>
      <c r="B403" s="2"/>
      <c r="C403" s="2"/>
      <c r="D403" s="2"/>
      <c r="E403" s="2"/>
      <c r="F403" s="4"/>
      <c r="G403" s="2"/>
      <c r="H403" s="2"/>
      <c r="I403" s="2"/>
      <c r="J403" s="2"/>
      <c r="K403" s="5"/>
      <c r="L403" s="2"/>
      <c r="M403" s="2"/>
      <c r="N403" s="2"/>
      <c r="O403" s="2"/>
      <c r="P403" s="2"/>
      <c r="Q403" s="2"/>
      <c r="R403" s="7"/>
      <c r="S403" s="224"/>
      <c r="T403" s="224"/>
      <c r="U403" s="224"/>
      <c r="V403" s="224"/>
    </row>
    <row r="404">
      <c r="A404" s="33"/>
      <c r="B404" s="2"/>
      <c r="C404" s="2"/>
      <c r="D404" s="2"/>
      <c r="E404" s="2"/>
      <c r="F404" s="4"/>
      <c r="G404" s="2"/>
      <c r="H404" s="2"/>
      <c r="I404" s="2"/>
      <c r="J404" s="2"/>
      <c r="K404" s="5"/>
      <c r="L404" s="2"/>
      <c r="M404" s="2"/>
      <c r="N404" s="2"/>
      <c r="O404" s="2"/>
      <c r="P404" s="2"/>
      <c r="Q404" s="2"/>
      <c r="R404" s="7"/>
      <c r="S404" s="224"/>
      <c r="T404" s="224"/>
      <c r="U404" s="224"/>
      <c r="V404" s="224"/>
    </row>
    <row r="405">
      <c r="A405" s="33"/>
      <c r="B405" s="2"/>
      <c r="C405" s="2"/>
      <c r="D405" s="2"/>
      <c r="E405" s="2"/>
      <c r="F405" s="4"/>
      <c r="G405" s="2"/>
      <c r="H405" s="2"/>
      <c r="I405" s="2"/>
      <c r="J405" s="2"/>
      <c r="K405" s="5"/>
      <c r="L405" s="2"/>
      <c r="M405" s="2"/>
      <c r="N405" s="2"/>
      <c r="O405" s="2"/>
      <c r="P405" s="2"/>
      <c r="Q405" s="2"/>
      <c r="R405" s="7"/>
      <c r="S405" s="224"/>
      <c r="T405" s="224"/>
      <c r="U405" s="224"/>
      <c r="V405" s="224"/>
    </row>
    <row r="406">
      <c r="A406" s="33"/>
      <c r="B406" s="2"/>
      <c r="C406" s="2"/>
      <c r="D406" s="2"/>
      <c r="E406" s="2"/>
      <c r="F406" s="4"/>
      <c r="G406" s="2"/>
      <c r="H406" s="2"/>
      <c r="I406" s="2"/>
      <c r="J406" s="2"/>
      <c r="K406" s="5"/>
      <c r="L406" s="2"/>
      <c r="M406" s="2"/>
      <c r="N406" s="2"/>
      <c r="O406" s="2"/>
      <c r="P406" s="2"/>
      <c r="Q406" s="2"/>
      <c r="R406" s="7"/>
      <c r="S406" s="224"/>
      <c r="T406" s="224"/>
      <c r="U406" s="224"/>
      <c r="V406" s="224"/>
    </row>
    <row r="407">
      <c r="A407" s="33"/>
      <c r="B407" s="2"/>
      <c r="C407" s="2"/>
      <c r="D407" s="2"/>
      <c r="E407" s="2"/>
      <c r="F407" s="4"/>
      <c r="G407" s="2"/>
      <c r="H407" s="2"/>
      <c r="I407" s="2"/>
      <c r="J407" s="2"/>
      <c r="K407" s="5"/>
      <c r="L407" s="2"/>
      <c r="M407" s="2"/>
      <c r="N407" s="2"/>
      <c r="O407" s="2"/>
      <c r="P407" s="2"/>
      <c r="Q407" s="2"/>
      <c r="R407" s="7"/>
      <c r="S407" s="224"/>
      <c r="T407" s="224"/>
      <c r="U407" s="224"/>
      <c r="V407" s="224"/>
    </row>
    <row r="408">
      <c r="A408" s="33"/>
      <c r="B408" s="2"/>
      <c r="C408" s="2"/>
      <c r="D408" s="2"/>
      <c r="E408" s="2"/>
      <c r="F408" s="4"/>
      <c r="G408" s="2"/>
      <c r="H408" s="2"/>
      <c r="I408" s="2"/>
      <c r="J408" s="2"/>
      <c r="K408" s="5"/>
      <c r="L408" s="2"/>
      <c r="M408" s="2"/>
      <c r="N408" s="2"/>
      <c r="O408" s="2"/>
      <c r="P408" s="2"/>
      <c r="Q408" s="2"/>
      <c r="R408" s="7"/>
      <c r="S408" s="224"/>
      <c r="T408" s="224"/>
      <c r="U408" s="224"/>
      <c r="V408" s="224"/>
    </row>
    <row r="409">
      <c r="A409" s="33"/>
      <c r="B409" s="2"/>
      <c r="C409" s="2"/>
      <c r="D409" s="2"/>
      <c r="E409" s="2"/>
      <c r="F409" s="4"/>
      <c r="G409" s="2"/>
      <c r="H409" s="2"/>
      <c r="I409" s="2"/>
      <c r="J409" s="2"/>
      <c r="K409" s="5"/>
      <c r="L409" s="2"/>
      <c r="M409" s="2"/>
      <c r="N409" s="2"/>
      <c r="O409" s="2"/>
      <c r="P409" s="2"/>
      <c r="Q409" s="2"/>
      <c r="R409" s="7"/>
      <c r="S409" s="224"/>
      <c r="T409" s="224"/>
      <c r="U409" s="224"/>
      <c r="V409" s="224"/>
    </row>
    <row r="410">
      <c r="A410" s="33"/>
      <c r="B410" s="2"/>
      <c r="C410" s="2"/>
      <c r="D410" s="2"/>
      <c r="E410" s="2"/>
      <c r="F410" s="4"/>
      <c r="G410" s="2"/>
      <c r="H410" s="2"/>
      <c r="I410" s="2"/>
      <c r="J410" s="2"/>
      <c r="K410" s="5"/>
      <c r="L410" s="2"/>
      <c r="M410" s="2"/>
      <c r="N410" s="2"/>
      <c r="O410" s="2"/>
      <c r="P410" s="2"/>
      <c r="Q410" s="2"/>
      <c r="R410" s="7"/>
      <c r="S410" s="224"/>
      <c r="T410" s="224"/>
      <c r="U410" s="224"/>
      <c r="V410" s="224"/>
    </row>
    <row r="411">
      <c r="A411" s="33"/>
      <c r="B411" s="2"/>
      <c r="C411" s="2"/>
      <c r="D411" s="2"/>
      <c r="E411" s="2"/>
      <c r="F411" s="4"/>
      <c r="G411" s="2"/>
      <c r="H411" s="2"/>
      <c r="I411" s="2"/>
      <c r="J411" s="2"/>
      <c r="K411" s="5"/>
      <c r="L411" s="2"/>
      <c r="M411" s="2"/>
      <c r="N411" s="2"/>
      <c r="O411" s="2"/>
      <c r="P411" s="2"/>
      <c r="Q411" s="2"/>
      <c r="R411" s="7"/>
      <c r="S411" s="224"/>
      <c r="T411" s="224"/>
      <c r="U411" s="224"/>
      <c r="V411" s="224"/>
    </row>
    <row r="412">
      <c r="A412" s="33"/>
      <c r="B412" s="2"/>
      <c r="C412" s="2"/>
      <c r="D412" s="2"/>
      <c r="E412" s="2"/>
      <c r="F412" s="4"/>
      <c r="G412" s="2"/>
      <c r="H412" s="2"/>
      <c r="I412" s="2"/>
      <c r="J412" s="2"/>
      <c r="K412" s="5"/>
      <c r="L412" s="2"/>
      <c r="M412" s="2"/>
      <c r="N412" s="2"/>
      <c r="O412" s="2"/>
      <c r="P412" s="2"/>
      <c r="Q412" s="2"/>
      <c r="R412" s="7"/>
      <c r="S412" s="224"/>
      <c r="T412" s="224"/>
      <c r="U412" s="224"/>
      <c r="V412" s="224"/>
    </row>
    <row r="413">
      <c r="A413" s="33"/>
      <c r="B413" s="2"/>
      <c r="C413" s="2"/>
      <c r="D413" s="2"/>
      <c r="E413" s="2"/>
      <c r="F413" s="4"/>
      <c r="G413" s="2"/>
      <c r="H413" s="2"/>
      <c r="I413" s="2"/>
      <c r="J413" s="2"/>
      <c r="K413" s="5"/>
      <c r="L413" s="2"/>
      <c r="M413" s="2"/>
      <c r="N413" s="2"/>
      <c r="O413" s="2"/>
      <c r="P413" s="2"/>
      <c r="Q413" s="2"/>
      <c r="R413" s="7"/>
      <c r="S413" s="224"/>
      <c r="T413" s="224"/>
      <c r="U413" s="224"/>
      <c r="V413" s="224"/>
    </row>
    <row r="414">
      <c r="A414" s="33"/>
      <c r="B414" s="2"/>
      <c r="C414" s="2"/>
      <c r="D414" s="2"/>
      <c r="E414" s="2"/>
      <c r="F414" s="4"/>
      <c r="G414" s="2"/>
      <c r="H414" s="2"/>
      <c r="I414" s="2"/>
      <c r="J414" s="2"/>
      <c r="K414" s="5"/>
      <c r="L414" s="2"/>
      <c r="M414" s="2"/>
      <c r="N414" s="2"/>
      <c r="O414" s="2"/>
      <c r="P414" s="2"/>
      <c r="Q414" s="2"/>
      <c r="R414" s="7"/>
      <c r="S414" s="224"/>
      <c r="T414" s="224"/>
      <c r="U414" s="224"/>
      <c r="V414" s="224"/>
    </row>
    <row r="415">
      <c r="A415" s="33"/>
      <c r="B415" s="2"/>
      <c r="C415" s="2"/>
      <c r="D415" s="2"/>
      <c r="E415" s="2"/>
      <c r="F415" s="4"/>
      <c r="G415" s="2"/>
      <c r="H415" s="2"/>
      <c r="I415" s="2"/>
      <c r="J415" s="2"/>
      <c r="K415" s="5"/>
      <c r="L415" s="2"/>
      <c r="M415" s="2"/>
      <c r="N415" s="2"/>
      <c r="O415" s="2"/>
      <c r="P415" s="2"/>
      <c r="Q415" s="2"/>
      <c r="R415" s="7"/>
      <c r="S415" s="224"/>
      <c r="T415" s="224"/>
      <c r="U415" s="224"/>
      <c r="V415" s="224"/>
    </row>
    <row r="416">
      <c r="A416" s="33"/>
      <c r="B416" s="2"/>
      <c r="C416" s="2"/>
      <c r="D416" s="2"/>
      <c r="E416" s="2"/>
      <c r="F416" s="4"/>
      <c r="G416" s="2"/>
      <c r="H416" s="2"/>
      <c r="I416" s="2"/>
      <c r="J416" s="2"/>
      <c r="K416" s="5"/>
      <c r="L416" s="2"/>
      <c r="M416" s="2"/>
      <c r="N416" s="2"/>
      <c r="O416" s="2"/>
      <c r="P416" s="2"/>
      <c r="Q416" s="2"/>
      <c r="R416" s="7"/>
      <c r="S416" s="224"/>
      <c r="T416" s="224"/>
      <c r="U416" s="224"/>
      <c r="V416" s="224"/>
    </row>
    <row r="417">
      <c r="A417" s="33"/>
      <c r="B417" s="2"/>
      <c r="C417" s="2"/>
      <c r="D417" s="2"/>
      <c r="E417" s="2"/>
      <c r="F417" s="4"/>
      <c r="G417" s="2"/>
      <c r="H417" s="2"/>
      <c r="I417" s="2"/>
      <c r="J417" s="2"/>
      <c r="K417" s="5"/>
      <c r="L417" s="2"/>
      <c r="M417" s="2"/>
      <c r="N417" s="2"/>
      <c r="O417" s="2"/>
      <c r="P417" s="2"/>
      <c r="Q417" s="2"/>
      <c r="R417" s="7"/>
      <c r="S417" s="224"/>
      <c r="T417" s="224"/>
      <c r="U417" s="224"/>
      <c r="V417" s="224"/>
    </row>
    <row r="418">
      <c r="A418" s="33"/>
      <c r="B418" s="2"/>
      <c r="C418" s="2"/>
      <c r="D418" s="2"/>
      <c r="E418" s="2"/>
      <c r="F418" s="4"/>
      <c r="G418" s="2"/>
      <c r="H418" s="2"/>
      <c r="I418" s="2"/>
      <c r="J418" s="2"/>
      <c r="K418" s="5"/>
      <c r="L418" s="2"/>
      <c r="M418" s="2"/>
      <c r="N418" s="2"/>
      <c r="O418" s="2"/>
      <c r="P418" s="2"/>
      <c r="Q418" s="2"/>
      <c r="R418" s="7"/>
      <c r="S418" s="224"/>
      <c r="T418" s="224"/>
      <c r="U418" s="224"/>
      <c r="V418" s="224"/>
    </row>
    <row r="419">
      <c r="A419" s="33"/>
      <c r="B419" s="2"/>
      <c r="C419" s="2"/>
      <c r="D419" s="2"/>
      <c r="E419" s="2"/>
      <c r="F419" s="4"/>
      <c r="G419" s="2"/>
      <c r="H419" s="2"/>
      <c r="I419" s="2"/>
      <c r="J419" s="2"/>
      <c r="K419" s="5"/>
      <c r="L419" s="2"/>
      <c r="M419" s="2"/>
      <c r="N419" s="2"/>
      <c r="O419" s="2"/>
      <c r="P419" s="2"/>
      <c r="Q419" s="2"/>
      <c r="R419" s="7"/>
      <c r="S419" s="224"/>
      <c r="T419" s="224"/>
      <c r="U419" s="224"/>
      <c r="V419" s="224"/>
    </row>
    <row r="420">
      <c r="A420" s="33"/>
      <c r="B420" s="2"/>
      <c r="C420" s="2"/>
      <c r="D420" s="2"/>
      <c r="E420" s="2"/>
      <c r="F420" s="4"/>
      <c r="G420" s="2"/>
      <c r="H420" s="2"/>
      <c r="I420" s="2"/>
      <c r="J420" s="2"/>
      <c r="K420" s="5"/>
      <c r="L420" s="2"/>
      <c r="M420" s="2"/>
      <c r="N420" s="2"/>
      <c r="O420" s="2"/>
      <c r="P420" s="2"/>
      <c r="Q420" s="2"/>
      <c r="R420" s="7"/>
      <c r="S420" s="224"/>
      <c r="T420" s="224"/>
      <c r="U420" s="224"/>
      <c r="V420" s="224"/>
    </row>
    <row r="421">
      <c r="A421" s="33"/>
      <c r="B421" s="2"/>
      <c r="C421" s="2"/>
      <c r="D421" s="2"/>
      <c r="E421" s="2"/>
      <c r="F421" s="4"/>
      <c r="G421" s="2"/>
      <c r="H421" s="2"/>
      <c r="I421" s="2"/>
      <c r="J421" s="2"/>
      <c r="K421" s="5"/>
      <c r="L421" s="2"/>
      <c r="M421" s="2"/>
      <c r="N421" s="2"/>
      <c r="O421" s="2"/>
      <c r="P421" s="2"/>
      <c r="Q421" s="2"/>
      <c r="R421" s="7"/>
      <c r="S421" s="224"/>
      <c r="T421" s="224"/>
      <c r="U421" s="224"/>
      <c r="V421" s="224"/>
    </row>
    <row r="422">
      <c r="A422" s="33"/>
      <c r="B422" s="2"/>
      <c r="C422" s="2"/>
      <c r="D422" s="2"/>
      <c r="E422" s="2"/>
      <c r="F422" s="4"/>
      <c r="G422" s="2"/>
      <c r="H422" s="2"/>
      <c r="I422" s="2"/>
      <c r="J422" s="2"/>
      <c r="K422" s="5"/>
      <c r="L422" s="2"/>
      <c r="M422" s="2"/>
      <c r="N422" s="2"/>
      <c r="O422" s="2"/>
      <c r="P422" s="2"/>
      <c r="Q422" s="2"/>
      <c r="R422" s="7"/>
      <c r="S422" s="224"/>
      <c r="T422" s="224"/>
      <c r="U422" s="224"/>
      <c r="V422" s="224"/>
    </row>
    <row r="423">
      <c r="A423" s="33"/>
      <c r="B423" s="2"/>
      <c r="C423" s="2"/>
      <c r="D423" s="2"/>
      <c r="E423" s="2"/>
      <c r="F423" s="4"/>
      <c r="G423" s="2"/>
      <c r="H423" s="2"/>
      <c r="I423" s="2"/>
      <c r="J423" s="2"/>
      <c r="K423" s="5"/>
      <c r="L423" s="2"/>
      <c r="M423" s="2"/>
      <c r="N423" s="2"/>
      <c r="O423" s="2"/>
      <c r="P423" s="2"/>
      <c r="Q423" s="2"/>
      <c r="R423" s="7"/>
      <c r="S423" s="224"/>
      <c r="T423" s="224"/>
      <c r="U423" s="224"/>
      <c r="V423" s="224"/>
    </row>
    <row r="424">
      <c r="A424" s="33"/>
      <c r="B424" s="2"/>
      <c r="C424" s="2"/>
      <c r="D424" s="2"/>
      <c r="E424" s="2"/>
      <c r="F424" s="4"/>
      <c r="G424" s="2"/>
      <c r="H424" s="2"/>
      <c r="I424" s="2"/>
      <c r="J424" s="2"/>
      <c r="K424" s="5"/>
      <c r="L424" s="2"/>
      <c r="M424" s="2"/>
      <c r="N424" s="2"/>
      <c r="O424" s="2"/>
      <c r="P424" s="2"/>
      <c r="Q424" s="2"/>
      <c r="R424" s="7"/>
      <c r="S424" s="224"/>
      <c r="T424" s="224"/>
      <c r="U424" s="224"/>
      <c r="V424" s="224"/>
    </row>
    <row r="425">
      <c r="A425" s="33"/>
      <c r="B425" s="2"/>
      <c r="C425" s="2"/>
      <c r="D425" s="2"/>
      <c r="E425" s="2"/>
      <c r="F425" s="4"/>
      <c r="G425" s="2"/>
      <c r="H425" s="2"/>
      <c r="I425" s="2"/>
      <c r="J425" s="2"/>
      <c r="K425" s="5"/>
      <c r="L425" s="2"/>
      <c r="M425" s="2"/>
      <c r="N425" s="2"/>
      <c r="O425" s="2"/>
      <c r="P425" s="2"/>
      <c r="Q425" s="2"/>
      <c r="R425" s="7"/>
      <c r="S425" s="224"/>
      <c r="T425" s="224"/>
      <c r="U425" s="224"/>
      <c r="V425" s="224"/>
    </row>
    <row r="426">
      <c r="A426" s="33"/>
      <c r="B426" s="2"/>
      <c r="C426" s="2"/>
      <c r="D426" s="2"/>
      <c r="E426" s="2"/>
      <c r="F426" s="4"/>
      <c r="G426" s="2"/>
      <c r="H426" s="2"/>
      <c r="I426" s="2"/>
      <c r="J426" s="2"/>
      <c r="K426" s="5"/>
      <c r="L426" s="2"/>
      <c r="M426" s="2"/>
      <c r="N426" s="2"/>
      <c r="O426" s="2"/>
      <c r="P426" s="2"/>
      <c r="Q426" s="2"/>
      <c r="R426" s="7"/>
      <c r="S426" s="224"/>
      <c r="T426" s="224"/>
      <c r="U426" s="224"/>
      <c r="V426" s="224"/>
    </row>
    <row r="427">
      <c r="A427" s="33"/>
      <c r="B427" s="2"/>
      <c r="C427" s="2"/>
      <c r="D427" s="2"/>
      <c r="E427" s="2"/>
      <c r="F427" s="4"/>
      <c r="G427" s="2"/>
      <c r="H427" s="2"/>
      <c r="I427" s="2"/>
      <c r="J427" s="2"/>
      <c r="K427" s="5"/>
      <c r="L427" s="2"/>
      <c r="M427" s="2"/>
      <c r="N427" s="2"/>
      <c r="O427" s="2"/>
      <c r="P427" s="2"/>
      <c r="Q427" s="2"/>
      <c r="R427" s="7"/>
      <c r="S427" s="224"/>
      <c r="T427" s="224"/>
      <c r="U427" s="224"/>
      <c r="V427" s="224"/>
    </row>
    <row r="428">
      <c r="A428" s="33"/>
      <c r="B428" s="2"/>
      <c r="C428" s="2"/>
      <c r="D428" s="2"/>
      <c r="E428" s="2"/>
      <c r="F428" s="4"/>
      <c r="G428" s="2"/>
      <c r="H428" s="2"/>
      <c r="I428" s="2"/>
      <c r="J428" s="2"/>
      <c r="K428" s="5"/>
      <c r="L428" s="2"/>
      <c r="M428" s="2"/>
      <c r="N428" s="2"/>
      <c r="O428" s="2"/>
      <c r="P428" s="2"/>
      <c r="Q428" s="2"/>
      <c r="R428" s="7"/>
      <c r="S428" s="224"/>
      <c r="T428" s="224"/>
      <c r="U428" s="224"/>
      <c r="V428" s="224"/>
    </row>
    <row r="429">
      <c r="A429" s="33"/>
      <c r="B429" s="2"/>
      <c r="C429" s="2"/>
      <c r="D429" s="2"/>
      <c r="E429" s="2"/>
      <c r="F429" s="4"/>
      <c r="G429" s="2"/>
      <c r="H429" s="2"/>
      <c r="I429" s="2"/>
      <c r="J429" s="2"/>
      <c r="K429" s="5"/>
      <c r="L429" s="2"/>
      <c r="M429" s="2"/>
      <c r="N429" s="2"/>
      <c r="O429" s="2"/>
      <c r="P429" s="2"/>
      <c r="Q429" s="2"/>
      <c r="R429" s="7"/>
      <c r="S429" s="224"/>
      <c r="T429" s="224"/>
      <c r="U429" s="224"/>
      <c r="V429" s="224"/>
    </row>
    <row r="430">
      <c r="A430" s="33"/>
      <c r="B430" s="2"/>
      <c r="C430" s="2"/>
      <c r="D430" s="2"/>
      <c r="E430" s="2"/>
      <c r="F430" s="4"/>
      <c r="G430" s="2"/>
      <c r="H430" s="2"/>
      <c r="I430" s="2"/>
      <c r="J430" s="2"/>
      <c r="K430" s="5"/>
      <c r="L430" s="2"/>
      <c r="M430" s="2"/>
      <c r="N430" s="2"/>
      <c r="O430" s="2"/>
      <c r="P430" s="2"/>
      <c r="Q430" s="2"/>
      <c r="R430" s="7"/>
      <c r="S430" s="224"/>
      <c r="T430" s="224"/>
      <c r="U430" s="224"/>
      <c r="V430" s="224"/>
    </row>
    <row r="431">
      <c r="A431" s="33"/>
      <c r="B431" s="2"/>
      <c r="C431" s="2"/>
      <c r="D431" s="2"/>
      <c r="E431" s="2"/>
      <c r="F431" s="4"/>
      <c r="G431" s="2"/>
      <c r="H431" s="2"/>
      <c r="I431" s="2"/>
      <c r="J431" s="2"/>
      <c r="K431" s="5"/>
      <c r="L431" s="2"/>
      <c r="M431" s="2"/>
      <c r="N431" s="2"/>
      <c r="O431" s="2"/>
      <c r="P431" s="2"/>
      <c r="Q431" s="2"/>
      <c r="R431" s="7"/>
      <c r="S431" s="224"/>
      <c r="T431" s="224"/>
      <c r="U431" s="224"/>
      <c r="V431" s="224"/>
    </row>
    <row r="432">
      <c r="A432" s="33"/>
      <c r="B432" s="2"/>
      <c r="C432" s="2"/>
      <c r="D432" s="2"/>
      <c r="E432" s="2"/>
      <c r="F432" s="4"/>
      <c r="G432" s="2"/>
      <c r="H432" s="2"/>
      <c r="I432" s="2"/>
      <c r="J432" s="2"/>
      <c r="K432" s="5"/>
      <c r="L432" s="2"/>
      <c r="M432" s="2"/>
      <c r="N432" s="2"/>
      <c r="O432" s="2"/>
      <c r="P432" s="2"/>
      <c r="Q432" s="2"/>
      <c r="R432" s="7"/>
      <c r="S432" s="224"/>
      <c r="T432" s="224"/>
      <c r="U432" s="224"/>
      <c r="V432" s="224"/>
    </row>
    <row r="433">
      <c r="A433" s="33"/>
      <c r="B433" s="2"/>
      <c r="C433" s="2"/>
      <c r="D433" s="2"/>
      <c r="E433" s="2"/>
      <c r="F433" s="4"/>
      <c r="G433" s="2"/>
      <c r="H433" s="2"/>
      <c r="I433" s="2"/>
      <c r="J433" s="2"/>
      <c r="K433" s="5"/>
      <c r="L433" s="2"/>
      <c r="M433" s="2"/>
      <c r="N433" s="2"/>
      <c r="O433" s="2"/>
      <c r="P433" s="2"/>
      <c r="Q433" s="2"/>
      <c r="R433" s="7"/>
      <c r="S433" s="224"/>
      <c r="T433" s="224"/>
      <c r="U433" s="224"/>
      <c r="V433" s="224"/>
    </row>
    <row r="434">
      <c r="A434" s="33"/>
      <c r="B434" s="2"/>
      <c r="C434" s="2"/>
      <c r="D434" s="2"/>
      <c r="E434" s="2"/>
      <c r="F434" s="4"/>
      <c r="G434" s="2"/>
      <c r="H434" s="2"/>
      <c r="I434" s="2"/>
      <c r="J434" s="2"/>
      <c r="K434" s="5"/>
      <c r="L434" s="2"/>
      <c r="M434" s="2"/>
      <c r="N434" s="2"/>
      <c r="O434" s="2"/>
      <c r="P434" s="2"/>
      <c r="Q434" s="2"/>
      <c r="R434" s="7"/>
      <c r="S434" s="224"/>
      <c r="T434" s="224"/>
      <c r="U434" s="224"/>
      <c r="V434" s="224"/>
    </row>
    <row r="435">
      <c r="A435" s="33"/>
      <c r="B435" s="2"/>
      <c r="C435" s="2"/>
      <c r="D435" s="2"/>
      <c r="E435" s="2"/>
      <c r="F435" s="4"/>
      <c r="G435" s="2"/>
      <c r="H435" s="2"/>
      <c r="I435" s="2"/>
      <c r="J435" s="2"/>
      <c r="K435" s="5"/>
      <c r="L435" s="2"/>
      <c r="M435" s="2"/>
      <c r="N435" s="2"/>
      <c r="O435" s="2"/>
      <c r="P435" s="2"/>
      <c r="Q435" s="2"/>
      <c r="R435" s="7"/>
      <c r="S435" s="224"/>
      <c r="T435" s="224"/>
      <c r="U435" s="224"/>
      <c r="V435" s="224"/>
    </row>
    <row r="436">
      <c r="A436" s="33"/>
      <c r="B436" s="2"/>
      <c r="C436" s="2"/>
      <c r="D436" s="2"/>
      <c r="E436" s="2"/>
      <c r="F436" s="4"/>
      <c r="G436" s="2"/>
      <c r="H436" s="2"/>
      <c r="I436" s="2"/>
      <c r="J436" s="2"/>
      <c r="K436" s="5"/>
      <c r="L436" s="2"/>
      <c r="M436" s="2"/>
      <c r="N436" s="2"/>
      <c r="O436" s="2"/>
      <c r="P436" s="2"/>
      <c r="Q436" s="2"/>
      <c r="R436" s="7"/>
      <c r="S436" s="224"/>
      <c r="T436" s="224"/>
      <c r="U436" s="224"/>
      <c r="V436" s="224"/>
    </row>
    <row r="437">
      <c r="A437" s="33"/>
      <c r="B437" s="2"/>
      <c r="C437" s="2"/>
      <c r="D437" s="2"/>
      <c r="E437" s="2"/>
      <c r="F437" s="4"/>
      <c r="G437" s="2"/>
      <c r="H437" s="2"/>
      <c r="I437" s="2"/>
      <c r="J437" s="2"/>
      <c r="K437" s="5"/>
      <c r="L437" s="2"/>
      <c r="M437" s="2"/>
      <c r="N437" s="2"/>
      <c r="O437" s="2"/>
      <c r="P437" s="2"/>
      <c r="Q437" s="2"/>
      <c r="R437" s="7"/>
      <c r="S437" s="224"/>
      <c r="T437" s="224"/>
      <c r="U437" s="224"/>
      <c r="V437" s="224"/>
    </row>
    <row r="438">
      <c r="A438" s="33"/>
      <c r="B438" s="2"/>
      <c r="C438" s="2"/>
      <c r="D438" s="2"/>
      <c r="E438" s="2"/>
      <c r="F438" s="4"/>
      <c r="G438" s="2"/>
      <c r="H438" s="2"/>
      <c r="I438" s="2"/>
      <c r="J438" s="2"/>
      <c r="K438" s="5"/>
      <c r="L438" s="2"/>
      <c r="M438" s="2"/>
      <c r="N438" s="2"/>
      <c r="O438" s="2"/>
      <c r="P438" s="2"/>
      <c r="Q438" s="2"/>
      <c r="R438" s="7"/>
      <c r="S438" s="224"/>
      <c r="T438" s="224"/>
      <c r="U438" s="224"/>
      <c r="V438" s="224"/>
    </row>
    <row r="439">
      <c r="A439" s="33"/>
      <c r="B439" s="2"/>
      <c r="C439" s="2"/>
      <c r="D439" s="2"/>
      <c r="E439" s="2"/>
      <c r="F439" s="4"/>
      <c r="G439" s="2"/>
      <c r="H439" s="2"/>
      <c r="I439" s="2"/>
      <c r="J439" s="2"/>
      <c r="K439" s="5"/>
      <c r="L439" s="2"/>
      <c r="M439" s="2"/>
      <c r="N439" s="2"/>
      <c r="O439" s="2"/>
      <c r="P439" s="2"/>
      <c r="Q439" s="2"/>
      <c r="R439" s="7"/>
      <c r="S439" s="224"/>
      <c r="T439" s="224"/>
      <c r="U439" s="224"/>
      <c r="V439" s="224"/>
    </row>
    <row r="440">
      <c r="A440" s="33"/>
      <c r="B440" s="2"/>
      <c r="C440" s="2"/>
      <c r="D440" s="2"/>
      <c r="E440" s="2"/>
      <c r="F440" s="4"/>
      <c r="G440" s="2"/>
      <c r="H440" s="2"/>
      <c r="I440" s="2"/>
      <c r="J440" s="2"/>
      <c r="K440" s="5"/>
      <c r="L440" s="2"/>
      <c r="M440" s="2"/>
      <c r="N440" s="2"/>
      <c r="O440" s="2"/>
      <c r="P440" s="2"/>
      <c r="Q440" s="2"/>
      <c r="R440" s="7"/>
      <c r="S440" s="224"/>
      <c r="T440" s="224"/>
      <c r="U440" s="224"/>
      <c r="V440" s="224"/>
    </row>
    <row r="441">
      <c r="A441" s="33"/>
      <c r="B441" s="2"/>
      <c r="C441" s="2"/>
      <c r="D441" s="2"/>
      <c r="E441" s="2"/>
      <c r="F441" s="4"/>
      <c r="G441" s="2"/>
      <c r="H441" s="2"/>
      <c r="I441" s="2"/>
      <c r="J441" s="2"/>
      <c r="K441" s="5"/>
      <c r="L441" s="2"/>
      <c r="M441" s="2"/>
      <c r="N441" s="2"/>
      <c r="O441" s="2"/>
      <c r="P441" s="2"/>
      <c r="Q441" s="2"/>
      <c r="R441" s="7"/>
      <c r="S441" s="224"/>
      <c r="T441" s="224"/>
      <c r="U441" s="224"/>
      <c r="V441" s="224"/>
    </row>
    <row r="442">
      <c r="A442" s="33"/>
      <c r="B442" s="2"/>
      <c r="C442" s="2"/>
      <c r="D442" s="2"/>
      <c r="E442" s="2"/>
      <c r="F442" s="4"/>
      <c r="G442" s="2"/>
      <c r="H442" s="2"/>
      <c r="I442" s="2"/>
      <c r="J442" s="2"/>
      <c r="K442" s="5"/>
      <c r="L442" s="2"/>
      <c r="M442" s="2"/>
      <c r="N442" s="2"/>
      <c r="O442" s="2"/>
      <c r="P442" s="2"/>
      <c r="Q442" s="2"/>
      <c r="R442" s="7"/>
      <c r="S442" s="224"/>
      <c r="T442" s="224"/>
      <c r="U442" s="224"/>
      <c r="V442" s="224"/>
    </row>
    <row r="443">
      <c r="A443" s="33"/>
      <c r="B443" s="2"/>
      <c r="C443" s="2"/>
      <c r="D443" s="2"/>
      <c r="E443" s="2"/>
      <c r="F443" s="4"/>
      <c r="G443" s="2"/>
      <c r="H443" s="2"/>
      <c r="I443" s="2"/>
      <c r="J443" s="2"/>
      <c r="K443" s="5"/>
      <c r="L443" s="2"/>
      <c r="M443" s="2"/>
      <c r="N443" s="2"/>
      <c r="O443" s="2"/>
      <c r="P443" s="2"/>
      <c r="Q443" s="2"/>
      <c r="R443" s="7"/>
      <c r="S443" s="224"/>
      <c r="T443" s="224"/>
      <c r="U443" s="224"/>
      <c r="V443" s="224"/>
    </row>
    <row r="444">
      <c r="A444" s="33"/>
      <c r="B444" s="2"/>
      <c r="C444" s="2"/>
      <c r="D444" s="2"/>
      <c r="E444" s="2"/>
      <c r="F444" s="4"/>
      <c r="G444" s="2"/>
      <c r="H444" s="2"/>
      <c r="I444" s="2"/>
      <c r="J444" s="2"/>
      <c r="K444" s="5"/>
      <c r="L444" s="2"/>
      <c r="M444" s="2"/>
      <c r="N444" s="2"/>
      <c r="O444" s="2"/>
      <c r="P444" s="2"/>
      <c r="Q444" s="2"/>
      <c r="R444" s="7"/>
      <c r="S444" s="224"/>
      <c r="T444" s="224"/>
      <c r="U444" s="224"/>
      <c r="V444" s="224"/>
    </row>
    <row r="445">
      <c r="A445" s="33"/>
      <c r="B445" s="2"/>
      <c r="C445" s="2"/>
      <c r="D445" s="2"/>
      <c r="E445" s="2"/>
      <c r="F445" s="4"/>
      <c r="G445" s="2"/>
      <c r="H445" s="2"/>
      <c r="I445" s="2"/>
      <c r="J445" s="2"/>
      <c r="K445" s="5"/>
      <c r="L445" s="2"/>
      <c r="M445" s="2"/>
      <c r="N445" s="2"/>
      <c r="O445" s="2"/>
      <c r="P445" s="2"/>
      <c r="Q445" s="2"/>
      <c r="R445" s="7"/>
      <c r="S445" s="224"/>
      <c r="T445" s="224"/>
      <c r="U445" s="224"/>
      <c r="V445" s="224"/>
    </row>
    <row r="446">
      <c r="A446" s="33"/>
      <c r="B446" s="2"/>
      <c r="C446" s="2"/>
      <c r="D446" s="2"/>
      <c r="E446" s="2"/>
      <c r="F446" s="4"/>
      <c r="G446" s="2"/>
      <c r="H446" s="2"/>
      <c r="I446" s="2"/>
      <c r="J446" s="2"/>
      <c r="K446" s="5"/>
      <c r="L446" s="2"/>
      <c r="M446" s="2"/>
      <c r="N446" s="2"/>
      <c r="O446" s="2"/>
      <c r="P446" s="2"/>
      <c r="Q446" s="2"/>
      <c r="R446" s="7"/>
      <c r="S446" s="224"/>
      <c r="T446" s="224"/>
      <c r="U446" s="224"/>
      <c r="V446" s="224"/>
    </row>
    <row r="447">
      <c r="A447" s="33"/>
      <c r="B447" s="2"/>
      <c r="C447" s="2"/>
      <c r="D447" s="2"/>
      <c r="E447" s="2"/>
      <c r="F447" s="4"/>
      <c r="G447" s="2"/>
      <c r="H447" s="2"/>
      <c r="I447" s="2"/>
      <c r="J447" s="2"/>
      <c r="K447" s="5"/>
      <c r="L447" s="2"/>
      <c r="M447" s="2"/>
      <c r="N447" s="2"/>
      <c r="O447" s="2"/>
      <c r="P447" s="2"/>
      <c r="Q447" s="2"/>
      <c r="R447" s="7"/>
      <c r="S447" s="224"/>
      <c r="T447" s="224"/>
      <c r="U447" s="224"/>
      <c r="V447" s="224"/>
    </row>
    <row r="448">
      <c r="A448" s="33"/>
      <c r="B448" s="2"/>
      <c r="C448" s="2"/>
      <c r="D448" s="2"/>
      <c r="E448" s="2"/>
      <c r="F448" s="4"/>
      <c r="G448" s="2"/>
      <c r="H448" s="2"/>
      <c r="I448" s="2"/>
      <c r="J448" s="2"/>
      <c r="K448" s="5"/>
      <c r="L448" s="2"/>
      <c r="M448" s="2"/>
      <c r="N448" s="2"/>
      <c r="O448" s="2"/>
      <c r="P448" s="2"/>
      <c r="Q448" s="2"/>
      <c r="R448" s="7"/>
      <c r="S448" s="224"/>
      <c r="T448" s="224"/>
      <c r="U448" s="224"/>
      <c r="V448" s="224"/>
    </row>
    <row r="449">
      <c r="A449" s="33"/>
      <c r="B449" s="2"/>
      <c r="C449" s="2"/>
      <c r="D449" s="2"/>
      <c r="E449" s="2"/>
      <c r="F449" s="4"/>
      <c r="G449" s="2"/>
      <c r="H449" s="2"/>
      <c r="I449" s="2"/>
      <c r="J449" s="2"/>
      <c r="K449" s="5"/>
      <c r="L449" s="2"/>
      <c r="M449" s="2"/>
      <c r="N449" s="2"/>
      <c r="O449" s="2"/>
      <c r="P449" s="2"/>
      <c r="Q449" s="2"/>
      <c r="R449" s="7"/>
      <c r="S449" s="224"/>
      <c r="T449" s="224"/>
      <c r="U449" s="224"/>
      <c r="V449" s="224"/>
    </row>
    <row r="450">
      <c r="A450" s="33"/>
      <c r="B450" s="2"/>
      <c r="C450" s="2"/>
      <c r="D450" s="2"/>
      <c r="E450" s="2"/>
      <c r="F450" s="4"/>
      <c r="G450" s="2"/>
      <c r="H450" s="2"/>
      <c r="I450" s="2"/>
      <c r="J450" s="2"/>
      <c r="K450" s="5"/>
      <c r="L450" s="2"/>
      <c r="M450" s="2"/>
      <c r="N450" s="2"/>
      <c r="O450" s="2"/>
      <c r="P450" s="2"/>
      <c r="Q450" s="2"/>
      <c r="R450" s="7"/>
      <c r="S450" s="224"/>
      <c r="T450" s="224"/>
      <c r="U450" s="224"/>
      <c r="V450" s="224"/>
    </row>
    <row r="451">
      <c r="A451" s="33"/>
      <c r="B451" s="2"/>
      <c r="C451" s="2"/>
      <c r="D451" s="2"/>
      <c r="E451" s="2"/>
      <c r="F451" s="4"/>
      <c r="G451" s="2"/>
      <c r="H451" s="2"/>
      <c r="I451" s="2"/>
      <c r="J451" s="2"/>
      <c r="K451" s="5"/>
      <c r="L451" s="2"/>
      <c r="M451" s="2"/>
      <c r="N451" s="2"/>
      <c r="O451" s="2"/>
      <c r="P451" s="2"/>
      <c r="Q451" s="2"/>
      <c r="R451" s="7"/>
      <c r="S451" s="224"/>
      <c r="T451" s="224"/>
      <c r="U451" s="224"/>
      <c r="V451" s="224"/>
    </row>
    <row r="452">
      <c r="A452" s="33"/>
      <c r="B452" s="2"/>
      <c r="C452" s="2"/>
      <c r="D452" s="2"/>
      <c r="E452" s="2"/>
      <c r="F452" s="4"/>
      <c r="G452" s="2"/>
      <c r="H452" s="2"/>
      <c r="I452" s="2"/>
      <c r="J452" s="2"/>
      <c r="K452" s="5"/>
      <c r="L452" s="2"/>
      <c r="M452" s="2"/>
      <c r="N452" s="2"/>
      <c r="O452" s="2"/>
      <c r="P452" s="2"/>
      <c r="Q452" s="2"/>
      <c r="R452" s="7"/>
      <c r="S452" s="224"/>
      <c r="T452" s="224"/>
      <c r="U452" s="224"/>
      <c r="V452" s="224"/>
    </row>
    <row r="453">
      <c r="A453" s="33"/>
      <c r="B453" s="2"/>
      <c r="C453" s="2"/>
      <c r="D453" s="2"/>
      <c r="E453" s="2"/>
      <c r="F453" s="4"/>
      <c r="G453" s="2"/>
      <c r="H453" s="2"/>
      <c r="I453" s="2"/>
      <c r="J453" s="2"/>
      <c r="K453" s="5"/>
      <c r="L453" s="2"/>
      <c r="M453" s="2"/>
      <c r="N453" s="2"/>
      <c r="O453" s="2"/>
      <c r="P453" s="2"/>
      <c r="Q453" s="2"/>
      <c r="R453" s="7"/>
      <c r="S453" s="224"/>
      <c r="T453" s="224"/>
      <c r="U453" s="224"/>
      <c r="V453" s="224"/>
    </row>
    <row r="454">
      <c r="A454" s="33"/>
      <c r="B454" s="2"/>
      <c r="C454" s="2"/>
      <c r="D454" s="2"/>
      <c r="E454" s="2"/>
      <c r="F454" s="4"/>
      <c r="G454" s="2"/>
      <c r="H454" s="2"/>
      <c r="I454" s="2"/>
      <c r="J454" s="2"/>
      <c r="K454" s="5"/>
      <c r="L454" s="2"/>
      <c r="M454" s="2"/>
      <c r="N454" s="2"/>
      <c r="O454" s="2"/>
      <c r="P454" s="2"/>
      <c r="Q454" s="2"/>
      <c r="R454" s="7"/>
      <c r="S454" s="224"/>
      <c r="T454" s="224"/>
      <c r="U454" s="224"/>
      <c r="V454" s="224"/>
    </row>
    <row r="455">
      <c r="A455" s="33"/>
      <c r="B455" s="2"/>
      <c r="C455" s="2"/>
      <c r="D455" s="2"/>
      <c r="E455" s="2"/>
      <c r="F455" s="4"/>
      <c r="G455" s="2"/>
      <c r="H455" s="2"/>
      <c r="I455" s="2"/>
      <c r="J455" s="2"/>
      <c r="K455" s="5"/>
      <c r="L455" s="2"/>
      <c r="M455" s="2"/>
      <c r="N455" s="2"/>
      <c r="O455" s="2"/>
      <c r="P455" s="2"/>
      <c r="Q455" s="2"/>
      <c r="R455" s="7"/>
      <c r="S455" s="224"/>
      <c r="T455" s="224"/>
      <c r="U455" s="224"/>
      <c r="V455" s="224"/>
    </row>
    <row r="456">
      <c r="A456" s="33"/>
      <c r="B456" s="2"/>
      <c r="C456" s="2"/>
      <c r="D456" s="2"/>
      <c r="E456" s="2"/>
      <c r="F456" s="4"/>
      <c r="G456" s="2"/>
      <c r="H456" s="2"/>
      <c r="I456" s="2"/>
      <c r="J456" s="2"/>
      <c r="K456" s="5"/>
      <c r="L456" s="2"/>
      <c r="M456" s="2"/>
      <c r="N456" s="2"/>
      <c r="O456" s="2"/>
      <c r="P456" s="2"/>
      <c r="Q456" s="2"/>
      <c r="R456" s="7"/>
      <c r="S456" s="224"/>
      <c r="T456" s="224"/>
      <c r="U456" s="224"/>
      <c r="V456" s="224"/>
    </row>
    <row r="457">
      <c r="A457" s="33"/>
      <c r="B457" s="2"/>
      <c r="C457" s="2"/>
      <c r="D457" s="2"/>
      <c r="E457" s="2"/>
      <c r="F457" s="4"/>
      <c r="G457" s="2"/>
      <c r="H457" s="2"/>
      <c r="I457" s="2"/>
      <c r="J457" s="2"/>
      <c r="K457" s="5"/>
      <c r="L457" s="2"/>
      <c r="M457" s="2"/>
      <c r="N457" s="2"/>
      <c r="O457" s="2"/>
      <c r="P457" s="2"/>
      <c r="Q457" s="2"/>
      <c r="R457" s="7"/>
      <c r="S457" s="224"/>
      <c r="T457" s="224"/>
      <c r="U457" s="224"/>
      <c r="V457" s="224"/>
    </row>
    <row r="458">
      <c r="A458" s="33"/>
      <c r="B458" s="2"/>
      <c r="C458" s="2"/>
      <c r="D458" s="2"/>
      <c r="E458" s="2"/>
      <c r="F458" s="4"/>
      <c r="G458" s="2"/>
      <c r="H458" s="2"/>
      <c r="I458" s="2"/>
      <c r="J458" s="2"/>
      <c r="K458" s="5"/>
      <c r="L458" s="2"/>
      <c r="M458" s="2"/>
      <c r="N458" s="2"/>
      <c r="O458" s="2"/>
      <c r="P458" s="2"/>
      <c r="Q458" s="2"/>
      <c r="R458" s="7"/>
      <c r="S458" s="224"/>
      <c r="T458" s="224"/>
      <c r="U458" s="224"/>
      <c r="V458" s="224"/>
    </row>
    <row r="459">
      <c r="A459" s="33"/>
      <c r="B459" s="2"/>
      <c r="C459" s="2"/>
      <c r="D459" s="2"/>
      <c r="E459" s="2"/>
      <c r="F459" s="4"/>
      <c r="G459" s="2"/>
      <c r="H459" s="2"/>
      <c r="I459" s="2"/>
      <c r="J459" s="2"/>
      <c r="K459" s="5"/>
      <c r="L459" s="2"/>
      <c r="M459" s="2"/>
      <c r="N459" s="2"/>
      <c r="O459" s="2"/>
      <c r="P459" s="2"/>
      <c r="Q459" s="2"/>
      <c r="R459" s="7"/>
      <c r="S459" s="224"/>
      <c r="T459" s="224"/>
      <c r="U459" s="224"/>
      <c r="V459" s="224"/>
    </row>
    <row r="460">
      <c r="A460" s="33"/>
      <c r="B460" s="2"/>
      <c r="C460" s="2"/>
      <c r="D460" s="2"/>
      <c r="E460" s="2"/>
      <c r="F460" s="4"/>
      <c r="G460" s="2"/>
      <c r="H460" s="2"/>
      <c r="I460" s="2"/>
      <c r="J460" s="2"/>
      <c r="K460" s="5"/>
      <c r="L460" s="2"/>
      <c r="M460" s="2"/>
      <c r="N460" s="2"/>
      <c r="O460" s="2"/>
      <c r="P460" s="2"/>
      <c r="Q460" s="2"/>
      <c r="R460" s="7"/>
      <c r="S460" s="224"/>
      <c r="T460" s="224"/>
      <c r="U460" s="224"/>
      <c r="V460" s="224"/>
    </row>
    <row r="461">
      <c r="A461" s="33"/>
      <c r="B461" s="2"/>
      <c r="C461" s="2"/>
      <c r="D461" s="2"/>
      <c r="E461" s="2"/>
      <c r="F461" s="4"/>
      <c r="G461" s="2"/>
      <c r="H461" s="2"/>
      <c r="I461" s="2"/>
      <c r="J461" s="2"/>
      <c r="K461" s="5"/>
      <c r="L461" s="2"/>
      <c r="M461" s="2"/>
      <c r="N461" s="2"/>
      <c r="O461" s="2"/>
      <c r="P461" s="2"/>
      <c r="Q461" s="2"/>
      <c r="R461" s="7"/>
      <c r="S461" s="224"/>
      <c r="T461" s="224"/>
      <c r="U461" s="224"/>
      <c r="V461" s="224"/>
    </row>
    <row r="462">
      <c r="A462" s="33"/>
      <c r="B462" s="2"/>
      <c r="C462" s="2"/>
      <c r="D462" s="2"/>
      <c r="E462" s="2"/>
      <c r="F462" s="4"/>
      <c r="G462" s="2"/>
      <c r="H462" s="2"/>
      <c r="I462" s="2"/>
      <c r="J462" s="2"/>
      <c r="K462" s="5"/>
      <c r="L462" s="2"/>
      <c r="M462" s="2"/>
      <c r="N462" s="2"/>
      <c r="O462" s="2"/>
      <c r="P462" s="2"/>
      <c r="Q462" s="2"/>
      <c r="R462" s="7"/>
      <c r="S462" s="224"/>
      <c r="T462" s="224"/>
      <c r="U462" s="224"/>
      <c r="V462" s="224"/>
    </row>
    <row r="463">
      <c r="A463" s="33"/>
      <c r="B463" s="2"/>
      <c r="C463" s="2"/>
      <c r="D463" s="2"/>
      <c r="E463" s="2"/>
      <c r="F463" s="4"/>
      <c r="G463" s="2"/>
      <c r="H463" s="2"/>
      <c r="I463" s="2"/>
      <c r="J463" s="2"/>
      <c r="K463" s="5"/>
      <c r="L463" s="2"/>
      <c r="M463" s="2"/>
      <c r="N463" s="2"/>
      <c r="O463" s="2"/>
      <c r="P463" s="2"/>
      <c r="Q463" s="2"/>
      <c r="R463" s="7"/>
      <c r="S463" s="224"/>
      <c r="T463" s="224"/>
      <c r="U463" s="224"/>
      <c r="V463" s="224"/>
    </row>
    <row r="464">
      <c r="A464" s="33"/>
      <c r="B464" s="2"/>
      <c r="C464" s="2"/>
      <c r="D464" s="2"/>
      <c r="E464" s="2"/>
      <c r="F464" s="4"/>
      <c r="G464" s="2"/>
      <c r="H464" s="2"/>
      <c r="I464" s="2"/>
      <c r="J464" s="2"/>
      <c r="K464" s="5"/>
      <c r="L464" s="2"/>
      <c r="M464" s="2"/>
      <c r="N464" s="2"/>
      <c r="O464" s="2"/>
      <c r="P464" s="2"/>
      <c r="Q464" s="2"/>
      <c r="R464" s="7"/>
      <c r="S464" s="224"/>
      <c r="T464" s="224"/>
      <c r="U464" s="224"/>
      <c r="V464" s="224"/>
    </row>
    <row r="465">
      <c r="A465" s="33"/>
      <c r="B465" s="2"/>
      <c r="C465" s="2"/>
      <c r="D465" s="2"/>
      <c r="E465" s="2"/>
      <c r="F465" s="4"/>
      <c r="G465" s="2"/>
      <c r="H465" s="2"/>
      <c r="I465" s="2"/>
      <c r="J465" s="2"/>
      <c r="K465" s="5"/>
      <c r="L465" s="2"/>
      <c r="M465" s="2"/>
      <c r="N465" s="2"/>
      <c r="O465" s="2"/>
      <c r="P465" s="2"/>
      <c r="Q465" s="2"/>
      <c r="R465" s="7"/>
      <c r="S465" s="224"/>
      <c r="T465" s="224"/>
      <c r="U465" s="224"/>
      <c r="V465" s="224"/>
    </row>
    <row r="466">
      <c r="A466" s="33"/>
      <c r="B466" s="2"/>
      <c r="C466" s="2"/>
      <c r="D466" s="2"/>
      <c r="E466" s="2"/>
      <c r="F466" s="4"/>
      <c r="G466" s="2"/>
      <c r="H466" s="2"/>
      <c r="I466" s="2"/>
      <c r="J466" s="2"/>
      <c r="K466" s="5"/>
      <c r="L466" s="2"/>
      <c r="M466" s="2"/>
      <c r="N466" s="2"/>
      <c r="O466" s="2"/>
      <c r="P466" s="2"/>
      <c r="Q466" s="2"/>
      <c r="R466" s="7"/>
      <c r="S466" s="224"/>
      <c r="T466" s="224"/>
      <c r="U466" s="224"/>
      <c r="V466" s="224"/>
    </row>
    <row r="467">
      <c r="A467" s="33"/>
      <c r="B467" s="2"/>
      <c r="C467" s="2"/>
      <c r="D467" s="2"/>
      <c r="E467" s="2"/>
      <c r="F467" s="4"/>
      <c r="G467" s="2"/>
      <c r="H467" s="2"/>
      <c r="I467" s="2"/>
      <c r="J467" s="2"/>
      <c r="K467" s="5"/>
      <c r="L467" s="2"/>
      <c r="M467" s="2"/>
      <c r="N467" s="2"/>
      <c r="O467" s="2"/>
      <c r="P467" s="2"/>
      <c r="Q467" s="2"/>
      <c r="R467" s="7"/>
      <c r="S467" s="224"/>
      <c r="T467" s="224"/>
      <c r="U467" s="224"/>
      <c r="V467" s="224"/>
    </row>
    <row r="468">
      <c r="A468" s="33"/>
      <c r="B468" s="2"/>
      <c r="C468" s="2"/>
      <c r="D468" s="2"/>
      <c r="E468" s="2"/>
      <c r="F468" s="4"/>
      <c r="G468" s="2"/>
      <c r="H468" s="2"/>
      <c r="I468" s="2"/>
      <c r="J468" s="2"/>
      <c r="K468" s="5"/>
      <c r="L468" s="2"/>
      <c r="M468" s="2"/>
      <c r="N468" s="2"/>
      <c r="O468" s="2"/>
      <c r="P468" s="2"/>
      <c r="Q468" s="2"/>
      <c r="R468" s="7"/>
      <c r="S468" s="224"/>
      <c r="T468" s="224"/>
      <c r="U468" s="224"/>
      <c r="V468" s="224"/>
    </row>
    <row r="469">
      <c r="A469" s="33"/>
      <c r="B469" s="2"/>
      <c r="C469" s="2"/>
      <c r="D469" s="2"/>
      <c r="E469" s="2"/>
      <c r="F469" s="4"/>
      <c r="G469" s="2"/>
      <c r="H469" s="2"/>
      <c r="I469" s="2"/>
      <c r="J469" s="2"/>
      <c r="K469" s="5"/>
      <c r="L469" s="2"/>
      <c r="M469" s="2"/>
      <c r="N469" s="2"/>
      <c r="O469" s="2"/>
      <c r="P469" s="2"/>
      <c r="Q469" s="2"/>
      <c r="R469" s="7"/>
      <c r="S469" s="224"/>
      <c r="T469" s="224"/>
      <c r="U469" s="224"/>
      <c r="V469" s="224"/>
    </row>
    <row r="470">
      <c r="A470" s="33"/>
      <c r="B470" s="2"/>
      <c r="C470" s="2"/>
      <c r="D470" s="2"/>
      <c r="E470" s="2"/>
      <c r="F470" s="4"/>
      <c r="G470" s="2"/>
      <c r="H470" s="2"/>
      <c r="I470" s="2"/>
      <c r="J470" s="2"/>
      <c r="K470" s="5"/>
      <c r="L470" s="2"/>
      <c r="M470" s="2"/>
      <c r="N470" s="2"/>
      <c r="O470" s="2"/>
      <c r="P470" s="2"/>
      <c r="Q470" s="2"/>
      <c r="R470" s="7"/>
      <c r="S470" s="224"/>
      <c r="T470" s="224"/>
      <c r="U470" s="224"/>
      <c r="V470" s="224"/>
    </row>
    <row r="471">
      <c r="A471" s="33"/>
      <c r="B471" s="2"/>
      <c r="C471" s="2"/>
      <c r="D471" s="2"/>
      <c r="E471" s="2"/>
      <c r="F471" s="4"/>
      <c r="G471" s="2"/>
      <c r="H471" s="2"/>
      <c r="I471" s="2"/>
      <c r="J471" s="2"/>
      <c r="K471" s="5"/>
      <c r="L471" s="2"/>
      <c r="M471" s="2"/>
      <c r="N471" s="2"/>
      <c r="O471" s="2"/>
      <c r="P471" s="2"/>
      <c r="Q471" s="2"/>
      <c r="R471" s="7"/>
      <c r="S471" s="224"/>
      <c r="T471" s="224"/>
      <c r="U471" s="224"/>
      <c r="V471" s="224"/>
    </row>
    <row r="472">
      <c r="A472" s="33"/>
      <c r="B472" s="2"/>
      <c r="C472" s="2"/>
      <c r="D472" s="2"/>
      <c r="E472" s="2"/>
      <c r="F472" s="4"/>
      <c r="G472" s="2"/>
      <c r="H472" s="2"/>
      <c r="I472" s="2"/>
      <c r="J472" s="2"/>
      <c r="K472" s="5"/>
      <c r="L472" s="2"/>
      <c r="M472" s="2"/>
      <c r="N472" s="2"/>
      <c r="O472" s="2"/>
      <c r="P472" s="2"/>
      <c r="Q472" s="2"/>
      <c r="R472" s="7"/>
      <c r="S472" s="224"/>
      <c r="T472" s="224"/>
      <c r="U472" s="224"/>
      <c r="V472" s="224"/>
    </row>
    <row r="473">
      <c r="A473" s="33"/>
      <c r="B473" s="2"/>
      <c r="C473" s="2"/>
      <c r="D473" s="2"/>
      <c r="E473" s="2"/>
      <c r="F473" s="4"/>
      <c r="G473" s="2"/>
      <c r="H473" s="2"/>
      <c r="I473" s="2"/>
      <c r="J473" s="2"/>
      <c r="K473" s="5"/>
      <c r="L473" s="2"/>
      <c r="M473" s="2"/>
      <c r="N473" s="2"/>
      <c r="O473" s="2"/>
      <c r="P473" s="2"/>
      <c r="Q473" s="2"/>
      <c r="R473" s="7"/>
      <c r="S473" s="224"/>
      <c r="T473" s="224"/>
      <c r="U473" s="224"/>
      <c r="V473" s="224"/>
    </row>
    <row r="474">
      <c r="A474" s="33"/>
      <c r="B474" s="2"/>
      <c r="C474" s="2"/>
      <c r="D474" s="2"/>
      <c r="E474" s="2"/>
      <c r="F474" s="4"/>
      <c r="G474" s="2"/>
      <c r="H474" s="2"/>
      <c r="I474" s="2"/>
      <c r="J474" s="2"/>
      <c r="K474" s="5"/>
      <c r="L474" s="2"/>
      <c r="M474" s="2"/>
      <c r="N474" s="2"/>
      <c r="O474" s="2"/>
      <c r="P474" s="2"/>
      <c r="Q474" s="2"/>
      <c r="R474" s="7"/>
      <c r="S474" s="224"/>
      <c r="T474" s="224"/>
      <c r="U474" s="224"/>
      <c r="V474" s="224"/>
    </row>
    <row r="475">
      <c r="A475" s="33"/>
      <c r="B475" s="2"/>
      <c r="C475" s="2"/>
      <c r="D475" s="2"/>
      <c r="E475" s="2"/>
      <c r="F475" s="4"/>
      <c r="G475" s="2"/>
      <c r="H475" s="2"/>
      <c r="I475" s="2"/>
      <c r="J475" s="2"/>
      <c r="K475" s="5"/>
      <c r="L475" s="2"/>
      <c r="M475" s="2"/>
      <c r="N475" s="2"/>
      <c r="O475" s="2"/>
      <c r="P475" s="2"/>
      <c r="Q475" s="2"/>
      <c r="R475" s="7"/>
      <c r="S475" s="224"/>
      <c r="T475" s="224"/>
      <c r="U475" s="224"/>
      <c r="V475" s="224"/>
    </row>
    <row r="476">
      <c r="A476" s="33"/>
      <c r="B476" s="2"/>
      <c r="C476" s="2"/>
      <c r="D476" s="2"/>
      <c r="E476" s="2"/>
      <c r="F476" s="4"/>
      <c r="G476" s="2"/>
      <c r="H476" s="2"/>
      <c r="I476" s="2"/>
      <c r="J476" s="2"/>
      <c r="K476" s="5"/>
      <c r="L476" s="2"/>
      <c r="M476" s="2"/>
      <c r="N476" s="2"/>
      <c r="O476" s="2"/>
      <c r="P476" s="2"/>
      <c r="Q476" s="2"/>
      <c r="R476" s="7"/>
      <c r="S476" s="224"/>
      <c r="T476" s="224"/>
      <c r="U476" s="224"/>
      <c r="V476" s="224"/>
    </row>
    <row r="477">
      <c r="A477" s="33"/>
      <c r="B477" s="2"/>
      <c r="C477" s="2"/>
      <c r="D477" s="2"/>
      <c r="E477" s="2"/>
      <c r="F477" s="4"/>
      <c r="G477" s="2"/>
      <c r="H477" s="2"/>
      <c r="I477" s="2"/>
      <c r="J477" s="2"/>
      <c r="K477" s="5"/>
      <c r="L477" s="2"/>
      <c r="M477" s="2"/>
      <c r="N477" s="2"/>
      <c r="O477" s="2"/>
      <c r="P477" s="2"/>
      <c r="Q477" s="2"/>
      <c r="R477" s="7"/>
      <c r="S477" s="224"/>
      <c r="T477" s="224"/>
      <c r="U477" s="224"/>
      <c r="V477" s="224"/>
    </row>
    <row r="478">
      <c r="A478" s="33"/>
      <c r="B478" s="2"/>
      <c r="C478" s="2"/>
      <c r="D478" s="2"/>
      <c r="E478" s="2"/>
      <c r="F478" s="4"/>
      <c r="G478" s="2"/>
      <c r="H478" s="2"/>
      <c r="I478" s="2"/>
      <c r="J478" s="2"/>
      <c r="K478" s="5"/>
      <c r="L478" s="2"/>
      <c r="M478" s="2"/>
      <c r="N478" s="2"/>
      <c r="O478" s="2"/>
      <c r="P478" s="2"/>
      <c r="Q478" s="2"/>
      <c r="R478" s="7"/>
      <c r="S478" s="224"/>
      <c r="T478" s="224"/>
      <c r="U478" s="224"/>
      <c r="V478" s="224"/>
    </row>
    <row r="479">
      <c r="A479" s="33"/>
      <c r="B479" s="2"/>
      <c r="C479" s="2"/>
      <c r="D479" s="2"/>
      <c r="E479" s="2"/>
      <c r="F479" s="4"/>
      <c r="G479" s="2"/>
      <c r="H479" s="2"/>
      <c r="I479" s="2"/>
      <c r="J479" s="2"/>
      <c r="K479" s="5"/>
      <c r="L479" s="2"/>
      <c r="M479" s="2"/>
      <c r="N479" s="2"/>
      <c r="O479" s="2"/>
      <c r="P479" s="2"/>
      <c r="Q479" s="2"/>
      <c r="R479" s="7"/>
      <c r="S479" s="224"/>
      <c r="T479" s="224"/>
      <c r="U479" s="224"/>
      <c r="V479" s="224"/>
    </row>
    <row r="480">
      <c r="A480" s="33"/>
      <c r="B480" s="2"/>
      <c r="C480" s="2"/>
      <c r="D480" s="2"/>
      <c r="E480" s="2"/>
      <c r="F480" s="4"/>
      <c r="G480" s="2"/>
      <c r="H480" s="2"/>
      <c r="I480" s="2"/>
      <c r="J480" s="2"/>
      <c r="K480" s="5"/>
      <c r="L480" s="2"/>
      <c r="M480" s="2"/>
      <c r="N480" s="2"/>
      <c r="O480" s="2"/>
      <c r="P480" s="2"/>
      <c r="Q480" s="2"/>
      <c r="R480" s="7"/>
      <c r="S480" s="224"/>
      <c r="T480" s="224"/>
      <c r="U480" s="224"/>
      <c r="V480" s="224"/>
    </row>
    <row r="481">
      <c r="A481" s="33"/>
      <c r="B481" s="2"/>
      <c r="C481" s="2"/>
      <c r="D481" s="2"/>
      <c r="E481" s="2"/>
      <c r="F481" s="4"/>
      <c r="G481" s="2"/>
      <c r="H481" s="2"/>
      <c r="I481" s="2"/>
      <c r="J481" s="2"/>
      <c r="K481" s="5"/>
      <c r="L481" s="2"/>
      <c r="M481" s="2"/>
      <c r="N481" s="2"/>
      <c r="O481" s="2"/>
      <c r="P481" s="2"/>
      <c r="Q481" s="2"/>
      <c r="R481" s="7"/>
      <c r="S481" s="224"/>
      <c r="T481" s="224"/>
      <c r="U481" s="224"/>
      <c r="V481" s="224"/>
    </row>
    <row r="482">
      <c r="A482" s="33"/>
      <c r="B482" s="2"/>
      <c r="C482" s="2"/>
      <c r="D482" s="2"/>
      <c r="E482" s="2"/>
      <c r="F482" s="4"/>
      <c r="G482" s="2"/>
      <c r="H482" s="2"/>
      <c r="I482" s="2"/>
      <c r="J482" s="2"/>
      <c r="K482" s="5"/>
      <c r="L482" s="2"/>
      <c r="M482" s="2"/>
      <c r="N482" s="2"/>
      <c r="O482" s="2"/>
      <c r="P482" s="2"/>
      <c r="Q482" s="2"/>
      <c r="R482" s="7"/>
      <c r="S482" s="224"/>
      <c r="T482" s="224"/>
      <c r="U482" s="224"/>
      <c r="V482" s="224"/>
    </row>
    <row r="483">
      <c r="A483" s="33"/>
      <c r="B483" s="2"/>
      <c r="C483" s="2"/>
      <c r="D483" s="2"/>
      <c r="E483" s="2"/>
      <c r="F483" s="4"/>
      <c r="G483" s="2"/>
      <c r="H483" s="2"/>
      <c r="I483" s="2"/>
      <c r="J483" s="2"/>
      <c r="K483" s="5"/>
      <c r="L483" s="2"/>
      <c r="M483" s="2"/>
      <c r="N483" s="2"/>
      <c r="O483" s="2"/>
      <c r="P483" s="2"/>
      <c r="Q483" s="2"/>
      <c r="R483" s="7"/>
      <c r="S483" s="224"/>
      <c r="T483" s="224"/>
      <c r="U483" s="224"/>
      <c r="V483" s="224"/>
    </row>
    <row r="484">
      <c r="A484" s="33"/>
      <c r="B484" s="2"/>
      <c r="C484" s="2"/>
      <c r="D484" s="2"/>
      <c r="E484" s="2"/>
      <c r="F484" s="4"/>
      <c r="G484" s="2"/>
      <c r="H484" s="2"/>
      <c r="I484" s="2"/>
      <c r="J484" s="2"/>
      <c r="K484" s="5"/>
      <c r="L484" s="2"/>
      <c r="M484" s="2"/>
      <c r="N484" s="2"/>
      <c r="O484" s="2"/>
      <c r="P484" s="2"/>
      <c r="Q484" s="2"/>
      <c r="R484" s="7"/>
      <c r="S484" s="224"/>
      <c r="T484" s="224"/>
      <c r="U484" s="224"/>
      <c r="V484" s="224"/>
    </row>
    <row r="485">
      <c r="A485" s="33"/>
      <c r="B485" s="2"/>
      <c r="C485" s="2"/>
      <c r="D485" s="2"/>
      <c r="E485" s="2"/>
      <c r="F485" s="4"/>
      <c r="G485" s="2"/>
      <c r="H485" s="2"/>
      <c r="I485" s="2"/>
      <c r="J485" s="2"/>
      <c r="K485" s="5"/>
      <c r="L485" s="2"/>
      <c r="M485" s="2"/>
      <c r="N485" s="2"/>
      <c r="O485" s="2"/>
      <c r="P485" s="2"/>
      <c r="Q485" s="2"/>
      <c r="R485" s="7"/>
      <c r="S485" s="224"/>
      <c r="T485" s="224"/>
      <c r="U485" s="224"/>
      <c r="V485" s="224"/>
    </row>
    <row r="486">
      <c r="A486" s="33"/>
      <c r="B486" s="2"/>
      <c r="C486" s="2"/>
      <c r="D486" s="2"/>
      <c r="E486" s="2"/>
      <c r="F486" s="4"/>
      <c r="G486" s="2"/>
      <c r="H486" s="2"/>
      <c r="I486" s="2"/>
      <c r="J486" s="2"/>
      <c r="K486" s="5"/>
      <c r="L486" s="2"/>
      <c r="M486" s="2"/>
      <c r="N486" s="2"/>
      <c r="O486" s="2"/>
      <c r="P486" s="2"/>
      <c r="Q486" s="2"/>
      <c r="R486" s="7"/>
      <c r="S486" s="224"/>
      <c r="T486" s="224"/>
      <c r="U486" s="224"/>
      <c r="V486" s="224"/>
    </row>
    <row r="487">
      <c r="A487" s="33"/>
      <c r="B487" s="2"/>
      <c r="C487" s="2"/>
      <c r="D487" s="2"/>
      <c r="E487" s="2"/>
      <c r="F487" s="4"/>
      <c r="G487" s="2"/>
      <c r="H487" s="2"/>
      <c r="I487" s="2"/>
      <c r="J487" s="2"/>
      <c r="K487" s="5"/>
      <c r="L487" s="2"/>
      <c r="M487" s="2"/>
      <c r="N487" s="2"/>
      <c r="O487" s="2"/>
      <c r="P487" s="2"/>
      <c r="Q487" s="2"/>
      <c r="R487" s="7"/>
      <c r="S487" s="224"/>
      <c r="T487" s="224"/>
      <c r="U487" s="224"/>
      <c r="V487" s="224"/>
    </row>
    <row r="488">
      <c r="A488" s="33"/>
      <c r="B488" s="2"/>
      <c r="C488" s="2"/>
      <c r="D488" s="2"/>
      <c r="E488" s="2"/>
      <c r="F488" s="4"/>
      <c r="G488" s="2"/>
      <c r="H488" s="2"/>
      <c r="I488" s="2"/>
      <c r="J488" s="2"/>
      <c r="K488" s="5"/>
      <c r="L488" s="2"/>
      <c r="M488" s="2"/>
      <c r="N488" s="2"/>
      <c r="O488" s="2"/>
      <c r="P488" s="2"/>
      <c r="Q488" s="2"/>
      <c r="R488" s="7"/>
      <c r="S488" s="224"/>
      <c r="T488" s="224"/>
      <c r="U488" s="224"/>
      <c r="V488" s="224"/>
    </row>
    <row r="489">
      <c r="A489" s="33"/>
      <c r="B489" s="2"/>
      <c r="C489" s="2"/>
      <c r="D489" s="2"/>
      <c r="E489" s="2"/>
      <c r="F489" s="4"/>
      <c r="G489" s="2"/>
      <c r="H489" s="2"/>
      <c r="I489" s="2"/>
      <c r="J489" s="2"/>
      <c r="K489" s="5"/>
      <c r="L489" s="2"/>
      <c r="M489" s="2"/>
      <c r="N489" s="2"/>
      <c r="O489" s="2"/>
      <c r="P489" s="2"/>
      <c r="Q489" s="2"/>
      <c r="R489" s="7"/>
      <c r="S489" s="224"/>
      <c r="T489" s="224"/>
      <c r="U489" s="224"/>
      <c r="V489" s="224"/>
    </row>
    <row r="490">
      <c r="A490" s="33"/>
      <c r="B490" s="2"/>
      <c r="C490" s="2"/>
      <c r="D490" s="2"/>
      <c r="E490" s="2"/>
      <c r="F490" s="4"/>
      <c r="G490" s="2"/>
      <c r="H490" s="2"/>
      <c r="I490" s="2"/>
      <c r="J490" s="2"/>
      <c r="K490" s="5"/>
      <c r="L490" s="2"/>
      <c r="M490" s="2"/>
      <c r="N490" s="2"/>
      <c r="O490" s="2"/>
      <c r="P490" s="2"/>
      <c r="Q490" s="2"/>
      <c r="R490" s="7"/>
      <c r="S490" s="224"/>
      <c r="T490" s="224"/>
      <c r="U490" s="224"/>
      <c r="V490" s="224"/>
    </row>
    <row r="491">
      <c r="A491" s="33"/>
      <c r="B491" s="2"/>
      <c r="C491" s="2"/>
      <c r="D491" s="2"/>
      <c r="E491" s="2"/>
      <c r="F491" s="4"/>
      <c r="G491" s="2"/>
      <c r="H491" s="2"/>
      <c r="I491" s="2"/>
      <c r="J491" s="2"/>
      <c r="K491" s="5"/>
      <c r="L491" s="2"/>
      <c r="M491" s="2"/>
      <c r="N491" s="2"/>
      <c r="O491" s="2"/>
      <c r="P491" s="2"/>
      <c r="Q491" s="2"/>
      <c r="R491" s="7"/>
      <c r="S491" s="224"/>
      <c r="T491" s="224"/>
      <c r="U491" s="224"/>
      <c r="V491" s="224"/>
    </row>
    <row r="492">
      <c r="A492" s="33"/>
      <c r="B492" s="2"/>
      <c r="C492" s="2"/>
      <c r="D492" s="2"/>
      <c r="E492" s="2"/>
      <c r="F492" s="4"/>
      <c r="G492" s="2"/>
      <c r="H492" s="2"/>
      <c r="I492" s="2"/>
      <c r="J492" s="2"/>
      <c r="K492" s="5"/>
      <c r="L492" s="2"/>
      <c r="M492" s="2"/>
      <c r="N492" s="2"/>
      <c r="O492" s="2"/>
      <c r="P492" s="2"/>
      <c r="Q492" s="2"/>
      <c r="R492" s="7"/>
      <c r="S492" s="224"/>
      <c r="T492" s="224"/>
      <c r="U492" s="224"/>
      <c r="V492" s="224"/>
    </row>
    <row r="493">
      <c r="A493" s="33"/>
      <c r="B493" s="2"/>
      <c r="C493" s="2"/>
      <c r="D493" s="2"/>
      <c r="E493" s="2"/>
      <c r="F493" s="4"/>
      <c r="G493" s="2"/>
      <c r="H493" s="2"/>
      <c r="I493" s="2"/>
      <c r="J493" s="2"/>
      <c r="K493" s="5"/>
      <c r="L493" s="2"/>
      <c r="M493" s="2"/>
      <c r="N493" s="2"/>
      <c r="O493" s="2"/>
      <c r="P493" s="2"/>
      <c r="Q493" s="2"/>
      <c r="R493" s="7"/>
      <c r="S493" s="224"/>
      <c r="T493" s="224"/>
      <c r="U493" s="224"/>
      <c r="V493" s="224"/>
    </row>
    <row r="494">
      <c r="A494" s="33"/>
      <c r="B494" s="2"/>
      <c r="C494" s="2"/>
      <c r="D494" s="2"/>
      <c r="E494" s="2"/>
      <c r="F494" s="4"/>
      <c r="G494" s="2"/>
      <c r="H494" s="2"/>
      <c r="I494" s="2"/>
      <c r="J494" s="2"/>
      <c r="K494" s="5"/>
      <c r="L494" s="2"/>
      <c r="M494" s="2"/>
      <c r="N494" s="2"/>
      <c r="O494" s="2"/>
      <c r="P494" s="2"/>
      <c r="Q494" s="2"/>
      <c r="R494" s="7"/>
      <c r="S494" s="224"/>
      <c r="T494" s="224"/>
      <c r="U494" s="224"/>
      <c r="V494" s="224"/>
    </row>
    <row r="495">
      <c r="A495" s="33"/>
      <c r="B495" s="2"/>
      <c r="C495" s="2"/>
      <c r="D495" s="2"/>
      <c r="E495" s="2"/>
      <c r="F495" s="4"/>
      <c r="G495" s="2"/>
      <c r="H495" s="2"/>
      <c r="I495" s="2"/>
      <c r="J495" s="2"/>
      <c r="K495" s="5"/>
      <c r="L495" s="2"/>
      <c r="M495" s="2"/>
      <c r="N495" s="2"/>
      <c r="O495" s="2"/>
      <c r="P495" s="2"/>
      <c r="Q495" s="2"/>
      <c r="R495" s="7"/>
      <c r="S495" s="224"/>
      <c r="T495" s="224"/>
      <c r="U495" s="224"/>
      <c r="V495" s="224"/>
    </row>
    <row r="496">
      <c r="A496" s="33"/>
      <c r="B496" s="2"/>
      <c r="C496" s="2"/>
      <c r="D496" s="2"/>
      <c r="E496" s="2"/>
      <c r="F496" s="4"/>
      <c r="G496" s="2"/>
      <c r="H496" s="2"/>
      <c r="I496" s="2"/>
      <c r="J496" s="2"/>
      <c r="K496" s="5"/>
      <c r="L496" s="2"/>
      <c r="M496" s="2"/>
      <c r="N496" s="2"/>
      <c r="O496" s="2"/>
      <c r="P496" s="2"/>
      <c r="Q496" s="2"/>
      <c r="R496" s="7"/>
      <c r="S496" s="224"/>
      <c r="T496" s="224"/>
      <c r="U496" s="224"/>
      <c r="V496" s="224"/>
    </row>
    <row r="497">
      <c r="A497" s="33"/>
      <c r="B497" s="2"/>
      <c r="C497" s="2"/>
      <c r="D497" s="2"/>
      <c r="E497" s="2"/>
      <c r="F497" s="4"/>
      <c r="G497" s="2"/>
      <c r="H497" s="2"/>
      <c r="I497" s="2"/>
      <c r="J497" s="2"/>
      <c r="K497" s="5"/>
      <c r="L497" s="2"/>
      <c r="M497" s="2"/>
      <c r="N497" s="2"/>
      <c r="O497" s="2"/>
      <c r="P497" s="2"/>
      <c r="Q497" s="2"/>
      <c r="R497" s="7"/>
      <c r="S497" s="224"/>
      <c r="T497" s="224"/>
      <c r="U497" s="224"/>
      <c r="V497" s="224"/>
    </row>
    <row r="498">
      <c r="A498" s="33"/>
      <c r="B498" s="2"/>
      <c r="C498" s="2"/>
      <c r="D498" s="2"/>
      <c r="E498" s="2"/>
      <c r="F498" s="4"/>
      <c r="G498" s="2"/>
      <c r="H498" s="2"/>
      <c r="I498" s="2"/>
      <c r="J498" s="2"/>
      <c r="K498" s="5"/>
      <c r="L498" s="2"/>
      <c r="M498" s="2"/>
      <c r="N498" s="2"/>
      <c r="O498" s="2"/>
      <c r="P498" s="2"/>
      <c r="Q498" s="2"/>
      <c r="R498" s="7"/>
      <c r="S498" s="224"/>
      <c r="T498" s="224"/>
      <c r="U498" s="224"/>
      <c r="V498" s="224"/>
    </row>
    <row r="499">
      <c r="A499" s="33"/>
      <c r="B499" s="2"/>
      <c r="C499" s="2"/>
      <c r="D499" s="2"/>
      <c r="E499" s="2"/>
      <c r="F499" s="4"/>
      <c r="G499" s="2"/>
      <c r="H499" s="2"/>
      <c r="I499" s="2"/>
      <c r="J499" s="2"/>
      <c r="K499" s="5"/>
      <c r="L499" s="2"/>
      <c r="M499" s="2"/>
      <c r="N499" s="2"/>
      <c r="O499" s="2"/>
      <c r="P499" s="2"/>
      <c r="Q499" s="2"/>
      <c r="R499" s="7"/>
      <c r="S499" s="224"/>
      <c r="T499" s="224"/>
      <c r="U499" s="224"/>
      <c r="V499" s="224"/>
    </row>
    <row r="500">
      <c r="A500" s="33"/>
      <c r="B500" s="2"/>
      <c r="C500" s="2"/>
      <c r="D500" s="2"/>
      <c r="E500" s="2"/>
      <c r="F500" s="4"/>
      <c r="G500" s="2"/>
      <c r="H500" s="2"/>
      <c r="I500" s="2"/>
      <c r="J500" s="2"/>
      <c r="K500" s="5"/>
      <c r="L500" s="2"/>
      <c r="M500" s="2"/>
      <c r="N500" s="2"/>
      <c r="O500" s="2"/>
      <c r="P500" s="2"/>
      <c r="Q500" s="2"/>
      <c r="R500" s="7"/>
      <c r="S500" s="224"/>
      <c r="T500" s="224"/>
      <c r="U500" s="224"/>
      <c r="V500" s="224"/>
    </row>
    <row r="501">
      <c r="A501" s="33"/>
      <c r="B501" s="2"/>
      <c r="C501" s="2"/>
      <c r="D501" s="2"/>
      <c r="E501" s="2"/>
      <c r="F501" s="4"/>
      <c r="G501" s="2"/>
      <c r="H501" s="2"/>
      <c r="I501" s="2"/>
      <c r="J501" s="2"/>
      <c r="K501" s="5"/>
      <c r="L501" s="2"/>
      <c r="M501" s="2"/>
      <c r="N501" s="2"/>
      <c r="O501" s="2"/>
      <c r="P501" s="2"/>
      <c r="Q501" s="2"/>
      <c r="R501" s="7"/>
      <c r="S501" s="224"/>
      <c r="T501" s="224"/>
      <c r="U501" s="224"/>
      <c r="V501" s="224"/>
    </row>
    <row r="502">
      <c r="A502" s="33"/>
      <c r="B502" s="2"/>
      <c r="C502" s="2"/>
      <c r="D502" s="2"/>
      <c r="E502" s="2"/>
      <c r="F502" s="4"/>
      <c r="G502" s="2"/>
      <c r="H502" s="2"/>
      <c r="I502" s="2"/>
      <c r="J502" s="2"/>
      <c r="K502" s="5"/>
      <c r="L502" s="2"/>
      <c r="M502" s="2"/>
      <c r="N502" s="2"/>
      <c r="O502" s="2"/>
      <c r="P502" s="2"/>
      <c r="Q502" s="2"/>
      <c r="R502" s="7"/>
      <c r="S502" s="224"/>
      <c r="T502" s="224"/>
      <c r="U502" s="224"/>
      <c r="V502" s="224"/>
    </row>
    <row r="503">
      <c r="A503" s="33"/>
      <c r="B503" s="2"/>
      <c r="C503" s="2"/>
      <c r="D503" s="2"/>
      <c r="E503" s="2"/>
      <c r="F503" s="4"/>
      <c r="G503" s="2"/>
      <c r="H503" s="2"/>
      <c r="I503" s="2"/>
      <c r="J503" s="2"/>
      <c r="K503" s="5"/>
      <c r="L503" s="2"/>
      <c r="M503" s="2"/>
      <c r="N503" s="2"/>
      <c r="O503" s="2"/>
      <c r="P503" s="2"/>
      <c r="Q503" s="2"/>
      <c r="R503" s="7"/>
      <c r="S503" s="224"/>
      <c r="T503" s="224"/>
      <c r="U503" s="224"/>
      <c r="V503" s="224"/>
    </row>
    <row r="504">
      <c r="A504" s="33"/>
      <c r="B504" s="2"/>
      <c r="C504" s="2"/>
      <c r="D504" s="2"/>
      <c r="E504" s="2"/>
      <c r="F504" s="4"/>
      <c r="G504" s="2"/>
      <c r="H504" s="2"/>
      <c r="I504" s="2"/>
      <c r="J504" s="2"/>
      <c r="K504" s="5"/>
      <c r="L504" s="2"/>
      <c r="M504" s="2"/>
      <c r="N504" s="2"/>
      <c r="O504" s="2"/>
      <c r="P504" s="2"/>
      <c r="Q504" s="2"/>
      <c r="R504" s="7"/>
      <c r="S504" s="224"/>
      <c r="T504" s="224"/>
      <c r="U504" s="224"/>
      <c r="V504" s="224"/>
    </row>
    <row r="505">
      <c r="A505" s="33"/>
      <c r="B505" s="2"/>
      <c r="C505" s="2"/>
      <c r="D505" s="2"/>
      <c r="E505" s="2"/>
      <c r="F505" s="4"/>
      <c r="G505" s="2"/>
      <c r="H505" s="2"/>
      <c r="I505" s="2"/>
      <c r="J505" s="2"/>
      <c r="K505" s="5"/>
      <c r="L505" s="2"/>
      <c r="M505" s="2"/>
      <c r="N505" s="2"/>
      <c r="O505" s="2"/>
      <c r="P505" s="2"/>
      <c r="Q505" s="2"/>
      <c r="R505" s="7"/>
      <c r="S505" s="224"/>
      <c r="T505" s="224"/>
      <c r="U505" s="224"/>
      <c r="V505" s="224"/>
    </row>
    <row r="506">
      <c r="A506" s="33"/>
      <c r="B506" s="2"/>
      <c r="C506" s="2"/>
      <c r="D506" s="2"/>
      <c r="E506" s="2"/>
      <c r="F506" s="4"/>
      <c r="G506" s="2"/>
      <c r="H506" s="2"/>
      <c r="I506" s="2"/>
      <c r="J506" s="2"/>
      <c r="K506" s="5"/>
      <c r="L506" s="2"/>
      <c r="M506" s="2"/>
      <c r="N506" s="2"/>
      <c r="O506" s="2"/>
      <c r="P506" s="2"/>
      <c r="Q506" s="2"/>
      <c r="R506" s="7"/>
      <c r="S506" s="224"/>
      <c r="T506" s="224"/>
      <c r="U506" s="224"/>
      <c r="V506" s="224"/>
    </row>
    <row r="507">
      <c r="A507" s="33"/>
      <c r="B507" s="2"/>
      <c r="C507" s="2"/>
      <c r="D507" s="2"/>
      <c r="E507" s="2"/>
      <c r="F507" s="4"/>
      <c r="G507" s="2"/>
      <c r="H507" s="2"/>
      <c r="I507" s="2"/>
      <c r="J507" s="2"/>
      <c r="K507" s="5"/>
      <c r="L507" s="2"/>
      <c r="M507" s="2"/>
      <c r="N507" s="2"/>
      <c r="O507" s="2"/>
      <c r="P507" s="2"/>
      <c r="Q507" s="2"/>
      <c r="R507" s="7"/>
      <c r="S507" s="224"/>
      <c r="T507" s="224"/>
      <c r="U507" s="224"/>
      <c r="V507" s="224"/>
    </row>
    <row r="508">
      <c r="A508" s="33"/>
      <c r="B508" s="2"/>
      <c r="C508" s="2"/>
      <c r="D508" s="2"/>
      <c r="E508" s="2"/>
      <c r="F508" s="4"/>
      <c r="G508" s="2"/>
      <c r="H508" s="2"/>
      <c r="I508" s="2"/>
      <c r="J508" s="2"/>
      <c r="K508" s="5"/>
      <c r="L508" s="2"/>
      <c r="M508" s="2"/>
      <c r="N508" s="2"/>
      <c r="O508" s="2"/>
      <c r="P508" s="2"/>
      <c r="Q508" s="2"/>
      <c r="R508" s="7"/>
      <c r="S508" s="224"/>
      <c r="T508" s="224"/>
      <c r="U508" s="224"/>
      <c r="V508" s="224"/>
    </row>
    <row r="509">
      <c r="A509" s="33"/>
      <c r="B509" s="2"/>
      <c r="C509" s="2"/>
      <c r="D509" s="2"/>
      <c r="E509" s="2"/>
      <c r="F509" s="4"/>
      <c r="G509" s="2"/>
      <c r="H509" s="2"/>
      <c r="I509" s="2"/>
      <c r="J509" s="2"/>
      <c r="K509" s="5"/>
      <c r="L509" s="2"/>
      <c r="M509" s="2"/>
      <c r="N509" s="2"/>
      <c r="O509" s="2"/>
      <c r="P509" s="2"/>
      <c r="Q509" s="2"/>
      <c r="R509" s="7"/>
      <c r="S509" s="224"/>
      <c r="T509" s="224"/>
      <c r="U509" s="224"/>
      <c r="V509" s="224"/>
    </row>
    <row r="510">
      <c r="A510" s="33"/>
      <c r="B510" s="2"/>
      <c r="C510" s="2"/>
      <c r="D510" s="2"/>
      <c r="E510" s="2"/>
      <c r="F510" s="4"/>
      <c r="G510" s="2"/>
      <c r="H510" s="2"/>
      <c r="I510" s="2"/>
      <c r="J510" s="2"/>
      <c r="K510" s="5"/>
      <c r="L510" s="2"/>
      <c r="M510" s="2"/>
      <c r="N510" s="2"/>
      <c r="O510" s="2"/>
      <c r="P510" s="2"/>
      <c r="Q510" s="2"/>
      <c r="R510" s="7"/>
      <c r="S510" s="224"/>
      <c r="T510" s="224"/>
      <c r="U510" s="224"/>
      <c r="V510" s="224"/>
    </row>
    <row r="511">
      <c r="A511" s="33"/>
      <c r="B511" s="2"/>
      <c r="C511" s="2"/>
      <c r="D511" s="2"/>
      <c r="E511" s="2"/>
      <c r="F511" s="4"/>
      <c r="G511" s="2"/>
      <c r="H511" s="2"/>
      <c r="I511" s="2"/>
      <c r="J511" s="2"/>
      <c r="K511" s="5"/>
      <c r="L511" s="2"/>
      <c r="M511" s="2"/>
      <c r="N511" s="2"/>
      <c r="O511" s="2"/>
      <c r="P511" s="2"/>
      <c r="Q511" s="2"/>
      <c r="R511" s="7"/>
      <c r="S511" s="224"/>
      <c r="T511" s="224"/>
      <c r="U511" s="224"/>
      <c r="V511" s="224"/>
    </row>
    <row r="512">
      <c r="A512" s="33"/>
      <c r="B512" s="2"/>
      <c r="C512" s="2"/>
      <c r="D512" s="2"/>
      <c r="E512" s="2"/>
      <c r="F512" s="4"/>
      <c r="G512" s="2"/>
      <c r="H512" s="2"/>
      <c r="I512" s="2"/>
      <c r="J512" s="2"/>
      <c r="K512" s="5"/>
      <c r="L512" s="2"/>
      <c r="M512" s="2"/>
      <c r="N512" s="2"/>
      <c r="O512" s="2"/>
      <c r="P512" s="2"/>
      <c r="Q512" s="2"/>
      <c r="R512" s="7"/>
      <c r="S512" s="224"/>
      <c r="T512" s="224"/>
      <c r="U512" s="224"/>
      <c r="V512" s="224"/>
    </row>
    <row r="513">
      <c r="A513" s="33"/>
      <c r="B513" s="2"/>
      <c r="C513" s="2"/>
      <c r="D513" s="2"/>
      <c r="E513" s="2"/>
      <c r="F513" s="4"/>
      <c r="G513" s="2"/>
      <c r="H513" s="2"/>
      <c r="I513" s="2"/>
      <c r="J513" s="2"/>
      <c r="K513" s="5"/>
      <c r="L513" s="2"/>
      <c r="M513" s="2"/>
      <c r="N513" s="2"/>
      <c r="O513" s="2"/>
      <c r="P513" s="2"/>
      <c r="Q513" s="2"/>
      <c r="R513" s="7"/>
      <c r="S513" s="224"/>
      <c r="T513" s="224"/>
      <c r="U513" s="224"/>
      <c r="V513" s="224"/>
    </row>
    <row r="514">
      <c r="A514" s="33"/>
      <c r="B514" s="2"/>
      <c r="C514" s="2"/>
      <c r="D514" s="2"/>
      <c r="E514" s="2"/>
      <c r="F514" s="4"/>
      <c r="G514" s="2"/>
      <c r="H514" s="2"/>
      <c r="I514" s="2"/>
      <c r="J514" s="2"/>
      <c r="K514" s="5"/>
      <c r="L514" s="2"/>
      <c r="M514" s="2"/>
      <c r="N514" s="2"/>
      <c r="O514" s="2"/>
      <c r="P514" s="2"/>
      <c r="Q514" s="2"/>
      <c r="R514" s="7"/>
      <c r="S514" s="224"/>
      <c r="T514" s="224"/>
      <c r="U514" s="224"/>
      <c r="V514" s="224"/>
    </row>
    <row r="515">
      <c r="A515" s="33"/>
      <c r="B515" s="2"/>
      <c r="C515" s="2"/>
      <c r="D515" s="2"/>
      <c r="E515" s="2"/>
      <c r="F515" s="4"/>
      <c r="G515" s="2"/>
      <c r="H515" s="2"/>
      <c r="I515" s="2"/>
      <c r="J515" s="2"/>
      <c r="K515" s="5"/>
      <c r="L515" s="2"/>
      <c r="M515" s="2"/>
      <c r="N515" s="2"/>
      <c r="O515" s="2"/>
      <c r="P515" s="2"/>
      <c r="Q515" s="2"/>
      <c r="R515" s="7"/>
      <c r="S515" s="224"/>
      <c r="T515" s="224"/>
      <c r="U515" s="224"/>
      <c r="V515" s="224"/>
    </row>
    <row r="516">
      <c r="A516" s="33"/>
      <c r="B516" s="2"/>
      <c r="C516" s="2"/>
      <c r="D516" s="2"/>
      <c r="E516" s="2"/>
      <c r="F516" s="4"/>
      <c r="G516" s="2"/>
      <c r="H516" s="2"/>
      <c r="I516" s="2"/>
      <c r="J516" s="2"/>
      <c r="K516" s="5"/>
      <c r="L516" s="2"/>
      <c r="M516" s="2"/>
      <c r="N516" s="2"/>
      <c r="O516" s="2"/>
      <c r="P516" s="2"/>
      <c r="Q516" s="2"/>
      <c r="R516" s="7"/>
      <c r="S516" s="224"/>
      <c r="T516" s="224"/>
      <c r="U516" s="224"/>
      <c r="V516" s="224"/>
    </row>
    <row r="517">
      <c r="A517" s="33"/>
      <c r="B517" s="2"/>
      <c r="C517" s="2"/>
      <c r="D517" s="2"/>
      <c r="E517" s="2"/>
      <c r="F517" s="4"/>
      <c r="G517" s="2"/>
      <c r="H517" s="2"/>
      <c r="I517" s="2"/>
      <c r="J517" s="2"/>
      <c r="K517" s="5"/>
      <c r="L517" s="2"/>
      <c r="M517" s="2"/>
      <c r="N517" s="2"/>
      <c r="O517" s="2"/>
      <c r="P517" s="2"/>
      <c r="Q517" s="2"/>
      <c r="R517" s="7"/>
      <c r="S517" s="224"/>
      <c r="T517" s="224"/>
      <c r="U517" s="224"/>
      <c r="V517" s="224"/>
    </row>
    <row r="518">
      <c r="A518" s="33"/>
      <c r="B518" s="2"/>
      <c r="C518" s="2"/>
      <c r="D518" s="2"/>
      <c r="E518" s="2"/>
      <c r="F518" s="4"/>
      <c r="G518" s="2"/>
      <c r="H518" s="2"/>
      <c r="I518" s="2"/>
      <c r="J518" s="2"/>
      <c r="K518" s="5"/>
      <c r="L518" s="2"/>
      <c r="M518" s="2"/>
      <c r="N518" s="2"/>
      <c r="O518" s="2"/>
      <c r="P518" s="2"/>
      <c r="Q518" s="2"/>
      <c r="R518" s="7"/>
      <c r="S518" s="224"/>
      <c r="T518" s="224"/>
      <c r="U518" s="224"/>
      <c r="V518" s="224"/>
    </row>
    <row r="519">
      <c r="A519" s="33"/>
      <c r="B519" s="2"/>
      <c r="C519" s="2"/>
      <c r="D519" s="2"/>
      <c r="E519" s="2"/>
      <c r="F519" s="4"/>
      <c r="G519" s="2"/>
      <c r="H519" s="2"/>
      <c r="I519" s="2"/>
      <c r="J519" s="2"/>
      <c r="K519" s="5"/>
      <c r="L519" s="2"/>
      <c r="M519" s="2"/>
      <c r="N519" s="2"/>
      <c r="O519" s="2"/>
      <c r="P519" s="2"/>
      <c r="Q519" s="2"/>
      <c r="R519" s="7"/>
      <c r="S519" s="224"/>
      <c r="T519" s="224"/>
      <c r="U519" s="224"/>
      <c r="V519" s="224"/>
    </row>
    <row r="520">
      <c r="A520" s="33"/>
      <c r="B520" s="2"/>
      <c r="C520" s="2"/>
      <c r="D520" s="2"/>
      <c r="E520" s="2"/>
      <c r="F520" s="4"/>
      <c r="G520" s="2"/>
      <c r="H520" s="2"/>
      <c r="I520" s="2"/>
      <c r="J520" s="2"/>
      <c r="K520" s="5"/>
      <c r="L520" s="2"/>
      <c r="M520" s="2"/>
      <c r="N520" s="2"/>
      <c r="O520" s="2"/>
      <c r="P520" s="2"/>
      <c r="Q520" s="2"/>
      <c r="R520" s="7"/>
      <c r="S520" s="224"/>
      <c r="T520" s="224"/>
      <c r="U520" s="224"/>
      <c r="V520" s="224"/>
    </row>
    <row r="521">
      <c r="A521" s="33"/>
      <c r="B521" s="2"/>
      <c r="C521" s="2"/>
      <c r="D521" s="2"/>
      <c r="E521" s="2"/>
      <c r="F521" s="4"/>
      <c r="G521" s="2"/>
      <c r="H521" s="2"/>
      <c r="I521" s="2"/>
      <c r="J521" s="2"/>
      <c r="K521" s="5"/>
      <c r="L521" s="2"/>
      <c r="M521" s="2"/>
      <c r="N521" s="2"/>
      <c r="O521" s="2"/>
      <c r="P521" s="2"/>
      <c r="Q521" s="2"/>
      <c r="R521" s="7"/>
      <c r="S521" s="224"/>
      <c r="T521" s="224"/>
      <c r="U521" s="224"/>
      <c r="V521" s="224"/>
    </row>
    <row r="522">
      <c r="A522" s="33"/>
      <c r="B522" s="2"/>
      <c r="C522" s="2"/>
      <c r="D522" s="2"/>
      <c r="E522" s="2"/>
      <c r="F522" s="4"/>
      <c r="G522" s="2"/>
      <c r="H522" s="2"/>
      <c r="I522" s="2"/>
      <c r="J522" s="2"/>
      <c r="K522" s="5"/>
      <c r="L522" s="2"/>
      <c r="M522" s="2"/>
      <c r="N522" s="2"/>
      <c r="O522" s="2"/>
      <c r="P522" s="2"/>
      <c r="Q522" s="2"/>
      <c r="R522" s="7"/>
      <c r="S522" s="224"/>
      <c r="T522" s="224"/>
      <c r="U522" s="224"/>
      <c r="V522" s="224"/>
    </row>
    <row r="523">
      <c r="A523" s="33"/>
      <c r="B523" s="2"/>
      <c r="C523" s="2"/>
      <c r="D523" s="2"/>
      <c r="E523" s="2"/>
      <c r="F523" s="4"/>
      <c r="G523" s="2"/>
      <c r="H523" s="2"/>
      <c r="I523" s="2"/>
      <c r="J523" s="2"/>
      <c r="K523" s="5"/>
      <c r="L523" s="2"/>
      <c r="M523" s="2"/>
      <c r="N523" s="2"/>
      <c r="O523" s="2"/>
      <c r="P523" s="2"/>
      <c r="Q523" s="2"/>
      <c r="R523" s="7"/>
      <c r="S523" s="224"/>
      <c r="T523" s="224"/>
      <c r="U523" s="224"/>
      <c r="V523" s="224"/>
    </row>
    <row r="524">
      <c r="A524" s="33"/>
      <c r="B524" s="2"/>
      <c r="C524" s="2"/>
      <c r="D524" s="2"/>
      <c r="E524" s="2"/>
      <c r="F524" s="4"/>
      <c r="G524" s="2"/>
      <c r="H524" s="2"/>
      <c r="I524" s="2"/>
      <c r="J524" s="2"/>
      <c r="K524" s="5"/>
      <c r="L524" s="2"/>
      <c r="M524" s="2"/>
      <c r="N524" s="2"/>
      <c r="O524" s="2"/>
      <c r="P524" s="2"/>
      <c r="Q524" s="2"/>
      <c r="R524" s="7"/>
      <c r="S524" s="224"/>
      <c r="T524" s="224"/>
      <c r="U524" s="224"/>
      <c r="V524" s="224"/>
    </row>
    <row r="525">
      <c r="A525" s="33"/>
      <c r="B525" s="2"/>
      <c r="C525" s="2"/>
      <c r="D525" s="2"/>
      <c r="E525" s="2"/>
      <c r="F525" s="4"/>
      <c r="G525" s="2"/>
      <c r="H525" s="2"/>
      <c r="I525" s="2"/>
      <c r="J525" s="2"/>
      <c r="K525" s="5"/>
      <c r="L525" s="2"/>
      <c r="M525" s="2"/>
      <c r="N525" s="2"/>
      <c r="O525" s="2"/>
      <c r="P525" s="2"/>
      <c r="Q525" s="2"/>
      <c r="R525" s="7"/>
      <c r="S525" s="224"/>
      <c r="T525" s="224"/>
      <c r="U525" s="224"/>
      <c r="V525" s="224"/>
    </row>
    <row r="526">
      <c r="A526" s="33"/>
      <c r="B526" s="2"/>
      <c r="C526" s="2"/>
      <c r="D526" s="2"/>
      <c r="E526" s="2"/>
      <c r="F526" s="4"/>
      <c r="G526" s="2"/>
      <c r="H526" s="2"/>
      <c r="I526" s="2"/>
      <c r="J526" s="2"/>
      <c r="K526" s="5"/>
      <c r="L526" s="2"/>
      <c r="M526" s="2"/>
      <c r="N526" s="2"/>
      <c r="O526" s="2"/>
      <c r="P526" s="2"/>
      <c r="Q526" s="2"/>
      <c r="R526" s="7"/>
      <c r="S526" s="224"/>
      <c r="T526" s="224"/>
      <c r="U526" s="224"/>
      <c r="V526" s="224"/>
    </row>
    <row r="527">
      <c r="A527" s="33"/>
      <c r="B527" s="2"/>
      <c r="C527" s="2"/>
      <c r="D527" s="2"/>
      <c r="E527" s="2"/>
      <c r="F527" s="4"/>
      <c r="G527" s="2"/>
      <c r="H527" s="2"/>
      <c r="I527" s="2"/>
      <c r="J527" s="2"/>
      <c r="K527" s="5"/>
      <c r="L527" s="2"/>
      <c r="M527" s="2"/>
      <c r="N527" s="2"/>
      <c r="O527" s="2"/>
      <c r="P527" s="2"/>
      <c r="Q527" s="2"/>
      <c r="R527" s="7"/>
      <c r="S527" s="224"/>
      <c r="T527" s="224"/>
      <c r="U527" s="224"/>
      <c r="V527" s="224"/>
    </row>
    <row r="528">
      <c r="A528" s="33"/>
      <c r="B528" s="2"/>
      <c r="C528" s="2"/>
      <c r="D528" s="2"/>
      <c r="E528" s="2"/>
      <c r="F528" s="4"/>
      <c r="G528" s="2"/>
      <c r="H528" s="2"/>
      <c r="I528" s="2"/>
      <c r="J528" s="2"/>
      <c r="K528" s="5"/>
      <c r="L528" s="2"/>
      <c r="M528" s="2"/>
      <c r="N528" s="2"/>
      <c r="O528" s="2"/>
      <c r="P528" s="2"/>
      <c r="Q528" s="2"/>
      <c r="R528" s="7"/>
      <c r="S528" s="224"/>
      <c r="T528" s="224"/>
      <c r="U528" s="224"/>
      <c r="V528" s="224"/>
    </row>
    <row r="529">
      <c r="A529" s="33"/>
      <c r="B529" s="2"/>
      <c r="C529" s="2"/>
      <c r="D529" s="2"/>
      <c r="E529" s="2"/>
      <c r="F529" s="4"/>
      <c r="G529" s="2"/>
      <c r="H529" s="2"/>
      <c r="I529" s="2"/>
      <c r="J529" s="2"/>
      <c r="K529" s="5"/>
      <c r="L529" s="2"/>
      <c r="M529" s="2"/>
      <c r="N529" s="2"/>
      <c r="O529" s="2"/>
      <c r="P529" s="2"/>
      <c r="Q529" s="2"/>
      <c r="R529" s="7"/>
      <c r="S529" s="224"/>
      <c r="T529" s="224"/>
      <c r="U529" s="224"/>
      <c r="V529" s="224"/>
    </row>
    <row r="530">
      <c r="A530" s="33"/>
      <c r="B530" s="2"/>
      <c r="C530" s="2"/>
      <c r="D530" s="2"/>
      <c r="E530" s="2"/>
      <c r="F530" s="4"/>
      <c r="G530" s="2"/>
      <c r="H530" s="2"/>
      <c r="I530" s="2"/>
      <c r="J530" s="2"/>
      <c r="K530" s="5"/>
      <c r="L530" s="2"/>
      <c r="M530" s="2"/>
      <c r="N530" s="2"/>
      <c r="O530" s="2"/>
      <c r="P530" s="2"/>
      <c r="Q530" s="2"/>
      <c r="R530" s="7"/>
      <c r="S530" s="224"/>
      <c r="T530" s="224"/>
      <c r="U530" s="224"/>
      <c r="V530" s="224"/>
    </row>
    <row r="531">
      <c r="A531" s="33"/>
      <c r="B531" s="2"/>
      <c r="C531" s="2"/>
      <c r="D531" s="2"/>
      <c r="E531" s="2"/>
      <c r="F531" s="4"/>
      <c r="G531" s="2"/>
      <c r="H531" s="2"/>
      <c r="I531" s="2"/>
      <c r="J531" s="2"/>
      <c r="K531" s="5"/>
      <c r="L531" s="2"/>
      <c r="M531" s="2"/>
      <c r="N531" s="2"/>
      <c r="O531" s="2"/>
      <c r="P531" s="2"/>
      <c r="Q531" s="2"/>
      <c r="R531" s="7"/>
      <c r="S531" s="224"/>
      <c r="T531" s="224"/>
      <c r="U531" s="224"/>
      <c r="V531" s="224"/>
    </row>
    <row r="532">
      <c r="A532" s="33"/>
      <c r="B532" s="2"/>
      <c r="C532" s="2"/>
      <c r="D532" s="2"/>
      <c r="E532" s="2"/>
      <c r="F532" s="4"/>
      <c r="G532" s="2"/>
      <c r="H532" s="2"/>
      <c r="I532" s="2"/>
      <c r="J532" s="2"/>
      <c r="K532" s="5"/>
      <c r="L532" s="2"/>
      <c r="M532" s="2"/>
      <c r="N532" s="2"/>
      <c r="O532" s="2"/>
      <c r="P532" s="2"/>
      <c r="Q532" s="2"/>
      <c r="R532" s="7"/>
      <c r="S532" s="224"/>
      <c r="T532" s="224"/>
      <c r="U532" s="224"/>
      <c r="V532" s="224"/>
    </row>
    <row r="533">
      <c r="A533" s="33"/>
      <c r="B533" s="2"/>
      <c r="C533" s="2"/>
      <c r="D533" s="2"/>
      <c r="E533" s="2"/>
      <c r="F533" s="4"/>
      <c r="G533" s="2"/>
      <c r="H533" s="2"/>
      <c r="I533" s="2"/>
      <c r="J533" s="2"/>
      <c r="K533" s="5"/>
      <c r="L533" s="2"/>
      <c r="M533" s="2"/>
      <c r="N533" s="2"/>
      <c r="O533" s="2"/>
      <c r="P533" s="2"/>
      <c r="Q533" s="2"/>
      <c r="R533" s="7"/>
      <c r="S533" s="224"/>
      <c r="T533" s="224"/>
      <c r="U533" s="224"/>
      <c r="V533" s="224"/>
    </row>
    <row r="534">
      <c r="A534" s="33"/>
      <c r="B534" s="2"/>
      <c r="C534" s="2"/>
      <c r="D534" s="2"/>
      <c r="E534" s="2"/>
      <c r="F534" s="4"/>
      <c r="G534" s="2"/>
      <c r="H534" s="2"/>
      <c r="I534" s="2"/>
      <c r="J534" s="2"/>
      <c r="K534" s="5"/>
      <c r="L534" s="2"/>
      <c r="M534" s="2"/>
      <c r="N534" s="2"/>
      <c r="O534" s="2"/>
      <c r="P534" s="2"/>
      <c r="Q534" s="2"/>
      <c r="R534" s="7"/>
      <c r="S534" s="224"/>
      <c r="T534" s="224"/>
      <c r="U534" s="224"/>
      <c r="V534" s="224"/>
    </row>
    <row r="535">
      <c r="A535" s="33"/>
      <c r="B535" s="2"/>
      <c r="C535" s="2"/>
      <c r="D535" s="2"/>
      <c r="E535" s="2"/>
      <c r="F535" s="4"/>
      <c r="G535" s="2"/>
      <c r="H535" s="2"/>
      <c r="I535" s="2"/>
      <c r="J535" s="2"/>
      <c r="K535" s="5"/>
      <c r="L535" s="2"/>
      <c r="M535" s="2"/>
      <c r="N535" s="2"/>
      <c r="O535" s="2"/>
      <c r="P535" s="2"/>
      <c r="Q535" s="2"/>
      <c r="R535" s="7"/>
      <c r="S535" s="224"/>
      <c r="T535" s="224"/>
      <c r="U535" s="224"/>
      <c r="V535" s="224"/>
    </row>
    <row r="536">
      <c r="A536" s="33"/>
      <c r="B536" s="2"/>
      <c r="C536" s="2"/>
      <c r="D536" s="2"/>
      <c r="E536" s="2"/>
      <c r="F536" s="4"/>
      <c r="G536" s="2"/>
      <c r="H536" s="2"/>
      <c r="I536" s="2"/>
      <c r="J536" s="2"/>
      <c r="K536" s="5"/>
      <c r="L536" s="2"/>
      <c r="M536" s="2"/>
      <c r="N536" s="2"/>
      <c r="O536" s="2"/>
      <c r="P536" s="2"/>
      <c r="Q536" s="2"/>
      <c r="R536" s="7"/>
      <c r="S536" s="224"/>
      <c r="T536" s="224"/>
      <c r="U536" s="224"/>
      <c r="V536" s="224"/>
    </row>
    <row r="537">
      <c r="A537" s="33"/>
      <c r="B537" s="2"/>
      <c r="C537" s="2"/>
      <c r="D537" s="2"/>
      <c r="E537" s="2"/>
      <c r="F537" s="4"/>
      <c r="G537" s="2"/>
      <c r="H537" s="2"/>
      <c r="I537" s="2"/>
      <c r="J537" s="2"/>
      <c r="K537" s="5"/>
      <c r="L537" s="2"/>
      <c r="M537" s="2"/>
      <c r="N537" s="2"/>
      <c r="O537" s="2"/>
      <c r="P537" s="2"/>
      <c r="Q537" s="2"/>
      <c r="R537" s="7"/>
      <c r="S537" s="224"/>
      <c r="T537" s="224"/>
      <c r="U537" s="224"/>
      <c r="V537" s="224"/>
    </row>
    <row r="538">
      <c r="A538" s="33"/>
      <c r="B538" s="2"/>
      <c r="C538" s="2"/>
      <c r="D538" s="2"/>
      <c r="E538" s="2"/>
      <c r="F538" s="4"/>
      <c r="G538" s="2"/>
      <c r="H538" s="2"/>
      <c r="I538" s="2"/>
      <c r="J538" s="2"/>
      <c r="K538" s="5"/>
      <c r="L538" s="2"/>
      <c r="M538" s="2"/>
      <c r="N538" s="2"/>
      <c r="O538" s="2"/>
      <c r="P538" s="2"/>
      <c r="Q538" s="2"/>
      <c r="R538" s="7"/>
      <c r="S538" s="224"/>
      <c r="T538" s="224"/>
      <c r="U538" s="224"/>
      <c r="V538" s="224"/>
    </row>
    <row r="539">
      <c r="A539" s="33"/>
      <c r="B539" s="2"/>
      <c r="C539" s="2"/>
      <c r="D539" s="2"/>
      <c r="E539" s="2"/>
      <c r="F539" s="4"/>
      <c r="G539" s="2"/>
      <c r="H539" s="2"/>
      <c r="I539" s="2"/>
      <c r="J539" s="2"/>
      <c r="K539" s="5"/>
      <c r="L539" s="2"/>
      <c r="M539" s="2"/>
      <c r="N539" s="2"/>
      <c r="O539" s="2"/>
      <c r="P539" s="2"/>
      <c r="Q539" s="2"/>
      <c r="R539" s="7"/>
      <c r="S539" s="224"/>
      <c r="T539" s="224"/>
      <c r="U539" s="224"/>
      <c r="V539" s="224"/>
    </row>
    <row r="540">
      <c r="A540" s="33"/>
      <c r="B540" s="2"/>
      <c r="C540" s="2"/>
      <c r="D540" s="2"/>
      <c r="E540" s="2"/>
      <c r="F540" s="4"/>
      <c r="G540" s="2"/>
      <c r="H540" s="2"/>
      <c r="I540" s="2"/>
      <c r="J540" s="2"/>
      <c r="K540" s="5"/>
      <c r="L540" s="2"/>
      <c r="M540" s="2"/>
      <c r="N540" s="2"/>
      <c r="O540" s="2"/>
      <c r="P540" s="2"/>
      <c r="Q540" s="2"/>
      <c r="R540" s="7"/>
      <c r="S540" s="224"/>
      <c r="T540" s="224"/>
      <c r="U540" s="224"/>
      <c r="V540" s="224"/>
    </row>
    <row r="541">
      <c r="A541" s="33"/>
      <c r="B541" s="2"/>
      <c r="C541" s="2"/>
      <c r="D541" s="2"/>
      <c r="E541" s="2"/>
      <c r="F541" s="4"/>
      <c r="G541" s="2"/>
      <c r="H541" s="2"/>
      <c r="I541" s="2"/>
      <c r="J541" s="2"/>
      <c r="K541" s="5"/>
      <c r="L541" s="2"/>
      <c r="M541" s="2"/>
      <c r="N541" s="2"/>
      <c r="O541" s="2"/>
      <c r="P541" s="2"/>
      <c r="Q541" s="2"/>
      <c r="R541" s="7"/>
      <c r="S541" s="224"/>
      <c r="T541" s="224"/>
      <c r="U541" s="224"/>
      <c r="V541" s="224"/>
    </row>
    <row r="542">
      <c r="A542" s="33"/>
      <c r="B542" s="2"/>
      <c r="C542" s="2"/>
      <c r="D542" s="2"/>
      <c r="E542" s="2"/>
      <c r="F542" s="4"/>
      <c r="G542" s="2"/>
      <c r="H542" s="2"/>
      <c r="I542" s="2"/>
      <c r="J542" s="2"/>
      <c r="K542" s="5"/>
      <c r="L542" s="2"/>
      <c r="M542" s="2"/>
      <c r="N542" s="2"/>
      <c r="O542" s="2"/>
      <c r="P542" s="2"/>
      <c r="Q542" s="2"/>
      <c r="R542" s="7"/>
      <c r="S542" s="224"/>
      <c r="T542" s="224"/>
      <c r="U542" s="224"/>
      <c r="V542" s="224"/>
    </row>
    <row r="543">
      <c r="A543" s="33"/>
      <c r="B543" s="2"/>
      <c r="C543" s="2"/>
      <c r="D543" s="2"/>
      <c r="E543" s="2"/>
      <c r="F543" s="4"/>
      <c r="G543" s="2"/>
      <c r="H543" s="2"/>
      <c r="I543" s="2"/>
      <c r="J543" s="2"/>
      <c r="K543" s="5"/>
      <c r="L543" s="2"/>
      <c r="M543" s="2"/>
      <c r="N543" s="2"/>
      <c r="O543" s="2"/>
      <c r="P543" s="2"/>
      <c r="Q543" s="2"/>
      <c r="R543" s="7"/>
      <c r="S543" s="224"/>
      <c r="T543" s="224"/>
      <c r="U543" s="224"/>
      <c r="V543" s="224"/>
    </row>
    <row r="544">
      <c r="A544" s="33"/>
      <c r="B544" s="2"/>
      <c r="C544" s="2"/>
      <c r="D544" s="2"/>
      <c r="E544" s="2"/>
      <c r="F544" s="4"/>
      <c r="G544" s="2"/>
      <c r="H544" s="2"/>
      <c r="I544" s="2"/>
      <c r="J544" s="2"/>
      <c r="K544" s="5"/>
      <c r="L544" s="2"/>
      <c r="M544" s="2"/>
      <c r="N544" s="2"/>
      <c r="O544" s="2"/>
      <c r="P544" s="2"/>
      <c r="Q544" s="2"/>
      <c r="R544" s="7"/>
      <c r="S544" s="224"/>
      <c r="T544" s="224"/>
      <c r="U544" s="224"/>
      <c r="V544" s="224"/>
    </row>
    <row r="545">
      <c r="A545" s="33"/>
      <c r="B545" s="2"/>
      <c r="C545" s="2"/>
      <c r="D545" s="2"/>
      <c r="E545" s="2"/>
      <c r="F545" s="4"/>
      <c r="G545" s="2"/>
      <c r="H545" s="2"/>
      <c r="I545" s="2"/>
      <c r="J545" s="2"/>
      <c r="K545" s="5"/>
      <c r="L545" s="2"/>
      <c r="M545" s="2"/>
      <c r="N545" s="2"/>
      <c r="O545" s="2"/>
      <c r="P545" s="2"/>
      <c r="Q545" s="2"/>
      <c r="R545" s="7"/>
      <c r="S545" s="224"/>
      <c r="T545" s="224"/>
      <c r="U545" s="224"/>
      <c r="V545" s="224"/>
    </row>
    <row r="546">
      <c r="A546" s="33"/>
      <c r="B546" s="2"/>
      <c r="C546" s="2"/>
      <c r="D546" s="2"/>
      <c r="E546" s="2"/>
      <c r="F546" s="4"/>
      <c r="G546" s="2"/>
      <c r="H546" s="2"/>
      <c r="I546" s="2"/>
      <c r="J546" s="2"/>
      <c r="K546" s="5"/>
      <c r="L546" s="2"/>
      <c r="M546" s="2"/>
      <c r="N546" s="2"/>
      <c r="O546" s="2"/>
      <c r="P546" s="2"/>
      <c r="Q546" s="2"/>
      <c r="R546" s="7"/>
      <c r="S546" s="224"/>
      <c r="T546" s="224"/>
      <c r="U546" s="224"/>
      <c r="V546" s="224"/>
    </row>
    <row r="547">
      <c r="A547" s="33"/>
      <c r="B547" s="2"/>
      <c r="C547" s="2"/>
      <c r="D547" s="2"/>
      <c r="E547" s="2"/>
      <c r="F547" s="4"/>
      <c r="G547" s="2"/>
      <c r="H547" s="2"/>
      <c r="I547" s="2"/>
      <c r="J547" s="2"/>
      <c r="K547" s="5"/>
      <c r="L547" s="2"/>
      <c r="M547" s="2"/>
      <c r="N547" s="2"/>
      <c r="O547" s="2"/>
      <c r="P547" s="2"/>
      <c r="Q547" s="2"/>
      <c r="R547" s="7"/>
      <c r="S547" s="224"/>
      <c r="T547" s="224"/>
      <c r="U547" s="224"/>
      <c r="V547" s="224"/>
    </row>
    <row r="548">
      <c r="A548" s="33"/>
      <c r="B548" s="2"/>
      <c r="C548" s="2"/>
      <c r="D548" s="2"/>
      <c r="E548" s="2"/>
      <c r="F548" s="4"/>
      <c r="G548" s="2"/>
      <c r="H548" s="2"/>
      <c r="I548" s="2"/>
      <c r="J548" s="2"/>
      <c r="K548" s="5"/>
      <c r="L548" s="2"/>
      <c r="M548" s="2"/>
      <c r="N548" s="2"/>
      <c r="O548" s="2"/>
      <c r="P548" s="2"/>
      <c r="Q548" s="2"/>
      <c r="R548" s="7"/>
      <c r="S548" s="224"/>
      <c r="T548" s="224"/>
      <c r="U548" s="224"/>
      <c r="V548" s="224"/>
    </row>
    <row r="549">
      <c r="A549" s="33"/>
      <c r="B549" s="2"/>
      <c r="C549" s="2"/>
      <c r="D549" s="2"/>
      <c r="E549" s="2"/>
      <c r="F549" s="4"/>
      <c r="G549" s="2"/>
      <c r="H549" s="2"/>
      <c r="I549" s="2"/>
      <c r="J549" s="2"/>
      <c r="K549" s="5"/>
      <c r="L549" s="2"/>
      <c r="M549" s="2"/>
      <c r="N549" s="2"/>
      <c r="O549" s="2"/>
      <c r="P549" s="2"/>
      <c r="Q549" s="2"/>
      <c r="R549" s="7"/>
      <c r="S549" s="224"/>
      <c r="T549" s="224"/>
      <c r="U549" s="224"/>
      <c r="V549" s="224"/>
    </row>
    <row r="550">
      <c r="A550" s="33"/>
      <c r="B550" s="2"/>
      <c r="C550" s="2"/>
      <c r="D550" s="2"/>
      <c r="E550" s="2"/>
      <c r="F550" s="4"/>
      <c r="G550" s="2"/>
      <c r="H550" s="2"/>
      <c r="I550" s="2"/>
      <c r="J550" s="2"/>
      <c r="K550" s="5"/>
      <c r="L550" s="2"/>
      <c r="M550" s="2"/>
      <c r="N550" s="2"/>
      <c r="O550" s="2"/>
      <c r="P550" s="2"/>
      <c r="Q550" s="2"/>
      <c r="R550" s="7"/>
      <c r="S550" s="224"/>
      <c r="T550" s="224"/>
      <c r="U550" s="224"/>
      <c r="V550" s="224"/>
    </row>
    <row r="551">
      <c r="A551" s="33"/>
      <c r="B551" s="2"/>
      <c r="C551" s="2"/>
      <c r="D551" s="2"/>
      <c r="E551" s="2"/>
      <c r="F551" s="4"/>
      <c r="G551" s="2"/>
      <c r="H551" s="2"/>
      <c r="I551" s="2"/>
      <c r="J551" s="2"/>
      <c r="K551" s="5"/>
      <c r="L551" s="2"/>
      <c r="M551" s="2"/>
      <c r="N551" s="2"/>
      <c r="O551" s="2"/>
      <c r="P551" s="2"/>
      <c r="Q551" s="2"/>
      <c r="R551" s="7"/>
      <c r="S551" s="224"/>
      <c r="T551" s="224"/>
      <c r="U551" s="224"/>
      <c r="V551" s="224"/>
    </row>
    <row r="552">
      <c r="A552" s="33"/>
      <c r="B552" s="2"/>
      <c r="C552" s="2"/>
      <c r="D552" s="2"/>
      <c r="E552" s="2"/>
      <c r="F552" s="4"/>
      <c r="G552" s="2"/>
      <c r="H552" s="2"/>
      <c r="I552" s="2"/>
      <c r="J552" s="2"/>
      <c r="K552" s="5"/>
      <c r="L552" s="2"/>
      <c r="M552" s="2"/>
      <c r="N552" s="2"/>
      <c r="O552" s="2"/>
      <c r="P552" s="2"/>
      <c r="Q552" s="2"/>
      <c r="R552" s="7"/>
      <c r="S552" s="224"/>
      <c r="T552" s="224"/>
      <c r="U552" s="224"/>
      <c r="V552" s="224"/>
    </row>
    <row r="553">
      <c r="A553" s="33"/>
      <c r="B553" s="2"/>
      <c r="C553" s="2"/>
      <c r="D553" s="2"/>
      <c r="E553" s="2"/>
      <c r="F553" s="4"/>
      <c r="G553" s="2"/>
      <c r="H553" s="2"/>
      <c r="I553" s="2"/>
      <c r="J553" s="2"/>
      <c r="K553" s="5"/>
      <c r="L553" s="2"/>
      <c r="M553" s="2"/>
      <c r="N553" s="2"/>
      <c r="O553" s="2"/>
      <c r="P553" s="2"/>
      <c r="Q553" s="2"/>
      <c r="R553" s="7"/>
      <c r="S553" s="224"/>
      <c r="T553" s="224"/>
      <c r="U553" s="224"/>
      <c r="V553" s="224"/>
    </row>
    <row r="554">
      <c r="A554" s="33"/>
      <c r="B554" s="2"/>
      <c r="C554" s="2"/>
      <c r="D554" s="2"/>
      <c r="E554" s="2"/>
      <c r="F554" s="4"/>
      <c r="G554" s="2"/>
      <c r="H554" s="2"/>
      <c r="I554" s="2"/>
      <c r="J554" s="2"/>
      <c r="K554" s="5"/>
      <c r="L554" s="2"/>
      <c r="M554" s="2"/>
      <c r="N554" s="2"/>
      <c r="O554" s="2"/>
      <c r="P554" s="2"/>
      <c r="Q554" s="2"/>
      <c r="R554" s="7"/>
      <c r="S554" s="224"/>
      <c r="T554" s="224"/>
      <c r="U554" s="224"/>
      <c r="V554" s="224"/>
    </row>
    <row r="555">
      <c r="A555" s="33"/>
      <c r="B555" s="2"/>
      <c r="C555" s="2"/>
      <c r="D555" s="2"/>
      <c r="E555" s="2"/>
      <c r="F555" s="4"/>
      <c r="G555" s="2"/>
      <c r="H555" s="2"/>
      <c r="I555" s="2"/>
      <c r="J555" s="2"/>
      <c r="K555" s="5"/>
      <c r="L555" s="2"/>
      <c r="M555" s="2"/>
      <c r="N555" s="2"/>
      <c r="O555" s="2"/>
      <c r="P555" s="2"/>
      <c r="Q555" s="2"/>
      <c r="R555" s="7"/>
      <c r="S555" s="224"/>
      <c r="T555" s="224"/>
      <c r="U555" s="224"/>
      <c r="V555" s="224"/>
    </row>
    <row r="556">
      <c r="A556" s="33"/>
      <c r="B556" s="2"/>
      <c r="C556" s="2"/>
      <c r="D556" s="2"/>
      <c r="E556" s="2"/>
      <c r="F556" s="4"/>
      <c r="G556" s="2"/>
      <c r="H556" s="2"/>
      <c r="I556" s="2"/>
      <c r="J556" s="2"/>
      <c r="K556" s="5"/>
      <c r="L556" s="2"/>
      <c r="M556" s="2"/>
      <c r="N556" s="2"/>
      <c r="O556" s="2"/>
      <c r="P556" s="2"/>
      <c r="Q556" s="2"/>
      <c r="R556" s="7"/>
      <c r="S556" s="224"/>
      <c r="T556" s="224"/>
      <c r="U556" s="224"/>
      <c r="V556" s="224"/>
    </row>
    <row r="557">
      <c r="A557" s="33"/>
      <c r="B557" s="2"/>
      <c r="C557" s="2"/>
      <c r="D557" s="2"/>
      <c r="E557" s="2"/>
      <c r="F557" s="4"/>
      <c r="G557" s="2"/>
      <c r="H557" s="2"/>
      <c r="I557" s="2"/>
      <c r="J557" s="2"/>
      <c r="K557" s="5"/>
      <c r="L557" s="2"/>
      <c r="M557" s="2"/>
      <c r="N557" s="2"/>
      <c r="O557" s="2"/>
      <c r="P557" s="2"/>
      <c r="Q557" s="2"/>
      <c r="R557" s="7"/>
      <c r="S557" s="224"/>
      <c r="T557" s="224"/>
      <c r="U557" s="224"/>
      <c r="V557" s="224"/>
    </row>
    <row r="558">
      <c r="A558" s="33"/>
      <c r="B558" s="2"/>
      <c r="C558" s="2"/>
      <c r="D558" s="2"/>
      <c r="E558" s="2"/>
      <c r="F558" s="4"/>
      <c r="G558" s="2"/>
      <c r="H558" s="2"/>
      <c r="I558" s="2"/>
      <c r="J558" s="2"/>
      <c r="K558" s="5"/>
      <c r="L558" s="2"/>
      <c r="M558" s="2"/>
      <c r="N558" s="2"/>
      <c r="O558" s="2"/>
      <c r="P558" s="2"/>
      <c r="Q558" s="2"/>
      <c r="R558" s="7"/>
      <c r="S558" s="224"/>
      <c r="T558" s="224"/>
      <c r="U558" s="224"/>
      <c r="V558" s="224"/>
    </row>
    <row r="559">
      <c r="A559" s="33"/>
      <c r="B559" s="2"/>
      <c r="C559" s="2"/>
      <c r="D559" s="2"/>
      <c r="E559" s="2"/>
      <c r="F559" s="4"/>
      <c r="G559" s="2"/>
      <c r="H559" s="2"/>
      <c r="I559" s="2"/>
      <c r="J559" s="2"/>
      <c r="K559" s="5"/>
      <c r="L559" s="2"/>
      <c r="M559" s="2"/>
      <c r="N559" s="2"/>
      <c r="O559" s="2"/>
      <c r="P559" s="2"/>
      <c r="Q559" s="2"/>
      <c r="R559" s="7"/>
      <c r="S559" s="224"/>
      <c r="T559" s="224"/>
      <c r="U559" s="224"/>
      <c r="V559" s="224"/>
    </row>
    <row r="560">
      <c r="A560" s="33"/>
      <c r="B560" s="2"/>
      <c r="C560" s="2"/>
      <c r="D560" s="2"/>
      <c r="E560" s="2"/>
      <c r="F560" s="4"/>
      <c r="G560" s="2"/>
      <c r="H560" s="2"/>
      <c r="I560" s="2"/>
      <c r="J560" s="2"/>
      <c r="K560" s="5"/>
      <c r="L560" s="2"/>
      <c r="M560" s="2"/>
      <c r="N560" s="2"/>
      <c r="O560" s="2"/>
      <c r="P560" s="2"/>
      <c r="Q560" s="2"/>
      <c r="R560" s="7"/>
      <c r="S560" s="224"/>
      <c r="T560" s="224"/>
      <c r="U560" s="224"/>
      <c r="V560" s="224"/>
    </row>
    <row r="561">
      <c r="A561" s="33"/>
      <c r="B561" s="2"/>
      <c r="C561" s="2"/>
      <c r="D561" s="2"/>
      <c r="E561" s="2"/>
      <c r="F561" s="4"/>
      <c r="G561" s="2"/>
      <c r="H561" s="2"/>
      <c r="I561" s="2"/>
      <c r="J561" s="2"/>
      <c r="K561" s="5"/>
      <c r="L561" s="2"/>
      <c r="M561" s="2"/>
      <c r="N561" s="2"/>
      <c r="O561" s="2"/>
      <c r="P561" s="2"/>
      <c r="Q561" s="2"/>
      <c r="R561" s="7"/>
      <c r="S561" s="224"/>
      <c r="T561" s="224"/>
      <c r="U561" s="224"/>
      <c r="V561" s="224"/>
    </row>
    <row r="562">
      <c r="A562" s="33"/>
      <c r="B562" s="2"/>
      <c r="C562" s="2"/>
      <c r="D562" s="2"/>
      <c r="E562" s="2"/>
      <c r="F562" s="4"/>
      <c r="G562" s="2"/>
      <c r="H562" s="2"/>
      <c r="I562" s="2"/>
      <c r="J562" s="2"/>
      <c r="K562" s="5"/>
      <c r="L562" s="2"/>
      <c r="M562" s="2"/>
      <c r="N562" s="2"/>
      <c r="O562" s="2"/>
      <c r="P562" s="2"/>
      <c r="Q562" s="2"/>
      <c r="R562" s="7"/>
      <c r="S562" s="224"/>
      <c r="T562" s="224"/>
      <c r="U562" s="224"/>
      <c r="V562" s="224"/>
    </row>
    <row r="563">
      <c r="A563" s="33"/>
      <c r="B563" s="2"/>
      <c r="C563" s="2"/>
      <c r="D563" s="2"/>
      <c r="E563" s="2"/>
      <c r="F563" s="4"/>
      <c r="G563" s="2"/>
      <c r="H563" s="2"/>
      <c r="I563" s="2"/>
      <c r="J563" s="2"/>
      <c r="K563" s="5"/>
      <c r="L563" s="2"/>
      <c r="M563" s="2"/>
      <c r="N563" s="2"/>
      <c r="O563" s="2"/>
      <c r="P563" s="2"/>
      <c r="Q563" s="2"/>
      <c r="R563" s="7"/>
      <c r="S563" s="224"/>
      <c r="T563" s="224"/>
      <c r="U563" s="224"/>
      <c r="V563" s="224"/>
    </row>
    <row r="564">
      <c r="A564" s="33"/>
      <c r="B564" s="2"/>
      <c r="C564" s="2"/>
      <c r="D564" s="2"/>
      <c r="E564" s="2"/>
      <c r="F564" s="4"/>
      <c r="G564" s="2"/>
      <c r="H564" s="2"/>
      <c r="I564" s="2"/>
      <c r="J564" s="2"/>
      <c r="K564" s="5"/>
      <c r="L564" s="2"/>
      <c r="M564" s="2"/>
      <c r="N564" s="2"/>
      <c r="O564" s="2"/>
      <c r="P564" s="2"/>
      <c r="Q564" s="2"/>
      <c r="R564" s="7"/>
      <c r="S564" s="224"/>
      <c r="T564" s="224"/>
      <c r="U564" s="224"/>
      <c r="V564" s="224"/>
    </row>
    <row r="565">
      <c r="A565" s="33"/>
      <c r="B565" s="2"/>
      <c r="C565" s="2"/>
      <c r="D565" s="2"/>
      <c r="E565" s="2"/>
      <c r="F565" s="4"/>
      <c r="G565" s="2"/>
      <c r="H565" s="2"/>
      <c r="I565" s="2"/>
      <c r="J565" s="2"/>
      <c r="K565" s="5"/>
      <c r="L565" s="2"/>
      <c r="M565" s="2"/>
      <c r="N565" s="2"/>
      <c r="O565" s="2"/>
      <c r="P565" s="2"/>
      <c r="Q565" s="2"/>
      <c r="R565" s="7"/>
      <c r="S565" s="224"/>
      <c r="T565" s="224"/>
      <c r="U565" s="224"/>
      <c r="V565" s="224"/>
    </row>
    <row r="566">
      <c r="A566" s="33"/>
      <c r="B566" s="2"/>
      <c r="C566" s="2"/>
      <c r="D566" s="2"/>
      <c r="E566" s="2"/>
      <c r="F566" s="4"/>
      <c r="G566" s="2"/>
      <c r="H566" s="2"/>
      <c r="I566" s="2"/>
      <c r="J566" s="2"/>
      <c r="K566" s="5"/>
      <c r="L566" s="2"/>
      <c r="M566" s="2"/>
      <c r="N566" s="2"/>
      <c r="O566" s="2"/>
      <c r="P566" s="2"/>
      <c r="Q566" s="2"/>
      <c r="R566" s="7"/>
      <c r="S566" s="224"/>
      <c r="T566" s="224"/>
      <c r="U566" s="224"/>
      <c r="V566" s="224"/>
    </row>
    <row r="567">
      <c r="A567" s="33"/>
      <c r="B567" s="2"/>
      <c r="C567" s="2"/>
      <c r="D567" s="2"/>
      <c r="E567" s="2"/>
      <c r="F567" s="4"/>
      <c r="G567" s="2"/>
      <c r="H567" s="2"/>
      <c r="I567" s="2"/>
      <c r="J567" s="2"/>
      <c r="K567" s="5"/>
      <c r="L567" s="2"/>
      <c r="M567" s="2"/>
      <c r="N567" s="2"/>
      <c r="O567" s="2"/>
      <c r="P567" s="2"/>
      <c r="Q567" s="2"/>
      <c r="R567" s="7"/>
      <c r="S567" s="224"/>
      <c r="T567" s="224"/>
      <c r="U567" s="224"/>
      <c r="V567" s="224"/>
    </row>
    <row r="568">
      <c r="A568" s="33"/>
      <c r="B568" s="2"/>
      <c r="C568" s="2"/>
      <c r="D568" s="2"/>
      <c r="E568" s="2"/>
      <c r="F568" s="4"/>
      <c r="G568" s="2"/>
      <c r="H568" s="2"/>
      <c r="I568" s="2"/>
      <c r="J568" s="2"/>
      <c r="K568" s="5"/>
      <c r="L568" s="2"/>
      <c r="M568" s="2"/>
      <c r="N568" s="2"/>
      <c r="O568" s="2"/>
      <c r="P568" s="2"/>
      <c r="Q568" s="2"/>
      <c r="R568" s="7"/>
      <c r="S568" s="224"/>
      <c r="T568" s="224"/>
      <c r="U568" s="224"/>
      <c r="V568" s="224"/>
    </row>
    <row r="569">
      <c r="A569" s="33"/>
      <c r="B569" s="2"/>
      <c r="C569" s="2"/>
      <c r="D569" s="2"/>
      <c r="E569" s="2"/>
      <c r="F569" s="4"/>
      <c r="G569" s="2"/>
      <c r="H569" s="2"/>
      <c r="I569" s="2"/>
      <c r="J569" s="2"/>
      <c r="K569" s="5"/>
      <c r="L569" s="2"/>
      <c r="M569" s="2"/>
      <c r="N569" s="2"/>
      <c r="O569" s="2"/>
      <c r="P569" s="2"/>
      <c r="Q569" s="2"/>
      <c r="R569" s="7"/>
      <c r="S569" s="224"/>
      <c r="T569" s="224"/>
      <c r="U569" s="224"/>
      <c r="V569" s="224"/>
    </row>
    <row r="570">
      <c r="A570" s="33"/>
      <c r="B570" s="2"/>
      <c r="C570" s="2"/>
      <c r="D570" s="2"/>
      <c r="E570" s="2"/>
      <c r="F570" s="4"/>
      <c r="G570" s="2"/>
      <c r="H570" s="2"/>
      <c r="I570" s="2"/>
      <c r="J570" s="2"/>
      <c r="K570" s="5"/>
      <c r="L570" s="2"/>
      <c r="M570" s="2"/>
      <c r="N570" s="2"/>
      <c r="O570" s="2"/>
      <c r="P570" s="2"/>
      <c r="Q570" s="2"/>
      <c r="R570" s="7"/>
      <c r="S570" s="224"/>
      <c r="T570" s="224"/>
      <c r="U570" s="224"/>
      <c r="V570" s="224"/>
    </row>
    <row r="571">
      <c r="A571" s="33"/>
      <c r="B571" s="2"/>
      <c r="C571" s="2"/>
      <c r="D571" s="2"/>
      <c r="E571" s="2"/>
      <c r="F571" s="4"/>
      <c r="G571" s="2"/>
      <c r="H571" s="2"/>
      <c r="I571" s="2"/>
      <c r="J571" s="2"/>
      <c r="K571" s="5"/>
      <c r="L571" s="2"/>
      <c r="M571" s="2"/>
      <c r="N571" s="2"/>
      <c r="O571" s="2"/>
      <c r="P571" s="2"/>
      <c r="Q571" s="2"/>
      <c r="R571" s="7"/>
      <c r="S571" s="224"/>
      <c r="T571" s="224"/>
      <c r="U571" s="224"/>
      <c r="V571" s="224"/>
    </row>
    <row r="572">
      <c r="A572" s="33"/>
      <c r="B572" s="2"/>
      <c r="C572" s="2"/>
      <c r="D572" s="2"/>
      <c r="E572" s="2"/>
      <c r="F572" s="4"/>
      <c r="G572" s="2"/>
      <c r="H572" s="2"/>
      <c r="I572" s="2"/>
      <c r="J572" s="2"/>
      <c r="K572" s="5"/>
      <c r="L572" s="2"/>
      <c r="M572" s="2"/>
      <c r="N572" s="2"/>
      <c r="O572" s="2"/>
      <c r="P572" s="2"/>
      <c r="Q572" s="2"/>
      <c r="R572" s="7"/>
      <c r="S572" s="224"/>
      <c r="T572" s="224"/>
      <c r="U572" s="224"/>
      <c r="V572" s="224"/>
    </row>
    <row r="573">
      <c r="A573" s="33"/>
      <c r="B573" s="2"/>
      <c r="C573" s="2"/>
      <c r="D573" s="2"/>
      <c r="E573" s="2"/>
      <c r="F573" s="4"/>
      <c r="G573" s="2"/>
      <c r="H573" s="2"/>
      <c r="I573" s="2"/>
      <c r="J573" s="2"/>
      <c r="K573" s="5"/>
      <c r="L573" s="2"/>
      <c r="M573" s="2"/>
      <c r="N573" s="2"/>
      <c r="O573" s="2"/>
      <c r="P573" s="2"/>
      <c r="Q573" s="2"/>
      <c r="R573" s="7"/>
      <c r="S573" s="224"/>
      <c r="T573" s="224"/>
      <c r="U573" s="224"/>
      <c r="V573" s="224"/>
    </row>
    <row r="574">
      <c r="A574" s="33"/>
      <c r="B574" s="2"/>
      <c r="C574" s="2"/>
      <c r="D574" s="2"/>
      <c r="E574" s="2"/>
      <c r="F574" s="4"/>
      <c r="G574" s="2"/>
      <c r="H574" s="2"/>
      <c r="I574" s="2"/>
      <c r="J574" s="2"/>
      <c r="K574" s="5"/>
      <c r="L574" s="2"/>
      <c r="M574" s="2"/>
      <c r="N574" s="2"/>
      <c r="O574" s="2"/>
      <c r="P574" s="2"/>
      <c r="Q574" s="2"/>
      <c r="R574" s="7"/>
      <c r="S574" s="224"/>
      <c r="T574" s="224"/>
      <c r="U574" s="224"/>
      <c r="V574" s="224"/>
    </row>
    <row r="575">
      <c r="A575" s="33"/>
      <c r="B575" s="2"/>
      <c r="C575" s="2"/>
      <c r="D575" s="2"/>
      <c r="E575" s="2"/>
      <c r="F575" s="4"/>
      <c r="G575" s="2"/>
      <c r="H575" s="2"/>
      <c r="I575" s="2"/>
      <c r="J575" s="2"/>
      <c r="K575" s="5"/>
      <c r="L575" s="2"/>
      <c r="M575" s="2"/>
      <c r="N575" s="2"/>
      <c r="O575" s="2"/>
      <c r="P575" s="2"/>
      <c r="Q575" s="2"/>
      <c r="R575" s="7"/>
      <c r="S575" s="224"/>
      <c r="T575" s="224"/>
      <c r="U575" s="224"/>
      <c r="V575" s="224"/>
    </row>
    <row r="576">
      <c r="A576" s="33"/>
      <c r="B576" s="2"/>
      <c r="C576" s="2"/>
      <c r="D576" s="2"/>
      <c r="E576" s="2"/>
      <c r="F576" s="4"/>
      <c r="G576" s="2"/>
      <c r="H576" s="2"/>
      <c r="I576" s="2"/>
      <c r="J576" s="2"/>
      <c r="K576" s="5"/>
      <c r="L576" s="2"/>
      <c r="M576" s="2"/>
      <c r="N576" s="2"/>
      <c r="O576" s="2"/>
      <c r="P576" s="2"/>
      <c r="Q576" s="2"/>
      <c r="R576" s="7"/>
      <c r="S576" s="224"/>
      <c r="T576" s="224"/>
      <c r="U576" s="224"/>
      <c r="V576" s="224"/>
    </row>
    <row r="577">
      <c r="A577" s="33"/>
      <c r="B577" s="2"/>
      <c r="C577" s="2"/>
      <c r="D577" s="2"/>
      <c r="E577" s="2"/>
      <c r="F577" s="4"/>
      <c r="G577" s="2"/>
      <c r="H577" s="2"/>
      <c r="I577" s="2"/>
      <c r="J577" s="2"/>
      <c r="K577" s="5"/>
      <c r="L577" s="2"/>
      <c r="M577" s="2"/>
      <c r="N577" s="2"/>
      <c r="O577" s="2"/>
      <c r="P577" s="2"/>
      <c r="Q577" s="2"/>
      <c r="R577" s="7"/>
      <c r="S577" s="224"/>
      <c r="T577" s="224"/>
      <c r="U577" s="224"/>
      <c r="V577" s="224"/>
    </row>
    <row r="578">
      <c r="A578" s="33"/>
      <c r="B578" s="2"/>
      <c r="C578" s="2"/>
      <c r="D578" s="2"/>
      <c r="E578" s="2"/>
      <c r="F578" s="4"/>
      <c r="G578" s="2"/>
      <c r="H578" s="2"/>
      <c r="I578" s="2"/>
      <c r="J578" s="2"/>
      <c r="K578" s="5"/>
      <c r="L578" s="2"/>
      <c r="M578" s="2"/>
      <c r="N578" s="2"/>
      <c r="O578" s="2"/>
      <c r="P578" s="2"/>
      <c r="Q578" s="2"/>
      <c r="R578" s="7"/>
      <c r="S578" s="224"/>
      <c r="T578" s="224"/>
      <c r="U578" s="224"/>
      <c r="V578" s="224"/>
    </row>
    <row r="579">
      <c r="A579" s="33"/>
      <c r="B579" s="2"/>
      <c r="C579" s="2"/>
      <c r="D579" s="2"/>
      <c r="E579" s="2"/>
      <c r="F579" s="4"/>
      <c r="G579" s="2"/>
      <c r="H579" s="2"/>
      <c r="I579" s="2"/>
      <c r="J579" s="2"/>
      <c r="K579" s="5"/>
      <c r="L579" s="2"/>
      <c r="M579" s="2"/>
      <c r="N579" s="2"/>
      <c r="O579" s="2"/>
      <c r="P579" s="2"/>
      <c r="Q579" s="2"/>
      <c r="R579" s="7"/>
      <c r="S579" s="224"/>
      <c r="T579" s="224"/>
      <c r="U579" s="224"/>
      <c r="V579" s="224"/>
    </row>
    <row r="580">
      <c r="A580" s="33"/>
      <c r="B580" s="2"/>
      <c r="C580" s="2"/>
      <c r="D580" s="2"/>
      <c r="E580" s="2"/>
      <c r="F580" s="4"/>
      <c r="G580" s="2"/>
      <c r="H580" s="2"/>
      <c r="I580" s="2"/>
      <c r="J580" s="2"/>
      <c r="K580" s="5"/>
      <c r="L580" s="2"/>
      <c r="M580" s="2"/>
      <c r="N580" s="2"/>
      <c r="O580" s="2"/>
      <c r="P580" s="2"/>
      <c r="Q580" s="2"/>
      <c r="R580" s="7"/>
      <c r="S580" s="224"/>
      <c r="T580" s="224"/>
      <c r="U580" s="224"/>
      <c r="V580" s="224"/>
    </row>
    <row r="581">
      <c r="A581" s="33"/>
      <c r="B581" s="2"/>
      <c r="C581" s="2"/>
      <c r="D581" s="2"/>
      <c r="E581" s="2"/>
      <c r="F581" s="4"/>
      <c r="G581" s="2"/>
      <c r="H581" s="2"/>
      <c r="I581" s="2"/>
      <c r="J581" s="2"/>
      <c r="K581" s="5"/>
      <c r="L581" s="2"/>
      <c r="M581" s="2"/>
      <c r="N581" s="2"/>
      <c r="O581" s="2"/>
      <c r="P581" s="2"/>
      <c r="Q581" s="2"/>
      <c r="R581" s="7"/>
      <c r="S581" s="224"/>
      <c r="T581" s="224"/>
      <c r="U581" s="224"/>
      <c r="V581" s="224"/>
    </row>
    <row r="582">
      <c r="A582" s="33"/>
      <c r="B582" s="2"/>
      <c r="C582" s="2"/>
      <c r="D582" s="2"/>
      <c r="E582" s="2"/>
      <c r="F582" s="4"/>
      <c r="G582" s="2"/>
      <c r="H582" s="2"/>
      <c r="I582" s="2"/>
      <c r="J582" s="2"/>
      <c r="K582" s="5"/>
      <c r="L582" s="2"/>
      <c r="M582" s="2"/>
      <c r="N582" s="2"/>
      <c r="O582" s="2"/>
      <c r="P582" s="2"/>
      <c r="Q582" s="2"/>
      <c r="R582" s="7"/>
      <c r="S582" s="224"/>
      <c r="T582" s="224"/>
      <c r="U582" s="224"/>
      <c r="V582" s="224"/>
    </row>
    <row r="583">
      <c r="A583" s="33"/>
      <c r="B583" s="2"/>
      <c r="C583" s="2"/>
      <c r="D583" s="2"/>
      <c r="E583" s="2"/>
      <c r="F583" s="4"/>
      <c r="G583" s="2"/>
      <c r="H583" s="2"/>
      <c r="I583" s="2"/>
      <c r="J583" s="2"/>
      <c r="K583" s="5"/>
      <c r="L583" s="2"/>
      <c r="M583" s="2"/>
      <c r="N583" s="2"/>
      <c r="O583" s="2"/>
      <c r="P583" s="2"/>
      <c r="Q583" s="2"/>
      <c r="R583" s="7"/>
      <c r="S583" s="224"/>
      <c r="T583" s="224"/>
      <c r="U583" s="224"/>
      <c r="V583" s="224"/>
    </row>
    <row r="584">
      <c r="A584" s="33"/>
      <c r="B584" s="2"/>
      <c r="C584" s="2"/>
      <c r="D584" s="2"/>
      <c r="E584" s="2"/>
      <c r="F584" s="4"/>
      <c r="G584" s="2"/>
      <c r="H584" s="2"/>
      <c r="I584" s="2"/>
      <c r="J584" s="2"/>
      <c r="K584" s="5"/>
      <c r="L584" s="2"/>
      <c r="M584" s="2"/>
      <c r="N584" s="2"/>
      <c r="O584" s="2"/>
      <c r="P584" s="2"/>
      <c r="Q584" s="2"/>
      <c r="R584" s="7"/>
      <c r="S584" s="224"/>
      <c r="T584" s="224"/>
      <c r="U584" s="224"/>
      <c r="V584" s="224"/>
    </row>
    <row r="585">
      <c r="A585" s="33"/>
      <c r="B585" s="2"/>
      <c r="C585" s="2"/>
      <c r="D585" s="2"/>
      <c r="E585" s="2"/>
      <c r="F585" s="4"/>
      <c r="G585" s="2"/>
      <c r="H585" s="2"/>
      <c r="I585" s="2"/>
      <c r="J585" s="2"/>
      <c r="K585" s="5"/>
      <c r="L585" s="2"/>
      <c r="M585" s="2"/>
      <c r="N585" s="2"/>
      <c r="O585" s="2"/>
      <c r="P585" s="2"/>
      <c r="Q585" s="2"/>
      <c r="R585" s="7"/>
      <c r="S585" s="224"/>
      <c r="T585" s="224"/>
      <c r="U585" s="224"/>
      <c r="V585" s="224"/>
    </row>
    <row r="586">
      <c r="A586" s="33"/>
      <c r="B586" s="2"/>
      <c r="C586" s="2"/>
      <c r="D586" s="2"/>
      <c r="E586" s="2"/>
      <c r="F586" s="4"/>
      <c r="G586" s="2"/>
      <c r="H586" s="2"/>
      <c r="I586" s="2"/>
      <c r="J586" s="2"/>
      <c r="K586" s="5"/>
      <c r="L586" s="2"/>
      <c r="M586" s="2"/>
      <c r="N586" s="2"/>
      <c r="O586" s="2"/>
      <c r="P586" s="2"/>
      <c r="Q586" s="2"/>
      <c r="R586" s="7"/>
      <c r="S586" s="224"/>
      <c r="T586" s="224"/>
      <c r="U586" s="224"/>
      <c r="V586" s="224"/>
    </row>
    <row r="587">
      <c r="A587" s="33"/>
      <c r="B587" s="2"/>
      <c r="C587" s="2"/>
      <c r="D587" s="2"/>
      <c r="E587" s="2"/>
      <c r="F587" s="4"/>
      <c r="G587" s="2"/>
      <c r="H587" s="2"/>
      <c r="I587" s="2"/>
      <c r="J587" s="2"/>
      <c r="K587" s="5"/>
      <c r="L587" s="2"/>
      <c r="M587" s="2"/>
      <c r="N587" s="2"/>
      <c r="O587" s="2"/>
      <c r="P587" s="2"/>
      <c r="Q587" s="2"/>
      <c r="R587" s="7"/>
      <c r="S587" s="224"/>
      <c r="T587" s="224"/>
      <c r="U587" s="224"/>
      <c r="V587" s="224"/>
    </row>
    <row r="588">
      <c r="A588" s="33"/>
      <c r="B588" s="2"/>
      <c r="C588" s="2"/>
      <c r="D588" s="2"/>
      <c r="E588" s="2"/>
      <c r="F588" s="4"/>
      <c r="G588" s="2"/>
      <c r="H588" s="2"/>
      <c r="I588" s="2"/>
      <c r="J588" s="2"/>
      <c r="K588" s="5"/>
      <c r="L588" s="2"/>
      <c r="M588" s="2"/>
      <c r="N588" s="2"/>
      <c r="O588" s="2"/>
      <c r="P588" s="2"/>
      <c r="Q588" s="2"/>
      <c r="R588" s="7"/>
      <c r="S588" s="224"/>
      <c r="T588" s="224"/>
      <c r="U588" s="224"/>
      <c r="V588" s="224"/>
    </row>
    <row r="589">
      <c r="A589" s="33"/>
      <c r="B589" s="2"/>
      <c r="C589" s="2"/>
      <c r="D589" s="2"/>
      <c r="E589" s="2"/>
      <c r="F589" s="4"/>
      <c r="G589" s="2"/>
      <c r="H589" s="2"/>
      <c r="I589" s="2"/>
      <c r="J589" s="2"/>
      <c r="K589" s="5"/>
      <c r="L589" s="2"/>
      <c r="M589" s="2"/>
      <c r="N589" s="2"/>
      <c r="O589" s="2"/>
      <c r="P589" s="2"/>
      <c r="Q589" s="2"/>
      <c r="R589" s="7"/>
      <c r="S589" s="224"/>
      <c r="T589" s="224"/>
      <c r="U589" s="224"/>
      <c r="V589" s="224"/>
    </row>
    <row r="590">
      <c r="A590" s="33"/>
      <c r="B590" s="2"/>
      <c r="C590" s="2"/>
      <c r="D590" s="2"/>
      <c r="E590" s="2"/>
      <c r="F590" s="4"/>
      <c r="G590" s="2"/>
      <c r="H590" s="2"/>
      <c r="I590" s="2"/>
      <c r="J590" s="2"/>
      <c r="K590" s="5"/>
      <c r="L590" s="2"/>
      <c r="M590" s="2"/>
      <c r="N590" s="2"/>
      <c r="O590" s="2"/>
      <c r="P590" s="2"/>
      <c r="Q590" s="2"/>
      <c r="R590" s="7"/>
      <c r="S590" s="224"/>
      <c r="T590" s="224"/>
      <c r="U590" s="224"/>
      <c r="V590" s="224"/>
    </row>
    <row r="591">
      <c r="A591" s="33"/>
      <c r="B591" s="2"/>
      <c r="C591" s="2"/>
      <c r="D591" s="2"/>
      <c r="E591" s="2"/>
      <c r="F591" s="4"/>
      <c r="G591" s="2"/>
      <c r="H591" s="2"/>
      <c r="I591" s="2"/>
      <c r="J591" s="2"/>
      <c r="K591" s="5"/>
      <c r="L591" s="2"/>
      <c r="M591" s="2"/>
      <c r="N591" s="2"/>
      <c r="O591" s="2"/>
      <c r="P591" s="2"/>
      <c r="Q591" s="2"/>
      <c r="R591" s="7"/>
      <c r="S591" s="224"/>
      <c r="T591" s="224"/>
      <c r="U591" s="224"/>
      <c r="V591" s="224"/>
    </row>
    <row r="592">
      <c r="A592" s="33"/>
      <c r="B592" s="2"/>
      <c r="C592" s="2"/>
      <c r="D592" s="2"/>
      <c r="E592" s="2"/>
      <c r="F592" s="4"/>
      <c r="G592" s="2"/>
      <c r="H592" s="2"/>
      <c r="I592" s="2"/>
      <c r="J592" s="2"/>
      <c r="K592" s="5"/>
      <c r="L592" s="2"/>
      <c r="M592" s="2"/>
      <c r="N592" s="2"/>
      <c r="O592" s="2"/>
      <c r="P592" s="2"/>
      <c r="Q592" s="2"/>
      <c r="R592" s="7"/>
      <c r="S592" s="224"/>
      <c r="T592" s="224"/>
      <c r="U592" s="224"/>
      <c r="V592" s="224"/>
    </row>
    <row r="593">
      <c r="A593" s="33"/>
      <c r="B593" s="2"/>
      <c r="C593" s="2"/>
      <c r="D593" s="2"/>
      <c r="E593" s="2"/>
      <c r="F593" s="4"/>
      <c r="G593" s="2"/>
      <c r="H593" s="2"/>
      <c r="I593" s="2"/>
      <c r="J593" s="2"/>
      <c r="K593" s="5"/>
      <c r="L593" s="2"/>
      <c r="M593" s="2"/>
      <c r="N593" s="2"/>
      <c r="O593" s="2"/>
      <c r="P593" s="2"/>
      <c r="Q593" s="2"/>
      <c r="R593" s="7"/>
      <c r="S593" s="224"/>
      <c r="T593" s="224"/>
      <c r="U593" s="224"/>
      <c r="V593" s="224"/>
    </row>
    <row r="594">
      <c r="A594" s="33"/>
      <c r="B594" s="2"/>
      <c r="C594" s="2"/>
      <c r="D594" s="2"/>
      <c r="E594" s="2"/>
      <c r="F594" s="4"/>
      <c r="G594" s="2"/>
      <c r="H594" s="2"/>
      <c r="I594" s="2"/>
      <c r="J594" s="2"/>
      <c r="K594" s="5"/>
      <c r="L594" s="2"/>
      <c r="M594" s="2"/>
      <c r="N594" s="2"/>
      <c r="O594" s="2"/>
      <c r="P594" s="2"/>
      <c r="Q594" s="2"/>
      <c r="R594" s="7"/>
      <c r="S594" s="224"/>
      <c r="T594" s="224"/>
      <c r="U594" s="224"/>
      <c r="V594" s="224"/>
    </row>
    <row r="595">
      <c r="A595" s="33"/>
      <c r="B595" s="2"/>
      <c r="C595" s="2"/>
      <c r="D595" s="2"/>
      <c r="E595" s="2"/>
      <c r="F595" s="4"/>
      <c r="G595" s="2"/>
      <c r="H595" s="2"/>
      <c r="I595" s="2"/>
      <c r="J595" s="2"/>
      <c r="K595" s="5"/>
      <c r="L595" s="2"/>
      <c r="M595" s="2"/>
      <c r="N595" s="2"/>
      <c r="O595" s="2"/>
      <c r="P595" s="2"/>
      <c r="Q595" s="2"/>
      <c r="R595" s="7"/>
      <c r="S595" s="224"/>
      <c r="T595" s="224"/>
      <c r="U595" s="224"/>
      <c r="V595" s="224"/>
    </row>
    <row r="596">
      <c r="A596" s="33"/>
      <c r="B596" s="2"/>
      <c r="C596" s="2"/>
      <c r="D596" s="2"/>
      <c r="E596" s="2"/>
      <c r="F596" s="4"/>
      <c r="G596" s="2"/>
      <c r="H596" s="2"/>
      <c r="I596" s="2"/>
      <c r="J596" s="2"/>
      <c r="K596" s="5"/>
      <c r="L596" s="2"/>
      <c r="M596" s="2"/>
      <c r="N596" s="2"/>
      <c r="O596" s="2"/>
      <c r="P596" s="2"/>
      <c r="Q596" s="2"/>
      <c r="R596" s="7"/>
      <c r="S596" s="224"/>
      <c r="T596" s="224"/>
      <c r="U596" s="224"/>
      <c r="V596" s="224"/>
    </row>
    <row r="597">
      <c r="A597" s="33"/>
      <c r="B597" s="2"/>
      <c r="C597" s="2"/>
      <c r="D597" s="2"/>
      <c r="E597" s="2"/>
      <c r="F597" s="4"/>
      <c r="G597" s="2"/>
      <c r="H597" s="2"/>
      <c r="I597" s="2"/>
      <c r="J597" s="2"/>
      <c r="K597" s="5"/>
      <c r="L597" s="2"/>
      <c r="M597" s="2"/>
      <c r="N597" s="2"/>
      <c r="O597" s="2"/>
      <c r="P597" s="2"/>
      <c r="Q597" s="2"/>
      <c r="R597" s="7"/>
      <c r="S597" s="224"/>
      <c r="T597" s="224"/>
      <c r="U597" s="224"/>
      <c r="V597" s="224"/>
    </row>
    <row r="598">
      <c r="A598" s="33"/>
      <c r="B598" s="2"/>
      <c r="C598" s="2"/>
      <c r="D598" s="2"/>
      <c r="E598" s="2"/>
      <c r="F598" s="4"/>
      <c r="G598" s="2"/>
      <c r="H598" s="2"/>
      <c r="I598" s="2"/>
      <c r="J598" s="2"/>
      <c r="K598" s="5"/>
      <c r="L598" s="2"/>
      <c r="M598" s="2"/>
      <c r="N598" s="2"/>
      <c r="O598" s="2"/>
      <c r="P598" s="2"/>
      <c r="Q598" s="2"/>
      <c r="R598" s="7"/>
      <c r="S598" s="224"/>
      <c r="T598" s="224"/>
      <c r="U598" s="224"/>
      <c r="V598" s="224"/>
    </row>
    <row r="599">
      <c r="A599" s="33"/>
      <c r="B599" s="2"/>
      <c r="C599" s="2"/>
      <c r="D599" s="2"/>
      <c r="E599" s="2"/>
      <c r="F599" s="4"/>
      <c r="G599" s="2"/>
      <c r="H599" s="2"/>
      <c r="I599" s="2"/>
      <c r="J599" s="2"/>
      <c r="K599" s="5"/>
      <c r="L599" s="2"/>
      <c r="M599" s="2"/>
      <c r="N599" s="2"/>
      <c r="O599" s="2"/>
      <c r="P599" s="2"/>
      <c r="Q599" s="2"/>
      <c r="R599" s="7"/>
      <c r="S599" s="224"/>
      <c r="T599" s="224"/>
      <c r="U599" s="224"/>
      <c r="V599" s="224"/>
    </row>
    <row r="600">
      <c r="A600" s="33"/>
      <c r="B600" s="2"/>
      <c r="C600" s="2"/>
      <c r="D600" s="2"/>
      <c r="E600" s="2"/>
      <c r="F600" s="4"/>
      <c r="G600" s="2"/>
      <c r="H600" s="2"/>
      <c r="I600" s="2"/>
      <c r="J600" s="2"/>
      <c r="K600" s="5"/>
      <c r="L600" s="2"/>
      <c r="M600" s="2"/>
      <c r="N600" s="2"/>
      <c r="O600" s="2"/>
      <c r="P600" s="2"/>
      <c r="Q600" s="2"/>
      <c r="R600" s="7"/>
      <c r="S600" s="224"/>
      <c r="T600" s="224"/>
      <c r="U600" s="224"/>
      <c r="V600" s="224"/>
    </row>
    <row r="601">
      <c r="A601" s="33"/>
      <c r="B601" s="2"/>
      <c r="C601" s="2"/>
      <c r="D601" s="2"/>
      <c r="E601" s="2"/>
      <c r="F601" s="4"/>
      <c r="G601" s="2"/>
      <c r="H601" s="2"/>
      <c r="I601" s="2"/>
      <c r="J601" s="2"/>
      <c r="K601" s="5"/>
      <c r="L601" s="2"/>
      <c r="M601" s="2"/>
      <c r="N601" s="2"/>
      <c r="O601" s="2"/>
      <c r="P601" s="2"/>
      <c r="Q601" s="2"/>
      <c r="R601" s="7"/>
      <c r="S601" s="224"/>
      <c r="T601" s="224"/>
      <c r="U601" s="224"/>
      <c r="V601" s="224"/>
    </row>
    <row r="602">
      <c r="A602" s="33"/>
      <c r="B602" s="2"/>
      <c r="C602" s="2"/>
      <c r="D602" s="2"/>
      <c r="E602" s="2"/>
      <c r="F602" s="4"/>
      <c r="G602" s="2"/>
      <c r="H602" s="2"/>
      <c r="I602" s="2"/>
      <c r="J602" s="2"/>
      <c r="K602" s="5"/>
      <c r="L602" s="2"/>
      <c r="M602" s="2"/>
      <c r="N602" s="2"/>
      <c r="O602" s="2"/>
      <c r="P602" s="2"/>
      <c r="Q602" s="2"/>
      <c r="R602" s="7"/>
      <c r="S602" s="224"/>
      <c r="T602" s="224"/>
      <c r="U602" s="224"/>
      <c r="V602" s="224"/>
    </row>
    <row r="603">
      <c r="A603" s="33"/>
      <c r="B603" s="2"/>
      <c r="C603" s="2"/>
      <c r="D603" s="2"/>
      <c r="E603" s="2"/>
      <c r="F603" s="4"/>
      <c r="G603" s="2"/>
      <c r="H603" s="2"/>
      <c r="I603" s="2"/>
      <c r="J603" s="2"/>
      <c r="K603" s="5"/>
      <c r="L603" s="2"/>
      <c r="M603" s="2"/>
      <c r="N603" s="2"/>
      <c r="O603" s="2"/>
      <c r="P603" s="2"/>
      <c r="Q603" s="2"/>
      <c r="R603" s="7"/>
      <c r="S603" s="224"/>
      <c r="T603" s="224"/>
      <c r="U603" s="224"/>
      <c r="V603" s="224"/>
    </row>
    <row r="604">
      <c r="A604" s="33"/>
      <c r="B604" s="2"/>
      <c r="C604" s="2"/>
      <c r="D604" s="2"/>
      <c r="E604" s="2"/>
      <c r="F604" s="4"/>
      <c r="G604" s="2"/>
      <c r="H604" s="2"/>
      <c r="I604" s="2"/>
      <c r="J604" s="2"/>
      <c r="K604" s="5"/>
      <c r="L604" s="2"/>
      <c r="M604" s="2"/>
      <c r="N604" s="2"/>
      <c r="O604" s="2"/>
      <c r="P604" s="2"/>
      <c r="Q604" s="2"/>
      <c r="R604" s="7"/>
      <c r="S604" s="224"/>
      <c r="T604" s="224"/>
      <c r="U604" s="224"/>
      <c r="V604" s="224"/>
    </row>
    <row r="605">
      <c r="A605" s="33"/>
      <c r="B605" s="2"/>
      <c r="C605" s="2"/>
      <c r="D605" s="2"/>
      <c r="E605" s="2"/>
      <c r="F605" s="4"/>
      <c r="G605" s="2"/>
      <c r="H605" s="2"/>
      <c r="I605" s="2"/>
      <c r="J605" s="2"/>
      <c r="K605" s="5"/>
      <c r="L605" s="2"/>
      <c r="M605" s="2"/>
      <c r="N605" s="2"/>
      <c r="O605" s="2"/>
      <c r="P605" s="2"/>
      <c r="Q605" s="2"/>
      <c r="R605" s="7"/>
      <c r="S605" s="224"/>
      <c r="T605" s="224"/>
      <c r="U605" s="224"/>
      <c r="V605" s="224"/>
    </row>
    <row r="606">
      <c r="A606" s="33"/>
      <c r="B606" s="2"/>
      <c r="C606" s="2"/>
      <c r="D606" s="2"/>
      <c r="E606" s="2"/>
      <c r="F606" s="4"/>
      <c r="G606" s="2"/>
      <c r="H606" s="2"/>
      <c r="I606" s="2"/>
      <c r="J606" s="2"/>
      <c r="K606" s="5"/>
      <c r="L606" s="2"/>
      <c r="M606" s="2"/>
      <c r="N606" s="2"/>
      <c r="O606" s="2"/>
      <c r="P606" s="2"/>
      <c r="Q606" s="2"/>
      <c r="R606" s="7"/>
      <c r="S606" s="224"/>
      <c r="T606" s="224"/>
      <c r="U606" s="224"/>
      <c r="V606" s="224"/>
    </row>
    <row r="607">
      <c r="A607" s="33"/>
      <c r="B607" s="2"/>
      <c r="C607" s="2"/>
      <c r="D607" s="2"/>
      <c r="E607" s="2"/>
      <c r="F607" s="4"/>
      <c r="G607" s="2"/>
      <c r="H607" s="2"/>
      <c r="I607" s="2"/>
      <c r="J607" s="2"/>
      <c r="K607" s="5"/>
      <c r="L607" s="2"/>
      <c r="M607" s="2"/>
      <c r="N607" s="2"/>
      <c r="O607" s="2"/>
      <c r="P607" s="2"/>
      <c r="Q607" s="2"/>
      <c r="R607" s="7"/>
      <c r="S607" s="224"/>
      <c r="T607" s="224"/>
      <c r="U607" s="224"/>
      <c r="V607" s="224"/>
    </row>
    <row r="608">
      <c r="A608" s="33"/>
      <c r="B608" s="2"/>
      <c r="C608" s="2"/>
      <c r="D608" s="2"/>
      <c r="E608" s="2"/>
      <c r="F608" s="4"/>
      <c r="G608" s="2"/>
      <c r="H608" s="2"/>
      <c r="I608" s="2"/>
      <c r="J608" s="2"/>
      <c r="K608" s="5"/>
      <c r="L608" s="2"/>
      <c r="M608" s="2"/>
      <c r="N608" s="2"/>
      <c r="O608" s="2"/>
      <c r="P608" s="2"/>
      <c r="Q608" s="2"/>
      <c r="R608" s="7"/>
      <c r="S608" s="224"/>
      <c r="T608" s="224"/>
      <c r="U608" s="224"/>
      <c r="V608" s="224"/>
    </row>
    <row r="609">
      <c r="A609" s="33"/>
      <c r="B609" s="2"/>
      <c r="C609" s="2"/>
      <c r="D609" s="2"/>
      <c r="E609" s="2"/>
      <c r="F609" s="4"/>
      <c r="G609" s="2"/>
      <c r="H609" s="2"/>
      <c r="I609" s="2"/>
      <c r="J609" s="2"/>
      <c r="K609" s="5"/>
      <c r="L609" s="2"/>
      <c r="M609" s="2"/>
      <c r="N609" s="2"/>
      <c r="O609" s="2"/>
      <c r="P609" s="2"/>
      <c r="Q609" s="2"/>
      <c r="R609" s="7"/>
      <c r="S609" s="224"/>
      <c r="T609" s="224"/>
      <c r="U609" s="224"/>
      <c r="V609" s="224"/>
    </row>
    <row r="610">
      <c r="A610" s="33"/>
      <c r="B610" s="2"/>
      <c r="C610" s="2"/>
      <c r="D610" s="2"/>
      <c r="E610" s="2"/>
      <c r="F610" s="4"/>
      <c r="G610" s="2"/>
      <c r="H610" s="2"/>
      <c r="I610" s="2"/>
      <c r="J610" s="2"/>
      <c r="K610" s="5"/>
      <c r="L610" s="2"/>
      <c r="M610" s="2"/>
      <c r="N610" s="2"/>
      <c r="O610" s="2"/>
      <c r="P610" s="2"/>
      <c r="Q610" s="2"/>
      <c r="R610" s="7"/>
      <c r="S610" s="224"/>
      <c r="T610" s="224"/>
      <c r="U610" s="224"/>
      <c r="V610" s="224"/>
    </row>
    <row r="611">
      <c r="A611" s="33"/>
      <c r="B611" s="2"/>
      <c r="C611" s="2"/>
      <c r="D611" s="2"/>
      <c r="E611" s="2"/>
      <c r="F611" s="4"/>
      <c r="G611" s="2"/>
      <c r="H611" s="2"/>
      <c r="I611" s="2"/>
      <c r="J611" s="2"/>
      <c r="K611" s="5"/>
      <c r="L611" s="2"/>
      <c r="M611" s="2"/>
      <c r="N611" s="2"/>
      <c r="O611" s="2"/>
      <c r="P611" s="2"/>
      <c r="Q611" s="2"/>
      <c r="R611" s="7"/>
      <c r="S611" s="224"/>
      <c r="T611" s="224"/>
      <c r="U611" s="224"/>
      <c r="V611" s="224"/>
    </row>
    <row r="612">
      <c r="A612" s="33"/>
      <c r="B612" s="2"/>
      <c r="C612" s="2"/>
      <c r="D612" s="2"/>
      <c r="E612" s="2"/>
      <c r="F612" s="4"/>
      <c r="G612" s="2"/>
      <c r="H612" s="2"/>
      <c r="I612" s="2"/>
      <c r="J612" s="2"/>
      <c r="K612" s="5"/>
      <c r="L612" s="2"/>
      <c r="M612" s="2"/>
      <c r="N612" s="2"/>
      <c r="O612" s="2"/>
      <c r="P612" s="2"/>
      <c r="Q612" s="2"/>
      <c r="R612" s="7"/>
      <c r="S612" s="224"/>
      <c r="T612" s="224"/>
      <c r="U612" s="224"/>
      <c r="V612" s="224"/>
    </row>
    <row r="613">
      <c r="A613" s="33"/>
      <c r="B613" s="2"/>
      <c r="C613" s="2"/>
      <c r="D613" s="2"/>
      <c r="E613" s="2"/>
      <c r="F613" s="4"/>
      <c r="G613" s="2"/>
      <c r="H613" s="2"/>
      <c r="I613" s="2"/>
      <c r="J613" s="2"/>
      <c r="K613" s="5"/>
      <c r="L613" s="2"/>
      <c r="M613" s="2"/>
      <c r="N613" s="2"/>
      <c r="O613" s="2"/>
      <c r="P613" s="2"/>
      <c r="Q613" s="2"/>
      <c r="R613" s="7"/>
      <c r="S613" s="224"/>
      <c r="T613" s="224"/>
      <c r="U613" s="224"/>
      <c r="V613" s="224"/>
    </row>
    <row r="614">
      <c r="A614" s="33"/>
      <c r="B614" s="2"/>
      <c r="C614" s="2"/>
      <c r="D614" s="2"/>
      <c r="E614" s="2"/>
      <c r="F614" s="4"/>
      <c r="G614" s="2"/>
      <c r="H614" s="2"/>
      <c r="I614" s="2"/>
      <c r="J614" s="2"/>
      <c r="K614" s="5"/>
      <c r="L614" s="2"/>
      <c r="M614" s="2"/>
      <c r="N614" s="2"/>
      <c r="O614" s="2"/>
      <c r="P614" s="2"/>
      <c r="Q614" s="2"/>
      <c r="R614" s="7"/>
      <c r="S614" s="224"/>
      <c r="T614" s="224"/>
      <c r="U614" s="224"/>
      <c r="V614" s="224"/>
    </row>
    <row r="615">
      <c r="A615" s="33"/>
      <c r="B615" s="2"/>
      <c r="C615" s="2"/>
      <c r="D615" s="2"/>
      <c r="E615" s="2"/>
      <c r="F615" s="4"/>
      <c r="G615" s="2"/>
      <c r="H615" s="2"/>
      <c r="I615" s="2"/>
      <c r="J615" s="2"/>
      <c r="K615" s="5"/>
      <c r="L615" s="2"/>
      <c r="M615" s="2"/>
      <c r="N615" s="2"/>
      <c r="O615" s="2"/>
      <c r="P615" s="2"/>
      <c r="Q615" s="2"/>
      <c r="R615" s="7"/>
      <c r="S615" s="224"/>
      <c r="T615" s="224"/>
      <c r="U615" s="224"/>
      <c r="V615" s="224"/>
    </row>
    <row r="616">
      <c r="A616" s="33"/>
      <c r="B616" s="2"/>
      <c r="C616" s="2"/>
      <c r="D616" s="2"/>
      <c r="E616" s="2"/>
      <c r="F616" s="4"/>
      <c r="G616" s="2"/>
      <c r="H616" s="2"/>
      <c r="I616" s="2"/>
      <c r="J616" s="2"/>
      <c r="K616" s="5"/>
      <c r="L616" s="2"/>
      <c r="M616" s="2"/>
      <c r="N616" s="2"/>
      <c r="O616" s="2"/>
      <c r="P616" s="2"/>
      <c r="Q616" s="2"/>
      <c r="R616" s="7"/>
      <c r="S616" s="224"/>
      <c r="T616" s="224"/>
      <c r="U616" s="224"/>
      <c r="V616" s="224"/>
    </row>
    <row r="617">
      <c r="A617" s="33"/>
      <c r="B617" s="2"/>
      <c r="C617" s="2"/>
      <c r="D617" s="2"/>
      <c r="E617" s="2"/>
      <c r="F617" s="4"/>
      <c r="G617" s="2"/>
      <c r="H617" s="2"/>
      <c r="I617" s="2"/>
      <c r="J617" s="2"/>
      <c r="K617" s="5"/>
      <c r="L617" s="2"/>
      <c r="M617" s="2"/>
      <c r="N617" s="2"/>
      <c r="O617" s="2"/>
      <c r="P617" s="2"/>
      <c r="Q617" s="2"/>
      <c r="R617" s="7"/>
      <c r="S617" s="224"/>
      <c r="T617" s="224"/>
      <c r="U617" s="224"/>
      <c r="V617" s="224"/>
    </row>
    <row r="618">
      <c r="A618" s="33"/>
      <c r="B618" s="2"/>
      <c r="C618" s="2"/>
      <c r="D618" s="2"/>
      <c r="E618" s="2"/>
      <c r="F618" s="4"/>
      <c r="G618" s="2"/>
      <c r="H618" s="2"/>
      <c r="I618" s="2"/>
      <c r="J618" s="2"/>
      <c r="K618" s="5"/>
      <c r="L618" s="2"/>
      <c r="M618" s="2"/>
      <c r="N618" s="2"/>
      <c r="O618" s="2"/>
      <c r="P618" s="2"/>
      <c r="Q618" s="2"/>
      <c r="R618" s="7"/>
      <c r="S618" s="224"/>
      <c r="T618" s="224"/>
      <c r="U618" s="224"/>
      <c r="V618" s="224"/>
    </row>
    <row r="619">
      <c r="A619" s="33"/>
      <c r="B619" s="2"/>
      <c r="C619" s="2"/>
      <c r="D619" s="2"/>
      <c r="E619" s="2"/>
      <c r="F619" s="4"/>
      <c r="G619" s="2"/>
      <c r="H619" s="2"/>
      <c r="I619" s="2"/>
      <c r="J619" s="2"/>
      <c r="K619" s="5"/>
      <c r="L619" s="2"/>
      <c r="M619" s="2"/>
      <c r="N619" s="2"/>
      <c r="O619" s="2"/>
      <c r="P619" s="2"/>
      <c r="Q619" s="2"/>
      <c r="R619" s="7"/>
      <c r="S619" s="224"/>
      <c r="T619" s="224"/>
      <c r="U619" s="224"/>
      <c r="V619" s="224"/>
    </row>
    <row r="620">
      <c r="A620" s="33"/>
      <c r="B620" s="2"/>
      <c r="C620" s="2"/>
      <c r="D620" s="2"/>
      <c r="E620" s="2"/>
      <c r="F620" s="4"/>
      <c r="G620" s="2"/>
      <c r="H620" s="2"/>
      <c r="I620" s="2"/>
      <c r="J620" s="2"/>
      <c r="K620" s="5"/>
      <c r="L620" s="2"/>
      <c r="M620" s="2"/>
      <c r="N620" s="2"/>
      <c r="O620" s="2"/>
      <c r="P620" s="2"/>
      <c r="Q620" s="2"/>
      <c r="R620" s="7"/>
      <c r="S620" s="224"/>
      <c r="T620" s="224"/>
      <c r="U620" s="224"/>
      <c r="V620" s="224"/>
    </row>
    <row r="621">
      <c r="A621" s="33"/>
      <c r="B621" s="2"/>
      <c r="C621" s="2"/>
      <c r="D621" s="2"/>
      <c r="E621" s="2"/>
      <c r="F621" s="4"/>
      <c r="G621" s="2"/>
      <c r="H621" s="2"/>
      <c r="I621" s="2"/>
      <c r="J621" s="2"/>
      <c r="K621" s="5"/>
      <c r="L621" s="2"/>
      <c r="M621" s="2"/>
      <c r="N621" s="2"/>
      <c r="O621" s="2"/>
      <c r="P621" s="2"/>
      <c r="Q621" s="2"/>
      <c r="R621" s="7"/>
      <c r="S621" s="224"/>
      <c r="T621" s="224"/>
      <c r="U621" s="224"/>
      <c r="V621" s="224"/>
    </row>
    <row r="622">
      <c r="A622" s="33"/>
      <c r="B622" s="2"/>
      <c r="C622" s="2"/>
      <c r="D622" s="2"/>
      <c r="E622" s="2"/>
      <c r="F622" s="4"/>
      <c r="G622" s="2"/>
      <c r="H622" s="2"/>
      <c r="I622" s="2"/>
      <c r="J622" s="2"/>
      <c r="K622" s="5"/>
      <c r="L622" s="2"/>
      <c r="M622" s="2"/>
      <c r="N622" s="2"/>
      <c r="O622" s="2"/>
      <c r="P622" s="2"/>
      <c r="Q622" s="2"/>
      <c r="R622" s="7"/>
      <c r="S622" s="224"/>
      <c r="T622" s="224"/>
      <c r="U622" s="224"/>
      <c r="V622" s="224"/>
    </row>
    <row r="623">
      <c r="A623" s="33"/>
      <c r="B623" s="2"/>
      <c r="C623" s="2"/>
      <c r="D623" s="2"/>
      <c r="E623" s="2"/>
      <c r="F623" s="4"/>
      <c r="G623" s="2"/>
      <c r="H623" s="2"/>
      <c r="I623" s="2"/>
      <c r="J623" s="2"/>
      <c r="K623" s="5"/>
      <c r="L623" s="2"/>
      <c r="M623" s="2"/>
      <c r="N623" s="2"/>
      <c r="O623" s="2"/>
      <c r="P623" s="2"/>
      <c r="Q623" s="2"/>
      <c r="R623" s="7"/>
      <c r="S623" s="224"/>
      <c r="T623" s="224"/>
      <c r="U623" s="224"/>
      <c r="V623" s="224"/>
    </row>
    <row r="624">
      <c r="A624" s="33"/>
      <c r="B624" s="2"/>
      <c r="C624" s="2"/>
      <c r="D624" s="2"/>
      <c r="E624" s="2"/>
      <c r="F624" s="4"/>
      <c r="G624" s="2"/>
      <c r="H624" s="2"/>
      <c r="I624" s="2"/>
      <c r="J624" s="2"/>
      <c r="K624" s="5"/>
      <c r="L624" s="2"/>
      <c r="M624" s="2"/>
      <c r="N624" s="2"/>
      <c r="O624" s="2"/>
      <c r="P624" s="2"/>
      <c r="Q624" s="2"/>
      <c r="R624" s="7"/>
      <c r="S624" s="224"/>
      <c r="T624" s="224"/>
      <c r="U624" s="224"/>
      <c r="V624" s="224"/>
    </row>
    <row r="625">
      <c r="A625" s="33"/>
      <c r="B625" s="2"/>
      <c r="C625" s="2"/>
      <c r="D625" s="2"/>
      <c r="E625" s="2"/>
      <c r="F625" s="4"/>
      <c r="G625" s="2"/>
      <c r="H625" s="2"/>
      <c r="I625" s="2"/>
      <c r="J625" s="2"/>
      <c r="K625" s="5"/>
      <c r="L625" s="2"/>
      <c r="M625" s="2"/>
      <c r="N625" s="2"/>
      <c r="O625" s="2"/>
      <c r="P625" s="2"/>
      <c r="Q625" s="2"/>
      <c r="R625" s="7"/>
      <c r="S625" s="224"/>
      <c r="T625" s="224"/>
      <c r="U625" s="224"/>
      <c r="V625" s="224"/>
    </row>
    <row r="626">
      <c r="A626" s="33"/>
      <c r="B626" s="2"/>
      <c r="C626" s="2"/>
      <c r="D626" s="2"/>
      <c r="E626" s="2"/>
      <c r="F626" s="4"/>
      <c r="G626" s="2"/>
      <c r="H626" s="2"/>
      <c r="I626" s="2"/>
      <c r="J626" s="2"/>
      <c r="K626" s="5"/>
      <c r="L626" s="2"/>
      <c r="M626" s="2"/>
      <c r="N626" s="2"/>
      <c r="O626" s="2"/>
      <c r="P626" s="2"/>
      <c r="Q626" s="2"/>
      <c r="R626" s="7"/>
      <c r="S626" s="224"/>
      <c r="T626" s="224"/>
      <c r="U626" s="224"/>
      <c r="V626" s="224"/>
    </row>
    <row r="627">
      <c r="A627" s="33"/>
      <c r="B627" s="2"/>
      <c r="C627" s="2"/>
      <c r="D627" s="2"/>
      <c r="E627" s="2"/>
      <c r="F627" s="4"/>
      <c r="G627" s="2"/>
      <c r="H627" s="2"/>
      <c r="I627" s="2"/>
      <c r="J627" s="2"/>
      <c r="K627" s="5"/>
      <c r="L627" s="2"/>
      <c r="M627" s="2"/>
      <c r="N627" s="2"/>
      <c r="O627" s="2"/>
      <c r="P627" s="2"/>
      <c r="Q627" s="2"/>
      <c r="R627" s="7"/>
      <c r="S627" s="224"/>
      <c r="T627" s="224"/>
      <c r="U627" s="224"/>
      <c r="V627" s="224"/>
    </row>
    <row r="628">
      <c r="A628" s="33"/>
      <c r="B628" s="2"/>
      <c r="C628" s="2"/>
      <c r="D628" s="2"/>
      <c r="E628" s="2"/>
      <c r="F628" s="4"/>
      <c r="G628" s="2"/>
      <c r="H628" s="2"/>
      <c r="I628" s="2"/>
      <c r="J628" s="2"/>
      <c r="K628" s="5"/>
      <c r="L628" s="2"/>
      <c r="M628" s="2"/>
      <c r="N628" s="2"/>
      <c r="O628" s="2"/>
      <c r="P628" s="2"/>
      <c r="Q628" s="2"/>
      <c r="R628" s="7"/>
      <c r="S628" s="224"/>
      <c r="T628" s="224"/>
      <c r="U628" s="224"/>
      <c r="V628" s="224"/>
    </row>
    <row r="629">
      <c r="A629" s="33"/>
      <c r="B629" s="2"/>
      <c r="C629" s="2"/>
      <c r="D629" s="2"/>
      <c r="E629" s="2"/>
      <c r="F629" s="4"/>
      <c r="G629" s="2"/>
      <c r="H629" s="2"/>
      <c r="I629" s="2"/>
      <c r="J629" s="2"/>
      <c r="K629" s="5"/>
      <c r="L629" s="2"/>
      <c r="M629" s="2"/>
      <c r="N629" s="2"/>
      <c r="O629" s="2"/>
      <c r="P629" s="2"/>
      <c r="Q629" s="2"/>
      <c r="R629" s="7"/>
      <c r="S629" s="224"/>
      <c r="T629" s="224"/>
      <c r="U629" s="224"/>
      <c r="V629" s="224"/>
    </row>
    <row r="630">
      <c r="A630" s="33"/>
      <c r="B630" s="2"/>
      <c r="C630" s="2"/>
      <c r="D630" s="2"/>
      <c r="E630" s="2"/>
      <c r="F630" s="4"/>
      <c r="G630" s="2"/>
      <c r="H630" s="2"/>
      <c r="I630" s="2"/>
      <c r="J630" s="2"/>
      <c r="K630" s="5"/>
      <c r="L630" s="2"/>
      <c r="M630" s="2"/>
      <c r="N630" s="2"/>
      <c r="O630" s="2"/>
      <c r="P630" s="2"/>
      <c r="Q630" s="2"/>
      <c r="R630" s="7"/>
      <c r="S630" s="224"/>
      <c r="T630" s="224"/>
      <c r="U630" s="224"/>
      <c r="V630" s="224"/>
    </row>
    <row r="631">
      <c r="A631" s="33"/>
      <c r="B631" s="2"/>
      <c r="C631" s="2"/>
      <c r="D631" s="2"/>
      <c r="E631" s="2"/>
      <c r="F631" s="4"/>
      <c r="G631" s="2"/>
      <c r="H631" s="2"/>
      <c r="I631" s="2"/>
      <c r="J631" s="2"/>
      <c r="K631" s="5"/>
      <c r="L631" s="2"/>
      <c r="M631" s="2"/>
      <c r="N631" s="2"/>
      <c r="O631" s="2"/>
      <c r="P631" s="2"/>
      <c r="Q631" s="2"/>
      <c r="R631" s="7"/>
      <c r="S631" s="224"/>
      <c r="T631" s="224"/>
      <c r="U631" s="224"/>
      <c r="V631" s="224"/>
    </row>
    <row r="632">
      <c r="A632" s="33"/>
      <c r="B632" s="2"/>
      <c r="C632" s="2"/>
      <c r="D632" s="2"/>
      <c r="E632" s="2"/>
      <c r="F632" s="4"/>
      <c r="G632" s="2"/>
      <c r="H632" s="2"/>
      <c r="I632" s="2"/>
      <c r="J632" s="2"/>
      <c r="K632" s="5"/>
      <c r="L632" s="2"/>
      <c r="M632" s="2"/>
      <c r="N632" s="2"/>
      <c r="O632" s="2"/>
      <c r="P632" s="2"/>
      <c r="Q632" s="2"/>
      <c r="R632" s="7"/>
      <c r="S632" s="224"/>
      <c r="T632" s="224"/>
      <c r="U632" s="224"/>
      <c r="V632" s="224"/>
    </row>
    <row r="633">
      <c r="A633" s="33"/>
      <c r="B633" s="2"/>
      <c r="C633" s="2"/>
      <c r="D633" s="2"/>
      <c r="E633" s="2"/>
      <c r="F633" s="4"/>
      <c r="G633" s="2"/>
      <c r="H633" s="2"/>
      <c r="I633" s="2"/>
      <c r="J633" s="2"/>
      <c r="K633" s="5"/>
      <c r="L633" s="2"/>
      <c r="M633" s="2"/>
      <c r="N633" s="2"/>
      <c r="O633" s="2"/>
      <c r="P633" s="2"/>
      <c r="Q633" s="2"/>
      <c r="R633" s="7"/>
      <c r="S633" s="224"/>
      <c r="T633" s="224"/>
      <c r="U633" s="224"/>
      <c r="V633" s="224"/>
    </row>
    <row r="634">
      <c r="A634" s="33"/>
      <c r="B634" s="2"/>
      <c r="C634" s="2"/>
      <c r="D634" s="2"/>
      <c r="E634" s="2"/>
      <c r="F634" s="4"/>
      <c r="G634" s="2"/>
      <c r="H634" s="2"/>
      <c r="I634" s="2"/>
      <c r="J634" s="2"/>
      <c r="K634" s="5"/>
      <c r="L634" s="2"/>
      <c r="M634" s="2"/>
      <c r="N634" s="2"/>
      <c r="O634" s="2"/>
      <c r="P634" s="2"/>
      <c r="Q634" s="2"/>
      <c r="R634" s="7"/>
      <c r="S634" s="224"/>
      <c r="T634" s="224"/>
      <c r="U634" s="224"/>
      <c r="V634" s="224"/>
    </row>
    <row r="635">
      <c r="A635" s="33"/>
      <c r="B635" s="2"/>
      <c r="C635" s="2"/>
      <c r="D635" s="2"/>
      <c r="E635" s="2"/>
      <c r="F635" s="4"/>
      <c r="G635" s="2"/>
      <c r="H635" s="2"/>
      <c r="I635" s="2"/>
      <c r="J635" s="2"/>
      <c r="K635" s="5"/>
      <c r="L635" s="2"/>
      <c r="M635" s="2"/>
      <c r="N635" s="2"/>
      <c r="O635" s="2"/>
      <c r="P635" s="2"/>
      <c r="Q635" s="2"/>
      <c r="R635" s="7"/>
      <c r="S635" s="224"/>
      <c r="T635" s="224"/>
      <c r="U635" s="224"/>
      <c r="V635" s="224"/>
    </row>
    <row r="636">
      <c r="A636" s="33"/>
      <c r="B636" s="2"/>
      <c r="C636" s="2"/>
      <c r="D636" s="2"/>
      <c r="E636" s="2"/>
      <c r="F636" s="4"/>
      <c r="G636" s="2"/>
      <c r="H636" s="2"/>
      <c r="I636" s="2"/>
      <c r="J636" s="2"/>
      <c r="K636" s="5"/>
      <c r="L636" s="2"/>
      <c r="M636" s="2"/>
      <c r="N636" s="2"/>
      <c r="O636" s="2"/>
      <c r="P636" s="2"/>
      <c r="Q636" s="2"/>
      <c r="R636" s="7"/>
      <c r="S636" s="224"/>
      <c r="T636" s="224"/>
      <c r="U636" s="224"/>
      <c r="V636" s="224"/>
    </row>
    <row r="637">
      <c r="A637" s="33"/>
      <c r="B637" s="2"/>
      <c r="C637" s="2"/>
      <c r="D637" s="2"/>
      <c r="E637" s="2"/>
      <c r="F637" s="4"/>
      <c r="G637" s="2"/>
      <c r="H637" s="2"/>
      <c r="I637" s="2"/>
      <c r="J637" s="2"/>
      <c r="K637" s="5"/>
      <c r="L637" s="2"/>
      <c r="M637" s="2"/>
      <c r="N637" s="2"/>
      <c r="O637" s="2"/>
      <c r="P637" s="2"/>
      <c r="Q637" s="2"/>
      <c r="R637" s="7"/>
      <c r="S637" s="224"/>
      <c r="T637" s="224"/>
      <c r="U637" s="224"/>
      <c r="V637" s="224"/>
    </row>
    <row r="638">
      <c r="A638" s="33"/>
      <c r="B638" s="2"/>
      <c r="C638" s="2"/>
      <c r="D638" s="2"/>
      <c r="E638" s="2"/>
      <c r="F638" s="4"/>
      <c r="G638" s="2"/>
      <c r="H638" s="2"/>
      <c r="I638" s="2"/>
      <c r="J638" s="2"/>
      <c r="K638" s="5"/>
      <c r="L638" s="2"/>
      <c r="M638" s="2"/>
      <c r="N638" s="2"/>
      <c r="O638" s="2"/>
      <c r="P638" s="2"/>
      <c r="Q638" s="2"/>
      <c r="R638" s="7"/>
      <c r="S638" s="224"/>
      <c r="T638" s="224"/>
      <c r="U638" s="224"/>
      <c r="V638" s="224"/>
    </row>
    <row r="639">
      <c r="A639" s="33"/>
      <c r="B639" s="2"/>
      <c r="C639" s="2"/>
      <c r="D639" s="2"/>
      <c r="E639" s="2"/>
      <c r="F639" s="4"/>
      <c r="G639" s="2"/>
      <c r="H639" s="2"/>
      <c r="I639" s="2"/>
      <c r="J639" s="2"/>
      <c r="K639" s="5"/>
      <c r="L639" s="2"/>
      <c r="M639" s="2"/>
      <c r="N639" s="2"/>
      <c r="O639" s="2"/>
      <c r="P639" s="2"/>
      <c r="Q639" s="2"/>
      <c r="R639" s="7"/>
      <c r="S639" s="224"/>
      <c r="T639" s="224"/>
      <c r="U639" s="224"/>
      <c r="V639" s="224"/>
    </row>
    <row r="640">
      <c r="A640" s="33"/>
      <c r="B640" s="2"/>
      <c r="C640" s="2"/>
      <c r="D640" s="2"/>
      <c r="E640" s="2"/>
      <c r="F640" s="4"/>
      <c r="G640" s="2"/>
      <c r="H640" s="2"/>
      <c r="I640" s="2"/>
      <c r="J640" s="2"/>
      <c r="K640" s="5"/>
      <c r="L640" s="2"/>
      <c r="M640" s="2"/>
      <c r="N640" s="2"/>
      <c r="O640" s="2"/>
      <c r="P640" s="2"/>
      <c r="Q640" s="2"/>
      <c r="R640" s="7"/>
      <c r="S640" s="224"/>
      <c r="T640" s="224"/>
      <c r="U640" s="224"/>
      <c r="V640" s="224"/>
    </row>
    <row r="641">
      <c r="A641" s="33"/>
      <c r="B641" s="2"/>
      <c r="C641" s="2"/>
      <c r="D641" s="2"/>
      <c r="E641" s="2"/>
      <c r="F641" s="4"/>
      <c r="G641" s="2"/>
      <c r="H641" s="2"/>
      <c r="I641" s="2"/>
      <c r="J641" s="2"/>
      <c r="K641" s="5"/>
      <c r="L641" s="2"/>
      <c r="M641" s="2"/>
      <c r="N641" s="2"/>
      <c r="O641" s="2"/>
      <c r="P641" s="2"/>
      <c r="Q641" s="2"/>
      <c r="R641" s="7"/>
      <c r="S641" s="224"/>
      <c r="T641" s="224"/>
      <c r="U641" s="224"/>
      <c r="V641" s="224"/>
    </row>
    <row r="642">
      <c r="A642" s="33"/>
      <c r="B642" s="2"/>
      <c r="C642" s="2"/>
      <c r="D642" s="2"/>
      <c r="E642" s="2"/>
      <c r="F642" s="4"/>
      <c r="G642" s="2"/>
      <c r="H642" s="2"/>
      <c r="I642" s="2"/>
      <c r="J642" s="2"/>
      <c r="K642" s="5"/>
      <c r="L642" s="2"/>
      <c r="M642" s="2"/>
      <c r="N642" s="2"/>
      <c r="O642" s="2"/>
      <c r="P642" s="2"/>
      <c r="Q642" s="2"/>
      <c r="R642" s="7"/>
      <c r="S642" s="224"/>
      <c r="T642" s="224"/>
      <c r="U642" s="224"/>
      <c r="V642" s="224"/>
    </row>
    <row r="643">
      <c r="A643" s="33"/>
      <c r="B643" s="2"/>
      <c r="C643" s="2"/>
      <c r="D643" s="2"/>
      <c r="E643" s="2"/>
      <c r="F643" s="4"/>
      <c r="G643" s="2"/>
      <c r="H643" s="2"/>
      <c r="I643" s="2"/>
      <c r="J643" s="2"/>
      <c r="K643" s="5"/>
      <c r="L643" s="2"/>
      <c r="M643" s="2"/>
      <c r="N643" s="2"/>
      <c r="O643" s="2"/>
      <c r="P643" s="2"/>
      <c r="Q643" s="2"/>
      <c r="R643" s="7"/>
      <c r="S643" s="224"/>
      <c r="T643" s="224"/>
      <c r="U643" s="224"/>
      <c r="V643" s="224"/>
    </row>
    <row r="644">
      <c r="A644" s="33"/>
      <c r="B644" s="2"/>
      <c r="C644" s="2"/>
      <c r="D644" s="2"/>
      <c r="E644" s="2"/>
      <c r="F644" s="4"/>
      <c r="G644" s="2"/>
      <c r="H644" s="2"/>
      <c r="I644" s="2"/>
      <c r="J644" s="2"/>
      <c r="K644" s="5"/>
      <c r="L644" s="2"/>
      <c r="M644" s="2"/>
      <c r="N644" s="2"/>
      <c r="O644" s="2"/>
      <c r="P644" s="2"/>
      <c r="Q644" s="2"/>
      <c r="R644" s="7"/>
      <c r="S644" s="224"/>
      <c r="T644" s="224"/>
      <c r="U644" s="224"/>
      <c r="V644" s="224"/>
    </row>
    <row r="645">
      <c r="A645" s="33"/>
      <c r="B645" s="2"/>
      <c r="C645" s="2"/>
      <c r="D645" s="2"/>
      <c r="E645" s="2"/>
      <c r="F645" s="4"/>
      <c r="G645" s="2"/>
      <c r="H645" s="2"/>
      <c r="I645" s="2"/>
      <c r="J645" s="2"/>
      <c r="K645" s="5"/>
      <c r="L645" s="2"/>
      <c r="M645" s="2"/>
      <c r="N645" s="2"/>
      <c r="O645" s="2"/>
      <c r="P645" s="2"/>
      <c r="Q645" s="2"/>
      <c r="R645" s="7"/>
      <c r="S645" s="224"/>
      <c r="T645" s="224"/>
      <c r="U645" s="224"/>
      <c r="V645" s="224"/>
    </row>
    <row r="646">
      <c r="A646" s="33"/>
      <c r="B646" s="2"/>
      <c r="C646" s="2"/>
      <c r="D646" s="2"/>
      <c r="E646" s="2"/>
      <c r="F646" s="4"/>
      <c r="G646" s="2"/>
      <c r="H646" s="2"/>
      <c r="I646" s="2"/>
      <c r="J646" s="2"/>
      <c r="K646" s="5"/>
      <c r="L646" s="2"/>
      <c r="M646" s="2"/>
      <c r="N646" s="2"/>
      <c r="O646" s="2"/>
      <c r="P646" s="2"/>
      <c r="Q646" s="2"/>
      <c r="R646" s="7"/>
      <c r="S646" s="224"/>
      <c r="T646" s="224"/>
      <c r="U646" s="224"/>
      <c r="V646" s="224"/>
    </row>
    <row r="647">
      <c r="A647" s="33"/>
      <c r="B647" s="2"/>
      <c r="C647" s="2"/>
      <c r="D647" s="2"/>
      <c r="E647" s="2"/>
      <c r="F647" s="4"/>
      <c r="G647" s="2"/>
      <c r="H647" s="2"/>
      <c r="I647" s="2"/>
      <c r="J647" s="2"/>
      <c r="K647" s="5"/>
      <c r="L647" s="2"/>
      <c r="M647" s="2"/>
      <c r="N647" s="2"/>
      <c r="O647" s="2"/>
      <c r="P647" s="2"/>
      <c r="Q647" s="2"/>
      <c r="R647" s="7"/>
      <c r="S647" s="224"/>
      <c r="T647" s="224"/>
      <c r="U647" s="224"/>
      <c r="V647" s="224"/>
    </row>
    <row r="648">
      <c r="A648" s="33"/>
      <c r="B648" s="2"/>
      <c r="C648" s="2"/>
      <c r="D648" s="2"/>
      <c r="E648" s="2"/>
      <c r="F648" s="4"/>
      <c r="G648" s="2"/>
      <c r="H648" s="2"/>
      <c r="I648" s="2"/>
      <c r="J648" s="2"/>
      <c r="K648" s="5"/>
      <c r="L648" s="2"/>
      <c r="M648" s="2"/>
      <c r="N648" s="2"/>
      <c r="O648" s="2"/>
      <c r="P648" s="2"/>
      <c r="Q648" s="2"/>
      <c r="R648" s="7"/>
      <c r="S648" s="224"/>
      <c r="T648" s="224"/>
      <c r="U648" s="224"/>
      <c r="V648" s="224"/>
    </row>
    <row r="649">
      <c r="A649" s="33"/>
      <c r="B649" s="2"/>
      <c r="C649" s="2"/>
      <c r="D649" s="2"/>
      <c r="E649" s="2"/>
      <c r="F649" s="4"/>
      <c r="G649" s="2"/>
      <c r="H649" s="2"/>
      <c r="I649" s="2"/>
      <c r="J649" s="2"/>
      <c r="K649" s="5"/>
      <c r="L649" s="2"/>
      <c r="M649" s="2"/>
      <c r="N649" s="2"/>
      <c r="O649" s="2"/>
      <c r="P649" s="2"/>
      <c r="Q649" s="2"/>
      <c r="R649" s="7"/>
      <c r="S649" s="224"/>
      <c r="T649" s="224"/>
      <c r="U649" s="224"/>
      <c r="V649" s="224"/>
    </row>
    <row r="650">
      <c r="A650" s="33"/>
      <c r="B650" s="2"/>
      <c r="C650" s="2"/>
      <c r="D650" s="2"/>
      <c r="E650" s="2"/>
      <c r="F650" s="4"/>
      <c r="G650" s="2"/>
      <c r="H650" s="2"/>
      <c r="I650" s="2"/>
      <c r="J650" s="2"/>
      <c r="K650" s="5"/>
      <c r="L650" s="2"/>
      <c r="M650" s="2"/>
      <c r="N650" s="2"/>
      <c r="O650" s="2"/>
      <c r="P650" s="2"/>
      <c r="Q650" s="2"/>
      <c r="R650" s="7"/>
      <c r="S650" s="224"/>
      <c r="T650" s="224"/>
      <c r="U650" s="224"/>
      <c r="V650" s="224"/>
    </row>
    <row r="651">
      <c r="A651" s="33"/>
      <c r="B651" s="2"/>
      <c r="C651" s="2"/>
      <c r="D651" s="2"/>
      <c r="E651" s="2"/>
      <c r="F651" s="4"/>
      <c r="G651" s="2"/>
      <c r="H651" s="2"/>
      <c r="I651" s="2"/>
      <c r="J651" s="2"/>
      <c r="K651" s="5"/>
      <c r="L651" s="2"/>
      <c r="M651" s="2"/>
      <c r="N651" s="2"/>
      <c r="O651" s="2"/>
      <c r="P651" s="2"/>
      <c r="Q651" s="2"/>
      <c r="R651" s="7"/>
      <c r="S651" s="224"/>
      <c r="T651" s="224"/>
      <c r="U651" s="224"/>
      <c r="V651" s="224"/>
    </row>
    <row r="652">
      <c r="A652" s="33"/>
      <c r="B652" s="2"/>
      <c r="C652" s="2"/>
      <c r="D652" s="2"/>
      <c r="E652" s="2"/>
      <c r="F652" s="4"/>
      <c r="G652" s="2"/>
      <c r="H652" s="2"/>
      <c r="I652" s="2"/>
      <c r="J652" s="2"/>
      <c r="K652" s="5"/>
      <c r="L652" s="2"/>
      <c r="M652" s="2"/>
      <c r="N652" s="2"/>
      <c r="O652" s="2"/>
      <c r="P652" s="2"/>
      <c r="Q652" s="2"/>
      <c r="R652" s="7"/>
      <c r="S652" s="224"/>
      <c r="T652" s="224"/>
      <c r="U652" s="224"/>
      <c r="V652" s="224"/>
    </row>
    <row r="653">
      <c r="A653" s="33"/>
      <c r="B653" s="2"/>
      <c r="C653" s="2"/>
      <c r="D653" s="2"/>
      <c r="E653" s="2"/>
      <c r="F653" s="4"/>
      <c r="G653" s="2"/>
      <c r="H653" s="2"/>
      <c r="I653" s="2"/>
      <c r="J653" s="2"/>
      <c r="K653" s="5"/>
      <c r="L653" s="2"/>
      <c r="M653" s="2"/>
      <c r="N653" s="2"/>
      <c r="O653" s="2"/>
      <c r="P653" s="2"/>
      <c r="Q653" s="2"/>
      <c r="R653" s="7"/>
      <c r="S653" s="224"/>
      <c r="T653" s="224"/>
      <c r="U653" s="224"/>
      <c r="V653" s="224"/>
    </row>
    <row r="654">
      <c r="A654" s="33"/>
      <c r="B654" s="2"/>
      <c r="C654" s="2"/>
      <c r="D654" s="2"/>
      <c r="E654" s="2"/>
      <c r="F654" s="4"/>
      <c r="G654" s="2"/>
      <c r="H654" s="2"/>
      <c r="I654" s="2"/>
      <c r="J654" s="2"/>
      <c r="K654" s="5"/>
      <c r="L654" s="2"/>
      <c r="M654" s="2"/>
      <c r="N654" s="2"/>
      <c r="O654" s="2"/>
      <c r="P654" s="2"/>
      <c r="Q654" s="2"/>
      <c r="R654" s="7"/>
      <c r="S654" s="224"/>
      <c r="T654" s="224"/>
      <c r="U654" s="224"/>
      <c r="V654" s="224"/>
    </row>
    <row r="655">
      <c r="A655" s="33"/>
      <c r="B655" s="2"/>
      <c r="C655" s="2"/>
      <c r="D655" s="2"/>
      <c r="E655" s="2"/>
      <c r="F655" s="4"/>
      <c r="G655" s="2"/>
      <c r="H655" s="2"/>
      <c r="I655" s="2"/>
      <c r="J655" s="2"/>
      <c r="K655" s="5"/>
      <c r="L655" s="2"/>
      <c r="M655" s="2"/>
      <c r="N655" s="2"/>
      <c r="O655" s="2"/>
      <c r="P655" s="2"/>
      <c r="Q655" s="2"/>
      <c r="R655" s="7"/>
      <c r="S655" s="224"/>
      <c r="T655" s="224"/>
      <c r="U655" s="224"/>
      <c r="V655" s="224"/>
    </row>
    <row r="656">
      <c r="A656" s="33"/>
      <c r="B656" s="2"/>
      <c r="C656" s="2"/>
      <c r="D656" s="2"/>
      <c r="E656" s="2"/>
      <c r="F656" s="4"/>
      <c r="G656" s="2"/>
      <c r="H656" s="2"/>
      <c r="I656" s="2"/>
      <c r="J656" s="2"/>
      <c r="K656" s="5"/>
      <c r="L656" s="2"/>
      <c r="M656" s="2"/>
      <c r="N656" s="2"/>
      <c r="O656" s="2"/>
      <c r="P656" s="2"/>
      <c r="Q656" s="2"/>
      <c r="R656" s="7"/>
      <c r="S656" s="224"/>
      <c r="T656" s="224"/>
      <c r="U656" s="224"/>
      <c r="V656" s="224"/>
    </row>
    <row r="657">
      <c r="A657" s="33"/>
      <c r="B657" s="2"/>
      <c r="C657" s="2"/>
      <c r="D657" s="2"/>
      <c r="E657" s="2"/>
      <c r="F657" s="4"/>
      <c r="G657" s="2"/>
      <c r="H657" s="2"/>
      <c r="I657" s="2"/>
      <c r="J657" s="2"/>
      <c r="K657" s="5"/>
      <c r="L657" s="2"/>
      <c r="M657" s="2"/>
      <c r="N657" s="2"/>
      <c r="O657" s="2"/>
      <c r="P657" s="2"/>
      <c r="Q657" s="2"/>
      <c r="R657" s="7"/>
      <c r="S657" s="224"/>
      <c r="T657" s="224"/>
      <c r="U657" s="224"/>
      <c r="V657" s="224"/>
    </row>
    <row r="658">
      <c r="A658" s="33"/>
      <c r="B658" s="2"/>
      <c r="C658" s="2"/>
      <c r="D658" s="2"/>
      <c r="E658" s="2"/>
      <c r="F658" s="4"/>
      <c r="G658" s="2"/>
      <c r="H658" s="2"/>
      <c r="I658" s="2"/>
      <c r="J658" s="2"/>
      <c r="K658" s="5"/>
      <c r="L658" s="2"/>
      <c r="M658" s="2"/>
      <c r="N658" s="2"/>
      <c r="O658" s="2"/>
      <c r="P658" s="2"/>
      <c r="Q658" s="2"/>
      <c r="R658" s="7"/>
      <c r="S658" s="224"/>
      <c r="T658" s="224"/>
      <c r="U658" s="224"/>
      <c r="V658" s="224"/>
    </row>
    <row r="659">
      <c r="A659" s="33"/>
      <c r="B659" s="2"/>
      <c r="C659" s="2"/>
      <c r="D659" s="2"/>
      <c r="E659" s="2"/>
      <c r="F659" s="4"/>
      <c r="G659" s="2"/>
      <c r="H659" s="2"/>
      <c r="I659" s="2"/>
      <c r="J659" s="2"/>
      <c r="K659" s="5"/>
      <c r="L659" s="2"/>
      <c r="M659" s="2"/>
      <c r="N659" s="2"/>
      <c r="O659" s="2"/>
      <c r="P659" s="2"/>
      <c r="Q659" s="2"/>
      <c r="R659" s="7"/>
      <c r="S659" s="224"/>
      <c r="T659" s="224"/>
      <c r="U659" s="224"/>
      <c r="V659" s="224"/>
    </row>
    <row r="660">
      <c r="A660" s="33"/>
      <c r="B660" s="2"/>
      <c r="C660" s="2"/>
      <c r="D660" s="2"/>
      <c r="E660" s="2"/>
      <c r="F660" s="4"/>
      <c r="G660" s="2"/>
      <c r="H660" s="2"/>
      <c r="I660" s="2"/>
      <c r="J660" s="2"/>
      <c r="K660" s="5"/>
      <c r="L660" s="2"/>
      <c r="M660" s="2"/>
      <c r="N660" s="2"/>
      <c r="O660" s="2"/>
      <c r="P660" s="2"/>
      <c r="Q660" s="2"/>
      <c r="R660" s="7"/>
      <c r="S660" s="224"/>
      <c r="T660" s="224"/>
      <c r="U660" s="224"/>
      <c r="V660" s="224"/>
    </row>
    <row r="661">
      <c r="A661" s="33"/>
      <c r="B661" s="2"/>
      <c r="C661" s="2"/>
      <c r="D661" s="2"/>
      <c r="E661" s="2"/>
      <c r="F661" s="4"/>
      <c r="G661" s="2"/>
      <c r="H661" s="2"/>
      <c r="I661" s="2"/>
      <c r="J661" s="2"/>
      <c r="K661" s="5"/>
      <c r="L661" s="2"/>
      <c r="M661" s="2"/>
      <c r="N661" s="2"/>
      <c r="O661" s="2"/>
      <c r="P661" s="2"/>
      <c r="Q661" s="2"/>
      <c r="R661" s="7"/>
      <c r="S661" s="224"/>
      <c r="T661" s="224"/>
      <c r="U661" s="224"/>
      <c r="V661" s="224"/>
    </row>
    <row r="662">
      <c r="A662" s="33"/>
      <c r="B662" s="2"/>
      <c r="C662" s="2"/>
      <c r="D662" s="2"/>
      <c r="E662" s="2"/>
      <c r="F662" s="4"/>
      <c r="G662" s="2"/>
      <c r="H662" s="2"/>
      <c r="I662" s="2"/>
      <c r="J662" s="2"/>
      <c r="K662" s="5"/>
      <c r="L662" s="2"/>
      <c r="M662" s="2"/>
      <c r="N662" s="2"/>
      <c r="O662" s="2"/>
      <c r="P662" s="2"/>
      <c r="Q662" s="2"/>
      <c r="R662" s="7"/>
      <c r="S662" s="224"/>
      <c r="T662" s="224"/>
      <c r="U662" s="224"/>
      <c r="V662" s="224"/>
    </row>
    <row r="663">
      <c r="A663" s="33"/>
      <c r="B663" s="2"/>
      <c r="C663" s="2"/>
      <c r="D663" s="2"/>
      <c r="E663" s="2"/>
      <c r="F663" s="4"/>
      <c r="G663" s="2"/>
      <c r="H663" s="2"/>
      <c r="I663" s="2"/>
      <c r="J663" s="2"/>
      <c r="K663" s="5"/>
      <c r="L663" s="2"/>
      <c r="M663" s="2"/>
      <c r="N663" s="2"/>
      <c r="O663" s="2"/>
      <c r="P663" s="2"/>
      <c r="Q663" s="2"/>
      <c r="R663" s="7"/>
      <c r="S663" s="224"/>
      <c r="T663" s="224"/>
      <c r="U663" s="224"/>
      <c r="V663" s="224"/>
    </row>
    <row r="664">
      <c r="A664" s="33"/>
      <c r="B664" s="2"/>
      <c r="C664" s="2"/>
      <c r="D664" s="2"/>
      <c r="E664" s="2"/>
      <c r="F664" s="4"/>
      <c r="G664" s="2"/>
      <c r="H664" s="2"/>
      <c r="I664" s="2"/>
      <c r="J664" s="2"/>
      <c r="K664" s="5"/>
      <c r="L664" s="2"/>
      <c r="M664" s="2"/>
      <c r="N664" s="2"/>
      <c r="O664" s="2"/>
      <c r="P664" s="2"/>
      <c r="Q664" s="2"/>
      <c r="R664" s="7"/>
      <c r="S664" s="224"/>
      <c r="T664" s="224"/>
      <c r="U664" s="224"/>
      <c r="V664" s="224"/>
    </row>
    <row r="665">
      <c r="A665" s="33"/>
      <c r="B665" s="2"/>
      <c r="C665" s="2"/>
      <c r="D665" s="2"/>
      <c r="E665" s="2"/>
      <c r="F665" s="4"/>
      <c r="G665" s="2"/>
      <c r="H665" s="2"/>
      <c r="I665" s="2"/>
      <c r="J665" s="2"/>
      <c r="K665" s="5"/>
      <c r="L665" s="2"/>
      <c r="M665" s="2"/>
      <c r="N665" s="2"/>
      <c r="O665" s="2"/>
      <c r="P665" s="2"/>
      <c r="Q665" s="2"/>
      <c r="R665" s="7"/>
      <c r="S665" s="224"/>
      <c r="T665" s="224"/>
      <c r="U665" s="224"/>
      <c r="V665" s="224"/>
    </row>
    <row r="666">
      <c r="A666" s="33"/>
      <c r="B666" s="2"/>
      <c r="C666" s="2"/>
      <c r="D666" s="2"/>
      <c r="E666" s="2"/>
      <c r="F666" s="4"/>
      <c r="G666" s="2"/>
      <c r="H666" s="2"/>
      <c r="I666" s="2"/>
      <c r="J666" s="2"/>
      <c r="K666" s="5"/>
      <c r="L666" s="2"/>
      <c r="M666" s="2"/>
      <c r="N666" s="2"/>
      <c r="O666" s="2"/>
      <c r="P666" s="2"/>
      <c r="Q666" s="2"/>
      <c r="R666" s="7"/>
      <c r="S666" s="224"/>
      <c r="T666" s="224"/>
      <c r="U666" s="224"/>
      <c r="V666" s="224"/>
    </row>
    <row r="667">
      <c r="A667" s="33"/>
      <c r="B667" s="2"/>
      <c r="C667" s="2"/>
      <c r="D667" s="2"/>
      <c r="E667" s="2"/>
      <c r="F667" s="4"/>
      <c r="G667" s="2"/>
      <c r="H667" s="2"/>
      <c r="I667" s="2"/>
      <c r="J667" s="2"/>
      <c r="K667" s="5"/>
      <c r="L667" s="2"/>
      <c r="M667" s="2"/>
      <c r="N667" s="2"/>
      <c r="O667" s="2"/>
      <c r="P667" s="2"/>
      <c r="Q667" s="2"/>
      <c r="R667" s="7"/>
      <c r="S667" s="224"/>
      <c r="T667" s="224"/>
      <c r="U667" s="224"/>
      <c r="V667" s="224"/>
    </row>
    <row r="668">
      <c r="A668" s="33"/>
      <c r="B668" s="2"/>
      <c r="C668" s="2"/>
      <c r="D668" s="2"/>
      <c r="E668" s="2"/>
      <c r="F668" s="4"/>
      <c r="G668" s="2"/>
      <c r="H668" s="2"/>
      <c r="I668" s="2"/>
      <c r="J668" s="2"/>
      <c r="K668" s="5"/>
      <c r="L668" s="2"/>
      <c r="M668" s="2"/>
      <c r="N668" s="2"/>
      <c r="O668" s="2"/>
      <c r="P668" s="2"/>
      <c r="Q668" s="2"/>
      <c r="R668" s="7"/>
      <c r="S668" s="224"/>
      <c r="T668" s="224"/>
      <c r="U668" s="224"/>
      <c r="V668" s="224"/>
    </row>
    <row r="669">
      <c r="A669" s="33"/>
      <c r="B669" s="2"/>
      <c r="C669" s="2"/>
      <c r="D669" s="2"/>
      <c r="E669" s="2"/>
      <c r="F669" s="4"/>
      <c r="G669" s="2"/>
      <c r="H669" s="2"/>
      <c r="I669" s="2"/>
      <c r="J669" s="2"/>
      <c r="K669" s="5"/>
      <c r="L669" s="2"/>
      <c r="M669" s="2"/>
      <c r="N669" s="2"/>
      <c r="O669" s="2"/>
      <c r="P669" s="2"/>
      <c r="Q669" s="2"/>
      <c r="R669" s="7"/>
      <c r="S669" s="224"/>
      <c r="T669" s="224"/>
      <c r="U669" s="224"/>
      <c r="V669" s="224"/>
    </row>
    <row r="670">
      <c r="A670" s="33"/>
      <c r="B670" s="2"/>
      <c r="C670" s="2"/>
      <c r="D670" s="2"/>
      <c r="E670" s="2"/>
      <c r="F670" s="4"/>
      <c r="G670" s="2"/>
      <c r="H670" s="2"/>
      <c r="I670" s="2"/>
      <c r="J670" s="2"/>
      <c r="K670" s="5"/>
      <c r="L670" s="2"/>
      <c r="M670" s="2"/>
      <c r="N670" s="2"/>
      <c r="O670" s="2"/>
      <c r="P670" s="2"/>
      <c r="Q670" s="2"/>
      <c r="R670" s="7"/>
      <c r="S670" s="224"/>
      <c r="T670" s="224"/>
      <c r="U670" s="224"/>
      <c r="V670" s="224"/>
    </row>
    <row r="671">
      <c r="A671" s="33"/>
      <c r="B671" s="2"/>
      <c r="C671" s="2"/>
      <c r="D671" s="2"/>
      <c r="E671" s="2"/>
      <c r="F671" s="4"/>
      <c r="G671" s="2"/>
      <c r="H671" s="2"/>
      <c r="I671" s="2"/>
      <c r="J671" s="2"/>
      <c r="K671" s="5"/>
      <c r="L671" s="2"/>
      <c r="M671" s="2"/>
      <c r="N671" s="2"/>
      <c r="O671" s="2"/>
      <c r="P671" s="2"/>
      <c r="Q671" s="2"/>
      <c r="R671" s="7"/>
      <c r="S671" s="224"/>
      <c r="T671" s="224"/>
      <c r="U671" s="224"/>
      <c r="V671" s="224"/>
    </row>
    <row r="672">
      <c r="A672" s="33"/>
      <c r="B672" s="2"/>
      <c r="C672" s="2"/>
      <c r="D672" s="2"/>
      <c r="E672" s="2"/>
      <c r="F672" s="4"/>
      <c r="G672" s="2"/>
      <c r="H672" s="2"/>
      <c r="I672" s="2"/>
      <c r="J672" s="2"/>
      <c r="K672" s="5"/>
      <c r="L672" s="2"/>
      <c r="M672" s="2"/>
      <c r="N672" s="2"/>
      <c r="O672" s="2"/>
      <c r="P672" s="2"/>
      <c r="Q672" s="2"/>
      <c r="R672" s="7"/>
      <c r="S672" s="224"/>
      <c r="T672" s="224"/>
      <c r="U672" s="224"/>
      <c r="V672" s="224"/>
    </row>
    <row r="673">
      <c r="A673" s="33"/>
      <c r="B673" s="2"/>
      <c r="C673" s="2"/>
      <c r="D673" s="2"/>
      <c r="E673" s="2"/>
      <c r="F673" s="4"/>
      <c r="G673" s="2"/>
      <c r="H673" s="2"/>
      <c r="I673" s="2"/>
      <c r="J673" s="2"/>
      <c r="K673" s="5"/>
      <c r="L673" s="2"/>
      <c r="M673" s="2"/>
      <c r="N673" s="2"/>
      <c r="O673" s="2"/>
      <c r="P673" s="2"/>
      <c r="Q673" s="2"/>
      <c r="R673" s="7"/>
      <c r="S673" s="224"/>
      <c r="T673" s="224"/>
      <c r="U673" s="224"/>
      <c r="V673" s="224"/>
    </row>
    <row r="674">
      <c r="A674" s="33"/>
      <c r="B674" s="2"/>
      <c r="C674" s="2"/>
      <c r="D674" s="2"/>
      <c r="E674" s="2"/>
      <c r="F674" s="4"/>
      <c r="G674" s="2"/>
      <c r="H674" s="2"/>
      <c r="I674" s="2"/>
      <c r="J674" s="2"/>
      <c r="K674" s="5"/>
      <c r="L674" s="2"/>
      <c r="M674" s="2"/>
      <c r="N674" s="2"/>
      <c r="O674" s="2"/>
      <c r="P674" s="2"/>
      <c r="Q674" s="2"/>
      <c r="R674" s="7"/>
      <c r="S674" s="224"/>
      <c r="T674" s="224"/>
      <c r="U674" s="224"/>
      <c r="V674" s="224"/>
    </row>
    <row r="675">
      <c r="A675" s="33"/>
      <c r="B675" s="2"/>
      <c r="C675" s="2"/>
      <c r="D675" s="2"/>
      <c r="E675" s="2"/>
      <c r="F675" s="4"/>
      <c r="G675" s="2"/>
      <c r="H675" s="2"/>
      <c r="I675" s="2"/>
      <c r="J675" s="2"/>
      <c r="K675" s="5"/>
      <c r="L675" s="2"/>
      <c r="M675" s="2"/>
      <c r="N675" s="2"/>
      <c r="O675" s="2"/>
      <c r="P675" s="2"/>
      <c r="Q675" s="2"/>
      <c r="R675" s="7"/>
      <c r="S675" s="224"/>
      <c r="T675" s="224"/>
      <c r="U675" s="224"/>
      <c r="V675" s="224"/>
    </row>
    <row r="676">
      <c r="A676" s="33"/>
      <c r="B676" s="2"/>
      <c r="C676" s="2"/>
      <c r="D676" s="2"/>
      <c r="E676" s="2"/>
      <c r="F676" s="4"/>
      <c r="G676" s="2"/>
      <c r="H676" s="2"/>
      <c r="I676" s="2"/>
      <c r="J676" s="2"/>
      <c r="K676" s="5"/>
      <c r="L676" s="2"/>
      <c r="M676" s="2"/>
      <c r="N676" s="2"/>
      <c r="O676" s="2"/>
      <c r="P676" s="2"/>
      <c r="Q676" s="2"/>
      <c r="R676" s="7"/>
      <c r="S676" s="224"/>
      <c r="T676" s="224"/>
      <c r="U676" s="224"/>
      <c r="V676" s="224"/>
    </row>
    <row r="677">
      <c r="A677" s="33"/>
      <c r="B677" s="2"/>
      <c r="C677" s="2"/>
      <c r="D677" s="2"/>
      <c r="E677" s="2"/>
      <c r="F677" s="4"/>
      <c r="G677" s="2"/>
      <c r="H677" s="2"/>
      <c r="I677" s="2"/>
      <c r="J677" s="2"/>
      <c r="K677" s="5"/>
      <c r="L677" s="2"/>
      <c r="M677" s="2"/>
      <c r="N677" s="2"/>
      <c r="O677" s="2"/>
      <c r="P677" s="2"/>
      <c r="Q677" s="2"/>
      <c r="R677" s="7"/>
      <c r="S677" s="224"/>
      <c r="T677" s="224"/>
      <c r="U677" s="224"/>
      <c r="V677" s="224"/>
    </row>
    <row r="678">
      <c r="A678" s="33"/>
      <c r="B678" s="2"/>
      <c r="C678" s="2"/>
      <c r="D678" s="2"/>
      <c r="E678" s="2"/>
      <c r="F678" s="4"/>
      <c r="G678" s="2"/>
      <c r="H678" s="2"/>
      <c r="I678" s="2"/>
      <c r="J678" s="2"/>
      <c r="K678" s="5"/>
      <c r="L678" s="2"/>
      <c r="M678" s="2"/>
      <c r="N678" s="2"/>
      <c r="O678" s="2"/>
      <c r="P678" s="2"/>
      <c r="Q678" s="2"/>
      <c r="R678" s="7"/>
      <c r="S678" s="224"/>
      <c r="T678" s="224"/>
      <c r="U678" s="224"/>
      <c r="V678" s="224"/>
    </row>
    <row r="679">
      <c r="A679" s="33"/>
      <c r="B679" s="2"/>
      <c r="C679" s="2"/>
      <c r="D679" s="2"/>
      <c r="E679" s="2"/>
      <c r="F679" s="4"/>
      <c r="G679" s="2"/>
      <c r="H679" s="2"/>
      <c r="I679" s="2"/>
      <c r="J679" s="2"/>
      <c r="K679" s="5"/>
      <c r="L679" s="2"/>
      <c r="M679" s="2"/>
      <c r="N679" s="2"/>
      <c r="O679" s="2"/>
      <c r="P679" s="2"/>
      <c r="Q679" s="2"/>
      <c r="R679" s="7"/>
      <c r="S679" s="224"/>
      <c r="T679" s="224"/>
      <c r="U679" s="224"/>
      <c r="V679" s="224"/>
    </row>
    <row r="680">
      <c r="A680" s="33"/>
      <c r="B680" s="2"/>
      <c r="C680" s="2"/>
      <c r="D680" s="2"/>
      <c r="E680" s="2"/>
      <c r="F680" s="4"/>
      <c r="G680" s="2"/>
      <c r="H680" s="2"/>
      <c r="I680" s="2"/>
      <c r="J680" s="2"/>
      <c r="K680" s="5"/>
      <c r="L680" s="2"/>
      <c r="M680" s="2"/>
      <c r="N680" s="2"/>
      <c r="O680" s="2"/>
      <c r="P680" s="2"/>
      <c r="Q680" s="2"/>
      <c r="R680" s="7"/>
      <c r="S680" s="224"/>
      <c r="T680" s="224"/>
      <c r="U680" s="224"/>
      <c r="V680" s="224"/>
    </row>
    <row r="681">
      <c r="A681" s="33"/>
      <c r="B681" s="2"/>
      <c r="C681" s="2"/>
      <c r="D681" s="2"/>
      <c r="E681" s="2"/>
      <c r="F681" s="4"/>
      <c r="G681" s="2"/>
      <c r="H681" s="2"/>
      <c r="I681" s="2"/>
      <c r="J681" s="2"/>
      <c r="K681" s="5"/>
      <c r="L681" s="2"/>
      <c r="M681" s="2"/>
      <c r="N681" s="2"/>
      <c r="O681" s="2"/>
      <c r="P681" s="2"/>
      <c r="Q681" s="2"/>
      <c r="R681" s="7"/>
      <c r="S681" s="224"/>
      <c r="T681" s="224"/>
      <c r="U681" s="224"/>
      <c r="V681" s="224"/>
    </row>
    <row r="682">
      <c r="A682" s="33"/>
      <c r="B682" s="2"/>
      <c r="C682" s="2"/>
      <c r="D682" s="2"/>
      <c r="E682" s="2"/>
      <c r="F682" s="4"/>
      <c r="G682" s="2"/>
      <c r="H682" s="2"/>
      <c r="I682" s="2"/>
      <c r="J682" s="2"/>
      <c r="K682" s="5"/>
      <c r="L682" s="2"/>
      <c r="M682" s="2"/>
      <c r="N682" s="2"/>
      <c r="O682" s="2"/>
      <c r="P682" s="2"/>
      <c r="Q682" s="2"/>
      <c r="R682" s="7"/>
      <c r="S682" s="224"/>
      <c r="T682" s="224"/>
      <c r="U682" s="224"/>
      <c r="V682" s="224"/>
    </row>
    <row r="683">
      <c r="A683" s="33"/>
      <c r="B683" s="2"/>
      <c r="C683" s="2"/>
      <c r="D683" s="2"/>
      <c r="E683" s="2"/>
      <c r="F683" s="4"/>
      <c r="G683" s="2"/>
      <c r="H683" s="2"/>
      <c r="I683" s="2"/>
      <c r="J683" s="2"/>
      <c r="K683" s="5"/>
      <c r="L683" s="2"/>
      <c r="M683" s="2"/>
      <c r="N683" s="2"/>
      <c r="O683" s="2"/>
      <c r="P683" s="2"/>
      <c r="Q683" s="2"/>
      <c r="R683" s="7"/>
      <c r="S683" s="224"/>
      <c r="T683" s="224"/>
      <c r="U683" s="224"/>
      <c r="V683" s="224"/>
    </row>
    <row r="684">
      <c r="A684" s="33"/>
      <c r="B684" s="2"/>
      <c r="C684" s="2"/>
      <c r="D684" s="2"/>
      <c r="E684" s="2"/>
      <c r="F684" s="4"/>
      <c r="G684" s="2"/>
      <c r="H684" s="2"/>
      <c r="I684" s="2"/>
      <c r="J684" s="2"/>
      <c r="K684" s="5"/>
      <c r="L684" s="2"/>
      <c r="M684" s="2"/>
      <c r="N684" s="2"/>
      <c r="O684" s="2"/>
      <c r="P684" s="2"/>
      <c r="Q684" s="2"/>
      <c r="R684" s="7"/>
      <c r="S684" s="224"/>
      <c r="T684" s="224"/>
      <c r="U684" s="224"/>
      <c r="V684" s="224"/>
    </row>
    <row r="685">
      <c r="A685" s="33"/>
      <c r="B685" s="2"/>
      <c r="C685" s="2"/>
      <c r="D685" s="2"/>
      <c r="E685" s="2"/>
      <c r="F685" s="4"/>
      <c r="G685" s="2"/>
      <c r="H685" s="2"/>
      <c r="I685" s="2"/>
      <c r="J685" s="2"/>
      <c r="K685" s="5"/>
      <c r="L685" s="2"/>
      <c r="M685" s="2"/>
      <c r="N685" s="2"/>
      <c r="O685" s="2"/>
      <c r="P685" s="2"/>
      <c r="Q685" s="2"/>
      <c r="R685" s="7"/>
      <c r="S685" s="224"/>
      <c r="T685" s="224"/>
      <c r="U685" s="224"/>
      <c r="V685" s="224"/>
    </row>
    <row r="686">
      <c r="A686" s="33"/>
      <c r="B686" s="2"/>
      <c r="C686" s="2"/>
      <c r="D686" s="2"/>
      <c r="E686" s="2"/>
      <c r="F686" s="4"/>
      <c r="G686" s="2"/>
      <c r="H686" s="2"/>
      <c r="I686" s="2"/>
      <c r="J686" s="2"/>
      <c r="K686" s="5"/>
      <c r="L686" s="2"/>
      <c r="M686" s="2"/>
      <c r="N686" s="2"/>
      <c r="O686" s="2"/>
      <c r="P686" s="2"/>
      <c r="Q686" s="2"/>
      <c r="R686" s="7"/>
      <c r="S686" s="224"/>
      <c r="T686" s="224"/>
      <c r="U686" s="224"/>
      <c r="V686" s="224"/>
    </row>
    <row r="687">
      <c r="A687" s="33"/>
      <c r="B687" s="2"/>
      <c r="C687" s="2"/>
      <c r="D687" s="2"/>
      <c r="E687" s="2"/>
      <c r="F687" s="4"/>
      <c r="G687" s="2"/>
      <c r="H687" s="2"/>
      <c r="I687" s="2"/>
      <c r="J687" s="2"/>
      <c r="K687" s="5"/>
      <c r="L687" s="2"/>
      <c r="M687" s="2"/>
      <c r="N687" s="2"/>
      <c r="O687" s="2"/>
      <c r="P687" s="2"/>
      <c r="Q687" s="2"/>
      <c r="R687" s="7"/>
      <c r="S687" s="224"/>
      <c r="T687" s="224"/>
      <c r="U687" s="224"/>
      <c r="V687" s="224"/>
    </row>
    <row r="688">
      <c r="A688" s="33"/>
      <c r="B688" s="2"/>
      <c r="C688" s="2"/>
      <c r="D688" s="2"/>
      <c r="E688" s="2"/>
      <c r="F688" s="4"/>
      <c r="G688" s="2"/>
      <c r="H688" s="2"/>
      <c r="I688" s="2"/>
      <c r="J688" s="2"/>
      <c r="K688" s="5"/>
      <c r="L688" s="2"/>
      <c r="M688" s="2"/>
      <c r="N688" s="2"/>
      <c r="O688" s="2"/>
      <c r="P688" s="2"/>
      <c r="Q688" s="2"/>
      <c r="R688" s="7"/>
      <c r="S688" s="224"/>
      <c r="T688" s="224"/>
      <c r="U688" s="224"/>
      <c r="V688" s="224"/>
    </row>
    <row r="689">
      <c r="A689" s="33"/>
      <c r="B689" s="2"/>
      <c r="C689" s="2"/>
      <c r="D689" s="2"/>
      <c r="E689" s="2"/>
      <c r="F689" s="4"/>
      <c r="G689" s="2"/>
      <c r="H689" s="2"/>
      <c r="I689" s="2"/>
      <c r="J689" s="2"/>
      <c r="K689" s="5"/>
      <c r="L689" s="2"/>
      <c r="M689" s="2"/>
      <c r="N689" s="2"/>
      <c r="O689" s="2"/>
      <c r="P689" s="2"/>
      <c r="Q689" s="2"/>
      <c r="R689" s="7"/>
      <c r="S689" s="224"/>
      <c r="T689" s="224"/>
      <c r="U689" s="224"/>
      <c r="V689" s="224"/>
    </row>
    <row r="690">
      <c r="A690" s="33"/>
      <c r="B690" s="2"/>
      <c r="C690" s="2"/>
      <c r="D690" s="2"/>
      <c r="E690" s="2"/>
      <c r="F690" s="4"/>
      <c r="G690" s="2"/>
      <c r="H690" s="2"/>
      <c r="I690" s="2"/>
      <c r="J690" s="2"/>
      <c r="K690" s="5"/>
      <c r="L690" s="2"/>
      <c r="M690" s="2"/>
      <c r="N690" s="2"/>
      <c r="O690" s="2"/>
      <c r="P690" s="2"/>
      <c r="Q690" s="2"/>
      <c r="R690" s="7"/>
      <c r="S690" s="224"/>
      <c r="T690" s="224"/>
      <c r="U690" s="224"/>
      <c r="V690" s="224"/>
    </row>
    <row r="691">
      <c r="A691" s="33"/>
      <c r="B691" s="2"/>
      <c r="C691" s="2"/>
      <c r="D691" s="2"/>
      <c r="E691" s="2"/>
      <c r="F691" s="4"/>
      <c r="G691" s="2"/>
      <c r="H691" s="2"/>
      <c r="I691" s="2"/>
      <c r="J691" s="2"/>
      <c r="K691" s="5"/>
      <c r="L691" s="2"/>
      <c r="M691" s="2"/>
      <c r="N691" s="2"/>
      <c r="O691" s="2"/>
      <c r="P691" s="2"/>
      <c r="Q691" s="2"/>
      <c r="R691" s="7"/>
      <c r="S691" s="224"/>
      <c r="T691" s="224"/>
      <c r="U691" s="224"/>
      <c r="V691" s="224"/>
    </row>
    <row r="692">
      <c r="A692" s="33"/>
      <c r="B692" s="2"/>
      <c r="C692" s="2"/>
      <c r="D692" s="2"/>
      <c r="E692" s="2"/>
      <c r="F692" s="4"/>
      <c r="G692" s="2"/>
      <c r="H692" s="2"/>
      <c r="I692" s="2"/>
      <c r="J692" s="2"/>
      <c r="K692" s="5"/>
      <c r="L692" s="2"/>
      <c r="M692" s="2"/>
      <c r="N692" s="2"/>
      <c r="O692" s="2"/>
      <c r="P692" s="2"/>
      <c r="Q692" s="2"/>
      <c r="R692" s="7"/>
      <c r="S692" s="224"/>
      <c r="T692" s="224"/>
      <c r="U692" s="224"/>
      <c r="V692" s="224"/>
    </row>
    <row r="693">
      <c r="A693" s="33"/>
      <c r="B693" s="2"/>
      <c r="C693" s="2"/>
      <c r="D693" s="2"/>
      <c r="E693" s="2"/>
      <c r="F693" s="4"/>
      <c r="G693" s="2"/>
      <c r="H693" s="2"/>
      <c r="I693" s="2"/>
      <c r="J693" s="2"/>
      <c r="K693" s="5"/>
      <c r="L693" s="2"/>
      <c r="M693" s="2"/>
      <c r="N693" s="2"/>
      <c r="O693" s="2"/>
      <c r="P693" s="2"/>
      <c r="Q693" s="2"/>
      <c r="R693" s="7"/>
      <c r="S693" s="224"/>
      <c r="T693" s="224"/>
      <c r="U693" s="224"/>
      <c r="V693" s="224"/>
    </row>
    <row r="694">
      <c r="A694" s="33"/>
      <c r="B694" s="2"/>
      <c r="C694" s="2"/>
      <c r="D694" s="2"/>
      <c r="E694" s="2"/>
      <c r="F694" s="4"/>
      <c r="G694" s="2"/>
      <c r="H694" s="2"/>
      <c r="I694" s="2"/>
      <c r="J694" s="2"/>
      <c r="K694" s="5"/>
      <c r="L694" s="2"/>
      <c r="M694" s="2"/>
      <c r="N694" s="2"/>
      <c r="O694" s="2"/>
      <c r="P694" s="2"/>
      <c r="Q694" s="2"/>
      <c r="R694" s="7"/>
      <c r="S694" s="224"/>
      <c r="T694" s="224"/>
      <c r="U694" s="224"/>
      <c r="V694" s="224"/>
    </row>
    <row r="695">
      <c r="A695" s="33"/>
      <c r="B695" s="2"/>
      <c r="C695" s="2"/>
      <c r="D695" s="2"/>
      <c r="E695" s="2"/>
      <c r="F695" s="4"/>
      <c r="G695" s="2"/>
      <c r="H695" s="2"/>
      <c r="I695" s="2"/>
      <c r="J695" s="2"/>
      <c r="K695" s="5"/>
      <c r="L695" s="2"/>
      <c r="M695" s="2"/>
      <c r="N695" s="2"/>
      <c r="O695" s="2"/>
      <c r="P695" s="2"/>
      <c r="Q695" s="2"/>
      <c r="R695" s="7"/>
      <c r="S695" s="224"/>
      <c r="T695" s="224"/>
      <c r="U695" s="224"/>
      <c r="V695" s="224"/>
    </row>
    <row r="696">
      <c r="A696" s="33"/>
      <c r="B696" s="2"/>
      <c r="C696" s="2"/>
      <c r="D696" s="2"/>
      <c r="E696" s="2"/>
      <c r="F696" s="4"/>
      <c r="G696" s="2"/>
      <c r="H696" s="2"/>
      <c r="I696" s="2"/>
      <c r="J696" s="2"/>
      <c r="K696" s="5"/>
      <c r="L696" s="2"/>
      <c r="M696" s="2"/>
      <c r="N696" s="2"/>
      <c r="O696" s="2"/>
      <c r="P696" s="2"/>
      <c r="Q696" s="2"/>
      <c r="R696" s="7"/>
      <c r="S696" s="224"/>
      <c r="T696" s="224"/>
      <c r="U696" s="224"/>
      <c r="V696" s="224"/>
    </row>
    <row r="697">
      <c r="A697" s="33"/>
      <c r="B697" s="2"/>
      <c r="C697" s="2"/>
      <c r="D697" s="2"/>
      <c r="E697" s="2"/>
      <c r="F697" s="4"/>
      <c r="G697" s="2"/>
      <c r="H697" s="2"/>
      <c r="I697" s="2"/>
      <c r="J697" s="2"/>
      <c r="K697" s="5"/>
      <c r="L697" s="2"/>
      <c r="M697" s="2"/>
      <c r="N697" s="2"/>
      <c r="O697" s="2"/>
      <c r="P697" s="2"/>
      <c r="Q697" s="2"/>
      <c r="R697" s="7"/>
      <c r="S697" s="224"/>
      <c r="T697" s="224"/>
      <c r="U697" s="224"/>
      <c r="V697" s="224"/>
    </row>
    <row r="698">
      <c r="A698" s="33"/>
      <c r="B698" s="2"/>
      <c r="C698" s="2"/>
      <c r="D698" s="2"/>
      <c r="E698" s="2"/>
      <c r="F698" s="4"/>
      <c r="G698" s="2"/>
      <c r="H698" s="2"/>
      <c r="I698" s="2"/>
      <c r="J698" s="2"/>
      <c r="K698" s="5"/>
      <c r="L698" s="2"/>
      <c r="M698" s="2"/>
      <c r="N698" s="2"/>
      <c r="O698" s="2"/>
      <c r="P698" s="2"/>
      <c r="Q698" s="2"/>
      <c r="R698" s="7"/>
      <c r="S698" s="224"/>
      <c r="T698" s="224"/>
      <c r="U698" s="224"/>
      <c r="V698" s="224"/>
    </row>
    <row r="699">
      <c r="A699" s="33"/>
      <c r="B699" s="2"/>
      <c r="C699" s="2"/>
      <c r="D699" s="2"/>
      <c r="E699" s="2"/>
      <c r="F699" s="4"/>
      <c r="G699" s="2"/>
      <c r="H699" s="2"/>
      <c r="I699" s="2"/>
      <c r="J699" s="2"/>
      <c r="K699" s="5"/>
      <c r="L699" s="2"/>
      <c r="M699" s="2"/>
      <c r="N699" s="2"/>
      <c r="O699" s="2"/>
      <c r="P699" s="2"/>
      <c r="Q699" s="2"/>
      <c r="R699" s="7"/>
      <c r="S699" s="224"/>
      <c r="T699" s="224"/>
      <c r="U699" s="224"/>
      <c r="V699" s="224"/>
    </row>
    <row r="700">
      <c r="A700" s="33"/>
      <c r="B700" s="2"/>
      <c r="C700" s="2"/>
      <c r="D700" s="2"/>
      <c r="E700" s="2"/>
      <c r="F700" s="4"/>
      <c r="G700" s="2"/>
      <c r="H700" s="2"/>
      <c r="I700" s="2"/>
      <c r="J700" s="2"/>
      <c r="K700" s="5"/>
      <c r="L700" s="2"/>
      <c r="M700" s="2"/>
      <c r="N700" s="2"/>
      <c r="O700" s="2"/>
      <c r="P700" s="2"/>
      <c r="Q700" s="2"/>
      <c r="R700" s="7"/>
      <c r="S700" s="224"/>
      <c r="T700" s="224"/>
      <c r="U700" s="224"/>
      <c r="V700" s="224"/>
    </row>
    <row r="701">
      <c r="A701" s="33"/>
      <c r="B701" s="2"/>
      <c r="C701" s="2"/>
      <c r="D701" s="2"/>
      <c r="E701" s="2"/>
      <c r="F701" s="4"/>
      <c r="G701" s="2"/>
      <c r="H701" s="2"/>
      <c r="I701" s="2"/>
      <c r="J701" s="2"/>
      <c r="K701" s="5"/>
      <c r="L701" s="2"/>
      <c r="M701" s="2"/>
      <c r="N701" s="2"/>
      <c r="O701" s="2"/>
      <c r="P701" s="2"/>
      <c r="Q701" s="2"/>
      <c r="R701" s="7"/>
      <c r="S701" s="224"/>
      <c r="T701" s="224"/>
      <c r="U701" s="224"/>
      <c r="V701" s="224"/>
    </row>
    <row r="702">
      <c r="A702" s="33"/>
      <c r="B702" s="2"/>
      <c r="C702" s="2"/>
      <c r="D702" s="2"/>
      <c r="E702" s="2"/>
      <c r="F702" s="4"/>
      <c r="G702" s="2"/>
      <c r="H702" s="2"/>
      <c r="I702" s="2"/>
      <c r="J702" s="2"/>
      <c r="K702" s="5"/>
      <c r="L702" s="2"/>
      <c r="M702" s="2"/>
      <c r="N702" s="2"/>
      <c r="O702" s="2"/>
      <c r="P702" s="2"/>
      <c r="Q702" s="2"/>
      <c r="R702" s="7"/>
      <c r="S702" s="224"/>
      <c r="T702" s="224"/>
      <c r="U702" s="224"/>
      <c r="V702" s="224"/>
    </row>
    <row r="703">
      <c r="A703" s="33"/>
      <c r="B703" s="2"/>
      <c r="C703" s="2"/>
      <c r="D703" s="2"/>
      <c r="E703" s="2"/>
      <c r="F703" s="4"/>
      <c r="G703" s="2"/>
      <c r="H703" s="2"/>
      <c r="I703" s="2"/>
      <c r="J703" s="2"/>
      <c r="K703" s="5"/>
      <c r="L703" s="2"/>
      <c r="M703" s="2"/>
      <c r="N703" s="2"/>
      <c r="O703" s="2"/>
      <c r="P703" s="2"/>
      <c r="Q703" s="2"/>
      <c r="R703" s="7"/>
      <c r="S703" s="224"/>
      <c r="T703" s="224"/>
      <c r="U703" s="224"/>
      <c r="V703" s="224"/>
    </row>
    <row r="704">
      <c r="A704" s="33"/>
      <c r="B704" s="2"/>
      <c r="C704" s="2"/>
      <c r="D704" s="2"/>
      <c r="E704" s="2"/>
      <c r="F704" s="4"/>
      <c r="G704" s="2"/>
      <c r="H704" s="2"/>
      <c r="I704" s="2"/>
      <c r="J704" s="2"/>
      <c r="K704" s="5"/>
      <c r="L704" s="2"/>
      <c r="M704" s="2"/>
      <c r="N704" s="2"/>
      <c r="O704" s="2"/>
      <c r="P704" s="2"/>
      <c r="Q704" s="2"/>
      <c r="R704" s="7"/>
      <c r="S704" s="224"/>
      <c r="T704" s="224"/>
      <c r="U704" s="224"/>
      <c r="V704" s="224"/>
    </row>
    <row r="705">
      <c r="A705" s="33"/>
      <c r="B705" s="2"/>
      <c r="C705" s="2"/>
      <c r="D705" s="2"/>
      <c r="E705" s="2"/>
      <c r="F705" s="4"/>
      <c r="G705" s="2"/>
      <c r="H705" s="2"/>
      <c r="I705" s="2"/>
      <c r="J705" s="2"/>
      <c r="K705" s="5"/>
      <c r="L705" s="2"/>
      <c r="M705" s="2"/>
      <c r="N705" s="2"/>
      <c r="O705" s="2"/>
      <c r="P705" s="2"/>
      <c r="Q705" s="2"/>
      <c r="R705" s="7"/>
      <c r="S705" s="224"/>
      <c r="T705" s="224"/>
      <c r="U705" s="224"/>
      <c r="V705" s="224"/>
    </row>
    <row r="706">
      <c r="A706" s="33"/>
      <c r="B706" s="2"/>
      <c r="C706" s="2"/>
      <c r="D706" s="2"/>
      <c r="E706" s="2"/>
      <c r="F706" s="4"/>
      <c r="G706" s="2"/>
      <c r="H706" s="2"/>
      <c r="I706" s="2"/>
      <c r="J706" s="2"/>
      <c r="K706" s="5"/>
      <c r="L706" s="2"/>
      <c r="M706" s="2"/>
      <c r="N706" s="2"/>
      <c r="O706" s="2"/>
      <c r="P706" s="2"/>
      <c r="Q706" s="2"/>
      <c r="R706" s="7"/>
      <c r="S706" s="224"/>
      <c r="T706" s="224"/>
      <c r="U706" s="224"/>
      <c r="V706" s="224"/>
    </row>
    <row r="707">
      <c r="A707" s="33"/>
      <c r="B707" s="2"/>
      <c r="C707" s="2"/>
      <c r="D707" s="2"/>
      <c r="E707" s="2"/>
      <c r="F707" s="4"/>
      <c r="G707" s="2"/>
      <c r="H707" s="2"/>
      <c r="I707" s="2"/>
      <c r="J707" s="2"/>
      <c r="K707" s="5"/>
      <c r="L707" s="2"/>
      <c r="M707" s="2"/>
      <c r="N707" s="2"/>
      <c r="O707" s="2"/>
      <c r="P707" s="2"/>
      <c r="Q707" s="2"/>
      <c r="R707" s="7"/>
      <c r="S707" s="224"/>
      <c r="T707" s="224"/>
      <c r="U707" s="224"/>
      <c r="V707" s="224"/>
    </row>
    <row r="708">
      <c r="A708" s="33"/>
      <c r="B708" s="2"/>
      <c r="C708" s="2"/>
      <c r="D708" s="2"/>
      <c r="E708" s="2"/>
      <c r="F708" s="4"/>
      <c r="G708" s="2"/>
      <c r="H708" s="2"/>
      <c r="I708" s="2"/>
      <c r="J708" s="2"/>
      <c r="K708" s="5"/>
      <c r="L708" s="2"/>
      <c r="M708" s="2"/>
      <c r="N708" s="2"/>
      <c r="O708" s="2"/>
      <c r="P708" s="2"/>
      <c r="Q708" s="2"/>
      <c r="R708" s="7"/>
      <c r="S708" s="224"/>
      <c r="T708" s="224"/>
      <c r="U708" s="224"/>
      <c r="V708" s="224"/>
    </row>
    <row r="709">
      <c r="A709" s="33"/>
      <c r="B709" s="2"/>
      <c r="C709" s="2"/>
      <c r="D709" s="2"/>
      <c r="E709" s="2"/>
      <c r="F709" s="4"/>
      <c r="G709" s="2"/>
      <c r="H709" s="2"/>
      <c r="I709" s="2"/>
      <c r="J709" s="2"/>
      <c r="K709" s="5"/>
      <c r="L709" s="2"/>
      <c r="M709" s="2"/>
      <c r="N709" s="2"/>
      <c r="O709" s="2"/>
      <c r="P709" s="2"/>
      <c r="Q709" s="2"/>
      <c r="R709" s="7"/>
      <c r="S709" s="224"/>
      <c r="T709" s="224"/>
      <c r="U709" s="224"/>
      <c r="V709" s="224"/>
    </row>
    <row r="710">
      <c r="A710" s="33"/>
      <c r="B710" s="2"/>
      <c r="C710" s="2"/>
      <c r="D710" s="2"/>
      <c r="E710" s="2"/>
      <c r="F710" s="4"/>
      <c r="G710" s="2"/>
      <c r="H710" s="2"/>
      <c r="I710" s="2"/>
      <c r="J710" s="2"/>
      <c r="K710" s="5"/>
      <c r="L710" s="2"/>
      <c r="M710" s="2"/>
      <c r="N710" s="2"/>
      <c r="O710" s="2"/>
      <c r="P710" s="2"/>
      <c r="Q710" s="2"/>
      <c r="R710" s="7"/>
      <c r="S710" s="224"/>
      <c r="T710" s="224"/>
      <c r="U710" s="224"/>
      <c r="V710" s="224"/>
    </row>
    <row r="711">
      <c r="A711" s="33"/>
      <c r="B711" s="2"/>
      <c r="C711" s="2"/>
      <c r="D711" s="2"/>
      <c r="E711" s="2"/>
      <c r="F711" s="4"/>
      <c r="G711" s="2"/>
      <c r="H711" s="2"/>
      <c r="I711" s="2"/>
      <c r="J711" s="2"/>
      <c r="K711" s="5"/>
      <c r="L711" s="2"/>
      <c r="M711" s="2"/>
      <c r="N711" s="2"/>
      <c r="O711" s="2"/>
      <c r="P711" s="2"/>
      <c r="Q711" s="2"/>
      <c r="R711" s="7"/>
      <c r="S711" s="224"/>
      <c r="T711" s="224"/>
      <c r="U711" s="224"/>
      <c r="V711" s="224"/>
    </row>
    <row r="712">
      <c r="A712" s="33"/>
      <c r="B712" s="2"/>
      <c r="C712" s="2"/>
      <c r="D712" s="2"/>
      <c r="E712" s="2"/>
      <c r="F712" s="4"/>
      <c r="G712" s="2"/>
      <c r="H712" s="2"/>
      <c r="I712" s="2"/>
      <c r="J712" s="2"/>
      <c r="K712" s="5"/>
      <c r="L712" s="2"/>
      <c r="M712" s="2"/>
      <c r="N712" s="2"/>
      <c r="O712" s="2"/>
      <c r="P712" s="2"/>
      <c r="Q712" s="2"/>
      <c r="R712" s="7"/>
      <c r="S712" s="224"/>
      <c r="T712" s="224"/>
      <c r="U712" s="224"/>
      <c r="V712" s="224"/>
    </row>
    <row r="713">
      <c r="A713" s="33"/>
      <c r="B713" s="2"/>
      <c r="C713" s="2"/>
      <c r="D713" s="2"/>
      <c r="E713" s="2"/>
      <c r="F713" s="4"/>
      <c r="G713" s="2"/>
      <c r="H713" s="2"/>
      <c r="I713" s="2"/>
      <c r="J713" s="2"/>
      <c r="K713" s="5"/>
      <c r="L713" s="2"/>
      <c r="M713" s="2"/>
      <c r="N713" s="2"/>
      <c r="O713" s="2"/>
      <c r="P713" s="2"/>
      <c r="Q713" s="2"/>
      <c r="R713" s="7"/>
      <c r="S713" s="224"/>
      <c r="T713" s="224"/>
      <c r="U713" s="224"/>
      <c r="V713" s="224"/>
    </row>
    <row r="714">
      <c r="A714" s="33"/>
      <c r="B714" s="2"/>
      <c r="C714" s="2"/>
      <c r="D714" s="2"/>
      <c r="E714" s="2"/>
      <c r="F714" s="4"/>
      <c r="G714" s="2"/>
      <c r="H714" s="2"/>
      <c r="I714" s="2"/>
      <c r="J714" s="2"/>
      <c r="K714" s="5"/>
      <c r="L714" s="2"/>
      <c r="M714" s="2"/>
      <c r="N714" s="2"/>
      <c r="O714" s="2"/>
      <c r="P714" s="2"/>
      <c r="Q714" s="2"/>
      <c r="R714" s="7"/>
      <c r="S714" s="224"/>
      <c r="T714" s="224"/>
      <c r="U714" s="224"/>
      <c r="V714" s="224"/>
    </row>
    <row r="715">
      <c r="A715" s="33"/>
      <c r="B715" s="2"/>
      <c r="C715" s="2"/>
      <c r="D715" s="2"/>
      <c r="E715" s="2"/>
      <c r="F715" s="4"/>
      <c r="G715" s="2"/>
      <c r="H715" s="2"/>
      <c r="I715" s="2"/>
      <c r="J715" s="2"/>
      <c r="K715" s="5"/>
      <c r="L715" s="2"/>
      <c r="M715" s="2"/>
      <c r="N715" s="2"/>
      <c r="O715" s="2"/>
      <c r="P715" s="2"/>
      <c r="Q715" s="2"/>
      <c r="R715" s="7"/>
      <c r="S715" s="224"/>
      <c r="T715" s="224"/>
      <c r="U715" s="224"/>
      <c r="V715" s="224"/>
    </row>
    <row r="716">
      <c r="A716" s="33"/>
      <c r="B716" s="2"/>
      <c r="C716" s="2"/>
      <c r="D716" s="2"/>
      <c r="E716" s="2"/>
      <c r="F716" s="4"/>
      <c r="G716" s="2"/>
      <c r="H716" s="2"/>
      <c r="I716" s="2"/>
      <c r="J716" s="2"/>
      <c r="K716" s="5"/>
      <c r="L716" s="2"/>
      <c r="M716" s="2"/>
      <c r="N716" s="2"/>
      <c r="O716" s="2"/>
      <c r="P716" s="2"/>
      <c r="Q716" s="2"/>
      <c r="R716" s="7"/>
      <c r="S716" s="224"/>
      <c r="T716" s="224"/>
      <c r="U716" s="224"/>
      <c r="V716" s="224"/>
    </row>
    <row r="717">
      <c r="A717" s="33"/>
      <c r="B717" s="2"/>
      <c r="C717" s="2"/>
      <c r="D717" s="2"/>
      <c r="E717" s="2"/>
      <c r="F717" s="4"/>
      <c r="G717" s="2"/>
      <c r="H717" s="2"/>
      <c r="I717" s="2"/>
      <c r="J717" s="2"/>
      <c r="K717" s="5"/>
      <c r="L717" s="2"/>
      <c r="M717" s="2"/>
      <c r="N717" s="2"/>
      <c r="O717" s="2"/>
      <c r="P717" s="2"/>
      <c r="Q717" s="2"/>
      <c r="R717" s="7"/>
      <c r="S717" s="224"/>
      <c r="T717" s="224"/>
      <c r="U717" s="224"/>
      <c r="V717" s="224"/>
    </row>
    <row r="718">
      <c r="A718" s="33"/>
      <c r="B718" s="2"/>
      <c r="C718" s="2"/>
      <c r="D718" s="2"/>
      <c r="E718" s="2"/>
      <c r="F718" s="4"/>
      <c r="G718" s="2"/>
      <c r="H718" s="2"/>
      <c r="I718" s="2"/>
      <c r="J718" s="2"/>
      <c r="K718" s="5"/>
      <c r="L718" s="2"/>
      <c r="M718" s="2"/>
      <c r="N718" s="2"/>
      <c r="O718" s="2"/>
      <c r="P718" s="2"/>
      <c r="Q718" s="2"/>
      <c r="R718" s="7"/>
      <c r="S718" s="224"/>
      <c r="T718" s="224"/>
      <c r="U718" s="224"/>
      <c r="V718" s="224"/>
    </row>
    <row r="719">
      <c r="A719" s="33"/>
      <c r="B719" s="2"/>
      <c r="C719" s="2"/>
      <c r="D719" s="2"/>
      <c r="E719" s="2"/>
      <c r="F719" s="4"/>
      <c r="G719" s="2"/>
      <c r="H719" s="2"/>
      <c r="I719" s="2"/>
      <c r="J719" s="2"/>
      <c r="K719" s="5"/>
      <c r="L719" s="2"/>
      <c r="M719" s="2"/>
      <c r="N719" s="2"/>
      <c r="O719" s="2"/>
      <c r="P719" s="2"/>
      <c r="Q719" s="2"/>
      <c r="R719" s="7"/>
      <c r="S719" s="224"/>
      <c r="T719" s="224"/>
      <c r="U719" s="224"/>
      <c r="V719" s="224"/>
    </row>
    <row r="720">
      <c r="A720" s="33"/>
      <c r="B720" s="2"/>
      <c r="C720" s="2"/>
      <c r="D720" s="2"/>
      <c r="E720" s="2"/>
      <c r="F720" s="4"/>
      <c r="G720" s="2"/>
      <c r="H720" s="2"/>
      <c r="I720" s="2"/>
      <c r="J720" s="2"/>
      <c r="K720" s="5"/>
      <c r="L720" s="2"/>
      <c r="M720" s="2"/>
      <c r="N720" s="2"/>
      <c r="O720" s="2"/>
      <c r="P720" s="2"/>
      <c r="Q720" s="2"/>
      <c r="R720" s="7"/>
      <c r="S720" s="224"/>
      <c r="T720" s="224"/>
      <c r="U720" s="224"/>
      <c r="V720" s="224"/>
    </row>
    <row r="721">
      <c r="A721" s="33"/>
      <c r="B721" s="2"/>
      <c r="C721" s="2"/>
      <c r="D721" s="2"/>
      <c r="E721" s="2"/>
      <c r="F721" s="4"/>
      <c r="G721" s="2"/>
      <c r="H721" s="2"/>
      <c r="I721" s="2"/>
      <c r="J721" s="2"/>
      <c r="K721" s="5"/>
      <c r="L721" s="2"/>
      <c r="M721" s="2"/>
      <c r="N721" s="2"/>
      <c r="O721" s="2"/>
      <c r="P721" s="2"/>
      <c r="Q721" s="2"/>
      <c r="R721" s="7"/>
      <c r="S721" s="224"/>
      <c r="T721" s="224"/>
      <c r="U721" s="224"/>
      <c r="V721" s="224"/>
    </row>
    <row r="722">
      <c r="A722" s="33"/>
      <c r="B722" s="2"/>
      <c r="C722" s="2"/>
      <c r="D722" s="2"/>
      <c r="E722" s="2"/>
      <c r="F722" s="4"/>
      <c r="G722" s="2"/>
      <c r="H722" s="2"/>
      <c r="I722" s="2"/>
      <c r="J722" s="2"/>
      <c r="K722" s="5"/>
      <c r="L722" s="2"/>
      <c r="M722" s="2"/>
      <c r="N722" s="2"/>
      <c r="O722" s="2"/>
      <c r="P722" s="2"/>
      <c r="Q722" s="2"/>
      <c r="R722" s="7"/>
      <c r="S722" s="224"/>
      <c r="T722" s="224"/>
      <c r="U722" s="224"/>
      <c r="V722" s="224"/>
    </row>
    <row r="723">
      <c r="A723" s="33"/>
      <c r="B723" s="2"/>
      <c r="C723" s="2"/>
      <c r="D723" s="2"/>
      <c r="E723" s="2"/>
      <c r="F723" s="4"/>
      <c r="G723" s="2"/>
      <c r="H723" s="2"/>
      <c r="I723" s="2"/>
      <c r="J723" s="2"/>
      <c r="K723" s="5"/>
      <c r="L723" s="2"/>
      <c r="M723" s="2"/>
      <c r="N723" s="2"/>
      <c r="O723" s="2"/>
      <c r="P723" s="2"/>
      <c r="Q723" s="2"/>
      <c r="R723" s="7"/>
      <c r="S723" s="224"/>
      <c r="T723" s="224"/>
      <c r="U723" s="224"/>
      <c r="V723" s="224"/>
    </row>
    <row r="724">
      <c r="A724" s="33"/>
      <c r="B724" s="2"/>
      <c r="C724" s="2"/>
      <c r="D724" s="2"/>
      <c r="E724" s="2"/>
      <c r="F724" s="4"/>
      <c r="G724" s="2"/>
      <c r="H724" s="2"/>
      <c r="I724" s="2"/>
      <c r="J724" s="2"/>
      <c r="K724" s="5"/>
      <c r="L724" s="2"/>
      <c r="M724" s="2"/>
      <c r="N724" s="2"/>
      <c r="O724" s="2"/>
      <c r="P724" s="2"/>
      <c r="Q724" s="2"/>
      <c r="R724" s="7"/>
      <c r="S724" s="224"/>
      <c r="T724" s="224"/>
      <c r="U724" s="224"/>
      <c r="V724" s="224"/>
    </row>
    <row r="725">
      <c r="A725" s="33"/>
      <c r="B725" s="2"/>
      <c r="C725" s="2"/>
      <c r="D725" s="2"/>
      <c r="E725" s="2"/>
      <c r="F725" s="4"/>
      <c r="G725" s="2"/>
      <c r="H725" s="2"/>
      <c r="I725" s="2"/>
      <c r="J725" s="2"/>
      <c r="K725" s="5"/>
      <c r="L725" s="2"/>
      <c r="M725" s="2"/>
      <c r="N725" s="2"/>
      <c r="O725" s="2"/>
      <c r="P725" s="2"/>
      <c r="Q725" s="2"/>
      <c r="R725" s="7"/>
      <c r="S725" s="224"/>
      <c r="T725" s="224"/>
      <c r="U725" s="224"/>
      <c r="V725" s="224"/>
    </row>
    <row r="726">
      <c r="A726" s="33"/>
      <c r="B726" s="2"/>
      <c r="C726" s="2"/>
      <c r="D726" s="2"/>
      <c r="E726" s="2"/>
      <c r="F726" s="4"/>
      <c r="G726" s="2"/>
      <c r="H726" s="2"/>
      <c r="I726" s="2"/>
      <c r="J726" s="2"/>
      <c r="K726" s="5"/>
      <c r="L726" s="2"/>
      <c r="M726" s="2"/>
      <c r="N726" s="2"/>
      <c r="O726" s="2"/>
      <c r="P726" s="2"/>
      <c r="Q726" s="2"/>
      <c r="R726" s="7"/>
      <c r="S726" s="224"/>
      <c r="T726" s="224"/>
      <c r="U726" s="224"/>
      <c r="V726" s="224"/>
    </row>
    <row r="727">
      <c r="A727" s="33"/>
      <c r="B727" s="2"/>
      <c r="C727" s="2"/>
      <c r="D727" s="2"/>
      <c r="E727" s="2"/>
      <c r="F727" s="4"/>
      <c r="G727" s="2"/>
      <c r="H727" s="2"/>
      <c r="I727" s="2"/>
      <c r="J727" s="2"/>
      <c r="K727" s="5"/>
      <c r="L727" s="2"/>
      <c r="M727" s="2"/>
      <c r="N727" s="2"/>
      <c r="O727" s="2"/>
      <c r="P727" s="2"/>
      <c r="Q727" s="2"/>
      <c r="R727" s="7"/>
      <c r="S727" s="224"/>
      <c r="T727" s="224"/>
      <c r="U727" s="224"/>
      <c r="V727" s="224"/>
    </row>
    <row r="728">
      <c r="A728" s="33"/>
      <c r="B728" s="2"/>
      <c r="C728" s="2"/>
      <c r="D728" s="2"/>
      <c r="E728" s="2"/>
      <c r="F728" s="4"/>
      <c r="G728" s="2"/>
      <c r="H728" s="2"/>
      <c r="I728" s="2"/>
      <c r="J728" s="2"/>
      <c r="K728" s="5"/>
      <c r="L728" s="2"/>
      <c r="M728" s="2"/>
      <c r="N728" s="2"/>
      <c r="O728" s="2"/>
      <c r="P728" s="2"/>
      <c r="Q728" s="2"/>
      <c r="R728" s="7"/>
      <c r="S728" s="224"/>
      <c r="T728" s="224"/>
      <c r="U728" s="224"/>
      <c r="V728" s="224"/>
    </row>
    <row r="729">
      <c r="A729" s="33"/>
      <c r="B729" s="2"/>
      <c r="C729" s="2"/>
      <c r="D729" s="2"/>
      <c r="E729" s="2"/>
      <c r="F729" s="4"/>
      <c r="G729" s="2"/>
      <c r="H729" s="2"/>
      <c r="I729" s="2"/>
      <c r="J729" s="2"/>
      <c r="K729" s="5"/>
      <c r="L729" s="2"/>
      <c r="M729" s="2"/>
      <c r="N729" s="2"/>
      <c r="O729" s="2"/>
      <c r="P729" s="2"/>
      <c r="Q729" s="2"/>
      <c r="R729" s="7"/>
      <c r="S729" s="224"/>
      <c r="T729" s="224"/>
      <c r="U729" s="224"/>
      <c r="V729" s="224"/>
    </row>
    <row r="730">
      <c r="A730" s="33"/>
      <c r="B730" s="2"/>
      <c r="C730" s="2"/>
      <c r="D730" s="2"/>
      <c r="E730" s="2"/>
      <c r="F730" s="4"/>
      <c r="G730" s="2"/>
      <c r="H730" s="2"/>
      <c r="I730" s="2"/>
      <c r="J730" s="2"/>
      <c r="K730" s="5"/>
      <c r="L730" s="2"/>
      <c r="M730" s="2"/>
      <c r="N730" s="2"/>
      <c r="O730" s="2"/>
      <c r="P730" s="2"/>
      <c r="Q730" s="2"/>
      <c r="R730" s="7"/>
      <c r="S730" s="224"/>
      <c r="T730" s="224"/>
      <c r="U730" s="224"/>
      <c r="V730" s="224"/>
    </row>
    <row r="731">
      <c r="A731" s="33"/>
      <c r="B731" s="2"/>
      <c r="C731" s="2"/>
      <c r="D731" s="2"/>
      <c r="E731" s="2"/>
      <c r="F731" s="4"/>
      <c r="G731" s="2"/>
      <c r="H731" s="2"/>
      <c r="I731" s="2"/>
      <c r="J731" s="2"/>
      <c r="K731" s="5"/>
      <c r="L731" s="2"/>
      <c r="M731" s="2"/>
      <c r="N731" s="2"/>
      <c r="O731" s="2"/>
      <c r="P731" s="2"/>
      <c r="Q731" s="2"/>
      <c r="R731" s="7"/>
      <c r="S731" s="224"/>
      <c r="T731" s="224"/>
      <c r="U731" s="224"/>
      <c r="V731" s="224"/>
    </row>
    <row r="732">
      <c r="A732" s="33"/>
      <c r="B732" s="2"/>
      <c r="C732" s="2"/>
      <c r="D732" s="2"/>
      <c r="E732" s="2"/>
      <c r="F732" s="4"/>
      <c r="G732" s="2"/>
      <c r="H732" s="2"/>
      <c r="I732" s="2"/>
      <c r="J732" s="2"/>
      <c r="K732" s="5"/>
      <c r="L732" s="2"/>
      <c r="M732" s="2"/>
      <c r="N732" s="2"/>
      <c r="O732" s="2"/>
      <c r="P732" s="2"/>
      <c r="Q732" s="2"/>
      <c r="R732" s="7"/>
      <c r="S732" s="224"/>
      <c r="T732" s="224"/>
      <c r="U732" s="224"/>
      <c r="V732" s="224"/>
    </row>
    <row r="733">
      <c r="A733" s="33"/>
      <c r="B733" s="2"/>
      <c r="C733" s="2"/>
      <c r="D733" s="2"/>
      <c r="E733" s="2"/>
      <c r="F733" s="4"/>
      <c r="G733" s="2"/>
      <c r="H733" s="2"/>
      <c r="I733" s="2"/>
      <c r="J733" s="2"/>
      <c r="K733" s="5"/>
      <c r="L733" s="2"/>
      <c r="M733" s="2"/>
      <c r="N733" s="2"/>
      <c r="O733" s="2"/>
      <c r="P733" s="2"/>
      <c r="Q733" s="2"/>
      <c r="R733" s="7"/>
      <c r="S733" s="224"/>
      <c r="T733" s="224"/>
      <c r="U733" s="224"/>
      <c r="V733" s="224"/>
    </row>
    <row r="734">
      <c r="A734" s="33"/>
      <c r="B734" s="2"/>
      <c r="C734" s="2"/>
      <c r="D734" s="2"/>
      <c r="E734" s="2"/>
      <c r="F734" s="4"/>
      <c r="G734" s="2"/>
      <c r="H734" s="2"/>
      <c r="I734" s="2"/>
      <c r="J734" s="2"/>
      <c r="K734" s="5"/>
      <c r="L734" s="2"/>
      <c r="M734" s="2"/>
      <c r="N734" s="2"/>
      <c r="O734" s="2"/>
      <c r="P734" s="2"/>
      <c r="Q734" s="2"/>
      <c r="R734" s="7"/>
      <c r="S734" s="224"/>
      <c r="T734" s="224"/>
      <c r="U734" s="224"/>
      <c r="V734" s="224"/>
    </row>
    <row r="735">
      <c r="A735" s="33"/>
      <c r="B735" s="2"/>
      <c r="C735" s="2"/>
      <c r="D735" s="2"/>
      <c r="E735" s="2"/>
      <c r="F735" s="4"/>
      <c r="G735" s="2"/>
      <c r="H735" s="2"/>
      <c r="I735" s="2"/>
      <c r="J735" s="2"/>
      <c r="K735" s="5"/>
      <c r="L735" s="2"/>
      <c r="M735" s="2"/>
      <c r="N735" s="2"/>
      <c r="O735" s="2"/>
      <c r="P735" s="2"/>
      <c r="Q735" s="2"/>
      <c r="R735" s="7"/>
      <c r="S735" s="224"/>
      <c r="T735" s="224"/>
      <c r="U735" s="224"/>
      <c r="V735" s="224"/>
    </row>
    <row r="736">
      <c r="A736" s="33"/>
      <c r="B736" s="2"/>
      <c r="C736" s="2"/>
      <c r="D736" s="2"/>
      <c r="E736" s="2"/>
      <c r="F736" s="4"/>
      <c r="G736" s="2"/>
      <c r="H736" s="2"/>
      <c r="I736" s="2"/>
      <c r="J736" s="2"/>
      <c r="K736" s="5"/>
      <c r="L736" s="2"/>
      <c r="M736" s="2"/>
      <c r="N736" s="2"/>
      <c r="O736" s="2"/>
      <c r="P736" s="2"/>
      <c r="Q736" s="2"/>
      <c r="R736" s="7"/>
      <c r="S736" s="224"/>
      <c r="T736" s="224"/>
      <c r="U736" s="224"/>
      <c r="V736" s="224"/>
    </row>
    <row r="737">
      <c r="A737" s="33"/>
      <c r="B737" s="2"/>
      <c r="C737" s="2"/>
      <c r="D737" s="2"/>
      <c r="E737" s="2"/>
      <c r="F737" s="4"/>
      <c r="G737" s="2"/>
      <c r="H737" s="2"/>
      <c r="I737" s="2"/>
      <c r="J737" s="2"/>
      <c r="K737" s="5"/>
      <c r="L737" s="2"/>
      <c r="M737" s="2"/>
      <c r="N737" s="2"/>
      <c r="O737" s="2"/>
      <c r="P737" s="2"/>
      <c r="Q737" s="2"/>
      <c r="R737" s="7"/>
      <c r="S737" s="224"/>
      <c r="T737" s="224"/>
      <c r="U737" s="224"/>
      <c r="V737" s="224"/>
    </row>
    <row r="738">
      <c r="A738" s="33"/>
      <c r="B738" s="2"/>
      <c r="C738" s="2"/>
      <c r="D738" s="2"/>
      <c r="E738" s="2"/>
      <c r="F738" s="4"/>
      <c r="G738" s="2"/>
      <c r="H738" s="2"/>
      <c r="I738" s="2"/>
      <c r="J738" s="2"/>
      <c r="K738" s="5"/>
      <c r="L738" s="2"/>
      <c r="M738" s="2"/>
      <c r="N738" s="2"/>
      <c r="O738" s="2"/>
      <c r="P738" s="2"/>
      <c r="Q738" s="2"/>
      <c r="R738" s="7"/>
      <c r="S738" s="224"/>
      <c r="T738" s="224"/>
      <c r="U738" s="224"/>
      <c r="V738" s="224"/>
    </row>
    <row r="739">
      <c r="A739" s="33"/>
      <c r="B739" s="2"/>
      <c r="C739" s="2"/>
      <c r="D739" s="2"/>
      <c r="E739" s="2"/>
      <c r="F739" s="4"/>
      <c r="G739" s="2"/>
      <c r="H739" s="2"/>
      <c r="I739" s="2"/>
      <c r="J739" s="2"/>
      <c r="K739" s="5"/>
      <c r="L739" s="2"/>
      <c r="M739" s="2"/>
      <c r="N739" s="2"/>
      <c r="O739" s="2"/>
      <c r="P739" s="2"/>
      <c r="Q739" s="2"/>
      <c r="R739" s="7"/>
      <c r="S739" s="224"/>
      <c r="T739" s="224"/>
      <c r="U739" s="224"/>
      <c r="V739" s="224"/>
    </row>
    <row r="740">
      <c r="A740" s="33"/>
      <c r="B740" s="2"/>
      <c r="C740" s="2"/>
      <c r="D740" s="2"/>
      <c r="E740" s="2"/>
      <c r="F740" s="4"/>
      <c r="G740" s="2"/>
      <c r="H740" s="2"/>
      <c r="I740" s="2"/>
      <c r="J740" s="2"/>
      <c r="K740" s="5"/>
      <c r="L740" s="2"/>
      <c r="M740" s="2"/>
      <c r="N740" s="2"/>
      <c r="O740" s="2"/>
      <c r="P740" s="2"/>
      <c r="Q740" s="2"/>
      <c r="R740" s="7"/>
      <c r="S740" s="224"/>
      <c r="T740" s="224"/>
      <c r="U740" s="224"/>
      <c r="V740" s="224"/>
    </row>
    <row r="741">
      <c r="A741" s="33"/>
      <c r="B741" s="2"/>
      <c r="C741" s="2"/>
      <c r="D741" s="2"/>
      <c r="E741" s="2"/>
      <c r="F741" s="4"/>
      <c r="G741" s="2"/>
      <c r="H741" s="2"/>
      <c r="I741" s="2"/>
      <c r="J741" s="2"/>
      <c r="K741" s="5"/>
      <c r="L741" s="2"/>
      <c r="M741" s="2"/>
      <c r="N741" s="2"/>
      <c r="O741" s="2"/>
      <c r="P741" s="2"/>
      <c r="Q741" s="2"/>
      <c r="R741" s="7"/>
      <c r="S741" s="224"/>
      <c r="T741" s="224"/>
      <c r="U741" s="224"/>
      <c r="V741" s="224"/>
    </row>
    <row r="742">
      <c r="A742" s="33"/>
      <c r="B742" s="2"/>
      <c r="C742" s="2"/>
      <c r="D742" s="2"/>
      <c r="E742" s="2"/>
      <c r="F742" s="4"/>
      <c r="G742" s="2"/>
      <c r="H742" s="2"/>
      <c r="I742" s="2"/>
      <c r="J742" s="2"/>
      <c r="K742" s="5"/>
      <c r="L742" s="2"/>
      <c r="M742" s="2"/>
      <c r="N742" s="2"/>
      <c r="O742" s="2"/>
      <c r="P742" s="2"/>
      <c r="Q742" s="2"/>
      <c r="R742" s="7"/>
      <c r="S742" s="224"/>
      <c r="T742" s="224"/>
      <c r="U742" s="224"/>
      <c r="V742" s="224"/>
    </row>
    <row r="743">
      <c r="A743" s="33"/>
      <c r="B743" s="2"/>
      <c r="C743" s="2"/>
      <c r="D743" s="2"/>
      <c r="E743" s="2"/>
      <c r="F743" s="4"/>
      <c r="G743" s="2"/>
      <c r="H743" s="2"/>
      <c r="I743" s="2"/>
      <c r="J743" s="2"/>
      <c r="K743" s="5"/>
      <c r="L743" s="2"/>
      <c r="M743" s="2"/>
      <c r="N743" s="2"/>
      <c r="O743" s="2"/>
      <c r="P743" s="2"/>
      <c r="Q743" s="2"/>
      <c r="R743" s="7"/>
      <c r="S743" s="224"/>
      <c r="T743" s="224"/>
      <c r="U743" s="224"/>
      <c r="V743" s="224"/>
    </row>
    <row r="744">
      <c r="A744" s="33"/>
      <c r="B744" s="2"/>
      <c r="C744" s="2"/>
      <c r="D744" s="2"/>
      <c r="E744" s="2"/>
      <c r="F744" s="4"/>
      <c r="G744" s="2"/>
      <c r="H744" s="2"/>
      <c r="I744" s="2"/>
      <c r="J744" s="2"/>
      <c r="K744" s="5"/>
      <c r="L744" s="2"/>
      <c r="M744" s="2"/>
      <c r="N744" s="2"/>
      <c r="O744" s="2"/>
      <c r="P744" s="2"/>
      <c r="Q744" s="2"/>
      <c r="R744" s="7"/>
      <c r="S744" s="224"/>
      <c r="T744" s="224"/>
      <c r="U744" s="224"/>
      <c r="V744" s="224"/>
    </row>
    <row r="745">
      <c r="A745" s="33"/>
      <c r="B745" s="2"/>
      <c r="C745" s="2"/>
      <c r="D745" s="2"/>
      <c r="E745" s="2"/>
      <c r="F745" s="4"/>
      <c r="G745" s="2"/>
      <c r="H745" s="2"/>
      <c r="I745" s="2"/>
      <c r="J745" s="2"/>
      <c r="K745" s="5"/>
      <c r="L745" s="2"/>
      <c r="M745" s="2"/>
      <c r="N745" s="2"/>
      <c r="O745" s="2"/>
      <c r="P745" s="2"/>
      <c r="Q745" s="2"/>
      <c r="R745" s="7"/>
      <c r="S745" s="224"/>
      <c r="T745" s="224"/>
      <c r="U745" s="224"/>
      <c r="V745" s="224"/>
    </row>
    <row r="746">
      <c r="A746" s="33"/>
      <c r="B746" s="2"/>
      <c r="C746" s="2"/>
      <c r="D746" s="2"/>
      <c r="E746" s="2"/>
      <c r="F746" s="4"/>
      <c r="G746" s="2"/>
      <c r="H746" s="2"/>
      <c r="I746" s="2"/>
      <c r="J746" s="2"/>
      <c r="K746" s="5"/>
      <c r="L746" s="2"/>
      <c r="M746" s="2"/>
      <c r="N746" s="2"/>
      <c r="O746" s="2"/>
      <c r="P746" s="2"/>
      <c r="Q746" s="2"/>
      <c r="R746" s="7"/>
      <c r="S746" s="224"/>
      <c r="T746" s="224"/>
      <c r="U746" s="224"/>
      <c r="V746" s="224"/>
    </row>
    <row r="747">
      <c r="A747" s="33"/>
      <c r="B747" s="2"/>
      <c r="C747" s="2"/>
      <c r="D747" s="2"/>
      <c r="E747" s="2"/>
      <c r="F747" s="4"/>
      <c r="G747" s="2"/>
      <c r="H747" s="2"/>
      <c r="I747" s="2"/>
      <c r="J747" s="2"/>
      <c r="K747" s="5"/>
      <c r="L747" s="2"/>
      <c r="M747" s="2"/>
      <c r="N747" s="2"/>
      <c r="O747" s="2"/>
      <c r="P747" s="2"/>
      <c r="Q747" s="2"/>
      <c r="R747" s="7"/>
      <c r="S747" s="224"/>
      <c r="T747" s="224"/>
      <c r="U747" s="224"/>
      <c r="V747" s="224"/>
    </row>
    <row r="748">
      <c r="A748" s="33"/>
      <c r="B748" s="2"/>
      <c r="C748" s="2"/>
      <c r="D748" s="2"/>
      <c r="E748" s="2"/>
      <c r="F748" s="4"/>
      <c r="G748" s="2"/>
      <c r="H748" s="2"/>
      <c r="I748" s="2"/>
      <c r="J748" s="2"/>
      <c r="K748" s="5"/>
      <c r="L748" s="2"/>
      <c r="M748" s="2"/>
      <c r="N748" s="2"/>
      <c r="O748" s="2"/>
      <c r="P748" s="2"/>
      <c r="Q748" s="2"/>
      <c r="R748" s="7"/>
      <c r="S748" s="224"/>
      <c r="T748" s="224"/>
      <c r="U748" s="224"/>
      <c r="V748" s="224"/>
    </row>
    <row r="749">
      <c r="A749" s="33"/>
      <c r="B749" s="2"/>
      <c r="C749" s="2"/>
      <c r="D749" s="2"/>
      <c r="E749" s="2"/>
      <c r="F749" s="4"/>
      <c r="G749" s="2"/>
      <c r="H749" s="2"/>
      <c r="I749" s="2"/>
      <c r="J749" s="2"/>
      <c r="K749" s="5"/>
      <c r="L749" s="2"/>
      <c r="M749" s="2"/>
      <c r="N749" s="2"/>
      <c r="O749" s="2"/>
      <c r="P749" s="2"/>
      <c r="Q749" s="2"/>
      <c r="R749" s="7"/>
      <c r="S749" s="224"/>
      <c r="T749" s="224"/>
      <c r="U749" s="224"/>
      <c r="V749" s="224"/>
    </row>
    <row r="750">
      <c r="A750" s="33"/>
      <c r="B750" s="2"/>
      <c r="C750" s="2"/>
      <c r="D750" s="2"/>
      <c r="E750" s="2"/>
      <c r="F750" s="4"/>
      <c r="G750" s="2"/>
      <c r="H750" s="2"/>
      <c r="I750" s="2"/>
      <c r="J750" s="2"/>
      <c r="K750" s="5"/>
      <c r="L750" s="2"/>
      <c r="M750" s="2"/>
      <c r="N750" s="2"/>
      <c r="O750" s="2"/>
      <c r="P750" s="2"/>
      <c r="Q750" s="2"/>
      <c r="R750" s="7"/>
      <c r="S750" s="224"/>
      <c r="T750" s="224"/>
      <c r="U750" s="224"/>
      <c r="V750" s="224"/>
    </row>
    <row r="751">
      <c r="A751" s="33"/>
      <c r="B751" s="2"/>
      <c r="C751" s="2"/>
      <c r="D751" s="2"/>
      <c r="E751" s="2"/>
      <c r="F751" s="4"/>
      <c r="G751" s="2"/>
      <c r="H751" s="2"/>
      <c r="I751" s="2"/>
      <c r="J751" s="2"/>
      <c r="K751" s="5"/>
      <c r="L751" s="2"/>
      <c r="M751" s="2"/>
      <c r="N751" s="2"/>
      <c r="O751" s="2"/>
      <c r="P751" s="2"/>
      <c r="Q751" s="2"/>
      <c r="R751" s="7"/>
      <c r="S751" s="224"/>
      <c r="T751" s="224"/>
      <c r="U751" s="224"/>
      <c r="V751" s="224"/>
    </row>
    <row r="752">
      <c r="A752" s="33"/>
      <c r="B752" s="2"/>
      <c r="C752" s="2"/>
      <c r="D752" s="2"/>
      <c r="E752" s="2"/>
      <c r="F752" s="4"/>
      <c r="G752" s="2"/>
      <c r="H752" s="2"/>
      <c r="I752" s="2"/>
      <c r="J752" s="2"/>
      <c r="K752" s="5"/>
      <c r="L752" s="2"/>
      <c r="M752" s="2"/>
      <c r="N752" s="2"/>
      <c r="O752" s="2"/>
      <c r="P752" s="2"/>
      <c r="Q752" s="2"/>
      <c r="R752" s="7"/>
      <c r="S752" s="224"/>
      <c r="T752" s="224"/>
      <c r="U752" s="224"/>
      <c r="V752" s="224"/>
    </row>
    <row r="753">
      <c r="A753" s="33"/>
      <c r="B753" s="2"/>
      <c r="C753" s="2"/>
      <c r="D753" s="2"/>
      <c r="E753" s="2"/>
      <c r="F753" s="4"/>
      <c r="G753" s="2"/>
      <c r="H753" s="2"/>
      <c r="I753" s="2"/>
      <c r="J753" s="2"/>
      <c r="K753" s="5"/>
      <c r="L753" s="2"/>
      <c r="M753" s="2"/>
      <c r="N753" s="2"/>
      <c r="O753" s="2"/>
      <c r="P753" s="2"/>
      <c r="Q753" s="2"/>
      <c r="R753" s="7"/>
      <c r="S753" s="224"/>
      <c r="T753" s="224"/>
      <c r="U753" s="224"/>
      <c r="V753" s="224"/>
    </row>
    <row r="754">
      <c r="A754" s="33"/>
      <c r="B754" s="2"/>
      <c r="C754" s="2"/>
      <c r="D754" s="2"/>
      <c r="E754" s="2"/>
      <c r="F754" s="4"/>
      <c r="G754" s="2"/>
      <c r="H754" s="2"/>
      <c r="I754" s="2"/>
      <c r="J754" s="2"/>
      <c r="K754" s="5"/>
      <c r="L754" s="2"/>
      <c r="M754" s="2"/>
      <c r="N754" s="2"/>
      <c r="O754" s="2"/>
      <c r="P754" s="2"/>
      <c r="Q754" s="2"/>
      <c r="R754" s="7"/>
      <c r="S754" s="224"/>
      <c r="T754" s="224"/>
      <c r="U754" s="224"/>
      <c r="V754" s="224"/>
    </row>
    <row r="755">
      <c r="A755" s="33"/>
      <c r="B755" s="2"/>
      <c r="C755" s="2"/>
      <c r="D755" s="2"/>
      <c r="E755" s="2"/>
      <c r="F755" s="4"/>
      <c r="G755" s="2"/>
      <c r="H755" s="2"/>
      <c r="I755" s="2"/>
      <c r="J755" s="2"/>
      <c r="K755" s="5"/>
      <c r="L755" s="2"/>
      <c r="M755" s="2"/>
      <c r="N755" s="2"/>
      <c r="O755" s="2"/>
      <c r="P755" s="2"/>
      <c r="Q755" s="2"/>
      <c r="R755" s="7"/>
      <c r="S755" s="224"/>
      <c r="T755" s="224"/>
      <c r="U755" s="224"/>
      <c r="V755" s="224"/>
    </row>
    <row r="756">
      <c r="A756" s="33"/>
      <c r="B756" s="2"/>
      <c r="C756" s="2"/>
      <c r="D756" s="2"/>
      <c r="E756" s="2"/>
      <c r="F756" s="4"/>
      <c r="G756" s="2"/>
      <c r="H756" s="2"/>
      <c r="I756" s="2"/>
      <c r="J756" s="2"/>
      <c r="K756" s="5"/>
      <c r="L756" s="2"/>
      <c r="M756" s="2"/>
      <c r="N756" s="2"/>
      <c r="O756" s="2"/>
      <c r="P756" s="2"/>
      <c r="Q756" s="2"/>
      <c r="R756" s="7"/>
      <c r="S756" s="224"/>
      <c r="T756" s="224"/>
      <c r="U756" s="224"/>
      <c r="V756" s="224"/>
    </row>
    <row r="757">
      <c r="A757" s="33"/>
      <c r="B757" s="2"/>
      <c r="C757" s="2"/>
      <c r="D757" s="2"/>
      <c r="E757" s="2"/>
      <c r="F757" s="4"/>
      <c r="G757" s="2"/>
      <c r="H757" s="2"/>
      <c r="I757" s="2"/>
      <c r="J757" s="2"/>
      <c r="K757" s="5"/>
      <c r="L757" s="2"/>
      <c r="M757" s="2"/>
      <c r="N757" s="2"/>
      <c r="O757" s="2"/>
      <c r="P757" s="2"/>
      <c r="Q757" s="2"/>
      <c r="R757" s="7"/>
      <c r="S757" s="224"/>
      <c r="T757" s="224"/>
      <c r="U757" s="224"/>
      <c r="V757" s="224"/>
    </row>
    <row r="758">
      <c r="A758" s="33"/>
      <c r="B758" s="2"/>
      <c r="C758" s="2"/>
      <c r="D758" s="2"/>
      <c r="E758" s="2"/>
      <c r="F758" s="4"/>
      <c r="G758" s="2"/>
      <c r="H758" s="2"/>
      <c r="I758" s="2"/>
      <c r="J758" s="2"/>
      <c r="K758" s="5"/>
      <c r="L758" s="2"/>
      <c r="M758" s="2"/>
      <c r="N758" s="2"/>
      <c r="O758" s="2"/>
      <c r="P758" s="2"/>
      <c r="Q758" s="2"/>
      <c r="R758" s="7"/>
      <c r="S758" s="224"/>
      <c r="T758" s="224"/>
      <c r="U758" s="224"/>
      <c r="V758" s="224"/>
    </row>
    <row r="759">
      <c r="A759" s="33"/>
      <c r="B759" s="2"/>
      <c r="C759" s="2"/>
      <c r="D759" s="2"/>
      <c r="E759" s="2"/>
      <c r="F759" s="4"/>
      <c r="G759" s="2"/>
      <c r="H759" s="2"/>
      <c r="I759" s="2"/>
      <c r="J759" s="2"/>
      <c r="K759" s="5"/>
      <c r="L759" s="2"/>
      <c r="M759" s="2"/>
      <c r="N759" s="2"/>
      <c r="O759" s="2"/>
      <c r="P759" s="2"/>
      <c r="Q759" s="2"/>
      <c r="R759" s="7"/>
      <c r="S759" s="224"/>
      <c r="T759" s="224"/>
      <c r="U759" s="224"/>
      <c r="V759" s="224"/>
    </row>
    <row r="760">
      <c r="A760" s="33"/>
      <c r="B760" s="2"/>
      <c r="C760" s="2"/>
      <c r="D760" s="2"/>
      <c r="E760" s="2"/>
      <c r="F760" s="4"/>
      <c r="G760" s="2"/>
      <c r="H760" s="2"/>
      <c r="I760" s="2"/>
      <c r="J760" s="2"/>
      <c r="K760" s="5"/>
      <c r="L760" s="2"/>
      <c r="M760" s="2"/>
      <c r="N760" s="2"/>
      <c r="O760" s="2"/>
      <c r="P760" s="2"/>
      <c r="Q760" s="2"/>
      <c r="R760" s="7"/>
      <c r="S760" s="224"/>
      <c r="T760" s="224"/>
      <c r="U760" s="224"/>
      <c r="V760" s="224"/>
    </row>
    <row r="761">
      <c r="A761" s="33"/>
      <c r="B761" s="2"/>
      <c r="C761" s="2"/>
      <c r="D761" s="2"/>
      <c r="E761" s="2"/>
      <c r="F761" s="4"/>
      <c r="G761" s="2"/>
      <c r="H761" s="2"/>
      <c r="I761" s="2"/>
      <c r="J761" s="2"/>
      <c r="K761" s="5"/>
      <c r="L761" s="2"/>
      <c r="M761" s="2"/>
      <c r="N761" s="2"/>
      <c r="O761" s="2"/>
      <c r="P761" s="2"/>
      <c r="Q761" s="2"/>
      <c r="R761" s="7"/>
      <c r="S761" s="224"/>
      <c r="T761" s="224"/>
      <c r="U761" s="224"/>
      <c r="V761" s="224"/>
    </row>
    <row r="762">
      <c r="A762" s="33"/>
      <c r="B762" s="2"/>
      <c r="C762" s="2"/>
      <c r="D762" s="2"/>
      <c r="E762" s="2"/>
      <c r="F762" s="4"/>
      <c r="G762" s="2"/>
      <c r="H762" s="2"/>
      <c r="I762" s="2"/>
      <c r="J762" s="2"/>
      <c r="K762" s="5"/>
      <c r="L762" s="2"/>
      <c r="M762" s="2"/>
      <c r="N762" s="2"/>
      <c r="O762" s="2"/>
      <c r="P762" s="2"/>
      <c r="Q762" s="2"/>
      <c r="R762" s="7"/>
      <c r="S762" s="224"/>
      <c r="T762" s="224"/>
      <c r="U762" s="224"/>
      <c r="V762" s="224"/>
    </row>
    <row r="763">
      <c r="A763" s="33"/>
      <c r="B763" s="2"/>
      <c r="C763" s="2"/>
      <c r="D763" s="2"/>
      <c r="E763" s="2"/>
      <c r="F763" s="4"/>
      <c r="G763" s="2"/>
      <c r="H763" s="2"/>
      <c r="I763" s="2"/>
      <c r="J763" s="2"/>
      <c r="K763" s="5"/>
      <c r="L763" s="2"/>
      <c r="M763" s="2"/>
      <c r="N763" s="2"/>
      <c r="O763" s="2"/>
      <c r="P763" s="2"/>
      <c r="Q763" s="2"/>
      <c r="R763" s="7"/>
      <c r="S763" s="224"/>
      <c r="T763" s="224"/>
      <c r="U763" s="224"/>
      <c r="V763" s="224"/>
    </row>
    <row r="764">
      <c r="A764" s="33"/>
      <c r="B764" s="2"/>
      <c r="C764" s="2"/>
      <c r="D764" s="2"/>
      <c r="E764" s="2"/>
      <c r="F764" s="4"/>
      <c r="G764" s="2"/>
      <c r="H764" s="2"/>
      <c r="I764" s="2"/>
      <c r="J764" s="2"/>
      <c r="K764" s="5"/>
      <c r="L764" s="2"/>
      <c r="M764" s="2"/>
      <c r="N764" s="2"/>
      <c r="O764" s="2"/>
      <c r="P764" s="2"/>
      <c r="Q764" s="2"/>
      <c r="R764" s="7"/>
      <c r="S764" s="224"/>
      <c r="T764" s="224"/>
      <c r="U764" s="224"/>
      <c r="V764" s="224"/>
    </row>
    <row r="765">
      <c r="A765" s="33"/>
      <c r="B765" s="2"/>
      <c r="C765" s="2"/>
      <c r="D765" s="2"/>
      <c r="E765" s="2"/>
      <c r="F765" s="4"/>
      <c r="G765" s="2"/>
      <c r="H765" s="2"/>
      <c r="I765" s="2"/>
      <c r="J765" s="2"/>
      <c r="K765" s="5"/>
      <c r="L765" s="2"/>
      <c r="M765" s="2"/>
      <c r="N765" s="2"/>
      <c r="O765" s="2"/>
      <c r="P765" s="2"/>
      <c r="Q765" s="2"/>
      <c r="R765" s="7"/>
      <c r="S765" s="224"/>
      <c r="T765" s="224"/>
      <c r="U765" s="224"/>
      <c r="V765" s="224"/>
    </row>
    <row r="766">
      <c r="A766" s="33"/>
      <c r="B766" s="2"/>
      <c r="C766" s="2"/>
      <c r="D766" s="2"/>
      <c r="E766" s="2"/>
      <c r="F766" s="4"/>
      <c r="G766" s="2"/>
      <c r="H766" s="2"/>
      <c r="I766" s="2"/>
      <c r="J766" s="2"/>
      <c r="K766" s="5"/>
      <c r="L766" s="2"/>
      <c r="M766" s="2"/>
      <c r="N766" s="2"/>
      <c r="O766" s="2"/>
      <c r="P766" s="2"/>
      <c r="Q766" s="2"/>
      <c r="R766" s="7"/>
      <c r="S766" s="224"/>
      <c r="T766" s="224"/>
      <c r="U766" s="224"/>
      <c r="V766" s="224"/>
    </row>
    <row r="767">
      <c r="A767" s="33"/>
      <c r="B767" s="2"/>
      <c r="C767" s="2"/>
      <c r="D767" s="2"/>
      <c r="E767" s="2"/>
      <c r="F767" s="4"/>
      <c r="G767" s="2"/>
      <c r="H767" s="2"/>
      <c r="I767" s="2"/>
      <c r="J767" s="2"/>
      <c r="K767" s="5"/>
      <c r="L767" s="2"/>
      <c r="M767" s="2"/>
      <c r="N767" s="2"/>
      <c r="O767" s="2"/>
      <c r="P767" s="2"/>
      <c r="Q767" s="2"/>
      <c r="R767" s="7"/>
      <c r="S767" s="224"/>
      <c r="T767" s="224"/>
      <c r="U767" s="224"/>
      <c r="V767" s="224"/>
    </row>
    <row r="768">
      <c r="A768" s="33"/>
      <c r="B768" s="2"/>
      <c r="C768" s="2"/>
      <c r="D768" s="2"/>
      <c r="E768" s="2"/>
      <c r="F768" s="4"/>
      <c r="G768" s="2"/>
      <c r="H768" s="2"/>
      <c r="I768" s="2"/>
      <c r="J768" s="2"/>
      <c r="K768" s="5"/>
      <c r="L768" s="2"/>
      <c r="M768" s="2"/>
      <c r="N768" s="2"/>
      <c r="O768" s="2"/>
      <c r="P768" s="2"/>
      <c r="Q768" s="2"/>
      <c r="R768" s="7"/>
      <c r="S768" s="224"/>
      <c r="T768" s="224"/>
      <c r="U768" s="224"/>
      <c r="V768" s="224"/>
    </row>
    <row r="769">
      <c r="A769" s="33"/>
      <c r="B769" s="2"/>
      <c r="C769" s="2"/>
      <c r="D769" s="2"/>
      <c r="E769" s="2"/>
      <c r="F769" s="4"/>
      <c r="G769" s="2"/>
      <c r="H769" s="2"/>
      <c r="I769" s="2"/>
      <c r="J769" s="2"/>
      <c r="K769" s="5"/>
      <c r="L769" s="2"/>
      <c r="M769" s="2"/>
      <c r="N769" s="2"/>
      <c r="O769" s="2"/>
      <c r="P769" s="2"/>
      <c r="Q769" s="2"/>
      <c r="R769" s="7"/>
      <c r="S769" s="224"/>
      <c r="T769" s="224"/>
      <c r="U769" s="224"/>
      <c r="V769" s="224"/>
    </row>
    <row r="770">
      <c r="A770" s="33"/>
      <c r="B770" s="2"/>
      <c r="C770" s="2"/>
      <c r="D770" s="2"/>
      <c r="E770" s="2"/>
      <c r="F770" s="4"/>
      <c r="G770" s="2"/>
      <c r="H770" s="2"/>
      <c r="I770" s="2"/>
      <c r="J770" s="2"/>
      <c r="K770" s="5"/>
      <c r="L770" s="2"/>
      <c r="M770" s="2"/>
      <c r="N770" s="2"/>
      <c r="O770" s="2"/>
      <c r="P770" s="2"/>
      <c r="Q770" s="2"/>
      <c r="R770" s="7"/>
      <c r="S770" s="224"/>
      <c r="T770" s="224"/>
      <c r="U770" s="224"/>
      <c r="V770" s="224"/>
    </row>
    <row r="771">
      <c r="A771" s="33"/>
      <c r="B771" s="2"/>
      <c r="C771" s="2"/>
      <c r="D771" s="2"/>
      <c r="E771" s="2"/>
      <c r="F771" s="4"/>
      <c r="G771" s="2"/>
      <c r="H771" s="2"/>
      <c r="I771" s="2"/>
      <c r="J771" s="2"/>
      <c r="K771" s="5"/>
      <c r="L771" s="2"/>
      <c r="M771" s="2"/>
      <c r="N771" s="2"/>
      <c r="O771" s="2"/>
      <c r="P771" s="2"/>
      <c r="Q771" s="2"/>
      <c r="R771" s="7"/>
      <c r="S771" s="224"/>
      <c r="T771" s="224"/>
      <c r="U771" s="224"/>
      <c r="V771" s="224"/>
    </row>
    <row r="772">
      <c r="A772" s="33"/>
      <c r="B772" s="2"/>
      <c r="C772" s="2"/>
      <c r="D772" s="2"/>
      <c r="E772" s="2"/>
      <c r="F772" s="4"/>
      <c r="G772" s="2"/>
      <c r="H772" s="2"/>
      <c r="I772" s="2"/>
      <c r="J772" s="2"/>
      <c r="K772" s="5"/>
      <c r="L772" s="2"/>
      <c r="M772" s="2"/>
      <c r="N772" s="2"/>
      <c r="O772" s="2"/>
      <c r="P772" s="2"/>
      <c r="Q772" s="2"/>
      <c r="R772" s="7"/>
      <c r="S772" s="224"/>
      <c r="T772" s="224"/>
      <c r="U772" s="224"/>
      <c r="V772" s="224"/>
    </row>
    <row r="773">
      <c r="A773" s="33"/>
      <c r="B773" s="2"/>
      <c r="C773" s="2"/>
      <c r="D773" s="2"/>
      <c r="E773" s="2"/>
      <c r="F773" s="4"/>
      <c r="G773" s="2"/>
      <c r="H773" s="2"/>
      <c r="I773" s="2"/>
      <c r="J773" s="2"/>
      <c r="K773" s="5"/>
      <c r="L773" s="2"/>
      <c r="M773" s="2"/>
      <c r="N773" s="2"/>
      <c r="O773" s="2"/>
      <c r="P773" s="2"/>
      <c r="Q773" s="2"/>
      <c r="R773" s="7"/>
      <c r="S773" s="224"/>
      <c r="T773" s="224"/>
      <c r="U773" s="224"/>
      <c r="V773" s="224"/>
    </row>
    <row r="774">
      <c r="A774" s="33"/>
      <c r="B774" s="2"/>
      <c r="C774" s="2"/>
      <c r="D774" s="2"/>
      <c r="E774" s="2"/>
      <c r="F774" s="4"/>
      <c r="G774" s="2"/>
      <c r="H774" s="2"/>
      <c r="I774" s="2"/>
      <c r="J774" s="2"/>
      <c r="K774" s="5"/>
      <c r="L774" s="2"/>
      <c r="M774" s="2"/>
      <c r="N774" s="2"/>
      <c r="O774" s="2"/>
      <c r="P774" s="2"/>
      <c r="Q774" s="2"/>
      <c r="R774" s="7"/>
      <c r="S774" s="224"/>
      <c r="T774" s="224"/>
      <c r="U774" s="224"/>
      <c r="V774" s="224"/>
    </row>
    <row r="775">
      <c r="A775" s="33"/>
      <c r="B775" s="2"/>
      <c r="C775" s="2"/>
      <c r="D775" s="2"/>
      <c r="E775" s="2"/>
      <c r="F775" s="4"/>
      <c r="G775" s="2"/>
      <c r="H775" s="2"/>
      <c r="I775" s="2"/>
      <c r="J775" s="2"/>
      <c r="K775" s="5"/>
      <c r="L775" s="2"/>
      <c r="M775" s="2"/>
      <c r="N775" s="2"/>
      <c r="O775" s="2"/>
      <c r="P775" s="2"/>
      <c r="Q775" s="2"/>
      <c r="R775" s="7"/>
      <c r="S775" s="224"/>
      <c r="T775" s="224"/>
      <c r="U775" s="224"/>
      <c r="V775" s="224"/>
    </row>
    <row r="776">
      <c r="A776" s="33"/>
      <c r="B776" s="2"/>
      <c r="C776" s="2"/>
      <c r="D776" s="2"/>
      <c r="E776" s="2"/>
      <c r="F776" s="4"/>
      <c r="G776" s="2"/>
      <c r="H776" s="2"/>
      <c r="I776" s="2"/>
      <c r="J776" s="2"/>
      <c r="K776" s="5"/>
      <c r="L776" s="2"/>
      <c r="M776" s="2"/>
      <c r="N776" s="2"/>
      <c r="O776" s="2"/>
      <c r="P776" s="2"/>
      <c r="Q776" s="2"/>
      <c r="R776" s="7"/>
      <c r="S776" s="224"/>
      <c r="T776" s="224"/>
      <c r="U776" s="224"/>
      <c r="V776" s="224"/>
    </row>
    <row r="777">
      <c r="A777" s="33"/>
      <c r="B777" s="2"/>
      <c r="C777" s="2"/>
      <c r="D777" s="2"/>
      <c r="E777" s="2"/>
      <c r="F777" s="4"/>
      <c r="G777" s="2"/>
      <c r="H777" s="2"/>
      <c r="I777" s="2"/>
      <c r="J777" s="2"/>
      <c r="K777" s="5"/>
      <c r="L777" s="2"/>
      <c r="M777" s="2"/>
      <c r="N777" s="2"/>
      <c r="O777" s="2"/>
      <c r="P777" s="2"/>
      <c r="Q777" s="2"/>
      <c r="R777" s="7"/>
      <c r="S777" s="224"/>
      <c r="T777" s="224"/>
      <c r="U777" s="224"/>
      <c r="V777" s="224"/>
    </row>
    <row r="778">
      <c r="A778" s="33"/>
      <c r="B778" s="2"/>
      <c r="C778" s="2"/>
      <c r="D778" s="2"/>
      <c r="E778" s="2"/>
      <c r="F778" s="4"/>
      <c r="G778" s="2"/>
      <c r="H778" s="2"/>
      <c r="I778" s="2"/>
      <c r="J778" s="2"/>
      <c r="K778" s="5"/>
      <c r="L778" s="2"/>
      <c r="M778" s="2"/>
      <c r="N778" s="2"/>
      <c r="O778" s="2"/>
      <c r="P778" s="2"/>
      <c r="Q778" s="2"/>
      <c r="R778" s="7"/>
      <c r="S778" s="224"/>
      <c r="T778" s="224"/>
      <c r="U778" s="224"/>
      <c r="V778" s="224"/>
    </row>
    <row r="779">
      <c r="A779" s="33"/>
      <c r="B779" s="2"/>
      <c r="C779" s="2"/>
      <c r="D779" s="2"/>
      <c r="E779" s="2"/>
      <c r="F779" s="4"/>
      <c r="G779" s="2"/>
      <c r="H779" s="2"/>
      <c r="I779" s="2"/>
      <c r="J779" s="2"/>
      <c r="K779" s="5"/>
      <c r="L779" s="2"/>
      <c r="M779" s="2"/>
      <c r="N779" s="2"/>
      <c r="O779" s="2"/>
      <c r="P779" s="2"/>
      <c r="Q779" s="2"/>
      <c r="R779" s="7"/>
      <c r="S779" s="224"/>
      <c r="T779" s="224"/>
      <c r="U779" s="224"/>
      <c r="V779" s="224"/>
    </row>
    <row r="780">
      <c r="A780" s="33"/>
      <c r="B780" s="2"/>
      <c r="C780" s="2"/>
      <c r="D780" s="2"/>
      <c r="E780" s="2"/>
      <c r="F780" s="4"/>
      <c r="G780" s="2"/>
      <c r="H780" s="2"/>
      <c r="I780" s="2"/>
      <c r="J780" s="2"/>
      <c r="K780" s="5"/>
      <c r="L780" s="2"/>
      <c r="M780" s="2"/>
      <c r="N780" s="2"/>
      <c r="O780" s="2"/>
      <c r="P780" s="2"/>
      <c r="Q780" s="2"/>
      <c r="R780" s="7"/>
      <c r="S780" s="224"/>
      <c r="T780" s="224"/>
      <c r="U780" s="224"/>
      <c r="V780" s="224"/>
    </row>
    <row r="781">
      <c r="A781" s="33"/>
      <c r="B781" s="2"/>
      <c r="C781" s="2"/>
      <c r="D781" s="2"/>
      <c r="E781" s="2"/>
      <c r="F781" s="4"/>
      <c r="G781" s="2"/>
      <c r="H781" s="2"/>
      <c r="I781" s="2"/>
      <c r="J781" s="2"/>
      <c r="K781" s="5"/>
      <c r="L781" s="2"/>
      <c r="M781" s="2"/>
      <c r="N781" s="2"/>
      <c r="O781" s="2"/>
      <c r="P781" s="2"/>
      <c r="Q781" s="2"/>
      <c r="R781" s="7"/>
      <c r="S781" s="224"/>
      <c r="T781" s="224"/>
      <c r="U781" s="224"/>
      <c r="V781" s="224"/>
    </row>
    <row r="782">
      <c r="A782" s="33"/>
      <c r="B782" s="2"/>
      <c r="C782" s="2"/>
      <c r="D782" s="2"/>
      <c r="E782" s="2"/>
      <c r="F782" s="4"/>
      <c r="G782" s="2"/>
      <c r="H782" s="2"/>
      <c r="I782" s="2"/>
      <c r="J782" s="2"/>
      <c r="K782" s="5"/>
      <c r="L782" s="2"/>
      <c r="M782" s="2"/>
      <c r="N782" s="2"/>
      <c r="O782" s="2"/>
      <c r="P782" s="2"/>
      <c r="Q782" s="2"/>
      <c r="R782" s="7"/>
      <c r="S782" s="224"/>
      <c r="T782" s="224"/>
      <c r="U782" s="224"/>
      <c r="V782" s="224"/>
    </row>
    <row r="783">
      <c r="A783" s="33"/>
      <c r="B783" s="2"/>
      <c r="C783" s="2"/>
      <c r="D783" s="2"/>
      <c r="E783" s="2"/>
      <c r="F783" s="4"/>
      <c r="G783" s="2"/>
      <c r="H783" s="2"/>
      <c r="I783" s="2"/>
      <c r="J783" s="2"/>
      <c r="K783" s="5"/>
      <c r="L783" s="2"/>
      <c r="M783" s="2"/>
      <c r="N783" s="2"/>
      <c r="O783" s="2"/>
      <c r="P783" s="2"/>
      <c r="Q783" s="2"/>
      <c r="R783" s="7"/>
      <c r="S783" s="224"/>
      <c r="T783" s="224"/>
      <c r="U783" s="224"/>
      <c r="V783" s="224"/>
    </row>
    <row r="784">
      <c r="A784" s="33"/>
      <c r="B784" s="2"/>
      <c r="C784" s="2"/>
      <c r="D784" s="2"/>
      <c r="E784" s="2"/>
      <c r="F784" s="4"/>
      <c r="G784" s="2"/>
      <c r="H784" s="2"/>
      <c r="I784" s="2"/>
      <c r="J784" s="2"/>
      <c r="K784" s="5"/>
      <c r="L784" s="2"/>
      <c r="M784" s="2"/>
      <c r="N784" s="2"/>
      <c r="O784" s="2"/>
      <c r="P784" s="2"/>
      <c r="Q784" s="2"/>
      <c r="R784" s="7"/>
      <c r="S784" s="224"/>
      <c r="T784" s="224"/>
      <c r="U784" s="224"/>
      <c r="V784" s="224"/>
    </row>
    <row r="785">
      <c r="A785" s="33"/>
      <c r="B785" s="2"/>
      <c r="C785" s="2"/>
      <c r="D785" s="2"/>
      <c r="E785" s="2"/>
      <c r="F785" s="4"/>
      <c r="G785" s="2"/>
      <c r="H785" s="2"/>
      <c r="I785" s="2"/>
      <c r="J785" s="2"/>
      <c r="K785" s="5"/>
      <c r="L785" s="2"/>
      <c r="M785" s="2"/>
      <c r="N785" s="2"/>
      <c r="O785" s="2"/>
      <c r="P785" s="2"/>
      <c r="Q785" s="2"/>
      <c r="R785" s="7"/>
      <c r="S785" s="224"/>
      <c r="T785" s="224"/>
      <c r="U785" s="224"/>
      <c r="V785" s="224"/>
    </row>
    <row r="786">
      <c r="A786" s="33"/>
      <c r="B786" s="2"/>
      <c r="C786" s="2"/>
      <c r="D786" s="2"/>
      <c r="E786" s="2"/>
      <c r="F786" s="4"/>
      <c r="G786" s="2"/>
      <c r="H786" s="2"/>
      <c r="I786" s="2"/>
      <c r="J786" s="2"/>
      <c r="K786" s="5"/>
      <c r="L786" s="2"/>
      <c r="M786" s="2"/>
      <c r="N786" s="2"/>
      <c r="O786" s="2"/>
      <c r="P786" s="2"/>
      <c r="Q786" s="2"/>
      <c r="R786" s="7"/>
      <c r="S786" s="224"/>
      <c r="T786" s="224"/>
      <c r="U786" s="224"/>
      <c r="V786" s="224"/>
    </row>
    <row r="787">
      <c r="A787" s="33"/>
      <c r="B787" s="2"/>
      <c r="C787" s="2"/>
      <c r="D787" s="2"/>
      <c r="E787" s="2"/>
      <c r="F787" s="4"/>
      <c r="G787" s="2"/>
      <c r="H787" s="2"/>
      <c r="I787" s="2"/>
      <c r="J787" s="2"/>
      <c r="K787" s="5"/>
      <c r="L787" s="2"/>
      <c r="M787" s="2"/>
      <c r="N787" s="2"/>
      <c r="O787" s="2"/>
      <c r="P787" s="2"/>
      <c r="Q787" s="2"/>
      <c r="R787" s="7"/>
      <c r="S787" s="224"/>
      <c r="T787" s="224"/>
      <c r="U787" s="224"/>
      <c r="V787" s="224"/>
    </row>
    <row r="788">
      <c r="A788" s="33"/>
      <c r="B788" s="2"/>
      <c r="C788" s="2"/>
      <c r="D788" s="2"/>
      <c r="E788" s="2"/>
      <c r="F788" s="4"/>
      <c r="G788" s="2"/>
      <c r="H788" s="2"/>
      <c r="I788" s="2"/>
      <c r="J788" s="2"/>
      <c r="K788" s="5"/>
      <c r="L788" s="2"/>
      <c r="M788" s="2"/>
      <c r="N788" s="2"/>
      <c r="O788" s="2"/>
      <c r="P788" s="2"/>
      <c r="Q788" s="2"/>
      <c r="R788" s="7"/>
      <c r="S788" s="224"/>
      <c r="T788" s="224"/>
      <c r="U788" s="224"/>
      <c r="V788" s="224"/>
    </row>
    <row r="789">
      <c r="A789" s="33"/>
      <c r="B789" s="2"/>
      <c r="C789" s="2"/>
      <c r="D789" s="2"/>
      <c r="E789" s="2"/>
      <c r="F789" s="4"/>
      <c r="G789" s="2"/>
      <c r="H789" s="2"/>
      <c r="I789" s="2"/>
      <c r="J789" s="2"/>
      <c r="K789" s="5"/>
      <c r="L789" s="2"/>
      <c r="M789" s="2"/>
      <c r="N789" s="2"/>
      <c r="O789" s="2"/>
      <c r="P789" s="2"/>
      <c r="Q789" s="2"/>
      <c r="R789" s="7"/>
      <c r="S789" s="224"/>
      <c r="T789" s="224"/>
      <c r="U789" s="224"/>
      <c r="V789" s="224"/>
    </row>
    <row r="790">
      <c r="A790" s="33"/>
      <c r="B790" s="2"/>
      <c r="C790" s="2"/>
      <c r="D790" s="2"/>
      <c r="E790" s="2"/>
      <c r="F790" s="4"/>
      <c r="G790" s="2"/>
      <c r="H790" s="2"/>
      <c r="I790" s="2"/>
      <c r="J790" s="2"/>
      <c r="K790" s="5"/>
      <c r="L790" s="2"/>
      <c r="M790" s="2"/>
      <c r="N790" s="2"/>
      <c r="O790" s="2"/>
      <c r="P790" s="2"/>
      <c r="Q790" s="2"/>
      <c r="R790" s="7"/>
      <c r="S790" s="224"/>
      <c r="T790" s="224"/>
      <c r="U790" s="224"/>
      <c r="V790" s="224"/>
    </row>
    <row r="791">
      <c r="A791" s="33"/>
      <c r="B791" s="2"/>
      <c r="C791" s="2"/>
      <c r="D791" s="2"/>
      <c r="E791" s="2"/>
      <c r="F791" s="4"/>
      <c r="G791" s="2"/>
      <c r="H791" s="2"/>
      <c r="I791" s="2"/>
      <c r="J791" s="2"/>
      <c r="K791" s="5"/>
      <c r="L791" s="2"/>
      <c r="M791" s="2"/>
      <c r="N791" s="2"/>
      <c r="O791" s="2"/>
      <c r="P791" s="2"/>
      <c r="Q791" s="2"/>
      <c r="R791" s="7"/>
      <c r="S791" s="224"/>
      <c r="T791" s="224"/>
      <c r="U791" s="224"/>
      <c r="V791" s="224"/>
    </row>
    <row r="792">
      <c r="A792" s="33"/>
      <c r="B792" s="2"/>
      <c r="C792" s="2"/>
      <c r="D792" s="2"/>
      <c r="E792" s="2"/>
      <c r="F792" s="4"/>
      <c r="G792" s="2"/>
      <c r="H792" s="2"/>
      <c r="I792" s="2"/>
      <c r="J792" s="2"/>
      <c r="K792" s="5"/>
      <c r="L792" s="2"/>
      <c r="M792" s="2"/>
      <c r="N792" s="2"/>
      <c r="O792" s="2"/>
      <c r="P792" s="2"/>
      <c r="Q792" s="2"/>
      <c r="R792" s="7"/>
      <c r="S792" s="224"/>
      <c r="T792" s="224"/>
      <c r="U792" s="224"/>
      <c r="V792" s="224"/>
    </row>
    <row r="793">
      <c r="A793" s="33"/>
      <c r="B793" s="2"/>
      <c r="C793" s="2"/>
      <c r="D793" s="2"/>
      <c r="E793" s="2"/>
      <c r="F793" s="4"/>
      <c r="G793" s="2"/>
      <c r="H793" s="2"/>
      <c r="I793" s="2"/>
      <c r="J793" s="2"/>
      <c r="K793" s="5"/>
      <c r="L793" s="2"/>
      <c r="M793" s="2"/>
      <c r="N793" s="2"/>
      <c r="O793" s="2"/>
      <c r="P793" s="2"/>
      <c r="Q793" s="2"/>
      <c r="R793" s="7"/>
      <c r="S793" s="224"/>
      <c r="T793" s="224"/>
      <c r="U793" s="224"/>
      <c r="V793" s="224"/>
    </row>
    <row r="794">
      <c r="A794" s="33"/>
      <c r="B794" s="2"/>
      <c r="C794" s="2"/>
      <c r="D794" s="2"/>
      <c r="E794" s="2"/>
      <c r="F794" s="4"/>
      <c r="G794" s="2"/>
      <c r="H794" s="2"/>
      <c r="I794" s="2"/>
      <c r="J794" s="2"/>
      <c r="K794" s="5"/>
      <c r="L794" s="2"/>
      <c r="M794" s="2"/>
      <c r="N794" s="2"/>
      <c r="O794" s="2"/>
      <c r="P794" s="2"/>
      <c r="Q794" s="2"/>
      <c r="R794" s="7"/>
      <c r="S794" s="224"/>
      <c r="T794" s="224"/>
      <c r="U794" s="224"/>
      <c r="V794" s="224"/>
    </row>
    <row r="795">
      <c r="A795" s="33"/>
      <c r="B795" s="2"/>
      <c r="C795" s="2"/>
      <c r="D795" s="2"/>
      <c r="E795" s="2"/>
      <c r="F795" s="4"/>
      <c r="G795" s="2"/>
      <c r="H795" s="2"/>
      <c r="I795" s="2"/>
      <c r="J795" s="2"/>
      <c r="K795" s="5"/>
      <c r="L795" s="2"/>
      <c r="M795" s="2"/>
      <c r="N795" s="2"/>
      <c r="O795" s="2"/>
      <c r="P795" s="2"/>
      <c r="Q795" s="2"/>
      <c r="R795" s="7"/>
      <c r="S795" s="224"/>
      <c r="T795" s="224"/>
      <c r="U795" s="224"/>
      <c r="V795" s="224"/>
    </row>
    <row r="796">
      <c r="A796" s="33"/>
      <c r="B796" s="2"/>
      <c r="C796" s="2"/>
      <c r="D796" s="2"/>
      <c r="E796" s="2"/>
      <c r="F796" s="4"/>
      <c r="G796" s="2"/>
      <c r="H796" s="2"/>
      <c r="I796" s="2"/>
      <c r="J796" s="2"/>
      <c r="K796" s="5"/>
      <c r="L796" s="2"/>
      <c r="M796" s="2"/>
      <c r="N796" s="2"/>
      <c r="O796" s="2"/>
      <c r="P796" s="2"/>
      <c r="Q796" s="2"/>
      <c r="R796" s="7"/>
      <c r="S796" s="224"/>
      <c r="T796" s="224"/>
      <c r="U796" s="224"/>
      <c r="V796" s="224"/>
    </row>
    <row r="797">
      <c r="A797" s="33"/>
      <c r="B797" s="2"/>
      <c r="C797" s="2"/>
      <c r="D797" s="2"/>
      <c r="E797" s="2"/>
      <c r="F797" s="4"/>
      <c r="G797" s="2"/>
      <c r="H797" s="2"/>
      <c r="I797" s="2"/>
      <c r="J797" s="2"/>
      <c r="K797" s="5"/>
      <c r="L797" s="2"/>
      <c r="M797" s="2"/>
      <c r="N797" s="2"/>
      <c r="O797" s="2"/>
      <c r="P797" s="2"/>
      <c r="Q797" s="2"/>
      <c r="R797" s="7"/>
      <c r="S797" s="224"/>
      <c r="T797" s="224"/>
      <c r="U797" s="224"/>
      <c r="V797" s="224"/>
    </row>
    <row r="798">
      <c r="A798" s="33"/>
      <c r="B798" s="2"/>
      <c r="C798" s="2"/>
      <c r="D798" s="2"/>
      <c r="E798" s="2"/>
      <c r="F798" s="4"/>
      <c r="G798" s="2"/>
      <c r="H798" s="2"/>
      <c r="I798" s="2"/>
      <c r="J798" s="2"/>
      <c r="K798" s="5"/>
      <c r="L798" s="2"/>
      <c r="M798" s="2"/>
      <c r="N798" s="2"/>
      <c r="O798" s="2"/>
      <c r="P798" s="2"/>
      <c r="Q798" s="2"/>
      <c r="R798" s="7"/>
      <c r="S798" s="224"/>
      <c r="T798" s="224"/>
      <c r="U798" s="224"/>
      <c r="V798" s="224"/>
    </row>
    <row r="799">
      <c r="A799" s="33"/>
      <c r="B799" s="2"/>
      <c r="C799" s="2"/>
      <c r="D799" s="2"/>
      <c r="E799" s="2"/>
      <c r="F799" s="4"/>
      <c r="G799" s="2"/>
      <c r="H799" s="2"/>
      <c r="I799" s="2"/>
      <c r="J799" s="2"/>
      <c r="K799" s="5"/>
      <c r="L799" s="2"/>
      <c r="M799" s="2"/>
      <c r="N799" s="2"/>
      <c r="O799" s="2"/>
      <c r="P799" s="2"/>
      <c r="Q799" s="2"/>
      <c r="R799" s="7"/>
      <c r="S799" s="224"/>
      <c r="T799" s="224"/>
      <c r="U799" s="224"/>
      <c r="V799" s="224"/>
    </row>
    <row r="800">
      <c r="A800" s="33"/>
      <c r="B800" s="2"/>
      <c r="C800" s="2"/>
      <c r="D800" s="2"/>
      <c r="E800" s="2"/>
      <c r="F800" s="4"/>
      <c r="G800" s="2"/>
      <c r="H800" s="2"/>
      <c r="I800" s="2"/>
      <c r="J800" s="2"/>
      <c r="K800" s="5"/>
      <c r="L800" s="2"/>
      <c r="M800" s="2"/>
      <c r="N800" s="2"/>
      <c r="O800" s="2"/>
      <c r="P800" s="2"/>
      <c r="Q800" s="2"/>
      <c r="R800" s="7"/>
      <c r="S800" s="224"/>
      <c r="T800" s="224"/>
      <c r="U800" s="224"/>
      <c r="V800" s="224"/>
    </row>
    <row r="801">
      <c r="A801" s="33"/>
      <c r="B801" s="2"/>
      <c r="C801" s="2"/>
      <c r="D801" s="2"/>
      <c r="E801" s="2"/>
      <c r="F801" s="4"/>
      <c r="G801" s="2"/>
      <c r="H801" s="2"/>
      <c r="I801" s="2"/>
      <c r="J801" s="2"/>
      <c r="K801" s="5"/>
      <c r="L801" s="2"/>
      <c r="M801" s="2"/>
      <c r="N801" s="2"/>
      <c r="O801" s="2"/>
      <c r="P801" s="2"/>
      <c r="Q801" s="2"/>
      <c r="R801" s="7"/>
      <c r="S801" s="224"/>
      <c r="T801" s="224"/>
      <c r="U801" s="224"/>
      <c r="V801" s="224"/>
    </row>
    <row r="802">
      <c r="A802" s="33"/>
      <c r="B802" s="2"/>
      <c r="C802" s="2"/>
      <c r="D802" s="2"/>
      <c r="E802" s="2"/>
      <c r="F802" s="4"/>
      <c r="G802" s="2"/>
      <c r="H802" s="2"/>
      <c r="I802" s="2"/>
      <c r="J802" s="2"/>
      <c r="K802" s="5"/>
      <c r="L802" s="2"/>
      <c r="M802" s="2"/>
      <c r="N802" s="2"/>
      <c r="O802" s="2"/>
      <c r="P802" s="2"/>
      <c r="Q802" s="2"/>
      <c r="R802" s="7"/>
      <c r="S802" s="224"/>
      <c r="T802" s="224"/>
      <c r="U802" s="224"/>
      <c r="V802" s="224"/>
    </row>
    <row r="803">
      <c r="A803" s="33"/>
      <c r="B803" s="2"/>
      <c r="C803" s="2"/>
      <c r="D803" s="2"/>
      <c r="E803" s="2"/>
      <c r="F803" s="4"/>
      <c r="G803" s="2"/>
      <c r="H803" s="2"/>
      <c r="I803" s="2"/>
      <c r="J803" s="2"/>
      <c r="K803" s="5"/>
      <c r="L803" s="2"/>
      <c r="M803" s="2"/>
      <c r="N803" s="2"/>
      <c r="O803" s="2"/>
      <c r="P803" s="2"/>
      <c r="Q803" s="2"/>
      <c r="R803" s="7"/>
      <c r="S803" s="224"/>
      <c r="T803" s="224"/>
      <c r="U803" s="224"/>
      <c r="V803" s="224"/>
    </row>
    <row r="804">
      <c r="A804" s="33"/>
      <c r="B804" s="2"/>
      <c r="C804" s="2"/>
      <c r="D804" s="2"/>
      <c r="E804" s="2"/>
      <c r="F804" s="4"/>
      <c r="G804" s="2"/>
      <c r="H804" s="2"/>
      <c r="I804" s="2"/>
      <c r="J804" s="2"/>
      <c r="K804" s="5"/>
      <c r="L804" s="2"/>
      <c r="M804" s="2"/>
      <c r="N804" s="2"/>
      <c r="O804" s="2"/>
      <c r="P804" s="2"/>
      <c r="Q804" s="2"/>
      <c r="R804" s="7"/>
      <c r="S804" s="224"/>
      <c r="T804" s="224"/>
      <c r="U804" s="224"/>
      <c r="V804" s="224"/>
    </row>
    <row r="805">
      <c r="A805" s="33"/>
      <c r="B805" s="2"/>
      <c r="C805" s="2"/>
      <c r="D805" s="2"/>
      <c r="E805" s="2"/>
      <c r="F805" s="4"/>
      <c r="G805" s="2"/>
      <c r="H805" s="2"/>
      <c r="I805" s="2"/>
      <c r="J805" s="2"/>
      <c r="K805" s="5"/>
      <c r="L805" s="2"/>
      <c r="M805" s="2"/>
      <c r="N805" s="2"/>
      <c r="O805" s="2"/>
      <c r="P805" s="2"/>
      <c r="Q805" s="2"/>
      <c r="R805" s="7"/>
      <c r="S805" s="224"/>
      <c r="T805" s="224"/>
      <c r="U805" s="224"/>
      <c r="V805" s="224"/>
    </row>
    <row r="806">
      <c r="A806" s="33"/>
      <c r="B806" s="2"/>
      <c r="C806" s="2"/>
      <c r="D806" s="2"/>
      <c r="E806" s="2"/>
      <c r="F806" s="4"/>
      <c r="G806" s="2"/>
      <c r="H806" s="2"/>
      <c r="I806" s="2"/>
      <c r="J806" s="2"/>
      <c r="K806" s="5"/>
      <c r="L806" s="2"/>
      <c r="M806" s="2"/>
      <c r="N806" s="2"/>
      <c r="O806" s="2"/>
      <c r="P806" s="2"/>
      <c r="Q806" s="2"/>
      <c r="R806" s="7"/>
      <c r="S806" s="224"/>
      <c r="T806" s="224"/>
      <c r="U806" s="224"/>
      <c r="V806" s="224"/>
    </row>
    <row r="807">
      <c r="A807" s="33"/>
      <c r="B807" s="2"/>
      <c r="C807" s="2"/>
      <c r="D807" s="2"/>
      <c r="E807" s="2"/>
      <c r="F807" s="4"/>
      <c r="G807" s="2"/>
      <c r="H807" s="2"/>
      <c r="I807" s="2"/>
      <c r="J807" s="2"/>
      <c r="K807" s="5"/>
      <c r="L807" s="2"/>
      <c r="M807" s="2"/>
      <c r="N807" s="2"/>
      <c r="O807" s="2"/>
      <c r="P807" s="2"/>
      <c r="Q807" s="2"/>
      <c r="R807" s="7"/>
      <c r="S807" s="224"/>
      <c r="T807" s="224"/>
      <c r="U807" s="224"/>
      <c r="V807" s="224"/>
    </row>
    <row r="808">
      <c r="A808" s="33"/>
      <c r="B808" s="2"/>
      <c r="C808" s="2"/>
      <c r="D808" s="2"/>
      <c r="E808" s="2"/>
      <c r="F808" s="4"/>
      <c r="G808" s="2"/>
      <c r="H808" s="2"/>
      <c r="I808" s="2"/>
      <c r="J808" s="2"/>
      <c r="K808" s="5"/>
      <c r="L808" s="2"/>
      <c r="M808" s="2"/>
      <c r="N808" s="2"/>
      <c r="O808" s="2"/>
      <c r="P808" s="2"/>
      <c r="Q808" s="2"/>
      <c r="R808" s="7"/>
      <c r="S808" s="224"/>
      <c r="T808" s="224"/>
      <c r="U808" s="224"/>
      <c r="V808" s="224"/>
    </row>
    <row r="809">
      <c r="A809" s="33"/>
      <c r="B809" s="2"/>
      <c r="C809" s="2"/>
      <c r="D809" s="2"/>
      <c r="E809" s="2"/>
      <c r="F809" s="4"/>
      <c r="G809" s="2"/>
      <c r="H809" s="2"/>
      <c r="I809" s="2"/>
      <c r="J809" s="2"/>
      <c r="K809" s="5"/>
      <c r="L809" s="2"/>
      <c r="M809" s="2"/>
      <c r="N809" s="2"/>
      <c r="O809" s="2"/>
      <c r="P809" s="2"/>
      <c r="Q809" s="2"/>
      <c r="R809" s="7"/>
      <c r="S809" s="224"/>
      <c r="T809" s="224"/>
      <c r="U809" s="224"/>
      <c r="V809" s="224"/>
    </row>
    <row r="810">
      <c r="A810" s="33"/>
      <c r="B810" s="2"/>
      <c r="C810" s="2"/>
      <c r="D810" s="2"/>
      <c r="E810" s="2"/>
      <c r="F810" s="4"/>
      <c r="G810" s="2"/>
      <c r="H810" s="2"/>
      <c r="I810" s="2"/>
      <c r="J810" s="2"/>
      <c r="K810" s="5"/>
      <c r="L810" s="2"/>
      <c r="M810" s="2"/>
      <c r="N810" s="2"/>
      <c r="O810" s="2"/>
      <c r="P810" s="2"/>
      <c r="Q810" s="2"/>
      <c r="R810" s="7"/>
      <c r="S810" s="224"/>
      <c r="T810" s="224"/>
      <c r="U810" s="224"/>
      <c r="V810" s="224"/>
    </row>
    <row r="811">
      <c r="A811" s="33"/>
      <c r="B811" s="2"/>
      <c r="C811" s="2"/>
      <c r="D811" s="2"/>
      <c r="E811" s="2"/>
      <c r="F811" s="4"/>
      <c r="G811" s="2"/>
      <c r="H811" s="2"/>
      <c r="I811" s="2"/>
      <c r="J811" s="2"/>
      <c r="K811" s="5"/>
      <c r="L811" s="2"/>
      <c r="M811" s="2"/>
      <c r="N811" s="2"/>
      <c r="O811" s="2"/>
      <c r="P811" s="2"/>
      <c r="Q811" s="2"/>
      <c r="R811" s="7"/>
      <c r="S811" s="224"/>
      <c r="T811" s="224"/>
      <c r="U811" s="224"/>
      <c r="V811" s="224"/>
    </row>
    <row r="812">
      <c r="A812" s="33"/>
      <c r="B812" s="2"/>
      <c r="C812" s="2"/>
      <c r="D812" s="2"/>
      <c r="E812" s="2"/>
      <c r="F812" s="4"/>
      <c r="G812" s="2"/>
      <c r="H812" s="2"/>
      <c r="I812" s="2"/>
      <c r="J812" s="2"/>
      <c r="K812" s="5"/>
      <c r="L812" s="2"/>
      <c r="M812" s="2"/>
      <c r="N812" s="2"/>
      <c r="O812" s="2"/>
      <c r="P812" s="2"/>
      <c r="Q812" s="2"/>
      <c r="R812" s="7"/>
      <c r="S812" s="224"/>
      <c r="T812" s="224"/>
      <c r="U812" s="224"/>
      <c r="V812" s="224"/>
    </row>
    <row r="813">
      <c r="A813" s="33"/>
      <c r="B813" s="2"/>
      <c r="C813" s="2"/>
      <c r="D813" s="2"/>
      <c r="E813" s="2"/>
      <c r="F813" s="4"/>
      <c r="G813" s="2"/>
      <c r="H813" s="2"/>
      <c r="I813" s="2"/>
      <c r="J813" s="2"/>
      <c r="K813" s="5"/>
      <c r="L813" s="2"/>
      <c r="M813" s="2"/>
      <c r="N813" s="2"/>
      <c r="O813" s="2"/>
      <c r="P813" s="2"/>
      <c r="Q813" s="2"/>
      <c r="R813" s="7"/>
      <c r="S813" s="224"/>
      <c r="T813" s="224"/>
      <c r="U813" s="224"/>
      <c r="V813" s="224"/>
    </row>
    <row r="814">
      <c r="A814" s="33"/>
      <c r="B814" s="2"/>
      <c r="C814" s="2"/>
      <c r="D814" s="2"/>
      <c r="E814" s="2"/>
      <c r="F814" s="4"/>
      <c r="G814" s="2"/>
      <c r="H814" s="2"/>
      <c r="I814" s="2"/>
      <c r="J814" s="2"/>
      <c r="K814" s="5"/>
      <c r="L814" s="2"/>
      <c r="M814" s="2"/>
      <c r="N814" s="2"/>
      <c r="O814" s="2"/>
      <c r="P814" s="2"/>
      <c r="Q814" s="2"/>
      <c r="R814" s="7"/>
      <c r="S814" s="224"/>
      <c r="T814" s="224"/>
      <c r="U814" s="224"/>
      <c r="V814" s="224"/>
    </row>
    <row r="815">
      <c r="A815" s="33"/>
      <c r="B815" s="2"/>
      <c r="C815" s="2"/>
      <c r="D815" s="2"/>
      <c r="E815" s="2"/>
      <c r="F815" s="4"/>
      <c r="G815" s="2"/>
      <c r="H815" s="2"/>
      <c r="I815" s="2"/>
      <c r="J815" s="2"/>
      <c r="K815" s="5"/>
      <c r="L815" s="2"/>
      <c r="M815" s="2"/>
      <c r="N815" s="2"/>
      <c r="O815" s="2"/>
      <c r="P815" s="2"/>
      <c r="Q815" s="2"/>
      <c r="R815" s="7"/>
      <c r="S815" s="224"/>
      <c r="T815" s="224"/>
      <c r="U815" s="224"/>
      <c r="V815" s="224"/>
    </row>
    <row r="816">
      <c r="A816" s="33"/>
      <c r="B816" s="2"/>
      <c r="C816" s="2"/>
      <c r="D816" s="2"/>
      <c r="E816" s="2"/>
      <c r="F816" s="4"/>
      <c r="G816" s="2"/>
      <c r="H816" s="2"/>
      <c r="I816" s="2"/>
      <c r="J816" s="2"/>
      <c r="K816" s="5"/>
      <c r="L816" s="2"/>
      <c r="M816" s="2"/>
      <c r="N816" s="2"/>
      <c r="O816" s="2"/>
      <c r="P816" s="2"/>
      <c r="Q816" s="2"/>
      <c r="R816" s="7"/>
      <c r="S816" s="224"/>
      <c r="T816" s="224"/>
      <c r="U816" s="224"/>
      <c r="V816" s="224"/>
    </row>
    <row r="817">
      <c r="A817" s="33"/>
      <c r="B817" s="2"/>
      <c r="C817" s="2"/>
      <c r="D817" s="2"/>
      <c r="E817" s="2"/>
      <c r="F817" s="4"/>
      <c r="G817" s="2"/>
      <c r="H817" s="2"/>
      <c r="I817" s="2"/>
      <c r="J817" s="2"/>
      <c r="K817" s="5"/>
      <c r="L817" s="2"/>
      <c r="M817" s="2"/>
      <c r="N817" s="2"/>
      <c r="O817" s="2"/>
      <c r="P817" s="2"/>
      <c r="Q817" s="2"/>
      <c r="R817" s="7"/>
      <c r="S817" s="224"/>
      <c r="T817" s="224"/>
      <c r="U817" s="224"/>
      <c r="V817" s="224"/>
    </row>
    <row r="818">
      <c r="A818" s="33"/>
      <c r="B818" s="2"/>
      <c r="C818" s="2"/>
      <c r="D818" s="2"/>
      <c r="E818" s="2"/>
      <c r="F818" s="4"/>
      <c r="G818" s="2"/>
      <c r="H818" s="2"/>
      <c r="I818" s="2"/>
      <c r="J818" s="2"/>
      <c r="K818" s="5"/>
      <c r="L818" s="2"/>
      <c r="M818" s="2"/>
      <c r="N818" s="2"/>
      <c r="O818" s="2"/>
      <c r="P818" s="2"/>
      <c r="Q818" s="2"/>
      <c r="R818" s="7"/>
      <c r="S818" s="224"/>
      <c r="T818" s="224"/>
      <c r="U818" s="224"/>
      <c r="V818" s="224"/>
    </row>
    <row r="819">
      <c r="A819" s="33"/>
      <c r="B819" s="2"/>
      <c r="C819" s="2"/>
      <c r="D819" s="2"/>
      <c r="E819" s="2"/>
      <c r="F819" s="4"/>
      <c r="G819" s="2"/>
      <c r="H819" s="2"/>
      <c r="I819" s="2"/>
      <c r="J819" s="2"/>
      <c r="K819" s="5"/>
      <c r="L819" s="2"/>
      <c r="M819" s="2"/>
      <c r="N819" s="2"/>
      <c r="O819" s="2"/>
      <c r="P819" s="2"/>
      <c r="Q819" s="2"/>
      <c r="R819" s="7"/>
      <c r="S819" s="224"/>
      <c r="T819" s="224"/>
      <c r="U819" s="224"/>
      <c r="V819" s="224"/>
    </row>
    <row r="820">
      <c r="A820" s="33"/>
      <c r="B820" s="2"/>
      <c r="C820" s="2"/>
      <c r="D820" s="2"/>
      <c r="E820" s="2"/>
      <c r="F820" s="4"/>
      <c r="G820" s="2"/>
      <c r="H820" s="2"/>
      <c r="I820" s="2"/>
      <c r="J820" s="2"/>
      <c r="K820" s="5"/>
      <c r="L820" s="2"/>
      <c r="M820" s="2"/>
      <c r="N820" s="2"/>
      <c r="O820" s="2"/>
      <c r="P820" s="2"/>
      <c r="Q820" s="2"/>
      <c r="R820" s="7"/>
      <c r="S820" s="224"/>
      <c r="T820" s="224"/>
      <c r="U820" s="224"/>
      <c r="V820" s="224"/>
    </row>
    <row r="821">
      <c r="A821" s="33"/>
      <c r="B821" s="2"/>
      <c r="C821" s="2"/>
      <c r="D821" s="2"/>
      <c r="E821" s="2"/>
      <c r="F821" s="4"/>
      <c r="G821" s="2"/>
      <c r="H821" s="2"/>
      <c r="I821" s="2"/>
      <c r="J821" s="2"/>
      <c r="K821" s="5"/>
      <c r="L821" s="2"/>
      <c r="M821" s="2"/>
      <c r="N821" s="2"/>
      <c r="O821" s="2"/>
      <c r="P821" s="2"/>
      <c r="Q821" s="2"/>
      <c r="R821" s="7"/>
      <c r="S821" s="224"/>
      <c r="T821" s="224"/>
      <c r="U821" s="224"/>
      <c r="V821" s="224"/>
    </row>
    <row r="822">
      <c r="A822" s="33"/>
      <c r="B822" s="2"/>
      <c r="C822" s="2"/>
      <c r="D822" s="2"/>
      <c r="E822" s="2"/>
      <c r="F822" s="4"/>
      <c r="G822" s="2"/>
      <c r="H822" s="2"/>
      <c r="I822" s="2"/>
      <c r="J822" s="2"/>
      <c r="K822" s="5"/>
      <c r="L822" s="2"/>
      <c r="M822" s="2"/>
      <c r="N822" s="2"/>
      <c r="O822" s="2"/>
      <c r="P822" s="2"/>
      <c r="Q822" s="2"/>
      <c r="R822" s="7"/>
      <c r="S822" s="224"/>
      <c r="T822" s="224"/>
      <c r="U822" s="224"/>
      <c r="V822" s="224"/>
    </row>
    <row r="823">
      <c r="A823" s="33"/>
      <c r="B823" s="2"/>
      <c r="C823" s="2"/>
      <c r="D823" s="2"/>
      <c r="E823" s="2"/>
      <c r="F823" s="4"/>
      <c r="G823" s="2"/>
      <c r="H823" s="2"/>
      <c r="I823" s="2"/>
      <c r="J823" s="2"/>
      <c r="K823" s="5"/>
      <c r="L823" s="2"/>
      <c r="M823" s="2"/>
      <c r="N823" s="2"/>
      <c r="O823" s="2"/>
      <c r="P823" s="2"/>
      <c r="Q823" s="2"/>
      <c r="R823" s="7"/>
      <c r="S823" s="224"/>
      <c r="T823" s="224"/>
      <c r="U823" s="224"/>
      <c r="V823" s="224"/>
    </row>
    <row r="824">
      <c r="A824" s="33"/>
      <c r="B824" s="2"/>
      <c r="C824" s="2"/>
      <c r="D824" s="2"/>
      <c r="E824" s="2"/>
      <c r="F824" s="4"/>
      <c r="G824" s="2"/>
      <c r="H824" s="2"/>
      <c r="I824" s="2"/>
      <c r="J824" s="2"/>
      <c r="K824" s="5"/>
      <c r="L824" s="2"/>
      <c r="M824" s="2"/>
      <c r="N824" s="2"/>
      <c r="O824" s="2"/>
      <c r="P824" s="2"/>
      <c r="Q824" s="2"/>
      <c r="R824" s="7"/>
      <c r="S824" s="224"/>
      <c r="T824" s="224"/>
      <c r="U824" s="224"/>
      <c r="V824" s="224"/>
    </row>
    <row r="825">
      <c r="A825" s="33"/>
      <c r="B825" s="2"/>
      <c r="C825" s="2"/>
      <c r="D825" s="2"/>
      <c r="E825" s="2"/>
      <c r="F825" s="4"/>
      <c r="G825" s="2"/>
      <c r="H825" s="2"/>
      <c r="I825" s="2"/>
      <c r="J825" s="2"/>
      <c r="K825" s="5"/>
      <c r="L825" s="2"/>
      <c r="M825" s="2"/>
      <c r="N825" s="2"/>
      <c r="O825" s="2"/>
      <c r="P825" s="2"/>
      <c r="Q825" s="2"/>
      <c r="R825" s="7"/>
      <c r="S825" s="224"/>
      <c r="T825" s="224"/>
      <c r="U825" s="224"/>
      <c r="V825" s="224"/>
    </row>
    <row r="826">
      <c r="A826" s="33"/>
      <c r="B826" s="2"/>
      <c r="C826" s="2"/>
      <c r="D826" s="2"/>
      <c r="E826" s="2"/>
      <c r="F826" s="4"/>
      <c r="G826" s="2"/>
      <c r="H826" s="2"/>
      <c r="I826" s="2"/>
      <c r="J826" s="2"/>
      <c r="K826" s="5"/>
      <c r="L826" s="2"/>
      <c r="M826" s="2"/>
      <c r="N826" s="2"/>
      <c r="O826" s="2"/>
      <c r="P826" s="2"/>
      <c r="Q826" s="2"/>
      <c r="R826" s="7"/>
      <c r="S826" s="224"/>
      <c r="T826" s="224"/>
      <c r="U826" s="224"/>
      <c r="V826" s="224"/>
    </row>
    <row r="827">
      <c r="A827" s="33"/>
      <c r="B827" s="2"/>
      <c r="C827" s="2"/>
      <c r="D827" s="2"/>
      <c r="E827" s="2"/>
      <c r="F827" s="4"/>
      <c r="G827" s="2"/>
      <c r="H827" s="2"/>
      <c r="I827" s="2"/>
      <c r="J827" s="2"/>
      <c r="K827" s="5"/>
      <c r="L827" s="2"/>
      <c r="M827" s="2"/>
      <c r="N827" s="2"/>
      <c r="O827" s="2"/>
      <c r="P827" s="2"/>
      <c r="Q827" s="2"/>
      <c r="R827" s="7"/>
      <c r="S827" s="224"/>
      <c r="T827" s="224"/>
      <c r="U827" s="224"/>
      <c r="V827" s="224"/>
    </row>
    <row r="828">
      <c r="A828" s="33"/>
      <c r="B828" s="2"/>
      <c r="C828" s="2"/>
      <c r="D828" s="2"/>
      <c r="E828" s="2"/>
      <c r="F828" s="4"/>
      <c r="G828" s="2"/>
      <c r="H828" s="2"/>
      <c r="I828" s="2"/>
      <c r="J828" s="2"/>
      <c r="K828" s="5"/>
      <c r="L828" s="2"/>
      <c r="M828" s="2"/>
      <c r="N828" s="2"/>
      <c r="O828" s="2"/>
      <c r="P828" s="2"/>
      <c r="Q828" s="2"/>
      <c r="R828" s="7"/>
      <c r="S828" s="224"/>
      <c r="T828" s="224"/>
      <c r="U828" s="224"/>
      <c r="V828" s="224"/>
    </row>
    <row r="829">
      <c r="A829" s="33"/>
      <c r="B829" s="2"/>
      <c r="C829" s="2"/>
      <c r="D829" s="2"/>
      <c r="E829" s="2"/>
      <c r="F829" s="4"/>
      <c r="G829" s="2"/>
      <c r="H829" s="2"/>
      <c r="I829" s="2"/>
      <c r="J829" s="2"/>
      <c r="K829" s="5"/>
      <c r="L829" s="2"/>
      <c r="M829" s="2"/>
      <c r="N829" s="2"/>
      <c r="O829" s="2"/>
      <c r="P829" s="2"/>
      <c r="Q829" s="2"/>
      <c r="R829" s="7"/>
      <c r="S829" s="224"/>
      <c r="T829" s="224"/>
      <c r="U829" s="224"/>
      <c r="V829" s="224"/>
    </row>
    <row r="830">
      <c r="A830" s="33"/>
      <c r="B830" s="2"/>
      <c r="C830" s="2"/>
      <c r="D830" s="2"/>
      <c r="E830" s="2"/>
      <c r="F830" s="4"/>
      <c r="G830" s="2"/>
      <c r="H830" s="2"/>
      <c r="I830" s="2"/>
      <c r="J830" s="2"/>
      <c r="K830" s="5"/>
      <c r="L830" s="2"/>
      <c r="M830" s="2"/>
      <c r="N830" s="2"/>
      <c r="O830" s="2"/>
      <c r="P830" s="2"/>
      <c r="Q830" s="2"/>
      <c r="R830" s="7"/>
      <c r="S830" s="224"/>
      <c r="T830" s="224"/>
      <c r="U830" s="224"/>
      <c r="V830" s="224"/>
    </row>
    <row r="831">
      <c r="A831" s="33"/>
      <c r="B831" s="2"/>
      <c r="C831" s="2"/>
      <c r="D831" s="2"/>
      <c r="E831" s="2"/>
      <c r="F831" s="4"/>
      <c r="G831" s="2"/>
      <c r="H831" s="2"/>
      <c r="I831" s="2"/>
      <c r="J831" s="2"/>
      <c r="K831" s="5"/>
      <c r="L831" s="2"/>
      <c r="M831" s="2"/>
      <c r="N831" s="2"/>
      <c r="O831" s="2"/>
      <c r="P831" s="2"/>
      <c r="Q831" s="2"/>
      <c r="R831" s="7"/>
      <c r="S831" s="224"/>
      <c r="T831" s="224"/>
      <c r="U831" s="224"/>
      <c r="V831" s="224"/>
    </row>
    <row r="832">
      <c r="A832" s="33"/>
      <c r="B832" s="2"/>
      <c r="C832" s="2"/>
      <c r="D832" s="2"/>
      <c r="E832" s="2"/>
      <c r="F832" s="4"/>
      <c r="G832" s="2"/>
      <c r="H832" s="2"/>
      <c r="I832" s="2"/>
      <c r="J832" s="2"/>
      <c r="K832" s="5"/>
      <c r="L832" s="2"/>
      <c r="M832" s="2"/>
      <c r="N832" s="2"/>
      <c r="O832" s="2"/>
      <c r="P832" s="2"/>
      <c r="Q832" s="2"/>
      <c r="R832" s="7"/>
      <c r="S832" s="224"/>
      <c r="T832" s="224"/>
      <c r="U832" s="224"/>
      <c r="V832" s="224"/>
    </row>
    <row r="833">
      <c r="A833" s="33"/>
      <c r="B833" s="2"/>
      <c r="C833" s="2"/>
      <c r="D833" s="2"/>
      <c r="E833" s="2"/>
      <c r="F833" s="4"/>
      <c r="G833" s="2"/>
      <c r="H833" s="2"/>
      <c r="I833" s="2"/>
      <c r="J833" s="2"/>
      <c r="K833" s="5"/>
      <c r="L833" s="2"/>
      <c r="M833" s="2"/>
      <c r="N833" s="2"/>
      <c r="O833" s="2"/>
      <c r="P833" s="2"/>
      <c r="Q833" s="2"/>
      <c r="R833" s="7"/>
      <c r="S833" s="224"/>
      <c r="T833" s="224"/>
      <c r="U833" s="224"/>
      <c r="V833" s="224"/>
    </row>
    <row r="834">
      <c r="A834" s="33"/>
      <c r="B834" s="2"/>
      <c r="C834" s="2"/>
      <c r="D834" s="2"/>
      <c r="E834" s="2"/>
      <c r="F834" s="4"/>
      <c r="G834" s="2"/>
      <c r="H834" s="2"/>
      <c r="I834" s="2"/>
      <c r="J834" s="2"/>
      <c r="K834" s="5"/>
      <c r="L834" s="2"/>
      <c r="M834" s="2"/>
      <c r="N834" s="2"/>
      <c r="O834" s="2"/>
      <c r="P834" s="2"/>
      <c r="Q834" s="2"/>
      <c r="R834" s="7"/>
      <c r="S834" s="224"/>
      <c r="T834" s="224"/>
      <c r="U834" s="224"/>
      <c r="V834" s="224"/>
    </row>
    <row r="835">
      <c r="A835" s="33"/>
      <c r="B835" s="2"/>
      <c r="C835" s="2"/>
      <c r="D835" s="2"/>
      <c r="E835" s="2"/>
      <c r="F835" s="4"/>
      <c r="G835" s="2"/>
      <c r="H835" s="2"/>
      <c r="I835" s="2"/>
      <c r="J835" s="2"/>
      <c r="K835" s="5"/>
      <c r="L835" s="2"/>
      <c r="M835" s="2"/>
      <c r="N835" s="2"/>
      <c r="O835" s="2"/>
      <c r="P835" s="2"/>
      <c r="Q835" s="2"/>
      <c r="R835" s="7"/>
      <c r="S835" s="224"/>
      <c r="T835" s="224"/>
      <c r="U835" s="224"/>
      <c r="V835" s="224"/>
    </row>
    <row r="836">
      <c r="A836" s="33"/>
      <c r="B836" s="2"/>
      <c r="C836" s="2"/>
      <c r="D836" s="2"/>
      <c r="E836" s="2"/>
      <c r="F836" s="4"/>
      <c r="G836" s="2"/>
      <c r="H836" s="2"/>
      <c r="I836" s="2"/>
      <c r="J836" s="2"/>
      <c r="K836" s="5"/>
      <c r="L836" s="2"/>
      <c r="M836" s="2"/>
      <c r="N836" s="2"/>
      <c r="O836" s="2"/>
      <c r="P836" s="2"/>
      <c r="Q836" s="2"/>
      <c r="R836" s="7"/>
      <c r="S836" s="224"/>
      <c r="T836" s="224"/>
      <c r="U836" s="224"/>
      <c r="V836" s="224"/>
    </row>
    <row r="837">
      <c r="A837" s="33"/>
      <c r="B837" s="2"/>
      <c r="C837" s="2"/>
      <c r="D837" s="2"/>
      <c r="E837" s="2"/>
      <c r="F837" s="4"/>
      <c r="G837" s="2"/>
      <c r="H837" s="2"/>
      <c r="I837" s="2"/>
      <c r="J837" s="2"/>
      <c r="K837" s="5"/>
      <c r="L837" s="2"/>
      <c r="M837" s="2"/>
      <c r="N837" s="2"/>
      <c r="O837" s="2"/>
      <c r="P837" s="2"/>
      <c r="Q837" s="2"/>
      <c r="R837" s="7"/>
      <c r="S837" s="224"/>
      <c r="T837" s="224"/>
      <c r="U837" s="224"/>
      <c r="V837" s="224"/>
    </row>
    <row r="838">
      <c r="A838" s="33"/>
      <c r="B838" s="2"/>
      <c r="C838" s="2"/>
      <c r="D838" s="2"/>
      <c r="E838" s="2"/>
      <c r="F838" s="4"/>
      <c r="G838" s="2"/>
      <c r="H838" s="2"/>
      <c r="I838" s="2"/>
      <c r="J838" s="2"/>
      <c r="K838" s="5"/>
      <c r="L838" s="2"/>
      <c r="M838" s="2"/>
      <c r="N838" s="2"/>
      <c r="O838" s="2"/>
      <c r="P838" s="2"/>
      <c r="Q838" s="2"/>
      <c r="R838" s="7"/>
      <c r="S838" s="224"/>
      <c r="T838" s="224"/>
      <c r="U838" s="224"/>
      <c r="V838" s="224"/>
    </row>
    <row r="839">
      <c r="A839" s="33"/>
      <c r="B839" s="2"/>
      <c r="C839" s="2"/>
      <c r="D839" s="2"/>
      <c r="E839" s="2"/>
      <c r="F839" s="4"/>
      <c r="G839" s="2"/>
      <c r="H839" s="2"/>
      <c r="I839" s="2"/>
      <c r="J839" s="2"/>
      <c r="K839" s="5"/>
      <c r="L839" s="2"/>
      <c r="M839" s="2"/>
      <c r="N839" s="2"/>
      <c r="O839" s="2"/>
      <c r="P839" s="2"/>
      <c r="Q839" s="2"/>
      <c r="R839" s="7"/>
      <c r="S839" s="224"/>
      <c r="T839" s="224"/>
      <c r="U839" s="224"/>
      <c r="V839" s="224"/>
    </row>
    <row r="840">
      <c r="A840" s="33"/>
      <c r="B840" s="2"/>
      <c r="C840" s="2"/>
      <c r="D840" s="2"/>
      <c r="E840" s="2"/>
      <c r="F840" s="4"/>
      <c r="G840" s="2"/>
      <c r="H840" s="2"/>
      <c r="I840" s="2"/>
      <c r="J840" s="2"/>
      <c r="K840" s="5"/>
      <c r="L840" s="2"/>
      <c r="M840" s="2"/>
      <c r="N840" s="2"/>
      <c r="O840" s="2"/>
      <c r="P840" s="2"/>
      <c r="Q840" s="2"/>
      <c r="R840" s="7"/>
      <c r="S840" s="224"/>
      <c r="T840" s="224"/>
      <c r="U840" s="224"/>
      <c r="V840" s="224"/>
    </row>
    <row r="841">
      <c r="A841" s="33"/>
      <c r="B841" s="2"/>
      <c r="C841" s="2"/>
      <c r="D841" s="2"/>
      <c r="E841" s="2"/>
      <c r="F841" s="4"/>
      <c r="G841" s="2"/>
      <c r="H841" s="2"/>
      <c r="I841" s="2"/>
      <c r="J841" s="2"/>
      <c r="K841" s="5"/>
      <c r="L841" s="2"/>
      <c r="M841" s="2"/>
      <c r="N841" s="2"/>
      <c r="O841" s="2"/>
      <c r="P841" s="2"/>
      <c r="Q841" s="2"/>
      <c r="R841" s="7"/>
      <c r="S841" s="224"/>
      <c r="T841" s="224"/>
      <c r="U841" s="224"/>
      <c r="V841" s="224"/>
    </row>
    <row r="842">
      <c r="A842" s="33"/>
      <c r="B842" s="2"/>
      <c r="C842" s="2"/>
      <c r="D842" s="2"/>
      <c r="E842" s="2"/>
      <c r="F842" s="4"/>
      <c r="G842" s="2"/>
      <c r="H842" s="2"/>
      <c r="I842" s="2"/>
      <c r="J842" s="2"/>
      <c r="K842" s="5"/>
      <c r="L842" s="2"/>
      <c r="M842" s="2"/>
      <c r="N842" s="2"/>
      <c r="O842" s="2"/>
      <c r="P842" s="2"/>
      <c r="Q842" s="2"/>
      <c r="R842" s="7"/>
      <c r="S842" s="224"/>
      <c r="T842" s="224"/>
      <c r="U842" s="224"/>
      <c r="V842" s="224"/>
    </row>
    <row r="843">
      <c r="A843" s="33"/>
      <c r="B843" s="2"/>
      <c r="C843" s="2"/>
      <c r="D843" s="2"/>
      <c r="E843" s="2"/>
      <c r="F843" s="4"/>
      <c r="G843" s="2"/>
      <c r="H843" s="2"/>
      <c r="I843" s="2"/>
      <c r="J843" s="2"/>
      <c r="K843" s="5"/>
      <c r="L843" s="2"/>
      <c r="M843" s="2"/>
      <c r="N843" s="2"/>
      <c r="O843" s="2"/>
      <c r="P843" s="2"/>
      <c r="Q843" s="2"/>
      <c r="R843" s="7"/>
      <c r="S843" s="224"/>
      <c r="T843" s="224"/>
      <c r="U843" s="224"/>
      <c r="V843" s="224"/>
    </row>
    <row r="844">
      <c r="A844" s="33"/>
      <c r="B844" s="2"/>
      <c r="C844" s="2"/>
      <c r="D844" s="2"/>
      <c r="E844" s="2"/>
      <c r="F844" s="4"/>
      <c r="G844" s="2"/>
      <c r="H844" s="2"/>
      <c r="I844" s="2"/>
      <c r="J844" s="2"/>
      <c r="K844" s="5"/>
      <c r="L844" s="2"/>
      <c r="M844" s="2"/>
      <c r="N844" s="2"/>
      <c r="O844" s="2"/>
      <c r="P844" s="2"/>
      <c r="Q844" s="2"/>
      <c r="R844" s="7"/>
      <c r="S844" s="224"/>
      <c r="T844" s="224"/>
      <c r="U844" s="224"/>
      <c r="V844" s="224"/>
    </row>
    <row r="845">
      <c r="A845" s="33"/>
      <c r="B845" s="2"/>
      <c r="C845" s="2"/>
      <c r="D845" s="2"/>
      <c r="E845" s="2"/>
      <c r="F845" s="4"/>
      <c r="G845" s="2"/>
      <c r="H845" s="2"/>
      <c r="I845" s="2"/>
      <c r="J845" s="2"/>
      <c r="K845" s="5"/>
      <c r="L845" s="2"/>
      <c r="M845" s="2"/>
      <c r="N845" s="2"/>
      <c r="O845" s="2"/>
      <c r="P845" s="2"/>
      <c r="Q845" s="2"/>
      <c r="R845" s="7"/>
      <c r="S845" s="224"/>
      <c r="T845" s="224"/>
      <c r="U845" s="224"/>
      <c r="V845" s="224"/>
    </row>
    <row r="846">
      <c r="A846" s="33"/>
      <c r="B846" s="2"/>
      <c r="C846" s="2"/>
      <c r="D846" s="2"/>
      <c r="E846" s="2"/>
      <c r="F846" s="4"/>
      <c r="G846" s="2"/>
      <c r="H846" s="2"/>
      <c r="I846" s="2"/>
      <c r="J846" s="2"/>
      <c r="K846" s="5"/>
      <c r="L846" s="2"/>
      <c r="M846" s="2"/>
      <c r="N846" s="2"/>
      <c r="O846" s="2"/>
      <c r="P846" s="2"/>
      <c r="Q846" s="2"/>
      <c r="R846" s="7"/>
      <c r="S846" s="224"/>
      <c r="T846" s="224"/>
      <c r="U846" s="224"/>
      <c r="V846" s="224"/>
    </row>
    <row r="847">
      <c r="A847" s="33"/>
      <c r="B847" s="2"/>
      <c r="C847" s="2"/>
      <c r="D847" s="2"/>
      <c r="E847" s="2"/>
      <c r="F847" s="4"/>
      <c r="G847" s="2"/>
      <c r="H847" s="2"/>
      <c r="I847" s="2"/>
      <c r="J847" s="2"/>
      <c r="K847" s="5"/>
      <c r="L847" s="2"/>
      <c r="M847" s="2"/>
      <c r="N847" s="2"/>
      <c r="O847" s="2"/>
      <c r="P847" s="2"/>
      <c r="Q847" s="2"/>
      <c r="R847" s="7"/>
      <c r="S847" s="224"/>
      <c r="T847" s="224"/>
      <c r="U847" s="224"/>
      <c r="V847" s="224"/>
    </row>
    <row r="848">
      <c r="A848" s="33"/>
      <c r="B848" s="2"/>
      <c r="C848" s="2"/>
      <c r="D848" s="2"/>
      <c r="E848" s="2"/>
      <c r="F848" s="4"/>
      <c r="G848" s="2"/>
      <c r="H848" s="2"/>
      <c r="I848" s="2"/>
      <c r="J848" s="2"/>
      <c r="K848" s="5"/>
      <c r="L848" s="2"/>
      <c r="M848" s="2"/>
      <c r="N848" s="2"/>
      <c r="O848" s="2"/>
      <c r="P848" s="2"/>
      <c r="Q848" s="2"/>
      <c r="R848" s="7"/>
      <c r="S848" s="224"/>
      <c r="T848" s="224"/>
      <c r="U848" s="224"/>
      <c r="V848" s="224"/>
    </row>
    <row r="849">
      <c r="A849" s="33"/>
      <c r="B849" s="2"/>
      <c r="C849" s="2"/>
      <c r="D849" s="2"/>
      <c r="E849" s="2"/>
      <c r="F849" s="4"/>
      <c r="G849" s="2"/>
      <c r="H849" s="2"/>
      <c r="I849" s="2"/>
      <c r="J849" s="2"/>
      <c r="K849" s="5"/>
      <c r="L849" s="2"/>
      <c r="M849" s="2"/>
      <c r="N849" s="2"/>
      <c r="O849" s="2"/>
      <c r="P849" s="2"/>
      <c r="Q849" s="2"/>
      <c r="R849" s="7"/>
      <c r="S849" s="224"/>
      <c r="T849" s="224"/>
      <c r="U849" s="224"/>
      <c r="V849" s="224"/>
    </row>
    <row r="850">
      <c r="A850" s="33"/>
      <c r="B850" s="2"/>
      <c r="C850" s="2"/>
      <c r="D850" s="2"/>
      <c r="E850" s="2"/>
      <c r="F850" s="4"/>
      <c r="G850" s="2"/>
      <c r="H850" s="2"/>
      <c r="I850" s="2"/>
      <c r="J850" s="2"/>
      <c r="K850" s="5"/>
      <c r="L850" s="2"/>
      <c r="M850" s="2"/>
      <c r="N850" s="2"/>
      <c r="O850" s="2"/>
      <c r="P850" s="2"/>
      <c r="Q850" s="2"/>
      <c r="R850" s="7"/>
      <c r="S850" s="224"/>
      <c r="T850" s="224"/>
      <c r="U850" s="224"/>
      <c r="V850" s="224"/>
    </row>
    <row r="851">
      <c r="A851" s="33"/>
      <c r="B851" s="2"/>
      <c r="C851" s="2"/>
      <c r="D851" s="2"/>
      <c r="E851" s="2"/>
      <c r="F851" s="4"/>
      <c r="G851" s="2"/>
      <c r="H851" s="2"/>
      <c r="I851" s="2"/>
      <c r="J851" s="2"/>
      <c r="K851" s="5"/>
      <c r="L851" s="2"/>
      <c r="M851" s="2"/>
      <c r="N851" s="2"/>
      <c r="O851" s="2"/>
      <c r="P851" s="2"/>
      <c r="Q851" s="2"/>
      <c r="R851" s="7"/>
      <c r="S851" s="224"/>
      <c r="T851" s="224"/>
      <c r="U851" s="224"/>
      <c r="V851" s="224"/>
    </row>
    <row r="852">
      <c r="A852" s="33"/>
      <c r="B852" s="2"/>
      <c r="C852" s="2"/>
      <c r="D852" s="2"/>
      <c r="E852" s="2"/>
      <c r="F852" s="4"/>
      <c r="G852" s="2"/>
      <c r="H852" s="2"/>
      <c r="I852" s="2"/>
      <c r="J852" s="2"/>
      <c r="K852" s="5"/>
      <c r="L852" s="2"/>
      <c r="M852" s="2"/>
      <c r="N852" s="2"/>
      <c r="O852" s="2"/>
      <c r="P852" s="2"/>
      <c r="Q852" s="2"/>
      <c r="R852" s="7"/>
      <c r="S852" s="224"/>
      <c r="T852" s="224"/>
      <c r="U852" s="224"/>
      <c r="V852" s="224"/>
    </row>
    <row r="853">
      <c r="A853" s="33"/>
      <c r="B853" s="2"/>
      <c r="C853" s="2"/>
      <c r="D853" s="2"/>
      <c r="E853" s="2"/>
      <c r="F853" s="4"/>
      <c r="G853" s="2"/>
      <c r="H853" s="2"/>
      <c r="I853" s="2"/>
      <c r="J853" s="2"/>
      <c r="K853" s="5"/>
      <c r="L853" s="2"/>
      <c r="M853" s="2"/>
      <c r="N853" s="2"/>
      <c r="O853" s="2"/>
      <c r="P853" s="2"/>
      <c r="Q853" s="2"/>
      <c r="R853" s="7"/>
      <c r="S853" s="224"/>
      <c r="T853" s="224"/>
      <c r="U853" s="224"/>
      <c r="V853" s="224"/>
    </row>
    <row r="854">
      <c r="A854" s="33"/>
      <c r="B854" s="2"/>
      <c r="C854" s="2"/>
      <c r="D854" s="2"/>
      <c r="E854" s="2"/>
      <c r="F854" s="4"/>
      <c r="G854" s="2"/>
      <c r="H854" s="2"/>
      <c r="I854" s="2"/>
      <c r="J854" s="2"/>
      <c r="K854" s="5"/>
      <c r="L854" s="2"/>
      <c r="M854" s="2"/>
      <c r="N854" s="2"/>
      <c r="O854" s="2"/>
      <c r="P854" s="2"/>
      <c r="Q854" s="2"/>
      <c r="R854" s="7"/>
      <c r="S854" s="224"/>
      <c r="T854" s="224"/>
      <c r="U854" s="224"/>
      <c r="V854" s="224"/>
    </row>
    <row r="855">
      <c r="A855" s="33"/>
      <c r="B855" s="2"/>
      <c r="C855" s="2"/>
      <c r="D855" s="2"/>
      <c r="E855" s="2"/>
      <c r="F855" s="4"/>
      <c r="G855" s="2"/>
      <c r="H855" s="2"/>
      <c r="I855" s="2"/>
      <c r="J855" s="2"/>
      <c r="K855" s="5"/>
      <c r="L855" s="2"/>
      <c r="M855" s="2"/>
      <c r="N855" s="2"/>
      <c r="O855" s="2"/>
      <c r="P855" s="2"/>
      <c r="Q855" s="2"/>
      <c r="R855" s="7"/>
      <c r="S855" s="224"/>
      <c r="T855" s="224"/>
      <c r="U855" s="224"/>
      <c r="V855" s="224"/>
    </row>
    <row r="856">
      <c r="A856" s="33"/>
      <c r="B856" s="2"/>
      <c r="C856" s="2"/>
      <c r="D856" s="2"/>
      <c r="E856" s="2"/>
      <c r="F856" s="4"/>
      <c r="G856" s="2"/>
      <c r="H856" s="2"/>
      <c r="I856" s="2"/>
      <c r="J856" s="2"/>
      <c r="K856" s="5"/>
      <c r="L856" s="2"/>
      <c r="M856" s="2"/>
      <c r="N856" s="2"/>
      <c r="O856" s="2"/>
      <c r="P856" s="2"/>
      <c r="Q856" s="2"/>
      <c r="R856" s="7"/>
      <c r="S856" s="224"/>
      <c r="T856" s="224"/>
      <c r="U856" s="224"/>
      <c r="V856" s="224"/>
    </row>
    <row r="857">
      <c r="A857" s="33"/>
      <c r="B857" s="2"/>
      <c r="C857" s="2"/>
      <c r="D857" s="2"/>
      <c r="E857" s="2"/>
      <c r="F857" s="4"/>
      <c r="G857" s="2"/>
      <c r="H857" s="2"/>
      <c r="I857" s="2"/>
      <c r="J857" s="2"/>
      <c r="K857" s="5"/>
      <c r="L857" s="2"/>
      <c r="M857" s="2"/>
      <c r="N857" s="2"/>
      <c r="O857" s="2"/>
      <c r="P857" s="2"/>
      <c r="Q857" s="2"/>
      <c r="R857" s="7"/>
      <c r="S857" s="224"/>
      <c r="T857" s="224"/>
      <c r="U857" s="224"/>
      <c r="V857" s="224"/>
    </row>
    <row r="858">
      <c r="A858" s="33"/>
      <c r="B858" s="2"/>
      <c r="C858" s="2"/>
      <c r="D858" s="2"/>
      <c r="E858" s="2"/>
      <c r="F858" s="4"/>
      <c r="G858" s="2"/>
      <c r="H858" s="2"/>
      <c r="I858" s="2"/>
      <c r="J858" s="2"/>
      <c r="K858" s="5"/>
      <c r="L858" s="2"/>
      <c r="M858" s="2"/>
      <c r="N858" s="2"/>
      <c r="O858" s="2"/>
      <c r="P858" s="2"/>
      <c r="Q858" s="2"/>
      <c r="R858" s="7"/>
      <c r="S858" s="224"/>
      <c r="T858" s="224"/>
      <c r="U858" s="224"/>
      <c r="V858" s="224"/>
    </row>
    <row r="859">
      <c r="A859" s="33"/>
      <c r="B859" s="2"/>
      <c r="C859" s="2"/>
      <c r="D859" s="2"/>
      <c r="E859" s="2"/>
      <c r="F859" s="4"/>
      <c r="G859" s="2"/>
      <c r="H859" s="2"/>
      <c r="I859" s="2"/>
      <c r="J859" s="2"/>
      <c r="K859" s="5"/>
      <c r="L859" s="2"/>
      <c r="M859" s="2"/>
      <c r="N859" s="2"/>
      <c r="O859" s="2"/>
      <c r="P859" s="2"/>
      <c r="Q859" s="2"/>
      <c r="R859" s="7"/>
      <c r="S859" s="224"/>
      <c r="T859" s="224"/>
      <c r="U859" s="224"/>
      <c r="V859" s="224"/>
    </row>
    <row r="860">
      <c r="A860" s="33"/>
      <c r="B860" s="2"/>
      <c r="C860" s="2"/>
      <c r="D860" s="2"/>
      <c r="E860" s="2"/>
      <c r="F860" s="4"/>
      <c r="G860" s="2"/>
      <c r="H860" s="2"/>
      <c r="I860" s="2"/>
      <c r="J860" s="2"/>
      <c r="K860" s="5"/>
      <c r="L860" s="2"/>
      <c r="M860" s="2"/>
      <c r="N860" s="2"/>
      <c r="O860" s="2"/>
      <c r="P860" s="2"/>
      <c r="Q860" s="2"/>
      <c r="R860" s="7"/>
      <c r="S860" s="224"/>
      <c r="T860" s="224"/>
      <c r="U860" s="224"/>
      <c r="V860" s="224"/>
    </row>
    <row r="861">
      <c r="A861" s="33"/>
      <c r="B861" s="2"/>
      <c r="C861" s="2"/>
      <c r="D861" s="2"/>
      <c r="E861" s="2"/>
      <c r="F861" s="4"/>
      <c r="G861" s="2"/>
      <c r="H861" s="2"/>
      <c r="I861" s="2"/>
      <c r="J861" s="2"/>
      <c r="K861" s="5"/>
      <c r="L861" s="2"/>
      <c r="M861" s="2"/>
      <c r="N861" s="2"/>
      <c r="O861" s="2"/>
      <c r="P861" s="2"/>
      <c r="Q861" s="2"/>
      <c r="R861" s="7"/>
      <c r="S861" s="224"/>
      <c r="T861" s="224"/>
      <c r="U861" s="224"/>
      <c r="V861" s="224"/>
    </row>
    <row r="862">
      <c r="A862" s="33"/>
      <c r="B862" s="2"/>
      <c r="C862" s="2"/>
      <c r="D862" s="2"/>
      <c r="E862" s="2"/>
      <c r="F862" s="4"/>
      <c r="G862" s="2"/>
      <c r="H862" s="2"/>
      <c r="I862" s="2"/>
      <c r="J862" s="2"/>
      <c r="K862" s="5"/>
      <c r="L862" s="2"/>
      <c r="M862" s="2"/>
      <c r="N862" s="2"/>
      <c r="O862" s="2"/>
      <c r="P862" s="2"/>
      <c r="Q862" s="2"/>
      <c r="R862" s="7"/>
      <c r="S862" s="224"/>
      <c r="T862" s="224"/>
      <c r="U862" s="224"/>
      <c r="V862" s="224"/>
    </row>
    <row r="863">
      <c r="A863" s="33"/>
      <c r="B863" s="2"/>
      <c r="C863" s="2"/>
      <c r="D863" s="2"/>
      <c r="E863" s="2"/>
      <c r="F863" s="4"/>
      <c r="G863" s="2"/>
      <c r="H863" s="2"/>
      <c r="I863" s="2"/>
      <c r="J863" s="2"/>
      <c r="K863" s="5"/>
      <c r="L863" s="2"/>
      <c r="M863" s="2"/>
      <c r="N863" s="2"/>
      <c r="O863" s="2"/>
      <c r="P863" s="2"/>
      <c r="Q863" s="2"/>
      <c r="R863" s="7"/>
      <c r="S863" s="224"/>
      <c r="T863" s="224"/>
      <c r="U863" s="224"/>
      <c r="V863" s="224"/>
    </row>
    <row r="864">
      <c r="A864" s="33"/>
      <c r="B864" s="2"/>
      <c r="C864" s="2"/>
      <c r="D864" s="2"/>
      <c r="E864" s="2"/>
      <c r="F864" s="4"/>
      <c r="G864" s="2"/>
      <c r="H864" s="2"/>
      <c r="I864" s="2"/>
      <c r="J864" s="2"/>
      <c r="K864" s="5"/>
      <c r="L864" s="2"/>
      <c r="M864" s="2"/>
      <c r="N864" s="2"/>
      <c r="O864" s="2"/>
      <c r="P864" s="2"/>
      <c r="Q864" s="2"/>
      <c r="R864" s="7"/>
      <c r="S864" s="224"/>
      <c r="T864" s="224"/>
      <c r="U864" s="224"/>
      <c r="V864" s="224"/>
    </row>
    <row r="865">
      <c r="A865" s="33"/>
      <c r="B865" s="2"/>
      <c r="C865" s="2"/>
      <c r="D865" s="2"/>
      <c r="E865" s="2"/>
      <c r="F865" s="4"/>
      <c r="G865" s="2"/>
      <c r="H865" s="2"/>
      <c r="I865" s="2"/>
      <c r="J865" s="2"/>
      <c r="K865" s="5"/>
      <c r="L865" s="2"/>
      <c r="M865" s="2"/>
      <c r="N865" s="2"/>
      <c r="O865" s="2"/>
      <c r="P865" s="2"/>
      <c r="Q865" s="2"/>
      <c r="R865" s="7"/>
      <c r="S865" s="224"/>
      <c r="T865" s="224"/>
      <c r="U865" s="224"/>
      <c r="V865" s="224"/>
    </row>
    <row r="866">
      <c r="A866" s="33"/>
      <c r="B866" s="2"/>
      <c r="C866" s="2"/>
      <c r="D866" s="2"/>
      <c r="E866" s="2"/>
      <c r="F866" s="4"/>
      <c r="G866" s="2"/>
      <c r="H866" s="2"/>
      <c r="I866" s="2"/>
      <c r="J866" s="2"/>
      <c r="K866" s="5"/>
      <c r="L866" s="2"/>
      <c r="M866" s="2"/>
      <c r="N866" s="2"/>
      <c r="O866" s="2"/>
      <c r="P866" s="2"/>
      <c r="Q866" s="2"/>
      <c r="R866" s="7"/>
      <c r="S866" s="224"/>
      <c r="T866" s="224"/>
      <c r="U866" s="224"/>
      <c r="V866" s="224"/>
    </row>
    <row r="867">
      <c r="A867" s="33"/>
      <c r="B867" s="2"/>
      <c r="C867" s="2"/>
      <c r="D867" s="2"/>
      <c r="E867" s="2"/>
      <c r="F867" s="4"/>
      <c r="G867" s="2"/>
      <c r="H867" s="2"/>
      <c r="I867" s="2"/>
      <c r="J867" s="2"/>
      <c r="K867" s="5"/>
      <c r="L867" s="2"/>
      <c r="M867" s="2"/>
      <c r="N867" s="2"/>
      <c r="O867" s="2"/>
      <c r="P867" s="2"/>
      <c r="Q867" s="2"/>
      <c r="R867" s="7"/>
      <c r="S867" s="224"/>
      <c r="T867" s="224"/>
      <c r="U867" s="224"/>
      <c r="V867" s="224"/>
    </row>
    <row r="868">
      <c r="A868" s="33"/>
      <c r="B868" s="2"/>
      <c r="C868" s="2"/>
      <c r="D868" s="2"/>
      <c r="E868" s="2"/>
      <c r="F868" s="4"/>
      <c r="G868" s="2"/>
      <c r="H868" s="2"/>
      <c r="I868" s="2"/>
      <c r="J868" s="2"/>
      <c r="K868" s="5"/>
      <c r="L868" s="2"/>
      <c r="M868" s="2"/>
      <c r="N868" s="2"/>
      <c r="O868" s="2"/>
      <c r="P868" s="2"/>
      <c r="Q868" s="2"/>
      <c r="R868" s="7"/>
      <c r="S868" s="224"/>
      <c r="T868" s="224"/>
      <c r="U868" s="224"/>
      <c r="V868" s="224"/>
    </row>
    <row r="869">
      <c r="A869" s="33"/>
      <c r="B869" s="2"/>
      <c r="C869" s="2"/>
      <c r="D869" s="2"/>
      <c r="E869" s="2"/>
      <c r="F869" s="4"/>
      <c r="G869" s="2"/>
      <c r="H869" s="2"/>
      <c r="I869" s="2"/>
      <c r="J869" s="2"/>
      <c r="K869" s="5"/>
      <c r="L869" s="2"/>
      <c r="M869" s="2"/>
      <c r="N869" s="2"/>
      <c r="O869" s="2"/>
      <c r="P869" s="2"/>
      <c r="Q869" s="2"/>
      <c r="R869" s="7"/>
      <c r="S869" s="224"/>
      <c r="T869" s="224"/>
      <c r="U869" s="224"/>
      <c r="V869" s="224"/>
    </row>
    <row r="870">
      <c r="A870" s="33"/>
      <c r="B870" s="2"/>
      <c r="C870" s="2"/>
      <c r="D870" s="2"/>
      <c r="E870" s="2"/>
      <c r="F870" s="4"/>
      <c r="G870" s="2"/>
      <c r="H870" s="2"/>
      <c r="I870" s="2"/>
      <c r="J870" s="2"/>
      <c r="K870" s="5"/>
      <c r="L870" s="2"/>
      <c r="M870" s="2"/>
      <c r="N870" s="2"/>
      <c r="O870" s="2"/>
      <c r="P870" s="2"/>
      <c r="Q870" s="2"/>
      <c r="R870" s="7"/>
      <c r="S870" s="224"/>
      <c r="T870" s="224"/>
      <c r="U870" s="224"/>
      <c r="V870" s="224"/>
    </row>
    <row r="871">
      <c r="A871" s="33"/>
      <c r="B871" s="2"/>
      <c r="C871" s="2"/>
      <c r="D871" s="2"/>
      <c r="E871" s="2"/>
      <c r="F871" s="4"/>
      <c r="G871" s="2"/>
      <c r="H871" s="2"/>
      <c r="I871" s="2"/>
      <c r="J871" s="2"/>
      <c r="K871" s="5"/>
      <c r="L871" s="2"/>
      <c r="M871" s="2"/>
      <c r="N871" s="2"/>
      <c r="O871" s="2"/>
      <c r="P871" s="2"/>
      <c r="Q871" s="2"/>
      <c r="R871" s="7"/>
      <c r="S871" s="224"/>
      <c r="T871" s="224"/>
      <c r="U871" s="224"/>
      <c r="V871" s="224"/>
    </row>
    <row r="872">
      <c r="A872" s="33"/>
      <c r="B872" s="2"/>
      <c r="C872" s="2"/>
      <c r="D872" s="2"/>
      <c r="E872" s="2"/>
      <c r="F872" s="4"/>
      <c r="G872" s="2"/>
      <c r="H872" s="2"/>
      <c r="I872" s="2"/>
      <c r="J872" s="2"/>
      <c r="K872" s="5"/>
      <c r="L872" s="2"/>
      <c r="M872" s="2"/>
      <c r="N872" s="2"/>
      <c r="O872" s="2"/>
      <c r="P872" s="2"/>
      <c r="Q872" s="2"/>
      <c r="R872" s="7"/>
      <c r="S872" s="224"/>
      <c r="T872" s="224"/>
      <c r="U872" s="224"/>
      <c r="V872" s="224"/>
    </row>
    <row r="873">
      <c r="A873" s="33"/>
      <c r="B873" s="2"/>
      <c r="C873" s="2"/>
      <c r="D873" s="2"/>
      <c r="E873" s="2"/>
      <c r="F873" s="4"/>
      <c r="G873" s="2"/>
      <c r="H873" s="2"/>
      <c r="I873" s="2"/>
      <c r="J873" s="2"/>
      <c r="K873" s="5"/>
      <c r="L873" s="2"/>
      <c r="M873" s="2"/>
      <c r="N873" s="2"/>
      <c r="O873" s="2"/>
      <c r="P873" s="2"/>
      <c r="Q873" s="2"/>
      <c r="R873" s="7"/>
      <c r="S873" s="224"/>
      <c r="T873" s="224"/>
      <c r="U873" s="224"/>
      <c r="V873" s="224"/>
    </row>
    <row r="874">
      <c r="A874" s="33"/>
      <c r="B874" s="2"/>
      <c r="C874" s="2"/>
      <c r="D874" s="2"/>
      <c r="E874" s="2"/>
      <c r="F874" s="4"/>
      <c r="G874" s="2"/>
      <c r="H874" s="2"/>
      <c r="I874" s="2"/>
      <c r="J874" s="2"/>
      <c r="K874" s="5"/>
      <c r="L874" s="2"/>
      <c r="M874" s="2"/>
      <c r="N874" s="2"/>
      <c r="O874" s="2"/>
      <c r="P874" s="2"/>
      <c r="Q874" s="2"/>
      <c r="R874" s="7"/>
      <c r="S874" s="224"/>
      <c r="T874" s="224"/>
      <c r="U874" s="224"/>
      <c r="V874" s="224"/>
    </row>
    <row r="875">
      <c r="A875" s="33"/>
      <c r="B875" s="2"/>
      <c r="C875" s="2"/>
      <c r="D875" s="2"/>
      <c r="E875" s="2"/>
      <c r="F875" s="4"/>
      <c r="G875" s="2"/>
      <c r="H875" s="2"/>
      <c r="I875" s="2"/>
      <c r="J875" s="2"/>
      <c r="K875" s="5"/>
      <c r="L875" s="2"/>
      <c r="M875" s="2"/>
      <c r="N875" s="2"/>
      <c r="O875" s="2"/>
      <c r="P875" s="2"/>
      <c r="Q875" s="2"/>
      <c r="R875" s="7"/>
      <c r="S875" s="224"/>
      <c r="T875" s="224"/>
      <c r="U875" s="224"/>
      <c r="V875" s="224"/>
    </row>
    <row r="876">
      <c r="A876" s="33"/>
      <c r="B876" s="2"/>
      <c r="C876" s="2"/>
      <c r="D876" s="2"/>
      <c r="E876" s="2"/>
      <c r="F876" s="4"/>
      <c r="G876" s="2"/>
      <c r="H876" s="2"/>
      <c r="I876" s="2"/>
      <c r="J876" s="2"/>
      <c r="K876" s="5"/>
      <c r="L876" s="2"/>
      <c r="M876" s="2"/>
      <c r="N876" s="2"/>
      <c r="O876" s="2"/>
      <c r="P876" s="2"/>
      <c r="Q876" s="2"/>
      <c r="R876" s="7"/>
      <c r="S876" s="224"/>
      <c r="T876" s="224"/>
      <c r="U876" s="224"/>
      <c r="V876" s="224"/>
    </row>
    <row r="877">
      <c r="A877" s="33"/>
      <c r="B877" s="2"/>
      <c r="C877" s="2"/>
      <c r="D877" s="2"/>
      <c r="E877" s="2"/>
      <c r="F877" s="4"/>
      <c r="G877" s="2"/>
      <c r="H877" s="2"/>
      <c r="I877" s="2"/>
      <c r="J877" s="2"/>
      <c r="K877" s="5"/>
      <c r="L877" s="2"/>
      <c r="M877" s="2"/>
      <c r="N877" s="2"/>
      <c r="O877" s="2"/>
      <c r="P877" s="2"/>
      <c r="Q877" s="2"/>
      <c r="R877" s="7"/>
      <c r="S877" s="224"/>
      <c r="T877" s="224"/>
      <c r="U877" s="224"/>
      <c r="V877" s="224"/>
    </row>
    <row r="878">
      <c r="A878" s="33"/>
      <c r="B878" s="2"/>
      <c r="C878" s="2"/>
      <c r="D878" s="2"/>
      <c r="E878" s="2"/>
      <c r="F878" s="4"/>
      <c r="G878" s="2"/>
      <c r="H878" s="2"/>
      <c r="I878" s="2"/>
      <c r="J878" s="2"/>
      <c r="K878" s="5"/>
      <c r="L878" s="2"/>
      <c r="M878" s="2"/>
      <c r="N878" s="2"/>
      <c r="O878" s="2"/>
      <c r="P878" s="2"/>
      <c r="Q878" s="2"/>
      <c r="R878" s="7"/>
      <c r="S878" s="224"/>
      <c r="T878" s="224"/>
      <c r="U878" s="224"/>
      <c r="V878" s="224"/>
    </row>
    <row r="879">
      <c r="A879" s="33"/>
      <c r="B879" s="2"/>
      <c r="C879" s="2"/>
      <c r="D879" s="2"/>
      <c r="E879" s="2"/>
      <c r="F879" s="4"/>
      <c r="G879" s="2"/>
      <c r="H879" s="2"/>
      <c r="I879" s="2"/>
      <c r="J879" s="2"/>
      <c r="K879" s="5"/>
      <c r="L879" s="2"/>
      <c r="M879" s="2"/>
      <c r="N879" s="2"/>
      <c r="O879" s="2"/>
      <c r="P879" s="2"/>
      <c r="Q879" s="2"/>
      <c r="R879" s="7"/>
      <c r="S879" s="224"/>
      <c r="T879" s="224"/>
      <c r="U879" s="224"/>
      <c r="V879" s="224"/>
    </row>
    <row r="880">
      <c r="A880" s="33"/>
      <c r="B880" s="2"/>
      <c r="C880" s="2"/>
      <c r="D880" s="2"/>
      <c r="E880" s="2"/>
      <c r="F880" s="4"/>
      <c r="G880" s="2"/>
      <c r="H880" s="2"/>
      <c r="I880" s="2"/>
      <c r="J880" s="2"/>
      <c r="K880" s="5"/>
      <c r="L880" s="2"/>
      <c r="M880" s="2"/>
      <c r="N880" s="2"/>
      <c r="O880" s="2"/>
      <c r="P880" s="2"/>
      <c r="Q880" s="2"/>
      <c r="R880" s="7"/>
      <c r="S880" s="224"/>
      <c r="T880" s="224"/>
      <c r="U880" s="224"/>
      <c r="V880" s="224"/>
    </row>
    <row r="881">
      <c r="A881" s="33"/>
      <c r="B881" s="2"/>
      <c r="C881" s="2"/>
      <c r="D881" s="2"/>
      <c r="E881" s="2"/>
      <c r="F881" s="4"/>
      <c r="G881" s="2"/>
      <c r="H881" s="2"/>
      <c r="I881" s="2"/>
      <c r="J881" s="2"/>
      <c r="K881" s="5"/>
      <c r="L881" s="2"/>
      <c r="M881" s="2"/>
      <c r="N881" s="2"/>
      <c r="O881" s="2"/>
      <c r="P881" s="2"/>
      <c r="Q881" s="2"/>
      <c r="R881" s="7"/>
      <c r="S881" s="224"/>
      <c r="T881" s="224"/>
      <c r="U881" s="224"/>
      <c r="V881" s="224"/>
    </row>
    <row r="882">
      <c r="A882" s="33"/>
      <c r="B882" s="2"/>
      <c r="C882" s="2"/>
      <c r="D882" s="2"/>
      <c r="E882" s="2"/>
      <c r="F882" s="4"/>
      <c r="G882" s="2"/>
      <c r="H882" s="2"/>
      <c r="I882" s="2"/>
      <c r="J882" s="2"/>
      <c r="K882" s="5"/>
      <c r="L882" s="2"/>
      <c r="M882" s="2"/>
      <c r="N882" s="2"/>
      <c r="O882" s="2"/>
      <c r="P882" s="2"/>
      <c r="Q882" s="2"/>
      <c r="R882" s="7"/>
      <c r="S882" s="224"/>
      <c r="T882" s="224"/>
      <c r="U882" s="224"/>
      <c r="V882" s="224"/>
    </row>
    <row r="883">
      <c r="A883" s="33"/>
      <c r="B883" s="2"/>
      <c r="C883" s="2"/>
      <c r="D883" s="2"/>
      <c r="E883" s="2"/>
      <c r="F883" s="4"/>
      <c r="G883" s="2"/>
      <c r="H883" s="2"/>
      <c r="I883" s="2"/>
      <c r="J883" s="2"/>
      <c r="K883" s="5"/>
      <c r="L883" s="2"/>
      <c r="M883" s="2"/>
      <c r="N883" s="2"/>
      <c r="O883" s="2"/>
      <c r="P883" s="2"/>
      <c r="Q883" s="2"/>
      <c r="R883" s="7"/>
      <c r="S883" s="224"/>
      <c r="T883" s="224"/>
      <c r="U883" s="224"/>
      <c r="V883" s="224"/>
    </row>
    <row r="884">
      <c r="A884" s="33"/>
      <c r="B884" s="2"/>
      <c r="C884" s="2"/>
      <c r="D884" s="2"/>
      <c r="E884" s="2"/>
      <c r="F884" s="4"/>
      <c r="G884" s="2"/>
      <c r="H884" s="2"/>
      <c r="I884" s="2"/>
      <c r="J884" s="2"/>
      <c r="K884" s="5"/>
      <c r="L884" s="2"/>
      <c r="M884" s="2"/>
      <c r="N884" s="2"/>
      <c r="O884" s="2"/>
      <c r="P884" s="2"/>
      <c r="Q884" s="2"/>
      <c r="R884" s="7"/>
      <c r="S884" s="224"/>
      <c r="T884" s="224"/>
      <c r="U884" s="224"/>
      <c r="V884" s="224"/>
    </row>
    <row r="885">
      <c r="A885" s="33"/>
      <c r="B885" s="2"/>
      <c r="C885" s="2"/>
      <c r="D885" s="2"/>
      <c r="E885" s="2"/>
      <c r="F885" s="4"/>
      <c r="G885" s="2"/>
      <c r="H885" s="2"/>
      <c r="I885" s="2"/>
      <c r="J885" s="2"/>
      <c r="K885" s="5"/>
      <c r="L885" s="2"/>
      <c r="M885" s="2"/>
      <c r="N885" s="2"/>
      <c r="O885" s="2"/>
      <c r="P885" s="2"/>
      <c r="Q885" s="2"/>
      <c r="R885" s="7"/>
      <c r="S885" s="224"/>
      <c r="T885" s="224"/>
      <c r="U885" s="224"/>
      <c r="V885" s="224"/>
    </row>
    <row r="886">
      <c r="A886" s="33"/>
      <c r="B886" s="2"/>
      <c r="C886" s="2"/>
      <c r="D886" s="2"/>
      <c r="E886" s="2"/>
      <c r="F886" s="4"/>
      <c r="G886" s="2"/>
      <c r="H886" s="2"/>
      <c r="I886" s="2"/>
      <c r="J886" s="2"/>
      <c r="K886" s="5"/>
      <c r="L886" s="2"/>
      <c r="M886" s="2"/>
      <c r="N886" s="2"/>
      <c r="O886" s="2"/>
      <c r="P886" s="2"/>
      <c r="Q886" s="2"/>
      <c r="R886" s="7"/>
      <c r="S886" s="224"/>
      <c r="T886" s="224"/>
      <c r="U886" s="224"/>
      <c r="V886" s="224"/>
    </row>
    <row r="887">
      <c r="A887" s="33"/>
      <c r="B887" s="2"/>
      <c r="C887" s="2"/>
      <c r="D887" s="2"/>
      <c r="E887" s="2"/>
      <c r="F887" s="4"/>
      <c r="G887" s="2"/>
      <c r="H887" s="2"/>
      <c r="I887" s="2"/>
      <c r="J887" s="2"/>
      <c r="K887" s="5"/>
      <c r="L887" s="2"/>
      <c r="M887" s="2"/>
      <c r="N887" s="2"/>
      <c r="O887" s="2"/>
      <c r="P887" s="2"/>
      <c r="Q887" s="2"/>
      <c r="R887" s="7"/>
      <c r="S887" s="224"/>
      <c r="T887" s="224"/>
      <c r="U887" s="224"/>
      <c r="V887" s="224"/>
    </row>
    <row r="888">
      <c r="A888" s="33"/>
      <c r="B888" s="2"/>
      <c r="C888" s="2"/>
      <c r="D888" s="2"/>
      <c r="E888" s="2"/>
      <c r="F888" s="4"/>
      <c r="G888" s="2"/>
      <c r="H888" s="2"/>
      <c r="I888" s="2"/>
      <c r="J888" s="2"/>
      <c r="K888" s="5"/>
      <c r="L888" s="2"/>
      <c r="M888" s="2"/>
      <c r="N888" s="2"/>
      <c r="O888" s="2"/>
      <c r="P888" s="2"/>
      <c r="Q888" s="2"/>
      <c r="R888" s="7"/>
      <c r="S888" s="224"/>
      <c r="T888" s="224"/>
      <c r="U888" s="224"/>
      <c r="V888" s="224"/>
    </row>
    <row r="889">
      <c r="A889" s="33"/>
      <c r="B889" s="2"/>
      <c r="C889" s="2"/>
      <c r="D889" s="2"/>
      <c r="E889" s="2"/>
      <c r="F889" s="4"/>
      <c r="G889" s="2"/>
      <c r="H889" s="2"/>
      <c r="I889" s="2"/>
      <c r="J889" s="2"/>
      <c r="K889" s="5"/>
      <c r="L889" s="2"/>
      <c r="M889" s="2"/>
      <c r="N889" s="2"/>
      <c r="O889" s="2"/>
      <c r="P889" s="2"/>
      <c r="Q889" s="2"/>
      <c r="R889" s="7"/>
      <c r="S889" s="224"/>
      <c r="T889" s="224"/>
      <c r="U889" s="224"/>
      <c r="V889" s="224"/>
    </row>
    <row r="890">
      <c r="A890" s="33"/>
      <c r="B890" s="2"/>
      <c r="C890" s="2"/>
      <c r="D890" s="2"/>
      <c r="E890" s="2"/>
      <c r="F890" s="4"/>
      <c r="G890" s="2"/>
      <c r="H890" s="2"/>
      <c r="I890" s="2"/>
      <c r="J890" s="2"/>
      <c r="K890" s="5"/>
      <c r="L890" s="2"/>
      <c r="M890" s="2"/>
      <c r="N890" s="2"/>
      <c r="O890" s="2"/>
      <c r="P890" s="2"/>
      <c r="Q890" s="2"/>
      <c r="R890" s="7"/>
      <c r="S890" s="224"/>
      <c r="T890" s="224"/>
      <c r="U890" s="224"/>
      <c r="V890" s="224"/>
    </row>
    <row r="891">
      <c r="A891" s="33"/>
      <c r="B891" s="2"/>
      <c r="C891" s="2"/>
      <c r="D891" s="2"/>
      <c r="E891" s="2"/>
      <c r="F891" s="4"/>
      <c r="G891" s="2"/>
      <c r="H891" s="2"/>
      <c r="I891" s="2"/>
      <c r="J891" s="2"/>
      <c r="K891" s="5"/>
      <c r="L891" s="2"/>
      <c r="M891" s="2"/>
      <c r="N891" s="2"/>
      <c r="O891" s="2"/>
      <c r="P891" s="2"/>
      <c r="Q891" s="2"/>
      <c r="R891" s="7"/>
      <c r="S891" s="224"/>
      <c r="T891" s="224"/>
      <c r="U891" s="224"/>
      <c r="V891" s="224"/>
    </row>
    <row r="892">
      <c r="A892" s="33"/>
      <c r="B892" s="2"/>
      <c r="C892" s="2"/>
      <c r="D892" s="2"/>
      <c r="E892" s="2"/>
      <c r="F892" s="4"/>
      <c r="G892" s="2"/>
      <c r="H892" s="2"/>
      <c r="I892" s="2"/>
      <c r="J892" s="2"/>
      <c r="K892" s="5"/>
      <c r="L892" s="2"/>
      <c r="M892" s="2"/>
      <c r="N892" s="2"/>
      <c r="O892" s="2"/>
      <c r="P892" s="2"/>
      <c r="Q892" s="2"/>
      <c r="R892" s="7"/>
      <c r="S892" s="224"/>
      <c r="T892" s="224"/>
      <c r="U892" s="224"/>
      <c r="V892" s="224"/>
    </row>
    <row r="893">
      <c r="A893" s="33"/>
      <c r="B893" s="2"/>
      <c r="C893" s="2"/>
      <c r="D893" s="2"/>
      <c r="E893" s="2"/>
      <c r="F893" s="4"/>
      <c r="G893" s="2"/>
      <c r="H893" s="2"/>
      <c r="I893" s="2"/>
      <c r="J893" s="2"/>
      <c r="K893" s="5"/>
      <c r="L893" s="2"/>
      <c r="M893" s="2"/>
      <c r="N893" s="2"/>
      <c r="O893" s="2"/>
      <c r="P893" s="2"/>
      <c r="Q893" s="2"/>
      <c r="R893" s="7"/>
      <c r="S893" s="224"/>
      <c r="T893" s="224"/>
      <c r="U893" s="224"/>
      <c r="V893" s="224"/>
    </row>
    <row r="894">
      <c r="A894" s="33"/>
      <c r="B894" s="2"/>
      <c r="C894" s="2"/>
      <c r="D894" s="2"/>
      <c r="E894" s="2"/>
      <c r="F894" s="4"/>
      <c r="G894" s="2"/>
      <c r="H894" s="2"/>
      <c r="I894" s="2"/>
      <c r="J894" s="2"/>
      <c r="K894" s="5"/>
      <c r="L894" s="2"/>
      <c r="M894" s="2"/>
      <c r="N894" s="2"/>
      <c r="O894" s="2"/>
      <c r="P894" s="2"/>
      <c r="Q894" s="2"/>
      <c r="R894" s="7"/>
      <c r="S894" s="224"/>
      <c r="T894" s="224"/>
      <c r="U894" s="224"/>
      <c r="V894" s="224"/>
    </row>
    <row r="895">
      <c r="A895" s="33"/>
      <c r="B895" s="2"/>
      <c r="C895" s="2"/>
      <c r="D895" s="2"/>
      <c r="E895" s="2"/>
      <c r="F895" s="4"/>
      <c r="G895" s="2"/>
      <c r="H895" s="2"/>
      <c r="I895" s="2"/>
      <c r="J895" s="2"/>
      <c r="K895" s="5"/>
      <c r="L895" s="2"/>
      <c r="M895" s="2"/>
      <c r="N895" s="2"/>
      <c r="O895" s="2"/>
      <c r="P895" s="2"/>
      <c r="Q895" s="2"/>
      <c r="R895" s="7"/>
      <c r="S895" s="224"/>
      <c r="T895" s="224"/>
      <c r="U895" s="224"/>
      <c r="V895" s="224"/>
    </row>
    <row r="896">
      <c r="A896" s="33"/>
      <c r="B896" s="2"/>
      <c r="C896" s="2"/>
      <c r="D896" s="2"/>
      <c r="E896" s="2"/>
      <c r="F896" s="4"/>
      <c r="G896" s="2"/>
      <c r="H896" s="2"/>
      <c r="I896" s="2"/>
      <c r="J896" s="2"/>
      <c r="K896" s="5"/>
      <c r="L896" s="2"/>
      <c r="M896" s="2"/>
      <c r="N896" s="2"/>
      <c r="O896" s="2"/>
      <c r="P896" s="2"/>
      <c r="Q896" s="2"/>
      <c r="R896" s="7"/>
      <c r="S896" s="224"/>
      <c r="T896" s="224"/>
      <c r="U896" s="224"/>
      <c r="V896" s="224"/>
    </row>
    <row r="897">
      <c r="A897" s="33"/>
      <c r="B897" s="2"/>
      <c r="C897" s="2"/>
      <c r="D897" s="2"/>
      <c r="E897" s="2"/>
      <c r="F897" s="4"/>
      <c r="G897" s="2"/>
      <c r="H897" s="2"/>
      <c r="I897" s="2"/>
      <c r="J897" s="2"/>
      <c r="K897" s="5"/>
      <c r="L897" s="2"/>
      <c r="M897" s="2"/>
      <c r="N897" s="2"/>
      <c r="O897" s="2"/>
      <c r="P897" s="2"/>
      <c r="Q897" s="2"/>
      <c r="R897" s="7"/>
      <c r="S897" s="224"/>
      <c r="T897" s="224"/>
      <c r="U897" s="224"/>
      <c r="V897" s="224"/>
    </row>
    <row r="898">
      <c r="A898" s="33"/>
      <c r="B898" s="2"/>
      <c r="C898" s="2"/>
      <c r="D898" s="2"/>
      <c r="E898" s="2"/>
      <c r="F898" s="4"/>
      <c r="G898" s="2"/>
      <c r="H898" s="2"/>
      <c r="I898" s="2"/>
      <c r="J898" s="2"/>
      <c r="K898" s="5"/>
      <c r="L898" s="2"/>
      <c r="M898" s="2"/>
      <c r="N898" s="2"/>
      <c r="O898" s="2"/>
      <c r="P898" s="2"/>
      <c r="Q898" s="2"/>
      <c r="R898" s="7"/>
      <c r="S898" s="224"/>
      <c r="T898" s="224"/>
      <c r="U898" s="224"/>
      <c r="V898" s="224"/>
    </row>
    <row r="899">
      <c r="A899" s="33"/>
      <c r="B899" s="2"/>
      <c r="C899" s="2"/>
      <c r="D899" s="2"/>
      <c r="E899" s="2"/>
      <c r="F899" s="4"/>
      <c r="G899" s="2"/>
      <c r="H899" s="2"/>
      <c r="I899" s="2"/>
      <c r="J899" s="2"/>
      <c r="K899" s="5"/>
      <c r="L899" s="2"/>
      <c r="M899" s="2"/>
      <c r="N899" s="2"/>
      <c r="O899" s="2"/>
      <c r="P899" s="2"/>
      <c r="Q899" s="2"/>
      <c r="R899" s="7"/>
      <c r="S899" s="224"/>
      <c r="T899" s="224"/>
      <c r="U899" s="224"/>
      <c r="V899" s="224"/>
    </row>
    <row r="900">
      <c r="A900" s="33"/>
      <c r="B900" s="2"/>
      <c r="C900" s="2"/>
      <c r="D900" s="2"/>
      <c r="E900" s="2"/>
      <c r="F900" s="4"/>
      <c r="G900" s="2"/>
      <c r="H900" s="2"/>
      <c r="I900" s="2"/>
      <c r="J900" s="2"/>
      <c r="K900" s="5"/>
      <c r="L900" s="2"/>
      <c r="M900" s="2"/>
      <c r="N900" s="2"/>
      <c r="O900" s="2"/>
      <c r="P900" s="2"/>
      <c r="Q900" s="2"/>
      <c r="R900" s="7"/>
      <c r="S900" s="224"/>
      <c r="T900" s="224"/>
      <c r="U900" s="224"/>
      <c r="V900" s="224"/>
    </row>
    <row r="901">
      <c r="A901" s="33"/>
      <c r="B901" s="2"/>
      <c r="C901" s="2"/>
      <c r="D901" s="2"/>
      <c r="E901" s="2"/>
      <c r="F901" s="4"/>
      <c r="G901" s="2"/>
      <c r="H901" s="2"/>
      <c r="I901" s="2"/>
      <c r="J901" s="2"/>
      <c r="K901" s="5"/>
      <c r="L901" s="2"/>
      <c r="M901" s="2"/>
      <c r="N901" s="2"/>
      <c r="O901" s="2"/>
      <c r="P901" s="2"/>
      <c r="Q901" s="2"/>
      <c r="R901" s="7"/>
      <c r="S901" s="224"/>
      <c r="T901" s="224"/>
      <c r="U901" s="224"/>
      <c r="V901" s="224"/>
    </row>
    <row r="902">
      <c r="A902" s="33"/>
      <c r="B902" s="2"/>
      <c r="C902" s="2"/>
      <c r="D902" s="2"/>
      <c r="E902" s="2"/>
      <c r="F902" s="4"/>
      <c r="G902" s="2"/>
      <c r="H902" s="2"/>
      <c r="I902" s="2"/>
      <c r="J902" s="2"/>
      <c r="K902" s="5"/>
      <c r="L902" s="2"/>
      <c r="M902" s="2"/>
      <c r="N902" s="2"/>
      <c r="O902" s="2"/>
      <c r="P902" s="2"/>
      <c r="Q902" s="2"/>
      <c r="R902" s="7"/>
      <c r="S902" s="224"/>
      <c r="T902" s="224"/>
      <c r="U902" s="224"/>
      <c r="V902" s="224"/>
    </row>
    <row r="903">
      <c r="A903" s="33"/>
      <c r="B903" s="2"/>
      <c r="C903" s="2"/>
      <c r="D903" s="2"/>
      <c r="E903" s="2"/>
      <c r="F903" s="4"/>
      <c r="G903" s="2"/>
      <c r="H903" s="2"/>
      <c r="I903" s="2"/>
      <c r="J903" s="2"/>
      <c r="K903" s="5"/>
      <c r="L903" s="2"/>
      <c r="M903" s="2"/>
      <c r="N903" s="2"/>
      <c r="O903" s="2"/>
      <c r="P903" s="2"/>
      <c r="Q903" s="2"/>
      <c r="R903" s="7"/>
      <c r="S903" s="224"/>
      <c r="T903" s="224"/>
      <c r="U903" s="224"/>
      <c r="V903" s="224"/>
    </row>
    <row r="904">
      <c r="A904" s="33"/>
      <c r="B904" s="2"/>
      <c r="C904" s="2"/>
      <c r="D904" s="2"/>
      <c r="E904" s="2"/>
      <c r="F904" s="4"/>
      <c r="G904" s="2"/>
      <c r="H904" s="2"/>
      <c r="I904" s="2"/>
      <c r="J904" s="2"/>
      <c r="K904" s="5"/>
      <c r="L904" s="2"/>
      <c r="M904" s="2"/>
      <c r="N904" s="2"/>
      <c r="O904" s="2"/>
      <c r="P904" s="2"/>
      <c r="Q904" s="2"/>
      <c r="R904" s="7"/>
      <c r="S904" s="224"/>
      <c r="T904" s="224"/>
      <c r="U904" s="224"/>
      <c r="V904" s="224"/>
    </row>
    <row r="905">
      <c r="A905" s="33"/>
      <c r="B905" s="2"/>
      <c r="C905" s="2"/>
      <c r="D905" s="2"/>
      <c r="E905" s="2"/>
      <c r="F905" s="4"/>
      <c r="G905" s="2"/>
      <c r="H905" s="2"/>
      <c r="I905" s="2"/>
      <c r="J905" s="2"/>
      <c r="K905" s="5"/>
      <c r="L905" s="2"/>
      <c r="M905" s="2"/>
      <c r="N905" s="2"/>
      <c r="O905" s="2"/>
      <c r="P905" s="2"/>
      <c r="Q905" s="2"/>
      <c r="R905" s="7"/>
      <c r="S905" s="224"/>
      <c r="T905" s="224"/>
      <c r="U905" s="224"/>
      <c r="V905" s="224"/>
    </row>
    <row r="906">
      <c r="A906" s="33"/>
      <c r="B906" s="2"/>
      <c r="C906" s="2"/>
      <c r="D906" s="2"/>
      <c r="E906" s="2"/>
      <c r="F906" s="4"/>
      <c r="G906" s="2"/>
      <c r="H906" s="2"/>
      <c r="I906" s="2"/>
      <c r="J906" s="2"/>
      <c r="K906" s="5"/>
      <c r="L906" s="2"/>
      <c r="M906" s="2"/>
      <c r="N906" s="2"/>
      <c r="O906" s="2"/>
      <c r="P906" s="2"/>
      <c r="Q906" s="2"/>
      <c r="R906" s="7"/>
      <c r="S906" s="224"/>
      <c r="T906" s="224"/>
      <c r="U906" s="224"/>
      <c r="V906" s="224"/>
    </row>
    <row r="907">
      <c r="A907" s="33"/>
      <c r="B907" s="2"/>
      <c r="C907" s="2"/>
      <c r="D907" s="2"/>
      <c r="E907" s="2"/>
      <c r="F907" s="4"/>
      <c r="G907" s="2"/>
      <c r="H907" s="2"/>
      <c r="I907" s="2"/>
      <c r="J907" s="2"/>
      <c r="K907" s="5"/>
      <c r="L907" s="2"/>
      <c r="M907" s="2"/>
      <c r="N907" s="2"/>
      <c r="O907" s="2"/>
      <c r="P907" s="2"/>
      <c r="Q907" s="2"/>
      <c r="R907" s="7"/>
      <c r="S907" s="224"/>
      <c r="T907" s="224"/>
      <c r="U907" s="224"/>
      <c r="V907" s="224"/>
    </row>
    <row r="908">
      <c r="A908" s="33"/>
      <c r="B908" s="2"/>
      <c r="C908" s="2"/>
      <c r="D908" s="2"/>
      <c r="E908" s="2"/>
      <c r="F908" s="4"/>
      <c r="G908" s="2"/>
      <c r="H908" s="2"/>
      <c r="I908" s="2"/>
      <c r="J908" s="2"/>
      <c r="K908" s="5"/>
      <c r="L908" s="2"/>
      <c r="M908" s="2"/>
      <c r="N908" s="2"/>
      <c r="O908" s="2"/>
      <c r="P908" s="2"/>
      <c r="Q908" s="2"/>
      <c r="R908" s="7"/>
      <c r="S908" s="224"/>
      <c r="T908" s="224"/>
      <c r="U908" s="224"/>
      <c r="V908" s="224"/>
    </row>
    <row r="909">
      <c r="A909" s="33"/>
      <c r="B909" s="2"/>
      <c r="C909" s="2"/>
      <c r="D909" s="2"/>
      <c r="E909" s="2"/>
      <c r="F909" s="4"/>
      <c r="G909" s="2"/>
      <c r="H909" s="2"/>
      <c r="I909" s="2"/>
      <c r="J909" s="2"/>
      <c r="K909" s="5"/>
      <c r="L909" s="2"/>
      <c r="M909" s="2"/>
      <c r="N909" s="2"/>
      <c r="O909" s="2"/>
      <c r="P909" s="2"/>
      <c r="Q909" s="2"/>
      <c r="R909" s="7"/>
      <c r="S909" s="224"/>
      <c r="T909" s="224"/>
      <c r="U909" s="224"/>
      <c r="V909" s="224"/>
    </row>
    <row r="910">
      <c r="A910" s="33"/>
      <c r="B910" s="2"/>
      <c r="C910" s="2"/>
      <c r="D910" s="2"/>
      <c r="E910" s="2"/>
      <c r="F910" s="4"/>
      <c r="G910" s="2"/>
      <c r="H910" s="2"/>
      <c r="I910" s="2"/>
      <c r="J910" s="2"/>
      <c r="K910" s="5"/>
      <c r="L910" s="2"/>
      <c r="M910" s="2"/>
      <c r="N910" s="2"/>
      <c r="O910" s="2"/>
      <c r="P910" s="2"/>
      <c r="Q910" s="2"/>
      <c r="R910" s="7"/>
      <c r="S910" s="224"/>
      <c r="T910" s="224"/>
      <c r="U910" s="224"/>
      <c r="V910" s="224"/>
    </row>
    <row r="911">
      <c r="A911" s="33"/>
      <c r="B911" s="2"/>
      <c r="C911" s="2"/>
      <c r="D911" s="2"/>
      <c r="E911" s="2"/>
      <c r="F911" s="4"/>
      <c r="G911" s="2"/>
      <c r="H911" s="2"/>
      <c r="I911" s="2"/>
      <c r="J911" s="2"/>
      <c r="K911" s="5"/>
      <c r="L911" s="2"/>
      <c r="M911" s="2"/>
      <c r="N911" s="2"/>
      <c r="O911" s="2"/>
      <c r="P911" s="2"/>
      <c r="Q911" s="2"/>
      <c r="R911" s="7"/>
      <c r="S911" s="224"/>
      <c r="T911" s="224"/>
      <c r="U911" s="224"/>
      <c r="V911" s="224"/>
    </row>
    <row r="912">
      <c r="A912" s="33"/>
      <c r="B912" s="2"/>
      <c r="C912" s="2"/>
      <c r="D912" s="2"/>
      <c r="E912" s="2"/>
      <c r="F912" s="4"/>
      <c r="G912" s="2"/>
      <c r="H912" s="2"/>
      <c r="I912" s="2"/>
      <c r="J912" s="2"/>
      <c r="K912" s="5"/>
      <c r="L912" s="2"/>
      <c r="M912" s="2"/>
      <c r="N912" s="2"/>
      <c r="O912" s="2"/>
      <c r="P912" s="2"/>
      <c r="Q912" s="2"/>
      <c r="R912" s="7"/>
      <c r="S912" s="224"/>
      <c r="T912" s="224"/>
      <c r="U912" s="224"/>
      <c r="V912" s="224"/>
    </row>
    <row r="913">
      <c r="A913" s="33"/>
      <c r="B913" s="2"/>
      <c r="C913" s="2"/>
      <c r="D913" s="2"/>
      <c r="E913" s="2"/>
      <c r="F913" s="4"/>
      <c r="G913" s="2"/>
      <c r="H913" s="2"/>
      <c r="I913" s="2"/>
      <c r="J913" s="2"/>
      <c r="K913" s="5"/>
      <c r="L913" s="2"/>
      <c r="M913" s="2"/>
      <c r="N913" s="2"/>
      <c r="O913" s="2"/>
      <c r="P913" s="2"/>
      <c r="Q913" s="2"/>
      <c r="R913" s="7"/>
      <c r="S913" s="224"/>
      <c r="T913" s="224"/>
      <c r="U913" s="224"/>
      <c r="V913" s="224"/>
    </row>
    <row r="914">
      <c r="A914" s="33"/>
      <c r="B914" s="2"/>
      <c r="C914" s="2"/>
      <c r="D914" s="2"/>
      <c r="E914" s="2"/>
      <c r="F914" s="4"/>
      <c r="G914" s="2"/>
      <c r="H914" s="2"/>
      <c r="I914" s="2"/>
      <c r="J914" s="2"/>
      <c r="K914" s="5"/>
      <c r="L914" s="2"/>
      <c r="M914" s="2"/>
      <c r="N914" s="2"/>
      <c r="O914" s="2"/>
      <c r="P914" s="2"/>
      <c r="Q914" s="2"/>
      <c r="R914" s="7"/>
      <c r="S914" s="224"/>
      <c r="T914" s="224"/>
      <c r="U914" s="224"/>
      <c r="V914" s="224"/>
    </row>
    <row r="915">
      <c r="A915" s="33"/>
      <c r="B915" s="2"/>
      <c r="C915" s="2"/>
      <c r="D915" s="2"/>
      <c r="E915" s="2"/>
      <c r="F915" s="4"/>
      <c r="G915" s="2"/>
      <c r="H915" s="2"/>
      <c r="I915" s="2"/>
      <c r="J915" s="2"/>
      <c r="K915" s="5"/>
      <c r="L915" s="2"/>
      <c r="M915" s="2"/>
      <c r="N915" s="2"/>
      <c r="O915" s="2"/>
      <c r="P915" s="2"/>
      <c r="Q915" s="2"/>
      <c r="R915" s="7"/>
      <c r="S915" s="224"/>
      <c r="T915" s="224"/>
      <c r="U915" s="224"/>
      <c r="V915" s="224"/>
    </row>
    <row r="916">
      <c r="A916" s="33"/>
      <c r="B916" s="2"/>
      <c r="C916" s="2"/>
      <c r="D916" s="2"/>
      <c r="E916" s="2"/>
      <c r="F916" s="4"/>
      <c r="G916" s="2"/>
      <c r="H916" s="2"/>
      <c r="I916" s="2"/>
      <c r="J916" s="2"/>
      <c r="K916" s="5"/>
      <c r="L916" s="2"/>
      <c r="M916" s="2"/>
      <c r="N916" s="2"/>
      <c r="O916" s="2"/>
      <c r="P916" s="2"/>
      <c r="Q916" s="2"/>
      <c r="R916" s="7"/>
      <c r="S916" s="224"/>
      <c r="T916" s="224"/>
      <c r="U916" s="224"/>
      <c r="V916" s="224"/>
    </row>
    <row r="917">
      <c r="A917" s="33"/>
      <c r="B917" s="2"/>
      <c r="C917" s="2"/>
      <c r="D917" s="2"/>
      <c r="E917" s="2"/>
      <c r="F917" s="4"/>
      <c r="G917" s="2"/>
      <c r="H917" s="2"/>
      <c r="I917" s="2"/>
      <c r="J917" s="2"/>
      <c r="K917" s="5"/>
      <c r="L917" s="2"/>
      <c r="M917" s="2"/>
      <c r="N917" s="2"/>
      <c r="O917" s="2"/>
      <c r="P917" s="2"/>
      <c r="Q917" s="2"/>
      <c r="R917" s="7"/>
      <c r="S917" s="224"/>
      <c r="T917" s="224"/>
      <c r="U917" s="224"/>
      <c r="V917" s="224"/>
    </row>
    <row r="918">
      <c r="A918" s="33"/>
      <c r="B918" s="2"/>
      <c r="C918" s="2"/>
      <c r="D918" s="2"/>
      <c r="E918" s="2"/>
      <c r="F918" s="4"/>
      <c r="G918" s="2"/>
      <c r="H918" s="2"/>
      <c r="I918" s="2"/>
      <c r="J918" s="2"/>
      <c r="K918" s="5"/>
      <c r="L918" s="2"/>
      <c r="M918" s="2"/>
      <c r="N918" s="2"/>
      <c r="O918" s="2"/>
      <c r="P918" s="2"/>
      <c r="Q918" s="2"/>
      <c r="R918" s="7"/>
      <c r="S918" s="224"/>
      <c r="T918" s="224"/>
      <c r="U918" s="224"/>
      <c r="V918" s="224"/>
    </row>
    <row r="919">
      <c r="A919" s="33"/>
      <c r="B919" s="2"/>
      <c r="C919" s="2"/>
      <c r="D919" s="2"/>
      <c r="E919" s="2"/>
      <c r="F919" s="4"/>
      <c r="G919" s="2"/>
      <c r="H919" s="2"/>
      <c r="I919" s="2"/>
      <c r="J919" s="2"/>
      <c r="K919" s="5"/>
      <c r="L919" s="2"/>
      <c r="M919" s="2"/>
      <c r="N919" s="2"/>
      <c r="O919" s="2"/>
      <c r="P919" s="2"/>
      <c r="Q919" s="2"/>
      <c r="R919" s="7"/>
      <c r="S919" s="224"/>
      <c r="T919" s="224"/>
      <c r="U919" s="224"/>
      <c r="V919" s="224"/>
    </row>
    <row r="920">
      <c r="A920" s="33"/>
      <c r="B920" s="2"/>
      <c r="C920" s="2"/>
      <c r="D920" s="2"/>
      <c r="E920" s="2"/>
      <c r="F920" s="4"/>
      <c r="G920" s="2"/>
      <c r="H920" s="2"/>
      <c r="I920" s="2"/>
      <c r="J920" s="2"/>
      <c r="K920" s="5"/>
      <c r="L920" s="2"/>
      <c r="M920" s="2"/>
      <c r="N920" s="2"/>
      <c r="O920" s="2"/>
      <c r="P920" s="2"/>
      <c r="Q920" s="2"/>
      <c r="R920" s="7"/>
      <c r="S920" s="224"/>
      <c r="T920" s="224"/>
      <c r="U920" s="224"/>
      <c r="V920" s="224"/>
    </row>
    <row r="921">
      <c r="A921" s="33"/>
      <c r="B921" s="2"/>
      <c r="C921" s="2"/>
      <c r="D921" s="2"/>
      <c r="E921" s="2"/>
      <c r="F921" s="4"/>
      <c r="G921" s="2"/>
      <c r="H921" s="2"/>
      <c r="I921" s="2"/>
      <c r="J921" s="2"/>
      <c r="K921" s="5"/>
      <c r="L921" s="2"/>
      <c r="M921" s="2"/>
      <c r="N921" s="2"/>
      <c r="O921" s="2"/>
      <c r="P921" s="2"/>
      <c r="Q921" s="2"/>
      <c r="R921" s="7"/>
      <c r="S921" s="224"/>
      <c r="T921" s="224"/>
      <c r="U921" s="224"/>
      <c r="V921" s="224"/>
    </row>
    <row r="922">
      <c r="A922" s="33"/>
      <c r="B922" s="2"/>
      <c r="C922" s="2"/>
      <c r="D922" s="2"/>
      <c r="E922" s="2"/>
      <c r="F922" s="4"/>
      <c r="G922" s="2"/>
      <c r="H922" s="2"/>
      <c r="I922" s="2"/>
      <c r="J922" s="2"/>
      <c r="K922" s="5"/>
      <c r="L922" s="2"/>
      <c r="M922" s="2"/>
      <c r="N922" s="2"/>
      <c r="O922" s="2"/>
      <c r="P922" s="2"/>
      <c r="Q922" s="2"/>
      <c r="R922" s="7"/>
      <c r="S922" s="224"/>
      <c r="T922" s="224"/>
      <c r="U922" s="224"/>
      <c r="V922" s="224"/>
    </row>
    <row r="923">
      <c r="A923" s="33"/>
      <c r="B923" s="2"/>
      <c r="C923" s="2"/>
      <c r="D923" s="2"/>
      <c r="E923" s="2"/>
      <c r="F923" s="4"/>
      <c r="G923" s="2"/>
      <c r="H923" s="2"/>
      <c r="I923" s="2"/>
      <c r="J923" s="2"/>
      <c r="K923" s="5"/>
      <c r="L923" s="2"/>
      <c r="M923" s="2"/>
      <c r="N923" s="2"/>
      <c r="O923" s="2"/>
      <c r="P923" s="2"/>
      <c r="Q923" s="2"/>
      <c r="R923" s="7"/>
      <c r="S923" s="224"/>
      <c r="T923" s="224"/>
      <c r="U923" s="224"/>
      <c r="V923" s="224"/>
    </row>
    <row r="924">
      <c r="A924" s="33"/>
      <c r="B924" s="2"/>
      <c r="C924" s="2"/>
      <c r="D924" s="2"/>
      <c r="E924" s="2"/>
      <c r="F924" s="4"/>
      <c r="G924" s="2"/>
      <c r="H924" s="2"/>
      <c r="I924" s="2"/>
      <c r="J924" s="2"/>
      <c r="K924" s="5"/>
      <c r="L924" s="2"/>
      <c r="M924" s="2"/>
      <c r="N924" s="2"/>
      <c r="O924" s="2"/>
      <c r="P924" s="2"/>
      <c r="Q924" s="2"/>
      <c r="R924" s="7"/>
      <c r="S924" s="224"/>
      <c r="T924" s="224"/>
      <c r="U924" s="224"/>
      <c r="V924" s="224"/>
    </row>
    <row r="925">
      <c r="A925" s="33"/>
      <c r="B925" s="2"/>
      <c r="C925" s="2"/>
      <c r="D925" s="2"/>
      <c r="E925" s="2"/>
      <c r="F925" s="4"/>
      <c r="G925" s="2"/>
      <c r="H925" s="2"/>
      <c r="I925" s="2"/>
      <c r="J925" s="2"/>
      <c r="K925" s="5"/>
      <c r="L925" s="2"/>
      <c r="M925" s="2"/>
      <c r="N925" s="2"/>
      <c r="O925" s="2"/>
      <c r="P925" s="2"/>
      <c r="Q925" s="2"/>
      <c r="R925" s="7"/>
      <c r="S925" s="224"/>
      <c r="T925" s="224"/>
      <c r="U925" s="224"/>
      <c r="V925" s="224"/>
    </row>
    <row r="926">
      <c r="A926" s="33"/>
      <c r="B926" s="2"/>
      <c r="C926" s="2"/>
      <c r="D926" s="2"/>
      <c r="E926" s="2"/>
      <c r="F926" s="4"/>
      <c r="G926" s="2"/>
      <c r="H926" s="2"/>
      <c r="I926" s="2"/>
      <c r="J926" s="2"/>
      <c r="K926" s="5"/>
      <c r="L926" s="2"/>
      <c r="M926" s="2"/>
      <c r="N926" s="2"/>
      <c r="O926" s="2"/>
      <c r="P926" s="2"/>
      <c r="Q926" s="2"/>
      <c r="R926" s="7"/>
      <c r="S926" s="224"/>
      <c r="T926" s="224"/>
      <c r="U926" s="224"/>
      <c r="V926" s="224"/>
    </row>
    <row r="927">
      <c r="A927" s="33"/>
      <c r="B927" s="2"/>
      <c r="C927" s="2"/>
      <c r="D927" s="2"/>
      <c r="E927" s="2"/>
      <c r="F927" s="4"/>
      <c r="G927" s="2"/>
      <c r="H927" s="2"/>
      <c r="I927" s="2"/>
      <c r="J927" s="2"/>
      <c r="K927" s="5"/>
      <c r="L927" s="2"/>
      <c r="M927" s="2"/>
      <c r="N927" s="2"/>
      <c r="O927" s="2"/>
      <c r="P927" s="2"/>
      <c r="Q927" s="2"/>
      <c r="R927" s="7"/>
      <c r="S927" s="224"/>
      <c r="T927" s="224"/>
      <c r="U927" s="224"/>
      <c r="V927" s="224"/>
    </row>
    <row r="928">
      <c r="A928" s="33"/>
      <c r="B928" s="2"/>
      <c r="C928" s="2"/>
      <c r="D928" s="2"/>
      <c r="E928" s="2"/>
      <c r="F928" s="4"/>
      <c r="G928" s="2"/>
      <c r="H928" s="2"/>
      <c r="I928" s="2"/>
      <c r="J928" s="2"/>
      <c r="K928" s="5"/>
      <c r="L928" s="2"/>
      <c r="M928" s="2"/>
      <c r="N928" s="2"/>
      <c r="O928" s="2"/>
      <c r="P928" s="2"/>
      <c r="Q928" s="2"/>
      <c r="R928" s="7"/>
      <c r="S928" s="224"/>
      <c r="T928" s="224"/>
      <c r="U928" s="224"/>
      <c r="V928" s="224"/>
    </row>
    <row r="929">
      <c r="A929" s="33"/>
      <c r="B929" s="2"/>
      <c r="C929" s="2"/>
      <c r="D929" s="2"/>
      <c r="E929" s="2"/>
      <c r="F929" s="4"/>
      <c r="G929" s="2"/>
      <c r="H929" s="2"/>
      <c r="I929" s="2"/>
      <c r="J929" s="2"/>
      <c r="K929" s="5"/>
      <c r="L929" s="2"/>
      <c r="M929" s="2"/>
      <c r="N929" s="2"/>
      <c r="O929" s="2"/>
      <c r="P929" s="2"/>
      <c r="Q929" s="2"/>
      <c r="R929" s="7"/>
      <c r="S929" s="224"/>
      <c r="T929" s="224"/>
      <c r="U929" s="224"/>
      <c r="V929" s="224"/>
    </row>
    <row r="930">
      <c r="A930" s="33"/>
      <c r="B930" s="2"/>
      <c r="C930" s="2"/>
      <c r="D930" s="2"/>
      <c r="E930" s="2"/>
      <c r="F930" s="4"/>
      <c r="G930" s="2"/>
      <c r="H930" s="2"/>
      <c r="I930" s="2"/>
      <c r="J930" s="2"/>
      <c r="K930" s="5"/>
      <c r="L930" s="2"/>
      <c r="M930" s="2"/>
      <c r="N930" s="2"/>
      <c r="O930" s="2"/>
      <c r="P930" s="2"/>
      <c r="Q930" s="2"/>
      <c r="R930" s="7"/>
      <c r="S930" s="224"/>
      <c r="T930" s="224"/>
      <c r="U930" s="224"/>
      <c r="V930" s="224"/>
    </row>
    <row r="931">
      <c r="A931" s="33"/>
      <c r="B931" s="2"/>
      <c r="C931" s="2"/>
      <c r="D931" s="2"/>
      <c r="E931" s="2"/>
      <c r="F931" s="4"/>
      <c r="G931" s="2"/>
      <c r="H931" s="2"/>
      <c r="I931" s="2"/>
      <c r="J931" s="2"/>
      <c r="K931" s="5"/>
      <c r="L931" s="2"/>
      <c r="M931" s="2"/>
      <c r="N931" s="2"/>
      <c r="O931" s="2"/>
      <c r="P931" s="2"/>
      <c r="Q931" s="2"/>
      <c r="R931" s="7"/>
      <c r="S931" s="224"/>
      <c r="T931" s="224"/>
      <c r="U931" s="224"/>
      <c r="V931" s="224"/>
    </row>
    <row r="932">
      <c r="A932" s="33"/>
      <c r="B932" s="2"/>
      <c r="C932" s="2"/>
      <c r="D932" s="2"/>
      <c r="E932" s="2"/>
      <c r="F932" s="4"/>
      <c r="G932" s="2"/>
      <c r="H932" s="2"/>
      <c r="I932" s="2"/>
      <c r="J932" s="2"/>
      <c r="K932" s="5"/>
      <c r="L932" s="2"/>
      <c r="M932" s="2"/>
      <c r="N932" s="2"/>
      <c r="O932" s="2"/>
      <c r="P932" s="2"/>
      <c r="Q932" s="2"/>
      <c r="R932" s="7"/>
      <c r="S932" s="224"/>
      <c r="T932" s="224"/>
      <c r="U932" s="224"/>
      <c r="V932" s="224"/>
    </row>
    <row r="933">
      <c r="A933" s="33"/>
      <c r="B933" s="2"/>
      <c r="C933" s="2"/>
      <c r="D933" s="2"/>
      <c r="E933" s="2"/>
      <c r="F933" s="4"/>
      <c r="G933" s="2"/>
      <c r="H933" s="2"/>
      <c r="I933" s="2"/>
      <c r="J933" s="2"/>
      <c r="K933" s="5"/>
      <c r="L933" s="2"/>
      <c r="M933" s="2"/>
      <c r="N933" s="2"/>
      <c r="O933" s="2"/>
      <c r="P933" s="2"/>
      <c r="Q933" s="2"/>
      <c r="R933" s="7"/>
      <c r="S933" s="224"/>
      <c r="T933" s="224"/>
      <c r="U933" s="224"/>
      <c r="V933" s="224"/>
    </row>
    <row r="934">
      <c r="A934" s="33"/>
      <c r="B934" s="2"/>
      <c r="C934" s="2"/>
      <c r="D934" s="2"/>
      <c r="E934" s="2"/>
      <c r="F934" s="4"/>
      <c r="G934" s="2"/>
      <c r="H934" s="2"/>
      <c r="I934" s="2"/>
      <c r="J934" s="2"/>
      <c r="K934" s="5"/>
      <c r="L934" s="2"/>
      <c r="M934" s="2"/>
      <c r="N934" s="2"/>
      <c r="O934" s="2"/>
      <c r="P934" s="2"/>
      <c r="Q934" s="2"/>
      <c r="R934" s="7"/>
      <c r="S934" s="224"/>
      <c r="T934" s="224"/>
      <c r="U934" s="224"/>
      <c r="V934" s="224"/>
    </row>
    <row r="935">
      <c r="A935" s="33"/>
      <c r="B935" s="2"/>
      <c r="C935" s="2"/>
      <c r="D935" s="2"/>
      <c r="E935" s="2"/>
      <c r="F935" s="4"/>
      <c r="G935" s="2"/>
      <c r="H935" s="2"/>
      <c r="I935" s="2"/>
      <c r="J935" s="2"/>
      <c r="K935" s="5"/>
      <c r="L935" s="2"/>
      <c r="M935" s="2"/>
      <c r="N935" s="2"/>
      <c r="O935" s="2"/>
      <c r="P935" s="2"/>
      <c r="Q935" s="2"/>
      <c r="R935" s="7"/>
      <c r="S935" s="224"/>
      <c r="T935" s="224"/>
      <c r="U935" s="224"/>
      <c r="V935" s="224"/>
    </row>
    <row r="936">
      <c r="A936" s="33"/>
      <c r="B936" s="2"/>
      <c r="C936" s="2"/>
      <c r="D936" s="2"/>
      <c r="E936" s="2"/>
      <c r="F936" s="4"/>
      <c r="G936" s="2"/>
      <c r="H936" s="2"/>
      <c r="I936" s="2"/>
      <c r="J936" s="2"/>
      <c r="K936" s="5"/>
      <c r="L936" s="2"/>
      <c r="M936" s="2"/>
      <c r="N936" s="2"/>
      <c r="O936" s="2"/>
      <c r="P936" s="2"/>
      <c r="Q936" s="2"/>
      <c r="R936" s="7"/>
      <c r="S936" s="224"/>
      <c r="T936" s="224"/>
      <c r="U936" s="224"/>
      <c r="V936" s="224"/>
    </row>
    <row r="937">
      <c r="A937" s="33"/>
      <c r="B937" s="2"/>
      <c r="C937" s="2"/>
      <c r="D937" s="2"/>
      <c r="E937" s="2"/>
      <c r="F937" s="4"/>
      <c r="G937" s="2"/>
      <c r="H937" s="2"/>
      <c r="I937" s="2"/>
      <c r="J937" s="2"/>
      <c r="K937" s="5"/>
      <c r="L937" s="2"/>
      <c r="M937" s="2"/>
      <c r="N937" s="2"/>
      <c r="O937" s="2"/>
      <c r="P937" s="2"/>
      <c r="Q937" s="2"/>
      <c r="R937" s="7"/>
      <c r="S937" s="224"/>
      <c r="T937" s="224"/>
      <c r="U937" s="224"/>
      <c r="V937" s="224"/>
    </row>
    <row r="938">
      <c r="A938" s="33"/>
      <c r="B938" s="2"/>
      <c r="C938" s="2"/>
      <c r="D938" s="2"/>
      <c r="E938" s="2"/>
      <c r="F938" s="4"/>
      <c r="G938" s="2"/>
      <c r="H938" s="2"/>
      <c r="I938" s="2"/>
      <c r="J938" s="2"/>
      <c r="K938" s="5"/>
      <c r="L938" s="2"/>
      <c r="M938" s="2"/>
      <c r="N938" s="2"/>
      <c r="O938" s="2"/>
      <c r="P938" s="2"/>
      <c r="Q938" s="2"/>
      <c r="R938" s="7"/>
      <c r="S938" s="224"/>
      <c r="T938" s="224"/>
      <c r="U938" s="224"/>
      <c r="V938" s="224"/>
    </row>
    <row r="939">
      <c r="A939" s="33"/>
      <c r="B939" s="2"/>
      <c r="C939" s="2"/>
      <c r="D939" s="2"/>
      <c r="E939" s="2"/>
      <c r="F939" s="4"/>
      <c r="G939" s="2"/>
      <c r="H939" s="2"/>
      <c r="I939" s="2"/>
      <c r="J939" s="2"/>
      <c r="K939" s="5"/>
      <c r="L939" s="2"/>
      <c r="M939" s="2"/>
      <c r="N939" s="2"/>
      <c r="O939" s="2"/>
      <c r="P939" s="2"/>
      <c r="Q939" s="2"/>
      <c r="R939" s="7"/>
      <c r="S939" s="224"/>
      <c r="T939" s="224"/>
      <c r="U939" s="224"/>
      <c r="V939" s="224"/>
    </row>
    <row r="940">
      <c r="A940" s="33"/>
      <c r="B940" s="2"/>
      <c r="C940" s="2"/>
      <c r="D940" s="2"/>
      <c r="E940" s="2"/>
      <c r="F940" s="4"/>
      <c r="G940" s="2"/>
      <c r="H940" s="2"/>
      <c r="I940" s="2"/>
      <c r="J940" s="2"/>
      <c r="K940" s="5"/>
      <c r="L940" s="2"/>
      <c r="M940" s="2"/>
      <c r="N940" s="2"/>
      <c r="O940" s="2"/>
      <c r="P940" s="2"/>
      <c r="Q940" s="2"/>
      <c r="R940" s="7"/>
      <c r="S940" s="224"/>
      <c r="T940" s="224"/>
      <c r="U940" s="224"/>
      <c r="V940" s="224"/>
    </row>
    <row r="941">
      <c r="A941" s="33"/>
      <c r="B941" s="2"/>
      <c r="C941" s="2"/>
      <c r="D941" s="2"/>
      <c r="E941" s="2"/>
      <c r="F941" s="4"/>
      <c r="G941" s="2"/>
      <c r="H941" s="2"/>
      <c r="I941" s="2"/>
      <c r="J941" s="2"/>
      <c r="K941" s="5"/>
      <c r="L941" s="2"/>
      <c r="M941" s="2"/>
      <c r="N941" s="2"/>
      <c r="O941" s="2"/>
      <c r="P941" s="2"/>
      <c r="Q941" s="2"/>
      <c r="R941" s="7"/>
      <c r="S941" s="224"/>
      <c r="T941" s="224"/>
      <c r="U941" s="224"/>
      <c r="V941" s="224"/>
    </row>
    <row r="942">
      <c r="A942" s="33"/>
      <c r="B942" s="2"/>
      <c r="C942" s="2"/>
      <c r="D942" s="2"/>
      <c r="E942" s="2"/>
      <c r="F942" s="4"/>
      <c r="G942" s="2"/>
      <c r="H942" s="2"/>
      <c r="I942" s="2"/>
      <c r="J942" s="2"/>
      <c r="K942" s="5"/>
      <c r="L942" s="2"/>
      <c r="M942" s="2"/>
      <c r="N942" s="2"/>
      <c r="O942" s="2"/>
      <c r="P942" s="2"/>
      <c r="Q942" s="2"/>
      <c r="R942" s="7"/>
      <c r="S942" s="224"/>
      <c r="T942" s="224"/>
      <c r="U942" s="224"/>
      <c r="V942" s="224"/>
    </row>
    <row r="943">
      <c r="A943" s="33"/>
      <c r="B943" s="2"/>
      <c r="C943" s="2"/>
      <c r="D943" s="2"/>
      <c r="E943" s="2"/>
      <c r="F943" s="4"/>
      <c r="G943" s="2"/>
      <c r="H943" s="2"/>
      <c r="I943" s="2"/>
      <c r="J943" s="2"/>
      <c r="K943" s="5"/>
      <c r="L943" s="2"/>
      <c r="M943" s="2"/>
      <c r="N943" s="2"/>
      <c r="O943" s="2"/>
      <c r="P943" s="2"/>
      <c r="Q943" s="2"/>
      <c r="R943" s="7"/>
      <c r="S943" s="224"/>
      <c r="T943" s="224"/>
      <c r="U943" s="224"/>
      <c r="V943" s="224"/>
    </row>
    <row r="944">
      <c r="A944" s="33"/>
      <c r="B944" s="2"/>
      <c r="C944" s="2"/>
      <c r="D944" s="2"/>
      <c r="E944" s="2"/>
      <c r="F944" s="4"/>
      <c r="G944" s="2"/>
      <c r="H944" s="2"/>
      <c r="I944" s="2"/>
      <c r="J944" s="2"/>
      <c r="K944" s="5"/>
      <c r="L944" s="2"/>
      <c r="M944" s="2"/>
      <c r="N944" s="2"/>
      <c r="O944" s="2"/>
      <c r="P944" s="2"/>
      <c r="Q944" s="2"/>
      <c r="R944" s="7"/>
      <c r="S944" s="224"/>
      <c r="T944" s="224"/>
      <c r="U944" s="224"/>
      <c r="V944" s="224"/>
    </row>
    <row r="945">
      <c r="A945" s="33"/>
      <c r="B945" s="2"/>
      <c r="C945" s="2"/>
      <c r="D945" s="2"/>
      <c r="E945" s="2"/>
      <c r="F945" s="4"/>
      <c r="G945" s="2"/>
      <c r="H945" s="2"/>
      <c r="I945" s="2"/>
      <c r="J945" s="2"/>
      <c r="K945" s="5"/>
      <c r="L945" s="2"/>
      <c r="M945" s="2"/>
      <c r="N945" s="2"/>
      <c r="O945" s="2"/>
      <c r="P945" s="2"/>
      <c r="Q945" s="2"/>
      <c r="R945" s="7"/>
      <c r="S945" s="224"/>
      <c r="T945" s="224"/>
      <c r="U945" s="224"/>
      <c r="V945" s="224"/>
    </row>
    <row r="946">
      <c r="A946" s="33"/>
      <c r="B946" s="2"/>
      <c r="C946" s="2"/>
      <c r="D946" s="2"/>
      <c r="E946" s="2"/>
      <c r="F946" s="4"/>
      <c r="G946" s="2"/>
      <c r="H946" s="2"/>
      <c r="I946" s="2"/>
      <c r="J946" s="2"/>
      <c r="K946" s="5"/>
      <c r="L946" s="2"/>
      <c r="M946" s="2"/>
      <c r="N946" s="2"/>
      <c r="O946" s="2"/>
      <c r="P946" s="2"/>
      <c r="Q946" s="2"/>
      <c r="R946" s="7"/>
      <c r="S946" s="224"/>
      <c r="T946" s="224"/>
      <c r="U946" s="224"/>
      <c r="V946" s="224"/>
    </row>
    <row r="947">
      <c r="A947" s="33"/>
      <c r="B947" s="2"/>
      <c r="C947" s="2"/>
      <c r="D947" s="2"/>
      <c r="E947" s="2"/>
      <c r="F947" s="4"/>
      <c r="G947" s="2"/>
      <c r="H947" s="2"/>
      <c r="I947" s="2"/>
      <c r="J947" s="2"/>
      <c r="K947" s="5"/>
      <c r="L947" s="2"/>
      <c r="M947" s="2"/>
      <c r="N947" s="2"/>
      <c r="O947" s="2"/>
      <c r="P947" s="2"/>
      <c r="Q947" s="2"/>
      <c r="R947" s="7"/>
      <c r="S947" s="224"/>
      <c r="T947" s="224"/>
      <c r="U947" s="224"/>
      <c r="V947" s="224"/>
    </row>
    <row r="948">
      <c r="A948" s="33"/>
      <c r="B948" s="2"/>
      <c r="C948" s="2"/>
      <c r="D948" s="2"/>
      <c r="E948" s="2"/>
      <c r="F948" s="4"/>
      <c r="G948" s="2"/>
      <c r="H948" s="2"/>
      <c r="I948" s="2"/>
      <c r="J948" s="2"/>
      <c r="K948" s="5"/>
      <c r="L948" s="2"/>
      <c r="M948" s="2"/>
      <c r="N948" s="2"/>
      <c r="O948" s="2"/>
      <c r="P948" s="2"/>
      <c r="Q948" s="2"/>
      <c r="R948" s="7"/>
      <c r="S948" s="224"/>
      <c r="T948" s="224"/>
      <c r="U948" s="224"/>
      <c r="V948" s="224"/>
    </row>
    <row r="949">
      <c r="A949" s="33"/>
      <c r="B949" s="2"/>
      <c r="C949" s="2"/>
      <c r="D949" s="2"/>
      <c r="E949" s="2"/>
      <c r="F949" s="4"/>
      <c r="G949" s="2"/>
      <c r="H949" s="2"/>
      <c r="I949" s="2"/>
      <c r="J949" s="2"/>
      <c r="K949" s="5"/>
      <c r="L949" s="2"/>
      <c r="M949" s="2"/>
      <c r="N949" s="2"/>
      <c r="O949" s="2"/>
      <c r="P949" s="2"/>
      <c r="Q949" s="2"/>
      <c r="R949" s="7"/>
      <c r="S949" s="224"/>
      <c r="T949" s="224"/>
      <c r="U949" s="224"/>
      <c r="V949" s="224"/>
    </row>
    <row r="950">
      <c r="A950" s="33"/>
      <c r="B950" s="2"/>
      <c r="C950" s="2"/>
      <c r="D950" s="2"/>
      <c r="E950" s="2"/>
      <c r="F950" s="4"/>
      <c r="G950" s="2"/>
      <c r="H950" s="2"/>
      <c r="I950" s="2"/>
      <c r="J950" s="2"/>
      <c r="K950" s="5"/>
      <c r="L950" s="2"/>
      <c r="M950" s="2"/>
      <c r="N950" s="2"/>
      <c r="O950" s="2"/>
      <c r="P950" s="2"/>
      <c r="Q950" s="2"/>
      <c r="R950" s="7"/>
      <c r="S950" s="224"/>
      <c r="T950" s="224"/>
      <c r="U950" s="224"/>
      <c r="V950" s="224"/>
    </row>
    <row r="951">
      <c r="A951" s="33"/>
      <c r="B951" s="2"/>
      <c r="C951" s="2"/>
      <c r="D951" s="2"/>
      <c r="E951" s="2"/>
      <c r="F951" s="4"/>
      <c r="G951" s="2"/>
      <c r="H951" s="2"/>
      <c r="I951" s="2"/>
      <c r="J951" s="2"/>
      <c r="K951" s="5"/>
      <c r="L951" s="2"/>
      <c r="M951" s="2"/>
      <c r="N951" s="2"/>
      <c r="O951" s="2"/>
      <c r="P951" s="2"/>
      <c r="Q951" s="2"/>
      <c r="R951" s="7"/>
      <c r="S951" s="224"/>
      <c r="T951" s="224"/>
      <c r="U951" s="224"/>
      <c r="V951" s="224"/>
    </row>
    <row r="952">
      <c r="A952" s="33"/>
      <c r="B952" s="2"/>
      <c r="C952" s="2"/>
      <c r="D952" s="2"/>
      <c r="E952" s="2"/>
      <c r="F952" s="4"/>
      <c r="G952" s="2"/>
      <c r="H952" s="2"/>
      <c r="I952" s="2"/>
      <c r="J952" s="2"/>
      <c r="K952" s="5"/>
      <c r="L952" s="2"/>
      <c r="M952" s="2"/>
      <c r="N952" s="2"/>
      <c r="O952" s="2"/>
      <c r="P952" s="2"/>
      <c r="Q952" s="2"/>
      <c r="R952" s="7"/>
      <c r="S952" s="224"/>
      <c r="T952" s="224"/>
      <c r="U952" s="224"/>
      <c r="V952" s="224"/>
    </row>
    <row r="953">
      <c r="A953" s="33"/>
      <c r="B953" s="2"/>
      <c r="C953" s="2"/>
      <c r="D953" s="2"/>
      <c r="E953" s="2"/>
      <c r="F953" s="4"/>
      <c r="G953" s="2"/>
      <c r="H953" s="2"/>
      <c r="I953" s="2"/>
      <c r="J953" s="2"/>
      <c r="K953" s="5"/>
      <c r="L953" s="2"/>
      <c r="M953" s="2"/>
      <c r="N953" s="2"/>
      <c r="O953" s="2"/>
      <c r="P953" s="2"/>
      <c r="Q953" s="2"/>
      <c r="R953" s="7"/>
      <c r="S953" s="224"/>
      <c r="T953" s="224"/>
      <c r="U953" s="224"/>
      <c r="V953" s="224"/>
    </row>
    <row r="954">
      <c r="A954" s="33"/>
      <c r="B954" s="2"/>
      <c r="C954" s="2"/>
      <c r="D954" s="2"/>
      <c r="E954" s="2"/>
      <c r="F954" s="4"/>
      <c r="G954" s="2"/>
      <c r="H954" s="2"/>
      <c r="I954" s="2"/>
      <c r="J954" s="2"/>
      <c r="K954" s="5"/>
      <c r="L954" s="2"/>
      <c r="M954" s="2"/>
      <c r="N954" s="2"/>
      <c r="O954" s="2"/>
      <c r="P954" s="2"/>
      <c r="Q954" s="2"/>
      <c r="R954" s="7"/>
      <c r="S954" s="224"/>
      <c r="T954" s="224"/>
      <c r="U954" s="224"/>
      <c r="V954" s="224"/>
    </row>
    <row r="955">
      <c r="A955" s="33"/>
      <c r="B955" s="2"/>
      <c r="C955" s="2"/>
      <c r="D955" s="2"/>
      <c r="E955" s="2"/>
      <c r="F955" s="4"/>
      <c r="G955" s="2"/>
      <c r="H955" s="2"/>
      <c r="I955" s="2"/>
      <c r="J955" s="2"/>
      <c r="K955" s="5"/>
      <c r="L955" s="2"/>
      <c r="M955" s="2"/>
      <c r="N955" s="2"/>
      <c r="O955" s="2"/>
      <c r="P955" s="2"/>
      <c r="Q955" s="2"/>
      <c r="R955" s="7"/>
      <c r="S955" s="224"/>
      <c r="T955" s="224"/>
      <c r="U955" s="224"/>
      <c r="V955" s="224"/>
    </row>
    <row r="956">
      <c r="A956" s="33"/>
      <c r="B956" s="2"/>
      <c r="C956" s="2"/>
      <c r="D956" s="2"/>
      <c r="E956" s="2"/>
      <c r="F956" s="4"/>
      <c r="G956" s="2"/>
      <c r="H956" s="2"/>
      <c r="I956" s="2"/>
      <c r="J956" s="2"/>
      <c r="K956" s="5"/>
      <c r="L956" s="2"/>
      <c r="M956" s="2"/>
      <c r="N956" s="2"/>
      <c r="O956" s="2"/>
      <c r="P956" s="2"/>
      <c r="Q956" s="2"/>
      <c r="R956" s="7"/>
      <c r="S956" s="224"/>
      <c r="T956" s="224"/>
      <c r="U956" s="224"/>
      <c r="V956" s="224"/>
    </row>
    <row r="957">
      <c r="A957" s="33"/>
      <c r="B957" s="2"/>
      <c r="C957" s="2"/>
      <c r="D957" s="2"/>
      <c r="E957" s="2"/>
      <c r="F957" s="4"/>
      <c r="G957" s="2"/>
      <c r="H957" s="2"/>
      <c r="I957" s="2"/>
      <c r="J957" s="2"/>
      <c r="K957" s="5"/>
      <c r="L957" s="2"/>
      <c r="M957" s="2"/>
      <c r="N957" s="2"/>
      <c r="O957" s="2"/>
      <c r="P957" s="2"/>
      <c r="Q957" s="2"/>
      <c r="R957" s="7"/>
      <c r="S957" s="224"/>
      <c r="T957" s="224"/>
      <c r="U957" s="224"/>
      <c r="V957" s="224"/>
    </row>
    <row r="958">
      <c r="A958" s="33"/>
      <c r="B958" s="2"/>
      <c r="C958" s="2"/>
      <c r="D958" s="2"/>
      <c r="E958" s="2"/>
      <c r="F958" s="4"/>
      <c r="G958" s="2"/>
      <c r="H958" s="2"/>
      <c r="I958" s="2"/>
      <c r="J958" s="2"/>
      <c r="K958" s="5"/>
      <c r="L958" s="2"/>
      <c r="M958" s="2"/>
      <c r="N958" s="2"/>
      <c r="O958" s="2"/>
      <c r="P958" s="2"/>
      <c r="Q958" s="2"/>
      <c r="R958" s="7"/>
      <c r="S958" s="224"/>
      <c r="T958" s="224"/>
      <c r="U958" s="224"/>
      <c r="V958" s="224"/>
    </row>
    <row r="959">
      <c r="A959" s="33"/>
      <c r="B959" s="2"/>
      <c r="C959" s="2"/>
      <c r="D959" s="2"/>
      <c r="E959" s="2"/>
      <c r="F959" s="4"/>
      <c r="G959" s="2"/>
      <c r="H959" s="2"/>
      <c r="I959" s="2"/>
      <c r="J959" s="2"/>
      <c r="K959" s="5"/>
      <c r="L959" s="2"/>
      <c r="M959" s="2"/>
      <c r="N959" s="2"/>
      <c r="O959" s="2"/>
      <c r="P959" s="2"/>
      <c r="Q959" s="2"/>
      <c r="R959" s="7"/>
      <c r="S959" s="224"/>
      <c r="T959" s="224"/>
      <c r="U959" s="224"/>
      <c r="V959" s="224"/>
    </row>
    <row r="960">
      <c r="A960" s="33"/>
      <c r="B960" s="2"/>
      <c r="C960" s="2"/>
      <c r="D960" s="2"/>
      <c r="E960" s="2"/>
      <c r="F960" s="4"/>
      <c r="G960" s="2"/>
      <c r="H960" s="2"/>
      <c r="I960" s="2"/>
      <c r="J960" s="2"/>
      <c r="K960" s="5"/>
      <c r="L960" s="2"/>
      <c r="M960" s="2"/>
      <c r="N960" s="2"/>
      <c r="O960" s="2"/>
      <c r="P960" s="2"/>
      <c r="Q960" s="2"/>
      <c r="R960" s="7"/>
      <c r="S960" s="224"/>
      <c r="T960" s="224"/>
      <c r="U960" s="224"/>
      <c r="V960" s="224"/>
    </row>
    <row r="961">
      <c r="A961" s="33"/>
      <c r="B961" s="2"/>
      <c r="C961" s="2"/>
      <c r="D961" s="2"/>
      <c r="E961" s="2"/>
      <c r="F961" s="4"/>
      <c r="G961" s="2"/>
      <c r="H961" s="2"/>
      <c r="I961" s="2"/>
      <c r="J961" s="2"/>
      <c r="K961" s="5"/>
      <c r="L961" s="2"/>
      <c r="M961" s="2"/>
      <c r="N961" s="2"/>
      <c r="O961" s="2"/>
      <c r="P961" s="2"/>
      <c r="Q961" s="2"/>
      <c r="R961" s="7"/>
      <c r="S961" s="224"/>
      <c r="T961" s="224"/>
      <c r="U961" s="224"/>
      <c r="V961" s="224"/>
    </row>
    <row r="962">
      <c r="A962" s="33"/>
      <c r="B962" s="2"/>
      <c r="C962" s="2"/>
      <c r="D962" s="2"/>
      <c r="E962" s="2"/>
      <c r="F962" s="4"/>
      <c r="G962" s="2"/>
      <c r="H962" s="2"/>
      <c r="I962" s="2"/>
      <c r="J962" s="2"/>
      <c r="K962" s="5"/>
      <c r="L962" s="2"/>
      <c r="M962" s="2"/>
      <c r="N962" s="2"/>
      <c r="O962" s="2"/>
      <c r="P962" s="2"/>
      <c r="Q962" s="2"/>
      <c r="R962" s="7"/>
      <c r="S962" s="224"/>
      <c r="T962" s="224"/>
      <c r="U962" s="224"/>
      <c r="V962" s="224"/>
    </row>
    <row r="963">
      <c r="A963" s="33"/>
      <c r="B963" s="2"/>
      <c r="C963" s="2"/>
      <c r="D963" s="2"/>
      <c r="E963" s="2"/>
      <c r="F963" s="4"/>
      <c r="G963" s="2"/>
      <c r="H963" s="2"/>
      <c r="I963" s="2"/>
      <c r="J963" s="2"/>
      <c r="K963" s="5"/>
      <c r="L963" s="2"/>
      <c r="M963" s="2"/>
      <c r="N963" s="2"/>
      <c r="O963" s="2"/>
      <c r="P963" s="2"/>
      <c r="Q963" s="2"/>
      <c r="R963" s="7"/>
      <c r="S963" s="224"/>
      <c r="T963" s="224"/>
      <c r="U963" s="224"/>
      <c r="V963" s="224"/>
    </row>
    <row r="964">
      <c r="A964" s="33"/>
      <c r="B964" s="2"/>
      <c r="C964" s="2"/>
      <c r="D964" s="2"/>
      <c r="E964" s="2"/>
      <c r="F964" s="4"/>
      <c r="G964" s="2"/>
      <c r="H964" s="2"/>
      <c r="I964" s="2"/>
      <c r="J964" s="2"/>
      <c r="K964" s="5"/>
      <c r="L964" s="2"/>
      <c r="M964" s="2"/>
      <c r="N964" s="2"/>
      <c r="O964" s="2"/>
      <c r="P964" s="2"/>
      <c r="Q964" s="2"/>
      <c r="R964" s="7"/>
      <c r="S964" s="224"/>
      <c r="T964" s="224"/>
      <c r="U964" s="224"/>
      <c r="V964" s="224"/>
    </row>
    <row r="965">
      <c r="A965" s="33"/>
      <c r="B965" s="2"/>
      <c r="C965" s="2"/>
      <c r="D965" s="2"/>
      <c r="E965" s="2"/>
      <c r="F965" s="4"/>
      <c r="G965" s="2"/>
      <c r="H965" s="2"/>
      <c r="I965" s="2"/>
      <c r="J965" s="2"/>
      <c r="K965" s="5"/>
      <c r="L965" s="2"/>
      <c r="M965" s="2"/>
      <c r="N965" s="2"/>
      <c r="O965" s="2"/>
      <c r="P965" s="2"/>
      <c r="Q965" s="2"/>
      <c r="R965" s="7"/>
      <c r="S965" s="224"/>
      <c r="T965" s="224"/>
      <c r="U965" s="224"/>
      <c r="V965" s="224"/>
    </row>
    <row r="966">
      <c r="A966" s="33"/>
      <c r="B966" s="2"/>
      <c r="C966" s="2"/>
      <c r="D966" s="2"/>
      <c r="E966" s="2"/>
      <c r="F966" s="4"/>
      <c r="G966" s="2"/>
      <c r="H966" s="2"/>
      <c r="I966" s="2"/>
      <c r="J966" s="2"/>
      <c r="K966" s="5"/>
      <c r="L966" s="2"/>
      <c r="M966" s="2"/>
      <c r="N966" s="2"/>
      <c r="O966" s="2"/>
      <c r="P966" s="2"/>
      <c r="Q966" s="2"/>
      <c r="R966" s="7"/>
      <c r="S966" s="224"/>
      <c r="T966" s="224"/>
      <c r="U966" s="224"/>
      <c r="V966" s="224"/>
    </row>
    <row r="967">
      <c r="A967" s="33"/>
      <c r="B967" s="2"/>
      <c r="C967" s="2"/>
      <c r="D967" s="2"/>
      <c r="E967" s="2"/>
      <c r="F967" s="4"/>
      <c r="G967" s="2"/>
      <c r="H967" s="2"/>
      <c r="I967" s="2"/>
      <c r="J967" s="2"/>
      <c r="K967" s="5"/>
      <c r="L967" s="2"/>
      <c r="M967" s="2"/>
      <c r="N967" s="2"/>
      <c r="O967" s="2"/>
      <c r="P967" s="2"/>
      <c r="Q967" s="2"/>
      <c r="R967" s="7"/>
      <c r="S967" s="224"/>
      <c r="T967" s="224"/>
      <c r="U967" s="224"/>
      <c r="V967" s="224"/>
    </row>
    <row r="968">
      <c r="A968" s="33"/>
      <c r="B968" s="2"/>
      <c r="C968" s="2"/>
      <c r="D968" s="2"/>
      <c r="E968" s="2"/>
      <c r="F968" s="4"/>
      <c r="G968" s="2"/>
      <c r="H968" s="2"/>
      <c r="I968" s="2"/>
      <c r="J968" s="2"/>
      <c r="K968" s="5"/>
      <c r="L968" s="2"/>
      <c r="M968" s="2"/>
      <c r="N968" s="2"/>
      <c r="O968" s="2"/>
      <c r="P968" s="2"/>
      <c r="Q968" s="2"/>
      <c r="R968" s="7"/>
      <c r="S968" s="224"/>
      <c r="T968" s="224"/>
      <c r="U968" s="224"/>
      <c r="V968" s="224"/>
    </row>
    <row r="969">
      <c r="A969" s="33"/>
      <c r="B969" s="2"/>
      <c r="C969" s="2"/>
      <c r="D969" s="2"/>
      <c r="E969" s="2"/>
      <c r="F969" s="4"/>
      <c r="G969" s="2"/>
      <c r="H969" s="2"/>
      <c r="I969" s="2"/>
      <c r="J969" s="2"/>
      <c r="K969" s="5"/>
      <c r="L969" s="2"/>
      <c r="M969" s="2"/>
      <c r="N969" s="2"/>
      <c r="O969" s="2"/>
      <c r="P969" s="2"/>
      <c r="Q969" s="2"/>
      <c r="R969" s="7"/>
      <c r="S969" s="224"/>
      <c r="T969" s="224"/>
      <c r="U969" s="224"/>
      <c r="V969" s="224"/>
    </row>
    <row r="970">
      <c r="A970" s="33"/>
      <c r="B970" s="2"/>
      <c r="C970" s="2"/>
      <c r="D970" s="2"/>
      <c r="E970" s="2"/>
      <c r="F970" s="4"/>
      <c r="G970" s="2"/>
      <c r="H970" s="2"/>
      <c r="I970" s="2"/>
      <c r="J970" s="2"/>
      <c r="K970" s="5"/>
      <c r="L970" s="2"/>
      <c r="M970" s="2"/>
      <c r="N970" s="2"/>
      <c r="O970" s="2"/>
      <c r="P970" s="2"/>
      <c r="Q970" s="2"/>
      <c r="R970" s="7"/>
      <c r="S970" s="224"/>
      <c r="T970" s="224"/>
      <c r="U970" s="224"/>
      <c r="V970" s="224"/>
    </row>
    <row r="971">
      <c r="A971" s="33"/>
      <c r="B971" s="2"/>
      <c r="C971" s="2"/>
      <c r="D971" s="2"/>
      <c r="E971" s="2"/>
      <c r="F971" s="4"/>
      <c r="G971" s="2"/>
      <c r="H971" s="2"/>
      <c r="I971" s="2"/>
      <c r="J971" s="2"/>
      <c r="K971" s="5"/>
      <c r="L971" s="2"/>
      <c r="M971" s="2"/>
      <c r="N971" s="2"/>
      <c r="O971" s="2"/>
      <c r="P971" s="2"/>
      <c r="Q971" s="2"/>
      <c r="R971" s="7"/>
      <c r="S971" s="224"/>
      <c r="T971" s="224"/>
      <c r="U971" s="224"/>
      <c r="V971" s="224"/>
    </row>
    <row r="972">
      <c r="A972" s="33"/>
      <c r="B972" s="2"/>
      <c r="C972" s="2"/>
      <c r="D972" s="2"/>
      <c r="E972" s="2"/>
      <c r="F972" s="4"/>
      <c r="G972" s="2"/>
      <c r="H972" s="2"/>
      <c r="I972" s="2"/>
      <c r="J972" s="2"/>
      <c r="K972" s="5"/>
      <c r="L972" s="2"/>
      <c r="M972" s="2"/>
      <c r="N972" s="2"/>
      <c r="O972" s="2"/>
      <c r="P972" s="2"/>
      <c r="Q972" s="2"/>
      <c r="R972" s="7"/>
      <c r="S972" s="224"/>
      <c r="T972" s="224"/>
      <c r="U972" s="224"/>
      <c r="V972" s="224"/>
    </row>
    <row r="973">
      <c r="A973" s="33"/>
      <c r="B973" s="2"/>
      <c r="C973" s="2"/>
      <c r="D973" s="2"/>
      <c r="E973" s="2"/>
      <c r="F973" s="4"/>
      <c r="G973" s="2"/>
      <c r="H973" s="2"/>
      <c r="I973" s="2"/>
      <c r="J973" s="2"/>
      <c r="K973" s="5"/>
      <c r="L973" s="2"/>
      <c r="M973" s="2"/>
      <c r="N973" s="2"/>
      <c r="O973" s="2"/>
      <c r="P973" s="2"/>
      <c r="Q973" s="2"/>
      <c r="R973" s="7"/>
      <c r="S973" s="224"/>
      <c r="T973" s="224"/>
      <c r="U973" s="224"/>
      <c r="V973" s="224"/>
    </row>
    <row r="974">
      <c r="A974" s="33"/>
      <c r="B974" s="2"/>
      <c r="C974" s="2"/>
      <c r="D974" s="2"/>
      <c r="E974" s="2"/>
      <c r="F974" s="4"/>
      <c r="G974" s="2"/>
      <c r="H974" s="2"/>
      <c r="I974" s="2"/>
      <c r="J974" s="2"/>
      <c r="K974" s="5"/>
      <c r="L974" s="2"/>
      <c r="M974" s="2"/>
      <c r="N974" s="2"/>
      <c r="O974" s="2"/>
      <c r="P974" s="2"/>
      <c r="Q974" s="2"/>
      <c r="R974" s="7"/>
      <c r="S974" s="224"/>
      <c r="T974" s="224"/>
      <c r="U974" s="224"/>
      <c r="V974" s="224"/>
    </row>
    <row r="975">
      <c r="A975" s="33"/>
      <c r="B975" s="2"/>
      <c r="C975" s="2"/>
      <c r="D975" s="2"/>
      <c r="E975" s="2"/>
      <c r="F975" s="4"/>
      <c r="G975" s="2"/>
      <c r="H975" s="2"/>
      <c r="I975" s="2"/>
      <c r="J975" s="2"/>
      <c r="K975" s="5"/>
      <c r="L975" s="2"/>
      <c r="M975" s="2"/>
      <c r="N975" s="2"/>
      <c r="O975" s="2"/>
      <c r="P975" s="2"/>
      <c r="Q975" s="2"/>
      <c r="R975" s="7"/>
      <c r="S975" s="224"/>
      <c r="T975" s="224"/>
      <c r="U975" s="224"/>
      <c r="V975" s="224"/>
    </row>
    <row r="976">
      <c r="A976" s="33"/>
      <c r="B976" s="2"/>
      <c r="C976" s="2"/>
      <c r="D976" s="2"/>
      <c r="E976" s="2"/>
      <c r="F976" s="4"/>
      <c r="G976" s="2"/>
      <c r="H976" s="2"/>
      <c r="I976" s="2"/>
      <c r="J976" s="2"/>
      <c r="K976" s="5"/>
      <c r="L976" s="2"/>
      <c r="M976" s="2"/>
      <c r="N976" s="2"/>
      <c r="O976" s="2"/>
      <c r="P976" s="2"/>
      <c r="Q976" s="2"/>
      <c r="R976" s="7"/>
      <c r="S976" s="224"/>
      <c r="T976" s="224"/>
      <c r="U976" s="224"/>
      <c r="V976" s="224"/>
    </row>
    <row r="977">
      <c r="A977" s="33"/>
      <c r="B977" s="2"/>
      <c r="C977" s="2"/>
      <c r="D977" s="2"/>
      <c r="E977" s="2"/>
      <c r="F977" s="4"/>
      <c r="G977" s="2"/>
      <c r="H977" s="2"/>
      <c r="I977" s="2"/>
      <c r="J977" s="2"/>
      <c r="K977" s="5"/>
      <c r="L977" s="2"/>
      <c r="M977" s="2"/>
      <c r="N977" s="2"/>
      <c r="O977" s="2"/>
      <c r="P977" s="2"/>
      <c r="Q977" s="2"/>
      <c r="R977" s="7"/>
      <c r="S977" s="224"/>
      <c r="T977" s="224"/>
      <c r="U977" s="224"/>
      <c r="V977" s="224"/>
    </row>
    <row r="978">
      <c r="A978" s="33"/>
      <c r="B978" s="2"/>
      <c r="C978" s="2"/>
      <c r="D978" s="2"/>
      <c r="E978" s="2"/>
      <c r="F978" s="4"/>
      <c r="G978" s="2"/>
      <c r="H978" s="2"/>
      <c r="I978" s="2"/>
      <c r="J978" s="2"/>
      <c r="K978" s="5"/>
      <c r="L978" s="2"/>
      <c r="M978" s="2"/>
      <c r="N978" s="2"/>
      <c r="O978" s="2"/>
      <c r="P978" s="2"/>
      <c r="Q978" s="2"/>
      <c r="R978" s="7"/>
      <c r="S978" s="224"/>
      <c r="T978" s="224"/>
      <c r="U978" s="224"/>
      <c r="V978" s="224"/>
    </row>
    <row r="979">
      <c r="A979" s="33"/>
      <c r="B979" s="2"/>
      <c r="C979" s="2"/>
      <c r="D979" s="2"/>
      <c r="E979" s="2"/>
      <c r="F979" s="4"/>
      <c r="G979" s="2"/>
      <c r="H979" s="2"/>
      <c r="I979" s="2"/>
      <c r="J979" s="2"/>
      <c r="K979" s="5"/>
      <c r="L979" s="2"/>
      <c r="M979" s="2"/>
      <c r="N979" s="2"/>
      <c r="O979" s="2"/>
      <c r="P979" s="2"/>
      <c r="Q979" s="2"/>
      <c r="R979" s="7"/>
      <c r="S979" s="224"/>
      <c r="T979" s="224"/>
      <c r="U979" s="224"/>
      <c r="V979" s="224"/>
    </row>
    <row r="980">
      <c r="A980" s="33"/>
      <c r="B980" s="2"/>
      <c r="C980" s="2"/>
      <c r="D980" s="2"/>
      <c r="E980" s="2"/>
      <c r="F980" s="4"/>
      <c r="G980" s="2"/>
      <c r="H980" s="2"/>
      <c r="I980" s="2"/>
      <c r="J980" s="2"/>
      <c r="K980" s="5"/>
      <c r="L980" s="2"/>
      <c r="M980" s="2"/>
      <c r="N980" s="2"/>
      <c r="O980" s="2"/>
      <c r="P980" s="2"/>
      <c r="Q980" s="2"/>
      <c r="R980" s="7"/>
      <c r="S980" s="224"/>
      <c r="T980" s="224"/>
      <c r="U980" s="224"/>
      <c r="V980" s="224"/>
    </row>
    <row r="981">
      <c r="A981" s="33"/>
      <c r="B981" s="2"/>
      <c r="C981" s="2"/>
      <c r="D981" s="2"/>
      <c r="E981" s="2"/>
      <c r="F981" s="4"/>
      <c r="G981" s="2"/>
      <c r="H981" s="2"/>
      <c r="I981" s="2"/>
      <c r="J981" s="2"/>
      <c r="K981" s="5"/>
      <c r="L981" s="2"/>
      <c r="M981" s="2"/>
      <c r="N981" s="2"/>
      <c r="O981" s="2"/>
      <c r="P981" s="2"/>
      <c r="Q981" s="2"/>
      <c r="R981" s="7"/>
      <c r="S981" s="224"/>
      <c r="T981" s="224"/>
      <c r="U981" s="224"/>
      <c r="V981" s="224"/>
    </row>
    <row r="982">
      <c r="A982" s="33"/>
      <c r="B982" s="2"/>
      <c r="C982" s="2"/>
      <c r="D982" s="2"/>
      <c r="E982" s="2"/>
      <c r="F982" s="4"/>
      <c r="G982" s="2"/>
      <c r="H982" s="2"/>
      <c r="I982" s="2"/>
      <c r="J982" s="2"/>
      <c r="K982" s="5"/>
      <c r="L982" s="2"/>
      <c r="M982" s="2"/>
      <c r="N982" s="2"/>
      <c r="O982" s="2"/>
      <c r="P982" s="2"/>
      <c r="Q982" s="2"/>
      <c r="R982" s="7"/>
      <c r="S982" s="224"/>
      <c r="T982" s="224"/>
      <c r="U982" s="224"/>
      <c r="V982" s="224"/>
    </row>
    <row r="983">
      <c r="A983" s="33"/>
      <c r="B983" s="2"/>
      <c r="C983" s="2"/>
      <c r="D983" s="2"/>
      <c r="E983" s="2"/>
      <c r="F983" s="4"/>
      <c r="G983" s="2"/>
      <c r="H983" s="2"/>
      <c r="I983" s="2"/>
      <c r="J983" s="2"/>
      <c r="K983" s="5"/>
      <c r="L983" s="2"/>
      <c r="M983" s="2"/>
      <c r="N983" s="2"/>
      <c r="O983" s="2"/>
      <c r="P983" s="2"/>
      <c r="Q983" s="2"/>
      <c r="R983" s="7"/>
      <c r="S983" s="224"/>
      <c r="T983" s="224"/>
      <c r="U983" s="224"/>
      <c r="V983" s="224"/>
    </row>
    <row r="984">
      <c r="A984" s="33"/>
      <c r="B984" s="2"/>
      <c r="C984" s="2"/>
      <c r="D984" s="2"/>
      <c r="E984" s="2"/>
      <c r="F984" s="4"/>
      <c r="G984" s="2"/>
      <c r="H984" s="2"/>
      <c r="I984" s="2"/>
      <c r="J984" s="2"/>
      <c r="K984" s="5"/>
      <c r="L984" s="2"/>
      <c r="M984" s="2"/>
      <c r="N984" s="2"/>
      <c r="O984" s="2"/>
      <c r="P984" s="2"/>
      <c r="Q984" s="2"/>
      <c r="R984" s="7"/>
      <c r="S984" s="224"/>
      <c r="T984" s="224"/>
      <c r="U984" s="224"/>
      <c r="V984" s="224"/>
    </row>
    <row r="985">
      <c r="A985" s="33"/>
      <c r="B985" s="2"/>
      <c r="C985" s="2"/>
      <c r="D985" s="2"/>
      <c r="E985" s="2"/>
      <c r="F985" s="4"/>
      <c r="G985" s="2"/>
      <c r="H985" s="2"/>
      <c r="I985" s="2"/>
      <c r="J985" s="2"/>
      <c r="K985" s="5"/>
      <c r="L985" s="2"/>
      <c r="M985" s="2"/>
      <c r="N985" s="2"/>
      <c r="O985" s="2"/>
      <c r="P985" s="2"/>
      <c r="Q985" s="2"/>
      <c r="R985" s="7"/>
      <c r="S985" s="224"/>
      <c r="T985" s="224"/>
      <c r="U985" s="224"/>
      <c r="V985" s="224"/>
    </row>
    <row r="986">
      <c r="A986" s="33"/>
      <c r="B986" s="2"/>
      <c r="C986" s="2"/>
      <c r="D986" s="2"/>
      <c r="E986" s="2"/>
      <c r="F986" s="4"/>
      <c r="G986" s="2"/>
      <c r="H986" s="2"/>
      <c r="I986" s="2"/>
      <c r="J986" s="2"/>
      <c r="K986" s="5"/>
      <c r="L986" s="2"/>
      <c r="M986" s="2"/>
      <c r="N986" s="2"/>
      <c r="O986" s="2"/>
      <c r="P986" s="2"/>
      <c r="Q986" s="2"/>
      <c r="R986" s="7"/>
      <c r="S986" s="224"/>
      <c r="T986" s="224"/>
      <c r="U986" s="224"/>
      <c r="V986" s="224"/>
    </row>
    <row r="987">
      <c r="A987" s="33"/>
      <c r="B987" s="2"/>
      <c r="C987" s="2"/>
      <c r="D987" s="2"/>
      <c r="E987" s="2"/>
      <c r="F987" s="4"/>
      <c r="G987" s="2"/>
      <c r="H987" s="2"/>
      <c r="I987" s="2"/>
      <c r="J987" s="2"/>
      <c r="K987" s="5"/>
      <c r="L987" s="2"/>
      <c r="M987" s="2"/>
      <c r="N987" s="2"/>
      <c r="O987" s="2"/>
      <c r="P987" s="2"/>
      <c r="Q987" s="2"/>
      <c r="R987" s="7"/>
      <c r="S987" s="224"/>
      <c r="T987" s="224"/>
      <c r="U987" s="224"/>
      <c r="V987" s="224"/>
    </row>
    <row r="988">
      <c r="A988" s="33"/>
      <c r="B988" s="2"/>
      <c r="C988" s="2"/>
      <c r="D988" s="2"/>
      <c r="E988" s="2"/>
      <c r="F988" s="4"/>
      <c r="G988" s="2"/>
      <c r="H988" s="2"/>
      <c r="I988" s="2"/>
      <c r="J988" s="2"/>
      <c r="K988" s="5"/>
      <c r="L988" s="2"/>
      <c r="M988" s="2"/>
      <c r="N988" s="2"/>
      <c r="O988" s="2"/>
      <c r="P988" s="2"/>
      <c r="Q988" s="2"/>
      <c r="R988" s="7"/>
      <c r="S988" s="224"/>
      <c r="T988" s="224"/>
      <c r="U988" s="224"/>
      <c r="V988" s="224"/>
    </row>
    <row r="989">
      <c r="A989" s="33"/>
      <c r="B989" s="2"/>
      <c r="C989" s="2"/>
      <c r="D989" s="2"/>
      <c r="E989" s="2"/>
      <c r="F989" s="4"/>
      <c r="G989" s="2"/>
      <c r="H989" s="2"/>
      <c r="I989" s="2"/>
      <c r="J989" s="2"/>
      <c r="K989" s="5"/>
      <c r="L989" s="2"/>
      <c r="M989" s="2"/>
      <c r="N989" s="2"/>
      <c r="O989" s="2"/>
      <c r="P989" s="2"/>
      <c r="Q989" s="2"/>
      <c r="R989" s="7"/>
      <c r="S989" s="224"/>
      <c r="T989" s="224"/>
      <c r="U989" s="224"/>
      <c r="V989" s="224"/>
    </row>
    <row r="990">
      <c r="A990" s="33"/>
      <c r="B990" s="2"/>
      <c r="C990" s="2"/>
      <c r="D990" s="2"/>
      <c r="E990" s="2"/>
      <c r="F990" s="4"/>
      <c r="G990" s="2"/>
      <c r="H990" s="2"/>
      <c r="I990" s="2"/>
      <c r="J990" s="2"/>
      <c r="K990" s="5"/>
      <c r="L990" s="2"/>
      <c r="M990" s="2"/>
      <c r="N990" s="2"/>
      <c r="O990" s="2"/>
      <c r="P990" s="2"/>
      <c r="Q990" s="2"/>
      <c r="R990" s="7"/>
      <c r="S990" s="224"/>
      <c r="T990" s="224"/>
      <c r="U990" s="224"/>
      <c r="V990" s="224"/>
    </row>
    <row r="991">
      <c r="A991" s="33"/>
      <c r="B991" s="2"/>
      <c r="C991" s="2"/>
      <c r="D991" s="2"/>
      <c r="E991" s="2"/>
      <c r="F991" s="4"/>
      <c r="G991" s="2"/>
      <c r="H991" s="2"/>
      <c r="I991" s="2"/>
      <c r="J991" s="2"/>
      <c r="K991" s="5"/>
      <c r="L991" s="2"/>
      <c r="M991" s="2"/>
      <c r="N991" s="2"/>
      <c r="O991" s="2"/>
      <c r="P991" s="2"/>
      <c r="Q991" s="2"/>
      <c r="R991" s="7"/>
      <c r="S991" s="224"/>
      <c r="T991" s="224"/>
      <c r="U991" s="224"/>
      <c r="V991" s="224"/>
    </row>
    <row r="992">
      <c r="A992" s="33"/>
      <c r="B992" s="2"/>
      <c r="C992" s="2"/>
      <c r="D992" s="2"/>
      <c r="E992" s="2"/>
      <c r="F992" s="4"/>
      <c r="G992" s="2"/>
      <c r="H992" s="2"/>
      <c r="I992" s="2"/>
      <c r="J992" s="2"/>
      <c r="K992" s="5"/>
      <c r="L992" s="2"/>
      <c r="M992" s="2"/>
      <c r="N992" s="2"/>
      <c r="O992" s="2"/>
      <c r="P992" s="2"/>
      <c r="Q992" s="2"/>
      <c r="R992" s="7"/>
      <c r="S992" s="224"/>
      <c r="T992" s="224"/>
      <c r="U992" s="224"/>
      <c r="V992" s="224"/>
    </row>
    <row r="993">
      <c r="A993" s="33"/>
      <c r="B993" s="2"/>
      <c r="C993" s="2"/>
      <c r="D993" s="2"/>
      <c r="E993" s="2"/>
      <c r="F993" s="4"/>
      <c r="G993" s="2"/>
      <c r="H993" s="2"/>
      <c r="I993" s="2"/>
      <c r="J993" s="2"/>
      <c r="K993" s="5"/>
      <c r="L993" s="2"/>
      <c r="M993" s="2"/>
      <c r="N993" s="2"/>
      <c r="O993" s="2"/>
      <c r="P993" s="2"/>
      <c r="Q993" s="2"/>
      <c r="R993" s="7"/>
      <c r="S993" s="224"/>
      <c r="T993" s="224"/>
      <c r="U993" s="224"/>
      <c r="V993" s="224"/>
    </row>
    <row r="994">
      <c r="A994" s="33"/>
      <c r="B994" s="2"/>
      <c r="C994" s="2"/>
      <c r="D994" s="2"/>
      <c r="E994" s="2"/>
      <c r="F994" s="4"/>
      <c r="G994" s="2"/>
      <c r="H994" s="2"/>
      <c r="I994" s="2"/>
      <c r="J994" s="2"/>
      <c r="K994" s="5"/>
      <c r="L994" s="2"/>
      <c r="M994" s="2"/>
      <c r="N994" s="2"/>
      <c r="O994" s="2"/>
      <c r="P994" s="2"/>
      <c r="Q994" s="2"/>
      <c r="R994" s="7"/>
      <c r="S994" s="224"/>
      <c r="T994" s="224"/>
      <c r="U994" s="224"/>
      <c r="V994" s="224"/>
    </row>
    <row r="995">
      <c r="A995" s="33"/>
      <c r="B995" s="2"/>
      <c r="C995" s="2"/>
      <c r="D995" s="2"/>
      <c r="E995" s="2"/>
      <c r="F995" s="4"/>
      <c r="G995" s="2"/>
      <c r="H995" s="2"/>
      <c r="I995" s="2"/>
      <c r="J995" s="2"/>
      <c r="K995" s="5"/>
      <c r="L995" s="2"/>
      <c r="M995" s="2"/>
      <c r="N995" s="2"/>
      <c r="O995" s="2"/>
      <c r="P995" s="2"/>
      <c r="Q995" s="2"/>
      <c r="R995" s="7"/>
      <c r="S995" s="224"/>
      <c r="T995" s="224"/>
      <c r="U995" s="224"/>
      <c r="V995" s="224"/>
    </row>
    <row r="996">
      <c r="A996" s="33"/>
      <c r="B996" s="2"/>
      <c r="C996" s="2"/>
      <c r="D996" s="2"/>
      <c r="E996" s="2"/>
      <c r="F996" s="4"/>
      <c r="G996" s="2"/>
      <c r="H996" s="2"/>
      <c r="I996" s="2"/>
      <c r="J996" s="2"/>
      <c r="K996" s="5"/>
      <c r="L996" s="2"/>
      <c r="M996" s="2"/>
      <c r="N996" s="2"/>
      <c r="O996" s="2"/>
      <c r="P996" s="2"/>
      <c r="Q996" s="2"/>
      <c r="R996" s="7"/>
      <c r="S996" s="224"/>
      <c r="T996" s="224"/>
      <c r="U996" s="224"/>
      <c r="V996" s="224"/>
    </row>
    <row r="997">
      <c r="A997" s="33"/>
      <c r="B997" s="2"/>
      <c r="C997" s="2"/>
      <c r="D997" s="2"/>
      <c r="E997" s="2"/>
      <c r="F997" s="4"/>
      <c r="G997" s="2"/>
      <c r="H997" s="2"/>
      <c r="I997" s="2"/>
      <c r="J997" s="2"/>
      <c r="K997" s="5"/>
      <c r="L997" s="2"/>
      <c r="M997" s="2"/>
      <c r="N997" s="2"/>
      <c r="O997" s="2"/>
      <c r="P997" s="2"/>
      <c r="Q997" s="2"/>
      <c r="R997" s="7"/>
      <c r="S997" s="224"/>
      <c r="T997" s="224"/>
      <c r="U997" s="224"/>
      <c r="V997" s="224"/>
    </row>
    <row r="998">
      <c r="A998" s="33"/>
      <c r="B998" s="2"/>
      <c r="C998" s="2"/>
      <c r="D998" s="2"/>
      <c r="E998" s="2"/>
      <c r="F998" s="4"/>
      <c r="G998" s="2"/>
      <c r="H998" s="2"/>
      <c r="I998" s="2"/>
      <c r="J998" s="2"/>
      <c r="K998" s="5"/>
      <c r="L998" s="2"/>
      <c r="M998" s="2"/>
      <c r="N998" s="2"/>
      <c r="O998" s="2"/>
      <c r="P998" s="2"/>
      <c r="Q998" s="2"/>
      <c r="R998" s="7"/>
      <c r="S998" s="224"/>
      <c r="T998" s="224"/>
      <c r="U998" s="224"/>
      <c r="V998" s="224"/>
    </row>
    <row r="999">
      <c r="A999" s="33"/>
      <c r="B999" s="2"/>
      <c r="C999" s="2"/>
      <c r="D999" s="2"/>
      <c r="E999" s="2"/>
      <c r="F999" s="4"/>
      <c r="G999" s="2"/>
      <c r="H999" s="2"/>
      <c r="I999" s="2"/>
      <c r="J999" s="2"/>
      <c r="K999" s="5"/>
      <c r="L999" s="2"/>
      <c r="M999" s="2"/>
      <c r="N999" s="2"/>
      <c r="O999" s="2"/>
      <c r="P999" s="2"/>
      <c r="Q999" s="2"/>
      <c r="R999" s="7"/>
      <c r="S999" s="224"/>
      <c r="T999" s="224"/>
      <c r="U999" s="224"/>
      <c r="V999" s="224"/>
    </row>
    <row r="1000">
      <c r="A1000" s="33"/>
      <c r="B1000" s="2"/>
      <c r="C1000" s="2"/>
      <c r="D1000" s="2"/>
      <c r="E1000" s="2"/>
      <c r="F1000" s="4"/>
      <c r="G1000" s="2"/>
      <c r="H1000" s="2"/>
      <c r="I1000" s="2"/>
      <c r="J1000" s="2"/>
      <c r="K1000" s="5"/>
      <c r="L1000" s="2"/>
      <c r="M1000" s="2"/>
      <c r="N1000" s="2"/>
      <c r="O1000" s="2"/>
      <c r="P1000" s="2"/>
      <c r="Q1000" s="2"/>
      <c r="R1000" s="7"/>
      <c r="S1000" s="224"/>
      <c r="T1000" s="224"/>
      <c r="U1000" s="224"/>
      <c r="V1000" s="224"/>
    </row>
    <row r="1001">
      <c r="A1001" s="33"/>
      <c r="B1001" s="2"/>
      <c r="C1001" s="2"/>
      <c r="D1001" s="2"/>
      <c r="E1001" s="2"/>
      <c r="F1001" s="4"/>
      <c r="G1001" s="2"/>
      <c r="H1001" s="2"/>
      <c r="I1001" s="2"/>
      <c r="J1001" s="2"/>
      <c r="K1001" s="5"/>
      <c r="L1001" s="2"/>
      <c r="M1001" s="2"/>
      <c r="N1001" s="2"/>
      <c r="O1001" s="2"/>
      <c r="P1001" s="2"/>
      <c r="Q1001" s="2"/>
      <c r="R1001" s="7"/>
      <c r="S1001" s="224"/>
      <c r="T1001" s="224"/>
      <c r="U1001" s="224"/>
      <c r="V1001" s="224"/>
    </row>
    <row r="1002">
      <c r="A1002" s="33"/>
      <c r="B1002" s="2"/>
      <c r="C1002" s="2"/>
      <c r="D1002" s="2"/>
      <c r="E1002" s="2"/>
      <c r="F1002" s="4"/>
      <c r="G1002" s="2"/>
      <c r="H1002" s="2"/>
      <c r="I1002" s="2"/>
      <c r="J1002" s="2"/>
      <c r="K1002" s="5"/>
      <c r="L1002" s="2"/>
      <c r="M1002" s="2"/>
      <c r="N1002" s="2"/>
      <c r="O1002" s="2"/>
      <c r="P1002" s="2"/>
      <c r="Q1002" s="2"/>
      <c r="R1002" s="7"/>
      <c r="S1002" s="224"/>
      <c r="T1002" s="224"/>
      <c r="U1002" s="224"/>
      <c r="V1002" s="224"/>
    </row>
    <row r="1003">
      <c r="A1003" s="33"/>
      <c r="B1003" s="2"/>
      <c r="C1003" s="2"/>
      <c r="D1003" s="2"/>
      <c r="E1003" s="2"/>
      <c r="F1003" s="4"/>
      <c r="G1003" s="2"/>
      <c r="H1003" s="2"/>
      <c r="I1003" s="2"/>
      <c r="J1003" s="2"/>
      <c r="K1003" s="5"/>
      <c r="L1003" s="2"/>
      <c r="M1003" s="2"/>
      <c r="N1003" s="2"/>
      <c r="O1003" s="2"/>
      <c r="P1003" s="2"/>
      <c r="Q1003" s="2"/>
      <c r="R1003" s="7"/>
      <c r="S1003" s="224"/>
      <c r="T1003" s="224"/>
      <c r="U1003" s="224"/>
      <c r="V1003" s="224"/>
    </row>
    <row r="1004">
      <c r="A1004" s="33"/>
      <c r="B1004" s="2"/>
      <c r="C1004" s="2"/>
      <c r="D1004" s="2"/>
      <c r="E1004" s="2"/>
      <c r="F1004" s="4"/>
      <c r="G1004" s="2"/>
      <c r="H1004" s="2"/>
      <c r="I1004" s="2"/>
      <c r="J1004" s="2"/>
      <c r="K1004" s="5"/>
      <c r="L1004" s="2"/>
      <c r="M1004" s="2"/>
      <c r="N1004" s="2"/>
      <c r="O1004" s="2"/>
      <c r="P1004" s="2"/>
      <c r="Q1004" s="2"/>
      <c r="R1004" s="7"/>
      <c r="S1004" s="224"/>
      <c r="T1004" s="224"/>
      <c r="U1004" s="224"/>
      <c r="V1004" s="224"/>
    </row>
    <row r="1005">
      <c r="A1005" s="33"/>
      <c r="B1005" s="2"/>
      <c r="C1005" s="2"/>
      <c r="D1005" s="2"/>
      <c r="E1005" s="2"/>
      <c r="F1005" s="4"/>
      <c r="G1005" s="2"/>
      <c r="H1005" s="2"/>
      <c r="I1005" s="2"/>
      <c r="J1005" s="2"/>
      <c r="K1005" s="5"/>
      <c r="L1005" s="2"/>
      <c r="M1005" s="2"/>
      <c r="N1005" s="2"/>
      <c r="O1005" s="2"/>
      <c r="P1005" s="2"/>
      <c r="Q1005" s="2"/>
      <c r="R1005" s="7"/>
      <c r="S1005" s="224"/>
      <c r="T1005" s="224"/>
      <c r="U1005" s="224"/>
      <c r="V1005" s="224"/>
    </row>
    <row r="1006">
      <c r="A1006" s="33"/>
      <c r="B1006" s="2"/>
      <c r="C1006" s="2"/>
      <c r="D1006" s="2"/>
      <c r="E1006" s="2"/>
      <c r="F1006" s="4"/>
      <c r="G1006" s="2"/>
      <c r="H1006" s="2"/>
      <c r="I1006" s="2"/>
      <c r="J1006" s="2"/>
      <c r="K1006" s="5"/>
      <c r="L1006" s="2"/>
      <c r="M1006" s="2"/>
      <c r="N1006" s="2"/>
      <c r="O1006" s="2"/>
      <c r="P1006" s="2"/>
      <c r="Q1006" s="2"/>
      <c r="R1006" s="7"/>
      <c r="S1006" s="224"/>
      <c r="T1006" s="224"/>
      <c r="U1006" s="224"/>
      <c r="V1006" s="224"/>
    </row>
    <row r="1007">
      <c r="A1007" s="33"/>
      <c r="B1007" s="2"/>
      <c r="C1007" s="2"/>
      <c r="D1007" s="2"/>
      <c r="E1007" s="2"/>
      <c r="F1007" s="4"/>
      <c r="G1007" s="2"/>
      <c r="H1007" s="2"/>
      <c r="I1007" s="2"/>
      <c r="J1007" s="2"/>
      <c r="K1007" s="5"/>
      <c r="L1007" s="2"/>
      <c r="M1007" s="2"/>
      <c r="N1007" s="2"/>
      <c r="O1007" s="2"/>
      <c r="P1007" s="2"/>
      <c r="Q1007" s="2"/>
      <c r="R1007" s="7"/>
      <c r="S1007" s="224"/>
      <c r="T1007" s="224"/>
      <c r="U1007" s="224"/>
      <c r="V1007" s="224"/>
    </row>
    <row r="1008">
      <c r="A1008" s="33"/>
      <c r="B1008" s="2"/>
      <c r="C1008" s="2"/>
      <c r="D1008" s="2"/>
      <c r="E1008" s="2"/>
      <c r="F1008" s="4"/>
      <c r="G1008" s="2"/>
      <c r="H1008" s="2"/>
      <c r="I1008" s="2"/>
      <c r="J1008" s="2"/>
      <c r="K1008" s="5"/>
      <c r="L1008" s="2"/>
      <c r="M1008" s="2"/>
      <c r="N1008" s="2"/>
      <c r="O1008" s="2"/>
      <c r="P1008" s="2"/>
      <c r="Q1008" s="2"/>
      <c r="R1008" s="7"/>
      <c r="S1008" s="224"/>
      <c r="T1008" s="224"/>
      <c r="U1008" s="224"/>
      <c r="V1008" s="224"/>
    </row>
    <row r="1009">
      <c r="A1009" s="33"/>
      <c r="B1009" s="2"/>
      <c r="C1009" s="2"/>
      <c r="D1009" s="2"/>
      <c r="E1009" s="2"/>
      <c r="F1009" s="4"/>
      <c r="G1009" s="2"/>
      <c r="H1009" s="2"/>
      <c r="I1009" s="2"/>
      <c r="J1009" s="2"/>
      <c r="K1009" s="5"/>
      <c r="L1009" s="2"/>
      <c r="M1009" s="2"/>
      <c r="N1009" s="2"/>
      <c r="O1009" s="2"/>
      <c r="P1009" s="2"/>
      <c r="Q1009" s="2"/>
      <c r="R1009" s="7"/>
      <c r="S1009" s="224"/>
      <c r="T1009" s="224"/>
      <c r="U1009" s="224"/>
      <c r="V1009" s="224"/>
    </row>
    <row r="1010">
      <c r="A1010" s="33"/>
      <c r="B1010" s="2"/>
      <c r="C1010" s="2"/>
      <c r="D1010" s="2"/>
      <c r="E1010" s="2"/>
      <c r="F1010" s="4"/>
      <c r="G1010" s="2"/>
      <c r="H1010" s="2"/>
      <c r="I1010" s="2"/>
      <c r="J1010" s="2"/>
      <c r="K1010" s="5"/>
      <c r="L1010" s="2"/>
      <c r="M1010" s="2"/>
      <c r="N1010" s="2"/>
      <c r="O1010" s="2"/>
      <c r="P1010" s="2"/>
      <c r="Q1010" s="2"/>
      <c r="R1010" s="7"/>
      <c r="S1010" s="224"/>
      <c r="T1010" s="224"/>
      <c r="U1010" s="224"/>
      <c r="V1010" s="224"/>
    </row>
    <row r="1011">
      <c r="A1011" s="33"/>
      <c r="B1011" s="2"/>
      <c r="C1011" s="2"/>
      <c r="D1011" s="2"/>
      <c r="E1011" s="2"/>
      <c r="F1011" s="4"/>
      <c r="G1011" s="2"/>
      <c r="H1011" s="2"/>
      <c r="I1011" s="2"/>
      <c r="J1011" s="2"/>
      <c r="K1011" s="5"/>
      <c r="L1011" s="2"/>
      <c r="M1011" s="2"/>
      <c r="N1011" s="2"/>
      <c r="O1011" s="2"/>
      <c r="P1011" s="2"/>
      <c r="Q1011" s="2"/>
      <c r="R1011" s="7"/>
      <c r="S1011" s="224"/>
      <c r="T1011" s="224"/>
      <c r="U1011" s="224"/>
      <c r="V1011" s="224"/>
    </row>
    <row r="1012">
      <c r="A1012" s="33"/>
      <c r="B1012" s="2"/>
      <c r="C1012" s="2"/>
      <c r="D1012" s="2"/>
      <c r="E1012" s="2"/>
      <c r="F1012" s="4"/>
      <c r="G1012" s="2"/>
      <c r="H1012" s="2"/>
      <c r="I1012" s="2"/>
      <c r="J1012" s="2"/>
      <c r="K1012" s="5"/>
      <c r="L1012" s="2"/>
      <c r="M1012" s="2"/>
      <c r="N1012" s="2"/>
      <c r="O1012" s="2"/>
      <c r="P1012" s="2"/>
      <c r="Q1012" s="2"/>
      <c r="R1012" s="7"/>
      <c r="S1012" s="224"/>
      <c r="T1012" s="224"/>
      <c r="U1012" s="224"/>
      <c r="V1012" s="224"/>
    </row>
    <row r="1013">
      <c r="A1013" s="33"/>
      <c r="B1013" s="2"/>
      <c r="C1013" s="2"/>
      <c r="D1013" s="2"/>
      <c r="E1013" s="2"/>
      <c r="F1013" s="4"/>
      <c r="G1013" s="2"/>
      <c r="H1013" s="2"/>
      <c r="I1013" s="2"/>
      <c r="J1013" s="2"/>
      <c r="K1013" s="5"/>
      <c r="L1013" s="2"/>
      <c r="M1013" s="2"/>
      <c r="N1013" s="2"/>
      <c r="O1013" s="2"/>
      <c r="P1013" s="2"/>
      <c r="Q1013" s="2"/>
      <c r="R1013" s="7"/>
      <c r="S1013" s="224"/>
      <c r="T1013" s="224"/>
      <c r="U1013" s="224"/>
      <c r="V1013" s="224"/>
    </row>
    <row r="1014">
      <c r="A1014" s="33"/>
      <c r="B1014" s="2"/>
      <c r="C1014" s="2"/>
      <c r="D1014" s="2"/>
      <c r="E1014" s="2"/>
      <c r="F1014" s="4"/>
      <c r="G1014" s="2"/>
      <c r="H1014" s="2"/>
      <c r="I1014" s="2"/>
      <c r="J1014" s="2"/>
      <c r="K1014" s="5"/>
      <c r="L1014" s="2"/>
      <c r="M1014" s="2"/>
      <c r="N1014" s="2"/>
      <c r="O1014" s="2"/>
      <c r="P1014" s="2"/>
      <c r="Q1014" s="2"/>
      <c r="R1014" s="7"/>
      <c r="S1014" s="224"/>
      <c r="T1014" s="224"/>
      <c r="U1014" s="224"/>
      <c r="V1014" s="224"/>
    </row>
    <row r="1015">
      <c r="A1015" s="33"/>
      <c r="B1015" s="2"/>
      <c r="C1015" s="2"/>
      <c r="D1015" s="2"/>
      <c r="E1015" s="2"/>
      <c r="F1015" s="4"/>
      <c r="G1015" s="2"/>
      <c r="H1015" s="2"/>
      <c r="I1015" s="2"/>
      <c r="J1015" s="2"/>
      <c r="K1015" s="5"/>
      <c r="L1015" s="2"/>
      <c r="M1015" s="2"/>
      <c r="N1015" s="2"/>
      <c r="O1015" s="2"/>
      <c r="P1015" s="2"/>
      <c r="Q1015" s="2"/>
      <c r="R1015" s="7"/>
      <c r="S1015" s="224"/>
      <c r="T1015" s="224"/>
      <c r="U1015" s="224"/>
      <c r="V1015" s="224"/>
    </row>
    <row r="1016">
      <c r="A1016" s="33"/>
      <c r="B1016" s="2"/>
      <c r="C1016" s="2"/>
      <c r="D1016" s="2"/>
      <c r="E1016" s="2"/>
      <c r="F1016" s="4"/>
      <c r="G1016" s="2"/>
      <c r="H1016" s="2"/>
      <c r="I1016" s="2"/>
      <c r="J1016" s="2"/>
      <c r="K1016" s="5"/>
      <c r="L1016" s="2"/>
      <c r="M1016" s="2"/>
      <c r="N1016" s="2"/>
      <c r="O1016" s="2"/>
      <c r="P1016" s="2"/>
      <c r="Q1016" s="2"/>
      <c r="R1016" s="7"/>
      <c r="S1016" s="224"/>
      <c r="T1016" s="224"/>
      <c r="U1016" s="224"/>
      <c r="V1016" s="224"/>
    </row>
    <row r="1017">
      <c r="A1017" s="33"/>
      <c r="B1017" s="2"/>
      <c r="C1017" s="2"/>
      <c r="D1017" s="2"/>
      <c r="E1017" s="2"/>
      <c r="F1017" s="4"/>
      <c r="G1017" s="2"/>
      <c r="H1017" s="2"/>
      <c r="I1017" s="2"/>
      <c r="J1017" s="2"/>
      <c r="K1017" s="5"/>
      <c r="L1017" s="2"/>
      <c r="M1017" s="2"/>
      <c r="N1017" s="2"/>
      <c r="O1017" s="2"/>
      <c r="P1017" s="2"/>
      <c r="Q1017" s="2"/>
      <c r="R1017" s="7"/>
      <c r="S1017" s="224"/>
      <c r="T1017" s="224"/>
      <c r="U1017" s="224"/>
      <c r="V1017" s="224"/>
    </row>
    <row r="1018">
      <c r="A1018" s="33"/>
      <c r="B1018" s="2"/>
      <c r="C1018" s="2"/>
      <c r="D1018" s="2"/>
      <c r="E1018" s="2"/>
      <c r="F1018" s="4"/>
      <c r="G1018" s="2"/>
      <c r="H1018" s="2"/>
      <c r="I1018" s="2"/>
      <c r="J1018" s="2"/>
      <c r="K1018" s="5"/>
      <c r="L1018" s="2"/>
      <c r="M1018" s="2"/>
      <c r="N1018" s="2"/>
      <c r="O1018" s="2"/>
      <c r="P1018" s="2"/>
      <c r="Q1018" s="2"/>
      <c r="R1018" s="7"/>
      <c r="S1018" s="224"/>
      <c r="T1018" s="224"/>
      <c r="U1018" s="224"/>
      <c r="V1018" s="224"/>
    </row>
    <row r="1019">
      <c r="A1019" s="33"/>
      <c r="B1019" s="2"/>
      <c r="C1019" s="2"/>
      <c r="D1019" s="2"/>
      <c r="E1019" s="2"/>
      <c r="F1019" s="4"/>
      <c r="G1019" s="2"/>
      <c r="H1019" s="2"/>
      <c r="I1019" s="2"/>
      <c r="J1019" s="2"/>
      <c r="K1019" s="5"/>
      <c r="L1019" s="2"/>
      <c r="M1019" s="2"/>
      <c r="N1019" s="2"/>
      <c r="O1019" s="2"/>
      <c r="P1019" s="2"/>
      <c r="Q1019" s="2"/>
      <c r="R1019" s="7"/>
      <c r="S1019" s="224"/>
      <c r="T1019" s="224"/>
      <c r="U1019" s="224"/>
      <c r="V1019" s="224"/>
    </row>
    <row r="1020">
      <c r="A1020" s="33"/>
      <c r="B1020" s="2"/>
      <c r="C1020" s="2"/>
      <c r="D1020" s="2"/>
      <c r="E1020" s="2"/>
      <c r="F1020" s="4"/>
      <c r="G1020" s="2"/>
      <c r="H1020" s="2"/>
      <c r="I1020" s="2"/>
      <c r="J1020" s="2"/>
      <c r="K1020" s="5"/>
      <c r="L1020" s="2"/>
      <c r="M1020" s="2"/>
      <c r="N1020" s="2"/>
      <c r="O1020" s="2"/>
      <c r="P1020" s="2"/>
      <c r="Q1020" s="2"/>
      <c r="R1020" s="7"/>
      <c r="S1020" s="224"/>
      <c r="T1020" s="224"/>
      <c r="U1020" s="224"/>
      <c r="V1020" s="224"/>
    </row>
    <row r="1021">
      <c r="A1021" s="33"/>
      <c r="B1021" s="2"/>
      <c r="C1021" s="2"/>
      <c r="D1021" s="2"/>
      <c r="E1021" s="2"/>
      <c r="F1021" s="4"/>
      <c r="G1021" s="2"/>
      <c r="H1021" s="2"/>
      <c r="I1021" s="2"/>
      <c r="J1021" s="2"/>
      <c r="K1021" s="5"/>
      <c r="L1021" s="2"/>
      <c r="M1021" s="2"/>
      <c r="N1021" s="2"/>
      <c r="O1021" s="2"/>
      <c r="P1021" s="2"/>
      <c r="Q1021" s="2"/>
      <c r="R1021" s="7"/>
      <c r="S1021" s="224"/>
      <c r="T1021" s="224"/>
      <c r="U1021" s="224"/>
      <c r="V1021" s="224"/>
    </row>
    <row r="1022">
      <c r="A1022" s="33"/>
      <c r="B1022" s="2"/>
      <c r="C1022" s="2"/>
      <c r="D1022" s="2"/>
      <c r="E1022" s="2"/>
      <c r="F1022" s="4"/>
      <c r="G1022" s="2"/>
      <c r="H1022" s="2"/>
      <c r="I1022" s="2"/>
      <c r="J1022" s="2"/>
      <c r="K1022" s="5"/>
      <c r="L1022" s="2"/>
      <c r="M1022" s="2"/>
      <c r="N1022" s="2"/>
      <c r="O1022" s="2"/>
      <c r="P1022" s="2"/>
      <c r="Q1022" s="2"/>
      <c r="R1022" s="7"/>
      <c r="S1022" s="224"/>
      <c r="T1022" s="224"/>
      <c r="U1022" s="224"/>
      <c r="V1022" s="224"/>
    </row>
    <row r="1023">
      <c r="A1023" s="33"/>
      <c r="B1023" s="2"/>
      <c r="C1023" s="2"/>
      <c r="D1023" s="2"/>
      <c r="E1023" s="2"/>
      <c r="F1023" s="4"/>
      <c r="G1023" s="2"/>
      <c r="H1023" s="2"/>
      <c r="I1023" s="2"/>
      <c r="J1023" s="2"/>
      <c r="K1023" s="5"/>
      <c r="L1023" s="2"/>
      <c r="M1023" s="2"/>
      <c r="N1023" s="2"/>
      <c r="O1023" s="2"/>
      <c r="P1023" s="2"/>
      <c r="Q1023" s="2"/>
      <c r="R1023" s="7"/>
      <c r="S1023" s="224"/>
      <c r="T1023" s="224"/>
      <c r="U1023" s="224"/>
      <c r="V1023" s="224"/>
    </row>
    <row r="1024">
      <c r="A1024" s="33"/>
      <c r="B1024" s="2"/>
      <c r="C1024" s="2"/>
      <c r="D1024" s="2"/>
      <c r="E1024" s="2"/>
      <c r="F1024" s="4"/>
      <c r="G1024" s="2"/>
      <c r="H1024" s="2"/>
      <c r="I1024" s="2"/>
      <c r="J1024" s="2"/>
      <c r="K1024" s="5"/>
      <c r="L1024" s="2"/>
      <c r="M1024" s="2"/>
      <c r="N1024" s="2"/>
      <c r="O1024" s="2"/>
      <c r="P1024" s="2"/>
      <c r="Q1024" s="2"/>
      <c r="R1024" s="7"/>
      <c r="S1024" s="224"/>
      <c r="T1024" s="224"/>
      <c r="U1024" s="224"/>
      <c r="V1024" s="224"/>
    </row>
    <row r="1025">
      <c r="A1025" s="33"/>
      <c r="B1025" s="2"/>
      <c r="C1025" s="2"/>
      <c r="D1025" s="2"/>
      <c r="E1025" s="2"/>
      <c r="F1025" s="4"/>
      <c r="G1025" s="2"/>
      <c r="H1025" s="2"/>
      <c r="I1025" s="2"/>
      <c r="J1025" s="2"/>
      <c r="K1025" s="5"/>
      <c r="L1025" s="2"/>
      <c r="M1025" s="2"/>
      <c r="N1025" s="2"/>
      <c r="O1025" s="2"/>
      <c r="P1025" s="2"/>
      <c r="Q1025" s="2"/>
      <c r="R1025" s="7"/>
      <c r="S1025" s="224"/>
      <c r="T1025" s="224"/>
      <c r="U1025" s="224"/>
      <c r="V1025" s="224"/>
    </row>
    <row r="1026">
      <c r="A1026" s="33"/>
      <c r="B1026" s="2"/>
      <c r="C1026" s="2"/>
      <c r="D1026" s="2"/>
      <c r="E1026" s="2"/>
      <c r="F1026" s="4"/>
      <c r="G1026" s="2"/>
      <c r="H1026" s="2"/>
      <c r="I1026" s="2"/>
      <c r="J1026" s="2"/>
      <c r="K1026" s="5"/>
      <c r="L1026" s="2"/>
      <c r="M1026" s="2"/>
      <c r="N1026" s="2"/>
      <c r="O1026" s="2"/>
      <c r="P1026" s="2"/>
      <c r="Q1026" s="2"/>
      <c r="R1026" s="7"/>
      <c r="S1026" s="224"/>
      <c r="T1026" s="224"/>
      <c r="U1026" s="224"/>
      <c r="V1026" s="224"/>
    </row>
    <row r="1027">
      <c r="A1027" s="33"/>
      <c r="B1027" s="2"/>
      <c r="C1027" s="2"/>
      <c r="D1027" s="2"/>
      <c r="E1027" s="2"/>
      <c r="F1027" s="4"/>
      <c r="G1027" s="2"/>
      <c r="H1027" s="2"/>
      <c r="I1027" s="2"/>
      <c r="J1027" s="2"/>
      <c r="K1027" s="5"/>
      <c r="L1027" s="2"/>
      <c r="M1027" s="2"/>
      <c r="N1027" s="2"/>
      <c r="O1027" s="2"/>
      <c r="P1027" s="2"/>
      <c r="Q1027" s="2"/>
      <c r="R1027" s="7"/>
      <c r="S1027" s="224"/>
      <c r="T1027" s="224"/>
      <c r="U1027" s="224"/>
      <c r="V1027" s="224"/>
    </row>
    <row r="1028">
      <c r="A1028" s="33"/>
      <c r="B1028" s="2"/>
      <c r="C1028" s="2"/>
      <c r="D1028" s="2"/>
      <c r="E1028" s="2"/>
      <c r="F1028" s="4"/>
      <c r="G1028" s="2"/>
      <c r="H1028" s="2"/>
      <c r="I1028" s="2"/>
      <c r="J1028" s="2"/>
      <c r="K1028" s="5"/>
      <c r="L1028" s="2"/>
      <c r="M1028" s="2"/>
      <c r="N1028" s="2"/>
      <c r="O1028" s="2"/>
      <c r="P1028" s="2"/>
      <c r="Q1028" s="2"/>
      <c r="R1028" s="7"/>
      <c r="S1028" s="224"/>
      <c r="T1028" s="224"/>
      <c r="U1028" s="224"/>
      <c r="V1028" s="224"/>
    </row>
    <row r="1029">
      <c r="A1029" s="33"/>
      <c r="B1029" s="2"/>
      <c r="C1029" s="2"/>
      <c r="D1029" s="2"/>
      <c r="E1029" s="2"/>
      <c r="F1029" s="4"/>
      <c r="G1029" s="2"/>
      <c r="H1029" s="2"/>
      <c r="I1029" s="2"/>
      <c r="J1029" s="2"/>
      <c r="K1029" s="5"/>
      <c r="L1029" s="2"/>
      <c r="M1029" s="2"/>
      <c r="N1029" s="2"/>
      <c r="O1029" s="2"/>
      <c r="P1029" s="2"/>
      <c r="Q1029" s="2"/>
      <c r="R1029" s="7"/>
      <c r="S1029" s="224"/>
      <c r="T1029" s="224"/>
      <c r="U1029" s="224"/>
      <c r="V1029" s="224"/>
    </row>
    <row r="1030">
      <c r="A1030" s="33"/>
      <c r="B1030" s="2"/>
      <c r="C1030" s="2"/>
      <c r="D1030" s="2"/>
      <c r="E1030" s="2"/>
      <c r="F1030" s="4"/>
      <c r="G1030" s="2"/>
      <c r="H1030" s="2"/>
      <c r="I1030" s="2"/>
      <c r="J1030" s="2"/>
      <c r="K1030" s="5"/>
      <c r="L1030" s="2"/>
      <c r="M1030" s="2"/>
      <c r="N1030" s="2"/>
      <c r="O1030" s="2"/>
      <c r="P1030" s="2"/>
      <c r="Q1030" s="2"/>
      <c r="R1030" s="7"/>
      <c r="S1030" s="224"/>
      <c r="T1030" s="224"/>
      <c r="U1030" s="224"/>
      <c r="V1030" s="224"/>
    </row>
    <row r="1031">
      <c r="A1031" s="33"/>
      <c r="B1031" s="2"/>
      <c r="C1031" s="2"/>
      <c r="D1031" s="2"/>
      <c r="E1031" s="2"/>
      <c r="F1031" s="4"/>
      <c r="G1031" s="2"/>
      <c r="H1031" s="2"/>
      <c r="I1031" s="2"/>
      <c r="J1031" s="2"/>
      <c r="K1031" s="5"/>
      <c r="L1031" s="2"/>
      <c r="M1031" s="2"/>
      <c r="N1031" s="2"/>
      <c r="O1031" s="2"/>
      <c r="P1031" s="2"/>
      <c r="Q1031" s="2"/>
      <c r="R1031" s="7"/>
      <c r="S1031" s="224"/>
      <c r="T1031" s="224"/>
      <c r="U1031" s="224"/>
      <c r="V1031" s="224"/>
    </row>
    <row r="1032">
      <c r="A1032" s="33"/>
      <c r="B1032" s="2"/>
      <c r="C1032" s="2"/>
      <c r="D1032" s="2"/>
      <c r="E1032" s="2"/>
      <c r="F1032" s="4"/>
      <c r="G1032" s="2"/>
      <c r="H1032" s="2"/>
      <c r="I1032" s="2"/>
      <c r="J1032" s="2"/>
      <c r="K1032" s="5"/>
      <c r="L1032" s="2"/>
      <c r="M1032" s="2"/>
      <c r="N1032" s="2"/>
      <c r="O1032" s="2"/>
      <c r="P1032" s="2"/>
      <c r="Q1032" s="2"/>
      <c r="R1032" s="7"/>
      <c r="S1032" s="224"/>
      <c r="T1032" s="224"/>
      <c r="U1032" s="224"/>
      <c r="V1032" s="224"/>
    </row>
    <row r="1033">
      <c r="A1033" s="33"/>
      <c r="B1033" s="2"/>
      <c r="C1033" s="2"/>
      <c r="D1033" s="2"/>
      <c r="E1033" s="2"/>
      <c r="F1033" s="4"/>
      <c r="G1033" s="2"/>
      <c r="H1033" s="2"/>
      <c r="I1033" s="2"/>
      <c r="J1033" s="2"/>
      <c r="K1033" s="5"/>
      <c r="L1033" s="2"/>
      <c r="M1033" s="2"/>
      <c r="N1033" s="2"/>
      <c r="O1033" s="2"/>
      <c r="P1033" s="2"/>
      <c r="Q1033" s="2"/>
      <c r="R1033" s="7"/>
      <c r="S1033" s="224"/>
      <c r="T1033" s="224"/>
      <c r="U1033" s="224"/>
      <c r="V1033" s="224"/>
    </row>
    <row r="1034">
      <c r="A1034" s="33"/>
      <c r="B1034" s="2"/>
      <c r="C1034" s="2"/>
      <c r="D1034" s="2"/>
      <c r="E1034" s="2"/>
      <c r="F1034" s="4"/>
      <c r="G1034" s="2"/>
      <c r="H1034" s="2"/>
      <c r="I1034" s="2"/>
      <c r="J1034" s="2"/>
      <c r="K1034" s="5"/>
      <c r="L1034" s="2"/>
      <c r="M1034" s="2"/>
      <c r="N1034" s="2"/>
      <c r="O1034" s="2"/>
      <c r="P1034" s="2"/>
      <c r="Q1034" s="2"/>
      <c r="R1034" s="7"/>
      <c r="S1034" s="224"/>
      <c r="T1034" s="224"/>
      <c r="U1034" s="224"/>
      <c r="V1034" s="224"/>
    </row>
    <row r="1035">
      <c r="A1035" s="33"/>
      <c r="B1035" s="2"/>
      <c r="C1035" s="2"/>
      <c r="D1035" s="2"/>
      <c r="E1035" s="2"/>
      <c r="F1035" s="4"/>
      <c r="G1035" s="2"/>
      <c r="H1035" s="2"/>
      <c r="I1035" s="2"/>
      <c r="J1035" s="2"/>
      <c r="K1035" s="5"/>
      <c r="L1035" s="2"/>
      <c r="M1035" s="2"/>
      <c r="N1035" s="2"/>
      <c r="O1035" s="2"/>
      <c r="P1035" s="2"/>
      <c r="Q1035" s="2"/>
      <c r="R1035" s="7"/>
      <c r="S1035" s="224"/>
      <c r="T1035" s="224"/>
      <c r="U1035" s="224"/>
      <c r="V1035" s="224"/>
    </row>
    <row r="1036">
      <c r="A1036" s="33"/>
      <c r="B1036" s="2"/>
      <c r="C1036" s="2"/>
      <c r="D1036" s="2"/>
      <c r="E1036" s="2"/>
      <c r="F1036" s="4"/>
      <c r="G1036" s="2"/>
      <c r="H1036" s="2"/>
      <c r="I1036" s="2"/>
      <c r="J1036" s="2"/>
      <c r="K1036" s="5"/>
      <c r="L1036" s="2"/>
      <c r="M1036" s="2"/>
      <c r="N1036" s="2"/>
      <c r="O1036" s="2"/>
      <c r="P1036" s="2"/>
      <c r="Q1036" s="2"/>
      <c r="R1036" s="7"/>
      <c r="S1036" s="224"/>
      <c r="T1036" s="224"/>
      <c r="U1036" s="224"/>
      <c r="V1036" s="224"/>
    </row>
    <row r="1037">
      <c r="A1037" s="33"/>
      <c r="B1037" s="2"/>
      <c r="C1037" s="2"/>
      <c r="D1037" s="2"/>
      <c r="E1037" s="2"/>
      <c r="F1037" s="4"/>
      <c r="G1037" s="2"/>
      <c r="H1037" s="2"/>
      <c r="I1037" s="2"/>
      <c r="J1037" s="2"/>
      <c r="K1037" s="5"/>
      <c r="L1037" s="2"/>
      <c r="M1037" s="2"/>
      <c r="N1037" s="2"/>
      <c r="O1037" s="2"/>
      <c r="P1037" s="2"/>
      <c r="Q1037" s="2"/>
      <c r="R1037" s="7"/>
      <c r="S1037" s="224"/>
      <c r="T1037" s="224"/>
      <c r="U1037" s="224"/>
      <c r="V1037" s="224"/>
    </row>
    <row r="1038">
      <c r="A1038" s="33"/>
      <c r="B1038" s="2"/>
      <c r="C1038" s="2"/>
      <c r="D1038" s="2"/>
      <c r="E1038" s="2"/>
      <c r="F1038" s="4"/>
      <c r="G1038" s="2"/>
      <c r="H1038" s="2"/>
      <c r="I1038" s="2"/>
      <c r="J1038" s="2"/>
      <c r="K1038" s="5"/>
      <c r="L1038" s="2"/>
      <c r="M1038" s="2"/>
      <c r="N1038" s="2"/>
      <c r="O1038" s="2"/>
      <c r="P1038" s="2"/>
      <c r="Q1038" s="2"/>
      <c r="R1038" s="7"/>
      <c r="S1038" s="224"/>
      <c r="T1038" s="224"/>
      <c r="U1038" s="224"/>
      <c r="V1038" s="224"/>
    </row>
    <row r="1039">
      <c r="A1039" s="33"/>
      <c r="B1039" s="2"/>
      <c r="C1039" s="2"/>
      <c r="D1039" s="2"/>
      <c r="E1039" s="2"/>
      <c r="F1039" s="4"/>
      <c r="G1039" s="2"/>
      <c r="H1039" s="2"/>
      <c r="I1039" s="2"/>
      <c r="J1039" s="2"/>
      <c r="K1039" s="5"/>
      <c r="L1039" s="2"/>
      <c r="M1039" s="2"/>
      <c r="N1039" s="2"/>
      <c r="O1039" s="2"/>
      <c r="P1039" s="2"/>
      <c r="Q1039" s="2"/>
      <c r="R1039" s="7"/>
      <c r="S1039" s="224"/>
      <c r="T1039" s="224"/>
      <c r="U1039" s="224"/>
      <c r="V1039" s="224"/>
    </row>
    <row r="1040">
      <c r="A1040" s="33"/>
      <c r="B1040" s="2"/>
      <c r="C1040" s="2"/>
      <c r="D1040" s="2"/>
      <c r="E1040" s="2"/>
      <c r="F1040" s="4"/>
      <c r="G1040" s="2"/>
      <c r="H1040" s="2"/>
      <c r="I1040" s="2"/>
      <c r="J1040" s="2"/>
      <c r="K1040" s="5"/>
      <c r="L1040" s="2"/>
      <c r="M1040" s="2"/>
      <c r="N1040" s="2"/>
      <c r="O1040" s="2"/>
      <c r="P1040" s="2"/>
      <c r="Q1040" s="2"/>
      <c r="R1040" s="7"/>
      <c r="S1040" s="224"/>
      <c r="T1040" s="224"/>
      <c r="U1040" s="224"/>
      <c r="V1040" s="224"/>
    </row>
    <row r="1041">
      <c r="A1041" s="33"/>
      <c r="B1041" s="2"/>
      <c r="C1041" s="2"/>
      <c r="D1041" s="2"/>
      <c r="E1041" s="2"/>
      <c r="F1041" s="4"/>
      <c r="G1041" s="2"/>
      <c r="H1041" s="2"/>
      <c r="I1041" s="2"/>
      <c r="J1041" s="2"/>
      <c r="K1041" s="5"/>
      <c r="L1041" s="2"/>
      <c r="M1041" s="2"/>
      <c r="N1041" s="2"/>
      <c r="O1041" s="2"/>
      <c r="P1041" s="2"/>
      <c r="Q1041" s="2"/>
      <c r="R1041" s="7"/>
      <c r="S1041" s="224"/>
      <c r="T1041" s="224"/>
      <c r="U1041" s="224"/>
      <c r="V1041" s="224"/>
    </row>
    <row r="1042">
      <c r="A1042" s="33"/>
      <c r="B1042" s="2"/>
      <c r="C1042" s="2"/>
      <c r="D1042" s="2"/>
      <c r="E1042" s="2"/>
      <c r="F1042" s="4"/>
      <c r="G1042" s="2"/>
      <c r="H1042" s="2"/>
      <c r="I1042" s="2"/>
      <c r="J1042" s="2"/>
      <c r="K1042" s="5"/>
      <c r="L1042" s="2"/>
      <c r="M1042" s="2"/>
      <c r="N1042" s="2"/>
      <c r="O1042" s="2"/>
      <c r="P1042" s="2"/>
      <c r="Q1042" s="2"/>
      <c r="R1042" s="7"/>
      <c r="S1042" s="224"/>
      <c r="T1042" s="224"/>
      <c r="U1042" s="224"/>
      <c r="V1042" s="224"/>
    </row>
    <row r="1043">
      <c r="A1043" s="33"/>
      <c r="B1043" s="2"/>
      <c r="C1043" s="2"/>
      <c r="D1043" s="2"/>
      <c r="E1043" s="2"/>
      <c r="F1043" s="4"/>
      <c r="G1043" s="2"/>
      <c r="H1043" s="2"/>
      <c r="I1043" s="2"/>
      <c r="J1043" s="2"/>
      <c r="K1043" s="5"/>
      <c r="L1043" s="2"/>
      <c r="M1043" s="2"/>
      <c r="N1043" s="2"/>
      <c r="O1043" s="2"/>
      <c r="P1043" s="2"/>
      <c r="Q1043" s="2"/>
      <c r="R1043" s="7"/>
      <c r="S1043" s="224"/>
      <c r="T1043" s="224"/>
      <c r="U1043" s="224"/>
      <c r="V1043" s="224"/>
    </row>
    <row r="1044">
      <c r="A1044" s="33"/>
      <c r="B1044" s="2"/>
      <c r="C1044" s="2"/>
      <c r="D1044" s="2"/>
      <c r="E1044" s="2"/>
      <c r="F1044" s="4"/>
      <c r="G1044" s="2"/>
      <c r="H1044" s="2"/>
      <c r="I1044" s="2"/>
      <c r="J1044" s="2"/>
      <c r="K1044" s="5"/>
      <c r="L1044" s="2"/>
      <c r="M1044" s="2"/>
      <c r="N1044" s="2"/>
      <c r="O1044" s="2"/>
      <c r="P1044" s="2"/>
      <c r="Q1044" s="2"/>
      <c r="R1044" s="7"/>
      <c r="S1044" s="224"/>
      <c r="T1044" s="224"/>
      <c r="U1044" s="224"/>
      <c r="V1044" s="224"/>
    </row>
    <row r="1045">
      <c r="A1045" s="33"/>
      <c r="B1045" s="2"/>
      <c r="C1045" s="2"/>
      <c r="D1045" s="2"/>
      <c r="E1045" s="2"/>
      <c r="F1045" s="4"/>
      <c r="G1045" s="2"/>
      <c r="H1045" s="2"/>
      <c r="I1045" s="2"/>
      <c r="J1045" s="2"/>
      <c r="K1045" s="5"/>
      <c r="L1045" s="2"/>
      <c r="M1045" s="2"/>
      <c r="N1045" s="2"/>
      <c r="O1045" s="2"/>
      <c r="P1045" s="2"/>
      <c r="Q1045" s="2"/>
      <c r="R1045" s="7"/>
      <c r="S1045" s="224"/>
      <c r="T1045" s="224"/>
      <c r="U1045" s="224"/>
      <c r="V1045" s="224"/>
    </row>
    <row r="1046">
      <c r="A1046" s="33"/>
      <c r="B1046" s="2"/>
      <c r="C1046" s="2"/>
      <c r="D1046" s="2"/>
      <c r="E1046" s="2"/>
      <c r="F1046" s="4"/>
      <c r="G1046" s="2"/>
      <c r="H1046" s="2"/>
      <c r="I1046" s="2"/>
      <c r="J1046" s="2"/>
      <c r="K1046" s="5"/>
      <c r="L1046" s="2"/>
      <c r="M1046" s="2"/>
      <c r="N1046" s="2"/>
      <c r="O1046" s="2"/>
      <c r="P1046" s="2"/>
      <c r="Q1046" s="2"/>
      <c r="R1046" s="7"/>
      <c r="S1046" s="224"/>
      <c r="T1046" s="224"/>
      <c r="U1046" s="224"/>
      <c r="V1046" s="224"/>
    </row>
    <row r="1047">
      <c r="A1047" s="33"/>
      <c r="B1047" s="2"/>
      <c r="C1047" s="2"/>
      <c r="D1047" s="2"/>
      <c r="E1047" s="2"/>
      <c r="F1047" s="4"/>
      <c r="G1047" s="2"/>
      <c r="H1047" s="2"/>
      <c r="I1047" s="2"/>
      <c r="J1047" s="2"/>
      <c r="K1047" s="5"/>
      <c r="L1047" s="2"/>
      <c r="M1047" s="2"/>
      <c r="N1047" s="2"/>
      <c r="O1047" s="2"/>
      <c r="P1047" s="2"/>
      <c r="Q1047" s="2"/>
      <c r="R1047" s="7"/>
      <c r="S1047" s="224"/>
      <c r="T1047" s="224"/>
      <c r="U1047" s="224"/>
      <c r="V1047" s="224"/>
    </row>
    <row r="1048">
      <c r="A1048" s="33"/>
      <c r="B1048" s="2"/>
      <c r="C1048" s="2"/>
      <c r="D1048" s="2"/>
      <c r="E1048" s="2"/>
      <c r="F1048" s="4"/>
      <c r="G1048" s="2"/>
      <c r="H1048" s="2"/>
      <c r="I1048" s="2"/>
      <c r="J1048" s="2"/>
      <c r="K1048" s="5"/>
      <c r="L1048" s="2"/>
      <c r="M1048" s="2"/>
      <c r="N1048" s="2"/>
      <c r="O1048" s="2"/>
      <c r="P1048" s="2"/>
      <c r="Q1048" s="2"/>
      <c r="R1048" s="7"/>
      <c r="S1048" s="224"/>
      <c r="T1048" s="224"/>
      <c r="U1048" s="224"/>
      <c r="V1048" s="224"/>
    </row>
    <row r="1049">
      <c r="A1049" s="33"/>
      <c r="B1049" s="2"/>
      <c r="C1049" s="2"/>
      <c r="D1049" s="2"/>
      <c r="E1049" s="2"/>
      <c r="F1049" s="4"/>
      <c r="G1049" s="2"/>
      <c r="H1049" s="2"/>
      <c r="I1049" s="2"/>
      <c r="J1049" s="2"/>
      <c r="K1049" s="5"/>
      <c r="L1049" s="2"/>
      <c r="M1049" s="2"/>
      <c r="N1049" s="2"/>
      <c r="O1049" s="2"/>
      <c r="P1049" s="2"/>
      <c r="Q1049" s="2"/>
      <c r="R1049" s="7"/>
      <c r="S1049" s="224"/>
      <c r="T1049" s="224"/>
      <c r="U1049" s="224"/>
      <c r="V1049" s="224"/>
    </row>
    <row r="1050">
      <c r="A1050" s="33"/>
      <c r="B1050" s="2"/>
      <c r="C1050" s="2"/>
      <c r="D1050" s="2"/>
      <c r="E1050" s="2"/>
      <c r="F1050" s="4"/>
      <c r="G1050" s="2"/>
      <c r="H1050" s="2"/>
      <c r="I1050" s="2"/>
      <c r="J1050" s="2"/>
      <c r="K1050" s="5"/>
      <c r="L1050" s="2"/>
      <c r="M1050" s="2"/>
      <c r="N1050" s="2"/>
      <c r="O1050" s="2"/>
      <c r="P1050" s="2"/>
      <c r="Q1050" s="2"/>
      <c r="R1050" s="7"/>
      <c r="S1050" s="224"/>
      <c r="T1050" s="224"/>
      <c r="U1050" s="224"/>
      <c r="V1050" s="224"/>
    </row>
    <row r="1051">
      <c r="A1051" s="33"/>
      <c r="B1051" s="2"/>
      <c r="C1051" s="2"/>
      <c r="D1051" s="2"/>
      <c r="E1051" s="2"/>
      <c r="F1051" s="4"/>
      <c r="G1051" s="2"/>
      <c r="H1051" s="2"/>
      <c r="I1051" s="2"/>
      <c r="J1051" s="2"/>
      <c r="K1051" s="5"/>
      <c r="L1051" s="2"/>
      <c r="M1051" s="2"/>
      <c r="N1051" s="2"/>
      <c r="O1051" s="2"/>
      <c r="P1051" s="2"/>
      <c r="Q1051" s="2"/>
      <c r="R1051" s="7"/>
      <c r="S1051" s="224"/>
      <c r="T1051" s="224"/>
      <c r="U1051" s="224"/>
      <c r="V1051" s="224"/>
    </row>
    <row r="1052">
      <c r="A1052" s="33"/>
      <c r="B1052" s="2"/>
      <c r="C1052" s="2"/>
      <c r="D1052" s="2"/>
      <c r="E1052" s="2"/>
      <c r="F1052" s="4"/>
      <c r="G1052" s="2"/>
      <c r="H1052" s="2"/>
      <c r="I1052" s="2"/>
      <c r="J1052" s="2"/>
      <c r="K1052" s="5"/>
      <c r="L1052" s="2"/>
      <c r="M1052" s="2"/>
      <c r="N1052" s="2"/>
      <c r="O1052" s="2"/>
      <c r="P1052" s="2"/>
      <c r="Q1052" s="2"/>
      <c r="R1052" s="7"/>
      <c r="S1052" s="224"/>
      <c r="T1052" s="224"/>
      <c r="U1052" s="224"/>
      <c r="V1052" s="224"/>
    </row>
    <row r="1053">
      <c r="A1053" s="33"/>
      <c r="B1053" s="2"/>
      <c r="C1053" s="2"/>
      <c r="D1053" s="2"/>
      <c r="E1053" s="2"/>
      <c r="F1053" s="4"/>
      <c r="G1053" s="2"/>
      <c r="H1053" s="2"/>
      <c r="I1053" s="2"/>
      <c r="J1053" s="2"/>
      <c r="K1053" s="5"/>
      <c r="L1053" s="2"/>
      <c r="M1053" s="2"/>
      <c r="N1053" s="2"/>
      <c r="O1053" s="2"/>
      <c r="P1053" s="2"/>
      <c r="Q1053" s="2"/>
      <c r="R1053" s="7"/>
      <c r="S1053" s="224"/>
      <c r="T1053" s="224"/>
      <c r="U1053" s="224"/>
      <c r="V1053" s="224"/>
    </row>
    <row r="1054">
      <c r="A1054" s="33"/>
      <c r="B1054" s="2"/>
      <c r="C1054" s="2"/>
      <c r="D1054" s="2"/>
      <c r="E1054" s="2"/>
      <c r="F1054" s="4"/>
      <c r="G1054" s="2"/>
      <c r="H1054" s="2"/>
      <c r="I1054" s="2"/>
      <c r="J1054" s="2"/>
      <c r="K1054" s="5"/>
      <c r="L1054" s="2"/>
      <c r="M1054" s="2"/>
      <c r="N1054" s="2"/>
      <c r="O1054" s="2"/>
      <c r="P1054" s="2"/>
      <c r="Q1054" s="2"/>
      <c r="R1054" s="7"/>
      <c r="S1054" s="224"/>
      <c r="T1054" s="224"/>
      <c r="U1054" s="224"/>
      <c r="V1054" s="224"/>
    </row>
    <row r="1055">
      <c r="A1055" s="33"/>
      <c r="B1055" s="2"/>
      <c r="C1055" s="2"/>
      <c r="D1055" s="2"/>
      <c r="E1055" s="2"/>
      <c r="F1055" s="4"/>
      <c r="G1055" s="2"/>
      <c r="H1055" s="2"/>
      <c r="I1055" s="2"/>
      <c r="J1055" s="2"/>
      <c r="K1055" s="5"/>
      <c r="L1055" s="2"/>
      <c r="M1055" s="2"/>
      <c r="N1055" s="2"/>
      <c r="O1055" s="2"/>
      <c r="P1055" s="2"/>
      <c r="Q1055" s="2"/>
      <c r="R1055" s="7"/>
      <c r="S1055" s="224"/>
      <c r="T1055" s="224"/>
      <c r="U1055" s="224"/>
      <c r="V1055" s="224"/>
    </row>
    <row r="1056">
      <c r="A1056" s="33"/>
      <c r="B1056" s="2"/>
      <c r="C1056" s="2"/>
      <c r="D1056" s="2"/>
      <c r="E1056" s="2"/>
      <c r="F1056" s="4"/>
      <c r="G1056" s="2"/>
      <c r="H1056" s="2"/>
      <c r="I1056" s="2"/>
      <c r="J1056" s="2"/>
      <c r="K1056" s="5"/>
      <c r="L1056" s="2"/>
      <c r="M1056" s="2"/>
      <c r="N1056" s="2"/>
      <c r="O1056" s="2"/>
      <c r="P1056" s="2"/>
      <c r="Q1056" s="2"/>
      <c r="R1056" s="7"/>
      <c r="S1056" s="224"/>
      <c r="T1056" s="224"/>
      <c r="U1056" s="224"/>
      <c r="V1056" s="224"/>
    </row>
    <row r="1057">
      <c r="A1057" s="33"/>
      <c r="B1057" s="2"/>
      <c r="C1057" s="2"/>
      <c r="D1057" s="2"/>
      <c r="E1057" s="2"/>
      <c r="F1057" s="4"/>
      <c r="G1057" s="2"/>
      <c r="H1057" s="2"/>
      <c r="I1057" s="2"/>
      <c r="J1057" s="2"/>
      <c r="K1057" s="5"/>
      <c r="L1057" s="2"/>
      <c r="M1057" s="2"/>
      <c r="N1057" s="2"/>
      <c r="O1057" s="2"/>
      <c r="P1057" s="2"/>
      <c r="Q1057" s="2"/>
      <c r="R1057" s="7"/>
      <c r="S1057" s="224"/>
      <c r="T1057" s="224"/>
      <c r="U1057" s="224"/>
      <c r="V1057" s="224"/>
    </row>
    <row r="1058">
      <c r="A1058" s="33"/>
      <c r="B1058" s="2"/>
      <c r="C1058" s="2"/>
      <c r="D1058" s="2"/>
      <c r="E1058" s="2"/>
      <c r="F1058" s="4"/>
      <c r="G1058" s="2"/>
      <c r="H1058" s="2"/>
      <c r="I1058" s="2"/>
      <c r="J1058" s="2"/>
      <c r="K1058" s="5"/>
      <c r="L1058" s="2"/>
      <c r="M1058" s="2"/>
      <c r="N1058" s="2"/>
      <c r="O1058" s="2"/>
      <c r="P1058" s="2"/>
      <c r="Q1058" s="2"/>
      <c r="R1058" s="7"/>
      <c r="S1058" s="224"/>
      <c r="T1058" s="224"/>
      <c r="U1058" s="224"/>
      <c r="V1058" s="224"/>
    </row>
    <row r="1059">
      <c r="A1059" s="33"/>
      <c r="B1059" s="2"/>
      <c r="C1059" s="2"/>
      <c r="D1059" s="2"/>
      <c r="E1059" s="2"/>
      <c r="F1059" s="4"/>
      <c r="G1059" s="2"/>
      <c r="H1059" s="2"/>
      <c r="I1059" s="2"/>
      <c r="J1059" s="2"/>
      <c r="K1059" s="5"/>
      <c r="L1059" s="2"/>
      <c r="M1059" s="2"/>
      <c r="N1059" s="2"/>
      <c r="O1059" s="2"/>
      <c r="P1059" s="2"/>
      <c r="Q1059" s="2"/>
      <c r="R1059" s="7"/>
      <c r="S1059" s="224"/>
      <c r="T1059" s="224"/>
      <c r="U1059" s="224"/>
      <c r="V1059" s="224"/>
    </row>
    <row r="1060">
      <c r="A1060" s="33"/>
      <c r="B1060" s="2"/>
      <c r="C1060" s="2"/>
      <c r="D1060" s="2"/>
      <c r="E1060" s="2"/>
      <c r="F1060" s="4"/>
      <c r="G1060" s="2"/>
      <c r="H1060" s="2"/>
      <c r="I1060" s="2"/>
      <c r="J1060" s="2"/>
      <c r="K1060" s="5"/>
      <c r="L1060" s="2"/>
      <c r="M1060" s="2"/>
      <c r="N1060" s="2"/>
      <c r="O1060" s="2"/>
      <c r="P1060" s="2"/>
      <c r="Q1060" s="2"/>
      <c r="R1060" s="7"/>
      <c r="S1060" s="224"/>
      <c r="T1060" s="224"/>
      <c r="U1060" s="224"/>
      <c r="V1060" s="224"/>
    </row>
    <row r="1061">
      <c r="A1061" s="33"/>
      <c r="B1061" s="2"/>
      <c r="C1061" s="2"/>
      <c r="D1061" s="2"/>
      <c r="E1061" s="2"/>
      <c r="F1061" s="4"/>
      <c r="G1061" s="2"/>
      <c r="H1061" s="2"/>
      <c r="I1061" s="2"/>
      <c r="J1061" s="2"/>
      <c r="K1061" s="5"/>
      <c r="L1061" s="2"/>
      <c r="M1061" s="2"/>
      <c r="N1061" s="2"/>
      <c r="O1061" s="2"/>
      <c r="P1061" s="2"/>
      <c r="Q1061" s="2"/>
      <c r="R1061" s="7"/>
      <c r="S1061" s="224"/>
      <c r="T1061" s="224"/>
      <c r="U1061" s="224"/>
      <c r="V1061" s="224"/>
    </row>
    <row r="1062">
      <c r="A1062" s="33"/>
      <c r="B1062" s="2"/>
      <c r="C1062" s="2"/>
      <c r="D1062" s="2"/>
      <c r="E1062" s="2"/>
      <c r="F1062" s="4"/>
      <c r="G1062" s="2"/>
      <c r="H1062" s="2"/>
      <c r="I1062" s="2"/>
      <c r="J1062" s="2"/>
      <c r="K1062" s="5"/>
      <c r="L1062" s="2"/>
      <c r="M1062" s="2"/>
      <c r="N1062" s="2"/>
      <c r="O1062" s="2"/>
      <c r="P1062" s="2"/>
      <c r="Q1062" s="2"/>
      <c r="R1062" s="7"/>
      <c r="S1062" s="224"/>
      <c r="T1062" s="224"/>
      <c r="U1062" s="224"/>
      <c r="V1062" s="224"/>
    </row>
    <row r="1063">
      <c r="A1063" s="33"/>
      <c r="B1063" s="2"/>
      <c r="C1063" s="2"/>
      <c r="D1063" s="2"/>
      <c r="E1063" s="2"/>
      <c r="F1063" s="4"/>
      <c r="G1063" s="2"/>
      <c r="H1063" s="2"/>
      <c r="I1063" s="2"/>
      <c r="J1063" s="2"/>
      <c r="K1063" s="5"/>
      <c r="L1063" s="2"/>
      <c r="M1063" s="2"/>
      <c r="N1063" s="2"/>
      <c r="O1063" s="2"/>
      <c r="P1063" s="2"/>
      <c r="Q1063" s="2"/>
      <c r="R1063" s="7"/>
      <c r="S1063" s="224"/>
      <c r="T1063" s="224"/>
      <c r="U1063" s="224"/>
      <c r="V1063" s="224"/>
    </row>
    <row r="1064">
      <c r="A1064" s="33"/>
      <c r="B1064" s="2"/>
      <c r="C1064" s="2"/>
      <c r="D1064" s="2"/>
      <c r="E1064" s="2"/>
      <c r="F1064" s="4"/>
      <c r="G1064" s="2"/>
      <c r="H1064" s="2"/>
      <c r="I1064" s="2"/>
      <c r="J1064" s="2"/>
      <c r="K1064" s="5"/>
      <c r="L1064" s="2"/>
      <c r="M1064" s="2"/>
      <c r="N1064" s="2"/>
      <c r="O1064" s="2"/>
      <c r="P1064" s="2"/>
      <c r="Q1064" s="2"/>
      <c r="R1064" s="7"/>
      <c r="S1064" s="224"/>
      <c r="T1064" s="224"/>
      <c r="U1064" s="224"/>
      <c r="V1064" s="224"/>
    </row>
    <row r="1065">
      <c r="A1065" s="33"/>
      <c r="B1065" s="2"/>
      <c r="C1065" s="2"/>
      <c r="D1065" s="2"/>
      <c r="E1065" s="2"/>
      <c r="F1065" s="4"/>
      <c r="G1065" s="2"/>
      <c r="H1065" s="2"/>
      <c r="I1065" s="2"/>
      <c r="J1065" s="2"/>
      <c r="K1065" s="5"/>
      <c r="L1065" s="2"/>
      <c r="M1065" s="2"/>
      <c r="N1065" s="2"/>
      <c r="O1065" s="2"/>
      <c r="P1065" s="2"/>
      <c r="Q1065" s="2"/>
      <c r="R1065" s="7"/>
      <c r="S1065" s="224"/>
      <c r="T1065" s="224"/>
      <c r="U1065" s="224"/>
      <c r="V1065" s="224"/>
    </row>
    <row r="1066">
      <c r="A1066" s="33"/>
      <c r="B1066" s="2"/>
      <c r="C1066" s="2"/>
      <c r="D1066" s="2"/>
      <c r="E1066" s="2"/>
      <c r="F1066" s="4"/>
      <c r="G1066" s="2"/>
      <c r="H1066" s="2"/>
      <c r="I1066" s="2"/>
      <c r="J1066" s="2"/>
      <c r="K1066" s="5"/>
      <c r="L1066" s="2"/>
      <c r="M1066" s="2"/>
      <c r="N1066" s="2"/>
      <c r="O1066" s="2"/>
      <c r="P1066" s="2"/>
      <c r="Q1066" s="2"/>
      <c r="R1066" s="7"/>
      <c r="S1066" s="224"/>
      <c r="T1066" s="224"/>
      <c r="U1066" s="224"/>
      <c r="V1066" s="224"/>
    </row>
    <row r="1067">
      <c r="A1067" s="33"/>
      <c r="B1067" s="2"/>
      <c r="C1067" s="2"/>
      <c r="D1067" s="2"/>
      <c r="E1067" s="2"/>
      <c r="F1067" s="4"/>
      <c r="G1067" s="2"/>
      <c r="H1067" s="2"/>
      <c r="I1067" s="2"/>
      <c r="J1067" s="2"/>
      <c r="K1067" s="5"/>
      <c r="L1067" s="2"/>
      <c r="M1067" s="2"/>
      <c r="N1067" s="2"/>
      <c r="O1067" s="2"/>
      <c r="P1067" s="2"/>
      <c r="Q1067" s="2"/>
      <c r="R1067" s="7"/>
      <c r="S1067" s="224"/>
      <c r="T1067" s="224"/>
      <c r="U1067" s="224"/>
      <c r="V1067" s="224"/>
    </row>
    <row r="1068">
      <c r="A1068" s="33"/>
      <c r="B1068" s="2"/>
      <c r="C1068" s="2"/>
      <c r="D1068" s="2"/>
      <c r="E1068" s="2"/>
      <c r="F1068" s="4"/>
      <c r="G1068" s="2"/>
      <c r="H1068" s="2"/>
      <c r="I1068" s="2"/>
      <c r="J1068" s="2"/>
      <c r="K1068" s="5"/>
      <c r="L1068" s="2"/>
      <c r="M1068" s="2"/>
      <c r="N1068" s="2"/>
      <c r="O1068" s="2"/>
      <c r="P1068" s="2"/>
      <c r="Q1068" s="2"/>
      <c r="R1068" s="7"/>
      <c r="S1068" s="224"/>
      <c r="T1068" s="224"/>
      <c r="U1068" s="224"/>
      <c r="V1068" s="224"/>
    </row>
  </sheetData>
  <mergeCells count="353">
    <mergeCell ref="A70:A71"/>
    <mergeCell ref="B70:B71"/>
    <mergeCell ref="C70:C71"/>
    <mergeCell ref="D70:D71"/>
    <mergeCell ref="E70:E71"/>
    <mergeCell ref="F70:F71"/>
    <mergeCell ref="G70:G71"/>
    <mergeCell ref="A72:A73"/>
    <mergeCell ref="B72:B73"/>
    <mergeCell ref="C72:C73"/>
    <mergeCell ref="D72:D73"/>
    <mergeCell ref="E72:E73"/>
    <mergeCell ref="F72:F73"/>
    <mergeCell ref="G72:G73"/>
    <mergeCell ref="A45:A46"/>
    <mergeCell ref="B45:B46"/>
    <mergeCell ref="C45:C46"/>
    <mergeCell ref="D45:D46"/>
    <mergeCell ref="E45:E46"/>
    <mergeCell ref="F45:F46"/>
    <mergeCell ref="G45:G46"/>
    <mergeCell ref="A47:A48"/>
    <mergeCell ref="B47:B48"/>
    <mergeCell ref="C47:C48"/>
    <mergeCell ref="D47:D48"/>
    <mergeCell ref="E47:E48"/>
    <mergeCell ref="F47:F48"/>
    <mergeCell ref="G47:G48"/>
    <mergeCell ref="A49:A50"/>
    <mergeCell ref="B49:B50"/>
    <mergeCell ref="C49:C50"/>
    <mergeCell ref="D49:D50"/>
    <mergeCell ref="E49:E50"/>
    <mergeCell ref="F49:F50"/>
    <mergeCell ref="G49:G50"/>
    <mergeCell ref="A51:A52"/>
    <mergeCell ref="B51:B52"/>
    <mergeCell ref="C51:C52"/>
    <mergeCell ref="D51:D52"/>
    <mergeCell ref="E51:E52"/>
    <mergeCell ref="F51:F52"/>
    <mergeCell ref="G51:G52"/>
    <mergeCell ref="A53:A54"/>
    <mergeCell ref="B53:B54"/>
    <mergeCell ref="C53:C54"/>
    <mergeCell ref="D53:D54"/>
    <mergeCell ref="E53:E54"/>
    <mergeCell ref="F53:F54"/>
    <mergeCell ref="G53:G54"/>
    <mergeCell ref="A55:A56"/>
    <mergeCell ref="B55:B56"/>
    <mergeCell ref="C55:C56"/>
    <mergeCell ref="D55:D56"/>
    <mergeCell ref="E55:E56"/>
    <mergeCell ref="F55:F56"/>
    <mergeCell ref="G55:G56"/>
    <mergeCell ref="A81:A82"/>
    <mergeCell ref="B81:B82"/>
    <mergeCell ref="C81:C82"/>
    <mergeCell ref="D81:D82"/>
    <mergeCell ref="E81:E82"/>
    <mergeCell ref="F81:F82"/>
    <mergeCell ref="G81:G82"/>
    <mergeCell ref="A74:A75"/>
    <mergeCell ref="B74:B75"/>
    <mergeCell ref="C74:C75"/>
    <mergeCell ref="D74:D75"/>
    <mergeCell ref="E74:E75"/>
    <mergeCell ref="F74:F75"/>
    <mergeCell ref="G74:G75"/>
    <mergeCell ref="A87:A88"/>
    <mergeCell ref="B87:B88"/>
    <mergeCell ref="C87:C88"/>
    <mergeCell ref="D87:D88"/>
    <mergeCell ref="E87:E88"/>
    <mergeCell ref="F87:F88"/>
    <mergeCell ref="G87:G88"/>
    <mergeCell ref="A90:A91"/>
    <mergeCell ref="B90:B91"/>
    <mergeCell ref="C90:C91"/>
    <mergeCell ref="D90:D91"/>
    <mergeCell ref="E90:E91"/>
    <mergeCell ref="F90:F91"/>
    <mergeCell ref="G90:G91"/>
    <mergeCell ref="A66:A67"/>
    <mergeCell ref="B66:B67"/>
    <mergeCell ref="C66:C67"/>
    <mergeCell ref="D66:D67"/>
    <mergeCell ref="E66:E67"/>
    <mergeCell ref="F66:F67"/>
    <mergeCell ref="G66:G67"/>
    <mergeCell ref="A68:A69"/>
    <mergeCell ref="B68:B69"/>
    <mergeCell ref="C68:C69"/>
    <mergeCell ref="D68:D69"/>
    <mergeCell ref="E68:E69"/>
    <mergeCell ref="F68:F69"/>
    <mergeCell ref="G68:G69"/>
    <mergeCell ref="A76:A77"/>
    <mergeCell ref="B76:B77"/>
    <mergeCell ref="C76:C77"/>
    <mergeCell ref="D76:D77"/>
    <mergeCell ref="E76:E77"/>
    <mergeCell ref="F76:F77"/>
    <mergeCell ref="G76:G77"/>
    <mergeCell ref="A78:A79"/>
    <mergeCell ref="B78:B79"/>
    <mergeCell ref="C78:C79"/>
    <mergeCell ref="D78:D79"/>
    <mergeCell ref="E78:E79"/>
    <mergeCell ref="F78:F79"/>
    <mergeCell ref="G78:G79"/>
    <mergeCell ref="A83:A84"/>
    <mergeCell ref="B83:B84"/>
    <mergeCell ref="C83:C84"/>
    <mergeCell ref="D83:D84"/>
    <mergeCell ref="E83:E84"/>
    <mergeCell ref="F83:F84"/>
    <mergeCell ref="G83:G84"/>
    <mergeCell ref="A85:A86"/>
    <mergeCell ref="B85:B86"/>
    <mergeCell ref="C85:C86"/>
    <mergeCell ref="D85:D86"/>
    <mergeCell ref="E85:E86"/>
    <mergeCell ref="F85:F86"/>
    <mergeCell ref="G85:G86"/>
    <mergeCell ref="G92:G93"/>
    <mergeCell ref="C109:H109"/>
    <mergeCell ref="A92:A93"/>
    <mergeCell ref="B92:B93"/>
    <mergeCell ref="C92:C93"/>
    <mergeCell ref="D92:D93"/>
    <mergeCell ref="E92:E93"/>
    <mergeCell ref="F92:F93"/>
    <mergeCell ref="A96:B97"/>
    <mergeCell ref="A5:A6"/>
    <mergeCell ref="B5:B6"/>
    <mergeCell ref="E5:E6"/>
    <mergeCell ref="A7:A8"/>
    <mergeCell ref="B7:B8"/>
    <mergeCell ref="A9:A10"/>
    <mergeCell ref="B9:B10"/>
    <mergeCell ref="E7:E8"/>
    <mergeCell ref="E9:E10"/>
    <mergeCell ref="S19:S21"/>
    <mergeCell ref="T19:T21"/>
    <mergeCell ref="M20:M21"/>
    <mergeCell ref="N20:N21"/>
    <mergeCell ref="Q20:Q21"/>
    <mergeCell ref="A20:B21"/>
    <mergeCell ref="B22:B23"/>
    <mergeCell ref="C22:C23"/>
    <mergeCell ref="D22:D23"/>
    <mergeCell ref="E22:E23"/>
    <mergeCell ref="F22:F23"/>
    <mergeCell ref="G22:G23"/>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A32:A33"/>
    <mergeCell ref="B32:B33"/>
    <mergeCell ref="C32:C33"/>
    <mergeCell ref="D32:D33"/>
    <mergeCell ref="E32:E33"/>
    <mergeCell ref="F32:F33"/>
    <mergeCell ref="G32:G33"/>
    <mergeCell ref="S32:S33"/>
    <mergeCell ref="T32:T33"/>
    <mergeCell ref="R28:R29"/>
    <mergeCell ref="S28:S29"/>
    <mergeCell ref="T28:T29"/>
    <mergeCell ref="R30:R31"/>
    <mergeCell ref="S30:S31"/>
    <mergeCell ref="T30:T31"/>
    <mergeCell ref="R32:R33"/>
    <mergeCell ref="A26:A27"/>
    <mergeCell ref="B28:B29"/>
    <mergeCell ref="C28:C29"/>
    <mergeCell ref="D28:D29"/>
    <mergeCell ref="E28:E29"/>
    <mergeCell ref="F28:F29"/>
    <mergeCell ref="G28:G29"/>
    <mergeCell ref="A28:A29"/>
    <mergeCell ref="B30:B31"/>
    <mergeCell ref="C30:C31"/>
    <mergeCell ref="D30:D31"/>
    <mergeCell ref="E30:E31"/>
    <mergeCell ref="F30:F31"/>
    <mergeCell ref="G30:G31"/>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A38:A39"/>
    <mergeCell ref="B38:B39"/>
    <mergeCell ref="C38:C39"/>
    <mergeCell ref="D38:D39"/>
    <mergeCell ref="E38:E39"/>
    <mergeCell ref="F38:F39"/>
    <mergeCell ref="G38:G39"/>
    <mergeCell ref="A42:B43"/>
    <mergeCell ref="M42:M43"/>
    <mergeCell ref="N42:N43"/>
    <mergeCell ref="A40:A41"/>
    <mergeCell ref="B40:B41"/>
    <mergeCell ref="C40:C41"/>
    <mergeCell ref="D40:D41"/>
    <mergeCell ref="E40:E41"/>
    <mergeCell ref="F40:F41"/>
    <mergeCell ref="G40:G41"/>
    <mergeCell ref="S26:S27"/>
    <mergeCell ref="T26:T27"/>
    <mergeCell ref="R22:R23"/>
    <mergeCell ref="S22:S23"/>
    <mergeCell ref="T22:T23"/>
    <mergeCell ref="R24:R25"/>
    <mergeCell ref="S24:S25"/>
    <mergeCell ref="T24:T25"/>
    <mergeCell ref="R26:R27"/>
    <mergeCell ref="S38:S39"/>
    <mergeCell ref="T38:T39"/>
    <mergeCell ref="R34:R35"/>
    <mergeCell ref="S34:S35"/>
    <mergeCell ref="T34:T35"/>
    <mergeCell ref="R36:R37"/>
    <mergeCell ref="S36:S37"/>
    <mergeCell ref="T36:T37"/>
    <mergeCell ref="R38:R39"/>
    <mergeCell ref="R40:R41"/>
    <mergeCell ref="S40:S41"/>
    <mergeCell ref="T40:T41"/>
    <mergeCell ref="Q42:Q43"/>
    <mergeCell ref="R45:R46"/>
    <mergeCell ref="S45:S46"/>
    <mergeCell ref="T45:T46"/>
    <mergeCell ref="S51:S52"/>
    <mergeCell ref="T51:T52"/>
    <mergeCell ref="R47:R48"/>
    <mergeCell ref="S47:S48"/>
    <mergeCell ref="T47:T48"/>
    <mergeCell ref="R49:R50"/>
    <mergeCell ref="S49:S50"/>
    <mergeCell ref="T49:T50"/>
    <mergeCell ref="R51:R52"/>
    <mergeCell ref="A57:A58"/>
    <mergeCell ref="B57:B58"/>
    <mergeCell ref="C57:C58"/>
    <mergeCell ref="D57:D58"/>
    <mergeCell ref="E57:E58"/>
    <mergeCell ref="F57:F58"/>
    <mergeCell ref="G57:G58"/>
    <mergeCell ref="A59:A60"/>
    <mergeCell ref="B59:B60"/>
    <mergeCell ref="C59:C60"/>
    <mergeCell ref="D59:D60"/>
    <mergeCell ref="E59:E60"/>
    <mergeCell ref="F59:F60"/>
    <mergeCell ref="G59:G60"/>
    <mergeCell ref="A61:A62"/>
    <mergeCell ref="B61:B62"/>
    <mergeCell ref="C61:C62"/>
    <mergeCell ref="D61:D62"/>
    <mergeCell ref="E61:E62"/>
    <mergeCell ref="F61:F62"/>
    <mergeCell ref="G61:G62"/>
    <mergeCell ref="A94:A95"/>
    <mergeCell ref="B94:B95"/>
    <mergeCell ref="C94:C95"/>
    <mergeCell ref="D94:D95"/>
    <mergeCell ref="E94:E95"/>
    <mergeCell ref="F94:F95"/>
    <mergeCell ref="G94:G95"/>
    <mergeCell ref="A63:A64"/>
    <mergeCell ref="B63:B64"/>
    <mergeCell ref="C63:C64"/>
    <mergeCell ref="D63:D64"/>
    <mergeCell ref="E63:E64"/>
    <mergeCell ref="F63:F64"/>
    <mergeCell ref="G63:G64"/>
    <mergeCell ref="T66:T67"/>
    <mergeCell ref="S68:S69"/>
    <mergeCell ref="T68:T69"/>
    <mergeCell ref="S76:S77"/>
    <mergeCell ref="T76:T77"/>
    <mergeCell ref="S78:S79"/>
    <mergeCell ref="T78:T79"/>
    <mergeCell ref="T81:T82"/>
    <mergeCell ref="T83:T84"/>
    <mergeCell ref="T85:T86"/>
    <mergeCell ref="T87:T88"/>
    <mergeCell ref="T90:T91"/>
    <mergeCell ref="T92:T93"/>
    <mergeCell ref="R59:R60"/>
    <mergeCell ref="S59:S60"/>
    <mergeCell ref="T59:T60"/>
    <mergeCell ref="R61:R62"/>
    <mergeCell ref="T61:T62"/>
    <mergeCell ref="R63:R64"/>
    <mergeCell ref="R66:R79"/>
    <mergeCell ref="S92:S93"/>
    <mergeCell ref="S94:S95"/>
    <mergeCell ref="T94:T95"/>
    <mergeCell ref="M96:M97"/>
    <mergeCell ref="N96:N97"/>
    <mergeCell ref="Q96:Q97"/>
    <mergeCell ref="R81:R88"/>
    <mergeCell ref="S81:S82"/>
    <mergeCell ref="S83:S84"/>
    <mergeCell ref="S85:S86"/>
    <mergeCell ref="S87:S88"/>
    <mergeCell ref="R90:R95"/>
    <mergeCell ref="S90:S91"/>
    <mergeCell ref="S57:S58"/>
    <mergeCell ref="T57:T58"/>
    <mergeCell ref="R53:R54"/>
    <mergeCell ref="S53:S54"/>
    <mergeCell ref="T53:T54"/>
    <mergeCell ref="R55:R56"/>
    <mergeCell ref="S55:S56"/>
    <mergeCell ref="T55:T56"/>
    <mergeCell ref="R57:R58"/>
    <mergeCell ref="S63:S64"/>
    <mergeCell ref="T63:T64"/>
    <mergeCell ref="S61:S62"/>
    <mergeCell ref="S66:S67"/>
    <mergeCell ref="S70:S71"/>
    <mergeCell ref="T70:T71"/>
    <mergeCell ref="S72:S73"/>
    <mergeCell ref="T72:T73"/>
    <mergeCell ref="S74:S75"/>
    <mergeCell ref="T74:T75"/>
  </mergeCells>
  <conditionalFormatting sqref="D22:D86 D89:D95">
    <cfRule type="expression" dxfId="0" priority="1">
      <formula>#REF!=TRUE</formula>
    </cfRule>
  </conditionalFormatting>
  <conditionalFormatting sqref="D22:D86 D89:D95">
    <cfRule type="expression" dxfId="1" priority="2">
      <formula>#REF!=TRUE</formula>
    </cfRule>
  </conditionalFormatting>
  <conditionalFormatting sqref="D22:D23 D38:D39 D51:D56 D65:D67 D70:D71 D76:D77 D80 D85:D86 D89 D99:D100 D104 D108">
    <cfRule type="expression" dxfId="0" priority="3">
      <formula>#REF!=TRUE</formula>
    </cfRule>
  </conditionalFormatting>
  <conditionalFormatting sqref="D22:D23 D38:D39 D51:D56 D65:D67 D70:D71 D76:D77 D80 D85:D86 D89 D99:D100 D104 D108">
    <cfRule type="expression" dxfId="1" priority="4">
      <formula>P22=TRUE</formula>
    </cfRule>
  </conditionalFormatting>
  <dataValidations>
    <dataValidation type="list" allowBlank="1" showErrorMessage="1" sqref="G22 G24 G26 G28 G30 G32 G34 G36 G38 G40 G44:G45 G47 G49 G51 G53 G55 G57 G59 G61 G63 G66 G68 G70 G72 G74 G76 G78 G81 G83 G85 G87 G89:G90 G92 G94 G98:G107">
      <formula1>"Hồ Chí Minh,Đồng Nai,Bình Dương,Hải Dương,Hà Nội ,Hải Phòng,Sóc Trăng,Cần Thơ,Mass,Đồng Tháp"</formula1>
    </dataValidation>
    <dataValidation type="list" allowBlank="1" showErrorMessage="1" sqref="T22 T24 T26 T28 T30 T32 T34 T36 T38 T40 T44:T45 T47 T49 T51 T53 T55 T57 T59 T61 T63 T65:T66 T68 T70 T72 T74 T76 T78 T80:T81 T83 T85 T87 T89:T90 T92 T94 T98:T107">
      <formula1>"Confirm,Không phù hợp,Đề xuất thêm"</formula1>
    </dataValidation>
    <dataValidation type="list" allowBlank="1" showErrorMessage="1" sqref="E22 E24 E26 E28 E30 E32 E34 E36 E38 E40 E44:E45 E47 E49 E51 E53 E55 E57 E59 E61 E63 E66 E68 E70 E72 E74 E76 E78 E81 E83 E85 E87 E89:E90 E92 E94 E98:E107">
      <formula1>"Nano,Macro,Micro"</formula1>
    </dataValidation>
    <dataValidation type="list" allowBlank="1" showErrorMessage="1" sqref="C22 C24 C26 C28 C30 C32 C34 C36 C38 C40 C44:C45 C47 C49 C51 C53 C55 C57 C59 C61 C63 C66 C68 C70 C72 C74 C76 C78 C81 C83 C85 C87 C89:C90 C92 C94 C98:C107">
      <formula1>"Tiktok,Facebook,Instagram,TikTok &amp; Facebook"</formula1>
    </dataValidation>
  </dataValidations>
  <hyperlinks>
    <hyperlink r:id="rId1" ref="F22"/>
    <hyperlink r:id="rId2" ref="H22"/>
    <hyperlink r:id="rId3" ref="F24"/>
    <hyperlink r:id="rId4" ref="H24"/>
    <hyperlink r:id="rId5" ref="F26"/>
    <hyperlink r:id="rId6" ref="H26"/>
    <hyperlink r:id="rId7" ref="F28"/>
    <hyperlink r:id="rId8" ref="H28"/>
    <hyperlink r:id="rId9" ref="F30"/>
    <hyperlink r:id="rId10" ref="H30"/>
    <hyperlink r:id="rId11" ref="F32"/>
    <hyperlink r:id="rId12" ref="H32"/>
    <hyperlink r:id="rId13" ref="S32"/>
    <hyperlink r:id="rId14" ref="F34"/>
    <hyperlink r:id="rId15" ref="H34"/>
    <hyperlink r:id="rId16" ref="F36"/>
    <hyperlink r:id="rId17" ref="H36"/>
    <hyperlink r:id="rId18" ref="F38"/>
    <hyperlink r:id="rId19" ref="H38"/>
    <hyperlink r:id="rId20" ref="F40"/>
    <hyperlink r:id="rId21" ref="H40"/>
    <hyperlink r:id="rId22" ref="F45"/>
    <hyperlink r:id="rId23" ref="H45"/>
    <hyperlink r:id="rId24" ref="F47"/>
    <hyperlink r:id="rId25" ref="H47"/>
    <hyperlink r:id="rId26" ref="F49"/>
    <hyperlink r:id="rId27" ref="H49"/>
    <hyperlink r:id="rId28" ref="F51"/>
    <hyperlink r:id="rId29" ref="H51"/>
    <hyperlink r:id="rId30" ref="F53"/>
    <hyperlink r:id="rId31" ref="H53"/>
    <hyperlink r:id="rId32" ref="F55"/>
    <hyperlink r:id="rId33" ref="H55"/>
    <hyperlink r:id="rId34" ref="F57"/>
    <hyperlink r:id="rId35" ref="H57"/>
    <hyperlink r:id="rId36" ref="F59"/>
    <hyperlink r:id="rId37" ref="H59"/>
    <hyperlink r:id="rId38" ref="F61"/>
    <hyperlink r:id="rId39" ref="H61"/>
    <hyperlink r:id="rId40" ref="F63"/>
    <hyperlink r:id="rId41" ref="H63"/>
    <hyperlink r:id="rId42" ref="F66"/>
    <hyperlink r:id="rId43" ref="H66"/>
    <hyperlink r:id="rId44" ref="F68"/>
    <hyperlink r:id="rId45" ref="H68"/>
    <hyperlink r:id="rId46" ref="F70"/>
    <hyperlink r:id="rId47" ref="H70"/>
    <hyperlink r:id="rId48" ref="F72"/>
    <hyperlink r:id="rId49" ref="H72"/>
    <hyperlink r:id="rId50" ref="F74"/>
    <hyperlink r:id="rId51" ref="H74"/>
    <hyperlink r:id="rId52" ref="F76"/>
    <hyperlink r:id="rId53" ref="H76"/>
    <hyperlink r:id="rId54" ref="F78"/>
    <hyperlink r:id="rId55" ref="H78"/>
    <hyperlink r:id="rId56" ref="F81"/>
    <hyperlink r:id="rId57" ref="H81"/>
    <hyperlink r:id="rId58" ref="F83"/>
    <hyperlink r:id="rId59" ref="H83"/>
    <hyperlink r:id="rId60" ref="F85"/>
    <hyperlink r:id="rId61" ref="H85"/>
    <hyperlink r:id="rId62" ref="F87"/>
    <hyperlink r:id="rId63" ref="H87"/>
    <hyperlink r:id="rId64" ref="F90"/>
    <hyperlink r:id="rId65" ref="H90"/>
    <hyperlink r:id="rId66" ref="F92"/>
    <hyperlink r:id="rId67" ref="H92"/>
    <hyperlink r:id="rId68" ref="F94"/>
    <hyperlink r:id="rId69" ref="H94"/>
    <hyperlink r:id="rId70" ref="F98"/>
    <hyperlink r:id="rId71" ref="F99"/>
    <hyperlink r:id="rId72" ref="F100"/>
    <hyperlink r:id="rId73" ref="F101"/>
    <hyperlink r:id="rId74" ref="F102"/>
    <hyperlink r:id="rId75" ref="F103"/>
    <hyperlink r:id="rId76" ref="F104"/>
    <hyperlink r:id="rId77" ref="F105"/>
    <hyperlink r:id="rId78" ref="F106"/>
    <hyperlink r:id="rId79" ref="F107"/>
  </hyperlinks>
  <drawing r:id="rId8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3" width="13.25"/>
    <col customWidth="1" min="24" max="24" width="15.38"/>
    <col customWidth="1" min="25" max="25" width="14.88"/>
    <col customWidth="1" min="26" max="26" width="52.63"/>
    <col customWidth="1" min="27" max="27" width="18.75"/>
    <col customWidth="1" min="29" max="36" width="11.0"/>
    <col customWidth="1" min="37" max="37" width="28.63"/>
    <col customWidth="1" min="38" max="38" width="22.13"/>
    <col customWidth="1" min="41" max="41" width="35.38"/>
    <col customWidth="1" min="42" max="44" width="7.25"/>
  </cols>
  <sheetData>
    <row r="1" outlineLevel="1">
      <c r="A1" s="1" t="s">
        <v>2277</v>
      </c>
      <c r="B1" s="2"/>
      <c r="C1" s="2"/>
      <c r="D1" s="3"/>
      <c r="E1" s="2"/>
      <c r="F1" s="4"/>
      <c r="G1" s="2"/>
      <c r="H1" s="2"/>
      <c r="I1" s="2"/>
      <c r="J1" s="2"/>
      <c r="K1" s="5"/>
      <c r="L1" s="6"/>
      <c r="M1" s="6"/>
      <c r="N1" s="6"/>
      <c r="O1" s="6"/>
      <c r="P1" s="6"/>
      <c r="Q1" s="6"/>
      <c r="R1" s="7"/>
      <c r="S1" s="8"/>
      <c r="T1" s="8"/>
      <c r="U1" s="8"/>
      <c r="V1" s="8"/>
      <c r="W1" s="8"/>
      <c r="X1" s="8"/>
      <c r="Y1" s="8"/>
      <c r="Z1" s="580"/>
      <c r="AA1" s="581"/>
      <c r="AB1" s="3"/>
      <c r="AC1" s="3"/>
      <c r="AD1" s="3"/>
      <c r="AE1" s="3"/>
      <c r="AF1" s="3"/>
      <c r="AG1" s="3"/>
      <c r="AH1" s="3"/>
      <c r="AI1" s="3"/>
      <c r="AJ1" s="3"/>
      <c r="AK1" s="3"/>
      <c r="AL1" s="3"/>
      <c r="AM1" s="3"/>
      <c r="AN1" s="3"/>
      <c r="AO1" s="9"/>
      <c r="AP1" s="9"/>
      <c r="AQ1" s="9"/>
      <c r="AR1" s="9"/>
    </row>
    <row r="2" outlineLevel="1">
      <c r="A2" s="10"/>
      <c r="B2" s="11"/>
      <c r="C2" s="11"/>
      <c r="D2" s="11"/>
      <c r="E2" s="2"/>
      <c r="F2" s="4"/>
      <c r="G2" s="2"/>
      <c r="H2" s="2"/>
      <c r="I2" s="2"/>
      <c r="J2" s="2"/>
      <c r="K2" s="5"/>
      <c r="L2" s="6"/>
      <c r="M2" s="6"/>
      <c r="N2" s="6"/>
      <c r="O2" s="6"/>
      <c r="P2" s="6"/>
      <c r="Q2" s="6"/>
      <c r="R2" s="7"/>
      <c r="S2" s="8"/>
      <c r="T2" s="8"/>
      <c r="U2" s="8"/>
      <c r="V2" s="8"/>
      <c r="W2" s="8"/>
      <c r="X2" s="8"/>
      <c r="Y2" s="8"/>
      <c r="Z2" s="580"/>
      <c r="AA2" s="581"/>
      <c r="AB2" s="3"/>
      <c r="AC2" s="3"/>
      <c r="AD2" s="3"/>
      <c r="AE2" s="3"/>
      <c r="AF2" s="3"/>
      <c r="AG2" s="3"/>
      <c r="AH2" s="3"/>
      <c r="AI2" s="3"/>
      <c r="AJ2" s="3"/>
      <c r="AK2" s="3"/>
      <c r="AL2" s="3"/>
      <c r="AM2" s="3"/>
      <c r="AN2" s="3"/>
      <c r="AO2" s="9"/>
      <c r="AP2" s="9"/>
      <c r="AQ2" s="9"/>
      <c r="AR2" s="9"/>
    </row>
    <row r="3" ht="27.0" customHeight="1" outlineLevel="1">
      <c r="A3" s="12" t="s">
        <v>1</v>
      </c>
      <c r="B3" s="13" t="s">
        <v>2</v>
      </c>
      <c r="C3" s="14" t="s">
        <v>3</v>
      </c>
      <c r="D3" s="14" t="s">
        <v>4</v>
      </c>
      <c r="E3" s="15" t="s">
        <v>5</v>
      </c>
      <c r="J3" s="6"/>
      <c r="K3" s="2"/>
      <c r="L3" s="5"/>
      <c r="M3" s="6"/>
      <c r="N3" s="6"/>
      <c r="O3" s="6"/>
      <c r="P3" s="6"/>
      <c r="Q3" s="6"/>
      <c r="R3" s="6"/>
      <c r="S3" s="7"/>
      <c r="T3" s="7"/>
      <c r="U3" s="7"/>
      <c r="V3" s="7"/>
      <c r="W3" s="7"/>
      <c r="X3" s="8"/>
      <c r="Y3" s="8"/>
      <c r="Z3" s="580"/>
      <c r="AA3" s="8"/>
      <c r="AB3" s="581"/>
      <c r="AC3" s="3"/>
      <c r="AD3" s="3"/>
      <c r="AE3" s="3"/>
      <c r="AF3" s="3"/>
      <c r="AG3" s="3"/>
      <c r="AH3" s="3"/>
      <c r="AI3" s="3"/>
      <c r="AJ3" s="3"/>
      <c r="AK3" s="3"/>
      <c r="AL3" s="3"/>
      <c r="AM3" s="3"/>
      <c r="AN3" s="3"/>
      <c r="AO3" s="9"/>
      <c r="AP3" s="9"/>
      <c r="AQ3" s="9"/>
      <c r="AR3" s="9"/>
    </row>
    <row r="4" ht="27.0" customHeight="1" outlineLevel="1">
      <c r="A4" s="17"/>
      <c r="B4" s="18"/>
      <c r="C4" s="19" t="s">
        <v>6</v>
      </c>
      <c r="D4" s="20">
        <f>sum(D5,D7,D9:D10)</f>
        <v>37</v>
      </c>
      <c r="E4" s="20">
        <f>Sum(E5:E11)</f>
        <v>616000000</v>
      </c>
      <c r="J4" s="2"/>
      <c r="K4" s="2"/>
      <c r="L4" s="5"/>
      <c r="M4" s="6"/>
      <c r="N4" s="6"/>
      <c r="O4" s="6"/>
      <c r="P4" s="6"/>
      <c r="Q4" s="6"/>
      <c r="R4" s="6"/>
      <c r="S4" s="7"/>
      <c r="T4" s="7"/>
      <c r="U4" s="7"/>
      <c r="V4" s="7"/>
      <c r="W4" s="7"/>
      <c r="X4" s="672"/>
      <c r="Y4" s="672"/>
      <c r="Z4" s="673"/>
      <c r="AA4" s="672"/>
      <c r="AB4" s="674"/>
      <c r="AC4" s="219"/>
      <c r="AD4" s="3"/>
      <c r="AE4" s="3"/>
      <c r="AF4" s="3"/>
      <c r="AG4" s="3"/>
      <c r="AH4" s="3"/>
      <c r="AI4" s="3"/>
      <c r="AJ4" s="3"/>
      <c r="AK4" s="3"/>
      <c r="AL4" s="3"/>
      <c r="AM4" s="3"/>
      <c r="AN4" s="3"/>
      <c r="AO4" s="9"/>
      <c r="AP4" s="9"/>
      <c r="AQ4" s="9"/>
      <c r="AR4" s="9"/>
    </row>
    <row r="5" ht="27.0" customHeight="1" outlineLevel="1">
      <c r="A5" s="675">
        <v>1.0</v>
      </c>
      <c r="B5" s="22" t="str">
        <f>A20</f>
        <v>FOODY REVIEWER</v>
      </c>
      <c r="C5" s="23" t="s">
        <v>7</v>
      </c>
      <c r="D5" s="24">
        <f t="shared" ref="D5:D6" si="1">K20</f>
        <v>9</v>
      </c>
      <c r="E5" s="25">
        <f>Q20</f>
        <v>217000000</v>
      </c>
      <c r="J5" s="2"/>
      <c r="K5" s="2"/>
      <c r="L5" s="5"/>
      <c r="M5" s="6"/>
      <c r="N5" s="6"/>
      <c r="O5" s="6"/>
      <c r="P5" s="6"/>
      <c r="Q5" s="6"/>
      <c r="R5" s="6"/>
      <c r="S5" s="7"/>
      <c r="T5" s="7"/>
      <c r="U5" s="7"/>
      <c r="V5" s="7"/>
      <c r="W5" s="7"/>
      <c r="X5" s="672"/>
      <c r="Y5" s="672"/>
      <c r="Z5" s="673"/>
      <c r="AA5" s="672"/>
      <c r="AB5" s="674"/>
      <c r="AC5" s="219"/>
      <c r="AD5" s="3"/>
      <c r="AE5" s="3"/>
      <c r="AF5" s="3"/>
      <c r="AG5" s="3"/>
      <c r="AH5" s="3"/>
      <c r="AI5" s="3"/>
      <c r="AJ5" s="3"/>
      <c r="AK5" s="3"/>
      <c r="AL5" s="3"/>
      <c r="AM5" s="3"/>
      <c r="AN5" s="3"/>
      <c r="AO5" s="9"/>
      <c r="AP5" s="9"/>
      <c r="AQ5" s="9"/>
      <c r="AR5" s="9"/>
    </row>
    <row r="6" ht="27.0" customHeight="1" outlineLevel="1">
      <c r="A6" s="26"/>
      <c r="B6" s="26"/>
      <c r="C6" s="23" t="s">
        <v>8</v>
      </c>
      <c r="D6" s="24">
        <f t="shared" si="1"/>
        <v>9</v>
      </c>
      <c r="E6" s="26"/>
      <c r="J6" s="2"/>
      <c r="K6" s="2"/>
      <c r="L6" s="5"/>
      <c r="M6" s="6"/>
      <c r="N6" s="6"/>
      <c r="O6" s="6"/>
      <c r="P6" s="6"/>
      <c r="Q6" s="6"/>
      <c r="R6" s="6"/>
      <c r="S6" s="7"/>
      <c r="T6" s="7"/>
      <c r="U6" s="7"/>
      <c r="V6" s="7"/>
      <c r="W6" s="7"/>
      <c r="X6" s="672"/>
      <c r="Y6" s="672"/>
      <c r="Z6" s="673"/>
      <c r="AA6" s="672"/>
      <c r="AB6" s="674"/>
      <c r="AC6" s="219"/>
      <c r="AD6" s="3"/>
      <c r="AE6" s="3"/>
      <c r="AF6" s="3"/>
      <c r="AG6" s="3"/>
      <c r="AH6" s="3"/>
      <c r="AI6" s="3"/>
      <c r="AJ6" s="3"/>
      <c r="AK6" s="3"/>
      <c r="AL6" s="3"/>
      <c r="AM6" s="3"/>
      <c r="AN6" s="3"/>
      <c r="AO6" s="9"/>
      <c r="AP6" s="9"/>
      <c r="AQ6" s="9"/>
      <c r="AR6" s="9"/>
    </row>
    <row r="7" ht="27.0" customHeight="1" outlineLevel="1">
      <c r="A7" s="676">
        <v>2.0</v>
      </c>
      <c r="B7" s="22" t="str">
        <f>A46</f>
        <v>FOODY UGC</v>
      </c>
      <c r="C7" s="23" t="s">
        <v>7</v>
      </c>
      <c r="D7" s="24">
        <f t="shared" ref="D7:D8" si="2">K46</f>
        <v>18</v>
      </c>
      <c r="E7" s="25">
        <f>Q46</f>
        <v>163000000</v>
      </c>
      <c r="J7" s="2"/>
      <c r="K7" s="2"/>
      <c r="L7" s="5"/>
      <c r="M7" s="6"/>
      <c r="N7" s="6"/>
      <c r="O7" s="6"/>
      <c r="P7" s="6"/>
      <c r="Q7" s="6"/>
      <c r="R7" s="6"/>
      <c r="S7" s="7"/>
      <c r="T7" s="7"/>
      <c r="U7" s="7"/>
      <c r="V7" s="7"/>
      <c r="W7" s="7"/>
      <c r="X7" s="672"/>
      <c r="Y7" s="672"/>
      <c r="Z7" s="673"/>
      <c r="AA7" s="672"/>
      <c r="AB7" s="674"/>
      <c r="AC7" s="219"/>
      <c r="AD7" s="3"/>
      <c r="AE7" s="3"/>
      <c r="AF7" s="3"/>
      <c r="AG7" s="3"/>
      <c r="AH7" s="3"/>
      <c r="AI7" s="3"/>
      <c r="AJ7" s="3"/>
      <c r="AK7" s="3"/>
      <c r="AL7" s="3"/>
      <c r="AM7" s="3"/>
      <c r="AN7" s="3"/>
      <c r="AO7" s="9"/>
      <c r="AP7" s="9"/>
      <c r="AQ7" s="9"/>
      <c r="AR7" s="9"/>
    </row>
    <row r="8" ht="27.0" customHeight="1" outlineLevel="1">
      <c r="A8" s="26"/>
      <c r="B8" s="26"/>
      <c r="C8" s="23" t="s">
        <v>8</v>
      </c>
      <c r="D8" s="28">
        <f t="shared" si="2"/>
        <v>18</v>
      </c>
      <c r="E8" s="26"/>
      <c r="J8" s="2"/>
      <c r="K8" s="2"/>
      <c r="L8" s="5"/>
      <c r="M8" s="6"/>
      <c r="N8" s="6"/>
      <c r="O8" s="6"/>
      <c r="P8" s="6"/>
      <c r="Q8" s="6"/>
      <c r="R8" s="6"/>
      <c r="S8" s="7"/>
      <c r="T8" s="7"/>
      <c r="U8" s="7"/>
      <c r="V8" s="7"/>
      <c r="W8" s="7"/>
      <c r="X8" s="672"/>
      <c r="Y8" s="672"/>
      <c r="Z8" s="673"/>
      <c r="AA8" s="672"/>
      <c r="AB8" s="674"/>
      <c r="AC8" s="219"/>
      <c r="AD8" s="3"/>
      <c r="AE8" s="3"/>
      <c r="AF8" s="3"/>
      <c r="AG8" s="3"/>
      <c r="AH8" s="3"/>
      <c r="AI8" s="3"/>
      <c r="AJ8" s="3"/>
      <c r="AK8" s="3"/>
      <c r="AL8" s="3"/>
      <c r="AM8" s="3"/>
      <c r="AN8" s="3"/>
      <c r="AO8" s="9"/>
      <c r="AP8" s="9"/>
      <c r="AQ8" s="9"/>
      <c r="AR8" s="9"/>
    </row>
    <row r="9" ht="27.0" customHeight="1" outlineLevel="1">
      <c r="A9" s="676">
        <v>3.0</v>
      </c>
      <c r="B9" s="22" t="str">
        <f>A88</f>
        <v>FOODY COMMUNITY</v>
      </c>
      <c r="C9" s="23" t="s">
        <v>9</v>
      </c>
      <c r="D9" s="28">
        <f>K89</f>
        <v>5</v>
      </c>
      <c r="E9" s="25">
        <f>Q88</f>
        <v>216000000</v>
      </c>
      <c r="J9" s="2"/>
      <c r="K9" s="2"/>
      <c r="L9" s="5"/>
      <c r="M9" s="6"/>
      <c r="N9" s="6"/>
      <c r="O9" s="6"/>
      <c r="P9" s="6"/>
      <c r="Q9" s="6"/>
      <c r="R9" s="6"/>
      <c r="S9" s="7"/>
      <c r="T9" s="7"/>
      <c r="U9" s="7"/>
      <c r="V9" s="7"/>
      <c r="W9" s="7"/>
      <c r="X9" s="672"/>
      <c r="Y9" s="672"/>
      <c r="Z9" s="673"/>
      <c r="AA9" s="672"/>
      <c r="AB9" s="674"/>
      <c r="AC9" s="219"/>
      <c r="AD9" s="3"/>
      <c r="AE9" s="3"/>
      <c r="AF9" s="3"/>
      <c r="AG9" s="3"/>
      <c r="AH9" s="3"/>
      <c r="AI9" s="3"/>
      <c r="AJ9" s="3"/>
      <c r="AK9" s="3"/>
      <c r="AL9" s="3"/>
      <c r="AM9" s="3"/>
      <c r="AN9" s="3"/>
      <c r="AO9" s="9"/>
      <c r="AP9" s="9"/>
      <c r="AQ9" s="9"/>
      <c r="AR9" s="9"/>
    </row>
    <row r="10" ht="27.0" customHeight="1" outlineLevel="1">
      <c r="A10" s="26"/>
      <c r="B10" s="26"/>
      <c r="C10" s="29" t="s">
        <v>10</v>
      </c>
      <c r="D10" s="28">
        <f>K88</f>
        <v>5</v>
      </c>
      <c r="E10" s="26"/>
      <c r="J10" s="2"/>
      <c r="K10" s="2"/>
      <c r="L10" s="5"/>
      <c r="M10" s="6"/>
      <c r="N10" s="6"/>
      <c r="O10" s="6"/>
      <c r="P10" s="6"/>
      <c r="Q10" s="6"/>
      <c r="R10" s="6"/>
      <c r="S10" s="7"/>
      <c r="T10" s="7"/>
      <c r="U10" s="7"/>
      <c r="V10" s="7"/>
      <c r="W10" s="7"/>
      <c r="X10" s="672"/>
      <c r="Y10" s="672"/>
      <c r="Z10" s="673"/>
      <c r="AA10" s="672"/>
      <c r="AB10" s="674"/>
      <c r="AC10" s="219"/>
      <c r="AD10" s="3"/>
      <c r="AE10" s="3"/>
      <c r="AF10" s="3"/>
      <c r="AG10" s="3"/>
      <c r="AH10" s="3"/>
      <c r="AI10" s="3"/>
      <c r="AJ10" s="3"/>
      <c r="AK10" s="3"/>
      <c r="AL10" s="3"/>
      <c r="AM10" s="3"/>
      <c r="AN10" s="3"/>
      <c r="AO10" s="9"/>
      <c r="AP10" s="9"/>
      <c r="AQ10" s="9"/>
      <c r="AR10" s="9"/>
    </row>
    <row r="11" ht="27.0" customHeight="1" outlineLevel="1">
      <c r="A11" s="677">
        <v>4.0</v>
      </c>
      <c r="B11" s="31" t="str">
        <f>A100</f>
        <v>SEEDING PACKAGE</v>
      </c>
      <c r="C11" s="29" t="s">
        <v>11</v>
      </c>
      <c r="D11" s="28">
        <f>K101</f>
        <v>2000</v>
      </c>
      <c r="E11" s="32">
        <f>Q100</f>
        <v>20000000</v>
      </c>
      <c r="J11" s="2"/>
      <c r="K11" s="2"/>
      <c r="L11" s="5"/>
      <c r="M11" s="6"/>
      <c r="N11" s="6"/>
      <c r="O11" s="6"/>
      <c r="P11" s="6"/>
      <c r="Q11" s="6"/>
      <c r="R11" s="6"/>
      <c r="S11" s="7"/>
      <c r="T11" s="7"/>
      <c r="U11" s="7"/>
      <c r="V11" s="7"/>
      <c r="W11" s="7"/>
      <c r="X11" s="672"/>
      <c r="Y11" s="672"/>
      <c r="Z11" s="673"/>
      <c r="AA11" s="672"/>
      <c r="AB11" s="674"/>
      <c r="AC11" s="219"/>
      <c r="AD11" s="3"/>
      <c r="AE11" s="3"/>
      <c r="AF11" s="3"/>
      <c r="AG11" s="3"/>
      <c r="AH11" s="3"/>
      <c r="AI11" s="3"/>
      <c r="AJ11" s="3"/>
      <c r="AK11" s="3"/>
      <c r="AL11" s="3"/>
      <c r="AM11" s="3"/>
      <c r="AN11" s="3"/>
      <c r="AO11" s="9"/>
      <c r="AP11" s="9"/>
      <c r="AQ11" s="9"/>
      <c r="AR11" s="9"/>
    </row>
    <row r="12" ht="27.0" customHeight="1" outlineLevel="1">
      <c r="A12" s="33"/>
      <c r="B12" s="34" t="s">
        <v>12</v>
      </c>
      <c r="C12" s="35"/>
      <c r="D12" s="35"/>
      <c r="E12" s="36">
        <f>E4</f>
        <v>616000000</v>
      </c>
      <c r="K12" s="2"/>
      <c r="L12" s="5"/>
      <c r="M12" s="6"/>
      <c r="N12" s="6"/>
      <c r="O12" s="6"/>
      <c r="P12" s="6"/>
      <c r="Q12" s="6"/>
      <c r="R12" s="681"/>
      <c r="S12" s="7"/>
      <c r="T12" s="7"/>
      <c r="U12" s="7"/>
      <c r="V12" s="7"/>
      <c r="W12" s="7"/>
      <c r="X12" s="672"/>
      <c r="Y12" s="672"/>
      <c r="Z12" s="673"/>
      <c r="AA12" s="672"/>
      <c r="AB12" s="682"/>
      <c r="AC12" s="218"/>
      <c r="AD12" s="2"/>
      <c r="AE12" s="2"/>
      <c r="AF12" s="2"/>
      <c r="AG12" s="2"/>
      <c r="AH12" s="2"/>
      <c r="AI12" s="2"/>
      <c r="AJ12" s="2"/>
      <c r="AK12" s="2"/>
      <c r="AL12" s="2"/>
      <c r="AM12" s="2"/>
      <c r="AN12" s="2"/>
      <c r="AO12" s="9"/>
      <c r="AP12" s="9"/>
      <c r="AQ12" s="9"/>
      <c r="AR12" s="9"/>
    </row>
    <row r="13" ht="27.0" customHeight="1" outlineLevel="1">
      <c r="A13" s="38"/>
      <c r="B13" s="34" t="s">
        <v>13</v>
      </c>
      <c r="C13" s="39"/>
      <c r="D13" s="40">
        <v>0.12</v>
      </c>
      <c r="E13" s="41">
        <f>E12*D13</f>
        <v>73920000</v>
      </c>
      <c r="J13" s="42"/>
      <c r="K13" s="42"/>
      <c r="L13" s="43"/>
      <c r="M13" s="43"/>
      <c r="N13" s="43"/>
      <c r="O13" s="43"/>
      <c r="P13" s="43"/>
      <c r="Q13" s="43"/>
      <c r="R13" s="7"/>
      <c r="S13" s="8"/>
      <c r="T13" s="8"/>
      <c r="U13" s="8"/>
      <c r="V13" s="8"/>
      <c r="W13" s="8"/>
      <c r="X13" s="8"/>
      <c r="Y13" s="8"/>
      <c r="Z13" s="580"/>
      <c r="AA13" s="683"/>
      <c r="AB13" s="42"/>
      <c r="AC13" s="42"/>
      <c r="AD13" s="42"/>
      <c r="AE13" s="42"/>
      <c r="AF13" s="42"/>
      <c r="AG13" s="42"/>
      <c r="AH13" s="42"/>
      <c r="AI13" s="42"/>
      <c r="AJ13" s="42"/>
      <c r="AK13" s="43"/>
      <c r="AL13" s="43"/>
      <c r="AM13" s="43"/>
      <c r="AN13" s="43"/>
      <c r="AO13" s="9"/>
      <c r="AP13" s="9"/>
      <c r="AQ13" s="9"/>
      <c r="AR13" s="9"/>
    </row>
    <row r="14" ht="27.0" customHeight="1" outlineLevel="1">
      <c r="A14" s="38"/>
      <c r="B14" s="34" t="s">
        <v>14</v>
      </c>
      <c r="C14" s="39"/>
      <c r="D14" s="39"/>
      <c r="E14" s="41">
        <f>sum(E12:E13)</f>
        <v>689920000</v>
      </c>
      <c r="J14" s="42"/>
      <c r="K14" s="42"/>
      <c r="L14" s="43"/>
      <c r="M14" s="43"/>
      <c r="N14" s="43"/>
      <c r="O14" s="43"/>
      <c r="P14" s="43"/>
      <c r="Q14" s="43"/>
      <c r="R14" s="7"/>
      <c r="S14" s="8"/>
      <c r="T14" s="8"/>
      <c r="U14" s="8"/>
      <c r="V14" s="8"/>
      <c r="W14" s="8"/>
      <c r="X14" s="8"/>
      <c r="Y14" s="8"/>
      <c r="Z14" s="580"/>
      <c r="AA14" s="683"/>
      <c r="AB14" s="42"/>
      <c r="AC14" s="42"/>
      <c r="AD14" s="42"/>
      <c r="AE14" s="42"/>
      <c r="AF14" s="42"/>
      <c r="AG14" s="42"/>
      <c r="AH14" s="42"/>
      <c r="AI14" s="42"/>
      <c r="AJ14" s="42"/>
      <c r="AK14" s="43"/>
      <c r="AL14" s="43"/>
      <c r="AM14" s="43"/>
      <c r="AN14" s="43"/>
      <c r="AO14" s="9"/>
      <c r="AP14" s="9"/>
      <c r="AQ14" s="9"/>
      <c r="AR14" s="9"/>
    </row>
    <row r="15" ht="27.0" customHeight="1" outlineLevel="1">
      <c r="A15" s="38"/>
      <c r="B15" s="34" t="s">
        <v>15</v>
      </c>
      <c r="C15" s="39"/>
      <c r="D15" s="39"/>
      <c r="E15" s="41">
        <f>E14*1.08</f>
        <v>745113600</v>
      </c>
      <c r="J15" s="42"/>
      <c r="K15" s="42"/>
      <c r="L15" s="43"/>
      <c r="M15" s="43"/>
      <c r="N15" s="43"/>
      <c r="O15" s="43"/>
      <c r="P15" s="43"/>
      <c r="Q15" s="43"/>
      <c r="R15" s="7"/>
      <c r="S15" s="8"/>
      <c r="T15" s="8"/>
      <c r="U15" s="8"/>
      <c r="V15" s="8"/>
      <c r="W15" s="8"/>
      <c r="X15" s="8"/>
      <c r="Y15" s="8"/>
      <c r="Z15" s="580"/>
      <c r="AA15" s="683"/>
      <c r="AB15" s="42"/>
      <c r="AC15" s="42"/>
      <c r="AD15" s="42"/>
      <c r="AE15" s="42"/>
      <c r="AF15" s="42"/>
      <c r="AG15" s="42"/>
      <c r="AH15" s="42"/>
      <c r="AI15" s="42"/>
      <c r="AJ15" s="42"/>
      <c r="AK15" s="43"/>
      <c r="AL15" s="43"/>
      <c r="AM15" s="43"/>
      <c r="AN15" s="43"/>
      <c r="AO15" s="9"/>
      <c r="AP15" s="9"/>
      <c r="AQ15" s="9"/>
      <c r="AR15" s="9"/>
    </row>
    <row r="16" outlineLevel="1">
      <c r="A16" s="38"/>
      <c r="B16" s="44"/>
      <c r="C16" s="42"/>
      <c r="D16" s="42"/>
      <c r="E16" s="42"/>
      <c r="J16" s="42"/>
      <c r="K16" s="42"/>
      <c r="L16" s="43"/>
      <c r="M16" s="43"/>
      <c r="N16" s="43"/>
      <c r="O16" s="43"/>
      <c r="P16" s="43"/>
      <c r="Q16" s="43"/>
      <c r="R16" s="7"/>
      <c r="S16" s="8"/>
      <c r="T16" s="8"/>
      <c r="U16" s="8"/>
      <c r="V16" s="8"/>
      <c r="W16" s="8"/>
      <c r="X16" s="8"/>
      <c r="Y16" s="8"/>
      <c r="Z16" s="580"/>
      <c r="AA16" s="683"/>
      <c r="AB16" s="42"/>
      <c r="AC16" s="42"/>
      <c r="AD16" s="42"/>
      <c r="AE16" s="42"/>
      <c r="AF16" s="42"/>
      <c r="AG16" s="42"/>
      <c r="AH16" s="42"/>
      <c r="AI16" s="42"/>
      <c r="AJ16" s="42"/>
      <c r="AK16" s="43"/>
      <c r="AL16" s="43"/>
      <c r="AM16" s="43"/>
      <c r="AN16" s="43"/>
      <c r="AO16" s="9"/>
      <c r="AP16" s="9"/>
      <c r="AQ16" s="9"/>
      <c r="AR16" s="9"/>
    </row>
    <row r="17" outlineLevel="1">
      <c r="R17" s="892"/>
      <c r="S17" s="8"/>
      <c r="T17" s="8"/>
      <c r="U17" s="8"/>
      <c r="V17" s="8"/>
      <c r="W17" s="8"/>
      <c r="X17" s="8"/>
      <c r="Y17" s="8"/>
      <c r="Z17" s="580"/>
      <c r="AA17" s="685" t="s">
        <v>891</v>
      </c>
      <c r="AB17" s="686"/>
      <c r="AC17" s="687" t="s">
        <v>892</v>
      </c>
      <c r="AD17" s="688"/>
      <c r="AE17" s="688"/>
      <c r="AF17" s="688"/>
      <c r="AG17" s="688"/>
      <c r="AH17" s="688"/>
      <c r="AI17" s="688"/>
      <c r="AJ17" s="688"/>
      <c r="AK17" s="686"/>
      <c r="AL17" s="686"/>
      <c r="AM17" s="686"/>
      <c r="AN17" s="689"/>
      <c r="AO17" s="9"/>
      <c r="AP17" s="9"/>
      <c r="AQ17" s="9"/>
      <c r="AR17" s="9"/>
    </row>
    <row r="18" ht="44.25" customHeight="1" outlineLevel="1">
      <c r="A18" s="43"/>
      <c r="B18" s="43"/>
      <c r="C18" s="43"/>
      <c r="D18" s="43"/>
      <c r="E18" s="43"/>
      <c r="G18" s="43"/>
      <c r="H18" s="43"/>
      <c r="K18" s="43"/>
      <c r="L18" s="43"/>
      <c r="M18" s="43"/>
      <c r="N18" s="43"/>
      <c r="O18" s="43"/>
      <c r="P18" s="43"/>
      <c r="Q18" s="43"/>
      <c r="R18" s="690"/>
      <c r="S18" s="47"/>
      <c r="T18" s="47"/>
      <c r="U18" s="47"/>
      <c r="V18" s="47"/>
      <c r="W18" s="47"/>
      <c r="X18" s="47"/>
      <c r="Y18" s="47"/>
      <c r="Z18" s="691"/>
      <c r="AA18" s="692" t="s">
        <v>893</v>
      </c>
      <c r="AB18" s="693" t="s">
        <v>894</v>
      </c>
      <c r="AC18" s="694" t="s">
        <v>38</v>
      </c>
      <c r="AD18" s="688"/>
      <c r="AE18" s="688"/>
      <c r="AF18" s="688"/>
      <c r="AG18" s="695" t="s">
        <v>320</v>
      </c>
      <c r="AH18" s="696"/>
      <c r="AI18" s="696"/>
      <c r="AJ18" s="697"/>
      <c r="AK18" s="698" t="s">
        <v>895</v>
      </c>
      <c r="AL18" s="693" t="s">
        <v>896</v>
      </c>
      <c r="AM18" s="693" t="s">
        <v>897</v>
      </c>
      <c r="AN18" s="693" t="s">
        <v>898</v>
      </c>
      <c r="AO18" s="9"/>
      <c r="AP18" s="9"/>
      <c r="AQ18" s="9"/>
      <c r="AR18" s="9"/>
    </row>
    <row r="19" ht="30.75" customHeight="1">
      <c r="A19" s="1194" t="s">
        <v>16</v>
      </c>
      <c r="B19" s="1195" t="s">
        <v>17</v>
      </c>
      <c r="C19" s="1195" t="s">
        <v>18</v>
      </c>
      <c r="D19" s="1196" t="s">
        <v>19</v>
      </c>
      <c r="E19" s="1197" t="s">
        <v>20</v>
      </c>
      <c r="F19" s="1198" t="s">
        <v>21</v>
      </c>
      <c r="G19" s="1195" t="s">
        <v>22</v>
      </c>
      <c r="H19" s="1195" t="s">
        <v>23</v>
      </c>
      <c r="I19" s="1195" t="s">
        <v>24</v>
      </c>
      <c r="J19" s="1195" t="s">
        <v>3</v>
      </c>
      <c r="K19" s="1195" t="s">
        <v>4</v>
      </c>
      <c r="L19" s="1195" t="s">
        <v>25</v>
      </c>
      <c r="M19" s="1196" t="s">
        <v>26</v>
      </c>
      <c r="N19" s="1195" t="s">
        <v>27</v>
      </c>
      <c r="O19" s="1195" t="s">
        <v>28</v>
      </c>
      <c r="P19" s="1195" t="s">
        <v>29</v>
      </c>
      <c r="Q19" s="1195" t="s">
        <v>30</v>
      </c>
      <c r="R19" s="1195" t="s">
        <v>31</v>
      </c>
      <c r="S19" s="1199" t="s">
        <v>32</v>
      </c>
      <c r="T19" s="1199" t="s">
        <v>33</v>
      </c>
      <c r="U19" s="1199" t="s">
        <v>34</v>
      </c>
      <c r="V19" s="54"/>
      <c r="W19" s="54"/>
      <c r="X19" s="703" t="s">
        <v>899</v>
      </c>
      <c r="Y19" s="703" t="s">
        <v>900</v>
      </c>
      <c r="Z19" s="704"/>
      <c r="AA19" s="705"/>
      <c r="AB19" s="706"/>
      <c r="AC19" s="707" t="s">
        <v>901</v>
      </c>
      <c r="AD19" s="707" t="s">
        <v>902</v>
      </c>
      <c r="AE19" s="707" t="s">
        <v>903</v>
      </c>
      <c r="AF19" s="707" t="s">
        <v>904</v>
      </c>
      <c r="AG19" s="708" t="s">
        <v>901</v>
      </c>
      <c r="AH19" s="708" t="s">
        <v>902</v>
      </c>
      <c r="AI19" s="708" t="s">
        <v>903</v>
      </c>
      <c r="AJ19" s="708" t="s">
        <v>904</v>
      </c>
      <c r="AK19" s="707" t="s">
        <v>905</v>
      </c>
      <c r="AL19" s="706"/>
      <c r="AM19" s="706"/>
      <c r="AN19" s="706"/>
      <c r="AO19" s="9"/>
      <c r="AP19" s="9"/>
      <c r="AQ19" s="9"/>
      <c r="AR19" s="9"/>
    </row>
    <row r="20" ht="30.0" customHeight="1">
      <c r="A20" s="1200" t="s">
        <v>35</v>
      </c>
      <c r="B20" s="56"/>
      <c r="C20" s="1201"/>
      <c r="D20" s="1202"/>
      <c r="E20" s="1203"/>
      <c r="F20" s="1203"/>
      <c r="G20" s="1203"/>
      <c r="H20" s="1203"/>
      <c r="I20" s="1203"/>
      <c r="J20" s="1204" t="s">
        <v>7</v>
      </c>
      <c r="K20" s="1204">
        <f>SUMIFS(K22:K45,J22:J45,"Video Post")</f>
        <v>9</v>
      </c>
      <c r="L20" s="1205"/>
      <c r="M20" s="1206">
        <f t="shared" ref="M20:N20" si="3">sumif($I$22:$I$45,"TRUE",M22:M45)</f>
        <v>710000</v>
      </c>
      <c r="N20" s="1206">
        <f t="shared" si="3"/>
        <v>28700</v>
      </c>
      <c r="O20" s="1205"/>
      <c r="P20" s="1205"/>
      <c r="Q20" s="1206">
        <f>sum(Q22:Q45)</f>
        <v>217000000</v>
      </c>
      <c r="R20" s="1203"/>
      <c r="S20" s="68"/>
      <c r="T20" s="68"/>
      <c r="U20" s="68"/>
      <c r="V20" s="69"/>
      <c r="W20" s="69"/>
      <c r="X20" s="717"/>
      <c r="Y20" s="717"/>
      <c r="Z20" s="718"/>
      <c r="AA20" s="719"/>
      <c r="AB20" s="720"/>
      <c r="AC20" s="721"/>
      <c r="AD20" s="721"/>
      <c r="AE20" s="721"/>
      <c r="AF20" s="722"/>
      <c r="AG20" s="723"/>
      <c r="AH20" s="721"/>
      <c r="AI20" s="721"/>
      <c r="AJ20" s="721"/>
      <c r="AK20" s="724"/>
      <c r="AL20" s="724"/>
      <c r="AM20" s="724"/>
      <c r="AN20" s="725"/>
      <c r="AO20" s="9"/>
      <c r="AP20" s="9"/>
      <c r="AQ20" s="9"/>
      <c r="AR20" s="9"/>
    </row>
    <row r="21" ht="30.0" customHeight="1">
      <c r="A21" s="70"/>
      <c r="B21" s="71"/>
      <c r="C21" s="1201"/>
      <c r="D21" s="1202"/>
      <c r="E21" s="1203"/>
      <c r="F21" s="1203"/>
      <c r="G21" s="1203"/>
      <c r="H21" s="1203"/>
      <c r="I21" s="1203"/>
      <c r="J21" s="1204" t="s">
        <v>8</v>
      </c>
      <c r="K21" s="1204">
        <f>SUMIFS(K22:K45,J22:J45,"Tháng")</f>
        <v>9</v>
      </c>
      <c r="L21" s="1205"/>
      <c r="M21" s="72"/>
      <c r="N21" s="72"/>
      <c r="O21" s="1205"/>
      <c r="P21" s="1205"/>
      <c r="Q21" s="72"/>
      <c r="R21" s="1203"/>
      <c r="S21" s="72"/>
      <c r="T21" s="72"/>
      <c r="U21" s="72"/>
      <c r="V21" s="69"/>
      <c r="W21" s="69"/>
      <c r="X21" s="717"/>
      <c r="Y21" s="717"/>
      <c r="Z21" s="728"/>
      <c r="AA21" s="719"/>
      <c r="AB21" s="720"/>
      <c r="AC21" s="721"/>
      <c r="AD21" s="721"/>
      <c r="AE21" s="721"/>
      <c r="AF21" s="722"/>
      <c r="AG21" s="723"/>
      <c r="AH21" s="721"/>
      <c r="AI21" s="721"/>
      <c r="AJ21" s="721"/>
      <c r="AK21" s="724"/>
      <c r="AL21" s="724"/>
      <c r="AM21" s="724"/>
      <c r="AN21" s="725"/>
      <c r="AO21" s="9"/>
      <c r="AP21" s="9"/>
      <c r="AQ21" s="9"/>
      <c r="AR21" s="9"/>
    </row>
    <row r="22" ht="59.25" customHeight="1" outlineLevel="1">
      <c r="A22" s="1207" t="s">
        <v>36</v>
      </c>
      <c r="B22" s="1208" t="s">
        <v>37</v>
      </c>
      <c r="C22" s="103" t="s">
        <v>38</v>
      </c>
      <c r="D22" s="1209" t="s">
        <v>39</v>
      </c>
      <c r="E22" s="105" t="s">
        <v>40</v>
      </c>
      <c r="F22" s="1210" t="s">
        <v>21</v>
      </c>
      <c r="G22" s="104" t="s">
        <v>41</v>
      </c>
      <c r="H22" s="1211" t="s">
        <v>2278</v>
      </c>
      <c r="I22" s="1212" t="b">
        <v>1</v>
      </c>
      <c r="J22" s="109" t="s">
        <v>7</v>
      </c>
      <c r="K22" s="109">
        <f t="shared" ref="K22:K45" si="4">if(I22=True,1,if(I22=False,0))</f>
        <v>1</v>
      </c>
      <c r="L22" s="113">
        <v>1.6E7</v>
      </c>
      <c r="M22" s="113">
        <v>50000.0</v>
      </c>
      <c r="N22" s="113">
        <v>3000.0</v>
      </c>
      <c r="O22" s="113">
        <f t="shared" ref="O22:O32" si="5">IFERROR(Q22/M22,"-")</f>
        <v>320</v>
      </c>
      <c r="P22" s="113">
        <f t="shared" ref="P22:P32" si="6">IFERROR(Q22/N22,"-")</f>
        <v>5333.333333</v>
      </c>
      <c r="Q22" s="113">
        <f t="shared" ref="Q22:Q45" si="7">iferror(L22*K22,"-")</f>
        <v>16000000</v>
      </c>
      <c r="R22" s="1213" t="s">
        <v>2279</v>
      </c>
      <c r="S22" s="1214" t="s">
        <v>44</v>
      </c>
      <c r="T22" s="115"/>
      <c r="U22" s="105" t="s">
        <v>45</v>
      </c>
      <c r="V22" s="87"/>
      <c r="W22" s="87"/>
      <c r="X22" s="740"/>
      <c r="Y22" s="740"/>
      <c r="Z22" s="741" t="s">
        <v>2280</v>
      </c>
      <c r="AA22" s="742">
        <f>2200000/0.9</f>
        <v>2444444.444</v>
      </c>
      <c r="AB22" s="743">
        <v>6.0</v>
      </c>
      <c r="AC22" s="744">
        <v>20000.0</v>
      </c>
      <c r="AD22" s="744">
        <v>30000.0</v>
      </c>
      <c r="AE22" s="744">
        <v>1000.0</v>
      </c>
      <c r="AF22" s="745">
        <v>2000.0</v>
      </c>
      <c r="AG22" s="746"/>
      <c r="AH22" s="744"/>
      <c r="AI22" s="744"/>
      <c r="AJ22" s="744"/>
      <c r="AK22" s="747">
        <f t="shared" ref="AK22:AK45" si="8">(AD22*2+AF22*50+AH22*10+AJ22*50)*K22</f>
        <v>160000</v>
      </c>
      <c r="AL22" s="747">
        <f t="shared" ref="AL22:AL45" si="9">sum(AA22,AK22)*K22</f>
        <v>2604444.444</v>
      </c>
      <c r="AM22" s="747">
        <f t="shared" ref="AM22:AM45" si="10">iferror(Q22-AL22,"-")</f>
        <v>13395555.56</v>
      </c>
      <c r="AN22" s="748">
        <f t="shared" ref="AN22:AN45" si="11">iferror(AM22/Q22,"-")</f>
        <v>0.8372222222</v>
      </c>
      <c r="AO22" s="9"/>
      <c r="AP22" s="9"/>
      <c r="AQ22" s="9"/>
      <c r="AR22" s="9"/>
    </row>
    <row r="23" ht="59.25" customHeight="1" outlineLevel="1">
      <c r="A23" s="72"/>
      <c r="B23" s="72"/>
      <c r="C23" s="72"/>
      <c r="D23" s="72"/>
      <c r="E23" s="72"/>
      <c r="F23" s="72"/>
      <c r="G23" s="72"/>
      <c r="H23" s="1215" t="s">
        <v>2281</v>
      </c>
      <c r="I23" s="1212" t="b">
        <v>1</v>
      </c>
      <c r="J23" s="109" t="s">
        <v>47</v>
      </c>
      <c r="K23" s="109">
        <f t="shared" si="4"/>
        <v>1</v>
      </c>
      <c r="L23" s="113">
        <v>8000000.0</v>
      </c>
      <c r="M23" s="113">
        <v>0.0</v>
      </c>
      <c r="N23" s="113">
        <v>0.0</v>
      </c>
      <c r="O23" s="113" t="str">
        <f t="shared" si="5"/>
        <v>-</v>
      </c>
      <c r="P23" s="113" t="str">
        <f t="shared" si="6"/>
        <v>-</v>
      </c>
      <c r="Q23" s="113">
        <f t="shared" si="7"/>
        <v>8000000</v>
      </c>
      <c r="R23" s="72"/>
      <c r="S23" s="72"/>
      <c r="T23" s="72"/>
      <c r="U23" s="72"/>
      <c r="V23" s="87"/>
      <c r="W23" s="87"/>
      <c r="X23" s="26"/>
      <c r="Y23" s="26"/>
      <c r="Z23" s="751" t="s">
        <v>910</v>
      </c>
      <c r="AA23" s="742">
        <v>0.0</v>
      </c>
      <c r="AB23" s="743">
        <v>4.0</v>
      </c>
      <c r="AC23" s="744"/>
      <c r="AD23" s="744"/>
      <c r="AE23" s="744"/>
      <c r="AF23" s="745"/>
      <c r="AG23" s="746"/>
      <c r="AH23" s="744"/>
      <c r="AI23" s="744"/>
      <c r="AJ23" s="744"/>
      <c r="AK23" s="747">
        <f t="shared" si="8"/>
        <v>0</v>
      </c>
      <c r="AL23" s="747">
        <f t="shared" si="9"/>
        <v>0</v>
      </c>
      <c r="AM23" s="747">
        <f t="shared" si="10"/>
        <v>8000000</v>
      </c>
      <c r="AN23" s="748">
        <f t="shared" si="11"/>
        <v>1</v>
      </c>
      <c r="AO23" s="9"/>
      <c r="AP23" s="9"/>
      <c r="AQ23" s="9"/>
      <c r="AR23" s="9"/>
    </row>
    <row r="24" ht="59.25" customHeight="1" outlineLevel="1">
      <c r="A24" s="1207" t="s">
        <v>36</v>
      </c>
      <c r="B24" s="1216" t="s">
        <v>48</v>
      </c>
      <c r="C24" s="103" t="s">
        <v>38</v>
      </c>
      <c r="D24" s="1209" t="s">
        <v>49</v>
      </c>
      <c r="E24" s="105" t="s">
        <v>40</v>
      </c>
      <c r="F24" s="1210" t="s">
        <v>21</v>
      </c>
      <c r="G24" s="104" t="s">
        <v>50</v>
      </c>
      <c r="H24" s="1211" t="s">
        <v>2282</v>
      </c>
      <c r="I24" s="1212" t="b">
        <v>1</v>
      </c>
      <c r="J24" s="109" t="s">
        <v>7</v>
      </c>
      <c r="K24" s="109">
        <f t="shared" si="4"/>
        <v>1</v>
      </c>
      <c r="L24" s="113">
        <v>1.2E7</v>
      </c>
      <c r="M24" s="113">
        <v>100000.0</v>
      </c>
      <c r="N24" s="113">
        <v>3000.0</v>
      </c>
      <c r="O24" s="113">
        <f t="shared" si="5"/>
        <v>120</v>
      </c>
      <c r="P24" s="113">
        <f t="shared" si="6"/>
        <v>4000</v>
      </c>
      <c r="Q24" s="113">
        <f t="shared" si="7"/>
        <v>12000000</v>
      </c>
      <c r="R24" s="1213" t="s">
        <v>2283</v>
      </c>
      <c r="S24" s="1214" t="s">
        <v>53</v>
      </c>
      <c r="T24" s="115"/>
      <c r="U24" s="105" t="s">
        <v>45</v>
      </c>
      <c r="V24" s="87"/>
      <c r="W24" s="87"/>
      <c r="X24" s="740"/>
      <c r="Y24" s="740"/>
      <c r="Z24" s="751" t="s">
        <v>913</v>
      </c>
      <c r="AA24" s="742">
        <f>5500000/0.9</f>
        <v>6111111.111</v>
      </c>
      <c r="AB24" s="743">
        <v>1.0</v>
      </c>
      <c r="AC24" s="744">
        <v>50000.0</v>
      </c>
      <c r="AD24" s="744">
        <v>50000.0</v>
      </c>
      <c r="AE24" s="744">
        <v>1000.0</v>
      </c>
      <c r="AF24" s="745">
        <v>2000.0</v>
      </c>
      <c r="AG24" s="746"/>
      <c r="AH24" s="744"/>
      <c r="AI24" s="744"/>
      <c r="AJ24" s="744"/>
      <c r="AK24" s="747">
        <f t="shared" si="8"/>
        <v>200000</v>
      </c>
      <c r="AL24" s="747">
        <f t="shared" si="9"/>
        <v>6311111.111</v>
      </c>
      <c r="AM24" s="747">
        <f t="shared" si="10"/>
        <v>5688888.889</v>
      </c>
      <c r="AN24" s="748">
        <f t="shared" si="11"/>
        <v>0.4740740741</v>
      </c>
      <c r="AO24" s="9"/>
      <c r="AP24" s="9"/>
      <c r="AQ24" s="9"/>
      <c r="AR24" s="9"/>
    </row>
    <row r="25" ht="59.25" customHeight="1" outlineLevel="1">
      <c r="A25" s="72"/>
      <c r="B25" s="72"/>
      <c r="C25" s="72"/>
      <c r="D25" s="72"/>
      <c r="E25" s="72"/>
      <c r="F25" s="72"/>
      <c r="G25" s="72"/>
      <c r="H25" s="1215" t="s">
        <v>2284</v>
      </c>
      <c r="I25" s="1212" t="b">
        <v>1</v>
      </c>
      <c r="J25" s="109" t="s">
        <v>47</v>
      </c>
      <c r="K25" s="109">
        <f t="shared" si="4"/>
        <v>1</v>
      </c>
      <c r="L25" s="113">
        <v>6000000.0</v>
      </c>
      <c r="M25" s="113">
        <v>0.0</v>
      </c>
      <c r="N25" s="113">
        <v>0.0</v>
      </c>
      <c r="O25" s="113" t="str">
        <f t="shared" si="5"/>
        <v>-</v>
      </c>
      <c r="P25" s="113" t="str">
        <f t="shared" si="6"/>
        <v>-</v>
      </c>
      <c r="Q25" s="113">
        <f t="shared" si="7"/>
        <v>6000000</v>
      </c>
      <c r="R25" s="72"/>
      <c r="S25" s="72"/>
      <c r="T25" s="72"/>
      <c r="U25" s="72"/>
      <c r="V25" s="9"/>
      <c r="W25" s="9"/>
      <c r="X25" s="26"/>
      <c r="Y25" s="26"/>
      <c r="Z25" s="751" t="s">
        <v>915</v>
      </c>
      <c r="AA25" s="742">
        <v>0.0</v>
      </c>
      <c r="AB25" s="743"/>
      <c r="AC25" s="744"/>
      <c r="AD25" s="744"/>
      <c r="AE25" s="744"/>
      <c r="AF25" s="745"/>
      <c r="AG25" s="746"/>
      <c r="AH25" s="744"/>
      <c r="AI25" s="744"/>
      <c r="AJ25" s="744"/>
      <c r="AK25" s="747">
        <f t="shared" si="8"/>
        <v>0</v>
      </c>
      <c r="AL25" s="747">
        <f t="shared" si="9"/>
        <v>0</v>
      </c>
      <c r="AM25" s="747">
        <f t="shared" si="10"/>
        <v>6000000</v>
      </c>
      <c r="AN25" s="748">
        <f t="shared" si="11"/>
        <v>1</v>
      </c>
      <c r="AO25" s="9"/>
      <c r="AP25" s="9"/>
      <c r="AQ25" s="9"/>
      <c r="AR25" s="9"/>
    </row>
    <row r="26" ht="59.25" customHeight="1" outlineLevel="1">
      <c r="A26" s="1207" t="s">
        <v>36</v>
      </c>
      <c r="B26" s="1216" t="s">
        <v>55</v>
      </c>
      <c r="C26" s="103" t="s">
        <v>38</v>
      </c>
      <c r="D26" s="1209" t="s">
        <v>56</v>
      </c>
      <c r="E26" s="105" t="s">
        <v>40</v>
      </c>
      <c r="F26" s="1210" t="s">
        <v>21</v>
      </c>
      <c r="G26" s="104" t="s">
        <v>50</v>
      </c>
      <c r="H26" s="1211" t="s">
        <v>2285</v>
      </c>
      <c r="I26" s="1212" t="b">
        <v>1</v>
      </c>
      <c r="J26" s="109" t="s">
        <v>7</v>
      </c>
      <c r="K26" s="109">
        <f t="shared" si="4"/>
        <v>1</v>
      </c>
      <c r="L26" s="113">
        <v>2.0E7</v>
      </c>
      <c r="M26" s="113">
        <v>130000.0</v>
      </c>
      <c r="N26" s="113">
        <v>4000.0</v>
      </c>
      <c r="O26" s="113">
        <f t="shared" si="5"/>
        <v>153.8461538</v>
      </c>
      <c r="P26" s="113">
        <f t="shared" si="6"/>
        <v>5000</v>
      </c>
      <c r="Q26" s="113">
        <f t="shared" si="7"/>
        <v>20000000</v>
      </c>
      <c r="R26" s="1213" t="s">
        <v>2286</v>
      </c>
      <c r="S26" s="1214" t="s">
        <v>59</v>
      </c>
      <c r="T26" s="115"/>
      <c r="U26" s="105" t="s">
        <v>45</v>
      </c>
      <c r="V26" s="87"/>
      <c r="W26" s="87"/>
      <c r="X26" s="740"/>
      <c r="Y26" s="740"/>
      <c r="Z26" s="741" t="s">
        <v>918</v>
      </c>
      <c r="AA26" s="742">
        <f>12000000/0.9</f>
        <v>13333333.33</v>
      </c>
      <c r="AB26" s="743">
        <v>0.5</v>
      </c>
      <c r="AC26" s="744">
        <v>80000.0</v>
      </c>
      <c r="AD26" s="744">
        <v>50000.0</v>
      </c>
      <c r="AE26" s="744">
        <v>2000.0</v>
      </c>
      <c r="AF26" s="745">
        <v>2000.0</v>
      </c>
      <c r="AG26" s="746"/>
      <c r="AH26" s="744"/>
      <c r="AI26" s="744"/>
      <c r="AJ26" s="744"/>
      <c r="AK26" s="747">
        <f t="shared" si="8"/>
        <v>200000</v>
      </c>
      <c r="AL26" s="747">
        <f t="shared" si="9"/>
        <v>13533333.33</v>
      </c>
      <c r="AM26" s="747">
        <f t="shared" si="10"/>
        <v>6466666.667</v>
      </c>
      <c r="AN26" s="748">
        <f t="shared" si="11"/>
        <v>0.3233333333</v>
      </c>
      <c r="AO26" s="9"/>
      <c r="AP26" s="9"/>
      <c r="AQ26" s="9"/>
      <c r="AR26" s="9"/>
    </row>
    <row r="27" ht="59.25" customHeight="1" outlineLevel="1">
      <c r="A27" s="72"/>
      <c r="B27" s="72"/>
      <c r="C27" s="72"/>
      <c r="D27" s="72"/>
      <c r="E27" s="72"/>
      <c r="F27" s="72"/>
      <c r="G27" s="72"/>
      <c r="H27" s="1215" t="s">
        <v>2287</v>
      </c>
      <c r="I27" s="1212" t="b">
        <v>1</v>
      </c>
      <c r="J27" s="109" t="s">
        <v>47</v>
      </c>
      <c r="K27" s="109">
        <f t="shared" si="4"/>
        <v>1</v>
      </c>
      <c r="L27" s="113">
        <v>1.3E7</v>
      </c>
      <c r="M27" s="113">
        <v>0.0</v>
      </c>
      <c r="N27" s="113">
        <v>0.0</v>
      </c>
      <c r="O27" s="113" t="str">
        <f t="shared" si="5"/>
        <v>-</v>
      </c>
      <c r="P27" s="113" t="str">
        <f t="shared" si="6"/>
        <v>-</v>
      </c>
      <c r="Q27" s="113">
        <f t="shared" si="7"/>
        <v>13000000</v>
      </c>
      <c r="R27" s="72"/>
      <c r="S27" s="72"/>
      <c r="T27" s="72"/>
      <c r="U27" s="72"/>
      <c r="V27" s="9"/>
      <c r="W27" s="9"/>
      <c r="X27" s="26"/>
      <c r="Y27" s="26"/>
      <c r="Z27" s="751" t="s">
        <v>910</v>
      </c>
      <c r="AA27" s="742">
        <f>8000000/0.9</f>
        <v>8888888.889</v>
      </c>
      <c r="AB27" s="743">
        <v>0.5</v>
      </c>
      <c r="AC27" s="744"/>
      <c r="AD27" s="744"/>
      <c r="AE27" s="744"/>
      <c r="AF27" s="745"/>
      <c r="AG27" s="746"/>
      <c r="AH27" s="744"/>
      <c r="AI27" s="744"/>
      <c r="AJ27" s="744"/>
      <c r="AK27" s="747">
        <f t="shared" si="8"/>
        <v>0</v>
      </c>
      <c r="AL27" s="747">
        <f t="shared" si="9"/>
        <v>8888888.889</v>
      </c>
      <c r="AM27" s="747">
        <f t="shared" si="10"/>
        <v>4111111.111</v>
      </c>
      <c r="AN27" s="748">
        <f t="shared" si="11"/>
        <v>0.3162393162</v>
      </c>
      <c r="AO27" s="9"/>
      <c r="AP27" s="9"/>
      <c r="AQ27" s="9"/>
      <c r="AR27" s="9"/>
    </row>
    <row r="28" ht="59.25" customHeight="1" outlineLevel="1">
      <c r="A28" s="1207" t="s">
        <v>36</v>
      </c>
      <c r="B28" s="1216" t="s">
        <v>61</v>
      </c>
      <c r="C28" s="103" t="s">
        <v>38</v>
      </c>
      <c r="D28" s="1209" t="s">
        <v>62</v>
      </c>
      <c r="E28" s="105" t="s">
        <v>40</v>
      </c>
      <c r="F28" s="1210" t="s">
        <v>21</v>
      </c>
      <c r="G28" s="104" t="s">
        <v>50</v>
      </c>
      <c r="H28" s="1211" t="s">
        <v>2288</v>
      </c>
      <c r="I28" s="1212" t="b">
        <v>1</v>
      </c>
      <c r="J28" s="109" t="s">
        <v>7</v>
      </c>
      <c r="K28" s="109">
        <f t="shared" si="4"/>
        <v>1</v>
      </c>
      <c r="L28" s="113">
        <v>8000000.0</v>
      </c>
      <c r="M28" s="113">
        <v>30000.0</v>
      </c>
      <c r="N28" s="113">
        <v>1200.0</v>
      </c>
      <c r="O28" s="113">
        <f t="shared" si="5"/>
        <v>266.6666667</v>
      </c>
      <c r="P28" s="113">
        <f t="shared" si="6"/>
        <v>6666.666667</v>
      </c>
      <c r="Q28" s="113">
        <f t="shared" si="7"/>
        <v>8000000</v>
      </c>
      <c r="R28" s="1213" t="s">
        <v>2289</v>
      </c>
      <c r="S28" s="1214" t="s">
        <v>65</v>
      </c>
      <c r="T28" s="115"/>
      <c r="U28" s="105" t="s">
        <v>45</v>
      </c>
      <c r="V28" s="87"/>
      <c r="W28" s="87"/>
      <c r="X28" s="740"/>
      <c r="Y28" s="740"/>
      <c r="Z28" s="751" t="s">
        <v>913</v>
      </c>
      <c r="AA28" s="742">
        <f>3800000/0.9</f>
        <v>4222222.222</v>
      </c>
      <c r="AB28" s="743">
        <v>1.0</v>
      </c>
      <c r="AC28" s="744">
        <v>5000.0</v>
      </c>
      <c r="AD28" s="744">
        <v>25000.0</v>
      </c>
      <c r="AE28" s="744">
        <v>200.0</v>
      </c>
      <c r="AF28" s="745">
        <v>1000.0</v>
      </c>
      <c r="AG28" s="746"/>
      <c r="AH28" s="744"/>
      <c r="AI28" s="744"/>
      <c r="AJ28" s="744"/>
      <c r="AK28" s="747">
        <f t="shared" si="8"/>
        <v>100000</v>
      </c>
      <c r="AL28" s="747">
        <f t="shared" si="9"/>
        <v>4322222.222</v>
      </c>
      <c r="AM28" s="747">
        <f t="shared" si="10"/>
        <v>3677777.778</v>
      </c>
      <c r="AN28" s="748">
        <f t="shared" si="11"/>
        <v>0.4597222222</v>
      </c>
      <c r="AO28" s="9"/>
      <c r="AP28" s="9"/>
      <c r="AQ28" s="9"/>
      <c r="AR28" s="9"/>
    </row>
    <row r="29" ht="59.25" customHeight="1" outlineLevel="1">
      <c r="A29" s="72"/>
      <c r="B29" s="72"/>
      <c r="C29" s="72"/>
      <c r="D29" s="72"/>
      <c r="E29" s="72"/>
      <c r="F29" s="72"/>
      <c r="G29" s="72"/>
      <c r="H29" s="1215" t="s">
        <v>2290</v>
      </c>
      <c r="I29" s="1212" t="b">
        <v>1</v>
      </c>
      <c r="J29" s="109" t="s">
        <v>47</v>
      </c>
      <c r="K29" s="109">
        <f t="shared" si="4"/>
        <v>1</v>
      </c>
      <c r="L29" s="113">
        <v>4000000.0</v>
      </c>
      <c r="M29" s="113">
        <v>0.0</v>
      </c>
      <c r="N29" s="113">
        <v>0.0</v>
      </c>
      <c r="O29" s="113" t="str">
        <f t="shared" si="5"/>
        <v>-</v>
      </c>
      <c r="P29" s="113" t="str">
        <f t="shared" si="6"/>
        <v>-</v>
      </c>
      <c r="Q29" s="113">
        <f t="shared" si="7"/>
        <v>4000000</v>
      </c>
      <c r="R29" s="72"/>
      <c r="S29" s="72"/>
      <c r="T29" s="72"/>
      <c r="U29" s="72"/>
      <c r="V29" s="9"/>
      <c r="W29" s="9"/>
      <c r="X29" s="26"/>
      <c r="Y29" s="26"/>
      <c r="Z29" s="751" t="s">
        <v>923</v>
      </c>
      <c r="AA29" s="742">
        <v>0.0</v>
      </c>
      <c r="AB29" s="743"/>
      <c r="AC29" s="744"/>
      <c r="AD29" s="744"/>
      <c r="AE29" s="744"/>
      <c r="AF29" s="745"/>
      <c r="AG29" s="746"/>
      <c r="AH29" s="744"/>
      <c r="AI29" s="744"/>
      <c r="AJ29" s="744"/>
      <c r="AK29" s="747">
        <f t="shared" si="8"/>
        <v>0</v>
      </c>
      <c r="AL29" s="747">
        <f t="shared" si="9"/>
        <v>0</v>
      </c>
      <c r="AM29" s="747">
        <f t="shared" si="10"/>
        <v>4000000</v>
      </c>
      <c r="AN29" s="748">
        <f t="shared" si="11"/>
        <v>1</v>
      </c>
      <c r="AO29" s="9"/>
      <c r="AP29" s="9"/>
      <c r="AQ29" s="9"/>
      <c r="AR29" s="9"/>
    </row>
    <row r="30" ht="59.25" customHeight="1" outlineLevel="1">
      <c r="A30" s="1207" t="s">
        <v>36</v>
      </c>
      <c r="B30" s="1216" t="s">
        <v>67</v>
      </c>
      <c r="C30" s="103" t="s">
        <v>38</v>
      </c>
      <c r="D30" s="1209" t="s">
        <v>68</v>
      </c>
      <c r="E30" s="105" t="s">
        <v>40</v>
      </c>
      <c r="F30" s="1210" t="s">
        <v>21</v>
      </c>
      <c r="G30" s="104" t="s">
        <v>50</v>
      </c>
      <c r="H30" s="1211" t="s">
        <v>2291</v>
      </c>
      <c r="I30" s="1212" t="b">
        <v>1</v>
      </c>
      <c r="J30" s="109" t="s">
        <v>7</v>
      </c>
      <c r="K30" s="109">
        <f t="shared" si="4"/>
        <v>1</v>
      </c>
      <c r="L30" s="113">
        <v>1.0E7</v>
      </c>
      <c r="M30" s="113">
        <v>50000.0</v>
      </c>
      <c r="N30" s="113">
        <v>3000.0</v>
      </c>
      <c r="O30" s="113">
        <f t="shared" si="5"/>
        <v>200</v>
      </c>
      <c r="P30" s="113">
        <f t="shared" si="6"/>
        <v>3333.333333</v>
      </c>
      <c r="Q30" s="113">
        <f t="shared" si="7"/>
        <v>10000000</v>
      </c>
      <c r="R30" s="1213" t="s">
        <v>2292</v>
      </c>
      <c r="S30" s="1214" t="s">
        <v>71</v>
      </c>
      <c r="T30" s="115"/>
      <c r="U30" s="105" t="s">
        <v>45</v>
      </c>
      <c r="V30" s="87"/>
      <c r="W30" s="87"/>
      <c r="X30" s="740"/>
      <c r="Y30" s="740"/>
      <c r="Z30" s="751" t="s">
        <v>913</v>
      </c>
      <c r="AA30" s="742">
        <f>5000000/0.9</f>
        <v>5555555.556</v>
      </c>
      <c r="AB30" s="743">
        <v>0.8</v>
      </c>
      <c r="AC30" s="744">
        <v>15000.0</v>
      </c>
      <c r="AD30" s="744">
        <v>35000.0</v>
      </c>
      <c r="AE30" s="744">
        <v>1000.0</v>
      </c>
      <c r="AF30" s="745">
        <v>2000.0</v>
      </c>
      <c r="AG30" s="746"/>
      <c r="AH30" s="744"/>
      <c r="AI30" s="744"/>
      <c r="AJ30" s="744"/>
      <c r="AK30" s="747">
        <f t="shared" si="8"/>
        <v>170000</v>
      </c>
      <c r="AL30" s="747">
        <f t="shared" si="9"/>
        <v>5725555.556</v>
      </c>
      <c r="AM30" s="747">
        <f t="shared" si="10"/>
        <v>4274444.444</v>
      </c>
      <c r="AN30" s="748">
        <f t="shared" si="11"/>
        <v>0.4274444444</v>
      </c>
      <c r="AO30" s="9"/>
      <c r="AP30" s="9"/>
      <c r="AQ30" s="9"/>
      <c r="AR30" s="9"/>
    </row>
    <row r="31" ht="59.25" customHeight="1" outlineLevel="1">
      <c r="A31" s="72"/>
      <c r="B31" s="72"/>
      <c r="C31" s="72"/>
      <c r="D31" s="72"/>
      <c r="E31" s="72"/>
      <c r="F31" s="72"/>
      <c r="G31" s="72"/>
      <c r="H31" s="1215" t="s">
        <v>2293</v>
      </c>
      <c r="I31" s="1212" t="b">
        <v>1</v>
      </c>
      <c r="J31" s="109" t="s">
        <v>47</v>
      </c>
      <c r="K31" s="109">
        <f t="shared" si="4"/>
        <v>1</v>
      </c>
      <c r="L31" s="113">
        <v>5000000.0</v>
      </c>
      <c r="M31" s="113">
        <v>0.0</v>
      </c>
      <c r="N31" s="113">
        <v>0.0</v>
      </c>
      <c r="O31" s="113" t="str">
        <f t="shared" si="5"/>
        <v>-</v>
      </c>
      <c r="P31" s="113" t="str">
        <f t="shared" si="6"/>
        <v>-</v>
      </c>
      <c r="Q31" s="113">
        <f t="shared" si="7"/>
        <v>5000000</v>
      </c>
      <c r="R31" s="72"/>
      <c r="S31" s="72"/>
      <c r="T31" s="72"/>
      <c r="U31" s="72"/>
      <c r="V31" s="9"/>
      <c r="W31" s="9"/>
      <c r="X31" s="26"/>
      <c r="Y31" s="26"/>
      <c r="Z31" s="751" t="s">
        <v>927</v>
      </c>
      <c r="AA31" s="742">
        <v>0.0</v>
      </c>
      <c r="AB31" s="743"/>
      <c r="AC31" s="744"/>
      <c r="AD31" s="744"/>
      <c r="AE31" s="744"/>
      <c r="AF31" s="745"/>
      <c r="AG31" s="746"/>
      <c r="AH31" s="744"/>
      <c r="AI31" s="744"/>
      <c r="AJ31" s="744"/>
      <c r="AK31" s="747">
        <f t="shared" si="8"/>
        <v>0</v>
      </c>
      <c r="AL31" s="747">
        <f t="shared" si="9"/>
        <v>0</v>
      </c>
      <c r="AM31" s="747">
        <f t="shared" si="10"/>
        <v>5000000</v>
      </c>
      <c r="AN31" s="748">
        <f t="shared" si="11"/>
        <v>1</v>
      </c>
      <c r="AO31" s="9"/>
      <c r="AP31" s="9"/>
      <c r="AQ31" s="9"/>
      <c r="AR31" s="9"/>
    </row>
    <row r="32" ht="59.25" customHeight="1" outlineLevel="1">
      <c r="A32" s="1207" t="s">
        <v>73</v>
      </c>
      <c r="B32" s="1217" t="s">
        <v>74</v>
      </c>
      <c r="C32" s="103" t="s">
        <v>38</v>
      </c>
      <c r="D32" s="1209" t="s">
        <v>75</v>
      </c>
      <c r="E32" s="105" t="s">
        <v>40</v>
      </c>
      <c r="F32" s="1210" t="s">
        <v>21</v>
      </c>
      <c r="G32" s="104" t="s">
        <v>50</v>
      </c>
      <c r="H32" s="1211" t="s">
        <v>2294</v>
      </c>
      <c r="I32" s="1212" t="b">
        <v>1</v>
      </c>
      <c r="J32" s="109" t="s">
        <v>7</v>
      </c>
      <c r="K32" s="109">
        <f t="shared" si="4"/>
        <v>1</v>
      </c>
      <c r="L32" s="113">
        <v>3.0E7</v>
      </c>
      <c r="M32" s="113">
        <v>120000.0</v>
      </c>
      <c r="N32" s="113">
        <v>4500.0</v>
      </c>
      <c r="O32" s="113">
        <f t="shared" si="5"/>
        <v>250</v>
      </c>
      <c r="P32" s="113">
        <f t="shared" si="6"/>
        <v>6666.666667</v>
      </c>
      <c r="Q32" s="113">
        <f t="shared" si="7"/>
        <v>30000000</v>
      </c>
      <c r="R32" s="1213" t="s">
        <v>2295</v>
      </c>
      <c r="S32" s="1218" t="s">
        <v>78</v>
      </c>
      <c r="T32" s="1214" t="s">
        <v>79</v>
      </c>
      <c r="U32" s="105" t="s">
        <v>45</v>
      </c>
      <c r="V32" s="9"/>
      <c r="W32" s="9"/>
      <c r="X32" s="740"/>
      <c r="Y32" s="740"/>
      <c r="Z32" s="741" t="s">
        <v>918</v>
      </c>
      <c r="AA32" s="742">
        <f>18000000/0.9</f>
        <v>20000000</v>
      </c>
      <c r="AB32" s="743">
        <v>0.5</v>
      </c>
      <c r="AC32" s="744">
        <v>30000.0</v>
      </c>
      <c r="AD32" s="744">
        <v>90000.0</v>
      </c>
      <c r="AE32" s="744">
        <v>2000.0</v>
      </c>
      <c r="AF32" s="745">
        <v>2500.0</v>
      </c>
      <c r="AG32" s="746"/>
      <c r="AH32" s="744"/>
      <c r="AI32" s="744"/>
      <c r="AJ32" s="744"/>
      <c r="AK32" s="747">
        <f t="shared" si="8"/>
        <v>305000</v>
      </c>
      <c r="AL32" s="747">
        <f t="shared" si="9"/>
        <v>20305000</v>
      </c>
      <c r="AM32" s="747">
        <f t="shared" si="10"/>
        <v>9695000</v>
      </c>
      <c r="AN32" s="748">
        <f t="shared" si="11"/>
        <v>0.3231666667</v>
      </c>
      <c r="AO32" s="9"/>
      <c r="AP32" s="9"/>
      <c r="AQ32" s="9"/>
      <c r="AR32" s="9"/>
    </row>
    <row r="33" ht="59.25" customHeight="1" outlineLevel="1">
      <c r="A33" s="72"/>
      <c r="B33" s="72"/>
      <c r="C33" s="72"/>
      <c r="D33" s="72"/>
      <c r="E33" s="72"/>
      <c r="F33" s="72"/>
      <c r="G33" s="72"/>
      <c r="H33" s="1215" t="s">
        <v>2296</v>
      </c>
      <c r="I33" s="1212" t="b">
        <v>1</v>
      </c>
      <c r="J33" s="109" t="s">
        <v>47</v>
      </c>
      <c r="K33" s="109">
        <f t="shared" si="4"/>
        <v>1</v>
      </c>
      <c r="L33" s="113">
        <v>1.7E7</v>
      </c>
      <c r="M33" s="113">
        <v>0.0</v>
      </c>
      <c r="N33" s="113">
        <v>0.0</v>
      </c>
      <c r="O33" s="113" t="s">
        <v>81</v>
      </c>
      <c r="P33" s="113" t="s">
        <v>81</v>
      </c>
      <c r="Q33" s="113">
        <f t="shared" si="7"/>
        <v>17000000</v>
      </c>
      <c r="R33" s="72"/>
      <c r="S33" s="72"/>
      <c r="T33" s="72"/>
      <c r="U33" s="72"/>
      <c r="V33" s="9"/>
      <c r="W33" s="9"/>
      <c r="X33" s="26"/>
      <c r="Y33" s="26"/>
      <c r="Z33" s="751" t="s">
        <v>910</v>
      </c>
      <c r="AA33" s="742">
        <f>10000000/0.9</f>
        <v>11111111.11</v>
      </c>
      <c r="AB33" s="743">
        <v>0.5</v>
      </c>
      <c r="AC33" s="744"/>
      <c r="AD33" s="744"/>
      <c r="AE33" s="744"/>
      <c r="AF33" s="745"/>
      <c r="AG33" s="746"/>
      <c r="AH33" s="744"/>
      <c r="AI33" s="744"/>
      <c r="AJ33" s="744"/>
      <c r="AK33" s="747">
        <f t="shared" si="8"/>
        <v>0</v>
      </c>
      <c r="AL33" s="747">
        <f t="shared" si="9"/>
        <v>11111111.11</v>
      </c>
      <c r="AM33" s="747">
        <f t="shared" si="10"/>
        <v>5888888.889</v>
      </c>
      <c r="AN33" s="748">
        <f t="shared" si="11"/>
        <v>0.3464052288</v>
      </c>
      <c r="AO33" s="9"/>
      <c r="AP33" s="9"/>
      <c r="AQ33" s="9"/>
      <c r="AR33" s="9"/>
    </row>
    <row r="34" ht="59.25" customHeight="1" outlineLevel="1">
      <c r="A34" s="1207" t="s">
        <v>73</v>
      </c>
      <c r="B34" s="1217" t="s">
        <v>89</v>
      </c>
      <c r="C34" s="103" t="s">
        <v>38</v>
      </c>
      <c r="D34" s="1209" t="s">
        <v>90</v>
      </c>
      <c r="E34" s="105" t="s">
        <v>40</v>
      </c>
      <c r="F34" s="1210" t="s">
        <v>21</v>
      </c>
      <c r="G34" s="104" t="s">
        <v>50</v>
      </c>
      <c r="H34" s="1211" t="s">
        <v>2297</v>
      </c>
      <c r="I34" s="1212" t="b">
        <v>1</v>
      </c>
      <c r="J34" s="109" t="s">
        <v>7</v>
      </c>
      <c r="K34" s="109">
        <f t="shared" si="4"/>
        <v>1</v>
      </c>
      <c r="L34" s="113">
        <v>1.7E7</v>
      </c>
      <c r="M34" s="113">
        <v>100000.0</v>
      </c>
      <c r="N34" s="113">
        <v>4000.0</v>
      </c>
      <c r="O34" s="113">
        <f t="shared" ref="O34:O45" si="12">IFERROR(Q34/M34,"-")</f>
        <v>170</v>
      </c>
      <c r="P34" s="113">
        <f t="shared" ref="P34:P45" si="13">IFERROR(Q34/N34,"-")</f>
        <v>4250</v>
      </c>
      <c r="Q34" s="113">
        <f t="shared" si="7"/>
        <v>17000000</v>
      </c>
      <c r="R34" s="1213" t="s">
        <v>2298</v>
      </c>
      <c r="S34" s="1214" t="s">
        <v>93</v>
      </c>
      <c r="T34" s="1214" t="s">
        <v>79</v>
      </c>
      <c r="U34" s="105" t="s">
        <v>45</v>
      </c>
      <c r="V34" s="9"/>
      <c r="W34" s="9"/>
      <c r="X34" s="740"/>
      <c r="Y34" s="740"/>
      <c r="Z34" s="741" t="s">
        <v>2299</v>
      </c>
      <c r="AA34" s="742">
        <f>4300000/0.9</f>
        <v>4777777.778</v>
      </c>
      <c r="AB34" s="743">
        <v>2.5</v>
      </c>
      <c r="AC34" s="744">
        <v>50000.0</v>
      </c>
      <c r="AD34" s="744">
        <v>50000.0</v>
      </c>
      <c r="AE34" s="744">
        <v>2000.0</v>
      </c>
      <c r="AF34" s="745">
        <v>2000.0</v>
      </c>
      <c r="AG34" s="746"/>
      <c r="AH34" s="744"/>
      <c r="AI34" s="744"/>
      <c r="AJ34" s="744"/>
      <c r="AK34" s="747">
        <f t="shared" si="8"/>
        <v>200000</v>
      </c>
      <c r="AL34" s="747">
        <f t="shared" si="9"/>
        <v>4977777.778</v>
      </c>
      <c r="AM34" s="747">
        <f t="shared" si="10"/>
        <v>12022222.22</v>
      </c>
      <c r="AN34" s="748">
        <f t="shared" si="11"/>
        <v>0.7071895425</v>
      </c>
      <c r="AO34" s="9"/>
      <c r="AP34" s="9"/>
      <c r="AQ34" s="9"/>
      <c r="AR34" s="9"/>
    </row>
    <row r="35" ht="59.25" customHeight="1" outlineLevel="1">
      <c r="A35" s="72"/>
      <c r="B35" s="72"/>
      <c r="C35" s="72"/>
      <c r="D35" s="72"/>
      <c r="E35" s="72"/>
      <c r="F35" s="72"/>
      <c r="G35" s="72"/>
      <c r="H35" s="1215" t="s">
        <v>2300</v>
      </c>
      <c r="I35" s="1212" t="b">
        <v>1</v>
      </c>
      <c r="J35" s="109" t="s">
        <v>47</v>
      </c>
      <c r="K35" s="109">
        <f t="shared" si="4"/>
        <v>1</v>
      </c>
      <c r="L35" s="113">
        <v>7000000.0</v>
      </c>
      <c r="M35" s="113">
        <v>0.0</v>
      </c>
      <c r="N35" s="113">
        <v>0.0</v>
      </c>
      <c r="O35" s="113" t="str">
        <f t="shared" si="12"/>
        <v>-</v>
      </c>
      <c r="P35" s="113" t="str">
        <f t="shared" si="13"/>
        <v>-</v>
      </c>
      <c r="Q35" s="113">
        <f t="shared" si="7"/>
        <v>7000000</v>
      </c>
      <c r="R35" s="72"/>
      <c r="S35" s="72"/>
      <c r="T35" s="72"/>
      <c r="U35" s="72"/>
      <c r="V35" s="9"/>
      <c r="W35" s="9"/>
      <c r="X35" s="26"/>
      <c r="Y35" s="26"/>
      <c r="Z35" s="751" t="s">
        <v>910</v>
      </c>
      <c r="AA35" s="742">
        <f>2000000/0.9</f>
        <v>2222222.222</v>
      </c>
      <c r="AB35" s="743">
        <v>2.0</v>
      </c>
      <c r="AC35" s="744"/>
      <c r="AD35" s="744"/>
      <c r="AE35" s="744"/>
      <c r="AF35" s="745"/>
      <c r="AG35" s="746"/>
      <c r="AH35" s="744"/>
      <c r="AI35" s="744"/>
      <c r="AJ35" s="744"/>
      <c r="AK35" s="747">
        <f t="shared" si="8"/>
        <v>0</v>
      </c>
      <c r="AL35" s="747">
        <f t="shared" si="9"/>
        <v>2222222.222</v>
      </c>
      <c r="AM35" s="747">
        <f t="shared" si="10"/>
        <v>4777777.778</v>
      </c>
      <c r="AN35" s="748">
        <f t="shared" si="11"/>
        <v>0.6825396825</v>
      </c>
      <c r="AO35" s="9"/>
      <c r="AP35" s="9"/>
      <c r="AQ35" s="9"/>
      <c r="AR35" s="9"/>
    </row>
    <row r="36" ht="59.25" customHeight="1" outlineLevel="1">
      <c r="A36" s="1207" t="s">
        <v>109</v>
      </c>
      <c r="B36" s="102" t="s">
        <v>110</v>
      </c>
      <c r="C36" s="103" t="s">
        <v>38</v>
      </c>
      <c r="D36" s="104" t="s">
        <v>111</v>
      </c>
      <c r="E36" s="105" t="s">
        <v>40</v>
      </c>
      <c r="F36" s="106" t="s">
        <v>112</v>
      </c>
      <c r="G36" s="104" t="s">
        <v>105</v>
      </c>
      <c r="H36" s="1211" t="s">
        <v>2301</v>
      </c>
      <c r="I36" s="1219" t="b">
        <v>1</v>
      </c>
      <c r="J36" s="109" t="s">
        <v>7</v>
      </c>
      <c r="K36" s="110">
        <f t="shared" si="4"/>
        <v>1</v>
      </c>
      <c r="L36" s="113">
        <v>1.9E7</v>
      </c>
      <c r="M36" s="112">
        <v>65000.0</v>
      </c>
      <c r="N36" s="112">
        <v>3000.0</v>
      </c>
      <c r="O36" s="112">
        <f t="shared" si="12"/>
        <v>292.3076923</v>
      </c>
      <c r="P36" s="112">
        <f t="shared" si="13"/>
        <v>6333.333333</v>
      </c>
      <c r="Q36" s="113">
        <f t="shared" si="7"/>
        <v>19000000</v>
      </c>
      <c r="R36" s="1213" t="s">
        <v>2302</v>
      </c>
      <c r="S36" s="115"/>
      <c r="T36" s="115"/>
      <c r="U36" s="105" t="s">
        <v>45</v>
      </c>
      <c r="V36" s="9"/>
      <c r="W36" s="9"/>
      <c r="X36" s="740"/>
      <c r="Y36" s="740"/>
      <c r="Z36" s="759" t="s">
        <v>937</v>
      </c>
      <c r="AA36" s="760">
        <v>1.1E7</v>
      </c>
      <c r="AB36" s="743">
        <v>0.7</v>
      </c>
      <c r="AC36" s="744">
        <v>10000.0</v>
      </c>
      <c r="AD36" s="744">
        <v>55000.0</v>
      </c>
      <c r="AE36" s="744"/>
      <c r="AF36" s="745">
        <v>3000.0</v>
      </c>
      <c r="AG36" s="746"/>
      <c r="AH36" s="744"/>
      <c r="AI36" s="744"/>
      <c r="AJ36" s="744"/>
      <c r="AK36" s="747">
        <f t="shared" si="8"/>
        <v>260000</v>
      </c>
      <c r="AL36" s="747">
        <f t="shared" si="9"/>
        <v>11260000</v>
      </c>
      <c r="AM36" s="747">
        <f t="shared" si="10"/>
        <v>7740000</v>
      </c>
      <c r="AN36" s="748">
        <f t="shared" si="11"/>
        <v>0.4073684211</v>
      </c>
      <c r="AO36" s="9"/>
      <c r="AP36" s="9"/>
      <c r="AQ36" s="9"/>
      <c r="AR36" s="9"/>
    </row>
    <row r="37" ht="59.25" customHeight="1" outlineLevel="1">
      <c r="A37" s="72"/>
      <c r="B37" s="72"/>
      <c r="C37" s="72"/>
      <c r="D37" s="72"/>
      <c r="E37" s="72"/>
      <c r="F37" s="72"/>
      <c r="G37" s="72"/>
      <c r="H37" s="1215" t="s">
        <v>2303</v>
      </c>
      <c r="I37" s="1219" t="b">
        <v>1</v>
      </c>
      <c r="J37" s="110" t="s">
        <v>47</v>
      </c>
      <c r="K37" s="110">
        <f t="shared" si="4"/>
        <v>1</v>
      </c>
      <c r="L37" s="113">
        <v>6000000.0</v>
      </c>
      <c r="M37" s="112">
        <v>0.0</v>
      </c>
      <c r="N37" s="112">
        <v>0.0</v>
      </c>
      <c r="O37" s="112" t="str">
        <f t="shared" si="12"/>
        <v>-</v>
      </c>
      <c r="P37" s="112" t="str">
        <f t="shared" si="13"/>
        <v>-</v>
      </c>
      <c r="Q37" s="113">
        <f t="shared" si="7"/>
        <v>6000000</v>
      </c>
      <c r="R37" s="72"/>
      <c r="S37" s="72"/>
      <c r="T37" s="72"/>
      <c r="U37" s="72"/>
      <c r="V37" s="9"/>
      <c r="W37" s="9"/>
      <c r="X37" s="26"/>
      <c r="Y37" s="26"/>
      <c r="AA37" s="760">
        <v>3500000.0</v>
      </c>
      <c r="AB37" s="743">
        <v>0.7</v>
      </c>
      <c r="AC37" s="744"/>
      <c r="AD37" s="744"/>
      <c r="AE37" s="744"/>
      <c r="AF37" s="745"/>
      <c r="AG37" s="746"/>
      <c r="AH37" s="744"/>
      <c r="AI37" s="744"/>
      <c r="AJ37" s="744"/>
      <c r="AK37" s="747">
        <f t="shared" si="8"/>
        <v>0</v>
      </c>
      <c r="AL37" s="747">
        <f t="shared" si="9"/>
        <v>3500000</v>
      </c>
      <c r="AM37" s="747">
        <f t="shared" si="10"/>
        <v>2500000</v>
      </c>
      <c r="AN37" s="748">
        <f t="shared" si="11"/>
        <v>0.4166666667</v>
      </c>
      <c r="AO37" s="9"/>
      <c r="AP37" s="9"/>
      <c r="AQ37" s="9"/>
      <c r="AR37" s="9"/>
    </row>
    <row r="38" ht="59.25" customHeight="1" outlineLevel="1">
      <c r="A38" s="101" t="s">
        <v>101</v>
      </c>
      <c r="B38" s="102" t="s">
        <v>2304</v>
      </c>
      <c r="C38" s="103" t="s">
        <v>38</v>
      </c>
      <c r="D38" s="104" t="s">
        <v>2305</v>
      </c>
      <c r="E38" s="105" t="s">
        <v>40</v>
      </c>
      <c r="F38" s="106" t="s">
        <v>2306</v>
      </c>
      <c r="G38" s="104" t="s">
        <v>105</v>
      </c>
      <c r="H38" s="107" t="s">
        <v>2307</v>
      </c>
      <c r="I38" s="108" t="b">
        <v>1</v>
      </c>
      <c r="J38" s="109" t="s">
        <v>7</v>
      </c>
      <c r="K38" s="110">
        <f t="shared" si="4"/>
        <v>1</v>
      </c>
      <c r="L38" s="111">
        <v>1.5E7</v>
      </c>
      <c r="M38" s="112">
        <v>65000.0</v>
      </c>
      <c r="N38" s="112">
        <v>3000.0</v>
      </c>
      <c r="O38" s="112">
        <f t="shared" si="12"/>
        <v>230.7692308</v>
      </c>
      <c r="P38" s="112">
        <f t="shared" si="13"/>
        <v>5000</v>
      </c>
      <c r="Q38" s="113">
        <f t="shared" si="7"/>
        <v>15000000</v>
      </c>
      <c r="R38" s="114" t="s">
        <v>2308</v>
      </c>
      <c r="S38" s="115"/>
      <c r="T38" s="115"/>
      <c r="U38" s="1220" t="s">
        <v>122</v>
      </c>
      <c r="V38" s="9"/>
      <c r="W38" s="9"/>
      <c r="X38" s="740"/>
      <c r="Y38" s="740"/>
      <c r="Z38" s="764" t="s">
        <v>364</v>
      </c>
      <c r="AA38" s="760">
        <v>9000000.0</v>
      </c>
      <c r="AB38" s="743">
        <v>0.7</v>
      </c>
      <c r="AC38" s="744">
        <v>25000.0</v>
      </c>
      <c r="AD38" s="744"/>
      <c r="AE38" s="744">
        <v>1500.0</v>
      </c>
      <c r="AF38" s="745"/>
      <c r="AG38" s="746"/>
      <c r="AH38" s="744"/>
      <c r="AI38" s="744"/>
      <c r="AJ38" s="744"/>
      <c r="AK38" s="747">
        <f t="shared" si="8"/>
        <v>0</v>
      </c>
      <c r="AL38" s="747">
        <f t="shared" si="9"/>
        <v>9000000</v>
      </c>
      <c r="AM38" s="747">
        <f t="shared" si="10"/>
        <v>6000000</v>
      </c>
      <c r="AN38" s="748">
        <f t="shared" si="11"/>
        <v>0.4</v>
      </c>
      <c r="AO38" s="9"/>
      <c r="AP38" s="9"/>
      <c r="AQ38" s="9"/>
      <c r="AR38" s="9"/>
    </row>
    <row r="39" ht="59.25" customHeight="1" outlineLevel="1">
      <c r="A39" s="72"/>
      <c r="B39" s="72"/>
      <c r="C39" s="72"/>
      <c r="D39" s="72"/>
      <c r="E39" s="72"/>
      <c r="F39" s="72"/>
      <c r="G39" s="72"/>
      <c r="H39" s="107" t="s">
        <v>2309</v>
      </c>
      <c r="I39" s="108" t="b">
        <v>1</v>
      </c>
      <c r="J39" s="110" t="s">
        <v>47</v>
      </c>
      <c r="K39" s="110">
        <f t="shared" si="4"/>
        <v>1</v>
      </c>
      <c r="L39" s="111">
        <v>4000000.0</v>
      </c>
      <c r="M39" s="112">
        <v>0.0</v>
      </c>
      <c r="N39" s="112">
        <v>0.0</v>
      </c>
      <c r="O39" s="112" t="str">
        <f t="shared" si="12"/>
        <v>-</v>
      </c>
      <c r="P39" s="112" t="str">
        <f t="shared" si="13"/>
        <v>-</v>
      </c>
      <c r="Q39" s="113">
        <f t="shared" si="7"/>
        <v>4000000</v>
      </c>
      <c r="R39" s="72"/>
      <c r="S39" s="72"/>
      <c r="T39" s="72"/>
      <c r="U39" s="72"/>
      <c r="V39" s="9"/>
      <c r="W39" s="9"/>
      <c r="X39" s="26"/>
      <c r="Y39" s="26"/>
      <c r="AA39" s="760"/>
      <c r="AB39" s="743">
        <v>0.7</v>
      </c>
      <c r="AC39" s="744"/>
      <c r="AD39" s="744"/>
      <c r="AE39" s="744"/>
      <c r="AF39" s="745"/>
      <c r="AG39" s="746"/>
      <c r="AH39" s="744"/>
      <c r="AI39" s="744"/>
      <c r="AJ39" s="744"/>
      <c r="AK39" s="747">
        <f t="shared" si="8"/>
        <v>0</v>
      </c>
      <c r="AL39" s="747">
        <f t="shared" si="9"/>
        <v>0</v>
      </c>
      <c r="AM39" s="747">
        <f t="shared" si="10"/>
        <v>4000000</v>
      </c>
      <c r="AN39" s="748">
        <f t="shared" si="11"/>
        <v>1</v>
      </c>
      <c r="AO39" s="9"/>
      <c r="AP39" s="9"/>
      <c r="AQ39" s="9"/>
      <c r="AR39" s="9"/>
    </row>
    <row r="40" ht="59.25" customHeight="1" outlineLevel="1">
      <c r="A40" s="101" t="s">
        <v>101</v>
      </c>
      <c r="B40" s="102" t="s">
        <v>2310</v>
      </c>
      <c r="C40" s="103" t="s">
        <v>38</v>
      </c>
      <c r="D40" s="104" t="s">
        <v>2311</v>
      </c>
      <c r="E40" s="105" t="s">
        <v>40</v>
      </c>
      <c r="F40" s="106" t="s">
        <v>2312</v>
      </c>
      <c r="G40" s="104" t="s">
        <v>105</v>
      </c>
      <c r="H40" s="107" t="s">
        <v>2313</v>
      </c>
      <c r="I40" s="108" t="b">
        <v>0</v>
      </c>
      <c r="J40" s="109" t="s">
        <v>7</v>
      </c>
      <c r="K40" s="110">
        <f t="shared" si="4"/>
        <v>0</v>
      </c>
      <c r="L40" s="111">
        <v>1.5E7</v>
      </c>
      <c r="M40" s="112">
        <v>65000.0</v>
      </c>
      <c r="N40" s="112">
        <v>3000.0</v>
      </c>
      <c r="O40" s="112">
        <f t="shared" si="12"/>
        <v>0</v>
      </c>
      <c r="P40" s="112">
        <f t="shared" si="13"/>
        <v>0</v>
      </c>
      <c r="Q40" s="113">
        <f t="shared" si="7"/>
        <v>0</v>
      </c>
      <c r="R40" s="114" t="s">
        <v>2314</v>
      </c>
      <c r="S40" s="115"/>
      <c r="T40" s="115"/>
      <c r="U40" s="1220" t="s">
        <v>122</v>
      </c>
      <c r="V40" s="9"/>
      <c r="W40" s="9"/>
      <c r="X40" s="740"/>
      <c r="Y40" s="740"/>
      <c r="Z40" s="764" t="s">
        <v>364</v>
      </c>
      <c r="AA40" s="760">
        <v>9000000.0</v>
      </c>
      <c r="AB40" s="743">
        <v>0.7</v>
      </c>
      <c r="AC40" s="744">
        <v>60000.0</v>
      </c>
      <c r="AD40" s="744"/>
      <c r="AE40" s="744">
        <v>8000.0</v>
      </c>
      <c r="AF40" s="745"/>
      <c r="AG40" s="746"/>
      <c r="AH40" s="744"/>
      <c r="AI40" s="744"/>
      <c r="AJ40" s="744"/>
      <c r="AK40" s="747">
        <f t="shared" si="8"/>
        <v>0</v>
      </c>
      <c r="AL40" s="747">
        <f t="shared" si="9"/>
        <v>0</v>
      </c>
      <c r="AM40" s="747">
        <f t="shared" si="10"/>
        <v>0</v>
      </c>
      <c r="AN40" s="748" t="str">
        <f t="shared" si="11"/>
        <v>-</v>
      </c>
      <c r="AO40" s="9"/>
      <c r="AP40" s="9"/>
      <c r="AQ40" s="9"/>
      <c r="AR40" s="9"/>
    </row>
    <row r="41" ht="59.25" customHeight="1" outlineLevel="1">
      <c r="A41" s="72"/>
      <c r="B41" s="72"/>
      <c r="C41" s="72"/>
      <c r="D41" s="72"/>
      <c r="E41" s="72"/>
      <c r="F41" s="72"/>
      <c r="G41" s="72"/>
      <c r="H41" s="107" t="s">
        <v>2315</v>
      </c>
      <c r="I41" s="108" t="b">
        <v>0</v>
      </c>
      <c r="J41" s="110" t="s">
        <v>47</v>
      </c>
      <c r="K41" s="110">
        <f t="shared" si="4"/>
        <v>0</v>
      </c>
      <c r="L41" s="111">
        <v>4000000.0</v>
      </c>
      <c r="M41" s="112">
        <v>0.0</v>
      </c>
      <c r="N41" s="112">
        <v>0.0</v>
      </c>
      <c r="O41" s="112" t="str">
        <f t="shared" si="12"/>
        <v>-</v>
      </c>
      <c r="P41" s="112" t="str">
        <f t="shared" si="13"/>
        <v>-</v>
      </c>
      <c r="Q41" s="113">
        <f t="shared" si="7"/>
        <v>0</v>
      </c>
      <c r="R41" s="72"/>
      <c r="S41" s="72"/>
      <c r="T41" s="72"/>
      <c r="U41" s="72"/>
      <c r="V41" s="9"/>
      <c r="W41" s="9"/>
      <c r="X41" s="26"/>
      <c r="Y41" s="26"/>
      <c r="AA41" s="760"/>
      <c r="AB41" s="743">
        <v>0.7</v>
      </c>
      <c r="AC41" s="744"/>
      <c r="AD41" s="744"/>
      <c r="AE41" s="744"/>
      <c r="AF41" s="745"/>
      <c r="AG41" s="746"/>
      <c r="AH41" s="744"/>
      <c r="AI41" s="744"/>
      <c r="AJ41" s="744"/>
      <c r="AK41" s="747">
        <f t="shared" si="8"/>
        <v>0</v>
      </c>
      <c r="AL41" s="747">
        <f t="shared" si="9"/>
        <v>0</v>
      </c>
      <c r="AM41" s="747">
        <f t="shared" si="10"/>
        <v>0</v>
      </c>
      <c r="AN41" s="748" t="str">
        <f t="shared" si="11"/>
        <v>-</v>
      </c>
      <c r="AO41" s="9"/>
      <c r="AP41" s="9"/>
      <c r="AQ41" s="9"/>
      <c r="AR41" s="9"/>
    </row>
    <row r="42" ht="59.25" customHeight="1" outlineLevel="1">
      <c r="A42" s="101" t="s">
        <v>101</v>
      </c>
      <c r="B42" s="102" t="s">
        <v>2316</v>
      </c>
      <c r="C42" s="103" t="s">
        <v>38</v>
      </c>
      <c r="D42" s="104" t="s">
        <v>2317</v>
      </c>
      <c r="E42" s="105" t="s">
        <v>40</v>
      </c>
      <c r="F42" s="106" t="s">
        <v>2318</v>
      </c>
      <c r="G42" s="104" t="s">
        <v>105</v>
      </c>
      <c r="H42" s="107" t="s">
        <v>2319</v>
      </c>
      <c r="I42" s="108" t="b">
        <v>0</v>
      </c>
      <c r="J42" s="109" t="s">
        <v>7</v>
      </c>
      <c r="K42" s="110">
        <f t="shared" si="4"/>
        <v>0</v>
      </c>
      <c r="L42" s="111">
        <v>1.5E7</v>
      </c>
      <c r="M42" s="112">
        <v>65000.0</v>
      </c>
      <c r="N42" s="112">
        <v>3000.0</v>
      </c>
      <c r="O42" s="112">
        <f t="shared" si="12"/>
        <v>0</v>
      </c>
      <c r="P42" s="112">
        <f t="shared" si="13"/>
        <v>0</v>
      </c>
      <c r="Q42" s="113">
        <f t="shared" si="7"/>
        <v>0</v>
      </c>
      <c r="R42" s="114" t="s">
        <v>2320</v>
      </c>
      <c r="S42" s="115"/>
      <c r="T42" s="115"/>
      <c r="U42" s="1220" t="s">
        <v>122</v>
      </c>
      <c r="V42" s="9"/>
      <c r="W42" s="9"/>
      <c r="X42" s="740"/>
      <c r="Y42" s="740"/>
      <c r="Z42" s="764" t="s">
        <v>364</v>
      </c>
      <c r="AA42" s="760">
        <v>9000000.0</v>
      </c>
      <c r="AB42" s="743">
        <v>0.7</v>
      </c>
      <c r="AC42" s="744">
        <v>55000.0</v>
      </c>
      <c r="AD42" s="744"/>
      <c r="AE42" s="744">
        <v>2500.0</v>
      </c>
      <c r="AF42" s="745"/>
      <c r="AG42" s="746"/>
      <c r="AH42" s="744"/>
      <c r="AI42" s="744"/>
      <c r="AJ42" s="744"/>
      <c r="AK42" s="747">
        <f t="shared" si="8"/>
        <v>0</v>
      </c>
      <c r="AL42" s="747">
        <f t="shared" si="9"/>
        <v>0</v>
      </c>
      <c r="AM42" s="747">
        <f t="shared" si="10"/>
        <v>0</v>
      </c>
      <c r="AN42" s="748" t="str">
        <f t="shared" si="11"/>
        <v>-</v>
      </c>
      <c r="AO42" s="9"/>
      <c r="AP42" s="9"/>
      <c r="AQ42" s="9"/>
      <c r="AR42" s="9"/>
    </row>
    <row r="43" ht="59.25" customHeight="1" outlineLevel="1">
      <c r="A43" s="72"/>
      <c r="B43" s="72"/>
      <c r="C43" s="72"/>
      <c r="D43" s="72"/>
      <c r="E43" s="72"/>
      <c r="F43" s="72"/>
      <c r="G43" s="72"/>
      <c r="H43" s="107" t="s">
        <v>2321</v>
      </c>
      <c r="I43" s="108" t="b">
        <v>0</v>
      </c>
      <c r="J43" s="110" t="s">
        <v>47</v>
      </c>
      <c r="K43" s="110">
        <f t="shared" si="4"/>
        <v>0</v>
      </c>
      <c r="L43" s="111">
        <v>4000000.0</v>
      </c>
      <c r="M43" s="112">
        <v>0.0</v>
      </c>
      <c r="N43" s="112">
        <v>0.0</v>
      </c>
      <c r="O43" s="112" t="str">
        <f t="shared" si="12"/>
        <v>-</v>
      </c>
      <c r="P43" s="112" t="str">
        <f t="shared" si="13"/>
        <v>-</v>
      </c>
      <c r="Q43" s="113">
        <f t="shared" si="7"/>
        <v>0</v>
      </c>
      <c r="R43" s="72"/>
      <c r="S43" s="72"/>
      <c r="T43" s="72"/>
      <c r="U43" s="72"/>
      <c r="V43" s="9"/>
      <c r="W43" s="9"/>
      <c r="X43" s="26"/>
      <c r="Y43" s="26"/>
      <c r="AA43" s="760"/>
      <c r="AB43" s="743">
        <v>0.7</v>
      </c>
      <c r="AC43" s="744"/>
      <c r="AD43" s="744"/>
      <c r="AE43" s="744"/>
      <c r="AF43" s="745"/>
      <c r="AG43" s="746"/>
      <c r="AH43" s="744"/>
      <c r="AI43" s="744"/>
      <c r="AJ43" s="744"/>
      <c r="AK43" s="747">
        <f t="shared" si="8"/>
        <v>0</v>
      </c>
      <c r="AL43" s="747">
        <f t="shared" si="9"/>
        <v>0</v>
      </c>
      <c r="AM43" s="747">
        <f t="shared" si="10"/>
        <v>0</v>
      </c>
      <c r="AN43" s="748" t="str">
        <f t="shared" si="11"/>
        <v>-</v>
      </c>
      <c r="AO43" s="9"/>
      <c r="AP43" s="9"/>
      <c r="AQ43" s="9"/>
      <c r="AR43" s="9"/>
    </row>
    <row r="44" ht="59.25" customHeight="1" outlineLevel="1">
      <c r="A44" s="101" t="s">
        <v>101</v>
      </c>
      <c r="B44" s="102" t="s">
        <v>102</v>
      </c>
      <c r="C44" s="103" t="s">
        <v>38</v>
      </c>
      <c r="D44" s="104" t="s">
        <v>103</v>
      </c>
      <c r="E44" s="105" t="s">
        <v>40</v>
      </c>
      <c r="F44" s="106" t="s">
        <v>104</v>
      </c>
      <c r="G44" s="104" t="s">
        <v>105</v>
      </c>
      <c r="H44" s="107" t="s">
        <v>2322</v>
      </c>
      <c r="I44" s="108" t="b">
        <v>0</v>
      </c>
      <c r="J44" s="109" t="s">
        <v>7</v>
      </c>
      <c r="K44" s="110">
        <f t="shared" si="4"/>
        <v>0</v>
      </c>
      <c r="L44" s="111">
        <v>1.5E7</v>
      </c>
      <c r="M44" s="112">
        <v>65000.0</v>
      </c>
      <c r="N44" s="112">
        <v>3000.0</v>
      </c>
      <c r="O44" s="112">
        <f t="shared" si="12"/>
        <v>0</v>
      </c>
      <c r="P44" s="112">
        <f t="shared" si="13"/>
        <v>0</v>
      </c>
      <c r="Q44" s="113">
        <f t="shared" si="7"/>
        <v>0</v>
      </c>
      <c r="R44" s="114" t="s">
        <v>2323</v>
      </c>
      <c r="S44" s="115"/>
      <c r="T44" s="115"/>
      <c r="U44" s="1220" t="s">
        <v>45</v>
      </c>
      <c r="V44" s="9"/>
      <c r="W44" s="9"/>
      <c r="X44" s="740"/>
      <c r="Y44" s="740"/>
      <c r="Z44" s="764" t="s">
        <v>364</v>
      </c>
      <c r="AA44" s="760">
        <v>9000000.0</v>
      </c>
      <c r="AB44" s="743">
        <v>0.7</v>
      </c>
      <c r="AC44" s="744">
        <v>15000.0</v>
      </c>
      <c r="AD44" s="744"/>
      <c r="AE44" s="744">
        <v>1000.0</v>
      </c>
      <c r="AF44" s="745"/>
      <c r="AG44" s="746"/>
      <c r="AH44" s="744"/>
      <c r="AI44" s="744"/>
      <c r="AJ44" s="744"/>
      <c r="AK44" s="747">
        <f t="shared" si="8"/>
        <v>0</v>
      </c>
      <c r="AL44" s="747">
        <f t="shared" si="9"/>
        <v>0</v>
      </c>
      <c r="AM44" s="747">
        <f t="shared" si="10"/>
        <v>0</v>
      </c>
      <c r="AN44" s="748" t="str">
        <f t="shared" si="11"/>
        <v>-</v>
      </c>
      <c r="AO44" s="9"/>
      <c r="AP44" s="9"/>
      <c r="AQ44" s="9"/>
      <c r="AR44" s="9"/>
    </row>
    <row r="45" ht="59.25" customHeight="1" outlineLevel="1">
      <c r="A45" s="72"/>
      <c r="B45" s="72"/>
      <c r="C45" s="72"/>
      <c r="D45" s="72"/>
      <c r="E45" s="72"/>
      <c r="F45" s="72"/>
      <c r="G45" s="72"/>
      <c r="H45" s="107" t="s">
        <v>2324</v>
      </c>
      <c r="I45" s="108" t="b">
        <v>0</v>
      </c>
      <c r="J45" s="110" t="s">
        <v>47</v>
      </c>
      <c r="K45" s="110">
        <f t="shared" si="4"/>
        <v>0</v>
      </c>
      <c r="L45" s="111">
        <v>4000000.0</v>
      </c>
      <c r="M45" s="112">
        <v>0.0</v>
      </c>
      <c r="N45" s="112">
        <v>0.0</v>
      </c>
      <c r="O45" s="112" t="str">
        <f t="shared" si="12"/>
        <v>-</v>
      </c>
      <c r="P45" s="112" t="str">
        <f t="shared" si="13"/>
        <v>-</v>
      </c>
      <c r="Q45" s="113">
        <f t="shared" si="7"/>
        <v>0</v>
      </c>
      <c r="R45" s="72"/>
      <c r="S45" s="72"/>
      <c r="T45" s="72"/>
      <c r="U45" s="72"/>
      <c r="V45" s="9"/>
      <c r="W45" s="9"/>
      <c r="X45" s="26"/>
      <c r="Y45" s="26"/>
      <c r="AA45" s="760"/>
      <c r="AB45" s="743">
        <v>0.7</v>
      </c>
      <c r="AC45" s="744"/>
      <c r="AD45" s="744"/>
      <c r="AE45" s="744"/>
      <c r="AF45" s="745"/>
      <c r="AG45" s="746"/>
      <c r="AH45" s="744"/>
      <c r="AI45" s="744"/>
      <c r="AJ45" s="744"/>
      <c r="AK45" s="747">
        <f t="shared" si="8"/>
        <v>0</v>
      </c>
      <c r="AL45" s="747">
        <f t="shared" si="9"/>
        <v>0</v>
      </c>
      <c r="AM45" s="747">
        <f t="shared" si="10"/>
        <v>0</v>
      </c>
      <c r="AN45" s="748" t="str">
        <f t="shared" si="11"/>
        <v>-</v>
      </c>
      <c r="AO45" s="9"/>
      <c r="AP45" s="9"/>
      <c r="AQ45" s="9"/>
      <c r="AR45" s="9"/>
    </row>
    <row r="46" ht="30.0" customHeight="1">
      <c r="A46" s="1200" t="s">
        <v>134</v>
      </c>
      <c r="B46" s="56"/>
      <c r="C46" s="1201"/>
      <c r="D46" s="1202"/>
      <c r="E46" s="1203"/>
      <c r="F46" s="1203"/>
      <c r="G46" s="1203"/>
      <c r="H46" s="1203"/>
      <c r="I46" s="1203"/>
      <c r="J46" s="1204" t="s">
        <v>7</v>
      </c>
      <c r="K46" s="1204">
        <f>SUMIFS(K49:K87,J49:J87,"Video Post")</f>
        <v>18</v>
      </c>
      <c r="L46" s="1205"/>
      <c r="M46" s="1206">
        <f t="shared" ref="M46:N46" si="14">sumif($I$49:$I$87,"TRUE",M49:M87)</f>
        <v>516500</v>
      </c>
      <c r="N46" s="1206">
        <f t="shared" si="14"/>
        <v>30000</v>
      </c>
      <c r="O46" s="1205"/>
      <c r="P46" s="1205"/>
      <c r="Q46" s="1206">
        <f>sum(Q49:Q87)</f>
        <v>163000000</v>
      </c>
      <c r="R46" s="1221"/>
      <c r="S46" s="1221"/>
      <c r="T46" s="1221"/>
      <c r="U46" s="1221"/>
      <c r="V46" s="69"/>
      <c r="W46" s="69"/>
      <c r="X46" s="717"/>
      <c r="Y46" s="717"/>
      <c r="Z46" s="718"/>
      <c r="AA46" s="719"/>
      <c r="AB46" s="720"/>
      <c r="AC46" s="721"/>
      <c r="AD46" s="721"/>
      <c r="AE46" s="721"/>
      <c r="AF46" s="722"/>
      <c r="AG46" s="723"/>
      <c r="AH46" s="721"/>
      <c r="AI46" s="721"/>
      <c r="AJ46" s="721"/>
      <c r="AK46" s="724"/>
      <c r="AL46" s="724"/>
      <c r="AM46" s="724"/>
      <c r="AN46" s="725"/>
      <c r="AO46" s="9"/>
      <c r="AP46" s="9"/>
      <c r="AQ46" s="9"/>
      <c r="AR46" s="9"/>
    </row>
    <row r="47" ht="30.0" customHeight="1">
      <c r="A47" s="70"/>
      <c r="B47" s="71"/>
      <c r="C47" s="1201"/>
      <c r="D47" s="1202"/>
      <c r="E47" s="1203"/>
      <c r="F47" s="1203"/>
      <c r="G47" s="1203"/>
      <c r="H47" s="1203"/>
      <c r="I47" s="1203"/>
      <c r="J47" s="1204" t="s">
        <v>8</v>
      </c>
      <c r="K47" s="1204">
        <f>SUMIFS(K49:K87,J49:J87,"Tháng")</f>
        <v>18</v>
      </c>
      <c r="L47" s="1205"/>
      <c r="M47" s="72"/>
      <c r="N47" s="72"/>
      <c r="O47" s="1205"/>
      <c r="P47" s="1205"/>
      <c r="Q47" s="72"/>
      <c r="R47" s="1221"/>
      <c r="S47" s="1221"/>
      <c r="T47" s="1221"/>
      <c r="U47" s="1221"/>
      <c r="V47" s="69"/>
      <c r="W47" s="69"/>
      <c r="X47" s="717"/>
      <c r="Y47" s="717"/>
      <c r="Z47" s="728"/>
      <c r="AA47" s="719"/>
      <c r="AB47" s="720"/>
      <c r="AC47" s="721"/>
      <c r="AD47" s="721"/>
      <c r="AE47" s="721"/>
      <c r="AF47" s="722"/>
      <c r="AG47" s="723"/>
      <c r="AH47" s="721"/>
      <c r="AI47" s="721"/>
      <c r="AJ47" s="721"/>
      <c r="AK47" s="724"/>
      <c r="AL47" s="724"/>
      <c r="AM47" s="724"/>
      <c r="AN47" s="725"/>
      <c r="AO47" s="9"/>
      <c r="AP47" s="9"/>
      <c r="AQ47" s="9"/>
      <c r="AR47" s="9"/>
    </row>
    <row r="48" outlineLevel="1">
      <c r="A48" s="1222" t="s">
        <v>135</v>
      </c>
      <c r="B48" s="1223" t="s">
        <v>136</v>
      </c>
      <c r="C48" s="1224"/>
      <c r="D48" s="1225"/>
      <c r="E48" s="1224"/>
      <c r="F48" s="1226"/>
      <c r="G48" s="1226"/>
      <c r="H48" s="1226"/>
      <c r="I48" s="1227" t="b">
        <v>0</v>
      </c>
      <c r="J48" s="1228"/>
      <c r="K48" s="1228"/>
      <c r="L48" s="1228"/>
      <c r="M48" s="1228"/>
      <c r="N48" s="1228"/>
      <c r="O48" s="1228"/>
      <c r="P48" s="1228"/>
      <c r="Q48" s="1228"/>
      <c r="R48" s="1226"/>
      <c r="S48" s="1228"/>
      <c r="T48" s="1228"/>
      <c r="U48" s="1224"/>
      <c r="V48" s="146"/>
      <c r="W48" s="146"/>
      <c r="X48" s="773"/>
      <c r="Y48" s="773"/>
      <c r="Z48" s="774"/>
      <c r="AA48" s="775"/>
      <c r="AB48" s="776"/>
      <c r="AC48" s="777"/>
      <c r="AD48" s="777"/>
      <c r="AE48" s="777"/>
      <c r="AF48" s="778"/>
      <c r="AG48" s="779"/>
      <c r="AH48" s="777"/>
      <c r="AI48" s="777"/>
      <c r="AJ48" s="777"/>
      <c r="AK48" s="780"/>
      <c r="AL48" s="780"/>
      <c r="AM48" s="780"/>
      <c r="AN48" s="781"/>
      <c r="AO48" s="146"/>
      <c r="AP48" s="146"/>
      <c r="AQ48" s="146"/>
      <c r="AR48" s="146"/>
    </row>
    <row r="49" ht="43.5" customHeight="1" outlineLevel="1">
      <c r="A49" s="1207" t="s">
        <v>45</v>
      </c>
      <c r="B49" s="1229" t="s">
        <v>137</v>
      </c>
      <c r="C49" s="103" t="s">
        <v>38</v>
      </c>
      <c r="D49" s="1209" t="s">
        <v>138</v>
      </c>
      <c r="E49" s="105" t="s">
        <v>40</v>
      </c>
      <c r="F49" s="1210" t="s">
        <v>139</v>
      </c>
      <c r="G49" s="104" t="s">
        <v>50</v>
      </c>
      <c r="H49" s="1211" t="s">
        <v>2325</v>
      </c>
      <c r="I49" s="1212" t="b">
        <v>1</v>
      </c>
      <c r="J49" s="109" t="s">
        <v>7</v>
      </c>
      <c r="K49" s="109">
        <f t="shared" ref="K49:K64" si="15">if(I49=True,1,if(I49=False,0))</f>
        <v>1</v>
      </c>
      <c r="L49" s="113">
        <v>6000000.0</v>
      </c>
      <c r="M49" s="113">
        <v>30000.0</v>
      </c>
      <c r="N49" s="113">
        <v>2000.0</v>
      </c>
      <c r="O49" s="113">
        <f>IFERROR(Q49/M49,"-")</f>
        <v>200</v>
      </c>
      <c r="P49" s="113">
        <f>IFERROR(Q49/N49,"-")</f>
        <v>3000</v>
      </c>
      <c r="Q49" s="113">
        <f t="shared" ref="Q49:Q64" si="16">iferror(L49*K49,"-")</f>
        <v>6000000</v>
      </c>
      <c r="R49" s="1213" t="s">
        <v>2326</v>
      </c>
      <c r="S49" s="1214" t="s">
        <v>142</v>
      </c>
      <c r="T49" s="115"/>
      <c r="U49" s="105" t="s">
        <v>45</v>
      </c>
      <c r="V49" s="9"/>
      <c r="W49" s="9"/>
      <c r="X49" s="740"/>
      <c r="Y49" s="740"/>
      <c r="Z49" s="741" t="s">
        <v>2327</v>
      </c>
      <c r="AA49" s="742">
        <f>3300000/0.9</f>
        <v>3666666.667</v>
      </c>
      <c r="AB49" s="743">
        <v>0.5</v>
      </c>
      <c r="AC49" s="744">
        <v>20000.0</v>
      </c>
      <c r="AD49" s="744">
        <v>10000.0</v>
      </c>
      <c r="AE49" s="744">
        <v>1000.0</v>
      </c>
      <c r="AF49" s="745">
        <v>1000.0</v>
      </c>
      <c r="AG49" s="746"/>
      <c r="AH49" s="744"/>
      <c r="AI49" s="744"/>
      <c r="AJ49" s="744"/>
      <c r="AK49" s="747">
        <f t="shared" ref="AK49:AK58" si="17">(AD49*2+AF49*50+AH49*10+AJ49*50)*K49</f>
        <v>70000</v>
      </c>
      <c r="AL49" s="747">
        <f t="shared" ref="AL49:AL58" si="18">sum(AA49,AK49)*K49</f>
        <v>3736666.667</v>
      </c>
      <c r="AM49" s="747">
        <f t="shared" ref="AM49:AM58" si="19">iferror(Q49-AL49,"-")</f>
        <v>2263333.333</v>
      </c>
      <c r="AN49" s="748">
        <f t="shared" ref="AN49:AN58" si="20">iferror(AM49/Q49,"-")</f>
        <v>0.3772222222</v>
      </c>
      <c r="AO49" s="9"/>
      <c r="AP49" s="9"/>
      <c r="AQ49" s="9"/>
      <c r="AR49" s="9"/>
    </row>
    <row r="50" ht="43.5" customHeight="1" outlineLevel="1">
      <c r="A50" s="72"/>
      <c r="B50" s="72"/>
      <c r="C50" s="72"/>
      <c r="D50" s="72"/>
      <c r="E50" s="72"/>
      <c r="F50" s="72"/>
      <c r="G50" s="72"/>
      <c r="H50" s="1215" t="s">
        <v>2328</v>
      </c>
      <c r="I50" s="1212" t="b">
        <v>1</v>
      </c>
      <c r="J50" s="109" t="s">
        <v>47</v>
      </c>
      <c r="K50" s="109">
        <f t="shared" si="15"/>
        <v>1</v>
      </c>
      <c r="L50" s="113">
        <v>2000000.0</v>
      </c>
      <c r="M50" s="113">
        <v>0.0</v>
      </c>
      <c r="N50" s="113">
        <v>0.0</v>
      </c>
      <c r="O50" s="113" t="s">
        <v>81</v>
      </c>
      <c r="P50" s="113" t="s">
        <v>81</v>
      </c>
      <c r="Q50" s="113">
        <f t="shared" si="16"/>
        <v>2000000</v>
      </c>
      <c r="R50" s="72"/>
      <c r="S50" s="72"/>
      <c r="T50" s="72"/>
      <c r="U50" s="72"/>
      <c r="V50" s="9"/>
      <c r="W50" s="9"/>
      <c r="X50" s="26"/>
      <c r="Y50" s="26"/>
      <c r="Z50" s="751" t="s">
        <v>910</v>
      </c>
      <c r="AA50" s="742">
        <v>0.0</v>
      </c>
      <c r="AB50" s="743">
        <v>0.5</v>
      </c>
      <c r="AC50" s="744"/>
      <c r="AD50" s="744"/>
      <c r="AE50" s="744"/>
      <c r="AF50" s="745"/>
      <c r="AG50" s="746"/>
      <c r="AH50" s="744"/>
      <c r="AI50" s="744"/>
      <c r="AJ50" s="744"/>
      <c r="AK50" s="747">
        <f t="shared" si="17"/>
        <v>0</v>
      </c>
      <c r="AL50" s="747">
        <f t="shared" si="18"/>
        <v>0</v>
      </c>
      <c r="AM50" s="747">
        <f t="shared" si="19"/>
        <v>2000000</v>
      </c>
      <c r="AN50" s="748">
        <f t="shared" si="20"/>
        <v>1</v>
      </c>
      <c r="AO50" s="9"/>
      <c r="AP50" s="9"/>
      <c r="AQ50" s="9"/>
      <c r="AR50" s="9"/>
    </row>
    <row r="51" ht="43.5" customHeight="1" outlineLevel="1">
      <c r="A51" s="1207" t="s">
        <v>45</v>
      </c>
      <c r="B51" s="1216" t="s">
        <v>144</v>
      </c>
      <c r="C51" s="103" t="s">
        <v>38</v>
      </c>
      <c r="D51" s="1209" t="s">
        <v>145</v>
      </c>
      <c r="E51" s="105" t="s">
        <v>146</v>
      </c>
      <c r="F51" s="1210" t="s">
        <v>139</v>
      </c>
      <c r="G51" s="104" t="s">
        <v>50</v>
      </c>
      <c r="H51" s="1211" t="s">
        <v>2329</v>
      </c>
      <c r="I51" s="1212" t="b">
        <v>1</v>
      </c>
      <c r="J51" s="109" t="s">
        <v>7</v>
      </c>
      <c r="K51" s="109">
        <f t="shared" si="15"/>
        <v>1</v>
      </c>
      <c r="L51" s="113">
        <v>5000000.0</v>
      </c>
      <c r="M51" s="113">
        <v>20000.0</v>
      </c>
      <c r="N51" s="113">
        <v>1500.0</v>
      </c>
      <c r="O51" s="113">
        <f t="shared" ref="O51:O64" si="21">IFERROR(Q51/M51,"-")</f>
        <v>250</v>
      </c>
      <c r="P51" s="113">
        <f t="shared" ref="P51:P64" si="22">IFERROR(Q51/N51,"-")</f>
        <v>3333.333333</v>
      </c>
      <c r="Q51" s="113">
        <f t="shared" si="16"/>
        <v>5000000</v>
      </c>
      <c r="R51" s="1213" t="s">
        <v>2330</v>
      </c>
      <c r="S51" s="1214" t="s">
        <v>149</v>
      </c>
      <c r="T51" s="115"/>
      <c r="U51" s="105" t="s">
        <v>45</v>
      </c>
      <c r="V51" s="87"/>
      <c r="W51" s="87"/>
      <c r="X51" s="740"/>
      <c r="Y51" s="740"/>
      <c r="Z51" s="741" t="s">
        <v>2331</v>
      </c>
      <c r="AA51" s="742">
        <f>2700000/0.9</f>
        <v>3000000</v>
      </c>
      <c r="AB51" s="743">
        <v>0.5</v>
      </c>
      <c r="AC51" s="744">
        <v>10000.0</v>
      </c>
      <c r="AD51" s="744">
        <v>10000.0</v>
      </c>
      <c r="AE51" s="744">
        <v>500.0</v>
      </c>
      <c r="AF51" s="745">
        <v>1000.0</v>
      </c>
      <c r="AG51" s="746"/>
      <c r="AH51" s="744"/>
      <c r="AI51" s="744"/>
      <c r="AJ51" s="744"/>
      <c r="AK51" s="747">
        <f t="shared" si="17"/>
        <v>70000</v>
      </c>
      <c r="AL51" s="747">
        <f t="shared" si="18"/>
        <v>3070000</v>
      </c>
      <c r="AM51" s="747">
        <f t="shared" si="19"/>
        <v>1930000</v>
      </c>
      <c r="AN51" s="748">
        <f t="shared" si="20"/>
        <v>0.386</v>
      </c>
      <c r="AO51" s="9"/>
      <c r="AP51" s="9"/>
      <c r="AQ51" s="9"/>
      <c r="AR51" s="9"/>
    </row>
    <row r="52" ht="43.5" customHeight="1" outlineLevel="1">
      <c r="A52" s="72"/>
      <c r="B52" s="72"/>
      <c r="C52" s="72"/>
      <c r="D52" s="72"/>
      <c r="E52" s="72"/>
      <c r="F52" s="72"/>
      <c r="G52" s="72"/>
      <c r="H52" s="1215" t="s">
        <v>2332</v>
      </c>
      <c r="I52" s="1212" t="b">
        <v>1</v>
      </c>
      <c r="J52" s="109" t="s">
        <v>47</v>
      </c>
      <c r="K52" s="109">
        <f t="shared" si="15"/>
        <v>1</v>
      </c>
      <c r="L52" s="113">
        <v>2000000.0</v>
      </c>
      <c r="M52" s="113">
        <v>0.0</v>
      </c>
      <c r="N52" s="113">
        <v>0.0</v>
      </c>
      <c r="O52" s="113" t="str">
        <f t="shared" si="21"/>
        <v>-</v>
      </c>
      <c r="P52" s="113" t="str">
        <f t="shared" si="22"/>
        <v>-</v>
      </c>
      <c r="Q52" s="113">
        <f t="shared" si="16"/>
        <v>2000000</v>
      </c>
      <c r="R52" s="72"/>
      <c r="S52" s="72"/>
      <c r="T52" s="72"/>
      <c r="U52" s="72"/>
      <c r="V52" s="9"/>
      <c r="W52" s="9"/>
      <c r="X52" s="26"/>
      <c r="Y52" s="26"/>
      <c r="Z52" s="751" t="s">
        <v>910</v>
      </c>
      <c r="AA52" s="742">
        <f>1200000/0.9</f>
        <v>1333333.333</v>
      </c>
      <c r="AB52" s="743">
        <v>0.8</v>
      </c>
      <c r="AC52" s="744"/>
      <c r="AD52" s="744"/>
      <c r="AE52" s="744"/>
      <c r="AF52" s="745"/>
      <c r="AG52" s="746"/>
      <c r="AH52" s="744"/>
      <c r="AI52" s="744"/>
      <c r="AJ52" s="744"/>
      <c r="AK52" s="747">
        <f t="shared" si="17"/>
        <v>0</v>
      </c>
      <c r="AL52" s="747">
        <f t="shared" si="18"/>
        <v>1333333.333</v>
      </c>
      <c r="AM52" s="747">
        <f t="shared" si="19"/>
        <v>666666.6667</v>
      </c>
      <c r="AN52" s="748">
        <f t="shared" si="20"/>
        <v>0.3333333333</v>
      </c>
      <c r="AO52" s="9"/>
      <c r="AP52" s="9"/>
      <c r="AQ52" s="9"/>
      <c r="AR52" s="9"/>
    </row>
    <row r="53" ht="43.5" customHeight="1" outlineLevel="1">
      <c r="A53" s="1207" t="s">
        <v>45</v>
      </c>
      <c r="B53" s="1229" t="s">
        <v>151</v>
      </c>
      <c r="C53" s="103" t="s">
        <v>38</v>
      </c>
      <c r="D53" s="1209" t="s">
        <v>152</v>
      </c>
      <c r="E53" s="105" t="s">
        <v>146</v>
      </c>
      <c r="F53" s="1210" t="s">
        <v>139</v>
      </c>
      <c r="G53" s="104" t="s">
        <v>50</v>
      </c>
      <c r="H53" s="1211" t="s">
        <v>2333</v>
      </c>
      <c r="I53" s="1212" t="b">
        <v>1</v>
      </c>
      <c r="J53" s="109" t="s">
        <v>7</v>
      </c>
      <c r="K53" s="109">
        <f t="shared" si="15"/>
        <v>1</v>
      </c>
      <c r="L53" s="113">
        <v>3000000.0</v>
      </c>
      <c r="M53" s="113">
        <v>20000.0</v>
      </c>
      <c r="N53" s="113">
        <v>1500.0</v>
      </c>
      <c r="O53" s="113">
        <f t="shared" si="21"/>
        <v>150</v>
      </c>
      <c r="P53" s="113">
        <f t="shared" si="22"/>
        <v>2000</v>
      </c>
      <c r="Q53" s="113">
        <f t="shared" si="16"/>
        <v>3000000</v>
      </c>
      <c r="R53" s="1213" t="s">
        <v>2334</v>
      </c>
      <c r="S53" s="1214" t="s">
        <v>155</v>
      </c>
      <c r="T53" s="115"/>
      <c r="U53" s="105" t="s">
        <v>45</v>
      </c>
      <c r="V53" s="9"/>
      <c r="W53" s="9"/>
      <c r="X53" s="740"/>
      <c r="Y53" s="740"/>
      <c r="Z53" s="741" t="s">
        <v>2335</v>
      </c>
      <c r="AA53" s="742">
        <f>2000000/0.9</f>
        <v>2222222.222</v>
      </c>
      <c r="AB53" s="743">
        <v>0.5</v>
      </c>
      <c r="AC53" s="744">
        <v>10000.0</v>
      </c>
      <c r="AD53" s="744">
        <v>10000.0</v>
      </c>
      <c r="AE53" s="744">
        <v>500.0</v>
      </c>
      <c r="AF53" s="745">
        <v>1000.0</v>
      </c>
      <c r="AG53" s="746"/>
      <c r="AH53" s="744"/>
      <c r="AI53" s="744"/>
      <c r="AJ53" s="744"/>
      <c r="AK53" s="747">
        <f t="shared" si="17"/>
        <v>70000</v>
      </c>
      <c r="AL53" s="747">
        <f t="shared" si="18"/>
        <v>2292222.222</v>
      </c>
      <c r="AM53" s="747">
        <f t="shared" si="19"/>
        <v>707777.7778</v>
      </c>
      <c r="AN53" s="748">
        <f t="shared" si="20"/>
        <v>0.2359259259</v>
      </c>
      <c r="AO53" s="9"/>
      <c r="AP53" s="9"/>
      <c r="AQ53" s="9"/>
      <c r="AR53" s="9"/>
    </row>
    <row r="54" ht="43.5" customHeight="1" outlineLevel="1">
      <c r="A54" s="72"/>
      <c r="B54" s="72"/>
      <c r="C54" s="72"/>
      <c r="D54" s="72"/>
      <c r="E54" s="72"/>
      <c r="F54" s="72"/>
      <c r="G54" s="72"/>
      <c r="H54" s="1215" t="s">
        <v>2336</v>
      </c>
      <c r="I54" s="1212" t="b">
        <v>1</v>
      </c>
      <c r="J54" s="109" t="s">
        <v>47</v>
      </c>
      <c r="K54" s="109">
        <f t="shared" si="15"/>
        <v>1</v>
      </c>
      <c r="L54" s="113">
        <v>2000000.0</v>
      </c>
      <c r="M54" s="113">
        <v>0.0</v>
      </c>
      <c r="N54" s="113">
        <v>0.0</v>
      </c>
      <c r="O54" s="113" t="str">
        <f t="shared" si="21"/>
        <v>-</v>
      </c>
      <c r="P54" s="113" t="str">
        <f t="shared" si="22"/>
        <v>-</v>
      </c>
      <c r="Q54" s="113">
        <f t="shared" si="16"/>
        <v>2000000</v>
      </c>
      <c r="R54" s="72"/>
      <c r="S54" s="72"/>
      <c r="T54" s="72"/>
      <c r="U54" s="72"/>
      <c r="V54" s="9"/>
      <c r="W54" s="9"/>
      <c r="X54" s="26"/>
      <c r="Y54" s="26"/>
      <c r="Z54" s="751" t="s">
        <v>910</v>
      </c>
      <c r="AA54" s="742">
        <v>0.0</v>
      </c>
      <c r="AB54" s="743">
        <v>1.0</v>
      </c>
      <c r="AC54" s="744"/>
      <c r="AD54" s="744"/>
      <c r="AE54" s="744"/>
      <c r="AF54" s="745"/>
      <c r="AG54" s="746"/>
      <c r="AH54" s="744"/>
      <c r="AI54" s="744"/>
      <c r="AJ54" s="744"/>
      <c r="AK54" s="747">
        <f t="shared" si="17"/>
        <v>0</v>
      </c>
      <c r="AL54" s="747">
        <f t="shared" si="18"/>
        <v>0</v>
      </c>
      <c r="AM54" s="747">
        <f t="shared" si="19"/>
        <v>2000000</v>
      </c>
      <c r="AN54" s="748">
        <f t="shared" si="20"/>
        <v>1</v>
      </c>
      <c r="AO54" s="9"/>
      <c r="AP54" s="9"/>
      <c r="AQ54" s="9"/>
      <c r="AR54" s="9"/>
    </row>
    <row r="55" ht="43.5" customHeight="1" outlineLevel="1">
      <c r="A55" s="1207" t="s">
        <v>73</v>
      </c>
      <c r="B55" s="1230" t="s">
        <v>163</v>
      </c>
      <c r="C55" s="103" t="s">
        <v>38</v>
      </c>
      <c r="D55" s="1209" t="s">
        <v>164</v>
      </c>
      <c r="E55" s="105" t="s">
        <v>146</v>
      </c>
      <c r="F55" s="1210" t="s">
        <v>21</v>
      </c>
      <c r="G55" s="104" t="s">
        <v>50</v>
      </c>
      <c r="H55" s="1211" t="s">
        <v>2337</v>
      </c>
      <c r="I55" s="1212" t="b">
        <v>1</v>
      </c>
      <c r="J55" s="109" t="s">
        <v>7</v>
      </c>
      <c r="K55" s="109">
        <f t="shared" si="15"/>
        <v>1</v>
      </c>
      <c r="L55" s="113">
        <v>5000000.0</v>
      </c>
      <c r="M55" s="113">
        <v>20000.0</v>
      </c>
      <c r="N55" s="113">
        <v>1500.0</v>
      </c>
      <c r="O55" s="113">
        <f t="shared" si="21"/>
        <v>250</v>
      </c>
      <c r="P55" s="113">
        <f t="shared" si="22"/>
        <v>3333.333333</v>
      </c>
      <c r="Q55" s="113">
        <f t="shared" si="16"/>
        <v>5000000</v>
      </c>
      <c r="R55" s="1213" t="s">
        <v>2338</v>
      </c>
      <c r="S55" s="1214" t="s">
        <v>167</v>
      </c>
      <c r="T55" s="115"/>
      <c r="U55" s="105" t="s">
        <v>45</v>
      </c>
      <c r="V55" s="87"/>
      <c r="W55" s="87"/>
      <c r="X55" s="740"/>
      <c r="Y55" s="740"/>
      <c r="Z55" s="741" t="s">
        <v>2339</v>
      </c>
      <c r="AA55" s="742">
        <f>2700000/0.9</f>
        <v>3000000</v>
      </c>
      <c r="AB55" s="743">
        <v>0.5</v>
      </c>
      <c r="AC55" s="744">
        <v>10000.0</v>
      </c>
      <c r="AD55" s="744">
        <v>10000.0</v>
      </c>
      <c r="AE55" s="744">
        <v>500.0</v>
      </c>
      <c r="AF55" s="745">
        <v>1000.0</v>
      </c>
      <c r="AG55" s="746"/>
      <c r="AH55" s="744"/>
      <c r="AI55" s="744"/>
      <c r="AJ55" s="744"/>
      <c r="AK55" s="747">
        <f t="shared" si="17"/>
        <v>70000</v>
      </c>
      <c r="AL55" s="747">
        <f t="shared" si="18"/>
        <v>3070000</v>
      </c>
      <c r="AM55" s="747">
        <f t="shared" si="19"/>
        <v>1930000</v>
      </c>
      <c r="AN55" s="748">
        <f t="shared" si="20"/>
        <v>0.386</v>
      </c>
      <c r="AO55" s="9"/>
      <c r="AP55" s="9"/>
      <c r="AQ55" s="9"/>
      <c r="AR55" s="9"/>
    </row>
    <row r="56" ht="43.5" customHeight="1" outlineLevel="1">
      <c r="A56" s="72"/>
      <c r="B56" s="72"/>
      <c r="C56" s="72"/>
      <c r="D56" s="72"/>
      <c r="E56" s="72"/>
      <c r="F56" s="72"/>
      <c r="G56" s="72"/>
      <c r="H56" s="1215" t="s">
        <v>2340</v>
      </c>
      <c r="I56" s="1212" t="b">
        <v>1</v>
      </c>
      <c r="J56" s="109" t="s">
        <v>47</v>
      </c>
      <c r="K56" s="109">
        <f t="shared" si="15"/>
        <v>1</v>
      </c>
      <c r="L56" s="113">
        <v>3000000.0</v>
      </c>
      <c r="M56" s="113">
        <v>0.0</v>
      </c>
      <c r="N56" s="113">
        <v>0.0</v>
      </c>
      <c r="O56" s="113" t="str">
        <f t="shared" si="21"/>
        <v>-</v>
      </c>
      <c r="P56" s="113" t="str">
        <f t="shared" si="22"/>
        <v>-</v>
      </c>
      <c r="Q56" s="113">
        <f t="shared" si="16"/>
        <v>3000000</v>
      </c>
      <c r="R56" s="72"/>
      <c r="S56" s="72"/>
      <c r="T56" s="72"/>
      <c r="U56" s="72"/>
      <c r="V56" s="9"/>
      <c r="W56" s="9"/>
      <c r="X56" s="26"/>
      <c r="Y56" s="26"/>
      <c r="Z56" s="751" t="s">
        <v>910</v>
      </c>
      <c r="AA56" s="742">
        <f>1500000/0.9</f>
        <v>1666666.667</v>
      </c>
      <c r="AB56" s="743">
        <v>0.5</v>
      </c>
      <c r="AC56" s="744"/>
      <c r="AD56" s="744"/>
      <c r="AE56" s="744"/>
      <c r="AF56" s="745"/>
      <c r="AG56" s="746"/>
      <c r="AH56" s="744"/>
      <c r="AI56" s="744"/>
      <c r="AJ56" s="744"/>
      <c r="AK56" s="747">
        <f t="shared" si="17"/>
        <v>0</v>
      </c>
      <c r="AL56" s="747">
        <f t="shared" si="18"/>
        <v>1666666.667</v>
      </c>
      <c r="AM56" s="747">
        <f t="shared" si="19"/>
        <v>1333333.333</v>
      </c>
      <c r="AN56" s="748">
        <f t="shared" si="20"/>
        <v>0.4444444444</v>
      </c>
      <c r="AO56" s="9"/>
      <c r="AP56" s="9"/>
      <c r="AQ56" s="9"/>
      <c r="AR56" s="9"/>
    </row>
    <row r="57" ht="43.5" customHeight="1" outlineLevel="1">
      <c r="A57" s="1207" t="s">
        <v>73</v>
      </c>
      <c r="B57" s="1217" t="s">
        <v>169</v>
      </c>
      <c r="C57" s="103" t="s">
        <v>38</v>
      </c>
      <c r="D57" s="1209">
        <v>6489.0</v>
      </c>
      <c r="E57" s="105" t="s">
        <v>146</v>
      </c>
      <c r="F57" s="1210" t="s">
        <v>139</v>
      </c>
      <c r="G57" s="104" t="s">
        <v>50</v>
      </c>
      <c r="H57" s="1211" t="s">
        <v>2341</v>
      </c>
      <c r="I57" s="1212" t="b">
        <v>1</v>
      </c>
      <c r="J57" s="109" t="s">
        <v>7</v>
      </c>
      <c r="K57" s="109">
        <f t="shared" si="15"/>
        <v>1</v>
      </c>
      <c r="L57" s="113">
        <v>3000000.0</v>
      </c>
      <c r="M57" s="113">
        <v>15000.0</v>
      </c>
      <c r="N57" s="113">
        <v>1000.0</v>
      </c>
      <c r="O57" s="113">
        <f t="shared" si="21"/>
        <v>200</v>
      </c>
      <c r="P57" s="113">
        <f t="shared" si="22"/>
        <v>3000</v>
      </c>
      <c r="Q57" s="113">
        <f t="shared" si="16"/>
        <v>3000000</v>
      </c>
      <c r="R57" s="1213" t="s">
        <v>2342</v>
      </c>
      <c r="S57" s="1214" t="s">
        <v>172</v>
      </c>
      <c r="T57" s="1214" t="s">
        <v>79</v>
      </c>
      <c r="U57" s="105" t="s">
        <v>45</v>
      </c>
      <c r="V57" s="9"/>
      <c r="W57" s="9"/>
      <c r="X57" s="740"/>
      <c r="Y57" s="740"/>
      <c r="Z57" s="741" t="s">
        <v>2343</v>
      </c>
      <c r="AA57" s="742">
        <f>1800000/0.9</f>
        <v>2000000</v>
      </c>
      <c r="AB57" s="743">
        <v>0.5</v>
      </c>
      <c r="AC57" s="744">
        <v>5000.0</v>
      </c>
      <c r="AD57" s="744">
        <v>10000.0</v>
      </c>
      <c r="AE57" s="744">
        <v>500.0</v>
      </c>
      <c r="AF57" s="745">
        <v>500.0</v>
      </c>
      <c r="AG57" s="746"/>
      <c r="AH57" s="744"/>
      <c r="AI57" s="744"/>
      <c r="AJ57" s="744"/>
      <c r="AK57" s="747">
        <f t="shared" si="17"/>
        <v>45000</v>
      </c>
      <c r="AL57" s="747">
        <f t="shared" si="18"/>
        <v>2045000</v>
      </c>
      <c r="AM57" s="747">
        <f t="shared" si="19"/>
        <v>955000</v>
      </c>
      <c r="AN57" s="748">
        <f t="shared" si="20"/>
        <v>0.3183333333</v>
      </c>
      <c r="AO57" s="9"/>
      <c r="AP57" s="9"/>
      <c r="AQ57" s="9"/>
      <c r="AR57" s="9"/>
    </row>
    <row r="58" ht="43.5" customHeight="1" outlineLevel="1">
      <c r="A58" s="72"/>
      <c r="B58" s="72"/>
      <c r="C58" s="72"/>
      <c r="D58" s="72"/>
      <c r="E58" s="72"/>
      <c r="F58" s="72"/>
      <c r="G58" s="72"/>
      <c r="H58" s="1215" t="s">
        <v>2344</v>
      </c>
      <c r="I58" s="1212" t="b">
        <v>1</v>
      </c>
      <c r="J58" s="109" t="s">
        <v>47</v>
      </c>
      <c r="K58" s="109">
        <f t="shared" si="15"/>
        <v>1</v>
      </c>
      <c r="L58" s="113">
        <v>2000000.0</v>
      </c>
      <c r="M58" s="113">
        <v>0.0</v>
      </c>
      <c r="N58" s="113">
        <v>0.0</v>
      </c>
      <c r="O58" s="113" t="str">
        <f t="shared" si="21"/>
        <v>-</v>
      </c>
      <c r="P58" s="113" t="str">
        <f t="shared" si="22"/>
        <v>-</v>
      </c>
      <c r="Q58" s="113">
        <f t="shared" si="16"/>
        <v>2000000</v>
      </c>
      <c r="R58" s="72"/>
      <c r="S58" s="72"/>
      <c r="T58" s="72"/>
      <c r="U58" s="72"/>
      <c r="V58" s="9"/>
      <c r="W58" s="9"/>
      <c r="X58" s="26"/>
      <c r="Y58" s="26"/>
      <c r="Z58" s="751" t="s">
        <v>910</v>
      </c>
      <c r="AA58" s="742">
        <f>1000000/0.9</f>
        <v>1111111.111</v>
      </c>
      <c r="AB58" s="743">
        <v>1.2</v>
      </c>
      <c r="AC58" s="744"/>
      <c r="AD58" s="744"/>
      <c r="AE58" s="744"/>
      <c r="AF58" s="745"/>
      <c r="AG58" s="746"/>
      <c r="AH58" s="744"/>
      <c r="AI58" s="744"/>
      <c r="AJ58" s="744"/>
      <c r="AK58" s="747">
        <f t="shared" si="17"/>
        <v>0</v>
      </c>
      <c r="AL58" s="747">
        <f t="shared" si="18"/>
        <v>1111111.111</v>
      </c>
      <c r="AM58" s="747">
        <f t="shared" si="19"/>
        <v>888888.8889</v>
      </c>
      <c r="AN58" s="748">
        <f t="shared" si="20"/>
        <v>0.4444444444</v>
      </c>
      <c r="AO58" s="9"/>
      <c r="AP58" s="9"/>
      <c r="AQ58" s="9"/>
      <c r="AR58" s="9"/>
    </row>
    <row r="59" ht="43.5" customHeight="1" outlineLevel="1">
      <c r="A59" s="1207" t="s">
        <v>109</v>
      </c>
      <c r="B59" s="1231" t="s">
        <v>174</v>
      </c>
      <c r="C59" s="103" t="s">
        <v>38</v>
      </c>
      <c r="D59" s="1209" t="s">
        <v>175</v>
      </c>
      <c r="E59" s="105" t="s">
        <v>146</v>
      </c>
      <c r="F59" s="1210" t="s">
        <v>176</v>
      </c>
      <c r="G59" s="104" t="s">
        <v>50</v>
      </c>
      <c r="H59" s="1211" t="s">
        <v>2345</v>
      </c>
      <c r="I59" s="1219" t="b">
        <v>1</v>
      </c>
      <c r="J59" s="109" t="s">
        <v>7</v>
      </c>
      <c r="K59" s="109">
        <f t="shared" si="15"/>
        <v>1</v>
      </c>
      <c r="L59" s="113">
        <v>1.1E7</v>
      </c>
      <c r="M59" s="113">
        <v>46000.0</v>
      </c>
      <c r="N59" s="113">
        <v>2000.0</v>
      </c>
      <c r="O59" s="113">
        <f t="shared" si="21"/>
        <v>239.1304348</v>
      </c>
      <c r="P59" s="113">
        <f t="shared" si="22"/>
        <v>5500</v>
      </c>
      <c r="Q59" s="113">
        <f t="shared" si="16"/>
        <v>11000000</v>
      </c>
      <c r="R59" s="1213" t="s">
        <v>2346</v>
      </c>
      <c r="S59" s="115"/>
      <c r="T59" s="115"/>
      <c r="U59" s="105" t="s">
        <v>45</v>
      </c>
      <c r="V59" s="87"/>
      <c r="W59" s="87"/>
      <c r="X59" s="740"/>
      <c r="Y59" s="740"/>
      <c r="Z59" s="741" t="s">
        <v>2347</v>
      </c>
      <c r="AA59" s="742">
        <v>6500000.0</v>
      </c>
      <c r="AB59" s="743">
        <v>0.7</v>
      </c>
      <c r="AC59" s="744">
        <v>10000.0</v>
      </c>
      <c r="AD59" s="744">
        <v>35000.0</v>
      </c>
      <c r="AE59" s="744">
        <v>1000.0</v>
      </c>
      <c r="AF59" s="744">
        <v>1000.0</v>
      </c>
      <c r="AG59" s="746"/>
      <c r="AH59" s="744"/>
      <c r="AI59" s="744"/>
      <c r="AJ59" s="744"/>
      <c r="AK59" s="747"/>
      <c r="AL59" s="747"/>
      <c r="AM59" s="747"/>
      <c r="AN59" s="748"/>
      <c r="AO59" s="9"/>
      <c r="AP59" s="9"/>
      <c r="AQ59" s="9"/>
      <c r="AR59" s="9"/>
    </row>
    <row r="60" ht="43.5" customHeight="1" outlineLevel="1">
      <c r="A60" s="72"/>
      <c r="B60" s="72"/>
      <c r="C60" s="72"/>
      <c r="D60" s="72"/>
      <c r="E60" s="72"/>
      <c r="F60" s="72"/>
      <c r="G60" s="72"/>
      <c r="H60" s="1215" t="s">
        <v>2348</v>
      </c>
      <c r="I60" s="1219" t="b">
        <v>1</v>
      </c>
      <c r="J60" s="109" t="s">
        <v>47</v>
      </c>
      <c r="K60" s="109">
        <f t="shared" si="15"/>
        <v>1</v>
      </c>
      <c r="L60" s="113">
        <v>2000000.0</v>
      </c>
      <c r="M60" s="113">
        <v>0.0</v>
      </c>
      <c r="N60" s="113">
        <v>0.0</v>
      </c>
      <c r="O60" s="113" t="str">
        <f t="shared" si="21"/>
        <v>-</v>
      </c>
      <c r="P60" s="113" t="str">
        <f t="shared" si="22"/>
        <v>-</v>
      </c>
      <c r="Q60" s="113">
        <f t="shared" si="16"/>
        <v>2000000</v>
      </c>
      <c r="R60" s="72"/>
      <c r="S60" s="72"/>
      <c r="T60" s="72"/>
      <c r="U60" s="72"/>
      <c r="V60" s="9"/>
      <c r="W60" s="9"/>
      <c r="X60" s="26"/>
      <c r="Y60" s="26"/>
      <c r="AA60" s="742">
        <v>1500000.0</v>
      </c>
      <c r="AB60" s="743">
        <v>0.5</v>
      </c>
      <c r="AC60" s="744"/>
      <c r="AD60" s="744"/>
      <c r="AE60" s="744"/>
      <c r="AF60" s="744"/>
      <c r="AG60" s="746"/>
      <c r="AH60" s="744"/>
      <c r="AI60" s="744"/>
      <c r="AJ60" s="744"/>
      <c r="AK60" s="747"/>
      <c r="AL60" s="747"/>
      <c r="AM60" s="747"/>
      <c r="AN60" s="748"/>
      <c r="AO60" s="9"/>
      <c r="AP60" s="9"/>
      <c r="AQ60" s="9"/>
      <c r="AR60" s="9"/>
    </row>
    <row r="61" ht="43.5" customHeight="1" outlineLevel="1">
      <c r="A61" s="1207" t="s">
        <v>109</v>
      </c>
      <c r="B61" s="1232" t="s">
        <v>180</v>
      </c>
      <c r="C61" s="103" t="s">
        <v>38</v>
      </c>
      <c r="D61" s="1209" t="s">
        <v>181</v>
      </c>
      <c r="E61" s="105" t="s">
        <v>146</v>
      </c>
      <c r="F61" s="1210" t="s">
        <v>182</v>
      </c>
      <c r="G61" s="104" t="s">
        <v>50</v>
      </c>
      <c r="H61" s="1211" t="s">
        <v>2349</v>
      </c>
      <c r="I61" s="1219" t="b">
        <v>1</v>
      </c>
      <c r="J61" s="109" t="s">
        <v>7</v>
      </c>
      <c r="K61" s="109">
        <f t="shared" si="15"/>
        <v>1</v>
      </c>
      <c r="L61" s="113">
        <v>1.0E7</v>
      </c>
      <c r="M61" s="113">
        <v>40500.0</v>
      </c>
      <c r="N61" s="113">
        <v>2000.0</v>
      </c>
      <c r="O61" s="113">
        <f t="shared" si="21"/>
        <v>246.9135802</v>
      </c>
      <c r="P61" s="113">
        <f t="shared" si="22"/>
        <v>5000</v>
      </c>
      <c r="Q61" s="113">
        <f t="shared" si="16"/>
        <v>10000000</v>
      </c>
      <c r="R61" s="1213" t="s">
        <v>2350</v>
      </c>
      <c r="S61" s="115"/>
      <c r="T61" s="115"/>
      <c r="U61" s="105" t="s">
        <v>45</v>
      </c>
      <c r="V61" s="9"/>
      <c r="W61" s="9"/>
      <c r="X61" s="740"/>
      <c r="Y61" s="740"/>
      <c r="Z61" s="764" t="s">
        <v>2351</v>
      </c>
      <c r="AA61" s="742">
        <v>6500000.0</v>
      </c>
      <c r="AB61" s="743">
        <v>0.5</v>
      </c>
      <c r="AC61" s="744">
        <v>10000.0</v>
      </c>
      <c r="AD61" s="744">
        <v>30000.0</v>
      </c>
      <c r="AE61" s="744">
        <v>500.0</v>
      </c>
      <c r="AF61" s="744">
        <v>1500.0</v>
      </c>
      <c r="AG61" s="746"/>
      <c r="AH61" s="744"/>
      <c r="AI61" s="744"/>
      <c r="AJ61" s="744"/>
      <c r="AK61" s="747"/>
      <c r="AL61" s="747"/>
      <c r="AM61" s="747"/>
      <c r="AN61" s="748"/>
      <c r="AO61" s="9"/>
      <c r="AP61" s="9"/>
      <c r="AQ61" s="9"/>
      <c r="AR61" s="9"/>
    </row>
    <row r="62" ht="43.5" customHeight="1" outlineLevel="1">
      <c r="A62" s="72"/>
      <c r="B62" s="72"/>
      <c r="C62" s="72"/>
      <c r="D62" s="72"/>
      <c r="E62" s="72"/>
      <c r="F62" s="72"/>
      <c r="G62" s="72"/>
      <c r="H62" s="1215" t="s">
        <v>2352</v>
      </c>
      <c r="I62" s="1219" t="b">
        <v>1</v>
      </c>
      <c r="J62" s="109" t="s">
        <v>47</v>
      </c>
      <c r="K62" s="109">
        <f t="shared" si="15"/>
        <v>1</v>
      </c>
      <c r="L62" s="113">
        <v>3000000.0</v>
      </c>
      <c r="M62" s="113">
        <v>0.0</v>
      </c>
      <c r="N62" s="113">
        <v>0.0</v>
      </c>
      <c r="O62" s="113" t="str">
        <f t="shared" si="21"/>
        <v>-</v>
      </c>
      <c r="P62" s="113" t="str">
        <f t="shared" si="22"/>
        <v>-</v>
      </c>
      <c r="Q62" s="113">
        <f t="shared" si="16"/>
        <v>3000000</v>
      </c>
      <c r="R62" s="72"/>
      <c r="S62" s="72"/>
      <c r="T62" s="72"/>
      <c r="U62" s="72"/>
      <c r="V62" s="9"/>
      <c r="W62" s="9"/>
      <c r="X62" s="26"/>
      <c r="Y62" s="26"/>
      <c r="AA62" s="742">
        <v>2000000.0</v>
      </c>
      <c r="AB62" s="743">
        <v>0.5</v>
      </c>
      <c r="AC62" s="744"/>
      <c r="AD62" s="744"/>
      <c r="AE62" s="744"/>
      <c r="AF62" s="744"/>
      <c r="AG62" s="746"/>
      <c r="AH62" s="744"/>
      <c r="AI62" s="744"/>
      <c r="AJ62" s="744"/>
      <c r="AK62" s="747"/>
      <c r="AL62" s="747"/>
      <c r="AM62" s="747"/>
      <c r="AN62" s="748"/>
      <c r="AO62" s="9"/>
      <c r="AP62" s="9"/>
      <c r="AQ62" s="9"/>
      <c r="AR62" s="9"/>
    </row>
    <row r="63" ht="43.5" customHeight="1" outlineLevel="1">
      <c r="A63" s="1207" t="s">
        <v>186</v>
      </c>
      <c r="B63" s="1233" t="s">
        <v>187</v>
      </c>
      <c r="C63" s="103" t="s">
        <v>38</v>
      </c>
      <c r="D63" s="1209" t="s">
        <v>188</v>
      </c>
      <c r="E63" s="105" t="s">
        <v>146</v>
      </c>
      <c r="F63" s="1210" t="s">
        <v>139</v>
      </c>
      <c r="G63" s="104" t="s">
        <v>50</v>
      </c>
      <c r="H63" s="1211" t="s">
        <v>2353</v>
      </c>
      <c r="I63" s="1212" t="b">
        <v>1</v>
      </c>
      <c r="J63" s="109" t="s">
        <v>7</v>
      </c>
      <c r="K63" s="109">
        <f t="shared" si="15"/>
        <v>1</v>
      </c>
      <c r="L63" s="113">
        <v>1.2E7</v>
      </c>
      <c r="M63" s="113">
        <v>60000.0</v>
      </c>
      <c r="N63" s="113">
        <v>3000.0</v>
      </c>
      <c r="O63" s="113">
        <f t="shared" si="21"/>
        <v>200</v>
      </c>
      <c r="P63" s="113">
        <f t="shared" si="22"/>
        <v>4000</v>
      </c>
      <c r="Q63" s="113">
        <f t="shared" si="16"/>
        <v>12000000</v>
      </c>
      <c r="R63" s="1213" t="s">
        <v>2354</v>
      </c>
      <c r="S63" s="115"/>
      <c r="T63" s="115"/>
      <c r="U63" s="105" t="s">
        <v>45</v>
      </c>
      <c r="V63" s="87"/>
      <c r="W63" s="87"/>
      <c r="X63" s="740"/>
      <c r="Y63" s="740"/>
      <c r="Z63" s="741" t="s">
        <v>918</v>
      </c>
      <c r="AA63" s="742">
        <f>8000000/0.9</f>
        <v>8888888.889</v>
      </c>
      <c r="AB63" s="743">
        <v>0.4</v>
      </c>
      <c r="AC63" s="744">
        <v>10000.0</v>
      </c>
      <c r="AD63" s="744">
        <v>50000.0</v>
      </c>
      <c r="AE63" s="744">
        <v>500.0</v>
      </c>
      <c r="AF63" s="745">
        <v>2500.0</v>
      </c>
      <c r="AG63" s="746"/>
      <c r="AH63" s="744"/>
      <c r="AI63" s="744"/>
      <c r="AJ63" s="744"/>
      <c r="AK63" s="747">
        <f t="shared" ref="AK63:AK64" si="23">(AD63*2+AF63*50+AH63*10+AJ63*50)*K63</f>
        <v>225000</v>
      </c>
      <c r="AL63" s="747">
        <f t="shared" ref="AL63:AL64" si="24">sum(AA63,AK63)*K63</f>
        <v>9113888.889</v>
      </c>
      <c r="AM63" s="747">
        <f t="shared" ref="AM63:AM64" si="25">iferror(Q63-AL63,"-")</f>
        <v>2886111.111</v>
      </c>
      <c r="AN63" s="748">
        <f t="shared" ref="AN63:AN64" si="26">iferror(AM63/Q63,"-")</f>
        <v>0.2405092593</v>
      </c>
      <c r="AO63" s="9"/>
      <c r="AP63" s="9"/>
      <c r="AQ63" s="9"/>
      <c r="AR63" s="9"/>
    </row>
    <row r="64" ht="43.5" customHeight="1" outlineLevel="1">
      <c r="A64" s="72"/>
      <c r="B64" s="72"/>
      <c r="C64" s="72"/>
      <c r="D64" s="72"/>
      <c r="E64" s="72"/>
      <c r="F64" s="72"/>
      <c r="G64" s="72"/>
      <c r="H64" s="1215" t="s">
        <v>2355</v>
      </c>
      <c r="I64" s="1212" t="b">
        <v>1</v>
      </c>
      <c r="J64" s="109" t="s">
        <v>47</v>
      </c>
      <c r="K64" s="109">
        <f t="shared" si="15"/>
        <v>1</v>
      </c>
      <c r="L64" s="113">
        <v>8000000.0</v>
      </c>
      <c r="M64" s="113">
        <v>0.0</v>
      </c>
      <c r="N64" s="113">
        <v>0.0</v>
      </c>
      <c r="O64" s="113" t="str">
        <f t="shared" si="21"/>
        <v>-</v>
      </c>
      <c r="P64" s="113" t="str">
        <f t="shared" si="22"/>
        <v>-</v>
      </c>
      <c r="Q64" s="113">
        <f t="shared" si="16"/>
        <v>8000000</v>
      </c>
      <c r="R64" s="72"/>
      <c r="S64" s="72"/>
      <c r="T64" s="72"/>
      <c r="U64" s="72"/>
      <c r="V64" s="9"/>
      <c r="W64" s="9"/>
      <c r="X64" s="26"/>
      <c r="Y64" s="26"/>
      <c r="Z64" s="751" t="s">
        <v>910</v>
      </c>
      <c r="AA64" s="742">
        <f>5000000/0.9</f>
        <v>5555555.556</v>
      </c>
      <c r="AB64" s="743">
        <v>0.4</v>
      </c>
      <c r="AC64" s="744"/>
      <c r="AD64" s="744"/>
      <c r="AE64" s="744"/>
      <c r="AF64" s="745"/>
      <c r="AG64" s="746"/>
      <c r="AH64" s="744"/>
      <c r="AI64" s="744"/>
      <c r="AJ64" s="744"/>
      <c r="AK64" s="747">
        <f t="shared" si="23"/>
        <v>0</v>
      </c>
      <c r="AL64" s="747">
        <f t="shared" si="24"/>
        <v>5555555.556</v>
      </c>
      <c r="AM64" s="747">
        <f t="shared" si="25"/>
        <v>2444444.444</v>
      </c>
      <c r="AN64" s="748">
        <f t="shared" si="26"/>
        <v>0.3055555556</v>
      </c>
      <c r="AO64" s="9"/>
      <c r="AP64" s="9"/>
      <c r="AQ64" s="9"/>
      <c r="AR64" s="9"/>
    </row>
    <row r="65" outlineLevel="1">
      <c r="A65" s="1222" t="s">
        <v>202</v>
      </c>
      <c r="B65" s="1223" t="s">
        <v>203</v>
      </c>
      <c r="C65" s="1226"/>
      <c r="D65" s="1225"/>
      <c r="E65" s="1226"/>
      <c r="F65" s="1226"/>
      <c r="G65" s="1226"/>
      <c r="H65" s="1226"/>
      <c r="I65" s="1226"/>
      <c r="J65" s="1228"/>
      <c r="K65" s="1228"/>
      <c r="L65" s="1228"/>
      <c r="M65" s="1228"/>
      <c r="N65" s="1228"/>
      <c r="O65" s="1228"/>
      <c r="P65" s="1228"/>
      <c r="Q65" s="1228"/>
      <c r="R65" s="1226"/>
      <c r="S65" s="1228"/>
      <c r="T65" s="1228"/>
      <c r="U65" s="1224"/>
      <c r="V65" s="146"/>
      <c r="W65" s="146"/>
      <c r="X65" s="773"/>
      <c r="Y65" s="773"/>
      <c r="Z65" s="774"/>
      <c r="AA65" s="775"/>
      <c r="AB65" s="776"/>
      <c r="AC65" s="777"/>
      <c r="AD65" s="777"/>
      <c r="AE65" s="777"/>
      <c r="AF65" s="778"/>
      <c r="AG65" s="779"/>
      <c r="AH65" s="777"/>
      <c r="AI65" s="777"/>
      <c r="AJ65" s="777"/>
      <c r="AK65" s="780"/>
      <c r="AL65" s="780"/>
      <c r="AM65" s="780"/>
      <c r="AN65" s="781"/>
      <c r="AO65" s="146"/>
      <c r="AP65" s="146"/>
      <c r="AQ65" s="146"/>
      <c r="AR65" s="146"/>
    </row>
    <row r="66" ht="42.0" customHeight="1" outlineLevel="1">
      <c r="A66" s="1207" t="s">
        <v>101</v>
      </c>
      <c r="B66" s="1229" t="s">
        <v>204</v>
      </c>
      <c r="C66" s="103" t="s">
        <v>38</v>
      </c>
      <c r="D66" s="1209" t="s">
        <v>205</v>
      </c>
      <c r="E66" s="105" t="s">
        <v>146</v>
      </c>
      <c r="F66" s="1210" t="s">
        <v>206</v>
      </c>
      <c r="G66" s="104" t="s">
        <v>105</v>
      </c>
      <c r="H66" s="1211" t="s">
        <v>2356</v>
      </c>
      <c r="I66" s="1212" t="b">
        <v>1</v>
      </c>
      <c r="J66" s="109" t="s">
        <v>7</v>
      </c>
      <c r="K66" s="109">
        <f t="shared" ref="K66:K75" si="27">if(I66=True,1,if(I66=False,0))</f>
        <v>1</v>
      </c>
      <c r="L66" s="113">
        <v>4000000.0</v>
      </c>
      <c r="M66" s="113">
        <v>20000.0</v>
      </c>
      <c r="N66" s="113">
        <v>1500.0</v>
      </c>
      <c r="O66" s="113">
        <f t="shared" ref="O66:O75" si="28">IFERROR(Q66/M66,"-")</f>
        <v>200</v>
      </c>
      <c r="P66" s="113">
        <f t="shared" ref="P66:P75" si="29">IFERROR(Q66/N66,"-")</f>
        <v>2666.666667</v>
      </c>
      <c r="Q66" s="113">
        <f t="shared" ref="Q66:Q75" si="30">iferror(L66*K66,"-")</f>
        <v>4000000</v>
      </c>
      <c r="R66" s="1213" t="s">
        <v>2357</v>
      </c>
      <c r="S66" s="1214" t="s">
        <v>209</v>
      </c>
      <c r="T66" s="115"/>
      <c r="U66" s="105" t="s">
        <v>45</v>
      </c>
      <c r="V66" s="9"/>
      <c r="W66" s="9"/>
      <c r="X66" s="740"/>
      <c r="Y66" s="740"/>
      <c r="Z66" s="741" t="s">
        <v>2358</v>
      </c>
      <c r="AA66" s="742">
        <f>2300000/0.9</f>
        <v>2555555.556</v>
      </c>
      <c r="AB66" s="743">
        <v>0.5</v>
      </c>
      <c r="AC66" s="744">
        <v>10000.0</v>
      </c>
      <c r="AD66" s="744">
        <v>10000.0</v>
      </c>
      <c r="AE66" s="744">
        <v>500.0</v>
      </c>
      <c r="AF66" s="745">
        <v>1000.0</v>
      </c>
      <c r="AG66" s="746"/>
      <c r="AH66" s="744"/>
      <c r="AI66" s="744"/>
      <c r="AJ66" s="744"/>
      <c r="AK66" s="747">
        <f t="shared" ref="AK66:AK69" si="31">(AD66*2+AF66*50+AH66*10+AJ66*50)*K66</f>
        <v>70000</v>
      </c>
      <c r="AL66" s="747">
        <f t="shared" ref="AL66:AL69" si="32">sum(AA66,AK66)*K66</f>
        <v>2625555.556</v>
      </c>
      <c r="AM66" s="747">
        <f t="shared" ref="AM66:AM69" si="33">iferror(Q66-AL66,"-")</f>
        <v>1374444.444</v>
      </c>
      <c r="AN66" s="748">
        <f t="shared" ref="AN66:AN69" si="34">iferror(AM66/Q66,"-")</f>
        <v>0.3436111111</v>
      </c>
      <c r="AO66" s="9"/>
      <c r="AP66" s="9"/>
      <c r="AQ66" s="9"/>
      <c r="AR66" s="9"/>
    </row>
    <row r="67" ht="42.0" customHeight="1" outlineLevel="1">
      <c r="A67" s="72"/>
      <c r="B67" s="72"/>
      <c r="C67" s="72"/>
      <c r="D67" s="72"/>
      <c r="E67" s="72"/>
      <c r="F67" s="72"/>
      <c r="G67" s="72"/>
      <c r="H67" s="1215" t="s">
        <v>2359</v>
      </c>
      <c r="I67" s="1212" t="b">
        <v>1</v>
      </c>
      <c r="J67" s="109" t="s">
        <v>47</v>
      </c>
      <c r="K67" s="109">
        <f t="shared" si="27"/>
        <v>1</v>
      </c>
      <c r="L67" s="113">
        <v>2000000.0</v>
      </c>
      <c r="M67" s="113">
        <v>0.0</v>
      </c>
      <c r="N67" s="113">
        <v>0.0</v>
      </c>
      <c r="O67" s="113" t="str">
        <f t="shared" si="28"/>
        <v>-</v>
      </c>
      <c r="P67" s="113" t="str">
        <f t="shared" si="29"/>
        <v>-</v>
      </c>
      <c r="Q67" s="113">
        <f t="shared" si="30"/>
        <v>2000000</v>
      </c>
      <c r="R67" s="68"/>
      <c r="S67" s="72"/>
      <c r="T67" s="72"/>
      <c r="U67" s="72"/>
      <c r="V67" s="9"/>
      <c r="W67" s="9"/>
      <c r="X67" s="26"/>
      <c r="Y67" s="26"/>
      <c r="Z67" s="741" t="s">
        <v>2360</v>
      </c>
      <c r="AA67" s="742">
        <f>500000/0.9</f>
        <v>555555.5556</v>
      </c>
      <c r="AB67" s="743">
        <v>2.0</v>
      </c>
      <c r="AC67" s="744"/>
      <c r="AD67" s="744"/>
      <c r="AE67" s="744"/>
      <c r="AF67" s="745"/>
      <c r="AG67" s="746"/>
      <c r="AH67" s="744"/>
      <c r="AI67" s="744"/>
      <c r="AJ67" s="744"/>
      <c r="AK67" s="747">
        <f t="shared" si="31"/>
        <v>0</v>
      </c>
      <c r="AL67" s="747">
        <f t="shared" si="32"/>
        <v>555555.5556</v>
      </c>
      <c r="AM67" s="747">
        <f t="shared" si="33"/>
        <v>1444444.444</v>
      </c>
      <c r="AN67" s="748">
        <f t="shared" si="34"/>
        <v>0.7222222222</v>
      </c>
      <c r="AO67" s="9"/>
      <c r="AP67" s="9"/>
      <c r="AQ67" s="9"/>
      <c r="AR67" s="9"/>
    </row>
    <row r="68" ht="42.0" customHeight="1" outlineLevel="1">
      <c r="A68" s="1207" t="s">
        <v>101</v>
      </c>
      <c r="B68" s="1216" t="s">
        <v>211</v>
      </c>
      <c r="C68" s="103" t="s">
        <v>38</v>
      </c>
      <c r="D68" s="1209">
        <v>45000.0</v>
      </c>
      <c r="E68" s="105" t="s">
        <v>146</v>
      </c>
      <c r="F68" s="1210" t="s">
        <v>212</v>
      </c>
      <c r="G68" s="104" t="s">
        <v>213</v>
      </c>
      <c r="H68" s="1211" t="s">
        <v>2361</v>
      </c>
      <c r="I68" s="1212" t="b">
        <v>1</v>
      </c>
      <c r="J68" s="109" t="s">
        <v>7</v>
      </c>
      <c r="K68" s="109">
        <f t="shared" si="27"/>
        <v>1</v>
      </c>
      <c r="L68" s="113">
        <v>5000000.0</v>
      </c>
      <c r="M68" s="113">
        <v>20000.0</v>
      </c>
      <c r="N68" s="113">
        <v>1500.0</v>
      </c>
      <c r="O68" s="113">
        <f t="shared" si="28"/>
        <v>250</v>
      </c>
      <c r="P68" s="113">
        <f t="shared" si="29"/>
        <v>3333.333333</v>
      </c>
      <c r="Q68" s="113">
        <f t="shared" si="30"/>
        <v>5000000</v>
      </c>
      <c r="R68" s="68"/>
      <c r="S68" s="1214" t="s">
        <v>215</v>
      </c>
      <c r="T68" s="115"/>
      <c r="U68" s="105" t="s">
        <v>45</v>
      </c>
      <c r="V68" s="9"/>
      <c r="W68" s="9"/>
      <c r="X68" s="740"/>
      <c r="Y68" s="740"/>
      <c r="Z68" s="741" t="s">
        <v>2362</v>
      </c>
      <c r="AA68" s="742">
        <f>3000000/0.9</f>
        <v>3333333.333</v>
      </c>
      <c r="AB68" s="743">
        <v>0.5</v>
      </c>
      <c r="AC68" s="744">
        <v>10000.0</v>
      </c>
      <c r="AD68" s="744">
        <v>10000.0</v>
      </c>
      <c r="AE68" s="744">
        <v>500.0</v>
      </c>
      <c r="AF68" s="745">
        <v>1000.0</v>
      </c>
      <c r="AG68" s="746"/>
      <c r="AH68" s="744"/>
      <c r="AI68" s="744"/>
      <c r="AJ68" s="744"/>
      <c r="AK68" s="747">
        <f t="shared" si="31"/>
        <v>70000</v>
      </c>
      <c r="AL68" s="747">
        <f t="shared" si="32"/>
        <v>3403333.333</v>
      </c>
      <c r="AM68" s="747">
        <f t="shared" si="33"/>
        <v>1596666.667</v>
      </c>
      <c r="AN68" s="748">
        <f t="shared" si="34"/>
        <v>0.3193333333</v>
      </c>
      <c r="AO68" s="9"/>
      <c r="AP68" s="9"/>
      <c r="AQ68" s="9"/>
      <c r="AR68" s="9"/>
    </row>
    <row r="69" ht="42.0" customHeight="1" outlineLevel="1">
      <c r="A69" s="72"/>
      <c r="B69" s="72"/>
      <c r="C69" s="72"/>
      <c r="D69" s="72"/>
      <c r="E69" s="72"/>
      <c r="F69" s="72"/>
      <c r="G69" s="72"/>
      <c r="H69" s="1215" t="s">
        <v>2363</v>
      </c>
      <c r="I69" s="1212" t="b">
        <v>1</v>
      </c>
      <c r="J69" s="109" t="s">
        <v>47</v>
      </c>
      <c r="K69" s="109">
        <f t="shared" si="27"/>
        <v>1</v>
      </c>
      <c r="L69" s="113">
        <v>2000000.0</v>
      </c>
      <c r="M69" s="113">
        <v>0.0</v>
      </c>
      <c r="N69" s="113">
        <v>0.0</v>
      </c>
      <c r="O69" s="113" t="str">
        <f t="shared" si="28"/>
        <v>-</v>
      </c>
      <c r="P69" s="113" t="str">
        <f t="shared" si="29"/>
        <v>-</v>
      </c>
      <c r="Q69" s="113">
        <f t="shared" si="30"/>
        <v>2000000</v>
      </c>
      <c r="R69" s="68"/>
      <c r="S69" s="72"/>
      <c r="T69" s="72"/>
      <c r="U69" s="72"/>
      <c r="V69" s="87"/>
      <c r="W69" s="87"/>
      <c r="X69" s="26"/>
      <c r="Y69" s="26"/>
      <c r="Z69" s="741" t="s">
        <v>2364</v>
      </c>
      <c r="AA69" s="742">
        <v>0.0</v>
      </c>
      <c r="AB69" s="743">
        <v>2.0</v>
      </c>
      <c r="AC69" s="744"/>
      <c r="AD69" s="744"/>
      <c r="AE69" s="744"/>
      <c r="AF69" s="745"/>
      <c r="AG69" s="746"/>
      <c r="AH69" s="744"/>
      <c r="AI69" s="744"/>
      <c r="AJ69" s="744"/>
      <c r="AK69" s="747">
        <f t="shared" si="31"/>
        <v>0</v>
      </c>
      <c r="AL69" s="747">
        <f t="shared" si="32"/>
        <v>0</v>
      </c>
      <c r="AM69" s="747">
        <f t="shared" si="33"/>
        <v>2000000</v>
      </c>
      <c r="AN69" s="748">
        <f t="shared" si="34"/>
        <v>1</v>
      </c>
      <c r="AO69" s="9"/>
      <c r="AP69" s="9"/>
      <c r="AQ69" s="9"/>
      <c r="AR69" s="9"/>
    </row>
    <row r="70" ht="42.0" customHeight="1" outlineLevel="1">
      <c r="A70" s="1207" t="s">
        <v>109</v>
      </c>
      <c r="B70" s="1231" t="s">
        <v>242</v>
      </c>
      <c r="C70" s="103" t="s">
        <v>38</v>
      </c>
      <c r="D70" s="1209" t="s">
        <v>243</v>
      </c>
      <c r="E70" s="105" t="s">
        <v>146</v>
      </c>
      <c r="F70" s="1210" t="s">
        <v>244</v>
      </c>
      <c r="G70" s="104" t="s">
        <v>105</v>
      </c>
      <c r="H70" s="1211" t="s">
        <v>2365</v>
      </c>
      <c r="I70" s="1219" t="b">
        <v>1</v>
      </c>
      <c r="J70" s="109" t="s">
        <v>7</v>
      </c>
      <c r="K70" s="109">
        <f t="shared" si="27"/>
        <v>1</v>
      </c>
      <c r="L70" s="113">
        <v>1.0E7</v>
      </c>
      <c r="M70" s="113">
        <v>35000.0</v>
      </c>
      <c r="N70" s="113">
        <v>1500.0</v>
      </c>
      <c r="O70" s="113">
        <f t="shared" si="28"/>
        <v>285.7142857</v>
      </c>
      <c r="P70" s="113">
        <f t="shared" si="29"/>
        <v>6666.666667</v>
      </c>
      <c r="Q70" s="113">
        <f t="shared" si="30"/>
        <v>10000000</v>
      </c>
      <c r="R70" s="1213" t="s">
        <v>2366</v>
      </c>
      <c r="S70" s="115"/>
      <c r="T70" s="115"/>
      <c r="U70" s="105" t="s">
        <v>45</v>
      </c>
      <c r="V70" s="9"/>
      <c r="W70" s="9"/>
      <c r="X70" s="740"/>
      <c r="Y70" s="740"/>
      <c r="Z70" s="786" t="s">
        <v>2367</v>
      </c>
      <c r="AA70" s="742">
        <v>5000000.0</v>
      </c>
      <c r="AB70" s="743">
        <v>1.0</v>
      </c>
      <c r="AC70" s="744">
        <v>5000.0</v>
      </c>
      <c r="AD70" s="744">
        <v>30000.0</v>
      </c>
      <c r="AE70" s="744"/>
      <c r="AF70" s="745">
        <v>1500.0</v>
      </c>
      <c r="AG70" s="746"/>
      <c r="AH70" s="744"/>
      <c r="AI70" s="744"/>
      <c r="AJ70" s="744"/>
      <c r="AK70" s="747"/>
      <c r="AL70" s="747"/>
      <c r="AM70" s="747"/>
      <c r="AN70" s="748"/>
      <c r="AO70" s="9"/>
      <c r="AP70" s="9"/>
      <c r="AQ70" s="9"/>
      <c r="AR70" s="9"/>
    </row>
    <row r="71" ht="42.0" customHeight="1" outlineLevel="1">
      <c r="A71" s="72"/>
      <c r="B71" s="72"/>
      <c r="C71" s="72"/>
      <c r="D71" s="72"/>
      <c r="E71" s="72"/>
      <c r="F71" s="72"/>
      <c r="G71" s="72"/>
      <c r="H71" s="1215" t="s">
        <v>2368</v>
      </c>
      <c r="I71" s="1219" t="b">
        <v>1</v>
      </c>
      <c r="J71" s="109" t="s">
        <v>47</v>
      </c>
      <c r="K71" s="109">
        <f t="shared" si="27"/>
        <v>1</v>
      </c>
      <c r="L71" s="113">
        <v>2000000.0</v>
      </c>
      <c r="M71" s="113">
        <v>0.0</v>
      </c>
      <c r="N71" s="113">
        <v>0.0</v>
      </c>
      <c r="O71" s="113" t="str">
        <f t="shared" si="28"/>
        <v>-</v>
      </c>
      <c r="P71" s="113" t="str">
        <f t="shared" si="29"/>
        <v>-</v>
      </c>
      <c r="Q71" s="113">
        <f t="shared" si="30"/>
        <v>2000000</v>
      </c>
      <c r="R71" s="72"/>
      <c r="S71" s="72"/>
      <c r="T71" s="72"/>
      <c r="U71" s="72"/>
      <c r="V71" s="87"/>
      <c r="W71" s="87"/>
      <c r="X71" s="26"/>
      <c r="Y71" s="26"/>
      <c r="Z71" s="26"/>
      <c r="AA71" s="742">
        <v>0.0</v>
      </c>
      <c r="AB71" s="743"/>
      <c r="AC71" s="744"/>
      <c r="AD71" s="744"/>
      <c r="AE71" s="744"/>
      <c r="AF71" s="745"/>
      <c r="AG71" s="746"/>
      <c r="AH71" s="744"/>
      <c r="AI71" s="744"/>
      <c r="AJ71" s="744"/>
      <c r="AK71" s="747"/>
      <c r="AL71" s="747"/>
      <c r="AM71" s="747"/>
      <c r="AN71" s="748"/>
      <c r="AO71" s="9"/>
      <c r="AP71" s="9"/>
      <c r="AQ71" s="9"/>
      <c r="AR71" s="9"/>
    </row>
    <row r="72" ht="42.0" customHeight="1" outlineLevel="1">
      <c r="A72" s="1207" t="s">
        <v>109</v>
      </c>
      <c r="B72" s="1231" t="s">
        <v>248</v>
      </c>
      <c r="C72" s="103" t="s">
        <v>38</v>
      </c>
      <c r="D72" s="1209" t="s">
        <v>249</v>
      </c>
      <c r="E72" s="105" t="s">
        <v>146</v>
      </c>
      <c r="F72" s="1210" t="s">
        <v>250</v>
      </c>
      <c r="G72" s="104" t="s">
        <v>105</v>
      </c>
      <c r="H72" s="1211" t="s">
        <v>2369</v>
      </c>
      <c r="I72" s="1219" t="b">
        <v>1</v>
      </c>
      <c r="J72" s="109" t="s">
        <v>7</v>
      </c>
      <c r="K72" s="109">
        <f t="shared" si="27"/>
        <v>1</v>
      </c>
      <c r="L72" s="113">
        <v>7000000.0</v>
      </c>
      <c r="M72" s="113">
        <v>25000.0</v>
      </c>
      <c r="N72" s="113">
        <v>1500.0</v>
      </c>
      <c r="O72" s="113">
        <f t="shared" si="28"/>
        <v>280</v>
      </c>
      <c r="P72" s="113">
        <f t="shared" si="29"/>
        <v>4666.666667</v>
      </c>
      <c r="Q72" s="113">
        <f t="shared" si="30"/>
        <v>7000000</v>
      </c>
      <c r="R72" s="1213" t="s">
        <v>2370</v>
      </c>
      <c r="S72" s="115"/>
      <c r="T72" s="115"/>
      <c r="U72" s="105" t="s">
        <v>45</v>
      </c>
      <c r="V72" s="9"/>
      <c r="W72" s="9"/>
      <c r="X72" s="740"/>
      <c r="Y72" s="740"/>
      <c r="Z72" s="786" t="s">
        <v>2371</v>
      </c>
      <c r="AA72" s="742">
        <v>3500000.0</v>
      </c>
      <c r="AB72" s="743">
        <v>1.0</v>
      </c>
      <c r="AC72" s="744">
        <v>2000.0</v>
      </c>
      <c r="AD72" s="744">
        <v>23000.0</v>
      </c>
      <c r="AE72" s="744">
        <v>500.0</v>
      </c>
      <c r="AF72" s="745">
        <v>1000.0</v>
      </c>
      <c r="AG72" s="746"/>
      <c r="AH72" s="744"/>
      <c r="AI72" s="744"/>
      <c r="AJ72" s="744"/>
      <c r="AK72" s="747"/>
      <c r="AL72" s="747"/>
      <c r="AM72" s="747"/>
      <c r="AN72" s="748"/>
      <c r="AO72" s="9"/>
      <c r="AP72" s="9"/>
      <c r="AQ72" s="9"/>
      <c r="AR72" s="9"/>
    </row>
    <row r="73" ht="42.0" customHeight="1" outlineLevel="1">
      <c r="A73" s="72"/>
      <c r="B73" s="72"/>
      <c r="C73" s="72"/>
      <c r="D73" s="72"/>
      <c r="E73" s="72"/>
      <c r="F73" s="72"/>
      <c r="G73" s="72"/>
      <c r="H73" s="1215" t="s">
        <v>2372</v>
      </c>
      <c r="I73" s="1219" t="b">
        <v>1</v>
      </c>
      <c r="J73" s="109" t="s">
        <v>47</v>
      </c>
      <c r="K73" s="109">
        <f t="shared" si="27"/>
        <v>1</v>
      </c>
      <c r="L73" s="113">
        <v>3000000.0</v>
      </c>
      <c r="M73" s="113">
        <v>0.0</v>
      </c>
      <c r="N73" s="113">
        <v>0.0</v>
      </c>
      <c r="O73" s="113" t="str">
        <f t="shared" si="28"/>
        <v>-</v>
      </c>
      <c r="P73" s="113" t="str">
        <f t="shared" si="29"/>
        <v>-</v>
      </c>
      <c r="Q73" s="113">
        <f t="shared" si="30"/>
        <v>3000000</v>
      </c>
      <c r="R73" s="72"/>
      <c r="S73" s="72"/>
      <c r="T73" s="72"/>
      <c r="U73" s="72"/>
      <c r="V73" s="9"/>
      <c r="W73" s="9"/>
      <c r="X73" s="26"/>
      <c r="Y73" s="26"/>
      <c r="Z73" s="26"/>
      <c r="AA73" s="742">
        <v>1500000.0</v>
      </c>
      <c r="AB73" s="743">
        <v>1.0</v>
      </c>
      <c r="AC73" s="744"/>
      <c r="AD73" s="744"/>
      <c r="AE73" s="744"/>
      <c r="AF73" s="745"/>
      <c r="AG73" s="746"/>
      <c r="AH73" s="744"/>
      <c r="AI73" s="744"/>
      <c r="AJ73" s="744"/>
      <c r="AK73" s="747"/>
      <c r="AL73" s="747"/>
      <c r="AM73" s="747"/>
      <c r="AN73" s="748"/>
      <c r="AO73" s="9"/>
      <c r="AP73" s="9"/>
      <c r="AQ73" s="9"/>
      <c r="AR73" s="9"/>
    </row>
    <row r="74" ht="42.0" customHeight="1" outlineLevel="1">
      <c r="A74" s="1207" t="s">
        <v>109</v>
      </c>
      <c r="B74" s="1231" t="s">
        <v>254</v>
      </c>
      <c r="C74" s="103" t="s">
        <v>38</v>
      </c>
      <c r="D74" s="1209" t="s">
        <v>255</v>
      </c>
      <c r="E74" s="105" t="s">
        <v>146</v>
      </c>
      <c r="F74" s="1210" t="s">
        <v>256</v>
      </c>
      <c r="G74" s="104" t="s">
        <v>105</v>
      </c>
      <c r="H74" s="1211" t="s">
        <v>2373</v>
      </c>
      <c r="I74" s="1219" t="b">
        <v>1</v>
      </c>
      <c r="J74" s="109" t="s">
        <v>7</v>
      </c>
      <c r="K74" s="109">
        <f t="shared" si="27"/>
        <v>1</v>
      </c>
      <c r="L74" s="113">
        <v>9000000.0</v>
      </c>
      <c r="M74" s="113">
        <v>30000.0</v>
      </c>
      <c r="N74" s="113">
        <v>1500.0</v>
      </c>
      <c r="O74" s="113">
        <f t="shared" si="28"/>
        <v>300</v>
      </c>
      <c r="P74" s="113">
        <f t="shared" si="29"/>
        <v>6000</v>
      </c>
      <c r="Q74" s="113">
        <f t="shared" si="30"/>
        <v>9000000</v>
      </c>
      <c r="R74" s="1213" t="s">
        <v>2374</v>
      </c>
      <c r="S74" s="115"/>
      <c r="T74" s="115"/>
      <c r="U74" s="105" t="s">
        <v>45</v>
      </c>
      <c r="V74" s="9"/>
      <c r="W74" s="9"/>
      <c r="X74" s="740"/>
      <c r="Y74" s="740"/>
      <c r="Z74" s="786" t="s">
        <v>2375</v>
      </c>
      <c r="AA74" s="742">
        <v>5000000.0</v>
      </c>
      <c r="AB74" s="743">
        <v>0.7</v>
      </c>
      <c r="AC74" s="744">
        <v>5000.0</v>
      </c>
      <c r="AD74" s="744">
        <v>25000.0</v>
      </c>
      <c r="AE74" s="744">
        <v>200.0</v>
      </c>
      <c r="AF74" s="745">
        <v>1300.0</v>
      </c>
      <c r="AG74" s="746"/>
      <c r="AH74" s="744"/>
      <c r="AI74" s="744"/>
      <c r="AJ74" s="744"/>
      <c r="AK74" s="747"/>
      <c r="AL74" s="747"/>
      <c r="AM74" s="747"/>
      <c r="AN74" s="748"/>
      <c r="AO74" s="9"/>
      <c r="AP74" s="9"/>
      <c r="AQ74" s="9"/>
      <c r="AR74" s="9"/>
    </row>
    <row r="75" ht="42.0" customHeight="1" outlineLevel="1">
      <c r="A75" s="72"/>
      <c r="B75" s="72"/>
      <c r="C75" s="72"/>
      <c r="D75" s="72"/>
      <c r="E75" s="72"/>
      <c r="F75" s="72"/>
      <c r="G75" s="72"/>
      <c r="H75" s="1215" t="s">
        <v>2376</v>
      </c>
      <c r="I75" s="1219" t="b">
        <v>1</v>
      </c>
      <c r="J75" s="109" t="s">
        <v>47</v>
      </c>
      <c r="K75" s="109">
        <f t="shared" si="27"/>
        <v>1</v>
      </c>
      <c r="L75" s="113">
        <v>3000000.0</v>
      </c>
      <c r="M75" s="113">
        <v>0.0</v>
      </c>
      <c r="N75" s="113">
        <v>0.0</v>
      </c>
      <c r="O75" s="113" t="str">
        <f t="shared" si="28"/>
        <v>-</v>
      </c>
      <c r="P75" s="113" t="str">
        <f t="shared" si="29"/>
        <v>-</v>
      </c>
      <c r="Q75" s="113">
        <f t="shared" si="30"/>
        <v>3000000</v>
      </c>
      <c r="R75" s="72"/>
      <c r="S75" s="72"/>
      <c r="T75" s="72"/>
      <c r="U75" s="72"/>
      <c r="V75" s="9"/>
      <c r="W75" s="9"/>
      <c r="X75" s="26"/>
      <c r="Y75" s="26"/>
      <c r="Z75" s="26"/>
      <c r="AA75" s="742">
        <v>1500000.0</v>
      </c>
      <c r="AB75" s="743">
        <v>0.7</v>
      </c>
      <c r="AC75" s="744"/>
      <c r="AD75" s="744"/>
      <c r="AE75" s="744"/>
      <c r="AF75" s="745"/>
      <c r="AG75" s="746"/>
      <c r="AH75" s="744"/>
      <c r="AI75" s="744"/>
      <c r="AJ75" s="744"/>
      <c r="AK75" s="747"/>
      <c r="AL75" s="747"/>
      <c r="AM75" s="747"/>
      <c r="AN75" s="748"/>
      <c r="AO75" s="9"/>
      <c r="AP75" s="9"/>
      <c r="AQ75" s="9"/>
      <c r="AR75" s="9"/>
    </row>
    <row r="76" outlineLevel="1">
      <c r="A76" s="1222" t="s">
        <v>270</v>
      </c>
      <c r="B76" s="1223" t="s">
        <v>271</v>
      </c>
      <c r="C76" s="1226"/>
      <c r="D76" s="1225"/>
      <c r="E76" s="1226"/>
      <c r="F76" s="1226"/>
      <c r="G76" s="1226"/>
      <c r="H76" s="1226"/>
      <c r="I76" s="1227" t="b">
        <v>0</v>
      </c>
      <c r="J76" s="1228"/>
      <c r="K76" s="1228"/>
      <c r="L76" s="1228"/>
      <c r="M76" s="1228"/>
      <c r="N76" s="1228"/>
      <c r="O76" s="1228"/>
      <c r="P76" s="1228"/>
      <c r="Q76" s="1228"/>
      <c r="R76" s="1226"/>
      <c r="S76" s="1228"/>
      <c r="T76" s="1228"/>
      <c r="U76" s="1224"/>
      <c r="V76" s="146"/>
      <c r="W76" s="146"/>
      <c r="X76" s="773"/>
      <c r="Y76" s="773"/>
      <c r="Z76" s="774"/>
      <c r="AA76" s="775"/>
      <c r="AB76" s="776"/>
      <c r="AC76" s="777"/>
      <c r="AD76" s="777"/>
      <c r="AE76" s="777"/>
      <c r="AF76" s="778"/>
      <c r="AG76" s="779"/>
      <c r="AH76" s="777"/>
      <c r="AI76" s="777"/>
      <c r="AJ76" s="777"/>
      <c r="AK76" s="780"/>
      <c r="AL76" s="780"/>
      <c r="AM76" s="780"/>
      <c r="AN76" s="781"/>
      <c r="AO76" s="146"/>
      <c r="AP76" s="146"/>
      <c r="AQ76" s="146"/>
      <c r="AR76" s="146"/>
    </row>
    <row r="77" ht="42.75" customHeight="1" outlineLevel="1">
      <c r="A77" s="1207" t="s">
        <v>45</v>
      </c>
      <c r="B77" s="1229" t="s">
        <v>272</v>
      </c>
      <c r="C77" s="103" t="s">
        <v>38</v>
      </c>
      <c r="D77" s="1209" t="s">
        <v>273</v>
      </c>
      <c r="E77" s="105" t="s">
        <v>146</v>
      </c>
      <c r="F77" s="1210" t="s">
        <v>274</v>
      </c>
      <c r="G77" s="104" t="s">
        <v>275</v>
      </c>
      <c r="H77" s="1211" t="s">
        <v>2377</v>
      </c>
      <c r="I77" s="1212" t="b">
        <v>1</v>
      </c>
      <c r="J77" s="109" t="s">
        <v>7</v>
      </c>
      <c r="K77" s="109">
        <f t="shared" ref="K77:K84" si="35">if(I77=True,1,if(I77=False,0))</f>
        <v>1</v>
      </c>
      <c r="L77" s="113">
        <v>5000000.0</v>
      </c>
      <c r="M77" s="113">
        <v>40000.0</v>
      </c>
      <c r="N77" s="113">
        <v>2000.0</v>
      </c>
      <c r="O77" s="113">
        <f t="shared" ref="O77:O84" si="36">IFERROR(Q77/M77,"-")</f>
        <v>125</v>
      </c>
      <c r="P77" s="113">
        <f t="shared" ref="P77:P84" si="37">IFERROR(Q77/N77,"-")</f>
        <v>2500</v>
      </c>
      <c r="Q77" s="113">
        <f t="shared" ref="Q77:Q84" si="38">iferror(L77*K77,"-")</f>
        <v>5000000</v>
      </c>
      <c r="R77" s="1213" t="s">
        <v>2378</v>
      </c>
      <c r="S77" s="1214" t="s">
        <v>278</v>
      </c>
      <c r="T77" s="115"/>
      <c r="U77" s="105" t="s">
        <v>45</v>
      </c>
      <c r="V77" s="9"/>
      <c r="W77" s="9"/>
      <c r="X77" s="740"/>
      <c r="Y77" s="740"/>
      <c r="Z77" s="741" t="s">
        <v>2379</v>
      </c>
      <c r="AA77" s="742">
        <f>2800000/0.9</f>
        <v>3111111.111</v>
      </c>
      <c r="AB77" s="743">
        <v>0.5</v>
      </c>
      <c r="AC77" s="744">
        <v>20000.0</v>
      </c>
      <c r="AD77" s="744">
        <v>20000.0</v>
      </c>
      <c r="AE77" s="744">
        <v>1000.0</v>
      </c>
      <c r="AF77" s="745">
        <v>1000.0</v>
      </c>
      <c r="AG77" s="746"/>
      <c r="AH77" s="744"/>
      <c r="AI77" s="744"/>
      <c r="AJ77" s="744"/>
      <c r="AK77" s="747">
        <f t="shared" ref="AK77:AK84" si="39">(AD77*2+AF77*50+AH77*10+AJ77*50)*K77</f>
        <v>90000</v>
      </c>
      <c r="AL77" s="747">
        <f t="shared" ref="AL77:AL84" si="40">sum(AA77,AK77)*K77</f>
        <v>3201111.111</v>
      </c>
      <c r="AM77" s="747">
        <f t="shared" ref="AM77:AM84" si="41">iferror(Q77-AL77,"-")</f>
        <v>1798888.889</v>
      </c>
      <c r="AN77" s="748">
        <f t="shared" ref="AN77:AN84" si="42">iferror(AM77/Q77,"-")</f>
        <v>0.3597777778</v>
      </c>
      <c r="AO77" s="9"/>
      <c r="AP77" s="9"/>
      <c r="AQ77" s="9"/>
      <c r="AR77" s="9"/>
    </row>
    <row r="78" ht="42.75" customHeight="1" outlineLevel="1">
      <c r="A78" s="72"/>
      <c r="B78" s="72"/>
      <c r="C78" s="72"/>
      <c r="D78" s="72"/>
      <c r="E78" s="72"/>
      <c r="F78" s="72"/>
      <c r="G78" s="72"/>
      <c r="H78" s="1215" t="s">
        <v>2380</v>
      </c>
      <c r="I78" s="1212" t="b">
        <v>1</v>
      </c>
      <c r="J78" s="109" t="s">
        <v>47</v>
      </c>
      <c r="K78" s="109">
        <f t="shared" si="35"/>
        <v>1</v>
      </c>
      <c r="L78" s="113">
        <v>2000000.0</v>
      </c>
      <c r="M78" s="113">
        <v>0.0</v>
      </c>
      <c r="N78" s="113">
        <v>0.0</v>
      </c>
      <c r="O78" s="113" t="str">
        <f t="shared" si="36"/>
        <v>-</v>
      </c>
      <c r="P78" s="113" t="str">
        <f t="shared" si="37"/>
        <v>-</v>
      </c>
      <c r="Q78" s="113">
        <f t="shared" si="38"/>
        <v>2000000</v>
      </c>
      <c r="R78" s="68"/>
      <c r="S78" s="72"/>
      <c r="T78" s="72"/>
      <c r="U78" s="72"/>
      <c r="V78" s="9"/>
      <c r="W78" s="9"/>
      <c r="X78" s="26"/>
      <c r="Y78" s="26"/>
      <c r="Z78" s="741" t="s">
        <v>2381</v>
      </c>
      <c r="AA78" s="742">
        <f>500000/0.9</f>
        <v>555555.5556</v>
      </c>
      <c r="AB78" s="743">
        <v>2.0</v>
      </c>
      <c r="AC78" s="744"/>
      <c r="AD78" s="744"/>
      <c r="AE78" s="744"/>
      <c r="AF78" s="745"/>
      <c r="AG78" s="746"/>
      <c r="AH78" s="744"/>
      <c r="AI78" s="744"/>
      <c r="AJ78" s="744"/>
      <c r="AK78" s="747">
        <f t="shared" si="39"/>
        <v>0</v>
      </c>
      <c r="AL78" s="747">
        <f t="shared" si="40"/>
        <v>555555.5556</v>
      </c>
      <c r="AM78" s="747">
        <f t="shared" si="41"/>
        <v>1444444.444</v>
      </c>
      <c r="AN78" s="748">
        <f t="shared" si="42"/>
        <v>0.7222222222</v>
      </c>
      <c r="AO78" s="9"/>
      <c r="AP78" s="9"/>
      <c r="AQ78" s="9"/>
      <c r="AR78" s="9"/>
    </row>
    <row r="79" ht="42.75" customHeight="1" outlineLevel="1">
      <c r="A79" s="1207" t="s">
        <v>73</v>
      </c>
      <c r="B79" s="1217" t="s">
        <v>280</v>
      </c>
      <c r="C79" s="103" t="s">
        <v>38</v>
      </c>
      <c r="D79" s="1209">
        <v>13600.0</v>
      </c>
      <c r="E79" s="105" t="s">
        <v>146</v>
      </c>
      <c r="F79" s="1210" t="s">
        <v>281</v>
      </c>
      <c r="G79" s="104" t="s">
        <v>41</v>
      </c>
      <c r="H79" s="1211" t="s">
        <v>2382</v>
      </c>
      <c r="I79" s="1212" t="b">
        <v>1</v>
      </c>
      <c r="J79" s="109" t="s">
        <v>7</v>
      </c>
      <c r="K79" s="109">
        <f t="shared" si="35"/>
        <v>1</v>
      </c>
      <c r="L79" s="113">
        <v>5000000.0</v>
      </c>
      <c r="M79" s="113">
        <v>25000.0</v>
      </c>
      <c r="N79" s="113">
        <v>1500.0</v>
      </c>
      <c r="O79" s="113">
        <f t="shared" si="36"/>
        <v>200</v>
      </c>
      <c r="P79" s="113">
        <f t="shared" si="37"/>
        <v>3333.333333</v>
      </c>
      <c r="Q79" s="113">
        <f t="shared" si="38"/>
        <v>5000000</v>
      </c>
      <c r="R79" s="68"/>
      <c r="S79" s="1214" t="s">
        <v>283</v>
      </c>
      <c r="T79" s="1214" t="s">
        <v>79</v>
      </c>
      <c r="U79" s="105" t="s">
        <v>45</v>
      </c>
      <c r="V79" s="9"/>
      <c r="W79" s="9"/>
      <c r="X79" s="740"/>
      <c r="Y79" s="740"/>
      <c r="Z79" s="741" t="s">
        <v>2383</v>
      </c>
      <c r="AA79" s="742">
        <f>2800000/0.9</f>
        <v>3111111.111</v>
      </c>
      <c r="AB79" s="743">
        <v>0.5</v>
      </c>
      <c r="AC79" s="744">
        <v>10000.0</v>
      </c>
      <c r="AD79" s="744">
        <v>15000.0</v>
      </c>
      <c r="AE79" s="744">
        <v>500.0</v>
      </c>
      <c r="AF79" s="745">
        <v>1000.0</v>
      </c>
      <c r="AG79" s="746"/>
      <c r="AH79" s="744"/>
      <c r="AI79" s="744"/>
      <c r="AJ79" s="744"/>
      <c r="AK79" s="747">
        <f t="shared" si="39"/>
        <v>80000</v>
      </c>
      <c r="AL79" s="747">
        <f t="shared" si="40"/>
        <v>3191111.111</v>
      </c>
      <c r="AM79" s="747">
        <f t="shared" si="41"/>
        <v>1808888.889</v>
      </c>
      <c r="AN79" s="748">
        <f t="shared" si="42"/>
        <v>0.3617777778</v>
      </c>
      <c r="AO79" s="9"/>
      <c r="AP79" s="9"/>
      <c r="AQ79" s="9"/>
      <c r="AR79" s="9"/>
    </row>
    <row r="80" ht="42.75" customHeight="1" outlineLevel="1">
      <c r="A80" s="72"/>
      <c r="B80" s="72"/>
      <c r="C80" s="72"/>
      <c r="D80" s="72"/>
      <c r="E80" s="72"/>
      <c r="F80" s="72"/>
      <c r="G80" s="72"/>
      <c r="H80" s="1215" t="s">
        <v>2384</v>
      </c>
      <c r="I80" s="1212" t="b">
        <v>1</v>
      </c>
      <c r="J80" s="109" t="s">
        <v>47</v>
      </c>
      <c r="K80" s="109">
        <f t="shared" si="35"/>
        <v>1</v>
      </c>
      <c r="L80" s="113">
        <v>2000000.0</v>
      </c>
      <c r="M80" s="113">
        <v>0.0</v>
      </c>
      <c r="N80" s="113">
        <v>0.0</v>
      </c>
      <c r="O80" s="113" t="str">
        <f t="shared" si="36"/>
        <v>-</v>
      </c>
      <c r="P80" s="113" t="str">
        <f t="shared" si="37"/>
        <v>-</v>
      </c>
      <c r="Q80" s="113">
        <f t="shared" si="38"/>
        <v>2000000</v>
      </c>
      <c r="R80" s="68"/>
      <c r="S80" s="72"/>
      <c r="T80" s="72"/>
      <c r="U80" s="72"/>
      <c r="V80" s="9"/>
      <c r="W80" s="9"/>
      <c r="X80" s="26"/>
      <c r="Y80" s="26"/>
      <c r="Z80" s="741" t="s">
        <v>2385</v>
      </c>
      <c r="AA80" s="742">
        <f>500000/0.9</f>
        <v>555555.5556</v>
      </c>
      <c r="AB80" s="743">
        <v>2.0</v>
      </c>
      <c r="AC80" s="744"/>
      <c r="AD80" s="744"/>
      <c r="AE80" s="744"/>
      <c r="AF80" s="745"/>
      <c r="AG80" s="746"/>
      <c r="AH80" s="744"/>
      <c r="AI80" s="744"/>
      <c r="AJ80" s="744"/>
      <c r="AK80" s="747">
        <f t="shared" si="39"/>
        <v>0</v>
      </c>
      <c r="AL80" s="747">
        <f t="shared" si="40"/>
        <v>555555.5556</v>
      </c>
      <c r="AM80" s="747">
        <f t="shared" si="41"/>
        <v>1444444.444</v>
      </c>
      <c r="AN80" s="748">
        <f t="shared" si="42"/>
        <v>0.7222222222</v>
      </c>
      <c r="AO80" s="9"/>
      <c r="AP80" s="9"/>
      <c r="AQ80" s="9"/>
      <c r="AR80" s="9"/>
    </row>
    <row r="81" ht="42.75" customHeight="1" outlineLevel="1">
      <c r="A81" s="1207" t="s">
        <v>73</v>
      </c>
      <c r="B81" s="1230" t="s">
        <v>285</v>
      </c>
      <c r="C81" s="103" t="s">
        <v>38</v>
      </c>
      <c r="D81" s="1209" t="s">
        <v>286</v>
      </c>
      <c r="E81" s="105" t="s">
        <v>146</v>
      </c>
      <c r="F81" s="1210" t="s">
        <v>287</v>
      </c>
      <c r="G81" s="104" t="s">
        <v>275</v>
      </c>
      <c r="H81" s="1211" t="s">
        <v>2386</v>
      </c>
      <c r="I81" s="1212" t="b">
        <v>1</v>
      </c>
      <c r="J81" s="109" t="s">
        <v>7</v>
      </c>
      <c r="K81" s="109">
        <f t="shared" si="35"/>
        <v>1</v>
      </c>
      <c r="L81" s="113">
        <v>5000000.0</v>
      </c>
      <c r="M81" s="113">
        <v>20000.0</v>
      </c>
      <c r="N81" s="113">
        <v>1000.0</v>
      </c>
      <c r="O81" s="113">
        <f t="shared" si="36"/>
        <v>250</v>
      </c>
      <c r="P81" s="113">
        <f t="shared" si="37"/>
        <v>5000</v>
      </c>
      <c r="Q81" s="113">
        <f t="shared" si="38"/>
        <v>5000000</v>
      </c>
      <c r="R81" s="68"/>
      <c r="S81" s="1214" t="s">
        <v>289</v>
      </c>
      <c r="T81" s="1214" t="s">
        <v>79</v>
      </c>
      <c r="U81" s="105" t="s">
        <v>45</v>
      </c>
      <c r="V81" s="9"/>
      <c r="W81" s="9"/>
      <c r="X81" s="740"/>
      <c r="Y81" s="740"/>
      <c r="Z81" s="741" t="s">
        <v>2387</v>
      </c>
      <c r="AA81" s="742">
        <f>3000000/0.9</f>
        <v>3333333.333</v>
      </c>
      <c r="AB81" s="743">
        <v>0.5</v>
      </c>
      <c r="AC81" s="744">
        <v>5000.0</v>
      </c>
      <c r="AD81" s="744">
        <v>15000.0</v>
      </c>
      <c r="AE81" s="744">
        <v>500.0</v>
      </c>
      <c r="AF81" s="745">
        <v>500.0</v>
      </c>
      <c r="AG81" s="746"/>
      <c r="AH81" s="744"/>
      <c r="AI81" s="744"/>
      <c r="AJ81" s="744"/>
      <c r="AK81" s="747">
        <f t="shared" si="39"/>
        <v>55000</v>
      </c>
      <c r="AL81" s="747">
        <f t="shared" si="40"/>
        <v>3388333.333</v>
      </c>
      <c r="AM81" s="747">
        <f t="shared" si="41"/>
        <v>1611666.667</v>
      </c>
      <c r="AN81" s="748">
        <f t="shared" si="42"/>
        <v>0.3223333333</v>
      </c>
      <c r="AO81" s="9"/>
      <c r="AP81" s="9"/>
      <c r="AQ81" s="9"/>
      <c r="AR81" s="9"/>
    </row>
    <row r="82" ht="42.75" customHeight="1" outlineLevel="1">
      <c r="A82" s="72"/>
      <c r="B82" s="72"/>
      <c r="C82" s="72"/>
      <c r="D82" s="72"/>
      <c r="E82" s="72"/>
      <c r="F82" s="72"/>
      <c r="G82" s="72"/>
      <c r="H82" s="1215" t="s">
        <v>2388</v>
      </c>
      <c r="I82" s="1212" t="b">
        <v>1</v>
      </c>
      <c r="J82" s="109" t="s">
        <v>47</v>
      </c>
      <c r="K82" s="109">
        <f t="shared" si="35"/>
        <v>1</v>
      </c>
      <c r="L82" s="113">
        <v>2000000.0</v>
      </c>
      <c r="M82" s="113">
        <v>0.0</v>
      </c>
      <c r="N82" s="113">
        <v>0.0</v>
      </c>
      <c r="O82" s="113" t="str">
        <f t="shared" si="36"/>
        <v>-</v>
      </c>
      <c r="P82" s="113" t="str">
        <f t="shared" si="37"/>
        <v>-</v>
      </c>
      <c r="Q82" s="113">
        <f t="shared" si="38"/>
        <v>2000000</v>
      </c>
      <c r="R82" s="68"/>
      <c r="S82" s="72"/>
      <c r="T82" s="72"/>
      <c r="U82" s="72"/>
      <c r="V82" s="9"/>
      <c r="W82" s="9"/>
      <c r="X82" s="26"/>
      <c r="Y82" s="26"/>
      <c r="Z82" s="741" t="s">
        <v>2389</v>
      </c>
      <c r="AA82" s="742">
        <f>500000/0.9</f>
        <v>555555.5556</v>
      </c>
      <c r="AB82" s="743">
        <v>2.0</v>
      </c>
      <c r="AC82" s="744"/>
      <c r="AD82" s="744"/>
      <c r="AE82" s="744"/>
      <c r="AF82" s="745"/>
      <c r="AG82" s="746"/>
      <c r="AH82" s="744"/>
      <c r="AI82" s="744"/>
      <c r="AJ82" s="744"/>
      <c r="AK82" s="747">
        <f t="shared" si="39"/>
        <v>0</v>
      </c>
      <c r="AL82" s="747">
        <f t="shared" si="40"/>
        <v>555555.5556</v>
      </c>
      <c r="AM82" s="747">
        <f t="shared" si="41"/>
        <v>1444444.444</v>
      </c>
      <c r="AN82" s="748">
        <f t="shared" si="42"/>
        <v>0.7222222222</v>
      </c>
      <c r="AO82" s="9"/>
      <c r="AP82" s="9"/>
      <c r="AQ82" s="9"/>
      <c r="AR82" s="9"/>
    </row>
    <row r="83" ht="42.75" customHeight="1" outlineLevel="1">
      <c r="A83" s="1207" t="s">
        <v>101</v>
      </c>
      <c r="B83" s="1233" t="s">
        <v>291</v>
      </c>
      <c r="C83" s="103" t="s">
        <v>38</v>
      </c>
      <c r="D83" s="1234" t="s">
        <v>292</v>
      </c>
      <c r="E83" s="105" t="s">
        <v>146</v>
      </c>
      <c r="F83" s="1210" t="s">
        <v>293</v>
      </c>
      <c r="G83" s="104" t="s">
        <v>41</v>
      </c>
      <c r="H83" s="1211" t="s">
        <v>2390</v>
      </c>
      <c r="I83" s="1212" t="b">
        <v>1</v>
      </c>
      <c r="J83" s="109" t="s">
        <v>7</v>
      </c>
      <c r="K83" s="109">
        <f t="shared" si="35"/>
        <v>1</v>
      </c>
      <c r="L83" s="113">
        <v>5000000.0</v>
      </c>
      <c r="M83" s="113">
        <v>20000.0</v>
      </c>
      <c r="N83" s="113">
        <v>1500.0</v>
      </c>
      <c r="O83" s="113">
        <f t="shared" si="36"/>
        <v>250</v>
      </c>
      <c r="P83" s="113">
        <f t="shared" si="37"/>
        <v>3333.333333</v>
      </c>
      <c r="Q83" s="113">
        <f t="shared" si="38"/>
        <v>5000000</v>
      </c>
      <c r="R83" s="68"/>
      <c r="S83" s="115"/>
      <c r="T83" s="115"/>
      <c r="U83" s="105" t="s">
        <v>45</v>
      </c>
      <c r="V83" s="9"/>
      <c r="W83" s="9"/>
      <c r="X83" s="740"/>
      <c r="Y83" s="740"/>
      <c r="Z83" s="741" t="s">
        <v>2391</v>
      </c>
      <c r="AA83" s="742">
        <f>3000000/0.9</f>
        <v>3333333.333</v>
      </c>
      <c r="AB83" s="743">
        <v>0.5</v>
      </c>
      <c r="AC83" s="744">
        <v>10000.0</v>
      </c>
      <c r="AD83" s="744">
        <v>10000.0</v>
      </c>
      <c r="AE83" s="744">
        <v>500.0</v>
      </c>
      <c r="AF83" s="745">
        <v>1000.0</v>
      </c>
      <c r="AG83" s="746"/>
      <c r="AH83" s="744"/>
      <c r="AI83" s="744"/>
      <c r="AJ83" s="744"/>
      <c r="AK83" s="747">
        <f t="shared" si="39"/>
        <v>70000</v>
      </c>
      <c r="AL83" s="747">
        <f t="shared" si="40"/>
        <v>3403333.333</v>
      </c>
      <c r="AM83" s="747">
        <f t="shared" si="41"/>
        <v>1596666.667</v>
      </c>
      <c r="AN83" s="748">
        <f t="shared" si="42"/>
        <v>0.3193333333</v>
      </c>
      <c r="AO83" s="9"/>
      <c r="AP83" s="9"/>
      <c r="AQ83" s="9"/>
      <c r="AR83" s="9"/>
    </row>
    <row r="84" ht="42.75" customHeight="1" outlineLevel="1">
      <c r="A84" s="72"/>
      <c r="B84" s="72"/>
      <c r="C84" s="72"/>
      <c r="D84" s="72"/>
      <c r="E84" s="72"/>
      <c r="F84" s="72"/>
      <c r="G84" s="72"/>
      <c r="H84" s="1215" t="s">
        <v>2392</v>
      </c>
      <c r="I84" s="1212" t="b">
        <v>1</v>
      </c>
      <c r="J84" s="109" t="s">
        <v>47</v>
      </c>
      <c r="K84" s="109">
        <f t="shared" si="35"/>
        <v>1</v>
      </c>
      <c r="L84" s="113">
        <v>3000000.0</v>
      </c>
      <c r="M84" s="113">
        <v>0.0</v>
      </c>
      <c r="N84" s="113">
        <v>0.0</v>
      </c>
      <c r="O84" s="113" t="str">
        <f t="shared" si="36"/>
        <v>-</v>
      </c>
      <c r="P84" s="113" t="str">
        <f t="shared" si="37"/>
        <v>-</v>
      </c>
      <c r="Q84" s="113">
        <f t="shared" si="38"/>
        <v>3000000</v>
      </c>
      <c r="R84" s="72"/>
      <c r="S84" s="72"/>
      <c r="T84" s="72"/>
      <c r="U84" s="72"/>
      <c r="V84" s="87"/>
      <c r="W84" s="87"/>
      <c r="X84" s="26"/>
      <c r="Y84" s="26"/>
      <c r="Z84" s="741" t="s">
        <v>2393</v>
      </c>
      <c r="AA84" s="742">
        <f>1000000/0.9</f>
        <v>1111111.111</v>
      </c>
      <c r="AB84" s="743">
        <v>2.0</v>
      </c>
      <c r="AC84" s="744"/>
      <c r="AD84" s="744"/>
      <c r="AE84" s="744"/>
      <c r="AF84" s="745"/>
      <c r="AG84" s="746"/>
      <c r="AH84" s="744"/>
      <c r="AI84" s="744"/>
      <c r="AJ84" s="744"/>
      <c r="AK84" s="747">
        <f t="shared" si="39"/>
        <v>0</v>
      </c>
      <c r="AL84" s="747">
        <f t="shared" si="40"/>
        <v>1111111.111</v>
      </c>
      <c r="AM84" s="747">
        <f t="shared" si="41"/>
        <v>1888888.889</v>
      </c>
      <c r="AN84" s="748">
        <f t="shared" si="42"/>
        <v>0.6296296296</v>
      </c>
      <c r="AO84" s="9"/>
      <c r="AP84" s="9"/>
      <c r="AQ84" s="9"/>
      <c r="AR84" s="9"/>
    </row>
    <row r="85" ht="42.75" customHeight="1" outlineLevel="1">
      <c r="A85" s="1222" t="s">
        <v>296</v>
      </c>
      <c r="B85" s="1223" t="s">
        <v>297</v>
      </c>
      <c r="C85" s="1224"/>
      <c r="D85" s="1225"/>
      <c r="E85" s="1224"/>
      <c r="F85" s="1226"/>
      <c r="G85" s="1226"/>
      <c r="H85" s="1226"/>
      <c r="I85" s="1227" t="b">
        <v>0</v>
      </c>
      <c r="J85" s="1228"/>
      <c r="K85" s="1228"/>
      <c r="L85" s="1228"/>
      <c r="M85" s="1228"/>
      <c r="N85" s="1228"/>
      <c r="O85" s="1228"/>
      <c r="P85" s="1228"/>
      <c r="Q85" s="1228"/>
      <c r="R85" s="1226"/>
      <c r="S85" s="1228"/>
      <c r="T85" s="1228"/>
      <c r="U85" s="1224"/>
      <c r="V85" s="146"/>
      <c r="W85" s="146"/>
      <c r="X85" s="773"/>
      <c r="Y85" s="773"/>
      <c r="Z85" s="774"/>
      <c r="AA85" s="775"/>
      <c r="AB85" s="776"/>
      <c r="AC85" s="777"/>
      <c r="AD85" s="777"/>
      <c r="AE85" s="777"/>
      <c r="AF85" s="778"/>
      <c r="AG85" s="779"/>
      <c r="AH85" s="777"/>
      <c r="AI85" s="777"/>
      <c r="AJ85" s="777"/>
      <c r="AK85" s="780"/>
      <c r="AL85" s="780"/>
      <c r="AM85" s="780"/>
      <c r="AN85" s="781"/>
      <c r="AO85" s="146"/>
      <c r="AP85" s="146"/>
      <c r="AQ85" s="146"/>
      <c r="AR85" s="146"/>
    </row>
    <row r="86" ht="42.75" customHeight="1" outlineLevel="1">
      <c r="A86" s="1207" t="s">
        <v>45</v>
      </c>
      <c r="B86" s="1229" t="s">
        <v>298</v>
      </c>
      <c r="C86" s="103" t="s">
        <v>38</v>
      </c>
      <c r="D86" s="1209">
        <v>270000.0</v>
      </c>
      <c r="E86" s="105" t="s">
        <v>40</v>
      </c>
      <c r="F86" s="1210" t="s">
        <v>299</v>
      </c>
      <c r="G86" s="104" t="s">
        <v>300</v>
      </c>
      <c r="H86" s="1211" t="s">
        <v>2394</v>
      </c>
      <c r="I86" s="1212" t="b">
        <v>1</v>
      </c>
      <c r="J86" s="109" t="s">
        <v>7</v>
      </c>
      <c r="K86" s="109">
        <f t="shared" ref="K86:K87" si="43">if(I86=True,1,if(I86=False,0))</f>
        <v>1</v>
      </c>
      <c r="L86" s="113">
        <v>6000000.0</v>
      </c>
      <c r="M86" s="113">
        <v>30000.0</v>
      </c>
      <c r="N86" s="113">
        <v>2000.0</v>
      </c>
      <c r="O86" s="113">
        <f>IFERROR(Q86/M86,"-")</f>
        <v>200</v>
      </c>
      <c r="P86" s="113">
        <f>IFERROR(Q86/N86,"-")</f>
        <v>3000</v>
      </c>
      <c r="Q86" s="113">
        <f t="shared" ref="Q86:Q87" si="44">iferror(L86*K86,"-")</f>
        <v>6000000</v>
      </c>
      <c r="R86" s="1213" t="s">
        <v>2395</v>
      </c>
      <c r="S86" s="1214" t="s">
        <v>303</v>
      </c>
      <c r="T86" s="115"/>
      <c r="U86" s="105" t="s">
        <v>45</v>
      </c>
      <c r="V86" s="9"/>
      <c r="W86" s="9"/>
      <c r="X86" s="740"/>
      <c r="Y86" s="740"/>
      <c r="Z86" s="741" t="s">
        <v>2396</v>
      </c>
      <c r="AA86" s="742">
        <f>3500000/0.9</f>
        <v>3888888.889</v>
      </c>
      <c r="AB86" s="743">
        <v>0.5</v>
      </c>
      <c r="AC86" s="744">
        <v>20000.0</v>
      </c>
      <c r="AD86" s="744">
        <v>10000.0</v>
      </c>
      <c r="AE86" s="744">
        <v>1000.0</v>
      </c>
      <c r="AF86" s="745">
        <v>1000.0</v>
      </c>
      <c r="AG86" s="746"/>
      <c r="AH86" s="744"/>
      <c r="AI86" s="744"/>
      <c r="AJ86" s="744"/>
      <c r="AK86" s="747">
        <f t="shared" ref="AK86:AK87" si="45">(AD86*2+AF86*50+AH86*10+AJ86*50)*K86</f>
        <v>70000</v>
      </c>
      <c r="AL86" s="747">
        <f t="shared" ref="AL86:AL87" si="46">sum(AA86,AK86)*K86</f>
        <v>3958888.889</v>
      </c>
      <c r="AM86" s="747">
        <f t="shared" ref="AM86:AM87" si="47">iferror(Q86-AL86,"-")</f>
        <v>2041111.111</v>
      </c>
      <c r="AN86" s="748">
        <f t="shared" ref="AN86:AN87" si="48">iferror(AM86/Q86,"-")</f>
        <v>0.3401851852</v>
      </c>
      <c r="AO86" s="9"/>
      <c r="AP86" s="9"/>
      <c r="AQ86" s="9"/>
      <c r="AR86" s="9"/>
    </row>
    <row r="87" ht="42.75" customHeight="1" outlineLevel="1">
      <c r="A87" s="72"/>
      <c r="B87" s="72"/>
      <c r="C87" s="72"/>
      <c r="D87" s="72"/>
      <c r="E87" s="72"/>
      <c r="F87" s="72"/>
      <c r="G87" s="72"/>
      <c r="H87" s="1215" t="s">
        <v>2397</v>
      </c>
      <c r="I87" s="1212" t="b">
        <v>1</v>
      </c>
      <c r="J87" s="109" t="s">
        <v>47</v>
      </c>
      <c r="K87" s="109">
        <f t="shared" si="43"/>
        <v>1</v>
      </c>
      <c r="L87" s="113">
        <v>2000000.0</v>
      </c>
      <c r="M87" s="113">
        <v>0.0</v>
      </c>
      <c r="N87" s="113">
        <v>0.0</v>
      </c>
      <c r="O87" s="113" t="s">
        <v>81</v>
      </c>
      <c r="P87" s="113" t="s">
        <v>81</v>
      </c>
      <c r="Q87" s="113">
        <f t="shared" si="44"/>
        <v>2000000</v>
      </c>
      <c r="R87" s="72"/>
      <c r="S87" s="72"/>
      <c r="T87" s="72"/>
      <c r="U87" s="72"/>
      <c r="V87" s="9"/>
      <c r="W87" s="9"/>
      <c r="X87" s="26"/>
      <c r="Y87" s="26"/>
      <c r="Z87" s="741" t="s">
        <v>2398</v>
      </c>
      <c r="AA87" s="742">
        <f>500000/0.9</f>
        <v>555555.5556</v>
      </c>
      <c r="AB87" s="743">
        <v>2.0</v>
      </c>
      <c r="AC87" s="744"/>
      <c r="AD87" s="744"/>
      <c r="AE87" s="744"/>
      <c r="AF87" s="745"/>
      <c r="AG87" s="746"/>
      <c r="AH87" s="744"/>
      <c r="AI87" s="744"/>
      <c r="AJ87" s="744"/>
      <c r="AK87" s="747">
        <f t="shared" si="45"/>
        <v>0</v>
      </c>
      <c r="AL87" s="747">
        <f t="shared" si="46"/>
        <v>555555.5556</v>
      </c>
      <c r="AM87" s="747">
        <f t="shared" si="47"/>
        <v>1444444.444</v>
      </c>
      <c r="AN87" s="748">
        <f t="shared" si="48"/>
        <v>0.7222222222</v>
      </c>
      <c r="AO87" s="9"/>
      <c r="AP87" s="9"/>
      <c r="AQ87" s="9"/>
      <c r="AR87" s="9"/>
    </row>
    <row r="88" ht="34.5" customHeight="1">
      <c r="A88" s="1235" t="s">
        <v>318</v>
      </c>
      <c r="B88" s="56"/>
      <c r="C88" s="1203"/>
      <c r="D88" s="1203"/>
      <c r="E88" s="1203"/>
      <c r="F88" s="1203"/>
      <c r="G88" s="1203"/>
      <c r="H88" s="1203"/>
      <c r="I88" s="1203"/>
      <c r="J88" s="1204" t="s">
        <v>10</v>
      </c>
      <c r="K88" s="1204">
        <f>SUMIFS(K90:K99,J90:J99,"Photo Post")</f>
        <v>5</v>
      </c>
      <c r="L88" s="1205"/>
      <c r="M88" s="1206">
        <f t="shared" ref="M88:N88" si="49">sum(M90:M99)</f>
        <v>320000</v>
      </c>
      <c r="N88" s="1206">
        <f t="shared" si="49"/>
        <v>23500</v>
      </c>
      <c r="O88" s="1205"/>
      <c r="P88" s="1205"/>
      <c r="Q88" s="1206">
        <f>sum(Q90:Q99)</f>
        <v>216000000</v>
      </c>
      <c r="R88" s="1221"/>
      <c r="S88" s="1221"/>
      <c r="T88" s="1221"/>
      <c r="U88" s="1221"/>
      <c r="V88" s="69"/>
      <c r="W88" s="69"/>
      <c r="X88" s="717"/>
      <c r="Y88" s="717"/>
      <c r="Z88" s="9"/>
      <c r="AA88" s="719"/>
      <c r="AB88" s="720"/>
      <c r="AC88" s="721"/>
      <c r="AD88" s="721"/>
      <c r="AE88" s="721"/>
      <c r="AF88" s="722"/>
      <c r="AG88" s="723"/>
      <c r="AH88" s="721"/>
      <c r="AI88" s="721"/>
      <c r="AJ88" s="721"/>
      <c r="AK88" s="724"/>
      <c r="AL88" s="724"/>
      <c r="AM88" s="724"/>
      <c r="AN88" s="725"/>
      <c r="AO88" s="9"/>
      <c r="AP88" s="9"/>
      <c r="AQ88" s="9"/>
      <c r="AR88" s="9"/>
    </row>
    <row r="89" ht="34.5" customHeight="1">
      <c r="A89" s="70"/>
      <c r="B89" s="71"/>
      <c r="C89" s="1203"/>
      <c r="D89" s="1203"/>
      <c r="E89" s="1203"/>
      <c r="F89" s="1203"/>
      <c r="G89" s="1203"/>
      <c r="H89" s="1203"/>
      <c r="I89" s="1203"/>
      <c r="J89" s="1204" t="s">
        <v>7</v>
      </c>
      <c r="K89" s="1204">
        <f>SUMIFS(K90:K99,J90:J99,"Video Post")</f>
        <v>5</v>
      </c>
      <c r="L89" s="1205"/>
      <c r="M89" s="72"/>
      <c r="N89" s="72"/>
      <c r="O89" s="1205"/>
      <c r="P89" s="1205"/>
      <c r="Q89" s="72"/>
      <c r="R89" s="1221"/>
      <c r="S89" s="1221"/>
      <c r="T89" s="1221"/>
      <c r="U89" s="1221"/>
      <c r="V89" s="69"/>
      <c r="W89" s="69"/>
      <c r="X89" s="717"/>
      <c r="Y89" s="717"/>
      <c r="Z89" s="718"/>
      <c r="AA89" s="719"/>
      <c r="AB89" s="720"/>
      <c r="AC89" s="721"/>
      <c r="AD89" s="721"/>
      <c r="AE89" s="721"/>
      <c r="AF89" s="722"/>
      <c r="AG89" s="723"/>
      <c r="AH89" s="721"/>
      <c r="AI89" s="721"/>
      <c r="AJ89" s="721"/>
      <c r="AK89" s="724"/>
      <c r="AL89" s="724"/>
      <c r="AM89" s="724"/>
      <c r="AN89" s="725"/>
      <c r="AO89" s="9"/>
      <c r="AP89" s="9"/>
      <c r="AQ89" s="9"/>
      <c r="AR89" s="9"/>
    </row>
    <row r="90" ht="75.0" customHeight="1" outlineLevel="1">
      <c r="A90" s="1236" t="s">
        <v>45</v>
      </c>
      <c r="B90" s="1237" t="s">
        <v>319</v>
      </c>
      <c r="C90" s="1238" t="s">
        <v>320</v>
      </c>
      <c r="D90" s="1239" t="s">
        <v>321</v>
      </c>
      <c r="E90" s="1240" t="s">
        <v>118</v>
      </c>
      <c r="F90" s="1241" t="s">
        <v>21</v>
      </c>
      <c r="G90" s="1212" t="s">
        <v>322</v>
      </c>
      <c r="H90" s="1238" t="s">
        <v>323</v>
      </c>
      <c r="I90" s="1219" t="b">
        <v>1</v>
      </c>
      <c r="J90" s="110" t="s">
        <v>10</v>
      </c>
      <c r="K90" s="110">
        <f t="shared" ref="K90:K99" si="50">if(I90=True,1,if(I90=False,0))</f>
        <v>1</v>
      </c>
      <c r="L90" s="112">
        <v>3.2E7</v>
      </c>
      <c r="M90" s="112">
        <v>0.0</v>
      </c>
      <c r="N90" s="112">
        <v>3000.0</v>
      </c>
      <c r="O90" s="112" t="str">
        <f t="shared" ref="O90:O99" si="51">IFERROR(Q90/M90,"-")</f>
        <v>-</v>
      </c>
      <c r="P90" s="112">
        <f t="shared" ref="P90:P99" si="52">IFERROR(Q90/N90,"-")</f>
        <v>10666.66667</v>
      </c>
      <c r="Q90" s="112">
        <f t="shared" ref="Q90:Q99" si="53">iferror(L90*K90,"-")</f>
        <v>32000000</v>
      </c>
      <c r="R90" s="1238" t="s">
        <v>2399</v>
      </c>
      <c r="S90" s="1224"/>
      <c r="T90" s="1224"/>
      <c r="U90" s="1236" t="s">
        <v>45</v>
      </c>
      <c r="V90" s="168"/>
      <c r="W90" s="168"/>
      <c r="X90" s="798"/>
      <c r="Y90" s="798"/>
      <c r="Z90" s="799" t="s">
        <v>1017</v>
      </c>
      <c r="AA90" s="800">
        <f>14500000/0.9</f>
        <v>16111111.11</v>
      </c>
      <c r="AB90" s="743">
        <v>1.0</v>
      </c>
      <c r="AC90" s="801"/>
      <c r="AD90" s="801"/>
      <c r="AE90" s="801"/>
      <c r="AF90" s="802"/>
      <c r="AG90" s="803"/>
      <c r="AH90" s="801"/>
      <c r="AI90" s="744">
        <v>3000.0</v>
      </c>
      <c r="AJ90" s="801"/>
      <c r="AK90" s="804">
        <f>(AD90*2+AF90*50+AH90*10+AJ90*50)*K90</f>
        <v>0</v>
      </c>
      <c r="AL90" s="804">
        <f t="shared" ref="AL90:AL99" si="54">sum(AA90,AK90)*K90</f>
        <v>16111111.11</v>
      </c>
      <c r="AM90" s="804">
        <f t="shared" ref="AM90:AM99" si="55">iferror(Q90-AL90,"-")</f>
        <v>15888888.89</v>
      </c>
      <c r="AN90" s="805">
        <f t="shared" ref="AN90:AN99" si="56">iferror(AM90/Q90,"-")</f>
        <v>0.4965277778</v>
      </c>
      <c r="AO90" s="9"/>
      <c r="AP90" s="9"/>
      <c r="AQ90" s="9"/>
      <c r="AR90" s="9"/>
    </row>
    <row r="91" ht="75.0" customHeight="1" outlineLevel="1">
      <c r="A91" s="1236" t="s">
        <v>45</v>
      </c>
      <c r="B91" s="1237" t="s">
        <v>325</v>
      </c>
      <c r="C91" s="1238" t="s">
        <v>320</v>
      </c>
      <c r="D91" s="1239" t="s">
        <v>326</v>
      </c>
      <c r="E91" s="1240" t="s">
        <v>118</v>
      </c>
      <c r="F91" s="1241" t="s">
        <v>139</v>
      </c>
      <c r="G91" s="1212" t="s">
        <v>322</v>
      </c>
      <c r="H91" s="1238" t="s">
        <v>323</v>
      </c>
      <c r="I91" s="1219" t="b">
        <v>1</v>
      </c>
      <c r="J91" s="110" t="s">
        <v>10</v>
      </c>
      <c r="K91" s="110">
        <f t="shared" si="50"/>
        <v>1</v>
      </c>
      <c r="L91" s="112">
        <v>2.6E7</v>
      </c>
      <c r="M91" s="112">
        <v>0.0</v>
      </c>
      <c r="N91" s="112">
        <v>3000.0</v>
      </c>
      <c r="O91" s="112" t="str">
        <f t="shared" si="51"/>
        <v>-</v>
      </c>
      <c r="P91" s="112">
        <f t="shared" si="52"/>
        <v>8666.666667</v>
      </c>
      <c r="Q91" s="112">
        <f t="shared" si="53"/>
        <v>26000000</v>
      </c>
      <c r="R91" s="1238" t="s">
        <v>2400</v>
      </c>
      <c r="S91" s="1242"/>
      <c r="T91" s="1242"/>
      <c r="U91" s="1236" t="s">
        <v>45</v>
      </c>
      <c r="V91" s="170"/>
      <c r="W91" s="170"/>
      <c r="X91" s="798"/>
      <c r="Y91" s="798"/>
      <c r="Z91" s="799" t="s">
        <v>1017</v>
      </c>
      <c r="AA91" s="742">
        <f>11500000/0.9</f>
        <v>12777777.78</v>
      </c>
      <c r="AB91" s="743">
        <v>1.0</v>
      </c>
      <c r="AC91" s="744"/>
      <c r="AD91" s="744"/>
      <c r="AE91" s="744"/>
      <c r="AF91" s="745"/>
      <c r="AG91" s="746"/>
      <c r="AH91" s="744"/>
      <c r="AI91" s="744">
        <v>3000.0</v>
      </c>
      <c r="AJ91" s="744"/>
      <c r="AK91" s="747">
        <f t="shared" ref="AK91:AK92" si="57">(AJ91*50+AF91*50+AH91*20+AD91*2)*K91</f>
        <v>0</v>
      </c>
      <c r="AL91" s="747">
        <f t="shared" si="54"/>
        <v>12777777.78</v>
      </c>
      <c r="AM91" s="747">
        <f t="shared" si="55"/>
        <v>13222222.22</v>
      </c>
      <c r="AN91" s="748">
        <f t="shared" si="56"/>
        <v>0.5085470085</v>
      </c>
      <c r="AO91" s="9"/>
      <c r="AP91" s="9"/>
      <c r="AQ91" s="9"/>
      <c r="AR91" s="9"/>
    </row>
    <row r="92" ht="75.0" customHeight="1" outlineLevel="1">
      <c r="A92" s="1236" t="s">
        <v>45</v>
      </c>
      <c r="B92" s="1237" t="s">
        <v>328</v>
      </c>
      <c r="C92" s="1238" t="s">
        <v>320</v>
      </c>
      <c r="D92" s="1239" t="s">
        <v>329</v>
      </c>
      <c r="E92" s="1240" t="s">
        <v>118</v>
      </c>
      <c r="F92" s="1241" t="s">
        <v>21</v>
      </c>
      <c r="G92" s="1212" t="s">
        <v>322</v>
      </c>
      <c r="H92" s="1238" t="s">
        <v>323</v>
      </c>
      <c r="I92" s="1219" t="b">
        <v>1</v>
      </c>
      <c r="J92" s="110" t="s">
        <v>10</v>
      </c>
      <c r="K92" s="110">
        <f t="shared" si="50"/>
        <v>1</v>
      </c>
      <c r="L92" s="112">
        <v>2.6E7</v>
      </c>
      <c r="M92" s="112">
        <v>0.0</v>
      </c>
      <c r="N92" s="112">
        <v>3000.0</v>
      </c>
      <c r="O92" s="112" t="str">
        <f t="shared" si="51"/>
        <v>-</v>
      </c>
      <c r="P92" s="112">
        <f t="shared" si="52"/>
        <v>8666.666667</v>
      </c>
      <c r="Q92" s="112">
        <f t="shared" si="53"/>
        <v>26000000</v>
      </c>
      <c r="R92" s="1238" t="s">
        <v>2401</v>
      </c>
      <c r="S92" s="1242"/>
      <c r="T92" s="1242"/>
      <c r="U92" s="1236" t="s">
        <v>45</v>
      </c>
      <c r="V92" s="170"/>
      <c r="W92" s="170"/>
      <c r="X92" s="798"/>
      <c r="Y92" s="798"/>
      <c r="Z92" s="799" t="s">
        <v>1017</v>
      </c>
      <c r="AA92" s="742">
        <f>10000000/0.9</f>
        <v>11111111.11</v>
      </c>
      <c r="AB92" s="743">
        <v>1.3</v>
      </c>
      <c r="AC92" s="744"/>
      <c r="AD92" s="744"/>
      <c r="AE92" s="744"/>
      <c r="AF92" s="745"/>
      <c r="AG92" s="746"/>
      <c r="AH92" s="744"/>
      <c r="AI92" s="744">
        <v>3000.0</v>
      </c>
      <c r="AJ92" s="744"/>
      <c r="AK92" s="747">
        <f t="shared" si="57"/>
        <v>0</v>
      </c>
      <c r="AL92" s="747">
        <f t="shared" si="54"/>
        <v>11111111.11</v>
      </c>
      <c r="AM92" s="747">
        <f t="shared" si="55"/>
        <v>14888888.89</v>
      </c>
      <c r="AN92" s="748">
        <f t="shared" si="56"/>
        <v>0.5726495726</v>
      </c>
      <c r="AO92" s="9"/>
      <c r="AP92" s="9"/>
      <c r="AQ92" s="9"/>
      <c r="AR92" s="9"/>
    </row>
    <row r="93" ht="75.0" customHeight="1" outlineLevel="1">
      <c r="A93" s="1236" t="s">
        <v>45</v>
      </c>
      <c r="B93" s="1237" t="s">
        <v>331</v>
      </c>
      <c r="C93" s="1238" t="s">
        <v>320</v>
      </c>
      <c r="D93" s="1239" t="s">
        <v>332</v>
      </c>
      <c r="E93" s="1240" t="s">
        <v>40</v>
      </c>
      <c r="F93" s="1241" t="s">
        <v>21</v>
      </c>
      <c r="G93" s="1212" t="s">
        <v>50</v>
      </c>
      <c r="H93" s="1238" t="s">
        <v>323</v>
      </c>
      <c r="I93" s="1219" t="b">
        <v>1</v>
      </c>
      <c r="J93" s="110" t="s">
        <v>10</v>
      </c>
      <c r="K93" s="110">
        <f t="shared" si="50"/>
        <v>1</v>
      </c>
      <c r="L93" s="112">
        <v>2.5E7</v>
      </c>
      <c r="M93" s="112">
        <v>0.0</v>
      </c>
      <c r="N93" s="112">
        <v>3000.0</v>
      </c>
      <c r="O93" s="112" t="str">
        <f t="shared" si="51"/>
        <v>-</v>
      </c>
      <c r="P93" s="112">
        <f t="shared" si="52"/>
        <v>8333.333333</v>
      </c>
      <c r="Q93" s="112">
        <f t="shared" si="53"/>
        <v>25000000</v>
      </c>
      <c r="R93" s="1238" t="s">
        <v>2402</v>
      </c>
      <c r="S93" s="1242"/>
      <c r="T93" s="1242"/>
      <c r="U93" s="1236" t="s">
        <v>45</v>
      </c>
      <c r="V93" s="170"/>
      <c r="W93" s="170"/>
      <c r="X93" s="798"/>
      <c r="Y93" s="798"/>
      <c r="Z93" s="799" t="s">
        <v>1017</v>
      </c>
      <c r="AA93" s="742">
        <f>11500000/0.9</f>
        <v>12777777.78</v>
      </c>
      <c r="AB93" s="743">
        <v>0.95</v>
      </c>
      <c r="AC93" s="744"/>
      <c r="AD93" s="744"/>
      <c r="AE93" s="744"/>
      <c r="AF93" s="745"/>
      <c r="AG93" s="746"/>
      <c r="AH93" s="744"/>
      <c r="AI93" s="744">
        <v>3000.0</v>
      </c>
      <c r="AJ93" s="744"/>
      <c r="AK93" s="747">
        <f t="shared" ref="AK93:AK95" si="58">(AD93*2+AF93*50+AH93*10+AJ93*50)*K93</f>
        <v>0</v>
      </c>
      <c r="AL93" s="747">
        <f t="shared" si="54"/>
        <v>12777777.78</v>
      </c>
      <c r="AM93" s="747">
        <f t="shared" si="55"/>
        <v>12222222.22</v>
      </c>
      <c r="AN93" s="748">
        <f t="shared" si="56"/>
        <v>0.4888888889</v>
      </c>
      <c r="AO93" s="9"/>
      <c r="AP93" s="9"/>
      <c r="AQ93" s="9"/>
      <c r="AR93" s="9"/>
    </row>
    <row r="94" ht="75.0" customHeight="1" outlineLevel="1">
      <c r="A94" s="1236" t="s">
        <v>45</v>
      </c>
      <c r="B94" s="1237" t="s">
        <v>334</v>
      </c>
      <c r="C94" s="1238" t="s">
        <v>320</v>
      </c>
      <c r="D94" s="1239" t="s">
        <v>335</v>
      </c>
      <c r="E94" s="1240" t="s">
        <v>40</v>
      </c>
      <c r="F94" s="1241" t="s">
        <v>21</v>
      </c>
      <c r="G94" s="1212" t="s">
        <v>322</v>
      </c>
      <c r="H94" s="1238" t="s">
        <v>336</v>
      </c>
      <c r="I94" s="1219" t="b">
        <v>1</v>
      </c>
      <c r="J94" s="110" t="s">
        <v>10</v>
      </c>
      <c r="K94" s="110">
        <f t="shared" si="50"/>
        <v>1</v>
      </c>
      <c r="L94" s="112">
        <v>1.7E7</v>
      </c>
      <c r="M94" s="112">
        <v>0.0</v>
      </c>
      <c r="N94" s="112">
        <v>3000.0</v>
      </c>
      <c r="O94" s="112" t="str">
        <f t="shared" si="51"/>
        <v>-</v>
      </c>
      <c r="P94" s="112">
        <f t="shared" si="52"/>
        <v>5666.666667</v>
      </c>
      <c r="Q94" s="112">
        <f t="shared" si="53"/>
        <v>17000000</v>
      </c>
      <c r="R94" s="1238" t="s">
        <v>2403</v>
      </c>
      <c r="S94" s="1242"/>
      <c r="T94" s="1242"/>
      <c r="U94" s="1236" t="s">
        <v>45</v>
      </c>
      <c r="V94" s="170"/>
      <c r="W94" s="170"/>
      <c r="X94" s="798"/>
      <c r="Y94" s="798"/>
      <c r="Z94" s="799" t="s">
        <v>1017</v>
      </c>
      <c r="AA94" s="742">
        <f>7500000/0.9</f>
        <v>8333333.333</v>
      </c>
      <c r="AB94" s="743">
        <v>1.0</v>
      </c>
      <c r="AC94" s="744"/>
      <c r="AD94" s="744"/>
      <c r="AE94" s="744"/>
      <c r="AF94" s="745"/>
      <c r="AG94" s="746"/>
      <c r="AH94" s="744"/>
      <c r="AI94" s="744">
        <v>3000.0</v>
      </c>
      <c r="AJ94" s="744"/>
      <c r="AK94" s="747">
        <f t="shared" si="58"/>
        <v>0</v>
      </c>
      <c r="AL94" s="747">
        <f t="shared" si="54"/>
        <v>8333333.333</v>
      </c>
      <c r="AM94" s="747">
        <f t="shared" si="55"/>
        <v>8666666.667</v>
      </c>
      <c r="AN94" s="748">
        <f t="shared" si="56"/>
        <v>0.5098039216</v>
      </c>
      <c r="AO94" s="9"/>
      <c r="AP94" s="9"/>
      <c r="AQ94" s="9"/>
      <c r="AR94" s="9"/>
    </row>
    <row r="95" ht="75.0" customHeight="1" outlineLevel="1">
      <c r="A95" s="1236" t="s">
        <v>45</v>
      </c>
      <c r="B95" s="1237" t="s">
        <v>338</v>
      </c>
      <c r="C95" s="1238" t="s">
        <v>38</v>
      </c>
      <c r="D95" s="1239" t="s">
        <v>339</v>
      </c>
      <c r="E95" s="1240" t="s">
        <v>118</v>
      </c>
      <c r="F95" s="1241" t="s">
        <v>21</v>
      </c>
      <c r="G95" s="1212" t="s">
        <v>105</v>
      </c>
      <c r="H95" s="1238" t="s">
        <v>340</v>
      </c>
      <c r="I95" s="1219" t="b">
        <v>1</v>
      </c>
      <c r="J95" s="110" t="s">
        <v>7</v>
      </c>
      <c r="K95" s="110">
        <f t="shared" si="50"/>
        <v>1</v>
      </c>
      <c r="L95" s="112">
        <v>2.5E7</v>
      </c>
      <c r="M95" s="112">
        <v>80000.0</v>
      </c>
      <c r="N95" s="112">
        <v>2000.0</v>
      </c>
      <c r="O95" s="112">
        <f t="shared" si="51"/>
        <v>312.5</v>
      </c>
      <c r="P95" s="112">
        <f t="shared" si="52"/>
        <v>12500</v>
      </c>
      <c r="Q95" s="112">
        <f t="shared" si="53"/>
        <v>25000000</v>
      </c>
      <c r="R95" s="1238" t="s">
        <v>2404</v>
      </c>
      <c r="S95" s="1242"/>
      <c r="T95" s="1242"/>
      <c r="U95" s="1236" t="s">
        <v>45</v>
      </c>
      <c r="V95" s="170"/>
      <c r="W95" s="170"/>
      <c r="X95" s="798"/>
      <c r="Y95" s="798"/>
      <c r="Z95" s="799" t="s">
        <v>1017</v>
      </c>
      <c r="AA95" s="742">
        <f>15000000/0.9</f>
        <v>16666666.67</v>
      </c>
      <c r="AB95" s="743">
        <v>0.5</v>
      </c>
      <c r="AC95" s="744">
        <v>80000.0</v>
      </c>
      <c r="AD95" s="744"/>
      <c r="AE95" s="744">
        <v>1000.0</v>
      </c>
      <c r="AF95" s="745">
        <v>1000.0</v>
      </c>
      <c r="AG95" s="746"/>
      <c r="AH95" s="744"/>
      <c r="AI95" s="744"/>
      <c r="AJ95" s="744"/>
      <c r="AK95" s="747">
        <f t="shared" si="58"/>
        <v>50000</v>
      </c>
      <c r="AL95" s="747">
        <f t="shared" si="54"/>
        <v>16716666.67</v>
      </c>
      <c r="AM95" s="747">
        <f t="shared" si="55"/>
        <v>8283333.333</v>
      </c>
      <c r="AN95" s="748">
        <f t="shared" si="56"/>
        <v>0.3313333333</v>
      </c>
      <c r="AO95" s="9"/>
      <c r="AP95" s="9"/>
      <c r="AQ95" s="9"/>
      <c r="AR95" s="9"/>
    </row>
    <row r="96" ht="75.0" customHeight="1" outlineLevel="1">
      <c r="A96" s="1236" t="s">
        <v>45</v>
      </c>
      <c r="B96" s="1237" t="s">
        <v>342</v>
      </c>
      <c r="C96" s="1238" t="s">
        <v>38</v>
      </c>
      <c r="D96" s="1239" t="s">
        <v>343</v>
      </c>
      <c r="E96" s="1240" t="s">
        <v>40</v>
      </c>
      <c r="F96" s="1241" t="s">
        <v>21</v>
      </c>
      <c r="G96" s="1212" t="s">
        <v>50</v>
      </c>
      <c r="H96" s="1238" t="s">
        <v>340</v>
      </c>
      <c r="I96" s="1219" t="b">
        <v>1</v>
      </c>
      <c r="J96" s="110" t="s">
        <v>7</v>
      </c>
      <c r="K96" s="110">
        <f t="shared" si="50"/>
        <v>1</v>
      </c>
      <c r="L96" s="112">
        <v>1.5E7</v>
      </c>
      <c r="M96" s="112">
        <v>30000.0</v>
      </c>
      <c r="N96" s="112">
        <v>1500.0</v>
      </c>
      <c r="O96" s="112">
        <f t="shared" si="51"/>
        <v>500</v>
      </c>
      <c r="P96" s="112">
        <f t="shared" si="52"/>
        <v>10000</v>
      </c>
      <c r="Q96" s="112">
        <f t="shared" si="53"/>
        <v>15000000</v>
      </c>
      <c r="R96" s="1238" t="s">
        <v>2405</v>
      </c>
      <c r="S96" s="1242"/>
      <c r="T96" s="1242"/>
      <c r="U96" s="1236" t="s">
        <v>45</v>
      </c>
      <c r="V96" s="170"/>
      <c r="W96" s="170"/>
      <c r="X96" s="798"/>
      <c r="Y96" s="798"/>
      <c r="Z96" s="808" t="s">
        <v>1024</v>
      </c>
      <c r="AA96" s="742">
        <f>9000000/0.9</f>
        <v>10000000</v>
      </c>
      <c r="AB96" s="743">
        <v>0.5</v>
      </c>
      <c r="AC96" s="744">
        <v>10000.0</v>
      </c>
      <c r="AD96" s="744">
        <v>20000.0</v>
      </c>
      <c r="AE96" s="744">
        <v>500.0</v>
      </c>
      <c r="AF96" s="745">
        <v>1000.0</v>
      </c>
      <c r="AG96" s="746"/>
      <c r="AH96" s="744"/>
      <c r="AI96" s="744"/>
      <c r="AJ96" s="801"/>
      <c r="AK96" s="747">
        <f>(AJ96*50+AF96*50+AH96*20+AD96*2)*K96</f>
        <v>90000</v>
      </c>
      <c r="AL96" s="747">
        <f t="shared" si="54"/>
        <v>10090000</v>
      </c>
      <c r="AM96" s="747">
        <f t="shared" si="55"/>
        <v>4910000</v>
      </c>
      <c r="AN96" s="748">
        <f t="shared" si="56"/>
        <v>0.3273333333</v>
      </c>
      <c r="AO96" s="9"/>
      <c r="AP96" s="9"/>
      <c r="AQ96" s="9"/>
      <c r="AR96" s="9"/>
    </row>
    <row r="97" ht="75.0" customHeight="1" outlineLevel="1">
      <c r="A97" s="1236" t="s">
        <v>45</v>
      </c>
      <c r="B97" s="1237" t="s">
        <v>345</v>
      </c>
      <c r="C97" s="1238" t="s">
        <v>38</v>
      </c>
      <c r="D97" s="1239" t="s">
        <v>346</v>
      </c>
      <c r="E97" s="1240" t="s">
        <v>40</v>
      </c>
      <c r="F97" s="1241" t="s">
        <v>21</v>
      </c>
      <c r="G97" s="1212" t="s">
        <v>322</v>
      </c>
      <c r="H97" s="1238" t="s">
        <v>340</v>
      </c>
      <c r="I97" s="1219" t="b">
        <v>1</v>
      </c>
      <c r="J97" s="110" t="s">
        <v>7</v>
      </c>
      <c r="K97" s="110">
        <f t="shared" si="50"/>
        <v>1</v>
      </c>
      <c r="L97" s="112">
        <v>1.8E7</v>
      </c>
      <c r="M97" s="112">
        <v>80000.0</v>
      </c>
      <c r="N97" s="112">
        <v>1500.0</v>
      </c>
      <c r="O97" s="112">
        <f t="shared" si="51"/>
        <v>225</v>
      </c>
      <c r="P97" s="112">
        <f t="shared" si="52"/>
        <v>12000</v>
      </c>
      <c r="Q97" s="112">
        <f t="shared" si="53"/>
        <v>18000000</v>
      </c>
      <c r="R97" s="1238" t="s">
        <v>2406</v>
      </c>
      <c r="S97" s="1242"/>
      <c r="T97" s="1242"/>
      <c r="U97" s="1236" t="s">
        <v>45</v>
      </c>
      <c r="V97" s="170"/>
      <c r="W97" s="170"/>
      <c r="X97" s="798"/>
      <c r="Y97" s="798"/>
      <c r="Z97" s="799" t="s">
        <v>1017</v>
      </c>
      <c r="AA97" s="742">
        <f>8000000/0.9</f>
        <v>8888888.889</v>
      </c>
      <c r="AB97" s="743">
        <v>1.0</v>
      </c>
      <c r="AC97" s="744">
        <v>30000.0</v>
      </c>
      <c r="AD97" s="744">
        <v>50000.0</v>
      </c>
      <c r="AE97" s="744">
        <v>500.0</v>
      </c>
      <c r="AF97" s="745">
        <v>1000.0</v>
      </c>
      <c r="AG97" s="746"/>
      <c r="AH97" s="744"/>
      <c r="AI97" s="744"/>
      <c r="AJ97" s="744"/>
      <c r="AK97" s="747">
        <f t="shared" ref="AK97:AK99" si="59">(AD97*2+AF97*50+AH97*10+AJ97*50)*K97</f>
        <v>150000</v>
      </c>
      <c r="AL97" s="747">
        <f t="shared" si="54"/>
        <v>9038888.889</v>
      </c>
      <c r="AM97" s="747">
        <f t="shared" si="55"/>
        <v>8961111.111</v>
      </c>
      <c r="AN97" s="748">
        <f t="shared" si="56"/>
        <v>0.4978395062</v>
      </c>
      <c r="AO97" s="9"/>
      <c r="AP97" s="9"/>
      <c r="AQ97" s="9"/>
      <c r="AR97" s="9"/>
    </row>
    <row r="98" ht="75.0" customHeight="1" outlineLevel="1">
      <c r="A98" s="1236" t="s">
        <v>45</v>
      </c>
      <c r="B98" s="1237" t="s">
        <v>348</v>
      </c>
      <c r="C98" s="1238" t="s">
        <v>38</v>
      </c>
      <c r="D98" s="1239" t="s">
        <v>349</v>
      </c>
      <c r="E98" s="1240" t="s">
        <v>40</v>
      </c>
      <c r="F98" s="1241" t="s">
        <v>21</v>
      </c>
      <c r="G98" s="1212" t="s">
        <v>50</v>
      </c>
      <c r="H98" s="1238" t="s">
        <v>340</v>
      </c>
      <c r="I98" s="1219" t="b">
        <v>1</v>
      </c>
      <c r="J98" s="110" t="s">
        <v>7</v>
      </c>
      <c r="K98" s="110">
        <f t="shared" si="50"/>
        <v>1</v>
      </c>
      <c r="L98" s="112">
        <v>1.2E7</v>
      </c>
      <c r="M98" s="112">
        <v>50000.0</v>
      </c>
      <c r="N98" s="112">
        <v>1500.0</v>
      </c>
      <c r="O98" s="112">
        <f t="shared" si="51"/>
        <v>240</v>
      </c>
      <c r="P98" s="112">
        <f t="shared" si="52"/>
        <v>8000</v>
      </c>
      <c r="Q98" s="112">
        <f t="shared" si="53"/>
        <v>12000000</v>
      </c>
      <c r="R98" s="1238" t="s">
        <v>2407</v>
      </c>
      <c r="S98" s="1242"/>
      <c r="T98" s="1242"/>
      <c r="U98" s="1236" t="s">
        <v>45</v>
      </c>
      <c r="V98" s="170"/>
      <c r="W98" s="170"/>
      <c r="X98" s="798"/>
      <c r="Y98" s="798"/>
      <c r="Z98" s="808" t="s">
        <v>1024</v>
      </c>
      <c r="AA98" s="742">
        <f>5000000/0.9</f>
        <v>5555555.556</v>
      </c>
      <c r="AB98" s="743">
        <v>1.2</v>
      </c>
      <c r="AC98" s="744">
        <v>30000.0</v>
      </c>
      <c r="AD98" s="744">
        <v>20000.0</v>
      </c>
      <c r="AE98" s="744">
        <v>500.0</v>
      </c>
      <c r="AF98" s="745">
        <v>1000.0</v>
      </c>
      <c r="AG98" s="746"/>
      <c r="AH98" s="744"/>
      <c r="AI98" s="744"/>
      <c r="AJ98" s="744"/>
      <c r="AK98" s="747">
        <f t="shared" si="59"/>
        <v>90000</v>
      </c>
      <c r="AL98" s="747">
        <f t="shared" si="54"/>
        <v>5645555.556</v>
      </c>
      <c r="AM98" s="747">
        <f t="shared" si="55"/>
        <v>6354444.444</v>
      </c>
      <c r="AN98" s="748">
        <f t="shared" si="56"/>
        <v>0.529537037</v>
      </c>
      <c r="AO98" s="9"/>
      <c r="AP98" s="9"/>
      <c r="AQ98" s="9"/>
      <c r="AR98" s="9"/>
    </row>
    <row r="99" ht="75.0" customHeight="1" outlineLevel="1">
      <c r="A99" s="1236" t="s">
        <v>45</v>
      </c>
      <c r="B99" s="1237" t="s">
        <v>351</v>
      </c>
      <c r="C99" s="1238" t="s">
        <v>38</v>
      </c>
      <c r="D99" s="1239" t="s">
        <v>352</v>
      </c>
      <c r="E99" s="1240" t="s">
        <v>40</v>
      </c>
      <c r="F99" s="1241" t="s">
        <v>21</v>
      </c>
      <c r="G99" s="1212" t="s">
        <v>105</v>
      </c>
      <c r="H99" s="1238" t="s">
        <v>340</v>
      </c>
      <c r="I99" s="1219" t="b">
        <v>1</v>
      </c>
      <c r="J99" s="110" t="s">
        <v>7</v>
      </c>
      <c r="K99" s="110">
        <f t="shared" si="50"/>
        <v>1</v>
      </c>
      <c r="L99" s="112">
        <v>2.0E7</v>
      </c>
      <c r="M99" s="112">
        <v>80000.0</v>
      </c>
      <c r="N99" s="112">
        <v>2000.0</v>
      </c>
      <c r="O99" s="112">
        <f t="shared" si="51"/>
        <v>250</v>
      </c>
      <c r="P99" s="112">
        <f t="shared" si="52"/>
        <v>10000</v>
      </c>
      <c r="Q99" s="112">
        <f t="shared" si="53"/>
        <v>20000000</v>
      </c>
      <c r="R99" s="1238" t="s">
        <v>2408</v>
      </c>
      <c r="S99" s="1224"/>
      <c r="T99" s="1224"/>
      <c r="U99" s="1236" t="s">
        <v>45</v>
      </c>
      <c r="V99" s="168"/>
      <c r="W99" s="168"/>
      <c r="X99" s="798"/>
      <c r="Y99" s="798"/>
      <c r="Z99" s="799" t="s">
        <v>1017</v>
      </c>
      <c r="AA99" s="800">
        <f>12000000/0.9</f>
        <v>13333333.33</v>
      </c>
      <c r="AB99" s="743">
        <v>0.5</v>
      </c>
      <c r="AC99" s="744">
        <v>80000.0</v>
      </c>
      <c r="AD99" s="801"/>
      <c r="AE99" s="744">
        <v>1000.0</v>
      </c>
      <c r="AF99" s="745">
        <v>1000.0</v>
      </c>
      <c r="AG99" s="803"/>
      <c r="AH99" s="801"/>
      <c r="AI99" s="744"/>
      <c r="AJ99" s="801"/>
      <c r="AK99" s="804">
        <f t="shared" si="59"/>
        <v>50000</v>
      </c>
      <c r="AL99" s="804">
        <f t="shared" si="54"/>
        <v>13383333.33</v>
      </c>
      <c r="AM99" s="804">
        <f t="shared" si="55"/>
        <v>6616666.667</v>
      </c>
      <c r="AN99" s="805">
        <f t="shared" si="56"/>
        <v>0.3308333333</v>
      </c>
      <c r="AO99" s="9"/>
      <c r="AP99" s="9"/>
      <c r="AQ99" s="9"/>
      <c r="AR99" s="9"/>
    </row>
    <row r="100" ht="54.0" customHeight="1">
      <c r="A100" s="1243" t="s">
        <v>354</v>
      </c>
      <c r="B100" s="1244"/>
      <c r="C100" s="1245"/>
      <c r="D100" s="1246"/>
      <c r="E100" s="1245"/>
      <c r="F100" s="1245"/>
      <c r="G100" s="1245"/>
      <c r="H100" s="1245"/>
      <c r="I100" s="1245"/>
      <c r="J100" s="1247"/>
      <c r="K100" s="1247"/>
      <c r="L100" s="1247"/>
      <c r="M100" s="1247"/>
      <c r="N100" s="1248">
        <f>K101</f>
        <v>2000</v>
      </c>
      <c r="O100" s="1247"/>
      <c r="P100" s="1247"/>
      <c r="Q100" s="1248">
        <f>Q101</f>
        <v>20000000</v>
      </c>
      <c r="R100" s="1249"/>
      <c r="S100" s="1250"/>
      <c r="T100" s="1250"/>
      <c r="U100" s="1250"/>
      <c r="V100" s="181"/>
      <c r="W100" s="181"/>
      <c r="X100" s="813"/>
      <c r="Y100" s="813"/>
      <c r="Z100" s="814"/>
      <c r="AA100" s="815"/>
      <c r="AB100" s="816"/>
      <c r="AC100" s="815"/>
      <c r="AD100" s="815"/>
      <c r="AE100" s="815"/>
      <c r="AF100" s="817"/>
      <c r="AG100" s="818"/>
      <c r="AH100" s="815"/>
      <c r="AI100" s="815"/>
      <c r="AJ100" s="815"/>
      <c r="AK100" s="815"/>
      <c r="AL100" s="815"/>
      <c r="AM100" s="815"/>
      <c r="AN100" s="819"/>
      <c r="AO100" s="9"/>
      <c r="AP100" s="9"/>
      <c r="AQ100" s="9"/>
      <c r="AR100" s="9"/>
    </row>
    <row r="101" ht="67.5" customHeight="1" outlineLevel="1">
      <c r="A101" s="820">
        <v>1.0</v>
      </c>
      <c r="B101" s="183" t="s">
        <v>355</v>
      </c>
      <c r="C101" s="831" t="s">
        <v>356</v>
      </c>
      <c r="D101" s="185"/>
      <c r="E101" s="185"/>
      <c r="F101" s="185"/>
      <c r="G101" s="185"/>
      <c r="H101" s="186"/>
      <c r="I101" s="823" t="b">
        <v>1</v>
      </c>
      <c r="J101" s="188" t="s">
        <v>11</v>
      </c>
      <c r="K101" s="188">
        <v>2000.0</v>
      </c>
      <c r="L101" s="188">
        <v>10000.0</v>
      </c>
      <c r="M101" s="190"/>
      <c r="N101" s="191">
        <f>L101</f>
        <v>10000</v>
      </c>
      <c r="O101" s="190"/>
      <c r="P101" s="190"/>
      <c r="Q101" s="192">
        <f>iferror(L101*K101,"-")</f>
        <v>20000000</v>
      </c>
      <c r="R101" s="825"/>
      <c r="S101" s="181"/>
      <c r="T101" s="181"/>
      <c r="U101" s="181"/>
      <c r="V101" s="181"/>
      <c r="W101" s="181"/>
      <c r="X101" s="826"/>
      <c r="Y101" s="826"/>
      <c r="Z101" s="814"/>
      <c r="AA101" s="827">
        <f>6000/0.9</f>
        <v>6666.666667</v>
      </c>
      <c r="AB101" s="832"/>
      <c r="AC101" s="828"/>
      <c r="AD101" s="828"/>
      <c r="AE101" s="828"/>
      <c r="AF101" s="829"/>
      <c r="AG101" s="830"/>
      <c r="AH101" s="828"/>
      <c r="AI101" s="828"/>
      <c r="AJ101" s="828"/>
      <c r="AK101" s="804">
        <f>(AD101*2+AF101*50+AH101*10+AJ101*50)*K101</f>
        <v>0</v>
      </c>
      <c r="AL101" s="804">
        <f>sum(AA101,AK101)*K101</f>
        <v>13333333.33</v>
      </c>
      <c r="AM101" s="804">
        <f>iferror(Q101-AL101,"-")</f>
        <v>6666666.667</v>
      </c>
      <c r="AN101" s="805">
        <f>iferror(AM101/Q101,"-")</f>
        <v>0.3333333333</v>
      </c>
      <c r="AO101" s="9"/>
      <c r="AP101" s="9"/>
      <c r="AQ101" s="9"/>
      <c r="AR101" s="9"/>
    </row>
    <row r="102" ht="23.25" customHeight="1">
      <c r="A102" s="1251"/>
      <c r="B102" s="1252"/>
      <c r="C102" s="1252"/>
      <c r="D102" s="1252"/>
      <c r="E102" s="1252"/>
      <c r="F102" s="1252"/>
      <c r="G102" s="1252"/>
      <c r="H102" s="1252"/>
      <c r="I102" s="1253" t="s">
        <v>357</v>
      </c>
      <c r="J102" s="1252"/>
      <c r="K102" s="1252"/>
      <c r="L102" s="1252"/>
      <c r="M102" s="1254">
        <f t="shared" ref="M102:N102" si="60">sum(M100,M88,M46,M20)</f>
        <v>1546500</v>
      </c>
      <c r="N102" s="1254">
        <f t="shared" si="60"/>
        <v>84200</v>
      </c>
      <c r="O102" s="1255"/>
      <c r="P102" s="1255"/>
      <c r="Q102" s="1254">
        <f>sum(Q100,Q88,Q46,Q20)</f>
        <v>616000000</v>
      </c>
      <c r="R102" s="1256"/>
      <c r="S102" s="606"/>
      <c r="T102" s="606"/>
      <c r="U102" s="606"/>
      <c r="V102" s="8"/>
      <c r="W102" s="8"/>
      <c r="X102" s="717"/>
      <c r="Y102" s="717"/>
      <c r="Z102" s="580"/>
      <c r="AA102" s="839"/>
      <c r="AB102" s="839"/>
      <c r="AC102" s="839"/>
      <c r="AD102" s="839"/>
      <c r="AE102" s="839"/>
      <c r="AF102" s="839"/>
      <c r="AG102" s="839"/>
      <c r="AH102" s="839"/>
      <c r="AI102" s="839"/>
      <c r="AJ102" s="839"/>
      <c r="AK102" s="840">
        <f t="shared" ref="AK102:AM102" si="61">sum(AK20:AK101)</f>
        <v>3080000</v>
      </c>
      <c r="AL102" s="840">
        <f t="shared" si="61"/>
        <v>293135555.6</v>
      </c>
      <c r="AM102" s="840">
        <f t="shared" si="61"/>
        <v>262864444.4</v>
      </c>
      <c r="AN102" s="841" t="str">
        <f>iferror(AM102/#REF!,"-")</f>
        <v>-</v>
      </c>
      <c r="AO102" s="9"/>
      <c r="AP102" s="9"/>
      <c r="AQ102" s="9"/>
      <c r="AR102" s="9"/>
    </row>
    <row r="103" ht="25.5" customHeight="1">
      <c r="A103" s="1251"/>
      <c r="B103" s="1252"/>
      <c r="C103" s="1252"/>
      <c r="D103" s="1252"/>
      <c r="E103" s="1252"/>
      <c r="F103" s="1252"/>
      <c r="G103" s="1252"/>
      <c r="H103" s="1252"/>
      <c r="I103" s="1253" t="s">
        <v>358</v>
      </c>
      <c r="J103" s="1252"/>
      <c r="K103" s="1252"/>
      <c r="L103" s="1252"/>
      <c r="M103" s="1252"/>
      <c r="N103" s="1252"/>
      <c r="O103" s="1252"/>
      <c r="P103" s="1257">
        <v>0.12</v>
      </c>
      <c r="Q103" s="1254">
        <f>Q102*P103</f>
        <v>73920000</v>
      </c>
      <c r="R103" s="1256"/>
      <c r="S103" s="606"/>
      <c r="T103" s="606"/>
      <c r="U103" s="606"/>
      <c r="V103" s="8"/>
      <c r="W103" s="8"/>
      <c r="X103" s="8"/>
      <c r="Y103" s="8"/>
      <c r="Z103" s="580"/>
      <c r="AA103" s="581"/>
      <c r="AB103" s="3"/>
      <c r="AC103" s="3"/>
      <c r="AD103" s="3"/>
      <c r="AE103" s="3"/>
      <c r="AF103" s="3"/>
      <c r="AG103" s="3"/>
      <c r="AH103" s="3"/>
      <c r="AI103" s="3"/>
      <c r="AJ103" s="3"/>
      <c r="AK103" s="844" t="s">
        <v>1032</v>
      </c>
      <c r="AL103" s="845"/>
      <c r="AM103" s="3"/>
      <c r="AN103" s="3"/>
      <c r="AO103" s="9"/>
      <c r="AP103" s="9"/>
      <c r="AQ103" s="9"/>
      <c r="AR103" s="9"/>
    </row>
    <row r="104" ht="25.5" customHeight="1">
      <c r="A104" s="1258"/>
      <c r="B104" s="1259"/>
      <c r="C104" s="1259"/>
      <c r="D104" s="1259"/>
      <c r="E104" s="1259"/>
      <c r="F104" s="1259"/>
      <c r="G104" s="1259"/>
      <c r="H104" s="1259"/>
      <c r="I104" s="1260" t="s">
        <v>359</v>
      </c>
      <c r="J104" s="1259"/>
      <c r="K104" s="1259"/>
      <c r="L104" s="1259"/>
      <c r="M104" s="1259"/>
      <c r="N104" s="1259"/>
      <c r="O104" s="1259"/>
      <c r="P104" s="1261"/>
      <c r="Q104" s="1262">
        <f>SUM(Q102:Q103)</f>
        <v>689920000</v>
      </c>
      <c r="R104" s="1263"/>
      <c r="S104" s="606"/>
      <c r="T104" s="606"/>
      <c r="U104" s="606"/>
      <c r="V104" s="8"/>
      <c r="W104" s="8"/>
      <c r="X104" s="8"/>
      <c r="Y104" s="8"/>
      <c r="Z104" s="580"/>
      <c r="AA104" s="581"/>
      <c r="AB104" s="3"/>
      <c r="AC104" s="3"/>
      <c r="AD104" s="3"/>
      <c r="AE104" s="3"/>
      <c r="AF104" s="3"/>
      <c r="AG104" s="3"/>
      <c r="AH104" s="3"/>
      <c r="AI104" s="3"/>
      <c r="AJ104" s="3"/>
      <c r="AK104" s="852" t="s">
        <v>1033</v>
      </c>
      <c r="AL104" s="853">
        <f>(30*600000)/0.9</f>
        <v>20000000</v>
      </c>
      <c r="AM104" s="854" t="s">
        <v>1034</v>
      </c>
      <c r="AN104" s="3"/>
      <c r="AO104" s="9"/>
      <c r="AP104" s="9"/>
      <c r="AQ104" s="9"/>
      <c r="AR104" s="9"/>
    </row>
    <row r="105" ht="25.5" customHeight="1">
      <c r="A105" s="1264"/>
      <c r="B105" s="1265"/>
      <c r="C105" s="1265"/>
      <c r="D105" s="1265"/>
      <c r="E105" s="1265"/>
      <c r="F105" s="1265"/>
      <c r="G105" s="1265"/>
      <c r="H105" s="1265"/>
      <c r="I105" s="1266" t="s">
        <v>360</v>
      </c>
      <c r="J105" s="1265"/>
      <c r="K105" s="1265"/>
      <c r="L105" s="1265"/>
      <c r="M105" s="1265"/>
      <c r="N105" s="1265"/>
      <c r="O105" s="1265"/>
      <c r="P105" s="1267"/>
      <c r="Q105" s="1268">
        <f>Q104*1.08</f>
        <v>745113600</v>
      </c>
      <c r="R105" s="1269"/>
      <c r="S105" s="606"/>
      <c r="T105" s="606"/>
      <c r="U105" s="606"/>
      <c r="V105" s="8"/>
      <c r="W105" s="8"/>
      <c r="X105" s="8"/>
      <c r="Y105" s="8"/>
      <c r="Z105" s="580"/>
      <c r="AA105" s="581"/>
      <c r="AB105" s="3"/>
      <c r="AC105" s="3"/>
      <c r="AD105" s="3"/>
      <c r="AE105" s="3"/>
      <c r="AF105" s="3"/>
      <c r="AG105" s="3"/>
      <c r="AH105" s="3"/>
      <c r="AI105" s="3"/>
      <c r="AJ105" s="3"/>
      <c r="AK105" s="860" t="s">
        <v>5</v>
      </c>
      <c r="AL105" s="861">
        <f>sum(AL102,AL104)</f>
        <v>313135555.6</v>
      </c>
      <c r="AM105" s="854"/>
      <c r="AN105" s="851"/>
      <c r="AO105" s="9"/>
      <c r="AP105" s="9"/>
      <c r="AQ105" s="9"/>
      <c r="AR105" s="9"/>
    </row>
    <row r="106" ht="25.5" customHeight="1">
      <c r="A106" s="586"/>
      <c r="B106" s="586"/>
      <c r="C106" s="586"/>
      <c r="D106" s="586"/>
      <c r="E106" s="586"/>
      <c r="F106" s="586"/>
      <c r="G106" s="586"/>
      <c r="H106" s="586"/>
      <c r="I106" s="586"/>
      <c r="J106" s="586"/>
      <c r="K106" s="586"/>
      <c r="L106" s="586"/>
      <c r="M106" s="586"/>
      <c r="N106" s="586"/>
      <c r="O106" s="586"/>
      <c r="P106" s="586"/>
      <c r="Q106" s="586"/>
      <c r="R106" s="586"/>
      <c r="S106" s="606"/>
      <c r="T106" s="606"/>
      <c r="U106" s="606"/>
      <c r="V106" s="8"/>
      <c r="W106" s="8"/>
      <c r="X106" s="8"/>
      <c r="Y106" s="8"/>
      <c r="Z106" s="580"/>
      <c r="AA106" s="581"/>
      <c r="AB106" s="3"/>
      <c r="AC106" s="3"/>
      <c r="AD106" s="3"/>
      <c r="AE106" s="3"/>
      <c r="AF106" s="3"/>
      <c r="AG106" s="3"/>
      <c r="AH106" s="3"/>
      <c r="AI106" s="3"/>
      <c r="AJ106" s="3"/>
      <c r="AK106" s="852" t="s">
        <v>1035</v>
      </c>
      <c r="AL106" s="861">
        <f>Q102-AL105</f>
        <v>302864444.4</v>
      </c>
      <c r="AM106" s="3"/>
      <c r="AN106" s="3"/>
      <c r="AO106" s="9"/>
      <c r="AP106" s="9"/>
      <c r="AQ106" s="9"/>
      <c r="AR106" s="9"/>
    </row>
    <row r="107" ht="25.5" customHeight="1">
      <c r="A107" s="1270"/>
      <c r="B107" s="1270"/>
      <c r="C107" s="1270"/>
      <c r="D107" s="1271"/>
      <c r="E107" s="1270"/>
      <c r="F107" s="1270"/>
      <c r="G107" s="1270"/>
      <c r="H107" s="1270"/>
      <c r="I107" s="1270"/>
      <c r="J107" s="1272"/>
      <c r="K107" s="1272"/>
      <c r="L107" s="1272"/>
      <c r="M107" s="1272"/>
      <c r="N107" s="1272"/>
      <c r="O107" s="1272"/>
      <c r="P107" s="1272"/>
      <c r="Q107" s="1272"/>
      <c r="R107" s="1270"/>
      <c r="S107" s="606"/>
      <c r="T107" s="606"/>
      <c r="U107" s="606"/>
      <c r="V107" s="8"/>
      <c r="W107" s="8"/>
      <c r="X107" s="8"/>
      <c r="Y107" s="8"/>
      <c r="Z107" s="580"/>
      <c r="AA107" s="865"/>
      <c r="AB107" s="3"/>
      <c r="AC107" s="3"/>
      <c r="AD107" s="3"/>
      <c r="AE107" s="3"/>
      <c r="AF107" s="3"/>
      <c r="AG107" s="3"/>
      <c r="AH107" s="3"/>
      <c r="AI107" s="3"/>
      <c r="AJ107" s="3"/>
      <c r="AK107" s="866" t="s">
        <v>1036</v>
      </c>
      <c r="AL107" s="867">
        <f>iferror(AL106/Q102,"-")</f>
        <v>0.4916630592</v>
      </c>
      <c r="AM107" s="3"/>
      <c r="AN107" s="3"/>
      <c r="AO107" s="9"/>
      <c r="AP107" s="9"/>
      <c r="AQ107" s="9"/>
      <c r="AR107" s="9"/>
    </row>
    <row r="108" ht="29.25" customHeight="1">
      <c r="A108" s="585"/>
      <c r="B108" s="585"/>
      <c r="C108" s="585"/>
      <c r="D108" s="585"/>
      <c r="E108" s="585"/>
      <c r="F108" s="585"/>
      <c r="G108" s="585"/>
      <c r="H108" s="585"/>
      <c r="I108" s="585"/>
      <c r="J108" s="585"/>
      <c r="K108" s="585"/>
      <c r="L108" s="585"/>
      <c r="M108" s="585"/>
      <c r="N108" s="585"/>
      <c r="O108" s="585"/>
      <c r="P108" s="585"/>
      <c r="Q108" s="585"/>
      <c r="R108" s="585"/>
      <c r="S108" s="585"/>
      <c r="T108" s="585"/>
      <c r="U108" s="585"/>
      <c r="V108" s="224"/>
      <c r="W108" s="224"/>
      <c r="X108" s="224"/>
      <c r="Y108" s="224"/>
      <c r="Z108" s="868"/>
      <c r="AA108" s="865"/>
      <c r="AB108" s="2"/>
      <c r="AC108" s="2"/>
      <c r="AD108" s="2"/>
      <c r="AE108" s="2"/>
      <c r="AF108" s="2"/>
      <c r="AG108" s="2"/>
      <c r="AH108" s="2"/>
      <c r="AI108" s="2"/>
      <c r="AJ108" s="2"/>
      <c r="AM108" s="2"/>
      <c r="AN108" s="2"/>
      <c r="AO108" s="9"/>
      <c r="AP108" s="9"/>
      <c r="AQ108" s="9"/>
      <c r="AR108" s="9"/>
    </row>
    <row r="109">
      <c r="A109" s="585"/>
      <c r="B109" s="585"/>
      <c r="C109" s="585"/>
      <c r="D109" s="585"/>
      <c r="E109" s="585"/>
      <c r="F109" s="585"/>
      <c r="G109" s="585"/>
      <c r="H109" s="585"/>
      <c r="I109" s="585"/>
      <c r="J109" s="585"/>
      <c r="K109" s="585"/>
      <c r="L109" s="585"/>
      <c r="M109" s="585"/>
      <c r="N109" s="585"/>
      <c r="O109" s="585"/>
      <c r="P109" s="585"/>
      <c r="Q109" s="585"/>
      <c r="R109" s="585"/>
      <c r="S109" s="585"/>
      <c r="T109" s="585"/>
      <c r="U109" s="585"/>
      <c r="V109" s="224"/>
      <c r="W109" s="224"/>
      <c r="X109" s="224"/>
      <c r="Y109" s="224"/>
      <c r="Z109" s="868"/>
      <c r="AA109" s="865"/>
      <c r="AB109" s="2"/>
      <c r="AC109" s="2"/>
      <c r="AD109" s="2"/>
      <c r="AE109" s="2"/>
      <c r="AF109" s="2"/>
      <c r="AG109" s="2"/>
      <c r="AH109" s="2"/>
      <c r="AI109" s="2"/>
      <c r="AJ109" s="2"/>
      <c r="AK109" s="2"/>
      <c r="AL109" s="2"/>
      <c r="AM109" s="2"/>
      <c r="AN109" s="2"/>
      <c r="AO109" s="9"/>
      <c r="AP109" s="9"/>
      <c r="AQ109" s="9"/>
      <c r="AR109" s="9"/>
    </row>
    <row r="110">
      <c r="A110" s="585"/>
      <c r="B110" s="585"/>
      <c r="C110" s="1250"/>
      <c r="D110" s="585"/>
      <c r="E110" s="585"/>
      <c r="F110" s="585"/>
      <c r="G110" s="585"/>
      <c r="H110" s="585"/>
      <c r="I110" s="585"/>
      <c r="J110" s="585"/>
      <c r="K110" s="585"/>
      <c r="L110" s="585"/>
      <c r="M110" s="585"/>
      <c r="N110" s="585"/>
      <c r="O110" s="585"/>
      <c r="P110" s="585"/>
      <c r="Q110" s="585"/>
      <c r="R110" s="585"/>
      <c r="S110" s="585"/>
      <c r="T110" s="585"/>
      <c r="U110" s="585"/>
      <c r="V110" s="224"/>
      <c r="W110" s="224"/>
      <c r="X110" s="224"/>
      <c r="Y110" s="224"/>
      <c r="Z110" s="868"/>
      <c r="AA110" s="865"/>
      <c r="AB110" s="2"/>
      <c r="AC110" s="2"/>
      <c r="AD110" s="2"/>
      <c r="AE110" s="2"/>
      <c r="AF110" s="2"/>
      <c r="AG110" s="2"/>
      <c r="AH110" s="2"/>
      <c r="AI110" s="2"/>
      <c r="AJ110" s="2"/>
      <c r="AK110" s="2"/>
      <c r="AL110" s="2"/>
      <c r="AM110" s="2"/>
      <c r="AN110" s="2"/>
      <c r="AO110" s="9"/>
      <c r="AP110" s="9"/>
      <c r="AQ110" s="9"/>
      <c r="AR110" s="9"/>
    </row>
    <row r="111">
      <c r="A111" s="585"/>
      <c r="B111" s="585"/>
      <c r="C111" s="585"/>
      <c r="D111" s="585"/>
      <c r="E111" s="585"/>
      <c r="F111" s="585"/>
      <c r="G111" s="585"/>
      <c r="H111" s="585"/>
      <c r="I111" s="585"/>
      <c r="J111" s="585"/>
      <c r="K111" s="585"/>
      <c r="L111" s="585"/>
      <c r="M111" s="585"/>
      <c r="N111" s="585"/>
      <c r="O111" s="585"/>
      <c r="P111" s="585"/>
      <c r="Q111" s="585"/>
      <c r="R111" s="585"/>
      <c r="S111" s="585"/>
      <c r="T111" s="585"/>
      <c r="U111" s="585"/>
      <c r="V111" s="224"/>
      <c r="W111" s="224"/>
      <c r="X111" s="224"/>
      <c r="Y111" s="224"/>
      <c r="Z111" s="868"/>
      <c r="AA111" s="865"/>
      <c r="AB111" s="2"/>
      <c r="AC111" s="2"/>
      <c r="AD111" s="2"/>
      <c r="AE111" s="2"/>
      <c r="AF111" s="2"/>
      <c r="AG111" s="2"/>
      <c r="AH111" s="2"/>
      <c r="AI111" s="2"/>
      <c r="AJ111" s="2"/>
      <c r="AK111" s="2"/>
      <c r="AL111" s="2"/>
      <c r="AM111" s="2"/>
      <c r="AN111" s="2"/>
      <c r="AO111" s="9"/>
      <c r="AP111" s="9"/>
      <c r="AQ111" s="9"/>
      <c r="AR111" s="9"/>
    </row>
    <row r="112">
      <c r="A112" s="585"/>
      <c r="B112" s="585"/>
      <c r="C112" s="585"/>
      <c r="D112" s="585"/>
      <c r="E112" s="585"/>
      <c r="F112" s="585"/>
      <c r="G112" s="585"/>
      <c r="H112" s="585"/>
      <c r="I112" s="585"/>
      <c r="J112" s="585"/>
      <c r="K112" s="585"/>
      <c r="L112" s="585"/>
      <c r="M112" s="585"/>
      <c r="N112" s="585"/>
      <c r="O112" s="585"/>
      <c r="P112" s="585"/>
      <c r="Q112" s="585"/>
      <c r="R112" s="585"/>
      <c r="S112" s="585"/>
      <c r="T112" s="585"/>
      <c r="U112" s="585"/>
      <c r="V112" s="224"/>
      <c r="W112" s="224"/>
      <c r="X112" s="224"/>
      <c r="Y112" s="224"/>
      <c r="Z112" s="868"/>
      <c r="AA112" s="865"/>
      <c r="AB112" s="2"/>
      <c r="AC112" s="2"/>
      <c r="AD112" s="2"/>
      <c r="AE112" s="2"/>
      <c r="AF112" s="2"/>
      <c r="AG112" s="2"/>
      <c r="AH112" s="2"/>
      <c r="AI112" s="2"/>
      <c r="AJ112" s="2"/>
      <c r="AK112" s="2"/>
      <c r="AL112" s="2"/>
      <c r="AM112" s="2"/>
      <c r="AN112" s="2"/>
      <c r="AO112" s="9"/>
      <c r="AP112" s="9"/>
      <c r="AQ112" s="9"/>
      <c r="AR112" s="9"/>
    </row>
    <row r="113">
      <c r="A113" s="585"/>
      <c r="B113" s="585"/>
      <c r="C113" s="585"/>
      <c r="D113" s="585"/>
      <c r="E113" s="585"/>
      <c r="F113" s="585"/>
      <c r="G113" s="585"/>
      <c r="H113" s="585"/>
      <c r="I113" s="585"/>
      <c r="J113" s="585"/>
      <c r="K113" s="585"/>
      <c r="L113" s="585"/>
      <c r="M113" s="585"/>
      <c r="N113" s="585"/>
      <c r="O113" s="585"/>
      <c r="P113" s="585"/>
      <c r="Q113" s="585"/>
      <c r="R113" s="585"/>
      <c r="S113" s="585"/>
      <c r="T113" s="585"/>
      <c r="U113" s="585"/>
      <c r="V113" s="224"/>
      <c r="W113" s="224"/>
      <c r="X113" s="224"/>
      <c r="Y113" s="224"/>
      <c r="Z113" s="868"/>
      <c r="AA113" s="865"/>
      <c r="AB113" s="2"/>
      <c r="AC113" s="2"/>
      <c r="AD113" s="2"/>
      <c r="AE113" s="2"/>
      <c r="AF113" s="2"/>
      <c r="AG113" s="2"/>
      <c r="AH113" s="2"/>
      <c r="AI113" s="2"/>
      <c r="AJ113" s="2"/>
      <c r="AK113" s="2"/>
      <c r="AL113" s="2"/>
      <c r="AM113" s="2"/>
      <c r="AN113" s="2"/>
      <c r="AO113" s="9"/>
      <c r="AP113" s="9"/>
      <c r="AQ113" s="9"/>
      <c r="AR113" s="9"/>
    </row>
    <row r="114">
      <c r="A114" s="585"/>
      <c r="B114" s="585"/>
      <c r="C114" s="585"/>
      <c r="D114" s="585"/>
      <c r="E114" s="585"/>
      <c r="F114" s="585"/>
      <c r="G114" s="585"/>
      <c r="H114" s="585"/>
      <c r="I114" s="585"/>
      <c r="J114" s="585"/>
      <c r="K114" s="585"/>
      <c r="L114" s="585"/>
      <c r="M114" s="585"/>
      <c r="N114" s="585"/>
      <c r="O114" s="585"/>
      <c r="P114" s="585"/>
      <c r="Q114" s="585"/>
      <c r="R114" s="585"/>
      <c r="S114" s="585"/>
      <c r="T114" s="585"/>
      <c r="U114" s="585"/>
      <c r="V114" s="224"/>
      <c r="W114" s="224"/>
      <c r="X114" s="224"/>
      <c r="Y114" s="224"/>
      <c r="Z114" s="868"/>
      <c r="AA114" s="865"/>
      <c r="AB114" s="2"/>
      <c r="AC114" s="2"/>
      <c r="AD114" s="2"/>
      <c r="AE114" s="2"/>
      <c r="AF114" s="2"/>
      <c r="AG114" s="2"/>
      <c r="AH114" s="2"/>
      <c r="AI114" s="2"/>
      <c r="AJ114" s="2"/>
      <c r="AK114" s="2"/>
      <c r="AL114" s="2"/>
      <c r="AM114" s="2"/>
      <c r="AN114" s="2"/>
      <c r="AO114" s="9"/>
      <c r="AP114" s="9"/>
      <c r="AQ114" s="9"/>
      <c r="AR114" s="9"/>
    </row>
    <row r="115">
      <c r="A115" s="585"/>
      <c r="B115" s="585"/>
      <c r="C115" s="585"/>
      <c r="D115" s="585"/>
      <c r="E115" s="585"/>
      <c r="F115" s="585"/>
      <c r="G115" s="585"/>
      <c r="H115" s="585"/>
      <c r="I115" s="585"/>
      <c r="J115" s="585"/>
      <c r="K115" s="585"/>
      <c r="L115" s="585"/>
      <c r="M115" s="585"/>
      <c r="N115" s="585"/>
      <c r="O115" s="585"/>
      <c r="P115" s="585"/>
      <c r="Q115" s="585"/>
      <c r="R115" s="585"/>
      <c r="S115" s="585"/>
      <c r="T115" s="585"/>
      <c r="U115" s="585"/>
      <c r="V115" s="224"/>
      <c r="W115" s="224"/>
      <c r="X115" s="224"/>
      <c r="Y115" s="224"/>
      <c r="Z115" s="868"/>
      <c r="AA115" s="865"/>
      <c r="AB115" s="2"/>
      <c r="AC115" s="2"/>
      <c r="AD115" s="2"/>
      <c r="AE115" s="2"/>
      <c r="AF115" s="2"/>
      <c r="AG115" s="2"/>
      <c r="AH115" s="2"/>
      <c r="AI115" s="2"/>
      <c r="AJ115" s="2"/>
      <c r="AK115" s="2"/>
      <c r="AL115" s="2"/>
      <c r="AM115" s="2"/>
      <c r="AN115" s="2"/>
      <c r="AO115" s="9"/>
      <c r="AP115" s="9"/>
      <c r="AQ115" s="9"/>
      <c r="AR115" s="9"/>
    </row>
    <row r="116">
      <c r="A116" s="585"/>
      <c r="B116" s="585"/>
      <c r="C116" s="585"/>
      <c r="D116" s="585"/>
      <c r="E116" s="585"/>
      <c r="F116" s="585"/>
      <c r="G116" s="585"/>
      <c r="H116" s="585"/>
      <c r="I116" s="585"/>
      <c r="J116" s="585"/>
      <c r="K116" s="585"/>
      <c r="L116" s="585"/>
      <c r="M116" s="585"/>
      <c r="N116" s="585"/>
      <c r="O116" s="585"/>
      <c r="P116" s="585"/>
      <c r="Q116" s="585"/>
      <c r="R116" s="585"/>
      <c r="S116" s="585"/>
      <c r="T116" s="585"/>
      <c r="U116" s="585"/>
      <c r="V116" s="224"/>
      <c r="W116" s="224"/>
      <c r="X116" s="224"/>
      <c r="Y116" s="224"/>
      <c r="Z116" s="868"/>
      <c r="AA116" s="865"/>
      <c r="AB116" s="2"/>
      <c r="AC116" s="2"/>
      <c r="AD116" s="2"/>
      <c r="AE116" s="2"/>
      <c r="AF116" s="2"/>
      <c r="AG116" s="2"/>
      <c r="AH116" s="2"/>
      <c r="AI116" s="2"/>
      <c r="AJ116" s="2"/>
      <c r="AK116" s="2"/>
      <c r="AL116" s="2"/>
      <c r="AM116" s="2"/>
      <c r="AN116" s="2"/>
      <c r="AO116" s="9"/>
      <c r="AP116" s="9"/>
      <c r="AQ116" s="9"/>
      <c r="AR116" s="9"/>
    </row>
    <row r="117">
      <c r="A117" s="585"/>
      <c r="B117" s="585"/>
      <c r="C117" s="585"/>
      <c r="D117" s="585"/>
      <c r="E117" s="585"/>
      <c r="F117" s="585"/>
      <c r="G117" s="585"/>
      <c r="H117" s="585"/>
      <c r="I117" s="585"/>
      <c r="J117" s="585"/>
      <c r="K117" s="585"/>
      <c r="L117" s="585"/>
      <c r="M117" s="585"/>
      <c r="N117" s="585"/>
      <c r="O117" s="585"/>
      <c r="P117" s="585"/>
      <c r="Q117" s="585"/>
      <c r="R117" s="585"/>
      <c r="S117" s="585"/>
      <c r="T117" s="585"/>
      <c r="U117" s="585"/>
      <c r="V117" s="224"/>
      <c r="W117" s="224"/>
      <c r="X117" s="224"/>
      <c r="Y117" s="224"/>
      <c r="Z117" s="868"/>
      <c r="AA117" s="865"/>
      <c r="AB117" s="2"/>
      <c r="AC117" s="2"/>
      <c r="AD117" s="2"/>
      <c r="AE117" s="2"/>
      <c r="AF117" s="2"/>
      <c r="AG117" s="2"/>
      <c r="AH117" s="2"/>
      <c r="AI117" s="2"/>
      <c r="AJ117" s="2"/>
      <c r="AK117" s="2"/>
      <c r="AL117" s="2"/>
      <c r="AM117" s="2"/>
      <c r="AN117" s="2"/>
      <c r="AO117" s="9"/>
      <c r="AP117" s="9"/>
      <c r="AQ117" s="9"/>
      <c r="AR117" s="9"/>
    </row>
    <row r="118">
      <c r="A118" s="585"/>
      <c r="B118" s="585"/>
      <c r="C118" s="585"/>
      <c r="D118" s="585"/>
      <c r="E118" s="585"/>
      <c r="F118" s="585"/>
      <c r="G118" s="585"/>
      <c r="H118" s="585"/>
      <c r="I118" s="585"/>
      <c r="J118" s="585"/>
      <c r="K118" s="585"/>
      <c r="L118" s="585"/>
      <c r="M118" s="585"/>
      <c r="N118" s="585"/>
      <c r="O118" s="585"/>
      <c r="P118" s="585"/>
      <c r="Q118" s="585"/>
      <c r="R118" s="585"/>
      <c r="S118" s="585"/>
      <c r="T118" s="585"/>
      <c r="U118" s="585"/>
      <c r="V118" s="224"/>
      <c r="W118" s="224"/>
      <c r="X118" s="224"/>
      <c r="Y118" s="224"/>
      <c r="Z118" s="868"/>
      <c r="AA118" s="865"/>
      <c r="AB118" s="2"/>
      <c r="AC118" s="2"/>
      <c r="AD118" s="2"/>
      <c r="AE118" s="2"/>
      <c r="AF118" s="2"/>
      <c r="AG118" s="2"/>
      <c r="AH118" s="2"/>
      <c r="AI118" s="2"/>
      <c r="AJ118" s="2"/>
      <c r="AK118" s="2"/>
      <c r="AL118" s="2"/>
      <c r="AM118" s="2"/>
      <c r="AN118" s="2"/>
      <c r="AO118" s="9"/>
      <c r="AP118" s="9"/>
      <c r="AQ118" s="9"/>
      <c r="AR118" s="9"/>
    </row>
    <row r="119">
      <c r="A119" s="585"/>
      <c r="B119" s="585"/>
      <c r="C119" s="585"/>
      <c r="D119" s="585"/>
      <c r="E119" s="585"/>
      <c r="F119" s="585"/>
      <c r="G119" s="585"/>
      <c r="H119" s="585"/>
      <c r="I119" s="585"/>
      <c r="J119" s="585"/>
      <c r="K119" s="585"/>
      <c r="L119" s="585"/>
      <c r="M119" s="585"/>
      <c r="N119" s="585"/>
      <c r="O119" s="585"/>
      <c r="P119" s="585"/>
      <c r="Q119" s="585"/>
      <c r="R119" s="585"/>
      <c r="S119" s="585"/>
      <c r="T119" s="585"/>
      <c r="U119" s="585"/>
      <c r="V119" s="224"/>
      <c r="W119" s="224"/>
      <c r="X119" s="224"/>
      <c r="Y119" s="224"/>
      <c r="Z119" s="868"/>
      <c r="AA119" s="865"/>
      <c r="AB119" s="2"/>
      <c r="AC119" s="2"/>
      <c r="AD119" s="2"/>
      <c r="AE119" s="2"/>
      <c r="AF119" s="2"/>
      <c r="AG119" s="2"/>
      <c r="AH119" s="2"/>
      <c r="AI119" s="2"/>
      <c r="AJ119" s="2"/>
      <c r="AK119" s="2"/>
      <c r="AL119" s="2"/>
      <c r="AM119" s="2"/>
      <c r="AN119" s="2"/>
      <c r="AO119" s="9"/>
      <c r="AP119" s="9"/>
      <c r="AQ119" s="9"/>
      <c r="AR119" s="9"/>
    </row>
    <row r="120">
      <c r="A120" s="585"/>
      <c r="B120" s="585"/>
      <c r="C120" s="585"/>
      <c r="D120" s="585"/>
      <c r="E120" s="585"/>
      <c r="F120" s="585"/>
      <c r="G120" s="585"/>
      <c r="H120" s="585"/>
      <c r="I120" s="585"/>
      <c r="J120" s="585"/>
      <c r="K120" s="585"/>
      <c r="L120" s="585"/>
      <c r="M120" s="585"/>
      <c r="N120" s="585"/>
      <c r="O120" s="585"/>
      <c r="P120" s="585"/>
      <c r="Q120" s="585"/>
      <c r="R120" s="585"/>
      <c r="S120" s="585"/>
      <c r="T120" s="585"/>
      <c r="U120" s="585"/>
      <c r="V120" s="224"/>
      <c r="W120" s="224"/>
      <c r="X120" s="224"/>
      <c r="Y120" s="224"/>
      <c r="Z120" s="868"/>
      <c r="AA120" s="865"/>
      <c r="AB120" s="2"/>
      <c r="AC120" s="2"/>
      <c r="AD120" s="2"/>
      <c r="AE120" s="2"/>
      <c r="AF120" s="2"/>
      <c r="AG120" s="2"/>
      <c r="AH120" s="2"/>
      <c r="AI120" s="2"/>
      <c r="AJ120" s="2"/>
      <c r="AK120" s="2"/>
      <c r="AL120" s="2"/>
      <c r="AM120" s="2"/>
      <c r="AN120" s="2"/>
      <c r="AO120" s="9"/>
      <c r="AP120" s="9"/>
      <c r="AQ120" s="9"/>
      <c r="AR120" s="9"/>
    </row>
    <row r="121">
      <c r="A121" s="585"/>
      <c r="B121" s="585"/>
      <c r="C121" s="585"/>
      <c r="D121" s="585"/>
      <c r="E121" s="585"/>
      <c r="F121" s="585"/>
      <c r="G121" s="585"/>
      <c r="H121" s="585"/>
      <c r="I121" s="585"/>
      <c r="J121" s="585"/>
      <c r="K121" s="585"/>
      <c r="L121" s="585"/>
      <c r="M121" s="585"/>
      <c r="N121" s="585"/>
      <c r="O121" s="585"/>
      <c r="P121" s="585"/>
      <c r="Q121" s="585"/>
      <c r="R121" s="585"/>
      <c r="S121" s="585"/>
      <c r="T121" s="585"/>
      <c r="U121" s="585"/>
      <c r="V121" s="224"/>
      <c r="W121" s="224"/>
      <c r="X121" s="224"/>
      <c r="Y121" s="224"/>
      <c r="Z121" s="868"/>
      <c r="AA121" s="865"/>
      <c r="AB121" s="2"/>
      <c r="AC121" s="2"/>
      <c r="AD121" s="2"/>
      <c r="AE121" s="2"/>
      <c r="AF121" s="2"/>
      <c r="AG121" s="2"/>
      <c r="AH121" s="2"/>
      <c r="AI121" s="2"/>
      <c r="AJ121" s="2"/>
      <c r="AK121" s="2"/>
      <c r="AL121" s="2"/>
      <c r="AM121" s="2"/>
      <c r="AN121" s="2"/>
      <c r="AO121" s="9"/>
      <c r="AP121" s="9"/>
      <c r="AQ121" s="9"/>
      <c r="AR121" s="9"/>
    </row>
    <row r="122">
      <c r="A122" s="585"/>
      <c r="B122" s="585"/>
      <c r="C122" s="585"/>
      <c r="D122" s="585"/>
      <c r="E122" s="585"/>
      <c r="F122" s="585"/>
      <c r="G122" s="585"/>
      <c r="H122" s="585"/>
      <c r="I122" s="585"/>
      <c r="J122" s="585"/>
      <c r="K122" s="585"/>
      <c r="L122" s="585"/>
      <c r="M122" s="585"/>
      <c r="N122" s="585"/>
      <c r="O122" s="585"/>
      <c r="P122" s="585"/>
      <c r="Q122" s="585"/>
      <c r="R122" s="585"/>
      <c r="S122" s="585"/>
      <c r="T122" s="585"/>
      <c r="U122" s="585"/>
      <c r="V122" s="224"/>
      <c r="W122" s="224"/>
      <c r="X122" s="224"/>
      <c r="Y122" s="224"/>
      <c r="Z122" s="868"/>
      <c r="AA122" s="865"/>
      <c r="AB122" s="2"/>
      <c r="AC122" s="2"/>
      <c r="AD122" s="2"/>
      <c r="AE122" s="2"/>
      <c r="AF122" s="2"/>
      <c r="AG122" s="2"/>
      <c r="AH122" s="2"/>
      <c r="AI122" s="2"/>
      <c r="AJ122" s="2"/>
      <c r="AK122" s="2"/>
      <c r="AL122" s="2"/>
      <c r="AM122" s="2"/>
      <c r="AN122" s="2"/>
      <c r="AO122" s="9"/>
      <c r="AP122" s="9"/>
      <c r="AQ122" s="9"/>
      <c r="AR122" s="9"/>
    </row>
    <row r="123">
      <c r="A123" s="585"/>
      <c r="B123" s="585"/>
      <c r="C123" s="585"/>
      <c r="D123" s="585"/>
      <c r="E123" s="585"/>
      <c r="F123" s="585"/>
      <c r="G123" s="585"/>
      <c r="H123" s="585"/>
      <c r="I123" s="585"/>
      <c r="J123" s="585"/>
      <c r="K123" s="585"/>
      <c r="L123" s="585"/>
      <c r="M123" s="585"/>
      <c r="N123" s="585"/>
      <c r="O123" s="585"/>
      <c r="P123" s="585"/>
      <c r="Q123" s="585"/>
      <c r="R123" s="585"/>
      <c r="S123" s="585"/>
      <c r="T123" s="585"/>
      <c r="U123" s="585"/>
      <c r="V123" s="224"/>
      <c r="W123" s="224"/>
      <c r="X123" s="224"/>
      <c r="Y123" s="224"/>
      <c r="Z123" s="868"/>
      <c r="AA123" s="865"/>
      <c r="AB123" s="2"/>
      <c r="AC123" s="2"/>
      <c r="AD123" s="2"/>
      <c r="AE123" s="2"/>
      <c r="AF123" s="2"/>
      <c r="AG123" s="2"/>
      <c r="AH123" s="2"/>
      <c r="AI123" s="2"/>
      <c r="AJ123" s="2"/>
      <c r="AK123" s="2"/>
      <c r="AL123" s="2"/>
      <c r="AM123" s="2"/>
      <c r="AN123" s="2"/>
      <c r="AO123" s="9"/>
      <c r="AP123" s="9"/>
      <c r="AQ123" s="9"/>
      <c r="AR123" s="9"/>
    </row>
    <row r="124">
      <c r="A124" s="585"/>
      <c r="B124" s="585"/>
      <c r="C124" s="585"/>
      <c r="D124" s="585"/>
      <c r="E124" s="585"/>
      <c r="F124" s="585"/>
      <c r="G124" s="585"/>
      <c r="H124" s="585"/>
      <c r="I124" s="585"/>
      <c r="J124" s="585"/>
      <c r="K124" s="585"/>
      <c r="L124" s="585"/>
      <c r="M124" s="585"/>
      <c r="N124" s="585"/>
      <c r="O124" s="585"/>
      <c r="P124" s="585"/>
      <c r="Q124" s="585"/>
      <c r="R124" s="585"/>
      <c r="S124" s="585"/>
      <c r="T124" s="585"/>
      <c r="U124" s="585"/>
      <c r="V124" s="224"/>
      <c r="W124" s="224"/>
      <c r="X124" s="224"/>
      <c r="Y124" s="224"/>
      <c r="Z124" s="868"/>
      <c r="AA124" s="865"/>
      <c r="AB124" s="2"/>
      <c r="AC124" s="2"/>
      <c r="AD124" s="2"/>
      <c r="AE124" s="2"/>
      <c r="AF124" s="2"/>
      <c r="AG124" s="2"/>
      <c r="AH124" s="2"/>
      <c r="AI124" s="2"/>
      <c r="AJ124" s="2"/>
      <c r="AK124" s="2"/>
      <c r="AL124" s="2"/>
      <c r="AM124" s="2"/>
      <c r="AN124" s="2"/>
      <c r="AO124" s="9"/>
      <c r="AP124" s="9"/>
      <c r="AQ124" s="9"/>
      <c r="AR124" s="9"/>
    </row>
    <row r="125">
      <c r="A125" s="585"/>
      <c r="B125" s="585"/>
      <c r="C125" s="585"/>
      <c r="D125" s="585"/>
      <c r="E125" s="585"/>
      <c r="F125" s="585"/>
      <c r="G125" s="585"/>
      <c r="H125" s="585"/>
      <c r="I125" s="585"/>
      <c r="J125" s="585"/>
      <c r="K125" s="585"/>
      <c r="L125" s="585"/>
      <c r="M125" s="585"/>
      <c r="N125" s="585"/>
      <c r="O125" s="585"/>
      <c r="P125" s="585"/>
      <c r="Q125" s="585"/>
      <c r="R125" s="585"/>
      <c r="S125" s="585"/>
      <c r="T125" s="585"/>
      <c r="U125" s="585"/>
      <c r="V125" s="224"/>
      <c r="W125" s="224"/>
      <c r="X125" s="224"/>
      <c r="Y125" s="224"/>
      <c r="Z125" s="868"/>
      <c r="AA125" s="865"/>
      <c r="AB125" s="2"/>
      <c r="AC125" s="2"/>
      <c r="AD125" s="2"/>
      <c r="AE125" s="2"/>
      <c r="AF125" s="2"/>
      <c r="AG125" s="2"/>
      <c r="AH125" s="2"/>
      <c r="AI125" s="2"/>
      <c r="AJ125" s="2"/>
      <c r="AK125" s="2"/>
      <c r="AL125" s="2"/>
      <c r="AM125" s="2"/>
      <c r="AN125" s="2"/>
      <c r="AO125" s="9"/>
      <c r="AP125" s="9"/>
      <c r="AQ125" s="9"/>
      <c r="AR125" s="9"/>
    </row>
    <row r="126">
      <c r="A126" s="585"/>
      <c r="B126" s="585"/>
      <c r="C126" s="585"/>
      <c r="D126" s="585"/>
      <c r="E126" s="585"/>
      <c r="F126" s="585"/>
      <c r="G126" s="585"/>
      <c r="H126" s="585"/>
      <c r="I126" s="585"/>
      <c r="J126" s="585"/>
      <c r="K126" s="585"/>
      <c r="L126" s="585"/>
      <c r="M126" s="585"/>
      <c r="N126" s="585"/>
      <c r="O126" s="585"/>
      <c r="P126" s="585"/>
      <c r="Q126" s="585"/>
      <c r="R126" s="585"/>
      <c r="S126" s="585"/>
      <c r="T126" s="585"/>
      <c r="U126" s="585"/>
      <c r="V126" s="224"/>
      <c r="W126" s="224"/>
      <c r="X126" s="224"/>
      <c r="Y126" s="224"/>
      <c r="Z126" s="868"/>
      <c r="AA126" s="865"/>
      <c r="AB126" s="2"/>
      <c r="AC126" s="2"/>
      <c r="AD126" s="2"/>
      <c r="AE126" s="2"/>
      <c r="AF126" s="2"/>
      <c r="AG126" s="2"/>
      <c r="AH126" s="2"/>
      <c r="AI126" s="2"/>
      <c r="AJ126" s="2"/>
      <c r="AK126" s="2"/>
      <c r="AL126" s="2"/>
      <c r="AM126" s="2"/>
      <c r="AN126" s="2"/>
      <c r="AO126" s="9"/>
      <c r="AP126" s="9"/>
      <c r="AQ126" s="9"/>
      <c r="AR126" s="9"/>
    </row>
    <row r="127">
      <c r="A127" s="585"/>
      <c r="B127" s="585"/>
      <c r="C127" s="585"/>
      <c r="D127" s="585"/>
      <c r="E127" s="585"/>
      <c r="F127" s="585"/>
      <c r="G127" s="585"/>
      <c r="H127" s="585"/>
      <c r="I127" s="585"/>
      <c r="J127" s="585"/>
      <c r="K127" s="585"/>
      <c r="L127" s="585"/>
      <c r="M127" s="585"/>
      <c r="N127" s="585"/>
      <c r="O127" s="585"/>
      <c r="P127" s="585"/>
      <c r="Q127" s="585"/>
      <c r="R127" s="585"/>
      <c r="S127" s="585"/>
      <c r="T127" s="585"/>
      <c r="U127" s="585"/>
      <c r="V127" s="224"/>
      <c r="W127" s="224"/>
      <c r="X127" s="224"/>
      <c r="Y127" s="224"/>
      <c r="Z127" s="868"/>
      <c r="AA127" s="865"/>
      <c r="AB127" s="2"/>
      <c r="AC127" s="2"/>
      <c r="AD127" s="2"/>
      <c r="AE127" s="2"/>
      <c r="AF127" s="2"/>
      <c r="AG127" s="2"/>
      <c r="AH127" s="2"/>
      <c r="AI127" s="2"/>
      <c r="AJ127" s="2"/>
      <c r="AK127" s="2"/>
      <c r="AL127" s="2"/>
      <c r="AM127" s="2"/>
      <c r="AN127" s="2"/>
      <c r="AO127" s="9"/>
      <c r="AP127" s="9"/>
      <c r="AQ127" s="9"/>
      <c r="AR127" s="9"/>
    </row>
    <row r="128">
      <c r="A128" s="585"/>
      <c r="B128" s="585"/>
      <c r="C128" s="585"/>
      <c r="D128" s="585"/>
      <c r="E128" s="585"/>
      <c r="F128" s="585"/>
      <c r="G128" s="585"/>
      <c r="H128" s="585"/>
      <c r="I128" s="585"/>
      <c r="J128" s="585"/>
      <c r="K128" s="585"/>
      <c r="L128" s="585"/>
      <c r="M128" s="585"/>
      <c r="N128" s="585"/>
      <c r="O128" s="585"/>
      <c r="P128" s="585"/>
      <c r="Q128" s="585"/>
      <c r="R128" s="585"/>
      <c r="S128" s="585"/>
      <c r="T128" s="585"/>
      <c r="U128" s="585"/>
      <c r="V128" s="224"/>
      <c r="W128" s="224"/>
      <c r="X128" s="224"/>
      <c r="Y128" s="224"/>
      <c r="Z128" s="868"/>
      <c r="AA128" s="865"/>
      <c r="AB128" s="2"/>
      <c r="AC128" s="2"/>
      <c r="AD128" s="2"/>
      <c r="AE128" s="2"/>
      <c r="AF128" s="2"/>
      <c r="AG128" s="2"/>
      <c r="AH128" s="2"/>
      <c r="AI128" s="2"/>
      <c r="AJ128" s="2"/>
      <c r="AK128" s="2"/>
      <c r="AL128" s="2"/>
      <c r="AM128" s="2"/>
      <c r="AN128" s="2"/>
      <c r="AO128" s="9"/>
      <c r="AP128" s="9"/>
      <c r="AQ128" s="9"/>
      <c r="AR128" s="9"/>
    </row>
    <row r="129">
      <c r="A129" s="585"/>
      <c r="B129" s="585"/>
      <c r="C129" s="585"/>
      <c r="D129" s="585"/>
      <c r="E129" s="585"/>
      <c r="F129" s="585"/>
      <c r="G129" s="585"/>
      <c r="H129" s="585"/>
      <c r="I129" s="585"/>
      <c r="J129" s="585"/>
      <c r="K129" s="585"/>
      <c r="L129" s="585"/>
      <c r="M129" s="585"/>
      <c r="N129" s="585"/>
      <c r="O129" s="585"/>
      <c r="P129" s="585"/>
      <c r="Q129" s="585"/>
      <c r="R129" s="585"/>
      <c r="S129" s="585"/>
      <c r="T129" s="585"/>
      <c r="U129" s="585"/>
      <c r="V129" s="224"/>
      <c r="W129" s="224"/>
      <c r="X129" s="224"/>
      <c r="Y129" s="224"/>
      <c r="Z129" s="868"/>
      <c r="AA129" s="865"/>
      <c r="AB129" s="2"/>
      <c r="AC129" s="2"/>
      <c r="AD129" s="2"/>
      <c r="AE129" s="2"/>
      <c r="AF129" s="2"/>
      <c r="AG129" s="2"/>
      <c r="AH129" s="2"/>
      <c r="AI129" s="2"/>
      <c r="AJ129" s="2"/>
      <c r="AK129" s="2"/>
      <c r="AL129" s="2"/>
      <c r="AM129" s="2"/>
      <c r="AN129" s="2"/>
      <c r="AO129" s="9"/>
      <c r="AP129" s="9"/>
      <c r="AQ129" s="9"/>
      <c r="AR129" s="9"/>
    </row>
    <row r="130">
      <c r="A130" s="585"/>
      <c r="B130" s="585"/>
      <c r="C130" s="585"/>
      <c r="D130" s="585"/>
      <c r="E130" s="585"/>
      <c r="F130" s="585"/>
      <c r="G130" s="585"/>
      <c r="H130" s="585"/>
      <c r="I130" s="585"/>
      <c r="J130" s="585"/>
      <c r="K130" s="585"/>
      <c r="L130" s="585"/>
      <c r="M130" s="585"/>
      <c r="N130" s="585"/>
      <c r="O130" s="585"/>
      <c r="P130" s="585"/>
      <c r="Q130" s="585"/>
      <c r="R130" s="585"/>
      <c r="S130" s="585"/>
      <c r="T130" s="585"/>
      <c r="U130" s="585"/>
      <c r="V130" s="224"/>
      <c r="W130" s="224"/>
      <c r="X130" s="224"/>
      <c r="Y130" s="224"/>
      <c r="Z130" s="868"/>
      <c r="AA130" s="865"/>
      <c r="AB130" s="2"/>
      <c r="AC130" s="2"/>
      <c r="AD130" s="2"/>
      <c r="AE130" s="2"/>
      <c r="AF130" s="2"/>
      <c r="AG130" s="2"/>
      <c r="AH130" s="2"/>
      <c r="AI130" s="2"/>
      <c r="AJ130" s="2"/>
      <c r="AK130" s="2"/>
      <c r="AL130" s="2"/>
      <c r="AM130" s="2"/>
      <c r="AN130" s="2"/>
      <c r="AO130" s="9"/>
      <c r="AP130" s="9"/>
      <c r="AQ130" s="9"/>
      <c r="AR130" s="9"/>
    </row>
    <row r="131">
      <c r="A131" s="585"/>
      <c r="B131" s="585"/>
      <c r="C131" s="585"/>
      <c r="D131" s="585"/>
      <c r="E131" s="585"/>
      <c r="F131" s="585"/>
      <c r="G131" s="585"/>
      <c r="H131" s="585"/>
      <c r="I131" s="585"/>
      <c r="J131" s="585"/>
      <c r="K131" s="585"/>
      <c r="L131" s="585"/>
      <c r="M131" s="585"/>
      <c r="N131" s="585"/>
      <c r="O131" s="585"/>
      <c r="P131" s="585"/>
      <c r="Q131" s="585"/>
      <c r="R131" s="585"/>
      <c r="S131" s="585"/>
      <c r="T131" s="585"/>
      <c r="U131" s="585"/>
      <c r="V131" s="224"/>
      <c r="W131" s="224"/>
      <c r="X131" s="224"/>
      <c r="Y131" s="224"/>
      <c r="Z131" s="868"/>
      <c r="AA131" s="865"/>
      <c r="AB131" s="2"/>
      <c r="AC131" s="2"/>
      <c r="AD131" s="2"/>
      <c r="AE131" s="2"/>
      <c r="AF131" s="2"/>
      <c r="AG131" s="2"/>
      <c r="AH131" s="2"/>
      <c r="AI131" s="2"/>
      <c r="AJ131" s="2"/>
      <c r="AK131" s="2"/>
      <c r="AL131" s="2"/>
      <c r="AM131" s="2"/>
      <c r="AN131" s="2"/>
      <c r="AO131" s="9"/>
      <c r="AP131" s="9"/>
      <c r="AQ131" s="9"/>
      <c r="AR131" s="9"/>
    </row>
    <row r="132">
      <c r="A132" s="585"/>
      <c r="B132" s="585"/>
      <c r="C132" s="585"/>
      <c r="D132" s="585"/>
      <c r="E132" s="585"/>
      <c r="F132" s="585"/>
      <c r="G132" s="585"/>
      <c r="H132" s="585"/>
      <c r="I132" s="585"/>
      <c r="J132" s="585"/>
      <c r="K132" s="585"/>
      <c r="L132" s="585"/>
      <c r="M132" s="585"/>
      <c r="N132" s="585"/>
      <c r="O132" s="585"/>
      <c r="P132" s="585"/>
      <c r="Q132" s="585"/>
      <c r="R132" s="585"/>
      <c r="S132" s="585"/>
      <c r="T132" s="585"/>
      <c r="U132" s="585"/>
      <c r="V132" s="224"/>
      <c r="W132" s="224"/>
      <c r="X132" s="224"/>
      <c r="Y132" s="224"/>
      <c r="Z132" s="868"/>
      <c r="AA132" s="865"/>
      <c r="AB132" s="2"/>
      <c r="AC132" s="2"/>
      <c r="AD132" s="2"/>
      <c r="AE132" s="2"/>
      <c r="AF132" s="2"/>
      <c r="AG132" s="2"/>
      <c r="AH132" s="2"/>
      <c r="AI132" s="2"/>
      <c r="AJ132" s="2"/>
      <c r="AK132" s="2"/>
      <c r="AL132" s="2"/>
      <c r="AM132" s="2"/>
      <c r="AN132" s="2"/>
      <c r="AO132" s="9"/>
      <c r="AP132" s="9"/>
      <c r="AQ132" s="9"/>
      <c r="AR132" s="9"/>
    </row>
    <row r="133">
      <c r="A133" s="585"/>
      <c r="B133" s="585"/>
      <c r="C133" s="585"/>
      <c r="D133" s="585"/>
      <c r="E133" s="585"/>
      <c r="F133" s="585"/>
      <c r="G133" s="585"/>
      <c r="H133" s="585"/>
      <c r="I133" s="585"/>
      <c r="J133" s="585"/>
      <c r="K133" s="585"/>
      <c r="L133" s="585"/>
      <c r="M133" s="585"/>
      <c r="N133" s="585"/>
      <c r="O133" s="585"/>
      <c r="P133" s="585"/>
      <c r="Q133" s="585"/>
      <c r="R133" s="585"/>
      <c r="S133" s="585"/>
      <c r="T133" s="585"/>
      <c r="U133" s="585"/>
      <c r="V133" s="224"/>
      <c r="W133" s="224"/>
      <c r="X133" s="224"/>
      <c r="Y133" s="224"/>
      <c r="Z133" s="868"/>
      <c r="AA133" s="865"/>
      <c r="AB133" s="2"/>
      <c r="AC133" s="2"/>
      <c r="AD133" s="2"/>
      <c r="AE133" s="2"/>
      <c r="AF133" s="2"/>
      <c r="AG133" s="2"/>
      <c r="AH133" s="2"/>
      <c r="AI133" s="2"/>
      <c r="AJ133" s="2"/>
      <c r="AK133" s="2"/>
      <c r="AL133" s="2"/>
      <c r="AM133" s="2"/>
      <c r="AN133" s="2"/>
      <c r="AO133" s="9"/>
      <c r="AP133" s="9"/>
      <c r="AQ133" s="9"/>
      <c r="AR133" s="9"/>
    </row>
    <row r="134">
      <c r="A134" s="585"/>
      <c r="B134" s="585"/>
      <c r="C134" s="585"/>
      <c r="D134" s="585"/>
      <c r="E134" s="585"/>
      <c r="F134" s="585"/>
      <c r="G134" s="585"/>
      <c r="H134" s="585"/>
      <c r="I134" s="585"/>
      <c r="J134" s="585"/>
      <c r="K134" s="585"/>
      <c r="L134" s="585"/>
      <c r="M134" s="585"/>
      <c r="N134" s="585"/>
      <c r="O134" s="585"/>
      <c r="P134" s="585"/>
      <c r="Q134" s="585"/>
      <c r="R134" s="585"/>
      <c r="S134" s="585"/>
      <c r="T134" s="585"/>
      <c r="U134" s="585"/>
      <c r="V134" s="224"/>
      <c r="W134" s="224"/>
      <c r="X134" s="224"/>
      <c r="Y134" s="224"/>
      <c r="Z134" s="868"/>
      <c r="AA134" s="865"/>
      <c r="AB134" s="2"/>
      <c r="AC134" s="2"/>
      <c r="AD134" s="2"/>
      <c r="AE134" s="2"/>
      <c r="AF134" s="2"/>
      <c r="AG134" s="2"/>
      <c r="AH134" s="2"/>
      <c r="AI134" s="2"/>
      <c r="AJ134" s="2"/>
      <c r="AK134" s="2"/>
      <c r="AL134" s="2"/>
      <c r="AM134" s="2"/>
      <c r="AN134" s="2"/>
      <c r="AO134" s="9"/>
      <c r="AP134" s="9"/>
      <c r="AQ134" s="9"/>
      <c r="AR134" s="9"/>
    </row>
    <row r="135">
      <c r="A135" s="585"/>
      <c r="B135" s="585"/>
      <c r="C135" s="585"/>
      <c r="D135" s="585"/>
      <c r="E135" s="585"/>
      <c r="F135" s="585"/>
      <c r="G135" s="585"/>
      <c r="H135" s="585"/>
      <c r="I135" s="585"/>
      <c r="J135" s="585"/>
      <c r="K135" s="585"/>
      <c r="L135" s="585"/>
      <c r="M135" s="585"/>
      <c r="N135" s="585"/>
      <c r="O135" s="585"/>
      <c r="P135" s="585"/>
      <c r="Q135" s="585"/>
      <c r="R135" s="585"/>
      <c r="S135" s="585"/>
      <c r="T135" s="585"/>
      <c r="U135" s="585"/>
      <c r="V135" s="224"/>
      <c r="W135" s="224"/>
      <c r="X135" s="224"/>
      <c r="Y135" s="224"/>
      <c r="Z135" s="868"/>
      <c r="AA135" s="865"/>
      <c r="AB135" s="2"/>
      <c r="AC135" s="2"/>
      <c r="AD135" s="2"/>
      <c r="AE135" s="2"/>
      <c r="AF135" s="2"/>
      <c r="AG135" s="2"/>
      <c r="AH135" s="2"/>
      <c r="AI135" s="2"/>
      <c r="AJ135" s="2"/>
      <c r="AK135" s="2"/>
      <c r="AL135" s="2"/>
      <c r="AM135" s="2"/>
      <c r="AN135" s="2"/>
      <c r="AO135" s="9"/>
      <c r="AP135" s="9"/>
      <c r="AQ135" s="9"/>
      <c r="AR135" s="9"/>
    </row>
    <row r="136">
      <c r="A136" s="585"/>
      <c r="B136" s="585"/>
      <c r="C136" s="585"/>
      <c r="D136" s="585"/>
      <c r="E136" s="585"/>
      <c r="F136" s="585"/>
      <c r="G136" s="585"/>
      <c r="H136" s="585"/>
      <c r="I136" s="585"/>
      <c r="J136" s="585"/>
      <c r="K136" s="585"/>
      <c r="L136" s="585"/>
      <c r="M136" s="585"/>
      <c r="N136" s="585"/>
      <c r="O136" s="585"/>
      <c r="P136" s="585"/>
      <c r="Q136" s="585"/>
      <c r="R136" s="585"/>
      <c r="S136" s="585"/>
      <c r="T136" s="585"/>
      <c r="U136" s="585"/>
      <c r="V136" s="224"/>
      <c r="W136" s="224"/>
      <c r="X136" s="224"/>
      <c r="Y136" s="224"/>
      <c r="Z136" s="868"/>
      <c r="AA136" s="865"/>
      <c r="AB136" s="2"/>
      <c r="AC136" s="2"/>
      <c r="AD136" s="2"/>
      <c r="AE136" s="2"/>
      <c r="AF136" s="2"/>
      <c r="AG136" s="2"/>
      <c r="AH136" s="2"/>
      <c r="AI136" s="2"/>
      <c r="AJ136" s="2"/>
      <c r="AK136" s="2"/>
      <c r="AL136" s="2"/>
      <c r="AM136" s="2"/>
      <c r="AN136" s="2"/>
      <c r="AO136" s="9"/>
      <c r="AP136" s="9"/>
      <c r="AQ136" s="9"/>
      <c r="AR136" s="9"/>
    </row>
    <row r="137">
      <c r="A137" s="585"/>
      <c r="B137" s="585"/>
      <c r="C137" s="585"/>
      <c r="D137" s="585"/>
      <c r="E137" s="585"/>
      <c r="F137" s="585"/>
      <c r="G137" s="585"/>
      <c r="H137" s="585"/>
      <c r="I137" s="585"/>
      <c r="J137" s="585"/>
      <c r="K137" s="585"/>
      <c r="L137" s="585"/>
      <c r="M137" s="585"/>
      <c r="N137" s="585"/>
      <c r="O137" s="585"/>
      <c r="P137" s="585"/>
      <c r="Q137" s="585"/>
      <c r="R137" s="585"/>
      <c r="S137" s="585"/>
      <c r="T137" s="585"/>
      <c r="U137" s="585"/>
      <c r="V137" s="224"/>
      <c r="W137" s="224"/>
      <c r="X137" s="224"/>
      <c r="Y137" s="224"/>
      <c r="Z137" s="868"/>
      <c r="AA137" s="865"/>
      <c r="AB137" s="2"/>
      <c r="AC137" s="2"/>
      <c r="AD137" s="2"/>
      <c r="AE137" s="2"/>
      <c r="AF137" s="2"/>
      <c r="AG137" s="2"/>
      <c r="AH137" s="2"/>
      <c r="AI137" s="2"/>
      <c r="AJ137" s="2"/>
      <c r="AK137" s="2"/>
      <c r="AL137" s="2"/>
      <c r="AM137" s="2"/>
      <c r="AN137" s="2"/>
      <c r="AO137" s="9"/>
      <c r="AP137" s="9"/>
      <c r="AQ137" s="9"/>
      <c r="AR137" s="9"/>
    </row>
    <row r="138">
      <c r="A138" s="585"/>
      <c r="B138" s="585"/>
      <c r="C138" s="585"/>
      <c r="D138" s="585"/>
      <c r="E138" s="585"/>
      <c r="F138" s="585"/>
      <c r="G138" s="585"/>
      <c r="H138" s="585"/>
      <c r="I138" s="585"/>
      <c r="J138" s="585"/>
      <c r="K138" s="585"/>
      <c r="L138" s="585"/>
      <c r="M138" s="585"/>
      <c r="N138" s="585"/>
      <c r="O138" s="585"/>
      <c r="P138" s="585"/>
      <c r="Q138" s="585"/>
      <c r="R138" s="585"/>
      <c r="S138" s="1173"/>
      <c r="T138" s="1173"/>
      <c r="U138" s="1173"/>
      <c r="V138" s="226"/>
      <c r="W138" s="226"/>
      <c r="X138" s="224"/>
      <c r="Y138" s="224"/>
      <c r="Z138" s="868"/>
      <c r="AA138" s="865"/>
      <c r="AB138" s="2"/>
      <c r="AC138" s="2"/>
      <c r="AD138" s="2"/>
      <c r="AE138" s="2"/>
      <c r="AF138" s="2"/>
      <c r="AG138" s="2"/>
      <c r="AH138" s="2"/>
      <c r="AI138" s="2"/>
      <c r="AJ138" s="2"/>
      <c r="AK138" s="2"/>
      <c r="AL138" s="2"/>
      <c r="AM138" s="2"/>
      <c r="AN138" s="2"/>
      <c r="AO138" s="9"/>
      <c r="AP138" s="9"/>
      <c r="AQ138" s="9"/>
      <c r="AR138" s="9"/>
    </row>
    <row r="139">
      <c r="A139" s="585"/>
      <c r="B139" s="585"/>
      <c r="C139" s="585"/>
      <c r="D139" s="585"/>
      <c r="E139" s="585"/>
      <c r="F139" s="585"/>
      <c r="G139" s="585"/>
      <c r="H139" s="585"/>
      <c r="I139" s="585"/>
      <c r="J139" s="585"/>
      <c r="K139" s="585"/>
      <c r="L139" s="585"/>
      <c r="M139" s="585"/>
      <c r="N139" s="585"/>
      <c r="O139" s="585"/>
      <c r="P139" s="585"/>
      <c r="Q139" s="585"/>
      <c r="R139" s="585"/>
      <c r="S139" s="585"/>
      <c r="T139" s="585"/>
      <c r="U139" s="585"/>
      <c r="V139" s="224"/>
      <c r="W139" s="224"/>
      <c r="X139" s="224"/>
      <c r="Y139" s="224"/>
      <c r="Z139" s="868"/>
      <c r="AA139" s="865"/>
      <c r="AB139" s="2"/>
      <c r="AC139" s="2"/>
      <c r="AD139" s="2"/>
      <c r="AE139" s="2"/>
      <c r="AF139" s="2"/>
      <c r="AG139" s="2"/>
      <c r="AH139" s="2"/>
      <c r="AI139" s="2"/>
      <c r="AJ139" s="2"/>
      <c r="AK139" s="2"/>
      <c r="AL139" s="2"/>
      <c r="AM139" s="2"/>
      <c r="AN139" s="2"/>
      <c r="AO139" s="9"/>
      <c r="AP139" s="9"/>
      <c r="AQ139" s="9"/>
      <c r="AR139" s="9"/>
    </row>
    <row r="140">
      <c r="A140" s="585"/>
      <c r="B140" s="585"/>
      <c r="C140" s="585"/>
      <c r="D140" s="585"/>
      <c r="E140" s="585"/>
      <c r="F140" s="585"/>
      <c r="G140" s="585"/>
      <c r="H140" s="585"/>
      <c r="I140" s="585"/>
      <c r="J140" s="585"/>
      <c r="K140" s="585"/>
      <c r="L140" s="585"/>
      <c r="M140" s="585"/>
      <c r="N140" s="585"/>
      <c r="O140" s="585"/>
      <c r="P140" s="585"/>
      <c r="Q140" s="585"/>
      <c r="R140" s="585"/>
      <c r="S140" s="585"/>
      <c r="T140" s="585"/>
      <c r="U140" s="585"/>
      <c r="V140" s="224"/>
      <c r="W140" s="224"/>
      <c r="X140" s="224"/>
      <c r="Y140" s="224"/>
      <c r="Z140" s="868"/>
      <c r="AA140" s="865"/>
      <c r="AB140" s="2"/>
      <c r="AC140" s="2"/>
      <c r="AD140" s="2"/>
      <c r="AE140" s="2"/>
      <c r="AF140" s="2"/>
      <c r="AG140" s="2"/>
      <c r="AH140" s="2"/>
      <c r="AI140" s="2"/>
      <c r="AJ140" s="2"/>
      <c r="AK140" s="2"/>
      <c r="AL140" s="2"/>
      <c r="AM140" s="2"/>
      <c r="AN140" s="2"/>
      <c r="AO140" s="9"/>
      <c r="AP140" s="9"/>
      <c r="AQ140" s="9"/>
      <c r="AR140" s="9"/>
    </row>
    <row r="141">
      <c r="A141" s="585"/>
      <c r="B141" s="585"/>
      <c r="C141" s="585"/>
      <c r="D141" s="585"/>
      <c r="E141" s="585"/>
      <c r="F141" s="585"/>
      <c r="G141" s="585"/>
      <c r="H141" s="585"/>
      <c r="I141" s="585"/>
      <c r="J141" s="585"/>
      <c r="K141" s="585"/>
      <c r="L141" s="585"/>
      <c r="M141" s="585"/>
      <c r="N141" s="585"/>
      <c r="O141" s="585"/>
      <c r="P141" s="585"/>
      <c r="Q141" s="585"/>
      <c r="R141" s="585"/>
      <c r="S141" s="585"/>
      <c r="T141" s="585"/>
      <c r="U141" s="585"/>
      <c r="V141" s="224"/>
      <c r="W141" s="224"/>
      <c r="X141" s="224"/>
      <c r="Y141" s="224"/>
      <c r="Z141" s="868"/>
      <c r="AA141" s="865"/>
      <c r="AB141" s="2"/>
      <c r="AC141" s="2"/>
      <c r="AD141" s="2"/>
      <c r="AE141" s="2"/>
      <c r="AF141" s="2"/>
      <c r="AG141" s="2"/>
      <c r="AH141" s="2"/>
      <c r="AI141" s="2"/>
      <c r="AJ141" s="2"/>
      <c r="AK141" s="2"/>
      <c r="AL141" s="2"/>
      <c r="AM141" s="2"/>
      <c r="AN141" s="2"/>
      <c r="AO141" s="9"/>
      <c r="AP141" s="9"/>
      <c r="AQ141" s="9"/>
      <c r="AR141" s="9"/>
    </row>
    <row r="142">
      <c r="A142" s="585"/>
      <c r="B142" s="585"/>
      <c r="C142" s="585"/>
      <c r="D142" s="585"/>
      <c r="E142" s="585"/>
      <c r="F142" s="585"/>
      <c r="G142" s="585"/>
      <c r="H142" s="585"/>
      <c r="I142" s="585"/>
      <c r="J142" s="585"/>
      <c r="K142" s="585"/>
      <c r="L142" s="585"/>
      <c r="M142" s="585"/>
      <c r="N142" s="585"/>
      <c r="O142" s="585"/>
      <c r="P142" s="585"/>
      <c r="Q142" s="585"/>
      <c r="R142" s="585"/>
      <c r="S142" s="585"/>
      <c r="T142" s="585"/>
      <c r="U142" s="585"/>
      <c r="V142" s="224"/>
      <c r="W142" s="224"/>
      <c r="X142" s="224"/>
      <c r="Y142" s="224"/>
      <c r="Z142" s="868"/>
      <c r="AA142" s="865"/>
      <c r="AB142" s="2"/>
      <c r="AC142" s="2"/>
      <c r="AD142" s="2"/>
      <c r="AE142" s="2"/>
      <c r="AF142" s="2"/>
      <c r="AG142" s="2"/>
      <c r="AH142" s="2"/>
      <c r="AI142" s="2"/>
      <c r="AJ142" s="2"/>
      <c r="AK142" s="2"/>
      <c r="AL142" s="2"/>
      <c r="AM142" s="2"/>
      <c r="AN142" s="2"/>
      <c r="AO142" s="9"/>
      <c r="AP142" s="9"/>
      <c r="AQ142" s="9"/>
      <c r="AR142" s="9"/>
    </row>
    <row r="143">
      <c r="A143" s="585"/>
      <c r="B143" s="585"/>
      <c r="C143" s="585"/>
      <c r="D143" s="585"/>
      <c r="E143" s="585"/>
      <c r="F143" s="585"/>
      <c r="G143" s="585"/>
      <c r="H143" s="585"/>
      <c r="I143" s="585"/>
      <c r="J143" s="585"/>
      <c r="K143" s="585"/>
      <c r="L143" s="585"/>
      <c r="M143" s="585"/>
      <c r="N143" s="585"/>
      <c r="O143" s="585"/>
      <c r="P143" s="585"/>
      <c r="Q143" s="585"/>
      <c r="R143" s="585"/>
      <c r="S143" s="585"/>
      <c r="T143" s="585"/>
      <c r="U143" s="585"/>
      <c r="V143" s="224"/>
      <c r="W143" s="224"/>
      <c r="X143" s="224"/>
      <c r="Y143" s="224"/>
      <c r="Z143" s="868"/>
      <c r="AA143" s="865"/>
      <c r="AB143" s="2"/>
      <c r="AC143" s="2"/>
      <c r="AD143" s="2"/>
      <c r="AE143" s="2"/>
      <c r="AF143" s="2"/>
      <c r="AG143" s="2"/>
      <c r="AH143" s="2"/>
      <c r="AI143" s="2"/>
      <c r="AJ143" s="2"/>
      <c r="AK143" s="2"/>
      <c r="AL143" s="2"/>
      <c r="AM143" s="2"/>
      <c r="AN143" s="2"/>
      <c r="AO143" s="9"/>
      <c r="AP143" s="9"/>
      <c r="AQ143" s="9"/>
      <c r="AR143" s="9"/>
    </row>
    <row r="144">
      <c r="A144" s="585"/>
      <c r="B144" s="585"/>
      <c r="C144" s="585"/>
      <c r="D144" s="585"/>
      <c r="E144" s="585"/>
      <c r="F144" s="585"/>
      <c r="G144" s="585"/>
      <c r="H144" s="585"/>
      <c r="I144" s="585"/>
      <c r="J144" s="585"/>
      <c r="K144" s="585"/>
      <c r="L144" s="585"/>
      <c r="M144" s="585"/>
      <c r="N144" s="585"/>
      <c r="O144" s="585"/>
      <c r="P144" s="585"/>
      <c r="Q144" s="585"/>
      <c r="R144" s="585"/>
      <c r="S144" s="585"/>
      <c r="T144" s="585"/>
      <c r="U144" s="585"/>
      <c r="V144" s="224"/>
      <c r="W144" s="224"/>
      <c r="X144" s="224"/>
      <c r="Y144" s="224"/>
      <c r="Z144" s="868"/>
      <c r="AA144" s="865"/>
      <c r="AB144" s="2"/>
      <c r="AC144" s="2"/>
      <c r="AD144" s="2"/>
      <c r="AE144" s="2"/>
      <c r="AF144" s="2"/>
      <c r="AG144" s="2"/>
      <c r="AH144" s="2"/>
      <c r="AI144" s="2"/>
      <c r="AJ144" s="2"/>
      <c r="AK144" s="2"/>
      <c r="AL144" s="2"/>
      <c r="AM144" s="2"/>
      <c r="AN144" s="2"/>
      <c r="AO144" s="9"/>
      <c r="AP144" s="9"/>
      <c r="AQ144" s="9"/>
      <c r="AR144" s="9"/>
    </row>
    <row r="145">
      <c r="A145" s="585"/>
      <c r="B145" s="585"/>
      <c r="C145" s="585"/>
      <c r="D145" s="585"/>
      <c r="E145" s="585"/>
      <c r="F145" s="585"/>
      <c r="G145" s="585"/>
      <c r="H145" s="585"/>
      <c r="I145" s="585"/>
      <c r="J145" s="585"/>
      <c r="K145" s="585"/>
      <c r="L145" s="585"/>
      <c r="M145" s="585"/>
      <c r="N145" s="585"/>
      <c r="O145" s="585"/>
      <c r="P145" s="585"/>
      <c r="Q145" s="585"/>
      <c r="R145" s="585"/>
      <c r="S145" s="585"/>
      <c r="T145" s="585"/>
      <c r="U145" s="585"/>
      <c r="V145" s="224"/>
      <c r="W145" s="224"/>
      <c r="X145" s="224"/>
      <c r="Y145" s="224"/>
      <c r="Z145" s="868"/>
      <c r="AA145" s="865"/>
      <c r="AB145" s="2"/>
      <c r="AC145" s="2"/>
      <c r="AD145" s="2"/>
      <c r="AE145" s="2"/>
      <c r="AF145" s="2"/>
      <c r="AG145" s="2"/>
      <c r="AH145" s="2"/>
      <c r="AI145" s="2"/>
      <c r="AJ145" s="2"/>
      <c r="AK145" s="2"/>
      <c r="AL145" s="2"/>
      <c r="AM145" s="2"/>
      <c r="AN145" s="2"/>
      <c r="AO145" s="9"/>
      <c r="AP145" s="9"/>
      <c r="AQ145" s="9"/>
      <c r="AR145" s="9"/>
    </row>
    <row r="146">
      <c r="A146" s="585"/>
      <c r="B146" s="585"/>
      <c r="C146" s="585"/>
      <c r="D146" s="585"/>
      <c r="E146" s="585"/>
      <c r="F146" s="585"/>
      <c r="G146" s="585"/>
      <c r="H146" s="585"/>
      <c r="I146" s="585"/>
      <c r="J146" s="585"/>
      <c r="K146" s="585"/>
      <c r="L146" s="585"/>
      <c r="M146" s="585"/>
      <c r="N146" s="585"/>
      <c r="O146" s="585"/>
      <c r="P146" s="585"/>
      <c r="Q146" s="585"/>
      <c r="R146" s="585"/>
      <c r="S146" s="585"/>
      <c r="T146" s="585"/>
      <c r="U146" s="585"/>
      <c r="V146" s="224"/>
      <c r="W146" s="224"/>
      <c r="X146" s="224"/>
      <c r="Y146" s="224"/>
      <c r="Z146" s="868"/>
      <c r="AA146" s="865"/>
      <c r="AB146" s="2"/>
      <c r="AC146" s="2"/>
      <c r="AD146" s="2"/>
      <c r="AE146" s="2"/>
      <c r="AF146" s="2"/>
      <c r="AG146" s="2"/>
      <c r="AH146" s="2"/>
      <c r="AI146" s="2"/>
      <c r="AJ146" s="2"/>
      <c r="AK146" s="2"/>
      <c r="AL146" s="2"/>
      <c r="AM146" s="2"/>
      <c r="AN146" s="2"/>
      <c r="AO146" s="9"/>
      <c r="AP146" s="9"/>
      <c r="AQ146" s="9"/>
      <c r="AR146" s="9"/>
    </row>
    <row r="147">
      <c r="A147" s="585"/>
      <c r="B147" s="585"/>
      <c r="C147" s="585"/>
      <c r="D147" s="585"/>
      <c r="E147" s="585"/>
      <c r="F147" s="585"/>
      <c r="G147" s="585"/>
      <c r="H147" s="585"/>
      <c r="I147" s="585"/>
      <c r="J147" s="585"/>
      <c r="K147" s="585"/>
      <c r="L147" s="585"/>
      <c r="M147" s="585"/>
      <c r="N147" s="585"/>
      <c r="O147" s="585"/>
      <c r="P147" s="585"/>
      <c r="Q147" s="585"/>
      <c r="R147" s="585"/>
      <c r="S147" s="585"/>
      <c r="T147" s="585"/>
      <c r="U147" s="585"/>
      <c r="V147" s="224"/>
      <c r="W147" s="224"/>
      <c r="X147" s="224"/>
      <c r="Y147" s="224"/>
      <c r="Z147" s="868"/>
      <c r="AA147" s="865"/>
      <c r="AB147" s="2"/>
      <c r="AC147" s="2"/>
      <c r="AD147" s="2"/>
      <c r="AE147" s="2"/>
      <c r="AF147" s="2"/>
      <c r="AG147" s="2"/>
      <c r="AH147" s="2"/>
      <c r="AI147" s="2"/>
      <c r="AJ147" s="2"/>
      <c r="AK147" s="2"/>
      <c r="AL147" s="2"/>
      <c r="AM147" s="2"/>
      <c r="AN147" s="2"/>
      <c r="AO147" s="9"/>
      <c r="AP147" s="9"/>
      <c r="AQ147" s="9"/>
      <c r="AR147" s="9"/>
    </row>
    <row r="148">
      <c r="A148" s="585"/>
      <c r="B148" s="585"/>
      <c r="C148" s="585"/>
      <c r="D148" s="585"/>
      <c r="E148" s="585"/>
      <c r="F148" s="585"/>
      <c r="G148" s="585"/>
      <c r="H148" s="585"/>
      <c r="I148" s="585"/>
      <c r="J148" s="585"/>
      <c r="K148" s="585"/>
      <c r="L148" s="585"/>
      <c r="M148" s="585"/>
      <c r="N148" s="585"/>
      <c r="O148" s="585"/>
      <c r="P148" s="585"/>
      <c r="Q148" s="585"/>
      <c r="R148" s="585"/>
      <c r="S148" s="585"/>
      <c r="T148" s="585"/>
      <c r="U148" s="585"/>
      <c r="V148" s="224"/>
      <c r="W148" s="224"/>
      <c r="X148" s="224"/>
      <c r="Y148" s="224"/>
      <c r="Z148" s="868"/>
      <c r="AA148" s="865"/>
      <c r="AB148" s="2"/>
      <c r="AC148" s="2"/>
      <c r="AD148" s="2"/>
      <c r="AE148" s="2"/>
      <c r="AF148" s="2"/>
      <c r="AG148" s="2"/>
      <c r="AH148" s="2"/>
      <c r="AI148" s="2"/>
      <c r="AJ148" s="2"/>
      <c r="AK148" s="2"/>
      <c r="AL148" s="2"/>
      <c r="AM148" s="2"/>
      <c r="AN148" s="2"/>
      <c r="AO148" s="9"/>
      <c r="AP148" s="9"/>
      <c r="AQ148" s="9"/>
      <c r="AR148" s="9"/>
    </row>
    <row r="149">
      <c r="A149" s="585"/>
      <c r="B149" s="585"/>
      <c r="C149" s="585"/>
      <c r="D149" s="585"/>
      <c r="E149" s="585"/>
      <c r="F149" s="585"/>
      <c r="G149" s="585"/>
      <c r="H149" s="585"/>
      <c r="I149" s="585"/>
      <c r="J149" s="585"/>
      <c r="K149" s="585"/>
      <c r="L149" s="585"/>
      <c r="M149" s="585"/>
      <c r="N149" s="585"/>
      <c r="O149" s="585"/>
      <c r="P149" s="585"/>
      <c r="Q149" s="585"/>
      <c r="R149" s="585"/>
      <c r="S149" s="585"/>
      <c r="T149" s="585"/>
      <c r="U149" s="585"/>
      <c r="V149" s="224"/>
      <c r="W149" s="224"/>
      <c r="X149" s="224"/>
      <c r="Y149" s="224"/>
      <c r="Z149" s="868"/>
      <c r="AA149" s="865"/>
      <c r="AB149" s="2"/>
      <c r="AC149" s="2"/>
      <c r="AD149" s="2"/>
      <c r="AE149" s="2"/>
      <c r="AF149" s="2"/>
      <c r="AG149" s="2"/>
      <c r="AH149" s="2"/>
      <c r="AI149" s="2"/>
      <c r="AJ149" s="2"/>
      <c r="AK149" s="2"/>
      <c r="AL149" s="2"/>
      <c r="AM149" s="2"/>
      <c r="AN149" s="2"/>
      <c r="AO149" s="9"/>
      <c r="AP149" s="9"/>
      <c r="AQ149" s="9"/>
      <c r="AR149" s="9"/>
    </row>
    <row r="150">
      <c r="A150" s="585"/>
      <c r="B150" s="585"/>
      <c r="C150" s="585"/>
      <c r="D150" s="585"/>
      <c r="E150" s="585"/>
      <c r="F150" s="585"/>
      <c r="G150" s="585"/>
      <c r="H150" s="585"/>
      <c r="I150" s="585"/>
      <c r="J150" s="585"/>
      <c r="K150" s="585"/>
      <c r="L150" s="585"/>
      <c r="M150" s="585"/>
      <c r="N150" s="585"/>
      <c r="O150" s="585"/>
      <c r="P150" s="585"/>
      <c r="Q150" s="585"/>
      <c r="R150" s="585"/>
      <c r="S150" s="585"/>
      <c r="T150" s="585"/>
      <c r="U150" s="585"/>
      <c r="V150" s="224"/>
      <c r="W150" s="224"/>
      <c r="X150" s="224"/>
      <c r="Y150" s="224"/>
      <c r="Z150" s="868"/>
      <c r="AA150" s="865"/>
      <c r="AB150" s="2"/>
      <c r="AC150" s="2"/>
      <c r="AD150" s="2"/>
      <c r="AE150" s="2"/>
      <c r="AF150" s="2"/>
      <c r="AG150" s="2"/>
      <c r="AH150" s="2"/>
      <c r="AI150" s="2"/>
      <c r="AJ150" s="2"/>
      <c r="AK150" s="2"/>
      <c r="AL150" s="2"/>
      <c r="AM150" s="2"/>
      <c r="AN150" s="2"/>
      <c r="AO150" s="9"/>
      <c r="AP150" s="9"/>
      <c r="AQ150" s="9"/>
      <c r="AR150" s="9"/>
    </row>
    <row r="151">
      <c r="A151" s="585"/>
      <c r="B151" s="585"/>
      <c r="C151" s="585"/>
      <c r="D151" s="585"/>
      <c r="E151" s="585"/>
      <c r="F151" s="585"/>
      <c r="G151" s="585"/>
      <c r="H151" s="585"/>
      <c r="I151" s="585"/>
      <c r="J151" s="585"/>
      <c r="K151" s="585"/>
      <c r="L151" s="585"/>
      <c r="M151" s="585"/>
      <c r="N151" s="585"/>
      <c r="O151" s="585"/>
      <c r="P151" s="585"/>
      <c r="Q151" s="585"/>
      <c r="R151" s="585"/>
      <c r="S151" s="585"/>
      <c r="T151" s="585"/>
      <c r="U151" s="585"/>
      <c r="V151" s="224"/>
      <c r="W151" s="224"/>
      <c r="X151" s="224"/>
      <c r="Y151" s="224"/>
      <c r="Z151" s="868"/>
      <c r="AA151" s="865"/>
      <c r="AB151" s="2"/>
      <c r="AC151" s="2"/>
      <c r="AD151" s="2"/>
      <c r="AE151" s="2"/>
      <c r="AF151" s="2"/>
      <c r="AG151" s="2"/>
      <c r="AH151" s="2"/>
      <c r="AI151" s="2"/>
      <c r="AJ151" s="2"/>
      <c r="AK151" s="2"/>
      <c r="AL151" s="2"/>
      <c r="AM151" s="2"/>
      <c r="AN151" s="2"/>
      <c r="AO151" s="9"/>
      <c r="AP151" s="9"/>
      <c r="AQ151" s="9"/>
      <c r="AR151" s="9"/>
    </row>
    <row r="152">
      <c r="A152" s="585"/>
      <c r="B152" s="585"/>
      <c r="C152" s="585"/>
      <c r="D152" s="585"/>
      <c r="E152" s="585"/>
      <c r="F152" s="585"/>
      <c r="G152" s="585"/>
      <c r="H152" s="585"/>
      <c r="I152" s="585"/>
      <c r="J152" s="585"/>
      <c r="K152" s="585"/>
      <c r="L152" s="585"/>
      <c r="M152" s="585"/>
      <c r="N152" s="585"/>
      <c r="O152" s="585"/>
      <c r="P152" s="585"/>
      <c r="Q152" s="585"/>
      <c r="R152" s="585"/>
      <c r="S152" s="585"/>
      <c r="T152" s="585"/>
      <c r="U152" s="585"/>
      <c r="V152" s="224"/>
      <c r="W152" s="224"/>
      <c r="X152" s="224"/>
      <c r="Y152" s="224"/>
      <c r="Z152" s="868"/>
      <c r="AA152" s="865"/>
      <c r="AB152" s="2"/>
      <c r="AC152" s="2"/>
      <c r="AD152" s="2"/>
      <c r="AE152" s="2"/>
      <c r="AF152" s="2"/>
      <c r="AG152" s="2"/>
      <c r="AH152" s="2"/>
      <c r="AI152" s="2"/>
      <c r="AJ152" s="2"/>
      <c r="AK152" s="2"/>
      <c r="AL152" s="2"/>
      <c r="AM152" s="2"/>
      <c r="AN152" s="2"/>
      <c r="AO152" s="9"/>
      <c r="AP152" s="9"/>
      <c r="AQ152" s="9"/>
      <c r="AR152" s="9"/>
    </row>
    <row r="153">
      <c r="A153" s="585"/>
      <c r="B153" s="585"/>
      <c r="C153" s="585"/>
      <c r="D153" s="585"/>
      <c r="E153" s="585"/>
      <c r="F153" s="585"/>
      <c r="G153" s="585"/>
      <c r="H153" s="585"/>
      <c r="I153" s="585"/>
      <c r="J153" s="585"/>
      <c r="K153" s="585"/>
      <c r="L153" s="585"/>
      <c r="M153" s="585"/>
      <c r="N153" s="585"/>
      <c r="O153" s="585"/>
      <c r="P153" s="585"/>
      <c r="Q153" s="585"/>
      <c r="R153" s="585"/>
      <c r="S153" s="585"/>
      <c r="T153" s="585"/>
      <c r="U153" s="585"/>
      <c r="V153" s="224"/>
      <c r="W153" s="224"/>
      <c r="X153" s="224"/>
      <c r="Y153" s="224"/>
      <c r="Z153" s="868"/>
      <c r="AA153" s="865"/>
      <c r="AB153" s="2"/>
      <c r="AC153" s="2"/>
      <c r="AD153" s="2"/>
      <c r="AE153" s="2"/>
      <c r="AF153" s="2"/>
      <c r="AG153" s="2"/>
      <c r="AH153" s="2"/>
      <c r="AI153" s="2"/>
      <c r="AJ153" s="2"/>
      <c r="AK153" s="2"/>
      <c r="AL153" s="2"/>
      <c r="AM153" s="2"/>
      <c r="AN153" s="2"/>
      <c r="AO153" s="9"/>
      <c r="AP153" s="9"/>
      <c r="AQ153" s="9"/>
      <c r="AR153" s="9"/>
    </row>
    <row r="154">
      <c r="A154" s="585"/>
      <c r="B154" s="585"/>
      <c r="C154" s="585"/>
      <c r="D154" s="585"/>
      <c r="E154" s="585"/>
      <c r="F154" s="585"/>
      <c r="G154" s="585"/>
      <c r="H154" s="585"/>
      <c r="I154" s="585"/>
      <c r="J154" s="585"/>
      <c r="K154" s="585"/>
      <c r="L154" s="585"/>
      <c r="M154" s="585"/>
      <c r="N154" s="585"/>
      <c r="O154" s="585"/>
      <c r="P154" s="585"/>
      <c r="Q154" s="585"/>
      <c r="R154" s="585"/>
      <c r="S154" s="585"/>
      <c r="T154" s="585"/>
      <c r="U154" s="585"/>
      <c r="V154" s="224"/>
      <c r="W154" s="224"/>
      <c r="X154" s="224"/>
      <c r="Y154" s="224"/>
      <c r="Z154" s="868"/>
      <c r="AA154" s="865"/>
      <c r="AB154" s="2"/>
      <c r="AC154" s="2"/>
      <c r="AD154" s="2"/>
      <c r="AE154" s="2"/>
      <c r="AF154" s="2"/>
      <c r="AG154" s="2"/>
      <c r="AH154" s="2"/>
      <c r="AI154" s="2"/>
      <c r="AJ154" s="2"/>
      <c r="AK154" s="2"/>
      <c r="AL154" s="2"/>
      <c r="AM154" s="2"/>
      <c r="AN154" s="2"/>
      <c r="AO154" s="9"/>
      <c r="AP154" s="9"/>
      <c r="AQ154" s="9"/>
      <c r="AR154" s="9"/>
    </row>
    <row r="155">
      <c r="A155" s="585"/>
      <c r="B155" s="585"/>
      <c r="C155" s="585"/>
      <c r="D155" s="585"/>
      <c r="E155" s="585"/>
      <c r="F155" s="585"/>
      <c r="G155" s="585"/>
      <c r="H155" s="585"/>
      <c r="I155" s="585"/>
      <c r="J155" s="585"/>
      <c r="K155" s="585"/>
      <c r="L155" s="585"/>
      <c r="M155" s="585"/>
      <c r="N155" s="585"/>
      <c r="O155" s="585"/>
      <c r="P155" s="585"/>
      <c r="Q155" s="585"/>
      <c r="R155" s="585"/>
      <c r="S155" s="585"/>
      <c r="T155" s="585"/>
      <c r="U155" s="585"/>
      <c r="V155" s="224"/>
      <c r="W155" s="224"/>
      <c r="X155" s="224"/>
      <c r="Y155" s="224"/>
      <c r="Z155" s="868"/>
      <c r="AA155" s="865"/>
      <c r="AB155" s="2"/>
      <c r="AC155" s="2"/>
      <c r="AD155" s="2"/>
      <c r="AE155" s="2"/>
      <c r="AF155" s="2"/>
      <c r="AG155" s="2"/>
      <c r="AH155" s="2"/>
      <c r="AI155" s="2"/>
      <c r="AJ155" s="2"/>
      <c r="AK155" s="2"/>
      <c r="AL155" s="2"/>
      <c r="AM155" s="2"/>
      <c r="AN155" s="2"/>
      <c r="AO155" s="9"/>
      <c r="AP155" s="9"/>
      <c r="AQ155" s="9"/>
      <c r="AR155" s="9"/>
    </row>
    <row r="156">
      <c r="A156" s="585"/>
      <c r="B156" s="585"/>
      <c r="C156" s="585"/>
      <c r="D156" s="585"/>
      <c r="E156" s="585"/>
      <c r="F156" s="585"/>
      <c r="G156" s="585"/>
      <c r="H156" s="585"/>
      <c r="I156" s="585"/>
      <c r="J156" s="585"/>
      <c r="K156" s="585"/>
      <c r="L156" s="585"/>
      <c r="M156" s="585"/>
      <c r="N156" s="585"/>
      <c r="O156" s="585"/>
      <c r="P156" s="585"/>
      <c r="Q156" s="585"/>
      <c r="R156" s="585"/>
      <c r="S156" s="585"/>
      <c r="T156" s="585"/>
      <c r="U156" s="585"/>
      <c r="V156" s="224"/>
      <c r="W156" s="224"/>
      <c r="X156" s="224"/>
      <c r="Y156" s="224"/>
      <c r="Z156" s="868"/>
      <c r="AA156" s="865"/>
      <c r="AB156" s="2"/>
      <c r="AC156" s="2"/>
      <c r="AD156" s="2"/>
      <c r="AE156" s="2"/>
      <c r="AF156" s="2"/>
      <c r="AG156" s="2"/>
      <c r="AH156" s="2"/>
      <c r="AI156" s="2"/>
      <c r="AJ156" s="2"/>
      <c r="AK156" s="2"/>
      <c r="AL156" s="2"/>
      <c r="AM156" s="2"/>
      <c r="AN156" s="2"/>
      <c r="AO156" s="9"/>
      <c r="AP156" s="9"/>
      <c r="AQ156" s="9"/>
      <c r="AR156" s="9"/>
    </row>
    <row r="157">
      <c r="A157" s="585"/>
      <c r="B157" s="585"/>
      <c r="C157" s="585"/>
      <c r="D157" s="585"/>
      <c r="E157" s="585"/>
      <c r="F157" s="585"/>
      <c r="G157" s="585"/>
      <c r="H157" s="585"/>
      <c r="I157" s="585"/>
      <c r="J157" s="585"/>
      <c r="K157" s="585"/>
      <c r="L157" s="585"/>
      <c r="M157" s="585"/>
      <c r="N157" s="585"/>
      <c r="O157" s="585"/>
      <c r="P157" s="585"/>
      <c r="Q157" s="585"/>
      <c r="R157" s="585"/>
      <c r="S157" s="585"/>
      <c r="T157" s="585"/>
      <c r="U157" s="585"/>
      <c r="V157" s="224"/>
      <c r="W157" s="224"/>
      <c r="X157" s="224"/>
      <c r="Y157" s="224"/>
      <c r="Z157" s="868"/>
      <c r="AA157" s="865"/>
      <c r="AB157" s="2"/>
      <c r="AC157" s="2"/>
      <c r="AD157" s="2"/>
      <c r="AE157" s="2"/>
      <c r="AF157" s="2"/>
      <c r="AG157" s="2"/>
      <c r="AH157" s="2"/>
      <c r="AI157" s="2"/>
      <c r="AJ157" s="2"/>
      <c r="AK157" s="2"/>
      <c r="AL157" s="2"/>
      <c r="AM157" s="2"/>
      <c r="AN157" s="2"/>
      <c r="AO157" s="9"/>
      <c r="AP157" s="9"/>
      <c r="AQ157" s="9"/>
      <c r="AR157" s="9"/>
    </row>
    <row r="158">
      <c r="A158" s="585"/>
      <c r="B158" s="585"/>
      <c r="C158" s="585"/>
      <c r="D158" s="585"/>
      <c r="E158" s="585"/>
      <c r="F158" s="585"/>
      <c r="G158" s="585"/>
      <c r="H158" s="585"/>
      <c r="I158" s="585"/>
      <c r="J158" s="585"/>
      <c r="K158" s="585"/>
      <c r="L158" s="585"/>
      <c r="M158" s="585"/>
      <c r="N158" s="585"/>
      <c r="O158" s="585"/>
      <c r="P158" s="585"/>
      <c r="Q158" s="585"/>
      <c r="R158" s="585"/>
      <c r="S158" s="585"/>
      <c r="T158" s="585"/>
      <c r="U158" s="585"/>
      <c r="V158" s="224"/>
      <c r="W158" s="224"/>
      <c r="X158" s="224"/>
      <c r="Y158" s="224"/>
      <c r="Z158" s="868"/>
      <c r="AA158" s="865"/>
      <c r="AB158" s="2"/>
      <c r="AC158" s="2"/>
      <c r="AD158" s="2"/>
      <c r="AE158" s="2"/>
      <c r="AF158" s="2"/>
      <c r="AG158" s="2"/>
      <c r="AH158" s="2"/>
      <c r="AI158" s="2"/>
      <c r="AJ158" s="2"/>
      <c r="AK158" s="2"/>
      <c r="AL158" s="2"/>
      <c r="AM158" s="2"/>
      <c r="AN158" s="2"/>
      <c r="AO158" s="9"/>
      <c r="AP158" s="9"/>
      <c r="AQ158" s="9"/>
      <c r="AR158" s="9"/>
    </row>
    <row r="159">
      <c r="A159" s="585"/>
      <c r="B159" s="585"/>
      <c r="C159" s="585"/>
      <c r="D159" s="585"/>
      <c r="E159" s="585"/>
      <c r="F159" s="585"/>
      <c r="G159" s="585"/>
      <c r="H159" s="585"/>
      <c r="I159" s="585"/>
      <c r="J159" s="585"/>
      <c r="K159" s="585"/>
      <c r="L159" s="585"/>
      <c r="M159" s="585"/>
      <c r="N159" s="585"/>
      <c r="O159" s="585"/>
      <c r="P159" s="585"/>
      <c r="Q159" s="585"/>
      <c r="R159" s="585"/>
      <c r="S159" s="585"/>
      <c r="T159" s="585"/>
      <c r="U159" s="585"/>
      <c r="V159" s="224"/>
      <c r="W159" s="224"/>
      <c r="X159" s="224"/>
      <c r="Y159" s="224"/>
      <c r="Z159" s="868"/>
      <c r="AA159" s="865"/>
      <c r="AB159" s="2"/>
      <c r="AC159" s="2"/>
      <c r="AD159" s="2"/>
      <c r="AE159" s="2"/>
      <c r="AF159" s="2"/>
      <c r="AG159" s="2"/>
      <c r="AH159" s="2"/>
      <c r="AI159" s="2"/>
      <c r="AJ159" s="2"/>
      <c r="AK159" s="2"/>
      <c r="AL159" s="2"/>
      <c r="AM159" s="2"/>
      <c r="AN159" s="2"/>
      <c r="AO159" s="9"/>
      <c r="AP159" s="9"/>
      <c r="AQ159" s="9"/>
      <c r="AR159" s="9"/>
    </row>
    <row r="160">
      <c r="A160" s="585"/>
      <c r="B160" s="585"/>
      <c r="C160" s="585"/>
      <c r="D160" s="585"/>
      <c r="E160" s="585"/>
      <c r="F160" s="585"/>
      <c r="G160" s="585"/>
      <c r="H160" s="585"/>
      <c r="I160" s="585"/>
      <c r="J160" s="585"/>
      <c r="K160" s="585"/>
      <c r="L160" s="585"/>
      <c r="M160" s="585"/>
      <c r="N160" s="585"/>
      <c r="O160" s="585"/>
      <c r="P160" s="585"/>
      <c r="Q160" s="585"/>
      <c r="R160" s="585"/>
      <c r="S160" s="585"/>
      <c r="T160" s="585"/>
      <c r="U160" s="585"/>
      <c r="V160" s="224"/>
      <c r="W160" s="224"/>
      <c r="X160" s="224"/>
      <c r="Y160" s="224"/>
      <c r="Z160" s="868"/>
      <c r="AA160" s="865"/>
      <c r="AB160" s="2"/>
      <c r="AC160" s="2"/>
      <c r="AD160" s="2"/>
      <c r="AE160" s="2"/>
      <c r="AF160" s="2"/>
      <c r="AG160" s="2"/>
      <c r="AH160" s="2"/>
      <c r="AI160" s="2"/>
      <c r="AJ160" s="2"/>
      <c r="AK160" s="2"/>
      <c r="AL160" s="2"/>
      <c r="AM160" s="2"/>
      <c r="AN160" s="2"/>
      <c r="AO160" s="9"/>
      <c r="AP160" s="9"/>
      <c r="AQ160" s="9"/>
      <c r="AR160" s="9"/>
    </row>
    <row r="161">
      <c r="A161" s="585"/>
      <c r="B161" s="585"/>
      <c r="C161" s="585"/>
      <c r="D161" s="585"/>
      <c r="E161" s="585"/>
      <c r="F161" s="585"/>
      <c r="G161" s="585"/>
      <c r="H161" s="585"/>
      <c r="I161" s="585"/>
      <c r="J161" s="585"/>
      <c r="K161" s="585"/>
      <c r="L161" s="585"/>
      <c r="M161" s="585"/>
      <c r="N161" s="585"/>
      <c r="O161" s="585"/>
      <c r="P161" s="585"/>
      <c r="Q161" s="585"/>
      <c r="R161" s="585"/>
      <c r="S161" s="585"/>
      <c r="T161" s="585"/>
      <c r="U161" s="585"/>
      <c r="V161" s="224"/>
      <c r="W161" s="224"/>
      <c r="X161" s="224"/>
      <c r="Y161" s="224"/>
      <c r="Z161" s="868"/>
      <c r="AA161" s="865"/>
      <c r="AB161" s="2"/>
      <c r="AC161" s="2"/>
      <c r="AD161" s="2"/>
      <c r="AE161" s="2"/>
      <c r="AF161" s="2"/>
      <c r="AG161" s="2"/>
      <c r="AH161" s="2"/>
      <c r="AI161" s="2"/>
      <c r="AJ161" s="2"/>
      <c r="AK161" s="2"/>
      <c r="AL161" s="2"/>
      <c r="AM161" s="2"/>
      <c r="AN161" s="2"/>
      <c r="AO161" s="9"/>
      <c r="AP161" s="9"/>
      <c r="AQ161" s="9"/>
      <c r="AR161" s="9"/>
    </row>
    <row r="162">
      <c r="A162" s="585"/>
      <c r="B162" s="585"/>
      <c r="C162" s="585"/>
      <c r="D162" s="585"/>
      <c r="E162" s="585"/>
      <c r="F162" s="585"/>
      <c r="G162" s="585"/>
      <c r="H162" s="585"/>
      <c r="I162" s="585"/>
      <c r="J162" s="585"/>
      <c r="K162" s="585"/>
      <c r="L162" s="585"/>
      <c r="M162" s="585"/>
      <c r="N162" s="585"/>
      <c r="O162" s="585"/>
      <c r="P162" s="585"/>
      <c r="Q162" s="585"/>
      <c r="R162" s="585"/>
      <c r="S162" s="585"/>
      <c r="T162" s="585"/>
      <c r="U162" s="585"/>
      <c r="V162" s="224"/>
      <c r="W162" s="224"/>
      <c r="X162" s="224"/>
      <c r="Y162" s="224"/>
      <c r="Z162" s="868"/>
      <c r="AA162" s="865"/>
      <c r="AB162" s="2"/>
      <c r="AC162" s="2"/>
      <c r="AD162" s="2"/>
      <c r="AE162" s="2"/>
      <c r="AF162" s="2"/>
      <c r="AG162" s="2"/>
      <c r="AH162" s="2"/>
      <c r="AI162" s="2"/>
      <c r="AJ162" s="2"/>
      <c r="AK162" s="2"/>
      <c r="AL162" s="2"/>
      <c r="AM162" s="2"/>
      <c r="AN162" s="2"/>
      <c r="AO162" s="9"/>
      <c r="AP162" s="9"/>
      <c r="AQ162" s="9"/>
      <c r="AR162" s="9"/>
    </row>
    <row r="163">
      <c r="A163" s="585"/>
      <c r="B163" s="585"/>
      <c r="C163" s="585"/>
      <c r="D163" s="585"/>
      <c r="E163" s="585"/>
      <c r="F163" s="585"/>
      <c r="G163" s="585"/>
      <c r="H163" s="585"/>
      <c r="I163" s="585"/>
      <c r="J163" s="585"/>
      <c r="K163" s="585"/>
      <c r="L163" s="585"/>
      <c r="M163" s="585"/>
      <c r="N163" s="585"/>
      <c r="O163" s="585"/>
      <c r="P163" s="585"/>
      <c r="Q163" s="585"/>
      <c r="R163" s="585"/>
      <c r="S163" s="585"/>
      <c r="T163" s="585"/>
      <c r="U163" s="585"/>
      <c r="V163" s="224"/>
      <c r="W163" s="224"/>
      <c r="X163" s="224"/>
      <c r="Y163" s="224"/>
      <c r="Z163" s="868"/>
      <c r="AA163" s="865"/>
      <c r="AB163" s="2"/>
      <c r="AC163" s="2"/>
      <c r="AD163" s="2"/>
      <c r="AE163" s="2"/>
      <c r="AF163" s="2"/>
      <c r="AG163" s="2"/>
      <c r="AH163" s="2"/>
      <c r="AI163" s="2"/>
      <c r="AJ163" s="2"/>
      <c r="AK163" s="2"/>
      <c r="AL163" s="2"/>
      <c r="AM163" s="2"/>
      <c r="AN163" s="2"/>
      <c r="AO163" s="9"/>
      <c r="AP163" s="9"/>
      <c r="AQ163" s="9"/>
      <c r="AR163" s="9"/>
    </row>
    <row r="164">
      <c r="A164" s="585"/>
      <c r="B164" s="585"/>
      <c r="C164" s="585"/>
      <c r="D164" s="585"/>
      <c r="E164" s="585"/>
      <c r="F164" s="585"/>
      <c r="G164" s="585"/>
      <c r="H164" s="585"/>
      <c r="I164" s="585"/>
      <c r="J164" s="585"/>
      <c r="K164" s="585"/>
      <c r="L164" s="585"/>
      <c r="M164" s="585"/>
      <c r="N164" s="585"/>
      <c r="O164" s="585"/>
      <c r="P164" s="585"/>
      <c r="Q164" s="585"/>
      <c r="R164" s="585"/>
      <c r="S164" s="585"/>
      <c r="T164" s="585"/>
      <c r="U164" s="585"/>
      <c r="V164" s="224"/>
      <c r="W164" s="224"/>
      <c r="X164" s="224"/>
      <c r="Y164" s="224"/>
      <c r="Z164" s="868"/>
      <c r="AA164" s="865"/>
      <c r="AB164" s="2"/>
      <c r="AC164" s="2"/>
      <c r="AD164" s="2"/>
      <c r="AE164" s="2"/>
      <c r="AF164" s="2"/>
      <c r="AG164" s="2"/>
      <c r="AH164" s="2"/>
      <c r="AI164" s="2"/>
      <c r="AJ164" s="2"/>
      <c r="AK164" s="2"/>
      <c r="AL164" s="2"/>
      <c r="AM164" s="2"/>
      <c r="AN164" s="2"/>
      <c r="AO164" s="9"/>
      <c r="AP164" s="9"/>
      <c r="AQ164" s="9"/>
      <c r="AR164" s="9"/>
    </row>
    <row r="165">
      <c r="A165" s="585"/>
      <c r="B165" s="585"/>
      <c r="C165" s="585"/>
      <c r="D165" s="585"/>
      <c r="E165" s="585"/>
      <c r="F165" s="585"/>
      <c r="G165" s="585"/>
      <c r="H165" s="585"/>
      <c r="I165" s="585"/>
      <c r="J165" s="585"/>
      <c r="K165" s="585"/>
      <c r="L165" s="585"/>
      <c r="M165" s="585"/>
      <c r="N165" s="585"/>
      <c r="O165" s="585"/>
      <c r="P165" s="585"/>
      <c r="Q165" s="585"/>
      <c r="R165" s="585"/>
      <c r="S165" s="585"/>
      <c r="T165" s="585"/>
      <c r="U165" s="585"/>
      <c r="V165" s="224"/>
      <c r="W165" s="224"/>
      <c r="X165" s="224"/>
      <c r="Y165" s="224"/>
      <c r="Z165" s="868"/>
      <c r="AA165" s="865"/>
      <c r="AB165" s="2"/>
      <c r="AC165" s="2"/>
      <c r="AD165" s="2"/>
      <c r="AE165" s="2"/>
      <c r="AF165" s="2"/>
      <c r="AG165" s="2"/>
      <c r="AH165" s="2"/>
      <c r="AI165" s="2"/>
      <c r="AJ165" s="2"/>
      <c r="AK165" s="2"/>
      <c r="AL165" s="2"/>
      <c r="AM165" s="2"/>
      <c r="AN165" s="2"/>
      <c r="AO165" s="9"/>
      <c r="AP165" s="9"/>
      <c r="AQ165" s="9"/>
      <c r="AR165" s="9"/>
    </row>
    <row r="166">
      <c r="A166" s="585"/>
      <c r="B166" s="585"/>
      <c r="C166" s="585"/>
      <c r="D166" s="585"/>
      <c r="E166" s="585"/>
      <c r="F166" s="585"/>
      <c r="G166" s="585"/>
      <c r="H166" s="585"/>
      <c r="I166" s="585"/>
      <c r="J166" s="585"/>
      <c r="K166" s="585"/>
      <c r="L166" s="585"/>
      <c r="M166" s="585"/>
      <c r="N166" s="585"/>
      <c r="O166" s="585"/>
      <c r="P166" s="585"/>
      <c r="Q166" s="585"/>
      <c r="R166" s="585"/>
      <c r="S166" s="585"/>
      <c r="T166" s="585"/>
      <c r="U166" s="585"/>
      <c r="V166" s="224"/>
      <c r="W166" s="224"/>
      <c r="X166" s="224"/>
      <c r="Y166" s="224"/>
      <c r="Z166" s="868"/>
      <c r="AA166" s="865"/>
      <c r="AB166" s="2"/>
      <c r="AC166" s="2"/>
      <c r="AD166" s="2"/>
      <c r="AE166" s="2"/>
      <c r="AF166" s="2"/>
      <c r="AG166" s="2"/>
      <c r="AH166" s="2"/>
      <c r="AI166" s="2"/>
      <c r="AJ166" s="2"/>
      <c r="AK166" s="2"/>
      <c r="AL166" s="2"/>
      <c r="AM166" s="2"/>
      <c r="AN166" s="2"/>
      <c r="AO166" s="9"/>
      <c r="AP166" s="9"/>
      <c r="AQ166" s="9"/>
      <c r="AR166" s="9"/>
    </row>
    <row r="167">
      <c r="A167" s="585"/>
      <c r="B167" s="585"/>
      <c r="C167" s="585"/>
      <c r="D167" s="585"/>
      <c r="E167" s="585"/>
      <c r="F167" s="585"/>
      <c r="G167" s="585"/>
      <c r="H167" s="585"/>
      <c r="I167" s="585"/>
      <c r="J167" s="585"/>
      <c r="K167" s="585"/>
      <c r="L167" s="585"/>
      <c r="M167" s="585"/>
      <c r="N167" s="585"/>
      <c r="O167" s="585"/>
      <c r="P167" s="585"/>
      <c r="Q167" s="585"/>
      <c r="R167" s="585"/>
      <c r="S167" s="585"/>
      <c r="T167" s="585"/>
      <c r="U167" s="585"/>
      <c r="V167" s="224"/>
      <c r="W167" s="224"/>
      <c r="X167" s="224"/>
      <c r="Y167" s="224"/>
      <c r="Z167" s="868"/>
      <c r="AA167" s="865"/>
      <c r="AB167" s="2"/>
      <c r="AC167" s="2"/>
      <c r="AD167" s="2"/>
      <c r="AE167" s="2"/>
      <c r="AF167" s="2"/>
      <c r="AG167" s="2"/>
      <c r="AH167" s="2"/>
      <c r="AI167" s="2"/>
      <c r="AJ167" s="2"/>
      <c r="AK167" s="2"/>
      <c r="AL167" s="2"/>
      <c r="AM167" s="2"/>
      <c r="AN167" s="2"/>
      <c r="AO167" s="9"/>
      <c r="AP167" s="9"/>
      <c r="AQ167" s="9"/>
      <c r="AR167" s="9"/>
    </row>
    <row r="168">
      <c r="A168" s="585"/>
      <c r="B168" s="585"/>
      <c r="C168" s="585"/>
      <c r="D168" s="585"/>
      <c r="E168" s="585"/>
      <c r="F168" s="585"/>
      <c r="G168" s="585"/>
      <c r="H168" s="585"/>
      <c r="I168" s="585"/>
      <c r="J168" s="585"/>
      <c r="K168" s="585"/>
      <c r="L168" s="585"/>
      <c r="M168" s="585"/>
      <c r="N168" s="585"/>
      <c r="O168" s="585"/>
      <c r="P168" s="585"/>
      <c r="Q168" s="585"/>
      <c r="R168" s="585"/>
      <c r="S168" s="585"/>
      <c r="T168" s="585"/>
      <c r="U168" s="585"/>
      <c r="V168" s="224"/>
      <c r="W168" s="224"/>
      <c r="X168" s="224"/>
      <c r="Y168" s="224"/>
      <c r="Z168" s="868"/>
      <c r="AA168" s="865"/>
      <c r="AB168" s="2"/>
      <c r="AC168" s="2"/>
      <c r="AD168" s="2"/>
      <c r="AE168" s="2"/>
      <c r="AF168" s="2"/>
      <c r="AG168" s="2"/>
      <c r="AH168" s="2"/>
      <c r="AI168" s="2"/>
      <c r="AJ168" s="2"/>
      <c r="AK168" s="2"/>
      <c r="AL168" s="2"/>
      <c r="AM168" s="2"/>
      <c r="AN168" s="2"/>
      <c r="AO168" s="9"/>
      <c r="AP168" s="9"/>
      <c r="AQ168" s="9"/>
      <c r="AR168" s="9"/>
    </row>
    <row r="169">
      <c r="A169" s="585"/>
      <c r="B169" s="585"/>
      <c r="C169" s="585"/>
      <c r="D169" s="585"/>
      <c r="E169" s="585"/>
      <c r="F169" s="585"/>
      <c r="G169" s="585"/>
      <c r="H169" s="585"/>
      <c r="I169" s="585"/>
      <c r="J169" s="585"/>
      <c r="K169" s="585"/>
      <c r="L169" s="585"/>
      <c r="M169" s="585"/>
      <c r="N169" s="585"/>
      <c r="O169" s="585"/>
      <c r="P169" s="585"/>
      <c r="Q169" s="585"/>
      <c r="R169" s="585"/>
      <c r="S169" s="585"/>
      <c r="T169" s="585"/>
      <c r="U169" s="585"/>
      <c r="V169" s="224"/>
      <c r="W169" s="224"/>
      <c r="X169" s="224"/>
      <c r="Y169" s="224"/>
      <c r="Z169" s="868"/>
      <c r="AA169" s="865"/>
      <c r="AB169" s="2"/>
      <c r="AC169" s="2"/>
      <c r="AD169" s="2"/>
      <c r="AE169" s="2"/>
      <c r="AF169" s="2"/>
      <c r="AG169" s="2"/>
      <c r="AH169" s="2"/>
      <c r="AI169" s="2"/>
      <c r="AJ169" s="2"/>
      <c r="AK169" s="2"/>
      <c r="AL169" s="2"/>
      <c r="AM169" s="2"/>
      <c r="AN169" s="2"/>
      <c r="AO169" s="9"/>
      <c r="AP169" s="9"/>
      <c r="AQ169" s="9"/>
      <c r="AR169" s="9"/>
    </row>
    <row r="170">
      <c r="A170" s="585"/>
      <c r="B170" s="585"/>
      <c r="C170" s="585"/>
      <c r="D170" s="585"/>
      <c r="E170" s="585"/>
      <c r="F170" s="585"/>
      <c r="G170" s="585"/>
      <c r="H170" s="585"/>
      <c r="I170" s="585"/>
      <c r="J170" s="585"/>
      <c r="K170" s="585"/>
      <c r="L170" s="585"/>
      <c r="M170" s="585"/>
      <c r="N170" s="585"/>
      <c r="O170" s="585"/>
      <c r="P170" s="585"/>
      <c r="Q170" s="585"/>
      <c r="R170" s="585"/>
      <c r="S170" s="585"/>
      <c r="T170" s="585"/>
      <c r="U170" s="585"/>
      <c r="V170" s="224"/>
      <c r="W170" s="224"/>
      <c r="X170" s="224"/>
      <c r="Y170" s="224"/>
      <c r="Z170" s="868"/>
      <c r="AA170" s="865"/>
      <c r="AB170" s="2"/>
      <c r="AC170" s="2"/>
      <c r="AD170" s="2"/>
      <c r="AE170" s="2"/>
      <c r="AF170" s="2"/>
      <c r="AG170" s="2"/>
      <c r="AH170" s="2"/>
      <c r="AI170" s="2"/>
      <c r="AJ170" s="2"/>
      <c r="AK170" s="2"/>
      <c r="AL170" s="2"/>
      <c r="AM170" s="2"/>
      <c r="AN170" s="2"/>
      <c r="AO170" s="9"/>
      <c r="AP170" s="9"/>
      <c r="AQ170" s="9"/>
      <c r="AR170" s="9"/>
    </row>
    <row r="171">
      <c r="A171" s="585"/>
      <c r="B171" s="585"/>
      <c r="C171" s="585"/>
      <c r="D171" s="585"/>
      <c r="E171" s="585"/>
      <c r="F171" s="585"/>
      <c r="G171" s="585"/>
      <c r="H171" s="585"/>
      <c r="I171" s="585"/>
      <c r="J171" s="585"/>
      <c r="K171" s="585"/>
      <c r="L171" s="585"/>
      <c r="M171" s="585"/>
      <c r="N171" s="585"/>
      <c r="O171" s="585"/>
      <c r="P171" s="585"/>
      <c r="Q171" s="585"/>
      <c r="R171" s="585"/>
      <c r="S171" s="585"/>
      <c r="T171" s="585"/>
      <c r="U171" s="585"/>
      <c r="V171" s="224"/>
      <c r="W171" s="224"/>
      <c r="X171" s="224"/>
      <c r="Y171" s="224"/>
      <c r="Z171" s="868"/>
      <c r="AA171" s="865"/>
      <c r="AB171" s="2"/>
      <c r="AC171" s="2"/>
      <c r="AD171" s="2"/>
      <c r="AE171" s="2"/>
      <c r="AF171" s="2"/>
      <c r="AG171" s="2"/>
      <c r="AH171" s="2"/>
      <c r="AI171" s="2"/>
      <c r="AJ171" s="2"/>
      <c r="AK171" s="2"/>
      <c r="AL171" s="2"/>
      <c r="AM171" s="2"/>
      <c r="AN171" s="2"/>
      <c r="AO171" s="9"/>
      <c r="AP171" s="9"/>
      <c r="AQ171" s="9"/>
      <c r="AR171" s="9"/>
    </row>
    <row r="172">
      <c r="A172" s="585"/>
      <c r="B172" s="585"/>
      <c r="C172" s="585"/>
      <c r="D172" s="585"/>
      <c r="E172" s="585"/>
      <c r="F172" s="585"/>
      <c r="G172" s="585"/>
      <c r="H172" s="585"/>
      <c r="I172" s="585"/>
      <c r="J172" s="585"/>
      <c r="K172" s="585"/>
      <c r="L172" s="585"/>
      <c r="M172" s="585"/>
      <c r="N172" s="585"/>
      <c r="O172" s="585"/>
      <c r="P172" s="585"/>
      <c r="Q172" s="585"/>
      <c r="R172" s="585"/>
      <c r="S172" s="585"/>
      <c r="T172" s="585"/>
      <c r="U172" s="585"/>
      <c r="V172" s="224"/>
      <c r="W172" s="224"/>
      <c r="X172" s="224"/>
      <c r="Y172" s="224"/>
      <c r="Z172" s="868"/>
      <c r="AA172" s="865"/>
      <c r="AB172" s="2"/>
      <c r="AC172" s="2"/>
      <c r="AD172" s="2"/>
      <c r="AE172" s="2"/>
      <c r="AF172" s="2"/>
      <c r="AG172" s="2"/>
      <c r="AH172" s="2"/>
      <c r="AI172" s="2"/>
      <c r="AJ172" s="2"/>
      <c r="AK172" s="2"/>
      <c r="AL172" s="2"/>
      <c r="AM172" s="2"/>
      <c r="AN172" s="2"/>
      <c r="AO172" s="9"/>
      <c r="AP172" s="9"/>
      <c r="AQ172" s="9"/>
      <c r="AR172" s="9"/>
    </row>
    <row r="173">
      <c r="A173" s="585"/>
      <c r="B173" s="585"/>
      <c r="C173" s="585"/>
      <c r="D173" s="585"/>
      <c r="E173" s="585"/>
      <c r="F173" s="585"/>
      <c r="G173" s="585"/>
      <c r="H173" s="585"/>
      <c r="I173" s="585"/>
      <c r="J173" s="585"/>
      <c r="K173" s="585"/>
      <c r="L173" s="585"/>
      <c r="M173" s="585"/>
      <c r="N173" s="585"/>
      <c r="O173" s="585"/>
      <c r="P173" s="585"/>
      <c r="Q173" s="585"/>
      <c r="R173" s="585"/>
      <c r="S173" s="585"/>
      <c r="T173" s="585"/>
      <c r="U173" s="585"/>
      <c r="V173" s="224"/>
      <c r="W173" s="224"/>
      <c r="X173" s="224"/>
      <c r="Y173" s="224"/>
      <c r="Z173" s="868"/>
      <c r="AA173" s="865"/>
      <c r="AB173" s="2"/>
      <c r="AC173" s="2"/>
      <c r="AD173" s="2"/>
      <c r="AE173" s="2"/>
      <c r="AF173" s="2"/>
      <c r="AG173" s="2"/>
      <c r="AH173" s="2"/>
      <c r="AI173" s="2"/>
      <c r="AJ173" s="2"/>
      <c r="AK173" s="2"/>
      <c r="AL173" s="2"/>
      <c r="AM173" s="2"/>
      <c r="AN173" s="2"/>
      <c r="AO173" s="9"/>
      <c r="AP173" s="9"/>
      <c r="AQ173" s="9"/>
      <c r="AR173" s="9"/>
    </row>
    <row r="174">
      <c r="A174" s="585"/>
      <c r="B174" s="585"/>
      <c r="C174" s="585"/>
      <c r="D174" s="585"/>
      <c r="E174" s="585"/>
      <c r="F174" s="585"/>
      <c r="G174" s="585"/>
      <c r="H174" s="585"/>
      <c r="I174" s="585"/>
      <c r="J174" s="585"/>
      <c r="K174" s="585"/>
      <c r="L174" s="585"/>
      <c r="M174" s="585"/>
      <c r="N174" s="585"/>
      <c r="O174" s="585"/>
      <c r="P174" s="585"/>
      <c r="Q174" s="585"/>
      <c r="R174" s="585"/>
      <c r="S174" s="585"/>
      <c r="T174" s="585"/>
      <c r="U174" s="585"/>
      <c r="V174" s="224"/>
      <c r="W174" s="224"/>
      <c r="X174" s="224"/>
      <c r="Y174" s="224"/>
      <c r="Z174" s="868"/>
      <c r="AA174" s="865"/>
      <c r="AB174" s="2"/>
      <c r="AC174" s="2"/>
      <c r="AD174" s="2"/>
      <c r="AE174" s="2"/>
      <c r="AF174" s="2"/>
      <c r="AG174" s="2"/>
      <c r="AH174" s="2"/>
      <c r="AI174" s="2"/>
      <c r="AJ174" s="2"/>
      <c r="AK174" s="2"/>
      <c r="AL174" s="2"/>
      <c r="AM174" s="2"/>
      <c r="AN174" s="2"/>
      <c r="AO174" s="9"/>
      <c r="AP174" s="9"/>
      <c r="AQ174" s="9"/>
      <c r="AR174" s="9"/>
    </row>
    <row r="175">
      <c r="A175" s="585"/>
      <c r="B175" s="585"/>
      <c r="C175" s="585"/>
      <c r="D175" s="585"/>
      <c r="E175" s="585"/>
      <c r="F175" s="585"/>
      <c r="G175" s="585"/>
      <c r="H175" s="585"/>
      <c r="I175" s="585"/>
      <c r="J175" s="585"/>
      <c r="K175" s="585"/>
      <c r="L175" s="585"/>
      <c r="M175" s="585"/>
      <c r="N175" s="585"/>
      <c r="O175" s="585"/>
      <c r="P175" s="585"/>
      <c r="Q175" s="585"/>
      <c r="R175" s="585"/>
      <c r="S175" s="585"/>
      <c r="T175" s="585"/>
      <c r="U175" s="585"/>
      <c r="V175" s="224"/>
      <c r="W175" s="224"/>
      <c r="X175" s="224"/>
      <c r="Y175" s="224"/>
      <c r="Z175" s="868"/>
      <c r="AA175" s="865"/>
      <c r="AB175" s="2"/>
      <c r="AC175" s="2"/>
      <c r="AD175" s="2"/>
      <c r="AE175" s="2"/>
      <c r="AF175" s="2"/>
      <c r="AG175" s="2"/>
      <c r="AH175" s="2"/>
      <c r="AI175" s="2"/>
      <c r="AJ175" s="2"/>
      <c r="AK175" s="2"/>
      <c r="AL175" s="2"/>
      <c r="AM175" s="2"/>
      <c r="AN175" s="2"/>
      <c r="AO175" s="9"/>
      <c r="AP175" s="9"/>
      <c r="AQ175" s="9"/>
      <c r="AR175" s="9"/>
    </row>
    <row r="176">
      <c r="A176" s="585"/>
      <c r="B176" s="585"/>
      <c r="C176" s="585"/>
      <c r="D176" s="585"/>
      <c r="E176" s="585"/>
      <c r="F176" s="585"/>
      <c r="G176" s="585"/>
      <c r="H176" s="585"/>
      <c r="I176" s="585"/>
      <c r="J176" s="585"/>
      <c r="K176" s="585"/>
      <c r="L176" s="585"/>
      <c r="M176" s="585"/>
      <c r="N176" s="585"/>
      <c r="O176" s="585"/>
      <c r="P176" s="585"/>
      <c r="Q176" s="585"/>
      <c r="R176" s="585"/>
      <c r="S176" s="585"/>
      <c r="T176" s="585"/>
      <c r="U176" s="585"/>
      <c r="V176" s="224"/>
      <c r="W176" s="224"/>
      <c r="X176" s="224"/>
      <c r="Y176" s="224"/>
      <c r="Z176" s="868"/>
      <c r="AA176" s="865"/>
      <c r="AB176" s="2"/>
      <c r="AC176" s="2"/>
      <c r="AD176" s="2"/>
      <c r="AE176" s="2"/>
      <c r="AF176" s="2"/>
      <c r="AG176" s="2"/>
      <c r="AH176" s="2"/>
      <c r="AI176" s="2"/>
      <c r="AJ176" s="2"/>
      <c r="AK176" s="2"/>
      <c r="AL176" s="2"/>
      <c r="AM176" s="2"/>
      <c r="AN176" s="2"/>
      <c r="AO176" s="9"/>
      <c r="AP176" s="9"/>
      <c r="AQ176" s="9"/>
      <c r="AR176" s="9"/>
    </row>
    <row r="177">
      <c r="A177" s="585"/>
      <c r="B177" s="585"/>
      <c r="C177" s="585"/>
      <c r="D177" s="585"/>
      <c r="E177" s="585"/>
      <c r="F177" s="585"/>
      <c r="G177" s="585"/>
      <c r="H177" s="585"/>
      <c r="I177" s="585"/>
      <c r="J177" s="585"/>
      <c r="K177" s="585"/>
      <c r="L177" s="585"/>
      <c r="M177" s="585"/>
      <c r="N177" s="585"/>
      <c r="O177" s="585"/>
      <c r="P177" s="585"/>
      <c r="Q177" s="585"/>
      <c r="R177" s="585"/>
      <c r="S177" s="585"/>
      <c r="T177" s="585"/>
      <c r="U177" s="585"/>
      <c r="V177" s="224"/>
      <c r="W177" s="224"/>
      <c r="X177" s="224"/>
      <c r="Y177" s="224"/>
      <c r="Z177" s="868"/>
      <c r="AA177" s="865"/>
      <c r="AB177" s="2"/>
      <c r="AC177" s="2"/>
      <c r="AD177" s="2"/>
      <c r="AE177" s="2"/>
      <c r="AF177" s="2"/>
      <c r="AG177" s="2"/>
      <c r="AH177" s="2"/>
      <c r="AI177" s="2"/>
      <c r="AJ177" s="2"/>
      <c r="AK177" s="2"/>
      <c r="AL177" s="2"/>
      <c r="AM177" s="2"/>
      <c r="AN177" s="2"/>
      <c r="AO177" s="9"/>
      <c r="AP177" s="9"/>
      <c r="AQ177" s="9"/>
      <c r="AR177" s="9"/>
    </row>
    <row r="178">
      <c r="A178" s="585"/>
      <c r="B178" s="585"/>
      <c r="C178" s="585"/>
      <c r="D178" s="585"/>
      <c r="E178" s="585"/>
      <c r="F178" s="585"/>
      <c r="G178" s="585"/>
      <c r="H178" s="585"/>
      <c r="I178" s="585"/>
      <c r="J178" s="585"/>
      <c r="K178" s="585"/>
      <c r="L178" s="585"/>
      <c r="M178" s="585"/>
      <c r="N178" s="585"/>
      <c r="O178" s="585"/>
      <c r="P178" s="585"/>
      <c r="Q178" s="585"/>
      <c r="R178" s="585"/>
      <c r="S178" s="585"/>
      <c r="T178" s="585"/>
      <c r="U178" s="585"/>
      <c r="V178" s="224"/>
      <c r="W178" s="224"/>
      <c r="X178" s="224"/>
      <c r="Y178" s="224"/>
      <c r="Z178" s="868"/>
      <c r="AA178" s="865"/>
      <c r="AB178" s="2"/>
      <c r="AC178" s="2"/>
      <c r="AD178" s="2"/>
      <c r="AE178" s="2"/>
      <c r="AF178" s="2"/>
      <c r="AG178" s="2"/>
      <c r="AH178" s="2"/>
      <c r="AI178" s="2"/>
      <c r="AJ178" s="2"/>
      <c r="AK178" s="2"/>
      <c r="AL178" s="2"/>
      <c r="AM178" s="2"/>
      <c r="AN178" s="2"/>
      <c r="AO178" s="9"/>
      <c r="AP178" s="9"/>
      <c r="AQ178" s="9"/>
      <c r="AR178" s="9"/>
    </row>
    <row r="179">
      <c r="A179" s="585"/>
      <c r="B179" s="585"/>
      <c r="C179" s="585"/>
      <c r="D179" s="585"/>
      <c r="E179" s="585"/>
      <c r="F179" s="585"/>
      <c r="G179" s="585"/>
      <c r="H179" s="585"/>
      <c r="I179" s="585"/>
      <c r="J179" s="585"/>
      <c r="K179" s="585"/>
      <c r="L179" s="585"/>
      <c r="M179" s="585"/>
      <c r="N179" s="585"/>
      <c r="O179" s="585"/>
      <c r="P179" s="585"/>
      <c r="Q179" s="585"/>
      <c r="R179" s="585"/>
      <c r="S179" s="585"/>
      <c r="T179" s="585"/>
      <c r="U179" s="585"/>
      <c r="V179" s="224"/>
      <c r="W179" s="224"/>
      <c r="X179" s="224"/>
      <c r="Y179" s="224"/>
      <c r="Z179" s="868"/>
      <c r="AA179" s="865"/>
      <c r="AB179" s="2"/>
      <c r="AC179" s="2"/>
      <c r="AD179" s="2"/>
      <c r="AE179" s="2"/>
      <c r="AF179" s="2"/>
      <c r="AG179" s="2"/>
      <c r="AH179" s="2"/>
      <c r="AI179" s="2"/>
      <c r="AJ179" s="2"/>
      <c r="AK179" s="2"/>
      <c r="AL179" s="2"/>
      <c r="AM179" s="2"/>
      <c r="AN179" s="2"/>
      <c r="AO179" s="9"/>
      <c r="AP179" s="9"/>
      <c r="AQ179" s="9"/>
      <c r="AR179" s="9"/>
    </row>
    <row r="180">
      <c r="A180" s="585"/>
      <c r="B180" s="585"/>
      <c r="C180" s="585"/>
      <c r="D180" s="585"/>
      <c r="E180" s="585"/>
      <c r="F180" s="585"/>
      <c r="G180" s="585"/>
      <c r="H180" s="585"/>
      <c r="I180" s="585"/>
      <c r="J180" s="585"/>
      <c r="K180" s="585"/>
      <c r="L180" s="585"/>
      <c r="M180" s="585"/>
      <c r="N180" s="585"/>
      <c r="O180" s="585"/>
      <c r="P180" s="585"/>
      <c r="Q180" s="585"/>
      <c r="R180" s="585"/>
      <c r="S180" s="585"/>
      <c r="T180" s="585"/>
      <c r="U180" s="585"/>
      <c r="V180" s="224"/>
      <c r="W180" s="224"/>
      <c r="X180" s="224"/>
      <c r="Y180" s="224"/>
      <c r="Z180" s="868"/>
      <c r="AA180" s="865"/>
      <c r="AB180" s="2"/>
      <c r="AC180" s="2"/>
      <c r="AD180" s="2"/>
      <c r="AE180" s="2"/>
      <c r="AF180" s="2"/>
      <c r="AG180" s="2"/>
      <c r="AH180" s="2"/>
      <c r="AI180" s="2"/>
      <c r="AJ180" s="2"/>
      <c r="AK180" s="2"/>
      <c r="AL180" s="2"/>
      <c r="AM180" s="2"/>
      <c r="AN180" s="2"/>
      <c r="AO180" s="9"/>
      <c r="AP180" s="9"/>
      <c r="AQ180" s="9"/>
      <c r="AR180" s="9"/>
    </row>
    <row r="181">
      <c r="A181" s="585"/>
      <c r="B181" s="585"/>
      <c r="C181" s="585"/>
      <c r="D181" s="585"/>
      <c r="E181" s="585"/>
      <c r="F181" s="585"/>
      <c r="G181" s="585"/>
      <c r="H181" s="585"/>
      <c r="I181" s="585"/>
      <c r="J181" s="585"/>
      <c r="K181" s="585"/>
      <c r="L181" s="585"/>
      <c r="M181" s="585"/>
      <c r="N181" s="585"/>
      <c r="O181" s="585"/>
      <c r="P181" s="585"/>
      <c r="Q181" s="585"/>
      <c r="R181" s="585"/>
      <c r="S181" s="585"/>
      <c r="T181" s="585"/>
      <c r="U181" s="585"/>
      <c r="V181" s="224"/>
      <c r="W181" s="224"/>
      <c r="X181" s="224"/>
      <c r="Y181" s="224"/>
      <c r="Z181" s="868"/>
      <c r="AA181" s="865"/>
      <c r="AB181" s="2"/>
      <c r="AC181" s="2"/>
      <c r="AD181" s="2"/>
      <c r="AE181" s="2"/>
      <c r="AF181" s="2"/>
      <c r="AG181" s="2"/>
      <c r="AH181" s="2"/>
      <c r="AI181" s="2"/>
      <c r="AJ181" s="2"/>
      <c r="AK181" s="2"/>
      <c r="AL181" s="2"/>
      <c r="AM181" s="2"/>
      <c r="AN181" s="2"/>
      <c r="AO181" s="9"/>
      <c r="AP181" s="9"/>
      <c r="AQ181" s="9"/>
      <c r="AR181" s="9"/>
    </row>
    <row r="182">
      <c r="A182" s="585"/>
      <c r="B182" s="585"/>
      <c r="C182" s="585"/>
      <c r="D182" s="585"/>
      <c r="E182" s="585"/>
      <c r="F182" s="585"/>
      <c r="G182" s="585"/>
      <c r="H182" s="585"/>
      <c r="I182" s="585"/>
      <c r="J182" s="585"/>
      <c r="K182" s="585"/>
      <c r="L182" s="585"/>
      <c r="M182" s="585"/>
      <c r="N182" s="585"/>
      <c r="O182" s="585"/>
      <c r="P182" s="585"/>
      <c r="Q182" s="585"/>
      <c r="R182" s="585"/>
      <c r="S182" s="585"/>
      <c r="T182" s="585"/>
      <c r="U182" s="585"/>
      <c r="V182" s="224"/>
      <c r="W182" s="224"/>
      <c r="X182" s="224"/>
      <c r="Y182" s="224"/>
      <c r="Z182" s="868"/>
      <c r="AA182" s="865"/>
      <c r="AB182" s="2"/>
      <c r="AC182" s="2"/>
      <c r="AD182" s="2"/>
      <c r="AE182" s="2"/>
      <c r="AF182" s="2"/>
      <c r="AG182" s="2"/>
      <c r="AH182" s="2"/>
      <c r="AI182" s="2"/>
      <c r="AJ182" s="2"/>
      <c r="AK182" s="2"/>
      <c r="AL182" s="2"/>
      <c r="AM182" s="2"/>
      <c r="AN182" s="2"/>
      <c r="AO182" s="9"/>
      <c r="AP182" s="9"/>
      <c r="AQ182" s="9"/>
      <c r="AR182" s="9"/>
    </row>
    <row r="183">
      <c r="A183" s="585"/>
      <c r="B183" s="585"/>
      <c r="C183" s="585"/>
      <c r="D183" s="585"/>
      <c r="E183" s="585"/>
      <c r="F183" s="585"/>
      <c r="G183" s="585"/>
      <c r="H183" s="585"/>
      <c r="I183" s="585"/>
      <c r="J183" s="585"/>
      <c r="K183" s="585"/>
      <c r="L183" s="585"/>
      <c r="M183" s="585"/>
      <c r="N183" s="585"/>
      <c r="O183" s="585"/>
      <c r="P183" s="585"/>
      <c r="Q183" s="585"/>
      <c r="R183" s="585"/>
      <c r="S183" s="585"/>
      <c r="T183" s="585"/>
      <c r="U183" s="585"/>
      <c r="V183" s="224"/>
      <c r="W183" s="224"/>
      <c r="X183" s="224"/>
      <c r="Y183" s="224"/>
      <c r="Z183" s="868"/>
      <c r="AA183" s="865"/>
      <c r="AB183" s="2"/>
      <c r="AC183" s="2"/>
      <c r="AD183" s="2"/>
      <c r="AE183" s="2"/>
      <c r="AF183" s="2"/>
      <c r="AG183" s="2"/>
      <c r="AH183" s="2"/>
      <c r="AI183" s="2"/>
      <c r="AJ183" s="2"/>
      <c r="AK183" s="2"/>
      <c r="AL183" s="2"/>
      <c r="AM183" s="2"/>
      <c r="AN183" s="2"/>
      <c r="AO183" s="9"/>
      <c r="AP183" s="9"/>
      <c r="AQ183" s="9"/>
      <c r="AR183" s="9"/>
    </row>
    <row r="184">
      <c r="A184" s="585"/>
      <c r="B184" s="585"/>
      <c r="C184" s="585"/>
      <c r="D184" s="585"/>
      <c r="E184" s="585"/>
      <c r="F184" s="585"/>
      <c r="G184" s="585"/>
      <c r="H184" s="585"/>
      <c r="I184" s="585"/>
      <c r="J184" s="585"/>
      <c r="K184" s="585"/>
      <c r="L184" s="585"/>
      <c r="M184" s="585"/>
      <c r="N184" s="585"/>
      <c r="O184" s="585"/>
      <c r="P184" s="585"/>
      <c r="Q184" s="585"/>
      <c r="R184" s="585"/>
      <c r="S184" s="585"/>
      <c r="T184" s="585"/>
      <c r="U184" s="585"/>
      <c r="V184" s="224"/>
      <c r="W184" s="224"/>
      <c r="X184" s="224"/>
      <c r="Y184" s="224"/>
      <c r="Z184" s="868"/>
      <c r="AA184" s="865"/>
      <c r="AB184" s="2"/>
      <c r="AC184" s="2"/>
      <c r="AD184" s="2"/>
      <c r="AE184" s="2"/>
      <c r="AF184" s="2"/>
      <c r="AG184" s="2"/>
      <c r="AH184" s="2"/>
      <c r="AI184" s="2"/>
      <c r="AJ184" s="2"/>
      <c r="AK184" s="2"/>
      <c r="AL184" s="2"/>
      <c r="AM184" s="2"/>
      <c r="AN184" s="2"/>
      <c r="AO184" s="9"/>
      <c r="AP184" s="9"/>
      <c r="AQ184" s="9"/>
      <c r="AR184" s="9"/>
    </row>
    <row r="185">
      <c r="A185" s="585"/>
      <c r="B185" s="585"/>
      <c r="C185" s="585"/>
      <c r="D185" s="585"/>
      <c r="E185" s="585"/>
      <c r="F185" s="585"/>
      <c r="G185" s="585"/>
      <c r="H185" s="585"/>
      <c r="I185" s="585"/>
      <c r="J185" s="585"/>
      <c r="K185" s="585"/>
      <c r="L185" s="585"/>
      <c r="M185" s="585"/>
      <c r="N185" s="585"/>
      <c r="O185" s="585"/>
      <c r="P185" s="585"/>
      <c r="Q185" s="585"/>
      <c r="R185" s="585"/>
      <c r="S185" s="585"/>
      <c r="T185" s="585"/>
      <c r="U185" s="585"/>
      <c r="V185" s="224"/>
      <c r="W185" s="224"/>
      <c r="X185" s="224"/>
      <c r="Y185" s="224"/>
      <c r="Z185" s="868"/>
      <c r="AA185" s="865"/>
      <c r="AB185" s="2"/>
      <c r="AC185" s="2"/>
      <c r="AD185" s="2"/>
      <c r="AE185" s="2"/>
      <c r="AF185" s="2"/>
      <c r="AG185" s="2"/>
      <c r="AH185" s="2"/>
      <c r="AI185" s="2"/>
      <c r="AJ185" s="2"/>
      <c r="AK185" s="2"/>
      <c r="AL185" s="2"/>
      <c r="AM185" s="2"/>
      <c r="AN185" s="2"/>
      <c r="AO185" s="9"/>
      <c r="AP185" s="9"/>
      <c r="AQ185" s="9"/>
      <c r="AR185" s="9"/>
    </row>
    <row r="186">
      <c r="A186" s="585"/>
      <c r="B186" s="585"/>
      <c r="C186" s="585"/>
      <c r="D186" s="585"/>
      <c r="E186" s="585"/>
      <c r="F186" s="585"/>
      <c r="G186" s="585"/>
      <c r="H186" s="585"/>
      <c r="I186" s="585"/>
      <c r="J186" s="585"/>
      <c r="K186" s="585"/>
      <c r="L186" s="585"/>
      <c r="M186" s="585"/>
      <c r="N186" s="585"/>
      <c r="O186" s="585"/>
      <c r="P186" s="585"/>
      <c r="Q186" s="585"/>
      <c r="R186" s="585"/>
      <c r="S186" s="585"/>
      <c r="T186" s="585"/>
      <c r="U186" s="585"/>
      <c r="V186" s="224"/>
      <c r="W186" s="224"/>
      <c r="X186" s="224"/>
      <c r="Y186" s="224"/>
      <c r="Z186" s="868"/>
      <c r="AA186" s="865"/>
      <c r="AB186" s="2"/>
      <c r="AC186" s="2"/>
      <c r="AD186" s="2"/>
      <c r="AE186" s="2"/>
      <c r="AF186" s="2"/>
      <c r="AG186" s="2"/>
      <c r="AH186" s="2"/>
      <c r="AI186" s="2"/>
      <c r="AJ186" s="2"/>
      <c r="AK186" s="2"/>
      <c r="AL186" s="2"/>
      <c r="AM186" s="2"/>
      <c r="AN186" s="2"/>
      <c r="AO186" s="9"/>
      <c r="AP186" s="9"/>
      <c r="AQ186" s="9"/>
      <c r="AR186" s="9"/>
    </row>
    <row r="187">
      <c r="A187" s="585"/>
      <c r="B187" s="585"/>
      <c r="C187" s="585"/>
      <c r="D187" s="585"/>
      <c r="E187" s="585"/>
      <c r="F187" s="585"/>
      <c r="G187" s="585"/>
      <c r="H187" s="585"/>
      <c r="I187" s="585"/>
      <c r="J187" s="585"/>
      <c r="K187" s="585"/>
      <c r="L187" s="585"/>
      <c r="M187" s="585"/>
      <c r="N187" s="585"/>
      <c r="O187" s="585"/>
      <c r="P187" s="585"/>
      <c r="Q187" s="585"/>
      <c r="R187" s="585"/>
      <c r="S187" s="585"/>
      <c r="T187" s="585"/>
      <c r="U187" s="585"/>
      <c r="V187" s="224"/>
      <c r="W187" s="224"/>
      <c r="X187" s="224"/>
      <c r="Y187" s="224"/>
      <c r="Z187" s="868"/>
      <c r="AA187" s="865"/>
      <c r="AB187" s="2"/>
      <c r="AC187" s="2"/>
      <c r="AD187" s="2"/>
      <c r="AE187" s="2"/>
      <c r="AF187" s="2"/>
      <c r="AG187" s="2"/>
      <c r="AH187" s="2"/>
      <c r="AI187" s="2"/>
      <c r="AJ187" s="2"/>
      <c r="AK187" s="2"/>
      <c r="AL187" s="2"/>
      <c r="AM187" s="2"/>
      <c r="AN187" s="2"/>
      <c r="AO187" s="9"/>
      <c r="AP187" s="9"/>
      <c r="AQ187" s="9"/>
      <c r="AR187" s="9"/>
    </row>
    <row r="188">
      <c r="A188" s="585"/>
      <c r="B188" s="585"/>
      <c r="C188" s="585"/>
      <c r="D188" s="585"/>
      <c r="E188" s="585"/>
      <c r="F188" s="585"/>
      <c r="G188" s="585"/>
      <c r="H188" s="585"/>
      <c r="I188" s="585"/>
      <c r="J188" s="585"/>
      <c r="K188" s="585"/>
      <c r="L188" s="585"/>
      <c r="M188" s="585"/>
      <c r="N188" s="585"/>
      <c r="O188" s="585"/>
      <c r="P188" s="585"/>
      <c r="Q188" s="585"/>
      <c r="R188" s="585"/>
      <c r="S188" s="585"/>
      <c r="T188" s="585"/>
      <c r="U188" s="585"/>
      <c r="V188" s="224"/>
      <c r="W188" s="224"/>
      <c r="X188" s="224"/>
      <c r="Y188" s="224"/>
      <c r="Z188" s="868"/>
      <c r="AA188" s="865"/>
      <c r="AB188" s="2"/>
      <c r="AC188" s="2"/>
      <c r="AD188" s="2"/>
      <c r="AE188" s="2"/>
      <c r="AF188" s="2"/>
      <c r="AG188" s="2"/>
      <c r="AH188" s="2"/>
      <c r="AI188" s="2"/>
      <c r="AJ188" s="2"/>
      <c r="AK188" s="2"/>
      <c r="AL188" s="2"/>
      <c r="AM188" s="2"/>
      <c r="AN188" s="2"/>
      <c r="AO188" s="9"/>
      <c r="AP188" s="9"/>
      <c r="AQ188" s="9"/>
      <c r="AR188" s="9"/>
    </row>
    <row r="189">
      <c r="A189" s="585"/>
      <c r="B189" s="585"/>
      <c r="C189" s="585"/>
      <c r="D189" s="585"/>
      <c r="E189" s="585"/>
      <c r="F189" s="585"/>
      <c r="G189" s="585"/>
      <c r="H189" s="585"/>
      <c r="I189" s="585"/>
      <c r="J189" s="585"/>
      <c r="K189" s="585"/>
      <c r="L189" s="585"/>
      <c r="M189" s="585"/>
      <c r="N189" s="585"/>
      <c r="O189" s="585"/>
      <c r="P189" s="585"/>
      <c r="Q189" s="585"/>
      <c r="R189" s="585"/>
      <c r="S189" s="585"/>
      <c r="T189" s="585"/>
      <c r="U189" s="585"/>
      <c r="V189" s="224"/>
      <c r="W189" s="224"/>
      <c r="X189" s="224"/>
      <c r="Y189" s="224"/>
      <c r="Z189" s="868"/>
      <c r="AA189" s="865"/>
      <c r="AB189" s="2"/>
      <c r="AC189" s="2"/>
      <c r="AD189" s="2"/>
      <c r="AE189" s="2"/>
      <c r="AF189" s="2"/>
      <c r="AG189" s="2"/>
      <c r="AH189" s="2"/>
      <c r="AI189" s="2"/>
      <c r="AJ189" s="2"/>
      <c r="AK189" s="2"/>
      <c r="AL189" s="2"/>
      <c r="AM189" s="2"/>
      <c r="AN189" s="2"/>
      <c r="AO189" s="9"/>
      <c r="AP189" s="9"/>
      <c r="AQ189" s="9"/>
      <c r="AR189" s="9"/>
    </row>
    <row r="190">
      <c r="A190" s="585"/>
      <c r="B190" s="585"/>
      <c r="C190" s="585"/>
      <c r="D190" s="585"/>
      <c r="E190" s="585"/>
      <c r="F190" s="585"/>
      <c r="G190" s="585"/>
      <c r="H190" s="585"/>
      <c r="I190" s="585"/>
      <c r="J190" s="585"/>
      <c r="K190" s="585"/>
      <c r="L190" s="585"/>
      <c r="M190" s="585"/>
      <c r="N190" s="585"/>
      <c r="O190" s="585"/>
      <c r="P190" s="585"/>
      <c r="Q190" s="585"/>
      <c r="R190" s="585"/>
      <c r="S190" s="585"/>
      <c r="T190" s="585"/>
      <c r="U190" s="585"/>
      <c r="V190" s="224"/>
      <c r="W190" s="224"/>
      <c r="X190" s="224"/>
      <c r="Y190" s="224"/>
      <c r="Z190" s="868"/>
      <c r="AA190" s="865"/>
      <c r="AB190" s="2"/>
      <c r="AC190" s="2"/>
      <c r="AD190" s="2"/>
      <c r="AE190" s="2"/>
      <c r="AF190" s="2"/>
      <c r="AG190" s="2"/>
      <c r="AH190" s="2"/>
      <c r="AI190" s="2"/>
      <c r="AJ190" s="2"/>
      <c r="AK190" s="2"/>
      <c r="AL190" s="2"/>
      <c r="AM190" s="2"/>
      <c r="AN190" s="2"/>
      <c r="AO190" s="9"/>
      <c r="AP190" s="9"/>
      <c r="AQ190" s="9"/>
      <c r="AR190" s="9"/>
    </row>
    <row r="191">
      <c r="A191" s="585"/>
      <c r="B191" s="585"/>
      <c r="C191" s="585"/>
      <c r="D191" s="585"/>
      <c r="E191" s="585"/>
      <c r="F191" s="585"/>
      <c r="G191" s="585"/>
      <c r="H191" s="585"/>
      <c r="I191" s="585"/>
      <c r="J191" s="585"/>
      <c r="K191" s="585"/>
      <c r="L191" s="585"/>
      <c r="M191" s="585"/>
      <c r="N191" s="585"/>
      <c r="O191" s="585"/>
      <c r="P191" s="585"/>
      <c r="Q191" s="585"/>
      <c r="R191" s="585"/>
      <c r="S191" s="585"/>
      <c r="T191" s="585"/>
      <c r="U191" s="585"/>
      <c r="V191" s="224"/>
      <c r="W191" s="224"/>
      <c r="X191" s="224"/>
      <c r="Y191" s="224"/>
      <c r="Z191" s="868"/>
      <c r="AA191" s="865"/>
      <c r="AB191" s="2"/>
      <c r="AC191" s="2"/>
      <c r="AD191" s="2"/>
      <c r="AE191" s="2"/>
      <c r="AF191" s="2"/>
      <c r="AG191" s="2"/>
      <c r="AH191" s="2"/>
      <c r="AI191" s="2"/>
      <c r="AJ191" s="2"/>
      <c r="AK191" s="2"/>
      <c r="AL191" s="2"/>
      <c r="AM191" s="2"/>
      <c r="AN191" s="2"/>
      <c r="AO191" s="9"/>
      <c r="AP191" s="9"/>
      <c r="AQ191" s="9"/>
      <c r="AR191" s="9"/>
    </row>
    <row r="192">
      <c r="A192" s="585"/>
      <c r="B192" s="585"/>
      <c r="C192" s="585"/>
      <c r="D192" s="585"/>
      <c r="E192" s="585"/>
      <c r="F192" s="585"/>
      <c r="G192" s="585"/>
      <c r="H192" s="585"/>
      <c r="I192" s="585"/>
      <c r="J192" s="585"/>
      <c r="K192" s="585"/>
      <c r="L192" s="585"/>
      <c r="M192" s="585"/>
      <c r="N192" s="585"/>
      <c r="O192" s="585"/>
      <c r="P192" s="585"/>
      <c r="Q192" s="585"/>
      <c r="R192" s="585"/>
      <c r="S192" s="585"/>
      <c r="T192" s="585"/>
      <c r="U192" s="585"/>
      <c r="V192" s="224"/>
      <c r="W192" s="224"/>
      <c r="X192" s="224"/>
      <c r="Y192" s="224"/>
      <c r="Z192" s="868"/>
      <c r="AA192" s="865"/>
      <c r="AB192" s="2"/>
      <c r="AC192" s="2"/>
      <c r="AD192" s="2"/>
      <c r="AE192" s="2"/>
      <c r="AF192" s="2"/>
      <c r="AG192" s="2"/>
      <c r="AH192" s="2"/>
      <c r="AI192" s="2"/>
      <c r="AJ192" s="2"/>
      <c r="AK192" s="2"/>
      <c r="AL192" s="2"/>
      <c r="AM192" s="2"/>
      <c r="AN192" s="2"/>
      <c r="AO192" s="9"/>
      <c r="AP192" s="9"/>
      <c r="AQ192" s="9"/>
      <c r="AR192" s="9"/>
    </row>
    <row r="193">
      <c r="A193" s="585"/>
      <c r="B193" s="585"/>
      <c r="C193" s="585"/>
      <c r="D193" s="585"/>
      <c r="E193" s="585"/>
      <c r="F193" s="585"/>
      <c r="G193" s="585"/>
      <c r="H193" s="585"/>
      <c r="I193" s="585"/>
      <c r="J193" s="585"/>
      <c r="K193" s="585"/>
      <c r="L193" s="585"/>
      <c r="M193" s="585"/>
      <c r="N193" s="585"/>
      <c r="O193" s="585"/>
      <c r="P193" s="585"/>
      <c r="Q193" s="585"/>
      <c r="R193" s="585"/>
      <c r="S193" s="585"/>
      <c r="T193" s="585"/>
      <c r="U193" s="585"/>
      <c r="V193" s="224"/>
      <c r="W193" s="224"/>
      <c r="X193" s="224"/>
      <c r="Y193" s="224"/>
      <c r="Z193" s="868"/>
      <c r="AA193" s="865"/>
      <c r="AB193" s="2"/>
      <c r="AC193" s="2"/>
      <c r="AD193" s="2"/>
      <c r="AE193" s="2"/>
      <c r="AF193" s="2"/>
      <c r="AG193" s="2"/>
      <c r="AH193" s="2"/>
      <c r="AI193" s="2"/>
      <c r="AJ193" s="2"/>
      <c r="AK193" s="2"/>
      <c r="AL193" s="2"/>
      <c r="AM193" s="2"/>
      <c r="AN193" s="2"/>
      <c r="AO193" s="9"/>
      <c r="AP193" s="9"/>
      <c r="AQ193" s="9"/>
      <c r="AR193" s="9"/>
    </row>
    <row r="194">
      <c r="A194" s="585"/>
      <c r="B194" s="585"/>
      <c r="C194" s="585"/>
      <c r="D194" s="585"/>
      <c r="E194" s="585"/>
      <c r="F194" s="585"/>
      <c r="G194" s="585"/>
      <c r="H194" s="585"/>
      <c r="I194" s="585"/>
      <c r="J194" s="585"/>
      <c r="K194" s="585"/>
      <c r="L194" s="585"/>
      <c r="M194" s="585"/>
      <c r="N194" s="585"/>
      <c r="O194" s="585"/>
      <c r="P194" s="585"/>
      <c r="Q194" s="585"/>
      <c r="R194" s="585"/>
      <c r="S194" s="585"/>
      <c r="T194" s="585"/>
      <c r="U194" s="585"/>
      <c r="V194" s="224"/>
      <c r="W194" s="224"/>
      <c r="X194" s="224"/>
      <c r="Y194" s="224"/>
      <c r="Z194" s="868"/>
      <c r="AA194" s="865"/>
      <c r="AB194" s="2"/>
      <c r="AC194" s="2"/>
      <c r="AD194" s="2"/>
      <c r="AE194" s="2"/>
      <c r="AF194" s="2"/>
      <c r="AG194" s="2"/>
      <c r="AH194" s="2"/>
      <c r="AI194" s="2"/>
      <c r="AJ194" s="2"/>
      <c r="AK194" s="2"/>
      <c r="AL194" s="2"/>
      <c r="AM194" s="2"/>
      <c r="AN194" s="2"/>
      <c r="AO194" s="9"/>
      <c r="AP194" s="9"/>
      <c r="AQ194" s="9"/>
      <c r="AR194" s="9"/>
    </row>
    <row r="195">
      <c r="A195" s="585"/>
      <c r="B195" s="585"/>
      <c r="C195" s="585"/>
      <c r="D195" s="585"/>
      <c r="E195" s="585"/>
      <c r="F195" s="585"/>
      <c r="G195" s="585"/>
      <c r="H195" s="585"/>
      <c r="I195" s="585"/>
      <c r="J195" s="585"/>
      <c r="K195" s="585"/>
      <c r="L195" s="585"/>
      <c r="M195" s="585"/>
      <c r="N195" s="585"/>
      <c r="O195" s="585"/>
      <c r="P195" s="585"/>
      <c r="Q195" s="585"/>
      <c r="R195" s="585"/>
      <c r="S195" s="585"/>
      <c r="T195" s="585"/>
      <c r="U195" s="585"/>
      <c r="V195" s="224"/>
      <c r="W195" s="224"/>
      <c r="X195" s="224"/>
      <c r="Y195" s="224"/>
      <c r="Z195" s="868"/>
      <c r="AA195" s="865"/>
      <c r="AB195" s="2"/>
      <c r="AC195" s="2"/>
      <c r="AD195" s="2"/>
      <c r="AE195" s="2"/>
      <c r="AF195" s="2"/>
      <c r="AG195" s="2"/>
      <c r="AH195" s="2"/>
      <c r="AI195" s="2"/>
      <c r="AJ195" s="2"/>
      <c r="AK195" s="2"/>
      <c r="AL195" s="2"/>
      <c r="AM195" s="2"/>
      <c r="AN195" s="2"/>
      <c r="AO195" s="9"/>
      <c r="AP195" s="9"/>
      <c r="AQ195" s="9"/>
      <c r="AR195" s="9"/>
    </row>
    <row r="196">
      <c r="A196" s="585"/>
      <c r="B196" s="585"/>
      <c r="C196" s="585"/>
      <c r="D196" s="585"/>
      <c r="E196" s="585"/>
      <c r="F196" s="585"/>
      <c r="G196" s="585"/>
      <c r="H196" s="585"/>
      <c r="I196" s="585"/>
      <c r="J196" s="585"/>
      <c r="K196" s="585"/>
      <c r="L196" s="585"/>
      <c r="M196" s="585"/>
      <c r="N196" s="585"/>
      <c r="O196" s="585"/>
      <c r="P196" s="585"/>
      <c r="Q196" s="585"/>
      <c r="R196" s="585"/>
      <c r="S196" s="585"/>
      <c r="T196" s="585"/>
      <c r="U196" s="585"/>
      <c r="V196" s="224"/>
      <c r="W196" s="224"/>
      <c r="X196" s="224"/>
      <c r="Y196" s="224"/>
      <c r="Z196" s="868"/>
      <c r="AA196" s="865"/>
      <c r="AB196" s="2"/>
      <c r="AC196" s="2"/>
      <c r="AD196" s="2"/>
      <c r="AE196" s="2"/>
      <c r="AF196" s="2"/>
      <c r="AG196" s="2"/>
      <c r="AH196" s="2"/>
      <c r="AI196" s="2"/>
      <c r="AJ196" s="2"/>
      <c r="AK196" s="2"/>
      <c r="AL196" s="2"/>
      <c r="AM196" s="2"/>
      <c r="AN196" s="2"/>
      <c r="AO196" s="9"/>
      <c r="AP196" s="9"/>
      <c r="AQ196" s="9"/>
      <c r="AR196" s="9"/>
    </row>
    <row r="197">
      <c r="A197" s="585"/>
      <c r="B197" s="585"/>
      <c r="C197" s="585"/>
      <c r="D197" s="585"/>
      <c r="E197" s="585"/>
      <c r="F197" s="585"/>
      <c r="G197" s="585"/>
      <c r="H197" s="585"/>
      <c r="I197" s="585"/>
      <c r="J197" s="585"/>
      <c r="K197" s="585"/>
      <c r="L197" s="585"/>
      <c r="M197" s="585"/>
      <c r="N197" s="585"/>
      <c r="O197" s="585"/>
      <c r="P197" s="585"/>
      <c r="Q197" s="585"/>
      <c r="R197" s="585"/>
      <c r="S197" s="585"/>
      <c r="T197" s="585"/>
      <c r="U197" s="585"/>
      <c r="V197" s="224"/>
      <c r="W197" s="224"/>
      <c r="X197" s="224"/>
      <c r="Y197" s="224"/>
      <c r="Z197" s="868"/>
      <c r="AA197" s="865"/>
      <c r="AB197" s="2"/>
      <c r="AC197" s="2"/>
      <c r="AD197" s="2"/>
      <c r="AE197" s="2"/>
      <c r="AF197" s="2"/>
      <c r="AG197" s="2"/>
      <c r="AH197" s="2"/>
      <c r="AI197" s="2"/>
      <c r="AJ197" s="2"/>
      <c r="AK197" s="2"/>
      <c r="AL197" s="2"/>
      <c r="AM197" s="2"/>
      <c r="AN197" s="2"/>
      <c r="AO197" s="9"/>
      <c r="AP197" s="9"/>
      <c r="AQ197" s="9"/>
      <c r="AR197" s="9"/>
    </row>
    <row r="198">
      <c r="A198" s="585"/>
      <c r="B198" s="585"/>
      <c r="C198" s="585"/>
      <c r="D198" s="585"/>
      <c r="E198" s="585"/>
      <c r="F198" s="585"/>
      <c r="G198" s="585"/>
      <c r="H198" s="585"/>
      <c r="I198" s="585"/>
      <c r="J198" s="585"/>
      <c r="K198" s="585"/>
      <c r="L198" s="585"/>
      <c r="M198" s="585"/>
      <c r="N198" s="585"/>
      <c r="O198" s="585"/>
      <c r="P198" s="585"/>
      <c r="Q198" s="585"/>
      <c r="R198" s="585"/>
      <c r="S198" s="585"/>
      <c r="T198" s="585"/>
      <c r="U198" s="585"/>
      <c r="V198" s="224"/>
      <c r="W198" s="224"/>
      <c r="X198" s="224"/>
      <c r="Y198" s="224"/>
      <c r="Z198" s="868"/>
      <c r="AA198" s="865"/>
      <c r="AB198" s="2"/>
      <c r="AC198" s="2"/>
      <c r="AD198" s="2"/>
      <c r="AE198" s="2"/>
      <c r="AF198" s="2"/>
      <c r="AG198" s="2"/>
      <c r="AH198" s="2"/>
      <c r="AI198" s="2"/>
      <c r="AJ198" s="2"/>
      <c r="AK198" s="2"/>
      <c r="AL198" s="2"/>
      <c r="AM198" s="2"/>
      <c r="AN198" s="2"/>
      <c r="AO198" s="9"/>
      <c r="AP198" s="9"/>
      <c r="AQ198" s="9"/>
      <c r="AR198" s="9"/>
    </row>
    <row r="199">
      <c r="A199" s="585"/>
      <c r="B199" s="585"/>
      <c r="C199" s="585"/>
      <c r="D199" s="585"/>
      <c r="E199" s="585"/>
      <c r="F199" s="585"/>
      <c r="G199" s="585"/>
      <c r="H199" s="585"/>
      <c r="I199" s="585"/>
      <c r="J199" s="585"/>
      <c r="K199" s="585"/>
      <c r="L199" s="585"/>
      <c r="M199" s="585"/>
      <c r="N199" s="585"/>
      <c r="O199" s="585"/>
      <c r="P199" s="585"/>
      <c r="Q199" s="585"/>
      <c r="R199" s="585"/>
      <c r="S199" s="585"/>
      <c r="T199" s="585"/>
      <c r="U199" s="585"/>
      <c r="V199" s="224"/>
      <c r="W199" s="224"/>
      <c r="X199" s="224"/>
      <c r="Y199" s="224"/>
      <c r="Z199" s="868"/>
      <c r="AA199" s="865"/>
      <c r="AB199" s="2"/>
      <c r="AC199" s="2"/>
      <c r="AD199" s="2"/>
      <c r="AE199" s="2"/>
      <c r="AF199" s="2"/>
      <c r="AG199" s="2"/>
      <c r="AH199" s="2"/>
      <c r="AI199" s="2"/>
      <c r="AJ199" s="2"/>
      <c r="AK199" s="2"/>
      <c r="AL199" s="2"/>
      <c r="AM199" s="2"/>
      <c r="AN199" s="2"/>
      <c r="AO199" s="9"/>
      <c r="AP199" s="9"/>
      <c r="AQ199" s="9"/>
      <c r="AR199" s="9"/>
    </row>
    <row r="200">
      <c r="A200" s="585"/>
      <c r="B200" s="585"/>
      <c r="C200" s="585"/>
      <c r="D200" s="585"/>
      <c r="E200" s="585"/>
      <c r="F200" s="585"/>
      <c r="G200" s="585"/>
      <c r="H200" s="585"/>
      <c r="I200" s="585"/>
      <c r="J200" s="585"/>
      <c r="K200" s="585"/>
      <c r="L200" s="585"/>
      <c r="M200" s="585"/>
      <c r="N200" s="585"/>
      <c r="O200" s="585"/>
      <c r="P200" s="585"/>
      <c r="Q200" s="585"/>
      <c r="R200" s="585"/>
      <c r="S200" s="585"/>
      <c r="T200" s="585"/>
      <c r="U200" s="585"/>
      <c r="V200" s="224"/>
      <c r="W200" s="224"/>
      <c r="X200" s="224"/>
      <c r="Y200" s="224"/>
      <c r="Z200" s="868"/>
      <c r="AA200" s="865"/>
      <c r="AB200" s="2"/>
      <c r="AC200" s="2"/>
      <c r="AD200" s="2"/>
      <c r="AE200" s="2"/>
      <c r="AF200" s="2"/>
      <c r="AG200" s="2"/>
      <c r="AH200" s="2"/>
      <c r="AI200" s="2"/>
      <c r="AJ200" s="2"/>
      <c r="AK200" s="2"/>
      <c r="AL200" s="2"/>
      <c r="AM200" s="2"/>
      <c r="AN200" s="2"/>
      <c r="AO200" s="9"/>
      <c r="AP200" s="9"/>
      <c r="AQ200" s="9"/>
      <c r="AR200" s="9"/>
    </row>
    <row r="201">
      <c r="A201" s="585"/>
      <c r="B201" s="585"/>
      <c r="C201" s="585"/>
      <c r="D201" s="585"/>
      <c r="E201" s="585"/>
      <c r="F201" s="585"/>
      <c r="G201" s="585"/>
      <c r="H201" s="585"/>
      <c r="I201" s="585"/>
      <c r="J201" s="585"/>
      <c r="K201" s="585"/>
      <c r="L201" s="585"/>
      <c r="M201" s="585"/>
      <c r="N201" s="585"/>
      <c r="O201" s="585"/>
      <c r="P201" s="585"/>
      <c r="Q201" s="585"/>
      <c r="R201" s="585"/>
      <c r="S201" s="585"/>
      <c r="T201" s="585"/>
      <c r="U201" s="585"/>
      <c r="V201" s="224"/>
      <c r="W201" s="224"/>
      <c r="X201" s="224"/>
      <c r="Y201" s="224"/>
      <c r="Z201" s="868"/>
      <c r="AA201" s="865"/>
      <c r="AB201" s="2"/>
      <c r="AC201" s="2"/>
      <c r="AD201" s="2"/>
      <c r="AE201" s="2"/>
      <c r="AF201" s="2"/>
      <c r="AG201" s="2"/>
      <c r="AH201" s="2"/>
      <c r="AI201" s="2"/>
      <c r="AJ201" s="2"/>
      <c r="AK201" s="2"/>
      <c r="AL201" s="2"/>
      <c r="AM201" s="2"/>
      <c r="AN201" s="2"/>
      <c r="AO201" s="9"/>
      <c r="AP201" s="9"/>
      <c r="AQ201" s="9"/>
      <c r="AR201" s="9"/>
    </row>
    <row r="202">
      <c r="A202" s="585"/>
      <c r="B202" s="585"/>
      <c r="C202" s="585"/>
      <c r="D202" s="585"/>
      <c r="E202" s="585"/>
      <c r="F202" s="585"/>
      <c r="G202" s="585"/>
      <c r="H202" s="585"/>
      <c r="I202" s="585"/>
      <c r="J202" s="585"/>
      <c r="K202" s="585"/>
      <c r="L202" s="585"/>
      <c r="M202" s="585"/>
      <c r="N202" s="585"/>
      <c r="O202" s="585"/>
      <c r="P202" s="585"/>
      <c r="Q202" s="585"/>
      <c r="R202" s="585"/>
      <c r="S202" s="585"/>
      <c r="T202" s="585"/>
      <c r="U202" s="585"/>
      <c r="V202" s="224"/>
      <c r="W202" s="224"/>
      <c r="X202" s="224"/>
      <c r="Y202" s="224"/>
      <c r="Z202" s="868"/>
      <c r="AA202" s="865"/>
      <c r="AB202" s="2"/>
      <c r="AC202" s="2"/>
      <c r="AD202" s="2"/>
      <c r="AE202" s="2"/>
      <c r="AF202" s="2"/>
      <c r="AG202" s="2"/>
      <c r="AH202" s="2"/>
      <c r="AI202" s="2"/>
      <c r="AJ202" s="2"/>
      <c r="AK202" s="2"/>
      <c r="AL202" s="2"/>
      <c r="AM202" s="2"/>
      <c r="AN202" s="2"/>
      <c r="AO202" s="9"/>
      <c r="AP202" s="9"/>
      <c r="AQ202" s="9"/>
      <c r="AR202" s="9"/>
    </row>
    <row r="203">
      <c r="A203" s="585"/>
      <c r="B203" s="585"/>
      <c r="C203" s="585"/>
      <c r="D203" s="585"/>
      <c r="E203" s="585"/>
      <c r="F203" s="585"/>
      <c r="G203" s="585"/>
      <c r="H203" s="585"/>
      <c r="I203" s="585"/>
      <c r="J203" s="585"/>
      <c r="K203" s="585"/>
      <c r="L203" s="585"/>
      <c r="M203" s="585"/>
      <c r="N203" s="585"/>
      <c r="O203" s="585"/>
      <c r="P203" s="585"/>
      <c r="Q203" s="585"/>
      <c r="R203" s="585"/>
      <c r="S203" s="585"/>
      <c r="T203" s="585"/>
      <c r="U203" s="585"/>
      <c r="V203" s="224"/>
      <c r="W203" s="224"/>
      <c r="X203" s="224"/>
      <c r="Y203" s="224"/>
      <c r="Z203" s="868"/>
      <c r="AA203" s="865"/>
      <c r="AB203" s="2"/>
      <c r="AC203" s="2"/>
      <c r="AD203" s="2"/>
      <c r="AE203" s="2"/>
      <c r="AF203" s="2"/>
      <c r="AG203" s="2"/>
      <c r="AH203" s="2"/>
      <c r="AI203" s="2"/>
      <c r="AJ203" s="2"/>
      <c r="AK203" s="2"/>
      <c r="AL203" s="2"/>
      <c r="AM203" s="2"/>
      <c r="AN203" s="2"/>
      <c r="AO203" s="9"/>
      <c r="AP203" s="9"/>
      <c r="AQ203" s="9"/>
      <c r="AR203" s="9"/>
    </row>
    <row r="204">
      <c r="A204" s="585"/>
      <c r="B204" s="585"/>
      <c r="C204" s="585"/>
      <c r="D204" s="585"/>
      <c r="E204" s="585"/>
      <c r="F204" s="585"/>
      <c r="G204" s="585"/>
      <c r="H204" s="585"/>
      <c r="I204" s="585"/>
      <c r="J204" s="585"/>
      <c r="K204" s="585"/>
      <c r="L204" s="585"/>
      <c r="M204" s="585"/>
      <c r="N204" s="585"/>
      <c r="O204" s="585"/>
      <c r="P204" s="585"/>
      <c r="Q204" s="585"/>
      <c r="R204" s="585"/>
      <c r="S204" s="585"/>
      <c r="T204" s="585"/>
      <c r="U204" s="585"/>
      <c r="V204" s="224"/>
      <c r="W204" s="224"/>
      <c r="X204" s="224"/>
      <c r="Y204" s="224"/>
      <c r="Z204" s="868"/>
      <c r="AA204" s="865"/>
      <c r="AB204" s="2"/>
      <c r="AC204" s="2"/>
      <c r="AD204" s="2"/>
      <c r="AE204" s="2"/>
      <c r="AF204" s="2"/>
      <c r="AG204" s="2"/>
      <c r="AH204" s="2"/>
      <c r="AI204" s="2"/>
      <c r="AJ204" s="2"/>
      <c r="AK204" s="2"/>
      <c r="AL204" s="2"/>
      <c r="AM204" s="2"/>
      <c r="AN204" s="2"/>
      <c r="AO204" s="9"/>
      <c r="AP204" s="9"/>
      <c r="AQ204" s="9"/>
      <c r="AR204" s="9"/>
    </row>
    <row r="205">
      <c r="A205" s="585"/>
      <c r="B205" s="585"/>
      <c r="C205" s="585"/>
      <c r="D205" s="585"/>
      <c r="E205" s="585"/>
      <c r="F205" s="585"/>
      <c r="G205" s="585"/>
      <c r="H205" s="585"/>
      <c r="I205" s="585"/>
      <c r="J205" s="585"/>
      <c r="K205" s="585"/>
      <c r="L205" s="585"/>
      <c r="M205" s="585"/>
      <c r="N205" s="585"/>
      <c r="O205" s="585"/>
      <c r="P205" s="585"/>
      <c r="Q205" s="585"/>
      <c r="R205" s="585"/>
      <c r="S205" s="585"/>
      <c r="T205" s="585"/>
      <c r="U205" s="585"/>
      <c r="V205" s="224"/>
      <c r="W205" s="224"/>
      <c r="X205" s="224"/>
      <c r="Y205" s="224"/>
      <c r="Z205" s="868"/>
      <c r="AA205" s="865"/>
      <c r="AB205" s="2"/>
      <c r="AC205" s="2"/>
      <c r="AD205" s="2"/>
      <c r="AE205" s="2"/>
      <c r="AF205" s="2"/>
      <c r="AG205" s="2"/>
      <c r="AH205" s="2"/>
      <c r="AI205" s="2"/>
      <c r="AJ205" s="2"/>
      <c r="AK205" s="2"/>
      <c r="AL205" s="2"/>
      <c r="AM205" s="2"/>
      <c r="AN205" s="2"/>
      <c r="AO205" s="9"/>
      <c r="AP205" s="9"/>
      <c r="AQ205" s="9"/>
      <c r="AR205" s="9"/>
    </row>
    <row r="206">
      <c r="A206" s="585"/>
      <c r="B206" s="585"/>
      <c r="C206" s="585"/>
      <c r="D206" s="585"/>
      <c r="E206" s="585"/>
      <c r="F206" s="585"/>
      <c r="G206" s="585"/>
      <c r="H206" s="585"/>
      <c r="I206" s="585"/>
      <c r="J206" s="585"/>
      <c r="K206" s="585"/>
      <c r="L206" s="585"/>
      <c r="M206" s="585"/>
      <c r="N206" s="585"/>
      <c r="O206" s="585"/>
      <c r="P206" s="585"/>
      <c r="Q206" s="585"/>
      <c r="R206" s="585"/>
      <c r="S206" s="585"/>
      <c r="T206" s="585"/>
      <c r="U206" s="585"/>
      <c r="V206" s="224"/>
      <c r="W206" s="224"/>
      <c r="X206" s="224"/>
      <c r="Y206" s="224"/>
      <c r="Z206" s="868"/>
      <c r="AA206" s="865"/>
      <c r="AB206" s="2"/>
      <c r="AC206" s="2"/>
      <c r="AD206" s="2"/>
      <c r="AE206" s="2"/>
      <c r="AF206" s="2"/>
      <c r="AG206" s="2"/>
      <c r="AH206" s="2"/>
      <c r="AI206" s="2"/>
      <c r="AJ206" s="2"/>
      <c r="AK206" s="2"/>
      <c r="AL206" s="2"/>
      <c r="AM206" s="2"/>
      <c r="AN206" s="2"/>
      <c r="AO206" s="9"/>
      <c r="AP206" s="9"/>
      <c r="AQ206" s="9"/>
      <c r="AR206" s="9"/>
    </row>
    <row r="207">
      <c r="A207" s="585"/>
      <c r="B207" s="585"/>
      <c r="C207" s="585"/>
      <c r="D207" s="585"/>
      <c r="E207" s="585"/>
      <c r="F207" s="585"/>
      <c r="G207" s="585"/>
      <c r="H207" s="585"/>
      <c r="I207" s="585"/>
      <c r="J207" s="585"/>
      <c r="K207" s="585"/>
      <c r="L207" s="585"/>
      <c r="M207" s="585"/>
      <c r="N207" s="585"/>
      <c r="O207" s="585"/>
      <c r="P207" s="585"/>
      <c r="Q207" s="585"/>
      <c r="R207" s="585"/>
      <c r="S207" s="585"/>
      <c r="T207" s="585"/>
      <c r="U207" s="585"/>
      <c r="V207" s="224"/>
      <c r="W207" s="224"/>
      <c r="X207" s="224"/>
      <c r="Y207" s="224"/>
      <c r="Z207" s="868"/>
      <c r="AA207" s="865"/>
      <c r="AB207" s="2"/>
      <c r="AC207" s="2"/>
      <c r="AD207" s="2"/>
      <c r="AE207" s="2"/>
      <c r="AF207" s="2"/>
      <c r="AG207" s="2"/>
      <c r="AH207" s="2"/>
      <c r="AI207" s="2"/>
      <c r="AJ207" s="2"/>
      <c r="AK207" s="2"/>
      <c r="AL207" s="2"/>
      <c r="AM207" s="2"/>
      <c r="AN207" s="2"/>
      <c r="AO207" s="9"/>
      <c r="AP207" s="9"/>
      <c r="AQ207" s="9"/>
      <c r="AR207" s="9"/>
    </row>
    <row r="208">
      <c r="A208" s="585"/>
      <c r="B208" s="585"/>
      <c r="C208" s="585"/>
      <c r="D208" s="585"/>
      <c r="E208" s="585"/>
      <c r="F208" s="585"/>
      <c r="G208" s="585"/>
      <c r="H208" s="585"/>
      <c r="I208" s="585"/>
      <c r="J208" s="585"/>
      <c r="K208" s="585"/>
      <c r="L208" s="585"/>
      <c r="M208" s="585"/>
      <c r="N208" s="585"/>
      <c r="O208" s="585"/>
      <c r="P208" s="585"/>
      <c r="Q208" s="585"/>
      <c r="R208" s="585"/>
      <c r="S208" s="585"/>
      <c r="T208" s="585"/>
      <c r="U208" s="585"/>
      <c r="V208" s="224"/>
      <c r="W208" s="224"/>
      <c r="X208" s="224"/>
      <c r="Y208" s="224"/>
      <c r="Z208" s="868"/>
      <c r="AA208" s="865"/>
      <c r="AB208" s="2"/>
      <c r="AC208" s="2"/>
      <c r="AD208" s="2"/>
      <c r="AE208" s="2"/>
      <c r="AF208" s="2"/>
      <c r="AG208" s="2"/>
      <c r="AH208" s="2"/>
      <c r="AI208" s="2"/>
      <c r="AJ208" s="2"/>
      <c r="AK208" s="2"/>
      <c r="AL208" s="2"/>
      <c r="AM208" s="2"/>
      <c r="AN208" s="2"/>
      <c r="AO208" s="9"/>
      <c r="AP208" s="9"/>
      <c r="AQ208" s="9"/>
      <c r="AR208" s="9"/>
    </row>
    <row r="209">
      <c r="A209" s="585"/>
      <c r="B209" s="585"/>
      <c r="C209" s="585"/>
      <c r="D209" s="585"/>
      <c r="E209" s="585"/>
      <c r="F209" s="585"/>
      <c r="G209" s="585"/>
      <c r="H209" s="585"/>
      <c r="I209" s="585"/>
      <c r="J209" s="585"/>
      <c r="K209" s="585"/>
      <c r="L209" s="585"/>
      <c r="M209" s="585"/>
      <c r="N209" s="585"/>
      <c r="O209" s="585"/>
      <c r="P209" s="585"/>
      <c r="Q209" s="585"/>
      <c r="R209" s="585"/>
      <c r="S209" s="585"/>
      <c r="T209" s="585"/>
      <c r="U209" s="585"/>
      <c r="V209" s="224"/>
      <c r="W209" s="224"/>
      <c r="X209" s="224"/>
      <c r="Y209" s="224"/>
      <c r="Z209" s="868"/>
      <c r="AA209" s="865"/>
      <c r="AB209" s="2"/>
      <c r="AC209" s="2"/>
      <c r="AD209" s="2"/>
      <c r="AE209" s="2"/>
      <c r="AF209" s="2"/>
      <c r="AG209" s="2"/>
      <c r="AH209" s="2"/>
      <c r="AI209" s="2"/>
      <c r="AJ209" s="2"/>
      <c r="AK209" s="2"/>
      <c r="AL209" s="2"/>
      <c r="AM209" s="2"/>
      <c r="AN209" s="2"/>
      <c r="AO209" s="9"/>
      <c r="AP209" s="9"/>
      <c r="AQ209" s="9"/>
      <c r="AR209" s="9"/>
    </row>
    <row r="210">
      <c r="A210" s="585"/>
      <c r="B210" s="585"/>
      <c r="C210" s="585"/>
      <c r="D210" s="585"/>
      <c r="E210" s="585"/>
      <c r="F210" s="585"/>
      <c r="G210" s="585"/>
      <c r="H210" s="585"/>
      <c r="I210" s="585"/>
      <c r="J210" s="585"/>
      <c r="K210" s="585"/>
      <c r="L210" s="585"/>
      <c r="M210" s="585"/>
      <c r="N210" s="585"/>
      <c r="O210" s="585"/>
      <c r="P210" s="585"/>
      <c r="Q210" s="585"/>
      <c r="R210" s="585"/>
      <c r="S210" s="585"/>
      <c r="T210" s="585"/>
      <c r="U210" s="585"/>
      <c r="V210" s="224"/>
      <c r="W210" s="224"/>
      <c r="X210" s="224"/>
      <c r="Y210" s="224"/>
      <c r="Z210" s="868"/>
      <c r="AA210" s="865"/>
      <c r="AB210" s="2"/>
      <c r="AC210" s="2"/>
      <c r="AD210" s="2"/>
      <c r="AE210" s="2"/>
      <c r="AF210" s="2"/>
      <c r="AG210" s="2"/>
      <c r="AH210" s="2"/>
      <c r="AI210" s="2"/>
      <c r="AJ210" s="2"/>
      <c r="AK210" s="2"/>
      <c r="AL210" s="2"/>
      <c r="AM210" s="2"/>
      <c r="AN210" s="2"/>
      <c r="AO210" s="9"/>
      <c r="AP210" s="9"/>
      <c r="AQ210" s="9"/>
      <c r="AR210" s="9"/>
    </row>
    <row r="211">
      <c r="A211" s="585"/>
      <c r="B211" s="585"/>
      <c r="C211" s="585"/>
      <c r="D211" s="585"/>
      <c r="E211" s="585"/>
      <c r="F211" s="585"/>
      <c r="G211" s="585"/>
      <c r="H211" s="585"/>
      <c r="I211" s="585"/>
      <c r="J211" s="585"/>
      <c r="K211" s="585"/>
      <c r="L211" s="585"/>
      <c r="M211" s="585"/>
      <c r="N211" s="585"/>
      <c r="O211" s="585"/>
      <c r="P211" s="585"/>
      <c r="Q211" s="585"/>
      <c r="R211" s="585"/>
      <c r="S211" s="585"/>
      <c r="T211" s="585"/>
      <c r="U211" s="585"/>
      <c r="V211" s="224"/>
      <c r="W211" s="224"/>
      <c r="X211" s="224"/>
      <c r="Y211" s="224"/>
      <c r="Z211" s="868"/>
      <c r="AA211" s="865"/>
      <c r="AB211" s="2"/>
      <c r="AC211" s="2"/>
      <c r="AD211" s="2"/>
      <c r="AE211" s="2"/>
      <c r="AF211" s="2"/>
      <c r="AG211" s="2"/>
      <c r="AH211" s="2"/>
      <c r="AI211" s="2"/>
      <c r="AJ211" s="2"/>
      <c r="AK211" s="2"/>
      <c r="AL211" s="2"/>
      <c r="AM211" s="2"/>
      <c r="AN211" s="2"/>
      <c r="AO211" s="9"/>
      <c r="AP211" s="9"/>
      <c r="AQ211" s="9"/>
      <c r="AR211" s="9"/>
    </row>
    <row r="212">
      <c r="A212" s="585"/>
      <c r="B212" s="585"/>
      <c r="C212" s="585"/>
      <c r="D212" s="585"/>
      <c r="E212" s="585"/>
      <c r="F212" s="585"/>
      <c r="G212" s="585"/>
      <c r="H212" s="585"/>
      <c r="I212" s="585"/>
      <c r="J212" s="585"/>
      <c r="K212" s="585"/>
      <c r="L212" s="585"/>
      <c r="M212" s="585"/>
      <c r="N212" s="585"/>
      <c r="O212" s="585"/>
      <c r="P212" s="585"/>
      <c r="Q212" s="585"/>
      <c r="R212" s="585"/>
      <c r="S212" s="585"/>
      <c r="T212" s="585"/>
      <c r="U212" s="585"/>
      <c r="V212" s="224"/>
      <c r="W212" s="224"/>
      <c r="X212" s="224"/>
      <c r="Y212" s="224"/>
      <c r="Z212" s="868"/>
      <c r="AA212" s="865"/>
      <c r="AB212" s="2"/>
      <c r="AC212" s="2"/>
      <c r="AD212" s="2"/>
      <c r="AE212" s="2"/>
      <c r="AF212" s="2"/>
      <c r="AG212" s="2"/>
      <c r="AH212" s="2"/>
      <c r="AI212" s="2"/>
      <c r="AJ212" s="2"/>
      <c r="AK212" s="2"/>
      <c r="AL212" s="2"/>
      <c r="AM212" s="2"/>
      <c r="AN212" s="2"/>
      <c r="AO212" s="9"/>
      <c r="AP212" s="9"/>
      <c r="AQ212" s="9"/>
      <c r="AR212" s="9"/>
    </row>
    <row r="213">
      <c r="A213" s="585"/>
      <c r="B213" s="585"/>
      <c r="C213" s="585"/>
      <c r="D213" s="585"/>
      <c r="E213" s="585"/>
      <c r="F213" s="585"/>
      <c r="G213" s="585"/>
      <c r="H213" s="585"/>
      <c r="I213" s="585"/>
      <c r="J213" s="585"/>
      <c r="K213" s="585"/>
      <c r="L213" s="585"/>
      <c r="M213" s="585"/>
      <c r="N213" s="585"/>
      <c r="O213" s="585"/>
      <c r="P213" s="585"/>
      <c r="Q213" s="585"/>
      <c r="R213" s="585"/>
      <c r="S213" s="585"/>
      <c r="T213" s="585"/>
      <c r="U213" s="585"/>
      <c r="V213" s="224"/>
      <c r="W213" s="224"/>
      <c r="X213" s="224"/>
      <c r="Y213" s="224"/>
      <c r="Z213" s="868"/>
      <c r="AA213" s="865"/>
      <c r="AB213" s="2"/>
      <c r="AC213" s="2"/>
      <c r="AD213" s="2"/>
      <c r="AE213" s="2"/>
      <c r="AF213" s="2"/>
      <c r="AG213" s="2"/>
      <c r="AH213" s="2"/>
      <c r="AI213" s="2"/>
      <c r="AJ213" s="2"/>
      <c r="AK213" s="2"/>
      <c r="AL213" s="2"/>
      <c r="AM213" s="2"/>
      <c r="AN213" s="2"/>
      <c r="AO213" s="9"/>
      <c r="AP213" s="9"/>
      <c r="AQ213" s="9"/>
      <c r="AR213" s="9"/>
    </row>
    <row r="214">
      <c r="A214" s="585"/>
      <c r="B214" s="585"/>
      <c r="C214" s="585"/>
      <c r="D214" s="585"/>
      <c r="E214" s="585"/>
      <c r="F214" s="585"/>
      <c r="G214" s="585"/>
      <c r="H214" s="585"/>
      <c r="I214" s="585"/>
      <c r="J214" s="585"/>
      <c r="K214" s="585"/>
      <c r="L214" s="585"/>
      <c r="M214" s="585"/>
      <c r="N214" s="585"/>
      <c r="O214" s="585"/>
      <c r="P214" s="585"/>
      <c r="Q214" s="585"/>
      <c r="R214" s="585"/>
      <c r="S214" s="585"/>
      <c r="T214" s="585"/>
      <c r="U214" s="585"/>
      <c r="V214" s="224"/>
      <c r="W214" s="224"/>
      <c r="X214" s="224"/>
      <c r="Y214" s="224"/>
      <c r="Z214" s="868"/>
      <c r="AA214" s="865"/>
      <c r="AB214" s="2"/>
      <c r="AC214" s="2"/>
      <c r="AD214" s="2"/>
      <c r="AE214" s="2"/>
      <c r="AF214" s="2"/>
      <c r="AG214" s="2"/>
      <c r="AH214" s="2"/>
      <c r="AI214" s="2"/>
      <c r="AJ214" s="2"/>
      <c r="AK214" s="2"/>
      <c r="AL214" s="2"/>
      <c r="AM214" s="2"/>
      <c r="AN214" s="2"/>
      <c r="AO214" s="9"/>
      <c r="AP214" s="9"/>
      <c r="AQ214" s="9"/>
      <c r="AR214" s="9"/>
    </row>
    <row r="215">
      <c r="A215" s="585"/>
      <c r="B215" s="585"/>
      <c r="C215" s="585"/>
      <c r="D215" s="585"/>
      <c r="E215" s="585"/>
      <c r="F215" s="585"/>
      <c r="G215" s="585"/>
      <c r="H215" s="585"/>
      <c r="I215" s="585"/>
      <c r="J215" s="585"/>
      <c r="K215" s="585"/>
      <c r="L215" s="585"/>
      <c r="M215" s="585"/>
      <c r="N215" s="585"/>
      <c r="O215" s="585"/>
      <c r="P215" s="585"/>
      <c r="Q215" s="585"/>
      <c r="R215" s="585"/>
      <c r="S215" s="585"/>
      <c r="T215" s="585"/>
      <c r="U215" s="585"/>
      <c r="V215" s="224"/>
      <c r="W215" s="224"/>
      <c r="X215" s="224"/>
      <c r="Y215" s="224"/>
      <c r="Z215" s="868"/>
      <c r="AA215" s="865"/>
      <c r="AB215" s="2"/>
      <c r="AC215" s="2"/>
      <c r="AD215" s="2"/>
      <c r="AE215" s="2"/>
      <c r="AF215" s="2"/>
      <c r="AG215" s="2"/>
      <c r="AH215" s="2"/>
      <c r="AI215" s="2"/>
      <c r="AJ215" s="2"/>
      <c r="AK215" s="2"/>
      <c r="AL215" s="2"/>
      <c r="AM215" s="2"/>
      <c r="AN215" s="2"/>
      <c r="AO215" s="9"/>
      <c r="AP215" s="9"/>
      <c r="AQ215" s="9"/>
      <c r="AR215" s="9"/>
    </row>
    <row r="216">
      <c r="A216" s="585"/>
      <c r="B216" s="585"/>
      <c r="C216" s="585"/>
      <c r="D216" s="585"/>
      <c r="E216" s="585"/>
      <c r="F216" s="585"/>
      <c r="G216" s="585"/>
      <c r="H216" s="585"/>
      <c r="I216" s="585"/>
      <c r="J216" s="585"/>
      <c r="K216" s="585"/>
      <c r="L216" s="585"/>
      <c r="M216" s="585"/>
      <c r="N216" s="585"/>
      <c r="O216" s="585"/>
      <c r="P216" s="585"/>
      <c r="Q216" s="585"/>
      <c r="R216" s="585"/>
      <c r="S216" s="585"/>
      <c r="T216" s="585"/>
      <c r="U216" s="585"/>
      <c r="V216" s="224"/>
      <c r="W216" s="224"/>
      <c r="X216" s="224"/>
      <c r="Y216" s="224"/>
      <c r="Z216" s="868"/>
      <c r="AA216" s="865"/>
      <c r="AB216" s="2"/>
      <c r="AC216" s="2"/>
      <c r="AD216" s="2"/>
      <c r="AE216" s="2"/>
      <c r="AF216" s="2"/>
      <c r="AG216" s="2"/>
      <c r="AH216" s="2"/>
      <c r="AI216" s="2"/>
      <c r="AJ216" s="2"/>
      <c r="AK216" s="2"/>
      <c r="AL216" s="2"/>
      <c r="AM216" s="2"/>
      <c r="AN216" s="2"/>
      <c r="AO216" s="9"/>
      <c r="AP216" s="9"/>
      <c r="AQ216" s="9"/>
      <c r="AR216" s="9"/>
    </row>
    <row r="217">
      <c r="A217" s="585"/>
      <c r="B217" s="585"/>
      <c r="C217" s="585"/>
      <c r="D217" s="585"/>
      <c r="E217" s="585"/>
      <c r="F217" s="585"/>
      <c r="G217" s="585"/>
      <c r="H217" s="585"/>
      <c r="I217" s="585"/>
      <c r="J217" s="585"/>
      <c r="K217" s="585"/>
      <c r="L217" s="585"/>
      <c r="M217" s="585"/>
      <c r="N217" s="585"/>
      <c r="O217" s="585"/>
      <c r="P217" s="585"/>
      <c r="Q217" s="585"/>
      <c r="R217" s="585"/>
      <c r="S217" s="585"/>
      <c r="T217" s="585"/>
      <c r="U217" s="585"/>
      <c r="V217" s="224"/>
      <c r="W217" s="224"/>
      <c r="X217" s="224"/>
      <c r="Y217" s="224"/>
      <c r="Z217" s="868"/>
      <c r="AA217" s="865"/>
      <c r="AB217" s="2"/>
      <c r="AC217" s="2"/>
      <c r="AD217" s="2"/>
      <c r="AE217" s="2"/>
      <c r="AF217" s="2"/>
      <c r="AG217" s="2"/>
      <c r="AH217" s="2"/>
      <c r="AI217" s="2"/>
      <c r="AJ217" s="2"/>
      <c r="AK217" s="2"/>
      <c r="AL217" s="2"/>
      <c r="AM217" s="2"/>
      <c r="AN217" s="2"/>
      <c r="AO217" s="9"/>
      <c r="AP217" s="9"/>
      <c r="AQ217" s="9"/>
      <c r="AR217" s="9"/>
    </row>
    <row r="218">
      <c r="A218" s="585"/>
      <c r="B218" s="585"/>
      <c r="C218" s="585"/>
      <c r="D218" s="585"/>
      <c r="E218" s="585"/>
      <c r="F218" s="585"/>
      <c r="G218" s="585"/>
      <c r="H218" s="585"/>
      <c r="I218" s="585"/>
      <c r="J218" s="585"/>
      <c r="K218" s="585"/>
      <c r="L218" s="585"/>
      <c r="M218" s="585"/>
      <c r="N218" s="585"/>
      <c r="O218" s="585"/>
      <c r="P218" s="585"/>
      <c r="Q218" s="585"/>
      <c r="R218" s="585"/>
      <c r="S218" s="585"/>
      <c r="T218" s="585"/>
      <c r="U218" s="585"/>
      <c r="V218" s="224"/>
      <c r="W218" s="224"/>
      <c r="X218" s="224"/>
      <c r="Y218" s="224"/>
      <c r="Z218" s="868"/>
      <c r="AA218" s="865"/>
      <c r="AB218" s="2"/>
      <c r="AC218" s="2"/>
      <c r="AD218" s="2"/>
      <c r="AE218" s="2"/>
      <c r="AF218" s="2"/>
      <c r="AG218" s="2"/>
      <c r="AH218" s="2"/>
      <c r="AI218" s="2"/>
      <c r="AJ218" s="2"/>
      <c r="AK218" s="2"/>
      <c r="AL218" s="2"/>
      <c r="AM218" s="2"/>
      <c r="AN218" s="2"/>
      <c r="AO218" s="9"/>
      <c r="AP218" s="9"/>
      <c r="AQ218" s="9"/>
      <c r="AR218" s="9"/>
    </row>
    <row r="219">
      <c r="A219" s="585"/>
      <c r="B219" s="585"/>
      <c r="C219" s="585"/>
      <c r="D219" s="585"/>
      <c r="E219" s="585"/>
      <c r="F219" s="585"/>
      <c r="G219" s="585"/>
      <c r="H219" s="585"/>
      <c r="I219" s="585"/>
      <c r="J219" s="585"/>
      <c r="K219" s="585"/>
      <c r="L219" s="585"/>
      <c r="M219" s="585"/>
      <c r="N219" s="585"/>
      <c r="O219" s="585"/>
      <c r="P219" s="585"/>
      <c r="Q219" s="585"/>
      <c r="R219" s="585"/>
      <c r="S219" s="585"/>
      <c r="T219" s="585"/>
      <c r="U219" s="585"/>
      <c r="V219" s="224"/>
      <c r="W219" s="224"/>
      <c r="X219" s="224"/>
      <c r="Y219" s="224"/>
      <c r="Z219" s="868"/>
      <c r="AA219" s="865"/>
      <c r="AB219" s="2"/>
      <c r="AC219" s="2"/>
      <c r="AD219" s="2"/>
      <c r="AE219" s="2"/>
      <c r="AF219" s="2"/>
      <c r="AG219" s="2"/>
      <c r="AH219" s="2"/>
      <c r="AI219" s="2"/>
      <c r="AJ219" s="2"/>
      <c r="AK219" s="2"/>
      <c r="AL219" s="2"/>
      <c r="AM219" s="2"/>
      <c r="AN219" s="2"/>
      <c r="AO219" s="9"/>
      <c r="AP219" s="9"/>
      <c r="AQ219" s="9"/>
      <c r="AR219" s="9"/>
    </row>
    <row r="220">
      <c r="A220" s="585"/>
      <c r="B220" s="585"/>
      <c r="C220" s="585"/>
      <c r="D220" s="585"/>
      <c r="E220" s="585"/>
      <c r="F220" s="585"/>
      <c r="G220" s="585"/>
      <c r="H220" s="585"/>
      <c r="I220" s="585"/>
      <c r="J220" s="585"/>
      <c r="K220" s="585"/>
      <c r="L220" s="585"/>
      <c r="M220" s="585"/>
      <c r="N220" s="585"/>
      <c r="O220" s="585"/>
      <c r="P220" s="585"/>
      <c r="Q220" s="585"/>
      <c r="R220" s="585"/>
      <c r="S220" s="585"/>
      <c r="T220" s="585"/>
      <c r="U220" s="585"/>
      <c r="V220" s="224"/>
      <c r="W220" s="224"/>
      <c r="X220" s="224"/>
      <c r="Y220" s="224"/>
      <c r="Z220" s="868"/>
      <c r="AA220" s="865"/>
      <c r="AB220" s="2"/>
      <c r="AC220" s="2"/>
      <c r="AD220" s="2"/>
      <c r="AE220" s="2"/>
      <c r="AF220" s="2"/>
      <c r="AG220" s="2"/>
      <c r="AH220" s="2"/>
      <c r="AI220" s="2"/>
      <c r="AJ220" s="2"/>
      <c r="AK220" s="2"/>
      <c r="AL220" s="2"/>
      <c r="AM220" s="2"/>
      <c r="AN220" s="2"/>
      <c r="AO220" s="9"/>
      <c r="AP220" s="9"/>
      <c r="AQ220" s="9"/>
      <c r="AR220" s="9"/>
    </row>
    <row r="221">
      <c r="A221" s="585"/>
      <c r="B221" s="585"/>
      <c r="C221" s="585"/>
      <c r="D221" s="585"/>
      <c r="E221" s="585"/>
      <c r="F221" s="585"/>
      <c r="G221" s="585"/>
      <c r="H221" s="585"/>
      <c r="I221" s="585"/>
      <c r="J221" s="585"/>
      <c r="K221" s="585"/>
      <c r="L221" s="585"/>
      <c r="M221" s="585"/>
      <c r="N221" s="585"/>
      <c r="O221" s="585"/>
      <c r="P221" s="585"/>
      <c r="Q221" s="585"/>
      <c r="R221" s="585"/>
      <c r="S221" s="585"/>
      <c r="T221" s="585"/>
      <c r="U221" s="585"/>
      <c r="V221" s="224"/>
      <c r="W221" s="224"/>
      <c r="X221" s="224"/>
      <c r="Y221" s="224"/>
      <c r="Z221" s="868"/>
      <c r="AA221" s="865"/>
      <c r="AB221" s="2"/>
      <c r="AC221" s="2"/>
      <c r="AD221" s="2"/>
      <c r="AE221" s="2"/>
      <c r="AF221" s="2"/>
      <c r="AG221" s="2"/>
      <c r="AH221" s="2"/>
      <c r="AI221" s="2"/>
      <c r="AJ221" s="2"/>
      <c r="AK221" s="2"/>
      <c r="AL221" s="2"/>
      <c r="AM221" s="2"/>
      <c r="AN221" s="2"/>
      <c r="AO221" s="9"/>
      <c r="AP221" s="9"/>
      <c r="AQ221" s="9"/>
      <c r="AR221" s="9"/>
    </row>
    <row r="222">
      <c r="A222" s="585"/>
      <c r="B222" s="585"/>
      <c r="C222" s="585"/>
      <c r="D222" s="585"/>
      <c r="E222" s="585"/>
      <c r="F222" s="585"/>
      <c r="G222" s="585"/>
      <c r="H222" s="585"/>
      <c r="I222" s="585"/>
      <c r="J222" s="585"/>
      <c r="K222" s="585"/>
      <c r="L222" s="585"/>
      <c r="M222" s="585"/>
      <c r="N222" s="585"/>
      <c r="O222" s="585"/>
      <c r="P222" s="585"/>
      <c r="Q222" s="585"/>
      <c r="R222" s="585"/>
      <c r="S222" s="585"/>
      <c r="T222" s="585"/>
      <c r="U222" s="585"/>
      <c r="V222" s="224"/>
      <c r="W222" s="224"/>
      <c r="X222" s="224"/>
      <c r="Y222" s="224"/>
      <c r="Z222" s="868"/>
      <c r="AA222" s="865"/>
      <c r="AB222" s="2"/>
      <c r="AC222" s="2"/>
      <c r="AD222" s="2"/>
      <c r="AE222" s="2"/>
      <c r="AF222" s="2"/>
      <c r="AG222" s="2"/>
      <c r="AH222" s="2"/>
      <c r="AI222" s="2"/>
      <c r="AJ222" s="2"/>
      <c r="AK222" s="2"/>
      <c r="AL222" s="2"/>
      <c r="AM222" s="2"/>
      <c r="AN222" s="2"/>
      <c r="AO222" s="9"/>
      <c r="AP222" s="9"/>
      <c r="AQ222" s="9"/>
      <c r="AR222" s="9"/>
    </row>
    <row r="223">
      <c r="A223" s="585"/>
      <c r="B223" s="585"/>
      <c r="C223" s="585"/>
      <c r="D223" s="585"/>
      <c r="E223" s="585"/>
      <c r="F223" s="585"/>
      <c r="G223" s="585"/>
      <c r="H223" s="585"/>
      <c r="I223" s="585"/>
      <c r="J223" s="585"/>
      <c r="K223" s="585"/>
      <c r="L223" s="585"/>
      <c r="M223" s="585"/>
      <c r="N223" s="585"/>
      <c r="O223" s="585"/>
      <c r="P223" s="585"/>
      <c r="Q223" s="585"/>
      <c r="R223" s="585"/>
      <c r="S223" s="585"/>
      <c r="T223" s="585"/>
      <c r="U223" s="585"/>
      <c r="V223" s="224"/>
      <c r="W223" s="224"/>
      <c r="X223" s="224"/>
      <c r="Y223" s="224"/>
      <c r="Z223" s="868"/>
      <c r="AA223" s="865"/>
      <c r="AB223" s="2"/>
      <c r="AC223" s="2"/>
      <c r="AD223" s="2"/>
      <c r="AE223" s="2"/>
      <c r="AF223" s="2"/>
      <c r="AG223" s="2"/>
      <c r="AH223" s="2"/>
      <c r="AI223" s="2"/>
      <c r="AJ223" s="2"/>
      <c r="AK223" s="2"/>
      <c r="AL223" s="2"/>
      <c r="AM223" s="2"/>
      <c r="AN223" s="2"/>
      <c r="AO223" s="9"/>
      <c r="AP223" s="9"/>
      <c r="AQ223" s="9"/>
      <c r="AR223" s="9"/>
    </row>
    <row r="224">
      <c r="A224" s="585"/>
      <c r="B224" s="585"/>
      <c r="C224" s="585"/>
      <c r="D224" s="585"/>
      <c r="E224" s="585"/>
      <c r="F224" s="585"/>
      <c r="G224" s="585"/>
      <c r="H224" s="585"/>
      <c r="I224" s="585"/>
      <c r="J224" s="585"/>
      <c r="K224" s="585"/>
      <c r="L224" s="585"/>
      <c r="M224" s="585"/>
      <c r="N224" s="585"/>
      <c r="O224" s="585"/>
      <c r="P224" s="585"/>
      <c r="Q224" s="585"/>
      <c r="R224" s="585"/>
      <c r="S224" s="585"/>
      <c r="T224" s="585"/>
      <c r="U224" s="585"/>
      <c r="V224" s="224"/>
      <c r="W224" s="224"/>
      <c r="X224" s="224"/>
      <c r="Y224" s="224"/>
      <c r="Z224" s="868"/>
      <c r="AA224" s="865"/>
      <c r="AB224" s="2"/>
      <c r="AC224" s="2"/>
      <c r="AD224" s="2"/>
      <c r="AE224" s="2"/>
      <c r="AF224" s="2"/>
      <c r="AG224" s="2"/>
      <c r="AH224" s="2"/>
      <c r="AI224" s="2"/>
      <c r="AJ224" s="2"/>
      <c r="AK224" s="2"/>
      <c r="AL224" s="2"/>
      <c r="AM224" s="2"/>
      <c r="AN224" s="2"/>
      <c r="AO224" s="9"/>
      <c r="AP224" s="9"/>
      <c r="AQ224" s="9"/>
      <c r="AR224" s="9"/>
    </row>
    <row r="225">
      <c r="A225" s="585"/>
      <c r="B225" s="585"/>
      <c r="C225" s="585"/>
      <c r="D225" s="585"/>
      <c r="E225" s="585"/>
      <c r="F225" s="585"/>
      <c r="G225" s="585"/>
      <c r="H225" s="585"/>
      <c r="I225" s="585"/>
      <c r="J225" s="585"/>
      <c r="K225" s="585"/>
      <c r="L225" s="585"/>
      <c r="M225" s="585"/>
      <c r="N225" s="585"/>
      <c r="O225" s="585"/>
      <c r="P225" s="585"/>
      <c r="Q225" s="585"/>
      <c r="R225" s="585"/>
      <c r="S225" s="585"/>
      <c r="T225" s="585"/>
      <c r="U225" s="585"/>
      <c r="V225" s="224"/>
      <c r="W225" s="224"/>
      <c r="X225" s="224"/>
      <c r="Y225" s="224"/>
      <c r="Z225" s="868"/>
      <c r="AA225" s="865"/>
      <c r="AB225" s="2"/>
      <c r="AC225" s="2"/>
      <c r="AD225" s="2"/>
      <c r="AE225" s="2"/>
      <c r="AF225" s="2"/>
      <c r="AG225" s="2"/>
      <c r="AH225" s="2"/>
      <c r="AI225" s="2"/>
      <c r="AJ225" s="2"/>
      <c r="AK225" s="2"/>
      <c r="AL225" s="2"/>
      <c r="AM225" s="2"/>
      <c r="AN225" s="2"/>
      <c r="AO225" s="9"/>
      <c r="AP225" s="9"/>
      <c r="AQ225" s="9"/>
      <c r="AR225" s="9"/>
    </row>
    <row r="226">
      <c r="A226" s="585"/>
      <c r="B226" s="585"/>
      <c r="C226" s="585"/>
      <c r="D226" s="585"/>
      <c r="E226" s="585"/>
      <c r="F226" s="585"/>
      <c r="G226" s="585"/>
      <c r="H226" s="585"/>
      <c r="I226" s="585"/>
      <c r="J226" s="585"/>
      <c r="K226" s="585"/>
      <c r="L226" s="585"/>
      <c r="M226" s="585"/>
      <c r="N226" s="585"/>
      <c r="O226" s="585"/>
      <c r="P226" s="585"/>
      <c r="Q226" s="585"/>
      <c r="R226" s="585"/>
      <c r="S226" s="585"/>
      <c r="T226" s="585"/>
      <c r="U226" s="585"/>
      <c r="V226" s="224"/>
      <c r="W226" s="224"/>
      <c r="X226" s="224"/>
      <c r="Y226" s="224"/>
      <c r="Z226" s="868"/>
      <c r="AA226" s="865"/>
      <c r="AB226" s="2"/>
      <c r="AC226" s="2"/>
      <c r="AD226" s="2"/>
      <c r="AE226" s="2"/>
      <c r="AF226" s="2"/>
      <c r="AG226" s="2"/>
      <c r="AH226" s="2"/>
      <c r="AI226" s="2"/>
      <c r="AJ226" s="2"/>
      <c r="AK226" s="2"/>
      <c r="AL226" s="2"/>
      <c r="AM226" s="2"/>
      <c r="AN226" s="2"/>
      <c r="AO226" s="9"/>
      <c r="AP226" s="9"/>
      <c r="AQ226" s="9"/>
      <c r="AR226" s="9"/>
    </row>
    <row r="227">
      <c r="A227" s="585"/>
      <c r="B227" s="585"/>
      <c r="C227" s="585"/>
      <c r="D227" s="585"/>
      <c r="E227" s="585"/>
      <c r="F227" s="585"/>
      <c r="G227" s="585"/>
      <c r="H227" s="585"/>
      <c r="I227" s="585"/>
      <c r="J227" s="585"/>
      <c r="K227" s="585"/>
      <c r="L227" s="585"/>
      <c r="M227" s="585"/>
      <c r="N227" s="585"/>
      <c r="O227" s="585"/>
      <c r="P227" s="585"/>
      <c r="Q227" s="585"/>
      <c r="R227" s="585"/>
      <c r="S227" s="585"/>
      <c r="T227" s="585"/>
      <c r="U227" s="585"/>
      <c r="V227" s="224"/>
      <c r="W227" s="224"/>
      <c r="X227" s="224"/>
      <c r="Y227" s="224"/>
      <c r="Z227" s="868"/>
      <c r="AA227" s="865"/>
      <c r="AB227" s="2"/>
      <c r="AC227" s="2"/>
      <c r="AD227" s="2"/>
      <c r="AE227" s="2"/>
      <c r="AF227" s="2"/>
      <c r="AG227" s="2"/>
      <c r="AH227" s="2"/>
      <c r="AI227" s="2"/>
      <c r="AJ227" s="2"/>
      <c r="AK227" s="2"/>
      <c r="AL227" s="2"/>
      <c r="AM227" s="2"/>
      <c r="AN227" s="2"/>
      <c r="AO227" s="9"/>
      <c r="AP227" s="9"/>
      <c r="AQ227" s="9"/>
      <c r="AR227" s="9"/>
    </row>
    <row r="228">
      <c r="A228" s="585"/>
      <c r="B228" s="585"/>
      <c r="C228" s="585"/>
      <c r="D228" s="585"/>
      <c r="E228" s="585"/>
      <c r="F228" s="585"/>
      <c r="G228" s="585"/>
      <c r="H228" s="585"/>
      <c r="I228" s="585"/>
      <c r="J228" s="585"/>
      <c r="K228" s="585"/>
      <c r="L228" s="585"/>
      <c r="M228" s="585"/>
      <c r="N228" s="585"/>
      <c r="O228" s="585"/>
      <c r="P228" s="585"/>
      <c r="Q228" s="585"/>
      <c r="R228" s="585"/>
      <c r="S228" s="585"/>
      <c r="T228" s="585"/>
      <c r="U228" s="585"/>
      <c r="V228" s="224"/>
      <c r="W228" s="224"/>
      <c r="X228" s="224"/>
      <c r="Y228" s="224"/>
      <c r="Z228" s="868"/>
      <c r="AA228" s="865"/>
      <c r="AB228" s="2"/>
      <c r="AC228" s="2"/>
      <c r="AD228" s="2"/>
      <c r="AE228" s="2"/>
      <c r="AF228" s="2"/>
      <c r="AG228" s="2"/>
      <c r="AH228" s="2"/>
      <c r="AI228" s="2"/>
      <c r="AJ228" s="2"/>
      <c r="AK228" s="2"/>
      <c r="AL228" s="2"/>
      <c r="AM228" s="2"/>
      <c r="AN228" s="2"/>
      <c r="AO228" s="9"/>
      <c r="AP228" s="9"/>
      <c r="AQ228" s="9"/>
      <c r="AR228" s="9"/>
    </row>
    <row r="229">
      <c r="A229" s="585"/>
      <c r="B229" s="585"/>
      <c r="C229" s="585"/>
      <c r="D229" s="585"/>
      <c r="E229" s="585"/>
      <c r="F229" s="585"/>
      <c r="G229" s="585"/>
      <c r="H229" s="585"/>
      <c r="I229" s="585"/>
      <c r="J229" s="585"/>
      <c r="K229" s="585"/>
      <c r="L229" s="585"/>
      <c r="M229" s="585"/>
      <c r="N229" s="585"/>
      <c r="O229" s="585"/>
      <c r="P229" s="585"/>
      <c r="Q229" s="585"/>
      <c r="R229" s="585"/>
      <c r="S229" s="585"/>
      <c r="T229" s="585"/>
      <c r="U229" s="585"/>
      <c r="V229" s="224"/>
      <c r="W229" s="224"/>
      <c r="X229" s="224"/>
      <c r="Y229" s="224"/>
      <c r="Z229" s="868"/>
      <c r="AA229" s="865"/>
      <c r="AB229" s="2"/>
      <c r="AC229" s="2"/>
      <c r="AD229" s="2"/>
      <c r="AE229" s="2"/>
      <c r="AF229" s="2"/>
      <c r="AG229" s="2"/>
      <c r="AH229" s="2"/>
      <c r="AI229" s="2"/>
      <c r="AJ229" s="2"/>
      <c r="AK229" s="2"/>
      <c r="AL229" s="2"/>
      <c r="AM229" s="2"/>
      <c r="AN229" s="2"/>
      <c r="AO229" s="9"/>
      <c r="AP229" s="9"/>
      <c r="AQ229" s="9"/>
      <c r="AR229" s="9"/>
    </row>
    <row r="230">
      <c r="A230" s="585"/>
      <c r="B230" s="585"/>
      <c r="C230" s="585"/>
      <c r="D230" s="585"/>
      <c r="E230" s="585"/>
      <c r="F230" s="585"/>
      <c r="G230" s="585"/>
      <c r="H230" s="585"/>
      <c r="I230" s="585"/>
      <c r="J230" s="585"/>
      <c r="K230" s="585"/>
      <c r="L230" s="585"/>
      <c r="M230" s="585"/>
      <c r="N230" s="585"/>
      <c r="O230" s="585"/>
      <c r="P230" s="585"/>
      <c r="Q230" s="585"/>
      <c r="R230" s="585"/>
      <c r="S230" s="585"/>
      <c r="T230" s="585"/>
      <c r="U230" s="585"/>
      <c r="V230" s="224"/>
      <c r="W230" s="224"/>
      <c r="X230" s="224"/>
      <c r="Y230" s="224"/>
      <c r="Z230" s="868"/>
      <c r="AA230" s="865"/>
      <c r="AB230" s="2"/>
      <c r="AC230" s="2"/>
      <c r="AD230" s="2"/>
      <c r="AE230" s="2"/>
      <c r="AF230" s="2"/>
      <c r="AG230" s="2"/>
      <c r="AH230" s="2"/>
      <c r="AI230" s="2"/>
      <c r="AJ230" s="2"/>
      <c r="AK230" s="2"/>
      <c r="AL230" s="2"/>
      <c r="AM230" s="2"/>
      <c r="AN230" s="2"/>
      <c r="AO230" s="9"/>
      <c r="AP230" s="9"/>
      <c r="AQ230" s="9"/>
      <c r="AR230" s="9"/>
    </row>
    <row r="231">
      <c r="A231" s="585"/>
      <c r="B231" s="585"/>
      <c r="C231" s="585"/>
      <c r="D231" s="585"/>
      <c r="E231" s="585"/>
      <c r="F231" s="585"/>
      <c r="G231" s="585"/>
      <c r="H231" s="585"/>
      <c r="I231" s="585"/>
      <c r="J231" s="585"/>
      <c r="K231" s="585"/>
      <c r="L231" s="585"/>
      <c r="M231" s="585"/>
      <c r="N231" s="585"/>
      <c r="O231" s="585"/>
      <c r="P231" s="585"/>
      <c r="Q231" s="585"/>
      <c r="R231" s="585"/>
      <c r="S231" s="585"/>
      <c r="T231" s="585"/>
      <c r="U231" s="585"/>
      <c r="V231" s="224"/>
      <c r="W231" s="224"/>
      <c r="X231" s="224"/>
      <c r="Y231" s="224"/>
      <c r="Z231" s="868"/>
      <c r="AA231" s="865"/>
      <c r="AB231" s="2"/>
      <c r="AC231" s="2"/>
      <c r="AD231" s="2"/>
      <c r="AE231" s="2"/>
      <c r="AF231" s="2"/>
      <c r="AG231" s="2"/>
      <c r="AH231" s="2"/>
      <c r="AI231" s="2"/>
      <c r="AJ231" s="2"/>
      <c r="AK231" s="2"/>
      <c r="AL231" s="2"/>
      <c r="AM231" s="2"/>
      <c r="AN231" s="2"/>
      <c r="AO231" s="9"/>
      <c r="AP231" s="9"/>
      <c r="AQ231" s="9"/>
      <c r="AR231" s="9"/>
    </row>
    <row r="232">
      <c r="A232" s="585"/>
      <c r="B232" s="585"/>
      <c r="C232" s="585"/>
      <c r="D232" s="585"/>
      <c r="E232" s="585"/>
      <c r="F232" s="585"/>
      <c r="G232" s="585"/>
      <c r="H232" s="585"/>
      <c r="I232" s="585"/>
      <c r="J232" s="585"/>
      <c r="K232" s="585"/>
      <c r="L232" s="585"/>
      <c r="M232" s="585"/>
      <c r="N232" s="585"/>
      <c r="O232" s="585"/>
      <c r="P232" s="585"/>
      <c r="Q232" s="585"/>
      <c r="R232" s="585"/>
      <c r="S232" s="585"/>
      <c r="T232" s="585"/>
      <c r="U232" s="585"/>
      <c r="V232" s="224"/>
      <c r="W232" s="224"/>
      <c r="X232" s="224"/>
      <c r="Y232" s="224"/>
      <c r="Z232" s="868"/>
      <c r="AA232" s="865"/>
      <c r="AB232" s="2"/>
      <c r="AC232" s="2"/>
      <c r="AD232" s="2"/>
      <c r="AE232" s="2"/>
      <c r="AF232" s="2"/>
      <c r="AG232" s="2"/>
      <c r="AH232" s="2"/>
      <c r="AI232" s="2"/>
      <c r="AJ232" s="2"/>
      <c r="AK232" s="2"/>
      <c r="AL232" s="2"/>
      <c r="AM232" s="2"/>
      <c r="AN232" s="2"/>
      <c r="AO232" s="9"/>
      <c r="AP232" s="9"/>
      <c r="AQ232" s="9"/>
      <c r="AR232" s="9"/>
    </row>
    <row r="233">
      <c r="A233" s="585"/>
      <c r="B233" s="585"/>
      <c r="C233" s="585"/>
      <c r="D233" s="585"/>
      <c r="E233" s="585"/>
      <c r="F233" s="585"/>
      <c r="G233" s="585"/>
      <c r="H233" s="585"/>
      <c r="I233" s="585"/>
      <c r="J233" s="585"/>
      <c r="K233" s="585"/>
      <c r="L233" s="585"/>
      <c r="M233" s="585"/>
      <c r="N233" s="585"/>
      <c r="O233" s="585"/>
      <c r="P233" s="585"/>
      <c r="Q233" s="585"/>
      <c r="R233" s="585"/>
      <c r="S233" s="585"/>
      <c r="T233" s="585"/>
      <c r="U233" s="585"/>
      <c r="V233" s="224"/>
      <c r="W233" s="224"/>
      <c r="X233" s="224"/>
      <c r="Y233" s="224"/>
      <c r="Z233" s="868"/>
      <c r="AA233" s="865"/>
      <c r="AB233" s="2"/>
      <c r="AC233" s="2"/>
      <c r="AD233" s="2"/>
      <c r="AE233" s="2"/>
      <c r="AF233" s="2"/>
      <c r="AG233" s="2"/>
      <c r="AH233" s="2"/>
      <c r="AI233" s="2"/>
      <c r="AJ233" s="2"/>
      <c r="AK233" s="2"/>
      <c r="AL233" s="2"/>
      <c r="AM233" s="2"/>
      <c r="AN233" s="2"/>
      <c r="AO233" s="9"/>
      <c r="AP233" s="9"/>
      <c r="AQ233" s="9"/>
      <c r="AR233" s="9"/>
    </row>
    <row r="234">
      <c r="A234" s="585"/>
      <c r="B234" s="585"/>
      <c r="C234" s="585"/>
      <c r="D234" s="585"/>
      <c r="E234" s="585"/>
      <c r="F234" s="585"/>
      <c r="G234" s="585"/>
      <c r="H234" s="585"/>
      <c r="I234" s="585"/>
      <c r="J234" s="585"/>
      <c r="K234" s="585"/>
      <c r="L234" s="585"/>
      <c r="M234" s="585"/>
      <c r="N234" s="585"/>
      <c r="O234" s="585"/>
      <c r="P234" s="585"/>
      <c r="Q234" s="585"/>
      <c r="R234" s="585"/>
      <c r="S234" s="585"/>
      <c r="T234" s="585"/>
      <c r="U234" s="585"/>
      <c r="V234" s="224"/>
      <c r="W234" s="224"/>
      <c r="X234" s="224"/>
      <c r="Y234" s="224"/>
      <c r="Z234" s="868"/>
      <c r="AA234" s="865"/>
      <c r="AB234" s="2"/>
      <c r="AC234" s="2"/>
      <c r="AD234" s="2"/>
      <c r="AE234" s="2"/>
      <c r="AF234" s="2"/>
      <c r="AG234" s="2"/>
      <c r="AH234" s="2"/>
      <c r="AI234" s="2"/>
      <c r="AJ234" s="2"/>
      <c r="AK234" s="2"/>
      <c r="AL234" s="2"/>
      <c r="AM234" s="2"/>
      <c r="AN234" s="2"/>
      <c r="AO234" s="9"/>
      <c r="AP234" s="9"/>
      <c r="AQ234" s="9"/>
      <c r="AR234" s="9"/>
    </row>
    <row r="235">
      <c r="A235" s="585"/>
      <c r="B235" s="585"/>
      <c r="C235" s="585"/>
      <c r="D235" s="585"/>
      <c r="E235" s="585"/>
      <c r="F235" s="585"/>
      <c r="G235" s="585"/>
      <c r="H235" s="585"/>
      <c r="I235" s="585"/>
      <c r="J235" s="585"/>
      <c r="K235" s="585"/>
      <c r="L235" s="585"/>
      <c r="M235" s="585"/>
      <c r="N235" s="585"/>
      <c r="O235" s="585"/>
      <c r="P235" s="585"/>
      <c r="Q235" s="585"/>
      <c r="R235" s="585"/>
      <c r="S235" s="585"/>
      <c r="T235" s="585"/>
      <c r="U235" s="585"/>
      <c r="V235" s="224"/>
      <c r="W235" s="224"/>
      <c r="X235" s="224"/>
      <c r="Y235" s="224"/>
      <c r="Z235" s="868"/>
      <c r="AA235" s="865"/>
      <c r="AB235" s="2"/>
      <c r="AC235" s="2"/>
      <c r="AD235" s="2"/>
      <c r="AE235" s="2"/>
      <c r="AF235" s="2"/>
      <c r="AG235" s="2"/>
      <c r="AH235" s="2"/>
      <c r="AI235" s="2"/>
      <c r="AJ235" s="2"/>
      <c r="AK235" s="2"/>
      <c r="AL235" s="2"/>
      <c r="AM235" s="2"/>
      <c r="AN235" s="2"/>
      <c r="AO235" s="9"/>
      <c r="AP235" s="9"/>
      <c r="AQ235" s="9"/>
      <c r="AR235" s="9"/>
    </row>
    <row r="236">
      <c r="A236" s="585"/>
      <c r="B236" s="585"/>
      <c r="C236" s="585"/>
      <c r="D236" s="585"/>
      <c r="E236" s="585"/>
      <c r="F236" s="585"/>
      <c r="G236" s="585"/>
      <c r="H236" s="585"/>
      <c r="I236" s="585"/>
      <c r="J236" s="585"/>
      <c r="K236" s="585"/>
      <c r="L236" s="585"/>
      <c r="M236" s="585"/>
      <c r="N236" s="585"/>
      <c r="O236" s="585"/>
      <c r="P236" s="585"/>
      <c r="Q236" s="585"/>
      <c r="R236" s="585"/>
      <c r="S236" s="585"/>
      <c r="T236" s="585"/>
      <c r="U236" s="585"/>
      <c r="V236" s="224"/>
      <c r="W236" s="224"/>
      <c r="X236" s="224"/>
      <c r="Y236" s="224"/>
      <c r="Z236" s="868"/>
      <c r="AA236" s="865"/>
      <c r="AB236" s="2"/>
      <c r="AC236" s="2"/>
      <c r="AD236" s="2"/>
      <c r="AE236" s="2"/>
      <c r="AF236" s="2"/>
      <c r="AG236" s="2"/>
      <c r="AH236" s="2"/>
      <c r="AI236" s="2"/>
      <c r="AJ236" s="2"/>
      <c r="AK236" s="2"/>
      <c r="AL236" s="2"/>
      <c r="AM236" s="2"/>
      <c r="AN236" s="2"/>
      <c r="AO236" s="9"/>
      <c r="AP236" s="9"/>
      <c r="AQ236" s="9"/>
      <c r="AR236" s="9"/>
    </row>
    <row r="237">
      <c r="A237" s="585"/>
      <c r="B237" s="585"/>
      <c r="C237" s="585"/>
      <c r="D237" s="585"/>
      <c r="E237" s="585"/>
      <c r="F237" s="585"/>
      <c r="G237" s="585"/>
      <c r="H237" s="585"/>
      <c r="I237" s="585"/>
      <c r="J237" s="585"/>
      <c r="K237" s="585"/>
      <c r="L237" s="585"/>
      <c r="M237" s="585"/>
      <c r="N237" s="585"/>
      <c r="O237" s="585"/>
      <c r="P237" s="585"/>
      <c r="Q237" s="585"/>
      <c r="R237" s="585"/>
      <c r="S237" s="585"/>
      <c r="T237" s="585"/>
      <c r="U237" s="585"/>
      <c r="V237" s="224"/>
      <c r="W237" s="224"/>
      <c r="X237" s="224"/>
      <c r="Y237" s="224"/>
      <c r="Z237" s="868"/>
      <c r="AA237" s="865"/>
      <c r="AB237" s="2"/>
      <c r="AC237" s="2"/>
      <c r="AD237" s="2"/>
      <c r="AE237" s="2"/>
      <c r="AF237" s="2"/>
      <c r="AG237" s="2"/>
      <c r="AH237" s="2"/>
      <c r="AI237" s="2"/>
      <c r="AJ237" s="2"/>
      <c r="AK237" s="2"/>
      <c r="AL237" s="2"/>
      <c r="AM237" s="2"/>
      <c r="AN237" s="2"/>
      <c r="AO237" s="9"/>
      <c r="AP237" s="9"/>
      <c r="AQ237" s="9"/>
      <c r="AR237" s="9"/>
    </row>
    <row r="238">
      <c r="A238" s="585"/>
      <c r="B238" s="585"/>
      <c r="C238" s="585"/>
      <c r="D238" s="585"/>
      <c r="E238" s="585"/>
      <c r="F238" s="585"/>
      <c r="G238" s="585"/>
      <c r="H238" s="585"/>
      <c r="I238" s="585"/>
      <c r="J238" s="585"/>
      <c r="K238" s="585"/>
      <c r="L238" s="585"/>
      <c r="M238" s="585"/>
      <c r="N238" s="585"/>
      <c r="O238" s="585"/>
      <c r="P238" s="585"/>
      <c r="Q238" s="585"/>
      <c r="R238" s="585"/>
      <c r="S238" s="585"/>
      <c r="T238" s="585"/>
      <c r="U238" s="585"/>
      <c r="V238" s="224"/>
      <c r="W238" s="224"/>
      <c r="X238" s="224"/>
      <c r="Y238" s="224"/>
      <c r="Z238" s="868"/>
      <c r="AA238" s="865"/>
      <c r="AB238" s="2"/>
      <c r="AC238" s="2"/>
      <c r="AD238" s="2"/>
      <c r="AE238" s="2"/>
      <c r="AF238" s="2"/>
      <c r="AG238" s="2"/>
      <c r="AH238" s="2"/>
      <c r="AI238" s="2"/>
      <c r="AJ238" s="2"/>
      <c r="AK238" s="2"/>
      <c r="AL238" s="2"/>
      <c r="AM238" s="2"/>
      <c r="AN238" s="2"/>
      <c r="AO238" s="9"/>
      <c r="AP238" s="9"/>
      <c r="AQ238" s="9"/>
      <c r="AR238" s="9"/>
    </row>
    <row r="239">
      <c r="A239" s="585"/>
      <c r="B239" s="585"/>
      <c r="C239" s="585"/>
      <c r="D239" s="585"/>
      <c r="E239" s="585"/>
      <c r="F239" s="585"/>
      <c r="G239" s="585"/>
      <c r="H239" s="585"/>
      <c r="I239" s="585"/>
      <c r="J239" s="585"/>
      <c r="K239" s="585"/>
      <c r="L239" s="585"/>
      <c r="M239" s="585"/>
      <c r="N239" s="585"/>
      <c r="O239" s="585"/>
      <c r="P239" s="585"/>
      <c r="Q239" s="585"/>
      <c r="R239" s="585"/>
      <c r="S239" s="585"/>
      <c r="T239" s="585"/>
      <c r="U239" s="585"/>
      <c r="V239" s="224"/>
      <c r="W239" s="224"/>
      <c r="X239" s="224"/>
      <c r="Y239" s="224"/>
      <c r="Z239" s="868"/>
      <c r="AA239" s="865"/>
      <c r="AB239" s="2"/>
      <c r="AC239" s="2"/>
      <c r="AD239" s="2"/>
      <c r="AE239" s="2"/>
      <c r="AF239" s="2"/>
      <c r="AG239" s="2"/>
      <c r="AH239" s="2"/>
      <c r="AI239" s="2"/>
      <c r="AJ239" s="2"/>
      <c r="AK239" s="2"/>
      <c r="AL239" s="2"/>
      <c r="AM239" s="2"/>
      <c r="AN239" s="2"/>
      <c r="AO239" s="9"/>
      <c r="AP239" s="9"/>
      <c r="AQ239" s="9"/>
      <c r="AR239" s="9"/>
    </row>
    <row r="240">
      <c r="A240" s="585"/>
      <c r="B240" s="585"/>
      <c r="C240" s="585"/>
      <c r="D240" s="585"/>
      <c r="E240" s="585"/>
      <c r="F240" s="585"/>
      <c r="G240" s="585"/>
      <c r="H240" s="585"/>
      <c r="I240" s="585"/>
      <c r="J240" s="585"/>
      <c r="K240" s="585"/>
      <c r="L240" s="585"/>
      <c r="M240" s="585"/>
      <c r="N240" s="585"/>
      <c r="O240" s="585"/>
      <c r="P240" s="585"/>
      <c r="Q240" s="585"/>
      <c r="R240" s="585"/>
      <c r="S240" s="585"/>
      <c r="T240" s="585"/>
      <c r="U240" s="585"/>
      <c r="V240" s="224"/>
      <c r="W240" s="224"/>
      <c r="X240" s="224"/>
      <c r="Y240" s="224"/>
      <c r="Z240" s="868"/>
      <c r="AA240" s="865"/>
      <c r="AB240" s="2"/>
      <c r="AC240" s="2"/>
      <c r="AD240" s="2"/>
      <c r="AE240" s="2"/>
      <c r="AF240" s="2"/>
      <c r="AG240" s="2"/>
      <c r="AH240" s="2"/>
      <c r="AI240" s="2"/>
      <c r="AJ240" s="2"/>
      <c r="AK240" s="2"/>
      <c r="AL240" s="2"/>
      <c r="AM240" s="2"/>
      <c r="AN240" s="2"/>
      <c r="AO240" s="9"/>
      <c r="AP240" s="9"/>
      <c r="AQ240" s="9"/>
      <c r="AR240" s="9"/>
    </row>
    <row r="241">
      <c r="A241" s="585"/>
      <c r="B241" s="585"/>
      <c r="C241" s="585"/>
      <c r="D241" s="585"/>
      <c r="E241" s="585"/>
      <c r="F241" s="585"/>
      <c r="G241" s="585"/>
      <c r="H241" s="585"/>
      <c r="I241" s="585"/>
      <c r="J241" s="585"/>
      <c r="K241" s="585"/>
      <c r="L241" s="585"/>
      <c r="M241" s="585"/>
      <c r="N241" s="585"/>
      <c r="O241" s="585"/>
      <c r="P241" s="585"/>
      <c r="Q241" s="585"/>
      <c r="R241" s="585"/>
      <c r="S241" s="585"/>
      <c r="T241" s="585"/>
      <c r="U241" s="585"/>
      <c r="V241" s="224"/>
      <c r="W241" s="224"/>
      <c r="X241" s="224"/>
      <c r="Y241" s="224"/>
      <c r="Z241" s="868"/>
      <c r="AA241" s="865"/>
      <c r="AB241" s="2"/>
      <c r="AC241" s="2"/>
      <c r="AD241" s="2"/>
      <c r="AE241" s="2"/>
      <c r="AF241" s="2"/>
      <c r="AG241" s="2"/>
      <c r="AH241" s="2"/>
      <c r="AI241" s="2"/>
      <c r="AJ241" s="2"/>
      <c r="AK241" s="2"/>
      <c r="AL241" s="2"/>
      <c r="AM241" s="2"/>
      <c r="AN241" s="2"/>
      <c r="AO241" s="9"/>
      <c r="AP241" s="9"/>
      <c r="AQ241" s="9"/>
      <c r="AR241" s="9"/>
    </row>
    <row r="242">
      <c r="A242" s="585"/>
      <c r="B242" s="585"/>
      <c r="C242" s="585"/>
      <c r="D242" s="585"/>
      <c r="E242" s="585"/>
      <c r="F242" s="585"/>
      <c r="G242" s="585"/>
      <c r="H242" s="585"/>
      <c r="I242" s="585"/>
      <c r="J242" s="585"/>
      <c r="K242" s="585"/>
      <c r="L242" s="585"/>
      <c r="M242" s="585"/>
      <c r="N242" s="585"/>
      <c r="O242" s="585"/>
      <c r="P242" s="585"/>
      <c r="Q242" s="585"/>
      <c r="R242" s="585"/>
      <c r="S242" s="585"/>
      <c r="T242" s="585"/>
      <c r="U242" s="585"/>
      <c r="V242" s="224"/>
      <c r="W242" s="224"/>
      <c r="X242" s="224"/>
      <c r="Y242" s="224"/>
      <c r="Z242" s="868"/>
      <c r="AA242" s="865"/>
      <c r="AB242" s="2"/>
      <c r="AC242" s="2"/>
      <c r="AD242" s="2"/>
      <c r="AE242" s="2"/>
      <c r="AF242" s="2"/>
      <c r="AG242" s="2"/>
      <c r="AH242" s="2"/>
      <c r="AI242" s="2"/>
      <c r="AJ242" s="2"/>
      <c r="AK242" s="2"/>
      <c r="AL242" s="2"/>
      <c r="AM242" s="2"/>
      <c r="AN242" s="2"/>
      <c r="AO242" s="9"/>
      <c r="AP242" s="9"/>
      <c r="AQ242" s="9"/>
      <c r="AR242" s="9"/>
    </row>
    <row r="243">
      <c r="A243" s="585"/>
      <c r="B243" s="585"/>
      <c r="C243" s="585"/>
      <c r="D243" s="585"/>
      <c r="E243" s="585"/>
      <c r="F243" s="585"/>
      <c r="G243" s="585"/>
      <c r="H243" s="585"/>
      <c r="I243" s="585"/>
      <c r="J243" s="585"/>
      <c r="K243" s="585"/>
      <c r="L243" s="585"/>
      <c r="M243" s="585"/>
      <c r="N243" s="585"/>
      <c r="O243" s="585"/>
      <c r="P243" s="585"/>
      <c r="Q243" s="585"/>
      <c r="R243" s="585"/>
      <c r="S243" s="585"/>
      <c r="T243" s="585"/>
      <c r="U243" s="585"/>
      <c r="V243" s="224"/>
      <c r="W243" s="224"/>
      <c r="X243" s="224"/>
      <c r="Y243" s="224"/>
      <c r="Z243" s="868"/>
      <c r="AA243" s="865"/>
      <c r="AB243" s="2"/>
      <c r="AC243" s="2"/>
      <c r="AD243" s="2"/>
      <c r="AE243" s="2"/>
      <c r="AF243" s="2"/>
      <c r="AG243" s="2"/>
      <c r="AH243" s="2"/>
      <c r="AI243" s="2"/>
      <c r="AJ243" s="2"/>
      <c r="AK243" s="2"/>
      <c r="AL243" s="2"/>
      <c r="AM243" s="2"/>
      <c r="AN243" s="2"/>
      <c r="AO243" s="9"/>
      <c r="AP243" s="9"/>
      <c r="AQ243" s="9"/>
      <c r="AR243" s="9"/>
    </row>
    <row r="244">
      <c r="A244" s="585"/>
      <c r="B244" s="585"/>
      <c r="C244" s="585"/>
      <c r="D244" s="585"/>
      <c r="E244" s="585"/>
      <c r="F244" s="585"/>
      <c r="G244" s="585"/>
      <c r="H244" s="585"/>
      <c r="I244" s="585"/>
      <c r="J244" s="585"/>
      <c r="K244" s="585"/>
      <c r="L244" s="585"/>
      <c r="M244" s="585"/>
      <c r="N244" s="585"/>
      <c r="O244" s="585"/>
      <c r="P244" s="585"/>
      <c r="Q244" s="585"/>
      <c r="R244" s="585"/>
      <c r="S244" s="585"/>
      <c r="T244" s="585"/>
      <c r="U244" s="585"/>
      <c r="V244" s="224"/>
      <c r="W244" s="224"/>
      <c r="X244" s="224"/>
      <c r="Y244" s="224"/>
      <c r="Z244" s="868"/>
      <c r="AA244" s="865"/>
      <c r="AB244" s="2"/>
      <c r="AC244" s="2"/>
      <c r="AD244" s="2"/>
      <c r="AE244" s="2"/>
      <c r="AF244" s="2"/>
      <c r="AG244" s="2"/>
      <c r="AH244" s="2"/>
      <c r="AI244" s="2"/>
      <c r="AJ244" s="2"/>
      <c r="AK244" s="2"/>
      <c r="AL244" s="2"/>
      <c r="AM244" s="2"/>
      <c r="AN244" s="2"/>
      <c r="AO244" s="9"/>
      <c r="AP244" s="9"/>
      <c r="AQ244" s="9"/>
      <c r="AR244" s="9"/>
    </row>
    <row r="245">
      <c r="A245" s="585"/>
      <c r="B245" s="585"/>
      <c r="C245" s="585"/>
      <c r="D245" s="585"/>
      <c r="E245" s="585"/>
      <c r="F245" s="585"/>
      <c r="G245" s="585"/>
      <c r="H245" s="585"/>
      <c r="I245" s="585"/>
      <c r="J245" s="585"/>
      <c r="K245" s="585"/>
      <c r="L245" s="585"/>
      <c r="M245" s="585"/>
      <c r="N245" s="585"/>
      <c r="O245" s="585"/>
      <c r="P245" s="585"/>
      <c r="Q245" s="585"/>
      <c r="R245" s="585"/>
      <c r="S245" s="585"/>
      <c r="T245" s="585"/>
      <c r="U245" s="585"/>
      <c r="V245" s="224"/>
      <c r="W245" s="224"/>
      <c r="X245" s="224"/>
      <c r="Y245" s="224"/>
      <c r="Z245" s="868"/>
      <c r="AA245" s="865"/>
      <c r="AB245" s="2"/>
      <c r="AC245" s="2"/>
      <c r="AD245" s="2"/>
      <c r="AE245" s="2"/>
      <c r="AF245" s="2"/>
      <c r="AG245" s="2"/>
      <c r="AH245" s="2"/>
      <c r="AI245" s="2"/>
      <c r="AJ245" s="2"/>
      <c r="AK245" s="2"/>
      <c r="AL245" s="2"/>
      <c r="AM245" s="2"/>
      <c r="AN245" s="2"/>
      <c r="AO245" s="9"/>
      <c r="AP245" s="9"/>
      <c r="AQ245" s="9"/>
      <c r="AR245" s="9"/>
    </row>
    <row r="246">
      <c r="A246" s="585"/>
      <c r="B246" s="585"/>
      <c r="C246" s="585"/>
      <c r="D246" s="585"/>
      <c r="E246" s="585"/>
      <c r="F246" s="585"/>
      <c r="G246" s="585"/>
      <c r="H246" s="585"/>
      <c r="I246" s="585"/>
      <c r="J246" s="585"/>
      <c r="K246" s="585"/>
      <c r="L246" s="585"/>
      <c r="M246" s="585"/>
      <c r="N246" s="585"/>
      <c r="O246" s="585"/>
      <c r="P246" s="585"/>
      <c r="Q246" s="585"/>
      <c r="R246" s="585"/>
      <c r="S246" s="585"/>
      <c r="T246" s="585"/>
      <c r="U246" s="585"/>
      <c r="V246" s="224"/>
      <c r="W246" s="224"/>
      <c r="X246" s="224"/>
      <c r="Y246" s="224"/>
      <c r="Z246" s="868"/>
      <c r="AA246" s="865"/>
      <c r="AB246" s="2"/>
      <c r="AC246" s="2"/>
      <c r="AD246" s="2"/>
      <c r="AE246" s="2"/>
      <c r="AF246" s="2"/>
      <c r="AG246" s="2"/>
      <c r="AH246" s="2"/>
      <c r="AI246" s="2"/>
      <c r="AJ246" s="2"/>
      <c r="AK246" s="2"/>
      <c r="AL246" s="2"/>
      <c r="AM246" s="2"/>
      <c r="AN246" s="2"/>
      <c r="AO246" s="9"/>
      <c r="AP246" s="9"/>
      <c r="AQ246" s="9"/>
      <c r="AR246" s="9"/>
    </row>
    <row r="247">
      <c r="A247" s="585"/>
      <c r="B247" s="585"/>
      <c r="C247" s="585"/>
      <c r="D247" s="585"/>
      <c r="E247" s="585"/>
      <c r="F247" s="585"/>
      <c r="G247" s="585"/>
      <c r="H247" s="585"/>
      <c r="I247" s="585"/>
      <c r="J247" s="585"/>
      <c r="K247" s="585"/>
      <c r="L247" s="585"/>
      <c r="M247" s="585"/>
      <c r="N247" s="585"/>
      <c r="O247" s="585"/>
      <c r="P247" s="585"/>
      <c r="Q247" s="585"/>
      <c r="R247" s="585"/>
      <c r="S247" s="585"/>
      <c r="T247" s="585"/>
      <c r="U247" s="585"/>
      <c r="V247" s="224"/>
      <c r="W247" s="224"/>
      <c r="X247" s="224"/>
      <c r="Y247" s="224"/>
      <c r="Z247" s="868"/>
      <c r="AA247" s="865"/>
      <c r="AB247" s="2"/>
      <c r="AC247" s="2"/>
      <c r="AD247" s="2"/>
      <c r="AE247" s="2"/>
      <c r="AF247" s="2"/>
      <c r="AG247" s="2"/>
      <c r="AH247" s="2"/>
      <c r="AI247" s="2"/>
      <c r="AJ247" s="2"/>
      <c r="AK247" s="2"/>
      <c r="AL247" s="2"/>
      <c r="AM247" s="2"/>
      <c r="AN247" s="2"/>
      <c r="AO247" s="9"/>
      <c r="AP247" s="9"/>
      <c r="AQ247" s="9"/>
      <c r="AR247" s="9"/>
    </row>
    <row r="248">
      <c r="A248" s="585"/>
      <c r="B248" s="585"/>
      <c r="C248" s="585"/>
      <c r="D248" s="585"/>
      <c r="E248" s="585"/>
      <c r="F248" s="585"/>
      <c r="G248" s="585"/>
      <c r="H248" s="585"/>
      <c r="I248" s="585"/>
      <c r="J248" s="585"/>
      <c r="K248" s="585"/>
      <c r="L248" s="585"/>
      <c r="M248" s="585"/>
      <c r="N248" s="585"/>
      <c r="O248" s="585"/>
      <c r="P248" s="585"/>
      <c r="Q248" s="585"/>
      <c r="R248" s="585"/>
      <c r="S248" s="585"/>
      <c r="T248" s="585"/>
      <c r="U248" s="585"/>
      <c r="V248" s="224"/>
      <c r="W248" s="224"/>
      <c r="X248" s="224"/>
      <c r="Y248" s="224"/>
      <c r="Z248" s="868"/>
      <c r="AA248" s="865"/>
      <c r="AB248" s="2"/>
      <c r="AC248" s="2"/>
      <c r="AD248" s="2"/>
      <c r="AE248" s="2"/>
      <c r="AF248" s="2"/>
      <c r="AG248" s="2"/>
      <c r="AH248" s="2"/>
      <c r="AI248" s="2"/>
      <c r="AJ248" s="2"/>
      <c r="AK248" s="2"/>
      <c r="AL248" s="2"/>
      <c r="AM248" s="2"/>
      <c r="AN248" s="2"/>
      <c r="AO248" s="9"/>
      <c r="AP248" s="9"/>
      <c r="AQ248" s="9"/>
      <c r="AR248" s="9"/>
    </row>
    <row r="249">
      <c r="A249" s="585"/>
      <c r="B249" s="585"/>
      <c r="C249" s="585"/>
      <c r="D249" s="585"/>
      <c r="E249" s="585"/>
      <c r="F249" s="585"/>
      <c r="G249" s="585"/>
      <c r="H249" s="585"/>
      <c r="I249" s="585"/>
      <c r="J249" s="585"/>
      <c r="K249" s="585"/>
      <c r="L249" s="585"/>
      <c r="M249" s="585"/>
      <c r="N249" s="585"/>
      <c r="O249" s="585"/>
      <c r="P249" s="585"/>
      <c r="Q249" s="585"/>
      <c r="R249" s="585"/>
      <c r="S249" s="585"/>
      <c r="T249" s="585"/>
      <c r="U249" s="585"/>
      <c r="V249" s="224"/>
      <c r="W249" s="224"/>
      <c r="X249" s="224"/>
      <c r="Y249" s="224"/>
      <c r="Z249" s="868"/>
      <c r="AA249" s="865"/>
      <c r="AB249" s="2"/>
      <c r="AC249" s="2"/>
      <c r="AD249" s="2"/>
      <c r="AE249" s="2"/>
      <c r="AF249" s="2"/>
      <c r="AG249" s="2"/>
      <c r="AH249" s="2"/>
      <c r="AI249" s="2"/>
      <c r="AJ249" s="2"/>
      <c r="AK249" s="2"/>
      <c r="AL249" s="2"/>
      <c r="AM249" s="2"/>
      <c r="AN249" s="2"/>
      <c r="AO249" s="9"/>
      <c r="AP249" s="9"/>
      <c r="AQ249" s="9"/>
      <c r="AR249" s="9"/>
    </row>
    <row r="250">
      <c r="A250" s="585"/>
      <c r="B250" s="585"/>
      <c r="C250" s="585"/>
      <c r="D250" s="585"/>
      <c r="E250" s="585"/>
      <c r="F250" s="585"/>
      <c r="G250" s="585"/>
      <c r="H250" s="585"/>
      <c r="I250" s="585"/>
      <c r="J250" s="585"/>
      <c r="K250" s="585"/>
      <c r="L250" s="585"/>
      <c r="M250" s="585"/>
      <c r="N250" s="585"/>
      <c r="O250" s="585"/>
      <c r="P250" s="585"/>
      <c r="Q250" s="585"/>
      <c r="R250" s="585"/>
      <c r="S250" s="585"/>
      <c r="T250" s="585"/>
      <c r="U250" s="585"/>
      <c r="V250" s="224"/>
      <c r="W250" s="224"/>
      <c r="X250" s="224"/>
      <c r="Y250" s="224"/>
      <c r="Z250" s="868"/>
      <c r="AA250" s="865"/>
      <c r="AB250" s="2"/>
      <c r="AC250" s="2"/>
      <c r="AD250" s="2"/>
      <c r="AE250" s="2"/>
      <c r="AF250" s="2"/>
      <c r="AG250" s="2"/>
      <c r="AH250" s="2"/>
      <c r="AI250" s="2"/>
      <c r="AJ250" s="2"/>
      <c r="AK250" s="2"/>
      <c r="AL250" s="2"/>
      <c r="AM250" s="2"/>
      <c r="AN250" s="2"/>
      <c r="AO250" s="9"/>
      <c r="AP250" s="9"/>
      <c r="AQ250" s="9"/>
      <c r="AR250" s="9"/>
    </row>
    <row r="251">
      <c r="A251" s="585"/>
      <c r="B251" s="585"/>
      <c r="C251" s="585"/>
      <c r="D251" s="585"/>
      <c r="E251" s="585"/>
      <c r="F251" s="585"/>
      <c r="G251" s="585"/>
      <c r="H251" s="585"/>
      <c r="I251" s="585"/>
      <c r="J251" s="585"/>
      <c r="K251" s="585"/>
      <c r="L251" s="585"/>
      <c r="M251" s="585"/>
      <c r="N251" s="585"/>
      <c r="O251" s="585"/>
      <c r="P251" s="585"/>
      <c r="Q251" s="585"/>
      <c r="R251" s="585"/>
      <c r="S251" s="585"/>
      <c r="T251" s="585"/>
      <c r="U251" s="585"/>
      <c r="V251" s="224"/>
      <c r="W251" s="224"/>
      <c r="X251" s="224"/>
      <c r="Y251" s="224"/>
      <c r="Z251" s="868"/>
      <c r="AA251" s="865"/>
      <c r="AB251" s="2"/>
      <c r="AC251" s="2"/>
      <c r="AD251" s="2"/>
      <c r="AE251" s="2"/>
      <c r="AF251" s="2"/>
      <c r="AG251" s="2"/>
      <c r="AH251" s="2"/>
      <c r="AI251" s="2"/>
      <c r="AJ251" s="2"/>
      <c r="AK251" s="2"/>
      <c r="AL251" s="2"/>
      <c r="AM251" s="2"/>
      <c r="AN251" s="2"/>
      <c r="AO251" s="9"/>
      <c r="AP251" s="9"/>
      <c r="AQ251" s="9"/>
      <c r="AR251" s="9"/>
    </row>
    <row r="252">
      <c r="A252" s="585"/>
      <c r="B252" s="585"/>
      <c r="C252" s="585"/>
      <c r="D252" s="585"/>
      <c r="E252" s="585"/>
      <c r="F252" s="585"/>
      <c r="G252" s="585"/>
      <c r="H252" s="585"/>
      <c r="I252" s="585"/>
      <c r="J252" s="585"/>
      <c r="K252" s="585"/>
      <c r="L252" s="585"/>
      <c r="M252" s="585"/>
      <c r="N252" s="585"/>
      <c r="O252" s="585"/>
      <c r="P252" s="585"/>
      <c r="Q252" s="585"/>
      <c r="R252" s="585"/>
      <c r="S252" s="585"/>
      <c r="T252" s="585"/>
      <c r="U252" s="585"/>
      <c r="V252" s="224"/>
      <c r="W252" s="224"/>
      <c r="X252" s="224"/>
      <c r="Y252" s="224"/>
      <c r="Z252" s="868"/>
      <c r="AA252" s="865"/>
      <c r="AB252" s="2"/>
      <c r="AC252" s="2"/>
      <c r="AD252" s="2"/>
      <c r="AE252" s="2"/>
      <c r="AF252" s="2"/>
      <c r="AG252" s="2"/>
      <c r="AH252" s="2"/>
      <c r="AI252" s="2"/>
      <c r="AJ252" s="2"/>
      <c r="AK252" s="2"/>
      <c r="AL252" s="2"/>
      <c r="AM252" s="2"/>
      <c r="AN252" s="2"/>
      <c r="AO252" s="9"/>
      <c r="AP252" s="9"/>
      <c r="AQ252" s="9"/>
      <c r="AR252" s="9"/>
    </row>
    <row r="253">
      <c r="A253" s="585"/>
      <c r="B253" s="585"/>
      <c r="C253" s="585"/>
      <c r="D253" s="585"/>
      <c r="E253" s="585"/>
      <c r="F253" s="585"/>
      <c r="G253" s="585"/>
      <c r="H253" s="585"/>
      <c r="I253" s="585"/>
      <c r="J253" s="585"/>
      <c r="K253" s="585"/>
      <c r="L253" s="585"/>
      <c r="M253" s="585"/>
      <c r="N253" s="585"/>
      <c r="O253" s="585"/>
      <c r="P253" s="585"/>
      <c r="Q253" s="585"/>
      <c r="R253" s="585"/>
      <c r="S253" s="585"/>
      <c r="T253" s="585"/>
      <c r="U253" s="585"/>
      <c r="V253" s="224"/>
      <c r="W253" s="224"/>
      <c r="X253" s="224"/>
      <c r="Y253" s="224"/>
      <c r="Z253" s="868"/>
      <c r="AA253" s="865"/>
      <c r="AB253" s="2"/>
      <c r="AC253" s="2"/>
      <c r="AD253" s="2"/>
      <c r="AE253" s="2"/>
      <c r="AF253" s="2"/>
      <c r="AG253" s="2"/>
      <c r="AH253" s="2"/>
      <c r="AI253" s="2"/>
      <c r="AJ253" s="2"/>
      <c r="AK253" s="2"/>
      <c r="AL253" s="2"/>
      <c r="AM253" s="2"/>
      <c r="AN253" s="2"/>
      <c r="AO253" s="9"/>
      <c r="AP253" s="9"/>
      <c r="AQ253" s="9"/>
      <c r="AR253" s="9"/>
    </row>
    <row r="254">
      <c r="A254" s="585"/>
      <c r="B254" s="585"/>
      <c r="C254" s="585"/>
      <c r="D254" s="585"/>
      <c r="E254" s="585"/>
      <c r="F254" s="585"/>
      <c r="G254" s="585"/>
      <c r="H254" s="585"/>
      <c r="I254" s="585"/>
      <c r="J254" s="585"/>
      <c r="K254" s="585"/>
      <c r="L254" s="585"/>
      <c r="M254" s="585"/>
      <c r="N254" s="585"/>
      <c r="O254" s="585"/>
      <c r="P254" s="585"/>
      <c r="Q254" s="585"/>
      <c r="R254" s="585"/>
      <c r="S254" s="585"/>
      <c r="T254" s="585"/>
      <c r="U254" s="585"/>
      <c r="V254" s="224"/>
      <c r="W254" s="224"/>
      <c r="X254" s="224"/>
      <c r="Y254" s="224"/>
      <c r="Z254" s="868"/>
      <c r="AA254" s="865"/>
      <c r="AB254" s="2"/>
      <c r="AC254" s="2"/>
      <c r="AD254" s="2"/>
      <c r="AE254" s="2"/>
      <c r="AF254" s="2"/>
      <c r="AG254" s="2"/>
      <c r="AH254" s="2"/>
      <c r="AI254" s="2"/>
      <c r="AJ254" s="2"/>
      <c r="AK254" s="2"/>
      <c r="AL254" s="2"/>
      <c r="AM254" s="2"/>
      <c r="AN254" s="2"/>
      <c r="AO254" s="9"/>
      <c r="AP254" s="9"/>
      <c r="AQ254" s="9"/>
      <c r="AR254" s="9"/>
    </row>
    <row r="255">
      <c r="A255" s="585"/>
      <c r="B255" s="585"/>
      <c r="C255" s="585"/>
      <c r="D255" s="585"/>
      <c r="E255" s="585"/>
      <c r="F255" s="585"/>
      <c r="G255" s="585"/>
      <c r="H255" s="585"/>
      <c r="I255" s="585"/>
      <c r="J255" s="585"/>
      <c r="K255" s="585"/>
      <c r="L255" s="585"/>
      <c r="M255" s="585"/>
      <c r="N255" s="585"/>
      <c r="O255" s="585"/>
      <c r="P255" s="585"/>
      <c r="Q255" s="585"/>
      <c r="R255" s="585"/>
      <c r="S255" s="585"/>
      <c r="T255" s="585"/>
      <c r="U255" s="585"/>
      <c r="V255" s="224"/>
      <c r="W255" s="224"/>
      <c r="X255" s="224"/>
      <c r="Y255" s="224"/>
      <c r="Z255" s="868"/>
      <c r="AA255" s="865"/>
      <c r="AB255" s="2"/>
      <c r="AC255" s="2"/>
      <c r="AD255" s="2"/>
      <c r="AE255" s="2"/>
      <c r="AF255" s="2"/>
      <c r="AG255" s="2"/>
      <c r="AH255" s="2"/>
      <c r="AI255" s="2"/>
      <c r="AJ255" s="2"/>
      <c r="AK255" s="2"/>
      <c r="AL255" s="2"/>
      <c r="AM255" s="2"/>
      <c r="AN255" s="2"/>
      <c r="AO255" s="9"/>
      <c r="AP255" s="9"/>
      <c r="AQ255" s="9"/>
      <c r="AR255" s="9"/>
    </row>
    <row r="256">
      <c r="A256" s="585"/>
      <c r="B256" s="585"/>
      <c r="C256" s="585"/>
      <c r="D256" s="585"/>
      <c r="E256" s="585"/>
      <c r="F256" s="585"/>
      <c r="G256" s="585"/>
      <c r="H256" s="585"/>
      <c r="I256" s="585"/>
      <c r="J256" s="585"/>
      <c r="K256" s="585"/>
      <c r="L256" s="585"/>
      <c r="M256" s="585"/>
      <c r="N256" s="585"/>
      <c r="O256" s="585"/>
      <c r="P256" s="585"/>
      <c r="Q256" s="585"/>
      <c r="R256" s="585"/>
      <c r="S256" s="585"/>
      <c r="T256" s="585"/>
      <c r="U256" s="585"/>
      <c r="V256" s="224"/>
      <c r="W256" s="224"/>
      <c r="X256" s="224"/>
      <c r="Y256" s="224"/>
      <c r="Z256" s="868"/>
      <c r="AA256" s="865"/>
      <c r="AB256" s="2"/>
      <c r="AC256" s="2"/>
      <c r="AD256" s="2"/>
      <c r="AE256" s="2"/>
      <c r="AF256" s="2"/>
      <c r="AG256" s="2"/>
      <c r="AH256" s="2"/>
      <c r="AI256" s="2"/>
      <c r="AJ256" s="2"/>
      <c r="AK256" s="2"/>
      <c r="AL256" s="2"/>
      <c r="AM256" s="2"/>
      <c r="AN256" s="2"/>
      <c r="AO256" s="9"/>
      <c r="AP256" s="9"/>
      <c r="AQ256" s="9"/>
      <c r="AR256" s="9"/>
    </row>
    <row r="257">
      <c r="A257" s="585"/>
      <c r="B257" s="585"/>
      <c r="C257" s="585"/>
      <c r="D257" s="585"/>
      <c r="E257" s="585"/>
      <c r="F257" s="585"/>
      <c r="G257" s="585"/>
      <c r="H257" s="585"/>
      <c r="I257" s="585"/>
      <c r="J257" s="585"/>
      <c r="K257" s="585"/>
      <c r="L257" s="585"/>
      <c r="M257" s="585"/>
      <c r="N257" s="585"/>
      <c r="O257" s="585"/>
      <c r="P257" s="585"/>
      <c r="Q257" s="585"/>
      <c r="R257" s="585"/>
      <c r="S257" s="585"/>
      <c r="T257" s="585"/>
      <c r="U257" s="585"/>
      <c r="V257" s="224"/>
      <c r="W257" s="224"/>
      <c r="X257" s="224"/>
      <c r="Y257" s="224"/>
      <c r="Z257" s="868"/>
      <c r="AA257" s="865"/>
      <c r="AB257" s="2"/>
      <c r="AC257" s="2"/>
      <c r="AD257" s="2"/>
      <c r="AE257" s="2"/>
      <c r="AF257" s="2"/>
      <c r="AG257" s="2"/>
      <c r="AH257" s="2"/>
      <c r="AI257" s="2"/>
      <c r="AJ257" s="2"/>
      <c r="AK257" s="2"/>
      <c r="AL257" s="2"/>
      <c r="AM257" s="2"/>
      <c r="AN257" s="2"/>
      <c r="AO257" s="9"/>
      <c r="AP257" s="9"/>
      <c r="AQ257" s="9"/>
      <c r="AR257" s="9"/>
    </row>
    <row r="258">
      <c r="A258" s="585"/>
      <c r="B258" s="585"/>
      <c r="C258" s="585"/>
      <c r="D258" s="585"/>
      <c r="E258" s="585"/>
      <c r="F258" s="585"/>
      <c r="G258" s="585"/>
      <c r="H258" s="585"/>
      <c r="I258" s="585"/>
      <c r="J258" s="585"/>
      <c r="K258" s="585"/>
      <c r="L258" s="585"/>
      <c r="M258" s="585"/>
      <c r="N258" s="585"/>
      <c r="O258" s="585"/>
      <c r="P258" s="585"/>
      <c r="Q258" s="585"/>
      <c r="R258" s="585"/>
      <c r="S258" s="585"/>
      <c r="T258" s="585"/>
      <c r="U258" s="585"/>
      <c r="V258" s="224"/>
      <c r="W258" s="224"/>
      <c r="X258" s="224"/>
      <c r="Y258" s="224"/>
      <c r="Z258" s="868"/>
      <c r="AA258" s="865"/>
      <c r="AB258" s="2"/>
      <c r="AC258" s="2"/>
      <c r="AD258" s="2"/>
      <c r="AE258" s="2"/>
      <c r="AF258" s="2"/>
      <c r="AG258" s="2"/>
      <c r="AH258" s="2"/>
      <c r="AI258" s="2"/>
      <c r="AJ258" s="2"/>
      <c r="AK258" s="2"/>
      <c r="AL258" s="2"/>
      <c r="AM258" s="2"/>
      <c r="AN258" s="2"/>
      <c r="AO258" s="9"/>
      <c r="AP258" s="9"/>
      <c r="AQ258" s="9"/>
      <c r="AR258" s="9"/>
    </row>
    <row r="259">
      <c r="A259" s="585"/>
      <c r="B259" s="585"/>
      <c r="C259" s="585"/>
      <c r="D259" s="585"/>
      <c r="E259" s="585"/>
      <c r="F259" s="585"/>
      <c r="G259" s="585"/>
      <c r="H259" s="585"/>
      <c r="I259" s="585"/>
      <c r="J259" s="585"/>
      <c r="K259" s="585"/>
      <c r="L259" s="585"/>
      <c r="M259" s="585"/>
      <c r="N259" s="585"/>
      <c r="O259" s="585"/>
      <c r="P259" s="585"/>
      <c r="Q259" s="585"/>
      <c r="R259" s="585"/>
      <c r="S259" s="585"/>
      <c r="T259" s="585"/>
      <c r="U259" s="585"/>
      <c r="V259" s="224"/>
      <c r="W259" s="224"/>
      <c r="X259" s="224"/>
      <c r="Y259" s="224"/>
      <c r="Z259" s="868"/>
      <c r="AA259" s="865"/>
      <c r="AB259" s="2"/>
      <c r="AC259" s="2"/>
      <c r="AD259" s="2"/>
      <c r="AE259" s="2"/>
      <c r="AF259" s="2"/>
      <c r="AG259" s="2"/>
      <c r="AH259" s="2"/>
      <c r="AI259" s="2"/>
      <c r="AJ259" s="2"/>
      <c r="AK259" s="2"/>
      <c r="AL259" s="2"/>
      <c r="AM259" s="2"/>
      <c r="AN259" s="2"/>
      <c r="AO259" s="9"/>
      <c r="AP259" s="9"/>
      <c r="AQ259" s="9"/>
      <c r="AR259" s="9"/>
    </row>
    <row r="260">
      <c r="A260" s="585"/>
      <c r="B260" s="585"/>
      <c r="C260" s="585"/>
      <c r="D260" s="585"/>
      <c r="E260" s="585"/>
      <c r="F260" s="585"/>
      <c r="G260" s="585"/>
      <c r="H260" s="585"/>
      <c r="I260" s="585"/>
      <c r="J260" s="585"/>
      <c r="K260" s="585"/>
      <c r="L260" s="585"/>
      <c r="M260" s="585"/>
      <c r="N260" s="585"/>
      <c r="O260" s="585"/>
      <c r="P260" s="585"/>
      <c r="Q260" s="585"/>
      <c r="R260" s="585"/>
      <c r="S260" s="585"/>
      <c r="T260" s="585"/>
      <c r="U260" s="585"/>
      <c r="V260" s="224"/>
      <c r="W260" s="224"/>
      <c r="X260" s="224"/>
      <c r="Y260" s="224"/>
      <c r="Z260" s="868"/>
      <c r="AA260" s="865"/>
      <c r="AB260" s="2"/>
      <c r="AC260" s="2"/>
      <c r="AD260" s="2"/>
      <c r="AE260" s="2"/>
      <c r="AF260" s="2"/>
      <c r="AG260" s="2"/>
      <c r="AH260" s="2"/>
      <c r="AI260" s="2"/>
      <c r="AJ260" s="2"/>
      <c r="AK260" s="2"/>
      <c r="AL260" s="2"/>
      <c r="AM260" s="2"/>
      <c r="AN260" s="2"/>
      <c r="AO260" s="9"/>
      <c r="AP260" s="9"/>
      <c r="AQ260" s="9"/>
      <c r="AR260" s="9"/>
    </row>
    <row r="261">
      <c r="A261" s="585"/>
      <c r="B261" s="585"/>
      <c r="C261" s="585"/>
      <c r="D261" s="585"/>
      <c r="E261" s="585"/>
      <c r="F261" s="585"/>
      <c r="G261" s="585"/>
      <c r="H261" s="585"/>
      <c r="I261" s="585"/>
      <c r="J261" s="585"/>
      <c r="K261" s="585"/>
      <c r="L261" s="585"/>
      <c r="M261" s="585"/>
      <c r="N261" s="585"/>
      <c r="O261" s="585"/>
      <c r="P261" s="585"/>
      <c r="Q261" s="585"/>
      <c r="R261" s="585"/>
      <c r="S261" s="585"/>
      <c r="T261" s="585"/>
      <c r="U261" s="585"/>
      <c r="V261" s="224"/>
      <c r="W261" s="224"/>
      <c r="X261" s="224"/>
      <c r="Y261" s="224"/>
      <c r="Z261" s="868"/>
      <c r="AA261" s="865"/>
      <c r="AB261" s="2"/>
      <c r="AC261" s="2"/>
      <c r="AD261" s="2"/>
      <c r="AE261" s="2"/>
      <c r="AF261" s="2"/>
      <c r="AG261" s="2"/>
      <c r="AH261" s="2"/>
      <c r="AI261" s="2"/>
      <c r="AJ261" s="2"/>
      <c r="AK261" s="2"/>
      <c r="AL261" s="2"/>
      <c r="AM261" s="2"/>
      <c r="AN261" s="2"/>
      <c r="AO261" s="9"/>
      <c r="AP261" s="9"/>
      <c r="AQ261" s="9"/>
      <c r="AR261" s="9"/>
    </row>
    <row r="262">
      <c r="A262" s="585"/>
      <c r="B262" s="585"/>
      <c r="C262" s="585"/>
      <c r="D262" s="585"/>
      <c r="E262" s="585"/>
      <c r="F262" s="585"/>
      <c r="G262" s="585"/>
      <c r="H262" s="585"/>
      <c r="I262" s="585"/>
      <c r="J262" s="585"/>
      <c r="K262" s="585"/>
      <c r="L262" s="585"/>
      <c r="M262" s="585"/>
      <c r="N262" s="585"/>
      <c r="O262" s="585"/>
      <c r="P262" s="585"/>
      <c r="Q262" s="585"/>
      <c r="R262" s="585"/>
      <c r="S262" s="585"/>
      <c r="T262" s="585"/>
      <c r="U262" s="585"/>
      <c r="V262" s="224"/>
      <c r="W262" s="224"/>
      <c r="X262" s="224"/>
      <c r="Y262" s="224"/>
      <c r="Z262" s="868"/>
      <c r="AA262" s="865"/>
      <c r="AB262" s="2"/>
      <c r="AC262" s="2"/>
      <c r="AD262" s="2"/>
      <c r="AE262" s="2"/>
      <c r="AF262" s="2"/>
      <c r="AG262" s="2"/>
      <c r="AH262" s="2"/>
      <c r="AI262" s="2"/>
      <c r="AJ262" s="2"/>
      <c r="AK262" s="2"/>
      <c r="AL262" s="2"/>
      <c r="AM262" s="2"/>
      <c r="AN262" s="2"/>
      <c r="AO262" s="9"/>
      <c r="AP262" s="9"/>
      <c r="AQ262" s="9"/>
      <c r="AR262" s="9"/>
    </row>
    <row r="263">
      <c r="A263" s="585"/>
      <c r="B263" s="585"/>
      <c r="C263" s="585"/>
      <c r="D263" s="585"/>
      <c r="E263" s="585"/>
      <c r="F263" s="585"/>
      <c r="G263" s="585"/>
      <c r="H263" s="585"/>
      <c r="I263" s="585"/>
      <c r="J263" s="585"/>
      <c r="K263" s="585"/>
      <c r="L263" s="585"/>
      <c r="M263" s="585"/>
      <c r="N263" s="585"/>
      <c r="O263" s="585"/>
      <c r="P263" s="585"/>
      <c r="Q263" s="585"/>
      <c r="R263" s="585"/>
      <c r="S263" s="585"/>
      <c r="T263" s="585"/>
      <c r="U263" s="585"/>
      <c r="V263" s="224"/>
      <c r="W263" s="224"/>
      <c r="X263" s="224"/>
      <c r="Y263" s="224"/>
      <c r="Z263" s="868"/>
      <c r="AA263" s="865"/>
      <c r="AB263" s="2"/>
      <c r="AC263" s="2"/>
      <c r="AD263" s="2"/>
      <c r="AE263" s="2"/>
      <c r="AF263" s="2"/>
      <c r="AG263" s="2"/>
      <c r="AH263" s="2"/>
      <c r="AI263" s="2"/>
      <c r="AJ263" s="2"/>
      <c r="AK263" s="2"/>
      <c r="AL263" s="2"/>
      <c r="AM263" s="2"/>
      <c r="AN263" s="2"/>
      <c r="AO263" s="9"/>
      <c r="AP263" s="9"/>
      <c r="AQ263" s="9"/>
      <c r="AR263" s="9"/>
    </row>
    <row r="264">
      <c r="A264" s="585"/>
      <c r="B264" s="585"/>
      <c r="C264" s="585"/>
      <c r="D264" s="585"/>
      <c r="E264" s="585"/>
      <c r="F264" s="585"/>
      <c r="G264" s="585"/>
      <c r="H264" s="585"/>
      <c r="I264" s="585"/>
      <c r="J264" s="585"/>
      <c r="K264" s="585"/>
      <c r="L264" s="585"/>
      <c r="M264" s="585"/>
      <c r="N264" s="585"/>
      <c r="O264" s="585"/>
      <c r="P264" s="585"/>
      <c r="Q264" s="585"/>
      <c r="R264" s="585"/>
      <c r="S264" s="585"/>
      <c r="T264" s="585"/>
      <c r="U264" s="585"/>
      <c r="V264" s="224"/>
      <c r="W264" s="224"/>
      <c r="X264" s="224"/>
      <c r="Y264" s="224"/>
      <c r="Z264" s="868"/>
      <c r="AA264" s="865"/>
      <c r="AB264" s="2"/>
      <c r="AC264" s="2"/>
      <c r="AD264" s="2"/>
      <c r="AE264" s="2"/>
      <c r="AF264" s="2"/>
      <c r="AG264" s="2"/>
      <c r="AH264" s="2"/>
      <c r="AI264" s="2"/>
      <c r="AJ264" s="2"/>
      <c r="AK264" s="2"/>
      <c r="AL264" s="2"/>
      <c r="AM264" s="2"/>
      <c r="AN264" s="2"/>
      <c r="AO264" s="9"/>
      <c r="AP264" s="9"/>
      <c r="AQ264" s="9"/>
      <c r="AR264" s="9"/>
    </row>
    <row r="265">
      <c r="A265" s="585"/>
      <c r="B265" s="585"/>
      <c r="C265" s="585"/>
      <c r="D265" s="585"/>
      <c r="E265" s="585"/>
      <c r="F265" s="585"/>
      <c r="G265" s="585"/>
      <c r="H265" s="585"/>
      <c r="I265" s="585"/>
      <c r="J265" s="585"/>
      <c r="K265" s="585"/>
      <c r="L265" s="585"/>
      <c r="M265" s="585"/>
      <c r="N265" s="585"/>
      <c r="O265" s="585"/>
      <c r="P265" s="585"/>
      <c r="Q265" s="585"/>
      <c r="R265" s="585"/>
      <c r="S265" s="585"/>
      <c r="T265" s="585"/>
      <c r="U265" s="585"/>
      <c r="V265" s="224"/>
      <c r="W265" s="224"/>
      <c r="X265" s="224"/>
      <c r="Y265" s="224"/>
      <c r="Z265" s="868"/>
      <c r="AA265" s="865"/>
      <c r="AB265" s="2"/>
      <c r="AC265" s="2"/>
      <c r="AD265" s="2"/>
      <c r="AE265" s="2"/>
      <c r="AF265" s="2"/>
      <c r="AG265" s="2"/>
      <c r="AH265" s="2"/>
      <c r="AI265" s="2"/>
      <c r="AJ265" s="2"/>
      <c r="AK265" s="2"/>
      <c r="AL265" s="2"/>
      <c r="AM265" s="2"/>
      <c r="AN265" s="2"/>
      <c r="AO265" s="9"/>
      <c r="AP265" s="9"/>
      <c r="AQ265" s="9"/>
      <c r="AR265" s="9"/>
    </row>
    <row r="266">
      <c r="A266" s="585"/>
      <c r="B266" s="585"/>
      <c r="C266" s="585"/>
      <c r="D266" s="585"/>
      <c r="E266" s="585"/>
      <c r="F266" s="585"/>
      <c r="G266" s="585"/>
      <c r="H266" s="585"/>
      <c r="I266" s="585"/>
      <c r="J266" s="585"/>
      <c r="K266" s="585"/>
      <c r="L266" s="585"/>
      <c r="M266" s="585"/>
      <c r="N266" s="585"/>
      <c r="O266" s="585"/>
      <c r="P266" s="585"/>
      <c r="Q266" s="585"/>
      <c r="R266" s="585"/>
      <c r="S266" s="585"/>
      <c r="T266" s="585"/>
      <c r="U266" s="585"/>
      <c r="V266" s="224"/>
      <c r="W266" s="224"/>
      <c r="X266" s="224"/>
      <c r="Y266" s="224"/>
      <c r="Z266" s="868"/>
      <c r="AA266" s="865"/>
      <c r="AB266" s="2"/>
      <c r="AC266" s="2"/>
      <c r="AD266" s="2"/>
      <c r="AE266" s="2"/>
      <c r="AF266" s="2"/>
      <c r="AG266" s="2"/>
      <c r="AH266" s="2"/>
      <c r="AI266" s="2"/>
      <c r="AJ266" s="2"/>
      <c r="AK266" s="2"/>
      <c r="AL266" s="2"/>
      <c r="AM266" s="2"/>
      <c r="AN266" s="2"/>
      <c r="AO266" s="9"/>
      <c r="AP266" s="9"/>
      <c r="AQ266" s="9"/>
      <c r="AR266" s="9"/>
    </row>
    <row r="267">
      <c r="A267" s="585"/>
      <c r="B267" s="585"/>
      <c r="C267" s="585"/>
      <c r="D267" s="585"/>
      <c r="E267" s="585"/>
      <c r="F267" s="585"/>
      <c r="G267" s="585"/>
      <c r="H267" s="585"/>
      <c r="I267" s="585"/>
      <c r="J267" s="585"/>
      <c r="K267" s="585"/>
      <c r="L267" s="585"/>
      <c r="M267" s="585"/>
      <c r="N267" s="585"/>
      <c r="O267" s="585"/>
      <c r="P267" s="585"/>
      <c r="Q267" s="585"/>
      <c r="R267" s="585"/>
      <c r="S267" s="585"/>
      <c r="T267" s="585"/>
      <c r="U267" s="585"/>
      <c r="V267" s="224"/>
      <c r="W267" s="224"/>
      <c r="X267" s="224"/>
      <c r="Y267" s="224"/>
      <c r="Z267" s="868"/>
      <c r="AA267" s="865"/>
      <c r="AB267" s="2"/>
      <c r="AC267" s="2"/>
      <c r="AD267" s="2"/>
      <c r="AE267" s="2"/>
      <c r="AF267" s="2"/>
      <c r="AG267" s="2"/>
      <c r="AH267" s="2"/>
      <c r="AI267" s="2"/>
      <c r="AJ267" s="2"/>
      <c r="AK267" s="2"/>
      <c r="AL267" s="2"/>
      <c r="AM267" s="2"/>
      <c r="AN267" s="2"/>
      <c r="AO267" s="9"/>
      <c r="AP267" s="9"/>
      <c r="AQ267" s="9"/>
      <c r="AR267" s="9"/>
    </row>
    <row r="268">
      <c r="A268" s="585"/>
      <c r="B268" s="585"/>
      <c r="C268" s="585"/>
      <c r="D268" s="585"/>
      <c r="E268" s="585"/>
      <c r="F268" s="585"/>
      <c r="G268" s="585"/>
      <c r="H268" s="585"/>
      <c r="I268" s="585"/>
      <c r="J268" s="585"/>
      <c r="K268" s="585"/>
      <c r="L268" s="585"/>
      <c r="M268" s="585"/>
      <c r="N268" s="585"/>
      <c r="O268" s="585"/>
      <c r="P268" s="585"/>
      <c r="Q268" s="585"/>
      <c r="R268" s="585"/>
      <c r="S268" s="585"/>
      <c r="T268" s="585"/>
      <c r="U268" s="585"/>
      <c r="V268" s="224"/>
      <c r="W268" s="224"/>
      <c r="X268" s="224"/>
      <c r="Y268" s="224"/>
      <c r="Z268" s="868"/>
      <c r="AA268" s="865"/>
      <c r="AB268" s="2"/>
      <c r="AC268" s="2"/>
      <c r="AD268" s="2"/>
      <c r="AE268" s="2"/>
      <c r="AF268" s="2"/>
      <c r="AG268" s="2"/>
      <c r="AH268" s="2"/>
      <c r="AI268" s="2"/>
      <c r="AJ268" s="2"/>
      <c r="AK268" s="2"/>
      <c r="AL268" s="2"/>
      <c r="AM268" s="2"/>
      <c r="AN268" s="2"/>
      <c r="AO268" s="9"/>
      <c r="AP268" s="9"/>
      <c r="AQ268" s="9"/>
      <c r="AR268" s="9"/>
    </row>
    <row r="269">
      <c r="A269" s="585"/>
      <c r="B269" s="585"/>
      <c r="C269" s="585"/>
      <c r="D269" s="585"/>
      <c r="E269" s="585"/>
      <c r="F269" s="585"/>
      <c r="G269" s="585"/>
      <c r="H269" s="585"/>
      <c r="I269" s="585"/>
      <c r="J269" s="585"/>
      <c r="K269" s="585"/>
      <c r="L269" s="585"/>
      <c r="M269" s="585"/>
      <c r="N269" s="585"/>
      <c r="O269" s="585"/>
      <c r="P269" s="585"/>
      <c r="Q269" s="585"/>
      <c r="R269" s="585"/>
      <c r="S269" s="585"/>
      <c r="T269" s="585"/>
      <c r="U269" s="585"/>
      <c r="V269" s="224"/>
      <c r="W269" s="224"/>
      <c r="X269" s="224"/>
      <c r="Y269" s="224"/>
      <c r="Z269" s="868"/>
      <c r="AA269" s="865"/>
      <c r="AB269" s="2"/>
      <c r="AC269" s="2"/>
      <c r="AD269" s="2"/>
      <c r="AE269" s="2"/>
      <c r="AF269" s="2"/>
      <c r="AG269" s="2"/>
      <c r="AH269" s="2"/>
      <c r="AI269" s="2"/>
      <c r="AJ269" s="2"/>
      <c r="AK269" s="2"/>
      <c r="AL269" s="2"/>
      <c r="AM269" s="2"/>
      <c r="AN269" s="2"/>
      <c r="AO269" s="9"/>
      <c r="AP269" s="9"/>
      <c r="AQ269" s="9"/>
      <c r="AR269" s="9"/>
    </row>
    <row r="270">
      <c r="A270" s="585"/>
      <c r="B270" s="585"/>
      <c r="C270" s="585"/>
      <c r="D270" s="585"/>
      <c r="E270" s="585"/>
      <c r="F270" s="585"/>
      <c r="G270" s="585"/>
      <c r="H270" s="585"/>
      <c r="I270" s="585"/>
      <c r="J270" s="585"/>
      <c r="K270" s="585"/>
      <c r="L270" s="585"/>
      <c r="M270" s="585"/>
      <c r="N270" s="585"/>
      <c r="O270" s="585"/>
      <c r="P270" s="585"/>
      <c r="Q270" s="585"/>
      <c r="R270" s="585"/>
      <c r="S270" s="585"/>
      <c r="T270" s="585"/>
      <c r="U270" s="585"/>
      <c r="V270" s="224"/>
      <c r="W270" s="224"/>
      <c r="X270" s="224"/>
      <c r="Y270" s="224"/>
      <c r="Z270" s="868"/>
      <c r="AA270" s="865"/>
      <c r="AB270" s="2"/>
      <c r="AC270" s="2"/>
      <c r="AD270" s="2"/>
      <c r="AE270" s="2"/>
      <c r="AF270" s="2"/>
      <c r="AG270" s="2"/>
      <c r="AH270" s="2"/>
      <c r="AI270" s="2"/>
      <c r="AJ270" s="2"/>
      <c r="AK270" s="2"/>
      <c r="AL270" s="2"/>
      <c r="AM270" s="2"/>
      <c r="AN270" s="2"/>
      <c r="AO270" s="9"/>
      <c r="AP270" s="9"/>
      <c r="AQ270" s="9"/>
      <c r="AR270" s="9"/>
    </row>
    <row r="271">
      <c r="A271" s="585"/>
      <c r="B271" s="585"/>
      <c r="C271" s="585"/>
      <c r="D271" s="585"/>
      <c r="E271" s="585"/>
      <c r="F271" s="585"/>
      <c r="G271" s="585"/>
      <c r="H271" s="585"/>
      <c r="I271" s="585"/>
      <c r="J271" s="585"/>
      <c r="K271" s="585"/>
      <c r="L271" s="585"/>
      <c r="M271" s="585"/>
      <c r="N271" s="585"/>
      <c r="O271" s="585"/>
      <c r="P271" s="585"/>
      <c r="Q271" s="585"/>
      <c r="R271" s="585"/>
      <c r="S271" s="585"/>
      <c r="T271" s="585"/>
      <c r="U271" s="585"/>
      <c r="V271" s="224"/>
      <c r="W271" s="224"/>
      <c r="X271" s="224"/>
      <c r="Y271" s="224"/>
      <c r="Z271" s="868"/>
      <c r="AA271" s="865"/>
      <c r="AB271" s="2"/>
      <c r="AC271" s="2"/>
      <c r="AD271" s="2"/>
      <c r="AE271" s="2"/>
      <c r="AF271" s="2"/>
      <c r="AG271" s="2"/>
      <c r="AH271" s="2"/>
      <c r="AI271" s="2"/>
      <c r="AJ271" s="2"/>
      <c r="AK271" s="2"/>
      <c r="AL271" s="2"/>
      <c r="AM271" s="2"/>
      <c r="AN271" s="2"/>
      <c r="AO271" s="9"/>
      <c r="AP271" s="9"/>
      <c r="AQ271" s="9"/>
      <c r="AR271" s="9"/>
    </row>
    <row r="272">
      <c r="A272" s="585"/>
      <c r="B272" s="585"/>
      <c r="C272" s="585"/>
      <c r="D272" s="585"/>
      <c r="E272" s="585"/>
      <c r="F272" s="585"/>
      <c r="G272" s="585"/>
      <c r="H272" s="585"/>
      <c r="I272" s="585"/>
      <c r="J272" s="585"/>
      <c r="K272" s="585"/>
      <c r="L272" s="585"/>
      <c r="M272" s="585"/>
      <c r="N272" s="585"/>
      <c r="O272" s="585"/>
      <c r="P272" s="585"/>
      <c r="Q272" s="585"/>
      <c r="R272" s="585"/>
      <c r="S272" s="585"/>
      <c r="T272" s="585"/>
      <c r="U272" s="585"/>
      <c r="V272" s="224"/>
      <c r="W272" s="224"/>
      <c r="X272" s="224"/>
      <c r="Y272" s="224"/>
      <c r="Z272" s="868"/>
      <c r="AA272" s="865"/>
      <c r="AB272" s="2"/>
      <c r="AC272" s="2"/>
      <c r="AD272" s="2"/>
      <c r="AE272" s="2"/>
      <c r="AF272" s="2"/>
      <c r="AG272" s="2"/>
      <c r="AH272" s="2"/>
      <c r="AI272" s="2"/>
      <c r="AJ272" s="2"/>
      <c r="AK272" s="2"/>
      <c r="AL272" s="2"/>
      <c r="AM272" s="2"/>
      <c r="AN272" s="2"/>
      <c r="AO272" s="9"/>
      <c r="AP272" s="9"/>
      <c r="AQ272" s="9"/>
      <c r="AR272" s="9"/>
    </row>
    <row r="273">
      <c r="A273" s="585"/>
      <c r="B273" s="585"/>
      <c r="C273" s="585"/>
      <c r="D273" s="585"/>
      <c r="E273" s="585"/>
      <c r="F273" s="585"/>
      <c r="G273" s="585"/>
      <c r="H273" s="585"/>
      <c r="I273" s="585"/>
      <c r="J273" s="585"/>
      <c r="K273" s="585"/>
      <c r="L273" s="585"/>
      <c r="M273" s="585"/>
      <c r="N273" s="585"/>
      <c r="O273" s="585"/>
      <c r="P273" s="585"/>
      <c r="Q273" s="585"/>
      <c r="R273" s="585"/>
      <c r="S273" s="585"/>
      <c r="T273" s="585"/>
      <c r="U273" s="585"/>
      <c r="V273" s="224"/>
      <c r="W273" s="224"/>
      <c r="X273" s="224"/>
      <c r="Y273" s="224"/>
      <c r="Z273" s="868"/>
      <c r="AA273" s="865"/>
      <c r="AB273" s="2"/>
      <c r="AC273" s="2"/>
      <c r="AD273" s="2"/>
      <c r="AE273" s="2"/>
      <c r="AF273" s="2"/>
      <c r="AG273" s="2"/>
      <c r="AH273" s="2"/>
      <c r="AI273" s="2"/>
      <c r="AJ273" s="2"/>
      <c r="AK273" s="2"/>
      <c r="AL273" s="2"/>
      <c r="AM273" s="2"/>
      <c r="AN273" s="2"/>
      <c r="AO273" s="9"/>
      <c r="AP273" s="9"/>
      <c r="AQ273" s="9"/>
      <c r="AR273" s="9"/>
    </row>
    <row r="274">
      <c r="A274" s="585"/>
      <c r="B274" s="585"/>
      <c r="C274" s="585"/>
      <c r="D274" s="585"/>
      <c r="E274" s="585"/>
      <c r="F274" s="585"/>
      <c r="G274" s="585"/>
      <c r="H274" s="585"/>
      <c r="I274" s="585"/>
      <c r="J274" s="585"/>
      <c r="K274" s="585"/>
      <c r="L274" s="585"/>
      <c r="M274" s="585"/>
      <c r="N274" s="585"/>
      <c r="O274" s="585"/>
      <c r="P274" s="585"/>
      <c r="Q274" s="585"/>
      <c r="R274" s="585"/>
      <c r="S274" s="585"/>
      <c r="T274" s="585"/>
      <c r="U274" s="585"/>
      <c r="V274" s="224"/>
      <c r="W274" s="224"/>
      <c r="X274" s="224"/>
      <c r="Y274" s="224"/>
      <c r="Z274" s="868"/>
      <c r="AA274" s="865"/>
      <c r="AB274" s="2"/>
      <c r="AC274" s="2"/>
      <c r="AD274" s="2"/>
      <c r="AE274" s="2"/>
      <c r="AF274" s="2"/>
      <c r="AG274" s="2"/>
      <c r="AH274" s="2"/>
      <c r="AI274" s="2"/>
      <c r="AJ274" s="2"/>
      <c r="AK274" s="2"/>
      <c r="AL274" s="2"/>
      <c r="AM274" s="2"/>
      <c r="AN274" s="2"/>
      <c r="AO274" s="9"/>
      <c r="AP274" s="9"/>
      <c r="AQ274" s="9"/>
      <c r="AR274" s="9"/>
    </row>
    <row r="275">
      <c r="A275" s="585"/>
      <c r="B275" s="585"/>
      <c r="C275" s="585"/>
      <c r="D275" s="585"/>
      <c r="E275" s="585"/>
      <c r="F275" s="585"/>
      <c r="G275" s="585"/>
      <c r="H275" s="585"/>
      <c r="I275" s="585"/>
      <c r="J275" s="585"/>
      <c r="K275" s="585"/>
      <c r="L275" s="585"/>
      <c r="M275" s="585"/>
      <c r="N275" s="585"/>
      <c r="O275" s="585"/>
      <c r="P275" s="585"/>
      <c r="Q275" s="585"/>
      <c r="R275" s="585"/>
      <c r="S275" s="585"/>
      <c r="T275" s="585"/>
      <c r="U275" s="585"/>
      <c r="V275" s="224"/>
      <c r="W275" s="224"/>
      <c r="X275" s="224"/>
      <c r="Y275" s="224"/>
      <c r="Z275" s="868"/>
      <c r="AA275" s="865"/>
      <c r="AB275" s="2"/>
      <c r="AC275" s="2"/>
      <c r="AD275" s="2"/>
      <c r="AE275" s="2"/>
      <c r="AF275" s="2"/>
      <c r="AG275" s="2"/>
      <c r="AH275" s="2"/>
      <c r="AI275" s="2"/>
      <c r="AJ275" s="2"/>
      <c r="AK275" s="2"/>
      <c r="AL275" s="2"/>
      <c r="AM275" s="2"/>
      <c r="AN275" s="2"/>
      <c r="AO275" s="9"/>
      <c r="AP275" s="9"/>
      <c r="AQ275" s="9"/>
      <c r="AR275" s="9"/>
    </row>
    <row r="276">
      <c r="A276" s="585"/>
      <c r="B276" s="585"/>
      <c r="C276" s="585"/>
      <c r="D276" s="585"/>
      <c r="E276" s="585"/>
      <c r="F276" s="585"/>
      <c r="G276" s="585"/>
      <c r="H276" s="585"/>
      <c r="I276" s="585"/>
      <c r="J276" s="585"/>
      <c r="K276" s="585"/>
      <c r="L276" s="585"/>
      <c r="M276" s="585"/>
      <c r="N276" s="585"/>
      <c r="O276" s="585"/>
      <c r="P276" s="585"/>
      <c r="Q276" s="585"/>
      <c r="R276" s="585"/>
      <c r="S276" s="585"/>
      <c r="T276" s="585"/>
      <c r="U276" s="585"/>
      <c r="V276" s="224"/>
      <c r="W276" s="224"/>
      <c r="X276" s="224"/>
      <c r="Y276" s="224"/>
      <c r="Z276" s="868"/>
      <c r="AA276" s="865"/>
      <c r="AB276" s="2"/>
      <c r="AC276" s="2"/>
      <c r="AD276" s="2"/>
      <c r="AE276" s="2"/>
      <c r="AF276" s="2"/>
      <c r="AG276" s="2"/>
      <c r="AH276" s="2"/>
      <c r="AI276" s="2"/>
      <c r="AJ276" s="2"/>
      <c r="AK276" s="2"/>
      <c r="AL276" s="2"/>
      <c r="AM276" s="2"/>
      <c r="AN276" s="2"/>
      <c r="AO276" s="9"/>
      <c r="AP276" s="9"/>
      <c r="AQ276" s="9"/>
      <c r="AR276" s="9"/>
    </row>
    <row r="277">
      <c r="A277" s="585"/>
      <c r="B277" s="585"/>
      <c r="C277" s="585"/>
      <c r="D277" s="585"/>
      <c r="E277" s="585"/>
      <c r="F277" s="585"/>
      <c r="G277" s="585"/>
      <c r="H277" s="585"/>
      <c r="I277" s="585"/>
      <c r="J277" s="585"/>
      <c r="K277" s="585"/>
      <c r="L277" s="585"/>
      <c r="M277" s="585"/>
      <c r="N277" s="585"/>
      <c r="O277" s="585"/>
      <c r="P277" s="585"/>
      <c r="Q277" s="585"/>
      <c r="R277" s="585"/>
      <c r="S277" s="585"/>
      <c r="T277" s="585"/>
      <c r="U277" s="585"/>
      <c r="V277" s="224"/>
      <c r="W277" s="224"/>
      <c r="X277" s="224"/>
      <c r="Y277" s="224"/>
      <c r="Z277" s="868"/>
      <c r="AA277" s="865"/>
      <c r="AB277" s="2"/>
      <c r="AC277" s="2"/>
      <c r="AD277" s="2"/>
      <c r="AE277" s="2"/>
      <c r="AF277" s="2"/>
      <c r="AG277" s="2"/>
      <c r="AH277" s="2"/>
      <c r="AI277" s="2"/>
      <c r="AJ277" s="2"/>
      <c r="AK277" s="2"/>
      <c r="AL277" s="2"/>
      <c r="AM277" s="2"/>
      <c r="AN277" s="2"/>
      <c r="AO277" s="9"/>
      <c r="AP277" s="9"/>
      <c r="AQ277" s="9"/>
      <c r="AR277" s="9"/>
    </row>
    <row r="278">
      <c r="A278" s="585"/>
      <c r="B278" s="585"/>
      <c r="C278" s="585"/>
      <c r="D278" s="585"/>
      <c r="E278" s="585"/>
      <c r="F278" s="585"/>
      <c r="G278" s="585"/>
      <c r="H278" s="585"/>
      <c r="I278" s="585"/>
      <c r="J278" s="585"/>
      <c r="K278" s="585"/>
      <c r="L278" s="585"/>
      <c r="M278" s="585"/>
      <c r="N278" s="585"/>
      <c r="O278" s="585"/>
      <c r="P278" s="585"/>
      <c r="Q278" s="585"/>
      <c r="R278" s="585"/>
      <c r="S278" s="585"/>
      <c r="T278" s="585"/>
      <c r="U278" s="585"/>
      <c r="V278" s="224"/>
      <c r="W278" s="224"/>
      <c r="X278" s="224"/>
      <c r="Y278" s="224"/>
      <c r="Z278" s="868"/>
      <c r="AA278" s="865"/>
      <c r="AB278" s="2"/>
      <c r="AC278" s="2"/>
      <c r="AD278" s="2"/>
      <c r="AE278" s="2"/>
      <c r="AF278" s="2"/>
      <c r="AG278" s="2"/>
      <c r="AH278" s="2"/>
      <c r="AI278" s="2"/>
      <c r="AJ278" s="2"/>
      <c r="AK278" s="2"/>
      <c r="AL278" s="2"/>
      <c r="AM278" s="2"/>
      <c r="AN278" s="2"/>
      <c r="AO278" s="9"/>
      <c r="AP278" s="9"/>
      <c r="AQ278" s="9"/>
      <c r="AR278" s="9"/>
    </row>
    <row r="279">
      <c r="A279" s="585"/>
      <c r="B279" s="585"/>
      <c r="C279" s="585"/>
      <c r="D279" s="585"/>
      <c r="E279" s="585"/>
      <c r="F279" s="585"/>
      <c r="G279" s="585"/>
      <c r="H279" s="585"/>
      <c r="I279" s="585"/>
      <c r="J279" s="585"/>
      <c r="K279" s="585"/>
      <c r="L279" s="585"/>
      <c r="M279" s="585"/>
      <c r="N279" s="585"/>
      <c r="O279" s="585"/>
      <c r="P279" s="585"/>
      <c r="Q279" s="585"/>
      <c r="R279" s="585"/>
      <c r="S279" s="585"/>
      <c r="T279" s="585"/>
      <c r="U279" s="585"/>
      <c r="V279" s="224"/>
      <c r="W279" s="224"/>
      <c r="X279" s="224"/>
      <c r="Y279" s="224"/>
      <c r="Z279" s="868"/>
      <c r="AA279" s="865"/>
      <c r="AB279" s="2"/>
      <c r="AC279" s="2"/>
      <c r="AD279" s="2"/>
      <c r="AE279" s="2"/>
      <c r="AF279" s="2"/>
      <c r="AG279" s="2"/>
      <c r="AH279" s="2"/>
      <c r="AI279" s="2"/>
      <c r="AJ279" s="2"/>
      <c r="AK279" s="2"/>
      <c r="AL279" s="2"/>
      <c r="AM279" s="2"/>
      <c r="AN279" s="2"/>
      <c r="AO279" s="9"/>
      <c r="AP279" s="9"/>
      <c r="AQ279" s="9"/>
      <c r="AR279" s="9"/>
    </row>
    <row r="280">
      <c r="A280" s="585"/>
      <c r="B280" s="585"/>
      <c r="C280" s="585"/>
      <c r="D280" s="585"/>
      <c r="E280" s="585"/>
      <c r="F280" s="585"/>
      <c r="G280" s="585"/>
      <c r="H280" s="585"/>
      <c r="I280" s="585"/>
      <c r="J280" s="585"/>
      <c r="K280" s="585"/>
      <c r="L280" s="585"/>
      <c r="M280" s="585"/>
      <c r="N280" s="585"/>
      <c r="O280" s="585"/>
      <c r="P280" s="585"/>
      <c r="Q280" s="585"/>
      <c r="R280" s="585"/>
      <c r="S280" s="585"/>
      <c r="T280" s="585"/>
      <c r="U280" s="585"/>
      <c r="V280" s="224"/>
      <c r="W280" s="224"/>
      <c r="X280" s="224"/>
      <c r="Y280" s="224"/>
      <c r="Z280" s="868"/>
      <c r="AA280" s="865"/>
      <c r="AB280" s="2"/>
      <c r="AC280" s="2"/>
      <c r="AD280" s="2"/>
      <c r="AE280" s="2"/>
      <c r="AF280" s="2"/>
      <c r="AG280" s="2"/>
      <c r="AH280" s="2"/>
      <c r="AI280" s="2"/>
      <c r="AJ280" s="2"/>
      <c r="AK280" s="2"/>
      <c r="AL280" s="2"/>
      <c r="AM280" s="2"/>
      <c r="AN280" s="2"/>
      <c r="AO280" s="9"/>
      <c r="AP280" s="9"/>
      <c r="AQ280" s="9"/>
      <c r="AR280" s="9"/>
    </row>
    <row r="281">
      <c r="A281" s="585"/>
      <c r="B281" s="585"/>
      <c r="C281" s="585"/>
      <c r="D281" s="585"/>
      <c r="E281" s="585"/>
      <c r="F281" s="585"/>
      <c r="G281" s="585"/>
      <c r="H281" s="585"/>
      <c r="I281" s="585"/>
      <c r="J281" s="585"/>
      <c r="K281" s="585"/>
      <c r="L281" s="585"/>
      <c r="M281" s="585"/>
      <c r="N281" s="585"/>
      <c r="O281" s="585"/>
      <c r="P281" s="585"/>
      <c r="Q281" s="585"/>
      <c r="R281" s="585"/>
      <c r="S281" s="585"/>
      <c r="T281" s="585"/>
      <c r="U281" s="585"/>
      <c r="V281" s="224"/>
      <c r="W281" s="224"/>
      <c r="X281" s="224"/>
      <c r="Y281" s="224"/>
      <c r="Z281" s="868"/>
      <c r="AA281" s="865"/>
      <c r="AB281" s="2"/>
      <c r="AC281" s="2"/>
      <c r="AD281" s="2"/>
      <c r="AE281" s="2"/>
      <c r="AF281" s="2"/>
      <c r="AG281" s="2"/>
      <c r="AH281" s="2"/>
      <c r="AI281" s="2"/>
      <c r="AJ281" s="2"/>
      <c r="AK281" s="2"/>
      <c r="AL281" s="2"/>
      <c r="AM281" s="2"/>
      <c r="AN281" s="2"/>
      <c r="AO281" s="9"/>
      <c r="AP281" s="9"/>
      <c r="AQ281" s="9"/>
      <c r="AR281" s="9"/>
    </row>
    <row r="282">
      <c r="A282" s="585"/>
      <c r="B282" s="585"/>
      <c r="C282" s="585"/>
      <c r="D282" s="585"/>
      <c r="E282" s="585"/>
      <c r="F282" s="585"/>
      <c r="G282" s="585"/>
      <c r="H282" s="585"/>
      <c r="I282" s="585"/>
      <c r="J282" s="585"/>
      <c r="K282" s="585"/>
      <c r="L282" s="585"/>
      <c r="M282" s="585"/>
      <c r="N282" s="585"/>
      <c r="O282" s="585"/>
      <c r="P282" s="585"/>
      <c r="Q282" s="585"/>
      <c r="R282" s="585"/>
      <c r="S282" s="585"/>
      <c r="T282" s="585"/>
      <c r="U282" s="585"/>
      <c r="V282" s="224"/>
      <c r="W282" s="224"/>
      <c r="X282" s="224"/>
      <c r="Y282" s="224"/>
      <c r="Z282" s="868"/>
      <c r="AA282" s="865"/>
      <c r="AB282" s="2"/>
      <c r="AC282" s="2"/>
      <c r="AD282" s="2"/>
      <c r="AE282" s="2"/>
      <c r="AF282" s="2"/>
      <c r="AG282" s="2"/>
      <c r="AH282" s="2"/>
      <c r="AI282" s="2"/>
      <c r="AJ282" s="2"/>
      <c r="AK282" s="2"/>
      <c r="AL282" s="2"/>
      <c r="AM282" s="2"/>
      <c r="AN282" s="2"/>
      <c r="AO282" s="9"/>
      <c r="AP282" s="9"/>
      <c r="AQ282" s="9"/>
      <c r="AR282" s="9"/>
    </row>
    <row r="283">
      <c r="A283" s="585"/>
      <c r="B283" s="585"/>
      <c r="C283" s="585"/>
      <c r="D283" s="585"/>
      <c r="E283" s="585"/>
      <c r="F283" s="585"/>
      <c r="G283" s="585"/>
      <c r="H283" s="585"/>
      <c r="I283" s="585"/>
      <c r="J283" s="585"/>
      <c r="K283" s="585"/>
      <c r="L283" s="585"/>
      <c r="M283" s="585"/>
      <c r="N283" s="585"/>
      <c r="O283" s="585"/>
      <c r="P283" s="585"/>
      <c r="Q283" s="585"/>
      <c r="R283" s="585"/>
      <c r="S283" s="585"/>
      <c r="T283" s="585"/>
      <c r="U283" s="585"/>
      <c r="V283" s="224"/>
      <c r="W283" s="224"/>
      <c r="X283" s="224"/>
      <c r="Y283" s="224"/>
      <c r="Z283" s="868"/>
      <c r="AA283" s="865"/>
      <c r="AB283" s="2"/>
      <c r="AC283" s="2"/>
      <c r="AD283" s="2"/>
      <c r="AE283" s="2"/>
      <c r="AF283" s="2"/>
      <c r="AG283" s="2"/>
      <c r="AH283" s="2"/>
      <c r="AI283" s="2"/>
      <c r="AJ283" s="2"/>
      <c r="AK283" s="2"/>
      <c r="AL283" s="2"/>
      <c r="AM283" s="2"/>
      <c r="AN283" s="2"/>
      <c r="AO283" s="9"/>
      <c r="AP283" s="9"/>
      <c r="AQ283" s="9"/>
      <c r="AR283" s="9"/>
    </row>
    <row r="284">
      <c r="A284" s="585"/>
      <c r="B284" s="585"/>
      <c r="C284" s="585"/>
      <c r="D284" s="585"/>
      <c r="E284" s="585"/>
      <c r="F284" s="585"/>
      <c r="G284" s="585"/>
      <c r="H284" s="585"/>
      <c r="I284" s="585"/>
      <c r="J284" s="585"/>
      <c r="K284" s="585"/>
      <c r="L284" s="585"/>
      <c r="M284" s="585"/>
      <c r="N284" s="585"/>
      <c r="O284" s="585"/>
      <c r="P284" s="585"/>
      <c r="Q284" s="585"/>
      <c r="R284" s="585"/>
      <c r="S284" s="585"/>
      <c r="T284" s="585"/>
      <c r="U284" s="585"/>
      <c r="V284" s="224"/>
      <c r="W284" s="224"/>
      <c r="X284" s="224"/>
      <c r="Y284" s="224"/>
      <c r="Z284" s="868"/>
      <c r="AA284" s="865"/>
      <c r="AB284" s="2"/>
      <c r="AC284" s="2"/>
      <c r="AD284" s="2"/>
      <c r="AE284" s="2"/>
      <c r="AF284" s="2"/>
      <c r="AG284" s="2"/>
      <c r="AH284" s="2"/>
      <c r="AI284" s="2"/>
      <c r="AJ284" s="2"/>
      <c r="AK284" s="2"/>
      <c r="AL284" s="2"/>
      <c r="AM284" s="2"/>
      <c r="AN284" s="2"/>
      <c r="AO284" s="9"/>
      <c r="AP284" s="9"/>
      <c r="AQ284" s="9"/>
      <c r="AR284" s="9"/>
    </row>
    <row r="285">
      <c r="A285" s="585"/>
      <c r="B285" s="585"/>
      <c r="C285" s="585"/>
      <c r="D285" s="585"/>
      <c r="E285" s="585"/>
      <c r="F285" s="585"/>
      <c r="G285" s="585"/>
      <c r="H285" s="585"/>
      <c r="I285" s="585"/>
      <c r="J285" s="585"/>
      <c r="K285" s="585"/>
      <c r="L285" s="585"/>
      <c r="M285" s="585"/>
      <c r="N285" s="585"/>
      <c r="O285" s="585"/>
      <c r="P285" s="585"/>
      <c r="Q285" s="585"/>
      <c r="R285" s="585"/>
      <c r="S285" s="585"/>
      <c r="T285" s="585"/>
      <c r="U285" s="585"/>
      <c r="V285" s="224"/>
      <c r="W285" s="224"/>
      <c r="X285" s="224"/>
      <c r="Y285" s="224"/>
      <c r="Z285" s="868"/>
      <c r="AA285" s="865"/>
      <c r="AB285" s="2"/>
      <c r="AC285" s="2"/>
      <c r="AD285" s="2"/>
      <c r="AE285" s="2"/>
      <c r="AF285" s="2"/>
      <c r="AG285" s="2"/>
      <c r="AH285" s="2"/>
      <c r="AI285" s="2"/>
      <c r="AJ285" s="2"/>
      <c r="AK285" s="2"/>
      <c r="AL285" s="2"/>
      <c r="AM285" s="2"/>
      <c r="AN285" s="2"/>
      <c r="AO285" s="9"/>
      <c r="AP285" s="9"/>
      <c r="AQ285" s="9"/>
      <c r="AR285" s="9"/>
    </row>
    <row r="286">
      <c r="A286" s="585"/>
      <c r="B286" s="585"/>
      <c r="C286" s="585"/>
      <c r="D286" s="585"/>
      <c r="E286" s="585"/>
      <c r="F286" s="585"/>
      <c r="G286" s="585"/>
      <c r="H286" s="585"/>
      <c r="I286" s="585"/>
      <c r="J286" s="585"/>
      <c r="K286" s="585"/>
      <c r="L286" s="585"/>
      <c r="M286" s="585"/>
      <c r="N286" s="585"/>
      <c r="O286" s="585"/>
      <c r="P286" s="585"/>
      <c r="Q286" s="585"/>
      <c r="R286" s="585"/>
      <c r="S286" s="585"/>
      <c r="T286" s="585"/>
      <c r="U286" s="585"/>
      <c r="V286" s="224"/>
      <c r="W286" s="224"/>
      <c r="X286" s="224"/>
      <c r="Y286" s="224"/>
      <c r="Z286" s="868"/>
      <c r="AA286" s="865"/>
      <c r="AB286" s="2"/>
      <c r="AC286" s="2"/>
      <c r="AD286" s="2"/>
      <c r="AE286" s="2"/>
      <c r="AF286" s="2"/>
      <c r="AG286" s="2"/>
      <c r="AH286" s="2"/>
      <c r="AI286" s="2"/>
      <c r="AJ286" s="2"/>
      <c r="AK286" s="2"/>
      <c r="AL286" s="2"/>
      <c r="AM286" s="2"/>
      <c r="AN286" s="2"/>
      <c r="AO286" s="9"/>
      <c r="AP286" s="9"/>
      <c r="AQ286" s="9"/>
      <c r="AR286" s="9"/>
    </row>
    <row r="287">
      <c r="A287" s="585"/>
      <c r="B287" s="585"/>
      <c r="C287" s="585"/>
      <c r="D287" s="585"/>
      <c r="E287" s="585"/>
      <c r="F287" s="585"/>
      <c r="G287" s="585"/>
      <c r="H287" s="585"/>
      <c r="I287" s="585"/>
      <c r="J287" s="585"/>
      <c r="K287" s="585"/>
      <c r="L287" s="585"/>
      <c r="M287" s="585"/>
      <c r="N287" s="585"/>
      <c r="O287" s="585"/>
      <c r="P287" s="585"/>
      <c r="Q287" s="585"/>
      <c r="R287" s="585"/>
      <c r="S287" s="585"/>
      <c r="T287" s="585"/>
      <c r="U287" s="585"/>
      <c r="V287" s="224"/>
      <c r="W287" s="224"/>
      <c r="X287" s="224"/>
      <c r="Y287" s="224"/>
      <c r="Z287" s="868"/>
      <c r="AA287" s="865"/>
      <c r="AB287" s="2"/>
      <c r="AC287" s="2"/>
      <c r="AD287" s="2"/>
      <c r="AE287" s="2"/>
      <c r="AF287" s="2"/>
      <c r="AG287" s="2"/>
      <c r="AH287" s="2"/>
      <c r="AI287" s="2"/>
      <c r="AJ287" s="2"/>
      <c r="AK287" s="2"/>
      <c r="AL287" s="2"/>
      <c r="AM287" s="2"/>
      <c r="AN287" s="2"/>
      <c r="AO287" s="9"/>
      <c r="AP287" s="9"/>
      <c r="AQ287" s="9"/>
      <c r="AR287" s="9"/>
    </row>
    <row r="288">
      <c r="A288" s="585"/>
      <c r="B288" s="585"/>
      <c r="C288" s="585"/>
      <c r="D288" s="585"/>
      <c r="E288" s="585"/>
      <c r="F288" s="585"/>
      <c r="G288" s="585"/>
      <c r="H288" s="585"/>
      <c r="I288" s="585"/>
      <c r="J288" s="585"/>
      <c r="K288" s="585"/>
      <c r="L288" s="585"/>
      <c r="M288" s="585"/>
      <c r="N288" s="585"/>
      <c r="O288" s="585"/>
      <c r="P288" s="585"/>
      <c r="Q288" s="585"/>
      <c r="R288" s="585"/>
      <c r="S288" s="585"/>
      <c r="T288" s="585"/>
      <c r="U288" s="585"/>
      <c r="V288" s="224"/>
      <c r="W288" s="224"/>
      <c r="X288" s="224"/>
      <c r="Y288" s="224"/>
      <c r="Z288" s="868"/>
      <c r="AA288" s="865"/>
      <c r="AB288" s="2"/>
      <c r="AC288" s="2"/>
      <c r="AD288" s="2"/>
      <c r="AE288" s="2"/>
      <c r="AF288" s="2"/>
      <c r="AG288" s="2"/>
      <c r="AH288" s="2"/>
      <c r="AI288" s="2"/>
      <c r="AJ288" s="2"/>
      <c r="AK288" s="2"/>
      <c r="AL288" s="2"/>
      <c r="AM288" s="2"/>
      <c r="AN288" s="2"/>
      <c r="AO288" s="9"/>
      <c r="AP288" s="9"/>
      <c r="AQ288" s="9"/>
      <c r="AR288" s="9"/>
    </row>
    <row r="289">
      <c r="A289" s="585"/>
      <c r="B289" s="585"/>
      <c r="C289" s="585"/>
      <c r="D289" s="585"/>
      <c r="E289" s="585"/>
      <c r="F289" s="585"/>
      <c r="G289" s="585"/>
      <c r="H289" s="585"/>
      <c r="I289" s="585"/>
      <c r="J289" s="585"/>
      <c r="K289" s="585"/>
      <c r="L289" s="585"/>
      <c r="M289" s="585"/>
      <c r="N289" s="585"/>
      <c r="O289" s="585"/>
      <c r="P289" s="585"/>
      <c r="Q289" s="585"/>
      <c r="R289" s="585"/>
      <c r="S289" s="585"/>
      <c r="T289" s="585"/>
      <c r="U289" s="585"/>
      <c r="V289" s="224"/>
      <c r="W289" s="224"/>
      <c r="X289" s="224"/>
      <c r="Y289" s="224"/>
      <c r="Z289" s="868"/>
      <c r="AA289" s="865"/>
      <c r="AB289" s="2"/>
      <c r="AC289" s="2"/>
      <c r="AD289" s="2"/>
      <c r="AE289" s="2"/>
      <c r="AF289" s="2"/>
      <c r="AG289" s="2"/>
      <c r="AH289" s="2"/>
      <c r="AI289" s="2"/>
      <c r="AJ289" s="2"/>
      <c r="AK289" s="2"/>
      <c r="AL289" s="2"/>
      <c r="AM289" s="2"/>
      <c r="AN289" s="2"/>
      <c r="AO289" s="9"/>
      <c r="AP289" s="9"/>
      <c r="AQ289" s="9"/>
      <c r="AR289" s="9"/>
    </row>
    <row r="290">
      <c r="A290" s="585"/>
      <c r="B290" s="585"/>
      <c r="C290" s="585"/>
      <c r="D290" s="585"/>
      <c r="E290" s="585"/>
      <c r="F290" s="585"/>
      <c r="G290" s="585"/>
      <c r="H290" s="585"/>
      <c r="I290" s="585"/>
      <c r="J290" s="585"/>
      <c r="K290" s="585"/>
      <c r="L290" s="585"/>
      <c r="M290" s="585"/>
      <c r="N290" s="585"/>
      <c r="O290" s="585"/>
      <c r="P290" s="585"/>
      <c r="Q290" s="585"/>
      <c r="R290" s="585"/>
      <c r="S290" s="585"/>
      <c r="T290" s="585"/>
      <c r="U290" s="585"/>
      <c r="V290" s="224"/>
      <c r="W290" s="224"/>
      <c r="X290" s="224"/>
      <c r="Y290" s="224"/>
      <c r="Z290" s="868"/>
      <c r="AA290" s="865"/>
      <c r="AB290" s="2"/>
      <c r="AC290" s="2"/>
      <c r="AD290" s="2"/>
      <c r="AE290" s="2"/>
      <c r="AF290" s="2"/>
      <c r="AG290" s="2"/>
      <c r="AH290" s="2"/>
      <c r="AI290" s="2"/>
      <c r="AJ290" s="2"/>
      <c r="AK290" s="2"/>
      <c r="AL290" s="2"/>
      <c r="AM290" s="2"/>
      <c r="AN290" s="2"/>
      <c r="AO290" s="9"/>
      <c r="AP290" s="9"/>
      <c r="AQ290" s="9"/>
      <c r="AR290" s="9"/>
    </row>
    <row r="291">
      <c r="A291" s="585"/>
      <c r="B291" s="585"/>
      <c r="C291" s="585"/>
      <c r="D291" s="585"/>
      <c r="E291" s="585"/>
      <c r="F291" s="585"/>
      <c r="G291" s="585"/>
      <c r="H291" s="585"/>
      <c r="I291" s="585"/>
      <c r="J291" s="585"/>
      <c r="K291" s="585"/>
      <c r="L291" s="585"/>
      <c r="M291" s="585"/>
      <c r="N291" s="585"/>
      <c r="O291" s="585"/>
      <c r="P291" s="585"/>
      <c r="Q291" s="585"/>
      <c r="R291" s="585"/>
      <c r="S291" s="585"/>
      <c r="T291" s="585"/>
      <c r="U291" s="585"/>
      <c r="V291" s="224"/>
      <c r="W291" s="224"/>
      <c r="X291" s="224"/>
      <c r="Y291" s="224"/>
      <c r="Z291" s="868"/>
      <c r="AA291" s="865"/>
      <c r="AB291" s="2"/>
      <c r="AC291" s="2"/>
      <c r="AD291" s="2"/>
      <c r="AE291" s="2"/>
      <c r="AF291" s="2"/>
      <c r="AG291" s="2"/>
      <c r="AH291" s="2"/>
      <c r="AI291" s="2"/>
      <c r="AJ291" s="2"/>
      <c r="AK291" s="2"/>
      <c r="AL291" s="2"/>
      <c r="AM291" s="2"/>
      <c r="AN291" s="2"/>
      <c r="AO291" s="9"/>
      <c r="AP291" s="9"/>
      <c r="AQ291" s="9"/>
      <c r="AR291" s="9"/>
    </row>
    <row r="292">
      <c r="A292" s="585"/>
      <c r="B292" s="585"/>
      <c r="C292" s="585"/>
      <c r="D292" s="585"/>
      <c r="E292" s="585"/>
      <c r="F292" s="585"/>
      <c r="G292" s="585"/>
      <c r="H292" s="585"/>
      <c r="I292" s="585"/>
      <c r="J292" s="585"/>
      <c r="K292" s="585"/>
      <c r="L292" s="585"/>
      <c r="M292" s="585"/>
      <c r="N292" s="585"/>
      <c r="O292" s="585"/>
      <c r="P292" s="585"/>
      <c r="Q292" s="585"/>
      <c r="R292" s="585"/>
      <c r="S292" s="585"/>
      <c r="T292" s="585"/>
      <c r="U292" s="585"/>
      <c r="V292" s="224"/>
      <c r="W292" s="224"/>
      <c r="X292" s="224"/>
      <c r="Y292" s="224"/>
      <c r="Z292" s="868"/>
      <c r="AA292" s="865"/>
      <c r="AB292" s="2"/>
      <c r="AC292" s="2"/>
      <c r="AD292" s="2"/>
      <c r="AE292" s="2"/>
      <c r="AF292" s="2"/>
      <c r="AG292" s="2"/>
      <c r="AH292" s="2"/>
      <c r="AI292" s="2"/>
      <c r="AJ292" s="2"/>
      <c r="AK292" s="2"/>
      <c r="AL292" s="2"/>
      <c r="AM292" s="2"/>
      <c r="AN292" s="2"/>
      <c r="AO292" s="9"/>
      <c r="AP292" s="9"/>
      <c r="AQ292" s="9"/>
      <c r="AR292" s="9"/>
    </row>
    <row r="293">
      <c r="A293" s="585"/>
      <c r="B293" s="585"/>
      <c r="C293" s="585"/>
      <c r="D293" s="585"/>
      <c r="E293" s="585"/>
      <c r="F293" s="585"/>
      <c r="G293" s="585"/>
      <c r="H293" s="585"/>
      <c r="I293" s="585"/>
      <c r="J293" s="585"/>
      <c r="K293" s="585"/>
      <c r="L293" s="585"/>
      <c r="M293" s="585"/>
      <c r="N293" s="585"/>
      <c r="O293" s="585"/>
      <c r="P293" s="585"/>
      <c r="Q293" s="585"/>
      <c r="R293" s="585"/>
      <c r="S293" s="585"/>
      <c r="T293" s="585"/>
      <c r="U293" s="585"/>
      <c r="V293" s="224"/>
      <c r="W293" s="224"/>
      <c r="X293" s="224"/>
      <c r="Y293" s="224"/>
      <c r="Z293" s="868"/>
      <c r="AA293" s="865"/>
      <c r="AB293" s="2"/>
      <c r="AC293" s="2"/>
      <c r="AD293" s="2"/>
      <c r="AE293" s="2"/>
      <c r="AF293" s="2"/>
      <c r="AG293" s="2"/>
      <c r="AH293" s="2"/>
      <c r="AI293" s="2"/>
      <c r="AJ293" s="2"/>
      <c r="AK293" s="2"/>
      <c r="AL293" s="2"/>
      <c r="AM293" s="2"/>
      <c r="AN293" s="2"/>
      <c r="AO293" s="9"/>
      <c r="AP293" s="9"/>
      <c r="AQ293" s="9"/>
      <c r="AR293" s="9"/>
    </row>
    <row r="294">
      <c r="A294" s="585"/>
      <c r="B294" s="585"/>
      <c r="C294" s="585"/>
      <c r="D294" s="585"/>
      <c r="E294" s="585"/>
      <c r="F294" s="585"/>
      <c r="G294" s="585"/>
      <c r="H294" s="585"/>
      <c r="I294" s="585"/>
      <c r="J294" s="585"/>
      <c r="K294" s="585"/>
      <c r="L294" s="585"/>
      <c r="M294" s="585"/>
      <c r="N294" s="585"/>
      <c r="O294" s="585"/>
      <c r="P294" s="585"/>
      <c r="Q294" s="585"/>
      <c r="R294" s="585"/>
      <c r="S294" s="585"/>
      <c r="T294" s="585"/>
      <c r="U294" s="585"/>
      <c r="V294" s="224"/>
      <c r="W294" s="224"/>
      <c r="X294" s="224"/>
      <c r="Y294" s="224"/>
      <c r="Z294" s="868"/>
      <c r="AA294" s="865"/>
      <c r="AB294" s="2"/>
      <c r="AC294" s="2"/>
      <c r="AD294" s="2"/>
      <c r="AE294" s="2"/>
      <c r="AF294" s="2"/>
      <c r="AG294" s="2"/>
      <c r="AH294" s="2"/>
      <c r="AI294" s="2"/>
      <c r="AJ294" s="2"/>
      <c r="AK294" s="2"/>
      <c r="AL294" s="2"/>
      <c r="AM294" s="2"/>
      <c r="AN294" s="2"/>
      <c r="AO294" s="9"/>
      <c r="AP294" s="9"/>
      <c r="AQ294" s="9"/>
      <c r="AR294" s="9"/>
    </row>
    <row r="295">
      <c r="A295" s="585"/>
      <c r="B295" s="585"/>
      <c r="C295" s="585"/>
      <c r="D295" s="585"/>
      <c r="E295" s="585"/>
      <c r="F295" s="585"/>
      <c r="G295" s="585"/>
      <c r="H295" s="585"/>
      <c r="I295" s="585"/>
      <c r="J295" s="585"/>
      <c r="K295" s="585"/>
      <c r="L295" s="585"/>
      <c r="M295" s="585"/>
      <c r="N295" s="585"/>
      <c r="O295" s="585"/>
      <c r="P295" s="585"/>
      <c r="Q295" s="585"/>
      <c r="R295" s="585"/>
      <c r="S295" s="585"/>
      <c r="T295" s="585"/>
      <c r="U295" s="585"/>
      <c r="V295" s="224"/>
      <c r="W295" s="224"/>
      <c r="X295" s="224"/>
      <c r="Y295" s="224"/>
      <c r="Z295" s="868"/>
      <c r="AA295" s="865"/>
      <c r="AB295" s="2"/>
      <c r="AC295" s="2"/>
      <c r="AD295" s="2"/>
      <c r="AE295" s="2"/>
      <c r="AF295" s="2"/>
      <c r="AG295" s="2"/>
      <c r="AH295" s="2"/>
      <c r="AI295" s="2"/>
      <c r="AJ295" s="2"/>
      <c r="AK295" s="2"/>
      <c r="AL295" s="2"/>
      <c r="AM295" s="2"/>
      <c r="AN295" s="2"/>
      <c r="AO295" s="9"/>
      <c r="AP295" s="9"/>
      <c r="AQ295" s="9"/>
      <c r="AR295" s="9"/>
    </row>
    <row r="296">
      <c r="A296" s="585"/>
      <c r="B296" s="585"/>
      <c r="C296" s="585"/>
      <c r="D296" s="585"/>
      <c r="E296" s="585"/>
      <c r="F296" s="585"/>
      <c r="G296" s="585"/>
      <c r="H296" s="585"/>
      <c r="I296" s="585"/>
      <c r="J296" s="585"/>
      <c r="K296" s="585"/>
      <c r="L296" s="585"/>
      <c r="M296" s="585"/>
      <c r="N296" s="585"/>
      <c r="O296" s="585"/>
      <c r="P296" s="585"/>
      <c r="Q296" s="585"/>
      <c r="R296" s="585"/>
      <c r="S296" s="585"/>
      <c r="T296" s="585"/>
      <c r="U296" s="585"/>
      <c r="V296" s="224"/>
      <c r="W296" s="224"/>
      <c r="X296" s="224"/>
      <c r="Y296" s="224"/>
      <c r="Z296" s="868"/>
      <c r="AA296" s="865"/>
      <c r="AB296" s="2"/>
      <c r="AC296" s="2"/>
      <c r="AD296" s="2"/>
      <c r="AE296" s="2"/>
      <c r="AF296" s="2"/>
      <c r="AG296" s="2"/>
      <c r="AH296" s="2"/>
      <c r="AI296" s="2"/>
      <c r="AJ296" s="2"/>
      <c r="AK296" s="2"/>
      <c r="AL296" s="2"/>
      <c r="AM296" s="2"/>
      <c r="AN296" s="2"/>
      <c r="AO296" s="9"/>
      <c r="AP296" s="9"/>
      <c r="AQ296" s="9"/>
      <c r="AR296" s="9"/>
    </row>
    <row r="297">
      <c r="A297" s="585"/>
      <c r="B297" s="585"/>
      <c r="C297" s="585"/>
      <c r="D297" s="585"/>
      <c r="E297" s="585"/>
      <c r="F297" s="585"/>
      <c r="G297" s="585"/>
      <c r="H297" s="585"/>
      <c r="I297" s="585"/>
      <c r="J297" s="585"/>
      <c r="K297" s="585"/>
      <c r="L297" s="585"/>
      <c r="M297" s="585"/>
      <c r="N297" s="585"/>
      <c r="O297" s="585"/>
      <c r="P297" s="585"/>
      <c r="Q297" s="585"/>
      <c r="R297" s="585"/>
      <c r="S297" s="585"/>
      <c r="T297" s="585"/>
      <c r="U297" s="585"/>
      <c r="V297" s="224"/>
      <c r="W297" s="224"/>
      <c r="X297" s="224"/>
      <c r="Y297" s="224"/>
      <c r="Z297" s="868"/>
      <c r="AA297" s="865"/>
      <c r="AB297" s="2"/>
      <c r="AC297" s="2"/>
      <c r="AD297" s="2"/>
      <c r="AE297" s="2"/>
      <c r="AF297" s="2"/>
      <c r="AG297" s="2"/>
      <c r="AH297" s="2"/>
      <c r="AI297" s="2"/>
      <c r="AJ297" s="2"/>
      <c r="AK297" s="2"/>
      <c r="AL297" s="2"/>
      <c r="AM297" s="2"/>
      <c r="AN297" s="2"/>
      <c r="AO297" s="9"/>
      <c r="AP297" s="9"/>
      <c r="AQ297" s="9"/>
      <c r="AR297" s="9"/>
    </row>
    <row r="298">
      <c r="A298" s="585"/>
      <c r="B298" s="585"/>
      <c r="C298" s="585"/>
      <c r="D298" s="585"/>
      <c r="E298" s="585"/>
      <c r="F298" s="585"/>
      <c r="G298" s="585"/>
      <c r="H298" s="585"/>
      <c r="I298" s="585"/>
      <c r="J298" s="585"/>
      <c r="K298" s="585"/>
      <c r="L298" s="585"/>
      <c r="M298" s="585"/>
      <c r="N298" s="585"/>
      <c r="O298" s="585"/>
      <c r="P298" s="585"/>
      <c r="Q298" s="585"/>
      <c r="R298" s="585"/>
      <c r="S298" s="585"/>
      <c r="T298" s="585"/>
      <c r="U298" s="585"/>
      <c r="V298" s="224"/>
      <c r="W298" s="224"/>
      <c r="X298" s="224"/>
      <c r="Y298" s="224"/>
      <c r="Z298" s="868"/>
      <c r="AA298" s="865"/>
      <c r="AB298" s="2"/>
      <c r="AC298" s="2"/>
      <c r="AD298" s="2"/>
      <c r="AE298" s="2"/>
      <c r="AF298" s="2"/>
      <c r="AG298" s="2"/>
      <c r="AH298" s="2"/>
      <c r="AI298" s="2"/>
      <c r="AJ298" s="2"/>
      <c r="AK298" s="2"/>
      <c r="AL298" s="2"/>
      <c r="AM298" s="2"/>
      <c r="AN298" s="2"/>
      <c r="AO298" s="9"/>
      <c r="AP298" s="9"/>
      <c r="AQ298" s="9"/>
      <c r="AR298" s="9"/>
    </row>
    <row r="299">
      <c r="A299" s="585"/>
      <c r="B299" s="585"/>
      <c r="C299" s="585"/>
      <c r="D299" s="585"/>
      <c r="E299" s="585"/>
      <c r="F299" s="585"/>
      <c r="G299" s="585"/>
      <c r="H299" s="585"/>
      <c r="I299" s="585"/>
      <c r="J299" s="585"/>
      <c r="K299" s="585"/>
      <c r="L299" s="585"/>
      <c r="M299" s="585"/>
      <c r="N299" s="585"/>
      <c r="O299" s="585"/>
      <c r="P299" s="585"/>
      <c r="Q299" s="585"/>
      <c r="R299" s="585"/>
      <c r="S299" s="585"/>
      <c r="T299" s="585"/>
      <c r="U299" s="585"/>
      <c r="V299" s="224"/>
      <c r="W299" s="224"/>
      <c r="X299" s="224"/>
      <c r="Y299" s="224"/>
      <c r="Z299" s="868"/>
      <c r="AA299" s="865"/>
      <c r="AB299" s="2"/>
      <c r="AC299" s="2"/>
      <c r="AD299" s="2"/>
      <c r="AE299" s="2"/>
      <c r="AF299" s="2"/>
      <c r="AG299" s="2"/>
      <c r="AH299" s="2"/>
      <c r="AI299" s="2"/>
      <c r="AJ299" s="2"/>
      <c r="AK299" s="2"/>
      <c r="AL299" s="2"/>
      <c r="AM299" s="2"/>
      <c r="AN299" s="2"/>
      <c r="AO299" s="9"/>
      <c r="AP299" s="9"/>
      <c r="AQ299" s="9"/>
      <c r="AR299" s="9"/>
    </row>
    <row r="300">
      <c r="A300" s="585"/>
      <c r="B300" s="585"/>
      <c r="C300" s="585"/>
      <c r="D300" s="585"/>
      <c r="E300" s="585"/>
      <c r="F300" s="585"/>
      <c r="G300" s="585"/>
      <c r="H300" s="585"/>
      <c r="I300" s="585"/>
      <c r="J300" s="585"/>
      <c r="K300" s="585"/>
      <c r="L300" s="585"/>
      <c r="M300" s="585"/>
      <c r="N300" s="585"/>
      <c r="O300" s="585"/>
      <c r="P300" s="585"/>
      <c r="Q300" s="585"/>
      <c r="R300" s="585"/>
      <c r="S300" s="585"/>
      <c r="T300" s="585"/>
      <c r="U300" s="585"/>
      <c r="V300" s="224"/>
      <c r="W300" s="224"/>
      <c r="X300" s="224"/>
      <c r="Y300" s="224"/>
      <c r="Z300" s="868"/>
      <c r="AA300" s="865"/>
      <c r="AB300" s="2"/>
      <c r="AC300" s="2"/>
      <c r="AD300" s="2"/>
      <c r="AE300" s="2"/>
      <c r="AF300" s="2"/>
      <c r="AG300" s="2"/>
      <c r="AH300" s="2"/>
      <c r="AI300" s="2"/>
      <c r="AJ300" s="2"/>
      <c r="AK300" s="2"/>
      <c r="AL300" s="2"/>
      <c r="AM300" s="2"/>
      <c r="AN300" s="2"/>
      <c r="AO300" s="9"/>
      <c r="AP300" s="9"/>
      <c r="AQ300" s="9"/>
      <c r="AR300" s="9"/>
    </row>
    <row r="301">
      <c r="A301" s="585"/>
      <c r="B301" s="585"/>
      <c r="C301" s="585"/>
      <c r="D301" s="585"/>
      <c r="E301" s="585"/>
      <c r="F301" s="585"/>
      <c r="G301" s="585"/>
      <c r="H301" s="585"/>
      <c r="I301" s="585"/>
      <c r="J301" s="585"/>
      <c r="K301" s="585"/>
      <c r="L301" s="585"/>
      <c r="M301" s="585"/>
      <c r="N301" s="585"/>
      <c r="O301" s="585"/>
      <c r="P301" s="585"/>
      <c r="Q301" s="585"/>
      <c r="R301" s="585"/>
      <c r="S301" s="585"/>
      <c r="T301" s="585"/>
      <c r="U301" s="585"/>
      <c r="V301" s="224"/>
      <c r="W301" s="224"/>
      <c r="X301" s="224"/>
      <c r="Y301" s="224"/>
      <c r="Z301" s="868"/>
      <c r="AA301" s="865"/>
      <c r="AB301" s="2"/>
      <c r="AC301" s="2"/>
      <c r="AD301" s="2"/>
      <c r="AE301" s="2"/>
      <c r="AF301" s="2"/>
      <c r="AG301" s="2"/>
      <c r="AH301" s="2"/>
      <c r="AI301" s="2"/>
      <c r="AJ301" s="2"/>
      <c r="AK301" s="2"/>
      <c r="AL301" s="2"/>
      <c r="AM301" s="2"/>
      <c r="AN301" s="2"/>
      <c r="AO301" s="9"/>
      <c r="AP301" s="9"/>
      <c r="AQ301" s="9"/>
      <c r="AR301" s="9"/>
    </row>
    <row r="302">
      <c r="A302" s="585"/>
      <c r="B302" s="585"/>
      <c r="C302" s="585"/>
      <c r="D302" s="585"/>
      <c r="E302" s="585"/>
      <c r="F302" s="585"/>
      <c r="G302" s="585"/>
      <c r="H302" s="585"/>
      <c r="I302" s="585"/>
      <c r="J302" s="585"/>
      <c r="K302" s="585"/>
      <c r="L302" s="585"/>
      <c r="M302" s="585"/>
      <c r="N302" s="585"/>
      <c r="O302" s="585"/>
      <c r="P302" s="585"/>
      <c r="Q302" s="585"/>
      <c r="R302" s="585"/>
      <c r="S302" s="585"/>
      <c r="T302" s="585"/>
      <c r="U302" s="585"/>
      <c r="V302" s="224"/>
      <c r="W302" s="224"/>
      <c r="X302" s="224"/>
      <c r="Y302" s="224"/>
      <c r="Z302" s="868"/>
      <c r="AA302" s="865"/>
      <c r="AB302" s="2"/>
      <c r="AC302" s="2"/>
      <c r="AD302" s="2"/>
      <c r="AE302" s="2"/>
      <c r="AF302" s="2"/>
      <c r="AG302" s="2"/>
      <c r="AH302" s="2"/>
      <c r="AI302" s="2"/>
      <c r="AJ302" s="2"/>
      <c r="AK302" s="2"/>
      <c r="AL302" s="2"/>
      <c r="AM302" s="2"/>
      <c r="AN302" s="2"/>
      <c r="AO302" s="9"/>
      <c r="AP302" s="9"/>
      <c r="AQ302" s="9"/>
      <c r="AR302" s="9"/>
    </row>
    <row r="303">
      <c r="A303" s="585"/>
      <c r="B303" s="585"/>
      <c r="C303" s="585"/>
      <c r="D303" s="585"/>
      <c r="E303" s="585"/>
      <c r="F303" s="585"/>
      <c r="G303" s="585"/>
      <c r="H303" s="585"/>
      <c r="I303" s="585"/>
      <c r="J303" s="585"/>
      <c r="K303" s="585"/>
      <c r="L303" s="585"/>
      <c r="M303" s="585"/>
      <c r="N303" s="585"/>
      <c r="O303" s="585"/>
      <c r="P303" s="585"/>
      <c r="Q303" s="585"/>
      <c r="R303" s="585"/>
      <c r="S303" s="585"/>
      <c r="T303" s="585"/>
      <c r="U303" s="585"/>
      <c r="V303" s="224"/>
      <c r="W303" s="224"/>
      <c r="X303" s="224"/>
      <c r="Y303" s="224"/>
      <c r="Z303" s="868"/>
      <c r="AA303" s="865"/>
      <c r="AB303" s="2"/>
      <c r="AC303" s="2"/>
      <c r="AD303" s="2"/>
      <c r="AE303" s="2"/>
      <c r="AF303" s="2"/>
      <c r="AG303" s="2"/>
      <c r="AH303" s="2"/>
      <c r="AI303" s="2"/>
      <c r="AJ303" s="2"/>
      <c r="AK303" s="2"/>
      <c r="AL303" s="2"/>
      <c r="AM303" s="2"/>
      <c r="AN303" s="2"/>
      <c r="AO303" s="9"/>
      <c r="AP303" s="9"/>
      <c r="AQ303" s="9"/>
      <c r="AR303" s="9"/>
    </row>
    <row r="304">
      <c r="A304" s="585"/>
      <c r="B304" s="585"/>
      <c r="C304" s="585"/>
      <c r="D304" s="585"/>
      <c r="E304" s="585"/>
      <c r="F304" s="585"/>
      <c r="G304" s="585"/>
      <c r="H304" s="585"/>
      <c r="I304" s="585"/>
      <c r="J304" s="585"/>
      <c r="K304" s="585"/>
      <c r="L304" s="585"/>
      <c r="M304" s="585"/>
      <c r="N304" s="585"/>
      <c r="O304" s="585"/>
      <c r="P304" s="585"/>
      <c r="Q304" s="585"/>
      <c r="R304" s="585"/>
      <c r="S304" s="585"/>
      <c r="T304" s="585"/>
      <c r="U304" s="585"/>
      <c r="V304" s="224"/>
      <c r="W304" s="224"/>
      <c r="X304" s="224"/>
      <c r="Y304" s="224"/>
      <c r="Z304" s="868"/>
      <c r="AA304" s="865"/>
      <c r="AB304" s="2"/>
      <c r="AC304" s="2"/>
      <c r="AD304" s="2"/>
      <c r="AE304" s="2"/>
      <c r="AF304" s="2"/>
      <c r="AG304" s="2"/>
      <c r="AH304" s="2"/>
      <c r="AI304" s="2"/>
      <c r="AJ304" s="2"/>
      <c r="AK304" s="2"/>
      <c r="AL304" s="2"/>
      <c r="AM304" s="2"/>
      <c r="AN304" s="2"/>
      <c r="AO304" s="9"/>
      <c r="AP304" s="9"/>
      <c r="AQ304" s="9"/>
      <c r="AR304" s="9"/>
    </row>
    <row r="305">
      <c r="A305" s="585"/>
      <c r="B305" s="585"/>
      <c r="C305" s="585"/>
      <c r="D305" s="585"/>
      <c r="E305" s="585"/>
      <c r="F305" s="585"/>
      <c r="G305" s="585"/>
      <c r="H305" s="585"/>
      <c r="I305" s="585"/>
      <c r="J305" s="585"/>
      <c r="K305" s="585"/>
      <c r="L305" s="585"/>
      <c r="M305" s="585"/>
      <c r="N305" s="585"/>
      <c r="O305" s="585"/>
      <c r="P305" s="585"/>
      <c r="Q305" s="585"/>
      <c r="R305" s="585"/>
      <c r="S305" s="585"/>
      <c r="T305" s="585"/>
      <c r="U305" s="585"/>
      <c r="V305" s="224"/>
      <c r="W305" s="224"/>
      <c r="X305" s="224"/>
      <c r="Y305" s="224"/>
      <c r="Z305" s="868"/>
      <c r="AA305" s="865"/>
      <c r="AB305" s="2"/>
      <c r="AC305" s="2"/>
      <c r="AD305" s="2"/>
      <c r="AE305" s="2"/>
      <c r="AF305" s="2"/>
      <c r="AG305" s="2"/>
      <c r="AH305" s="2"/>
      <c r="AI305" s="2"/>
      <c r="AJ305" s="2"/>
      <c r="AK305" s="2"/>
      <c r="AL305" s="2"/>
      <c r="AM305" s="2"/>
      <c r="AN305" s="2"/>
      <c r="AO305" s="9"/>
      <c r="AP305" s="9"/>
      <c r="AQ305" s="9"/>
      <c r="AR305" s="9"/>
    </row>
    <row r="306">
      <c r="A306" s="585"/>
      <c r="B306" s="585"/>
      <c r="C306" s="585"/>
      <c r="D306" s="585"/>
      <c r="E306" s="585"/>
      <c r="F306" s="585"/>
      <c r="G306" s="585"/>
      <c r="H306" s="585"/>
      <c r="I306" s="585"/>
      <c r="J306" s="585"/>
      <c r="K306" s="585"/>
      <c r="L306" s="585"/>
      <c r="M306" s="585"/>
      <c r="N306" s="585"/>
      <c r="O306" s="585"/>
      <c r="P306" s="585"/>
      <c r="Q306" s="585"/>
      <c r="R306" s="585"/>
      <c r="S306" s="585"/>
      <c r="T306" s="585"/>
      <c r="U306" s="585"/>
      <c r="V306" s="224"/>
      <c r="W306" s="224"/>
      <c r="X306" s="224"/>
      <c r="Y306" s="224"/>
      <c r="Z306" s="868"/>
      <c r="AA306" s="865"/>
      <c r="AB306" s="2"/>
      <c r="AC306" s="2"/>
      <c r="AD306" s="2"/>
      <c r="AE306" s="2"/>
      <c r="AF306" s="2"/>
      <c r="AG306" s="2"/>
      <c r="AH306" s="2"/>
      <c r="AI306" s="2"/>
      <c r="AJ306" s="2"/>
      <c r="AK306" s="2"/>
      <c r="AL306" s="2"/>
      <c r="AM306" s="2"/>
      <c r="AN306" s="2"/>
      <c r="AO306" s="9"/>
      <c r="AP306" s="9"/>
      <c r="AQ306" s="9"/>
      <c r="AR306" s="9"/>
    </row>
    <row r="307">
      <c r="A307" s="585"/>
      <c r="B307" s="585"/>
      <c r="C307" s="585"/>
      <c r="D307" s="585"/>
      <c r="E307" s="585"/>
      <c r="F307" s="585"/>
      <c r="G307" s="585"/>
      <c r="H307" s="585"/>
      <c r="I307" s="585"/>
      <c r="J307" s="585"/>
      <c r="K307" s="585"/>
      <c r="L307" s="585"/>
      <c r="M307" s="585"/>
      <c r="N307" s="585"/>
      <c r="O307" s="585"/>
      <c r="P307" s="585"/>
      <c r="Q307" s="585"/>
      <c r="R307" s="585"/>
      <c r="S307" s="585"/>
      <c r="T307" s="585"/>
      <c r="U307" s="585"/>
      <c r="V307" s="224"/>
      <c r="W307" s="224"/>
      <c r="X307" s="224"/>
      <c r="Y307" s="224"/>
      <c r="Z307" s="868"/>
      <c r="AA307" s="865"/>
      <c r="AB307" s="2"/>
      <c r="AC307" s="2"/>
      <c r="AD307" s="2"/>
      <c r="AE307" s="2"/>
      <c r="AF307" s="2"/>
      <c r="AG307" s="2"/>
      <c r="AH307" s="2"/>
      <c r="AI307" s="2"/>
      <c r="AJ307" s="2"/>
      <c r="AK307" s="2"/>
      <c r="AL307" s="2"/>
      <c r="AM307" s="2"/>
      <c r="AN307" s="2"/>
      <c r="AO307" s="9"/>
      <c r="AP307" s="9"/>
      <c r="AQ307" s="9"/>
      <c r="AR307" s="9"/>
    </row>
    <row r="308">
      <c r="A308" s="585"/>
      <c r="B308" s="585"/>
      <c r="C308" s="585"/>
      <c r="D308" s="585"/>
      <c r="E308" s="585"/>
      <c r="F308" s="585"/>
      <c r="G308" s="585"/>
      <c r="H308" s="585"/>
      <c r="I308" s="585"/>
      <c r="J308" s="585"/>
      <c r="K308" s="585"/>
      <c r="L308" s="585"/>
      <c r="M308" s="585"/>
      <c r="N308" s="585"/>
      <c r="O308" s="585"/>
      <c r="P308" s="585"/>
      <c r="Q308" s="585"/>
      <c r="R308" s="585"/>
      <c r="S308" s="585"/>
      <c r="T308" s="585"/>
      <c r="U308" s="585"/>
      <c r="V308" s="224"/>
      <c r="W308" s="224"/>
      <c r="X308" s="224"/>
      <c r="Y308" s="224"/>
      <c r="Z308" s="868"/>
      <c r="AA308" s="865"/>
      <c r="AB308" s="2"/>
      <c r="AC308" s="2"/>
      <c r="AD308" s="2"/>
      <c r="AE308" s="2"/>
      <c r="AF308" s="2"/>
      <c r="AG308" s="2"/>
      <c r="AH308" s="2"/>
      <c r="AI308" s="2"/>
      <c r="AJ308" s="2"/>
      <c r="AK308" s="2"/>
      <c r="AL308" s="2"/>
      <c r="AM308" s="2"/>
      <c r="AN308" s="2"/>
      <c r="AO308" s="9"/>
      <c r="AP308" s="9"/>
      <c r="AQ308" s="9"/>
      <c r="AR308" s="9"/>
    </row>
    <row r="309">
      <c r="A309" s="585"/>
      <c r="B309" s="585"/>
      <c r="C309" s="585"/>
      <c r="D309" s="585"/>
      <c r="E309" s="585"/>
      <c r="F309" s="585"/>
      <c r="G309" s="585"/>
      <c r="H309" s="585"/>
      <c r="I309" s="585"/>
      <c r="J309" s="585"/>
      <c r="K309" s="585"/>
      <c r="L309" s="585"/>
      <c r="M309" s="585"/>
      <c r="N309" s="585"/>
      <c r="O309" s="585"/>
      <c r="P309" s="585"/>
      <c r="Q309" s="585"/>
      <c r="R309" s="585"/>
      <c r="S309" s="585"/>
      <c r="T309" s="585"/>
      <c r="U309" s="585"/>
      <c r="V309" s="224"/>
      <c r="W309" s="224"/>
      <c r="X309" s="224"/>
      <c r="Y309" s="224"/>
      <c r="Z309" s="868"/>
      <c r="AA309" s="865"/>
      <c r="AB309" s="2"/>
      <c r="AC309" s="2"/>
      <c r="AD309" s="2"/>
      <c r="AE309" s="2"/>
      <c r="AF309" s="2"/>
      <c r="AG309" s="2"/>
      <c r="AH309" s="2"/>
      <c r="AI309" s="2"/>
      <c r="AJ309" s="2"/>
      <c r="AK309" s="2"/>
      <c r="AL309" s="2"/>
      <c r="AM309" s="2"/>
      <c r="AN309" s="2"/>
      <c r="AO309" s="9"/>
      <c r="AP309" s="9"/>
      <c r="AQ309" s="9"/>
      <c r="AR309" s="9"/>
    </row>
    <row r="310">
      <c r="A310" s="585"/>
      <c r="B310" s="585"/>
      <c r="C310" s="585"/>
      <c r="D310" s="585"/>
      <c r="E310" s="585"/>
      <c r="F310" s="585"/>
      <c r="G310" s="585"/>
      <c r="H310" s="585"/>
      <c r="I310" s="585"/>
      <c r="J310" s="585"/>
      <c r="K310" s="585"/>
      <c r="L310" s="585"/>
      <c r="M310" s="585"/>
      <c r="N310" s="585"/>
      <c r="O310" s="585"/>
      <c r="P310" s="585"/>
      <c r="Q310" s="585"/>
      <c r="R310" s="585"/>
      <c r="S310" s="585"/>
      <c r="T310" s="585"/>
      <c r="U310" s="585"/>
      <c r="V310" s="224"/>
      <c r="W310" s="224"/>
      <c r="X310" s="224"/>
      <c r="Y310" s="224"/>
      <c r="Z310" s="868"/>
      <c r="AA310" s="865"/>
      <c r="AB310" s="2"/>
      <c r="AC310" s="2"/>
      <c r="AD310" s="2"/>
      <c r="AE310" s="2"/>
      <c r="AF310" s="2"/>
      <c r="AG310" s="2"/>
      <c r="AH310" s="2"/>
      <c r="AI310" s="2"/>
      <c r="AJ310" s="2"/>
      <c r="AK310" s="2"/>
      <c r="AL310" s="2"/>
      <c r="AM310" s="2"/>
      <c r="AN310" s="2"/>
      <c r="AO310" s="9"/>
      <c r="AP310" s="9"/>
      <c r="AQ310" s="9"/>
      <c r="AR310" s="9"/>
    </row>
    <row r="311">
      <c r="A311" s="585"/>
      <c r="B311" s="585"/>
      <c r="C311" s="585"/>
      <c r="D311" s="585"/>
      <c r="E311" s="585"/>
      <c r="F311" s="585"/>
      <c r="G311" s="585"/>
      <c r="H311" s="585"/>
      <c r="I311" s="585"/>
      <c r="J311" s="585"/>
      <c r="K311" s="585"/>
      <c r="L311" s="585"/>
      <c r="M311" s="585"/>
      <c r="N311" s="585"/>
      <c r="O311" s="585"/>
      <c r="P311" s="585"/>
      <c r="Q311" s="585"/>
      <c r="R311" s="585"/>
      <c r="S311" s="585"/>
      <c r="T311" s="585"/>
      <c r="U311" s="585"/>
      <c r="V311" s="224"/>
      <c r="W311" s="224"/>
      <c r="X311" s="224"/>
      <c r="Y311" s="224"/>
      <c r="Z311" s="868"/>
      <c r="AA311" s="865"/>
      <c r="AB311" s="2"/>
      <c r="AC311" s="2"/>
      <c r="AD311" s="2"/>
      <c r="AE311" s="2"/>
      <c r="AF311" s="2"/>
      <c r="AG311" s="2"/>
      <c r="AH311" s="2"/>
      <c r="AI311" s="2"/>
      <c r="AJ311" s="2"/>
      <c r="AK311" s="2"/>
      <c r="AL311" s="2"/>
      <c r="AM311" s="2"/>
      <c r="AN311" s="2"/>
      <c r="AO311" s="9"/>
      <c r="AP311" s="9"/>
      <c r="AQ311" s="9"/>
      <c r="AR311" s="9"/>
    </row>
    <row r="312">
      <c r="A312" s="585"/>
      <c r="B312" s="585"/>
      <c r="C312" s="585"/>
      <c r="D312" s="585"/>
      <c r="E312" s="585"/>
      <c r="F312" s="585"/>
      <c r="G312" s="585"/>
      <c r="H312" s="585"/>
      <c r="I312" s="585"/>
      <c r="J312" s="585"/>
      <c r="K312" s="585"/>
      <c r="L312" s="585"/>
      <c r="M312" s="585"/>
      <c r="N312" s="585"/>
      <c r="O312" s="585"/>
      <c r="P312" s="585"/>
      <c r="Q312" s="585"/>
      <c r="R312" s="585"/>
      <c r="S312" s="585"/>
      <c r="T312" s="585"/>
      <c r="U312" s="585"/>
      <c r="V312" s="224"/>
      <c r="W312" s="224"/>
      <c r="X312" s="224"/>
      <c r="Y312" s="224"/>
      <c r="Z312" s="868"/>
      <c r="AA312" s="865"/>
      <c r="AB312" s="2"/>
      <c r="AC312" s="2"/>
      <c r="AD312" s="2"/>
      <c r="AE312" s="2"/>
      <c r="AF312" s="2"/>
      <c r="AG312" s="2"/>
      <c r="AH312" s="2"/>
      <c r="AI312" s="2"/>
      <c r="AJ312" s="2"/>
      <c r="AK312" s="2"/>
      <c r="AL312" s="2"/>
      <c r="AM312" s="2"/>
      <c r="AN312" s="2"/>
      <c r="AO312" s="9"/>
      <c r="AP312" s="9"/>
      <c r="AQ312" s="9"/>
      <c r="AR312" s="9"/>
    </row>
    <row r="313">
      <c r="A313" s="585"/>
      <c r="B313" s="585"/>
      <c r="C313" s="585"/>
      <c r="D313" s="585"/>
      <c r="E313" s="585"/>
      <c r="F313" s="585"/>
      <c r="G313" s="585"/>
      <c r="H313" s="585"/>
      <c r="I313" s="585"/>
      <c r="J313" s="585"/>
      <c r="K313" s="585"/>
      <c r="L313" s="585"/>
      <c r="M313" s="585"/>
      <c r="N313" s="585"/>
      <c r="O313" s="585"/>
      <c r="P313" s="585"/>
      <c r="Q313" s="585"/>
      <c r="R313" s="585"/>
      <c r="S313" s="585"/>
      <c r="T313" s="585"/>
      <c r="U313" s="585"/>
      <c r="V313" s="224"/>
      <c r="W313" s="224"/>
      <c r="X313" s="224"/>
      <c r="Y313" s="224"/>
      <c r="Z313" s="868"/>
      <c r="AA313" s="865"/>
      <c r="AB313" s="2"/>
      <c r="AC313" s="2"/>
      <c r="AD313" s="2"/>
      <c r="AE313" s="2"/>
      <c r="AF313" s="2"/>
      <c r="AG313" s="2"/>
      <c r="AH313" s="2"/>
      <c r="AI313" s="2"/>
      <c r="AJ313" s="2"/>
      <c r="AK313" s="2"/>
      <c r="AL313" s="2"/>
      <c r="AM313" s="2"/>
      <c r="AN313" s="2"/>
      <c r="AO313" s="9"/>
      <c r="AP313" s="9"/>
      <c r="AQ313" s="9"/>
      <c r="AR313" s="9"/>
    </row>
    <row r="314">
      <c r="A314" s="585"/>
      <c r="B314" s="585"/>
      <c r="C314" s="585"/>
      <c r="D314" s="585"/>
      <c r="E314" s="585"/>
      <c r="F314" s="585"/>
      <c r="G314" s="585"/>
      <c r="H314" s="585"/>
      <c r="I314" s="585"/>
      <c r="J314" s="585"/>
      <c r="K314" s="585"/>
      <c r="L314" s="585"/>
      <c r="M314" s="585"/>
      <c r="N314" s="585"/>
      <c r="O314" s="585"/>
      <c r="P314" s="585"/>
      <c r="Q314" s="585"/>
      <c r="R314" s="585"/>
      <c r="S314" s="585"/>
      <c r="T314" s="585"/>
      <c r="U314" s="585"/>
      <c r="V314" s="224"/>
      <c r="W314" s="224"/>
      <c r="X314" s="224"/>
      <c r="Y314" s="224"/>
      <c r="Z314" s="868"/>
      <c r="AA314" s="865"/>
      <c r="AB314" s="2"/>
      <c r="AC314" s="2"/>
      <c r="AD314" s="2"/>
      <c r="AE314" s="2"/>
      <c r="AF314" s="2"/>
      <c r="AG314" s="2"/>
      <c r="AH314" s="2"/>
      <c r="AI314" s="2"/>
      <c r="AJ314" s="2"/>
      <c r="AK314" s="2"/>
      <c r="AL314" s="2"/>
      <c r="AM314" s="2"/>
      <c r="AN314" s="2"/>
      <c r="AO314" s="9"/>
      <c r="AP314" s="9"/>
      <c r="AQ314" s="9"/>
      <c r="AR314" s="9"/>
    </row>
    <row r="315">
      <c r="A315" s="585"/>
      <c r="B315" s="585"/>
      <c r="C315" s="585"/>
      <c r="D315" s="585"/>
      <c r="E315" s="585"/>
      <c r="F315" s="585"/>
      <c r="G315" s="585"/>
      <c r="H315" s="585"/>
      <c r="I315" s="585"/>
      <c r="J315" s="585"/>
      <c r="K315" s="585"/>
      <c r="L315" s="585"/>
      <c r="M315" s="585"/>
      <c r="N315" s="585"/>
      <c r="O315" s="585"/>
      <c r="P315" s="585"/>
      <c r="Q315" s="585"/>
      <c r="R315" s="585"/>
      <c r="S315" s="585"/>
      <c r="T315" s="585"/>
      <c r="U315" s="585"/>
      <c r="V315" s="224"/>
      <c r="W315" s="224"/>
      <c r="X315" s="224"/>
      <c r="Y315" s="224"/>
      <c r="Z315" s="868"/>
      <c r="AA315" s="865"/>
      <c r="AB315" s="2"/>
      <c r="AC315" s="2"/>
      <c r="AD315" s="2"/>
      <c r="AE315" s="2"/>
      <c r="AF315" s="2"/>
      <c r="AG315" s="2"/>
      <c r="AH315" s="2"/>
      <c r="AI315" s="2"/>
      <c r="AJ315" s="2"/>
      <c r="AK315" s="2"/>
      <c r="AL315" s="2"/>
      <c r="AM315" s="2"/>
      <c r="AN315" s="2"/>
      <c r="AO315" s="9"/>
      <c r="AP315" s="9"/>
      <c r="AQ315" s="9"/>
      <c r="AR315" s="9"/>
    </row>
    <row r="316">
      <c r="A316" s="585"/>
      <c r="B316" s="585"/>
      <c r="C316" s="585"/>
      <c r="D316" s="585"/>
      <c r="E316" s="585"/>
      <c r="F316" s="585"/>
      <c r="G316" s="585"/>
      <c r="H316" s="585"/>
      <c r="I316" s="585"/>
      <c r="J316" s="585"/>
      <c r="K316" s="585"/>
      <c r="L316" s="585"/>
      <c r="M316" s="585"/>
      <c r="N316" s="585"/>
      <c r="O316" s="585"/>
      <c r="P316" s="585"/>
      <c r="Q316" s="585"/>
      <c r="R316" s="585"/>
      <c r="S316" s="585"/>
      <c r="T316" s="585"/>
      <c r="U316" s="585"/>
      <c r="V316" s="224"/>
      <c r="W316" s="224"/>
      <c r="X316" s="224"/>
      <c r="Y316" s="224"/>
      <c r="Z316" s="868"/>
      <c r="AA316" s="865"/>
      <c r="AB316" s="2"/>
      <c r="AC316" s="2"/>
      <c r="AD316" s="2"/>
      <c r="AE316" s="2"/>
      <c r="AF316" s="2"/>
      <c r="AG316" s="2"/>
      <c r="AH316" s="2"/>
      <c r="AI316" s="2"/>
      <c r="AJ316" s="2"/>
      <c r="AK316" s="2"/>
      <c r="AL316" s="2"/>
      <c r="AM316" s="2"/>
      <c r="AN316" s="2"/>
      <c r="AO316" s="9"/>
      <c r="AP316" s="9"/>
      <c r="AQ316" s="9"/>
      <c r="AR316" s="9"/>
    </row>
    <row r="317">
      <c r="A317" s="585"/>
      <c r="B317" s="585"/>
      <c r="C317" s="585"/>
      <c r="D317" s="585"/>
      <c r="E317" s="585"/>
      <c r="F317" s="585"/>
      <c r="G317" s="585"/>
      <c r="H317" s="585"/>
      <c r="I317" s="585"/>
      <c r="J317" s="585"/>
      <c r="K317" s="585"/>
      <c r="L317" s="585"/>
      <c r="M317" s="585"/>
      <c r="N317" s="585"/>
      <c r="O317" s="585"/>
      <c r="P317" s="585"/>
      <c r="Q317" s="585"/>
      <c r="R317" s="585"/>
      <c r="S317" s="585"/>
      <c r="T317" s="585"/>
      <c r="U317" s="585"/>
      <c r="V317" s="224"/>
      <c r="W317" s="224"/>
      <c r="X317" s="224"/>
      <c r="Y317" s="224"/>
      <c r="Z317" s="868"/>
      <c r="AA317" s="865"/>
      <c r="AB317" s="2"/>
      <c r="AC317" s="2"/>
      <c r="AD317" s="2"/>
      <c r="AE317" s="2"/>
      <c r="AF317" s="2"/>
      <c r="AG317" s="2"/>
      <c r="AH317" s="2"/>
      <c r="AI317" s="2"/>
      <c r="AJ317" s="2"/>
      <c r="AK317" s="2"/>
      <c r="AL317" s="2"/>
      <c r="AM317" s="2"/>
      <c r="AN317" s="2"/>
      <c r="AO317" s="9"/>
      <c r="AP317" s="9"/>
      <c r="AQ317" s="9"/>
      <c r="AR317" s="9"/>
    </row>
    <row r="318">
      <c r="A318" s="585"/>
      <c r="B318" s="585"/>
      <c r="C318" s="585"/>
      <c r="D318" s="585"/>
      <c r="E318" s="585"/>
      <c r="F318" s="585"/>
      <c r="G318" s="585"/>
      <c r="H318" s="585"/>
      <c r="I318" s="585"/>
      <c r="J318" s="585"/>
      <c r="K318" s="585"/>
      <c r="L318" s="585"/>
      <c r="M318" s="585"/>
      <c r="N318" s="585"/>
      <c r="O318" s="585"/>
      <c r="P318" s="585"/>
      <c r="Q318" s="585"/>
      <c r="R318" s="585"/>
      <c r="S318" s="585"/>
      <c r="T318" s="585"/>
      <c r="U318" s="585"/>
      <c r="V318" s="224"/>
      <c r="W318" s="224"/>
      <c r="X318" s="224"/>
      <c r="Y318" s="224"/>
      <c r="Z318" s="868"/>
      <c r="AA318" s="865"/>
      <c r="AB318" s="2"/>
      <c r="AC318" s="2"/>
      <c r="AD318" s="2"/>
      <c r="AE318" s="2"/>
      <c r="AF318" s="2"/>
      <c r="AG318" s="2"/>
      <c r="AH318" s="2"/>
      <c r="AI318" s="2"/>
      <c r="AJ318" s="2"/>
      <c r="AK318" s="2"/>
      <c r="AL318" s="2"/>
      <c r="AM318" s="2"/>
      <c r="AN318" s="2"/>
      <c r="AO318" s="9"/>
      <c r="AP318" s="9"/>
      <c r="AQ318" s="9"/>
      <c r="AR318" s="9"/>
    </row>
    <row r="319">
      <c r="A319" s="585"/>
      <c r="B319" s="585"/>
      <c r="C319" s="585"/>
      <c r="D319" s="585"/>
      <c r="E319" s="585"/>
      <c r="F319" s="585"/>
      <c r="G319" s="585"/>
      <c r="H319" s="585"/>
      <c r="I319" s="585"/>
      <c r="J319" s="585"/>
      <c r="K319" s="585"/>
      <c r="L319" s="585"/>
      <c r="M319" s="585"/>
      <c r="N319" s="585"/>
      <c r="O319" s="585"/>
      <c r="P319" s="585"/>
      <c r="Q319" s="585"/>
      <c r="R319" s="585"/>
      <c r="S319" s="585"/>
      <c r="T319" s="585"/>
      <c r="U319" s="585"/>
      <c r="V319" s="224"/>
      <c r="W319" s="224"/>
      <c r="X319" s="224"/>
      <c r="Y319" s="224"/>
      <c r="Z319" s="868"/>
      <c r="AA319" s="865"/>
      <c r="AB319" s="2"/>
      <c r="AC319" s="2"/>
      <c r="AD319" s="2"/>
      <c r="AE319" s="2"/>
      <c r="AF319" s="2"/>
      <c r="AG319" s="2"/>
      <c r="AH319" s="2"/>
      <c r="AI319" s="2"/>
      <c r="AJ319" s="2"/>
      <c r="AK319" s="2"/>
      <c r="AL319" s="2"/>
      <c r="AM319" s="2"/>
      <c r="AN319" s="2"/>
      <c r="AO319" s="9"/>
      <c r="AP319" s="9"/>
      <c r="AQ319" s="9"/>
      <c r="AR319" s="9"/>
    </row>
    <row r="320">
      <c r="A320" s="585"/>
      <c r="B320" s="585"/>
      <c r="C320" s="585"/>
      <c r="D320" s="585"/>
      <c r="E320" s="585"/>
      <c r="F320" s="585"/>
      <c r="G320" s="585"/>
      <c r="H320" s="585"/>
      <c r="I320" s="585"/>
      <c r="J320" s="585"/>
      <c r="K320" s="585"/>
      <c r="L320" s="585"/>
      <c r="M320" s="585"/>
      <c r="N320" s="585"/>
      <c r="O320" s="585"/>
      <c r="P320" s="585"/>
      <c r="Q320" s="585"/>
      <c r="R320" s="585"/>
      <c r="S320" s="585"/>
      <c r="T320" s="585"/>
      <c r="U320" s="585"/>
      <c r="V320" s="224"/>
      <c r="W320" s="224"/>
      <c r="X320" s="224"/>
      <c r="Y320" s="224"/>
      <c r="Z320" s="868"/>
      <c r="AA320" s="865"/>
      <c r="AB320" s="2"/>
      <c r="AC320" s="2"/>
      <c r="AD320" s="2"/>
      <c r="AE320" s="2"/>
      <c r="AF320" s="2"/>
      <c r="AG320" s="2"/>
      <c r="AH320" s="2"/>
      <c r="AI320" s="2"/>
      <c r="AJ320" s="2"/>
      <c r="AK320" s="2"/>
      <c r="AL320" s="2"/>
      <c r="AM320" s="2"/>
      <c r="AN320" s="2"/>
      <c r="AO320" s="9"/>
      <c r="AP320" s="9"/>
      <c r="AQ320" s="9"/>
      <c r="AR320" s="9"/>
    </row>
    <row r="321">
      <c r="A321" s="585"/>
      <c r="B321" s="585"/>
      <c r="C321" s="585"/>
      <c r="D321" s="585"/>
      <c r="E321" s="585"/>
      <c r="F321" s="585"/>
      <c r="G321" s="585"/>
      <c r="H321" s="585"/>
      <c r="I321" s="585"/>
      <c r="J321" s="585"/>
      <c r="K321" s="585"/>
      <c r="L321" s="585"/>
      <c r="M321" s="585"/>
      <c r="N321" s="585"/>
      <c r="O321" s="585"/>
      <c r="P321" s="585"/>
      <c r="Q321" s="585"/>
      <c r="R321" s="585"/>
      <c r="S321" s="585"/>
      <c r="T321" s="585"/>
      <c r="U321" s="585"/>
      <c r="V321" s="224"/>
      <c r="W321" s="224"/>
      <c r="X321" s="224"/>
      <c r="Y321" s="224"/>
      <c r="Z321" s="868"/>
      <c r="AA321" s="865"/>
      <c r="AB321" s="2"/>
      <c r="AC321" s="2"/>
      <c r="AD321" s="2"/>
      <c r="AE321" s="2"/>
      <c r="AF321" s="2"/>
      <c r="AG321" s="2"/>
      <c r="AH321" s="2"/>
      <c r="AI321" s="2"/>
      <c r="AJ321" s="2"/>
      <c r="AK321" s="2"/>
      <c r="AL321" s="2"/>
      <c r="AM321" s="2"/>
      <c r="AN321" s="2"/>
      <c r="AO321" s="9"/>
      <c r="AP321" s="9"/>
      <c r="AQ321" s="9"/>
      <c r="AR321" s="9"/>
    </row>
    <row r="322">
      <c r="A322" s="585"/>
      <c r="B322" s="585"/>
      <c r="C322" s="585"/>
      <c r="D322" s="585"/>
      <c r="E322" s="585"/>
      <c r="F322" s="585"/>
      <c r="G322" s="585"/>
      <c r="H322" s="585"/>
      <c r="I322" s="585"/>
      <c r="J322" s="585"/>
      <c r="K322" s="585"/>
      <c r="L322" s="585"/>
      <c r="M322" s="585"/>
      <c r="N322" s="585"/>
      <c r="O322" s="585"/>
      <c r="P322" s="585"/>
      <c r="Q322" s="585"/>
      <c r="R322" s="585"/>
      <c r="S322" s="585"/>
      <c r="T322" s="585"/>
      <c r="U322" s="585"/>
      <c r="V322" s="224"/>
      <c r="W322" s="224"/>
      <c r="X322" s="224"/>
      <c r="Y322" s="224"/>
      <c r="Z322" s="868"/>
      <c r="AA322" s="865"/>
      <c r="AB322" s="2"/>
      <c r="AC322" s="2"/>
      <c r="AD322" s="2"/>
      <c r="AE322" s="2"/>
      <c r="AF322" s="2"/>
      <c r="AG322" s="2"/>
      <c r="AH322" s="2"/>
      <c r="AI322" s="2"/>
      <c r="AJ322" s="2"/>
      <c r="AK322" s="2"/>
      <c r="AL322" s="2"/>
      <c r="AM322" s="2"/>
      <c r="AN322" s="2"/>
      <c r="AO322" s="9"/>
      <c r="AP322" s="9"/>
      <c r="AQ322" s="9"/>
      <c r="AR322" s="9"/>
    </row>
    <row r="323">
      <c r="A323" s="585"/>
      <c r="B323" s="585"/>
      <c r="C323" s="585"/>
      <c r="D323" s="585"/>
      <c r="E323" s="585"/>
      <c r="F323" s="585"/>
      <c r="G323" s="585"/>
      <c r="H323" s="585"/>
      <c r="I323" s="585"/>
      <c r="J323" s="585"/>
      <c r="K323" s="585"/>
      <c r="L323" s="585"/>
      <c r="M323" s="585"/>
      <c r="N323" s="585"/>
      <c r="O323" s="585"/>
      <c r="P323" s="585"/>
      <c r="Q323" s="585"/>
      <c r="R323" s="585"/>
      <c r="S323" s="585"/>
      <c r="T323" s="585"/>
      <c r="U323" s="585"/>
      <c r="V323" s="224"/>
      <c r="W323" s="224"/>
      <c r="X323" s="224"/>
      <c r="Y323" s="224"/>
      <c r="Z323" s="868"/>
      <c r="AA323" s="865"/>
      <c r="AB323" s="2"/>
      <c r="AC323" s="2"/>
      <c r="AD323" s="2"/>
      <c r="AE323" s="2"/>
      <c r="AF323" s="2"/>
      <c r="AG323" s="2"/>
      <c r="AH323" s="2"/>
      <c r="AI323" s="2"/>
      <c r="AJ323" s="2"/>
      <c r="AK323" s="2"/>
      <c r="AL323" s="2"/>
      <c r="AM323" s="2"/>
      <c r="AN323" s="2"/>
      <c r="AO323" s="9"/>
      <c r="AP323" s="9"/>
      <c r="AQ323" s="9"/>
      <c r="AR323" s="9"/>
    </row>
    <row r="324">
      <c r="A324" s="585"/>
      <c r="B324" s="585"/>
      <c r="C324" s="585"/>
      <c r="D324" s="585"/>
      <c r="E324" s="585"/>
      <c r="F324" s="585"/>
      <c r="G324" s="585"/>
      <c r="H324" s="585"/>
      <c r="I324" s="585"/>
      <c r="J324" s="585"/>
      <c r="K324" s="585"/>
      <c r="L324" s="585"/>
      <c r="M324" s="585"/>
      <c r="N324" s="585"/>
      <c r="O324" s="585"/>
      <c r="P324" s="585"/>
      <c r="Q324" s="585"/>
      <c r="R324" s="585"/>
      <c r="S324" s="585"/>
      <c r="T324" s="585"/>
      <c r="U324" s="585"/>
      <c r="V324" s="224"/>
      <c r="W324" s="224"/>
      <c r="X324" s="224"/>
      <c r="Y324" s="224"/>
      <c r="Z324" s="868"/>
      <c r="AA324" s="865"/>
      <c r="AB324" s="2"/>
      <c r="AC324" s="2"/>
      <c r="AD324" s="2"/>
      <c r="AE324" s="2"/>
      <c r="AF324" s="2"/>
      <c r="AG324" s="2"/>
      <c r="AH324" s="2"/>
      <c r="AI324" s="2"/>
      <c r="AJ324" s="2"/>
      <c r="AK324" s="2"/>
      <c r="AL324" s="2"/>
      <c r="AM324" s="2"/>
      <c r="AN324" s="2"/>
      <c r="AO324" s="9"/>
      <c r="AP324" s="9"/>
      <c r="AQ324" s="9"/>
      <c r="AR324" s="9"/>
    </row>
    <row r="325">
      <c r="A325" s="585"/>
      <c r="B325" s="585"/>
      <c r="C325" s="585"/>
      <c r="D325" s="585"/>
      <c r="E325" s="585"/>
      <c r="F325" s="585"/>
      <c r="G325" s="585"/>
      <c r="H325" s="585"/>
      <c r="I325" s="585"/>
      <c r="J325" s="585"/>
      <c r="K325" s="585"/>
      <c r="L325" s="585"/>
      <c r="M325" s="585"/>
      <c r="N325" s="585"/>
      <c r="O325" s="585"/>
      <c r="P325" s="585"/>
      <c r="Q325" s="585"/>
      <c r="R325" s="585"/>
      <c r="S325" s="585"/>
      <c r="T325" s="585"/>
      <c r="U325" s="585"/>
      <c r="V325" s="224"/>
      <c r="W325" s="224"/>
      <c r="X325" s="224"/>
      <c r="Y325" s="224"/>
      <c r="Z325" s="868"/>
      <c r="AA325" s="865"/>
      <c r="AB325" s="2"/>
      <c r="AC325" s="2"/>
      <c r="AD325" s="2"/>
      <c r="AE325" s="2"/>
      <c r="AF325" s="2"/>
      <c r="AG325" s="2"/>
      <c r="AH325" s="2"/>
      <c r="AI325" s="2"/>
      <c r="AJ325" s="2"/>
      <c r="AK325" s="2"/>
      <c r="AL325" s="2"/>
      <c r="AM325" s="2"/>
      <c r="AN325" s="2"/>
      <c r="AO325" s="9"/>
      <c r="AP325" s="9"/>
      <c r="AQ325" s="9"/>
      <c r="AR325" s="9"/>
    </row>
    <row r="326">
      <c r="A326" s="585"/>
      <c r="B326" s="585"/>
      <c r="C326" s="585"/>
      <c r="D326" s="585"/>
      <c r="E326" s="585"/>
      <c r="F326" s="585"/>
      <c r="G326" s="585"/>
      <c r="H326" s="585"/>
      <c r="I326" s="585"/>
      <c r="J326" s="585"/>
      <c r="K326" s="585"/>
      <c r="L326" s="585"/>
      <c r="M326" s="585"/>
      <c r="N326" s="585"/>
      <c r="O326" s="585"/>
      <c r="P326" s="585"/>
      <c r="Q326" s="585"/>
      <c r="R326" s="585"/>
      <c r="S326" s="585"/>
      <c r="T326" s="585"/>
      <c r="U326" s="585"/>
      <c r="V326" s="224"/>
      <c r="W326" s="224"/>
      <c r="X326" s="224"/>
      <c r="Y326" s="224"/>
      <c r="Z326" s="868"/>
      <c r="AA326" s="865"/>
      <c r="AB326" s="2"/>
      <c r="AC326" s="2"/>
      <c r="AD326" s="2"/>
      <c r="AE326" s="2"/>
      <c r="AF326" s="2"/>
      <c r="AG326" s="2"/>
      <c r="AH326" s="2"/>
      <c r="AI326" s="2"/>
      <c r="AJ326" s="2"/>
      <c r="AK326" s="2"/>
      <c r="AL326" s="2"/>
      <c r="AM326" s="2"/>
      <c r="AN326" s="2"/>
      <c r="AO326" s="9"/>
      <c r="AP326" s="9"/>
      <c r="AQ326" s="9"/>
      <c r="AR326" s="9"/>
    </row>
    <row r="327">
      <c r="A327" s="585"/>
      <c r="B327" s="585"/>
      <c r="C327" s="585"/>
      <c r="D327" s="585"/>
      <c r="E327" s="585"/>
      <c r="F327" s="585"/>
      <c r="G327" s="585"/>
      <c r="H327" s="585"/>
      <c r="I327" s="585"/>
      <c r="J327" s="585"/>
      <c r="K327" s="585"/>
      <c r="L327" s="585"/>
      <c r="M327" s="585"/>
      <c r="N327" s="585"/>
      <c r="O327" s="585"/>
      <c r="P327" s="585"/>
      <c r="Q327" s="585"/>
      <c r="R327" s="585"/>
      <c r="S327" s="585"/>
      <c r="T327" s="585"/>
      <c r="U327" s="585"/>
      <c r="V327" s="224"/>
      <c r="W327" s="224"/>
      <c r="X327" s="224"/>
      <c r="Y327" s="224"/>
      <c r="Z327" s="868"/>
      <c r="AA327" s="865"/>
      <c r="AB327" s="2"/>
      <c r="AC327" s="2"/>
      <c r="AD327" s="2"/>
      <c r="AE327" s="2"/>
      <c r="AF327" s="2"/>
      <c r="AG327" s="2"/>
      <c r="AH327" s="2"/>
      <c r="AI327" s="2"/>
      <c r="AJ327" s="2"/>
      <c r="AK327" s="2"/>
      <c r="AL327" s="2"/>
      <c r="AM327" s="2"/>
      <c r="AN327" s="2"/>
      <c r="AO327" s="9"/>
      <c r="AP327" s="9"/>
      <c r="AQ327" s="9"/>
      <c r="AR327" s="9"/>
    </row>
    <row r="328">
      <c r="A328" s="585"/>
      <c r="B328" s="585"/>
      <c r="C328" s="585"/>
      <c r="D328" s="585"/>
      <c r="E328" s="585"/>
      <c r="F328" s="585"/>
      <c r="G328" s="585"/>
      <c r="H328" s="585"/>
      <c r="I328" s="585"/>
      <c r="J328" s="585"/>
      <c r="K328" s="585"/>
      <c r="L328" s="585"/>
      <c r="M328" s="585"/>
      <c r="N328" s="585"/>
      <c r="O328" s="585"/>
      <c r="P328" s="585"/>
      <c r="Q328" s="585"/>
      <c r="R328" s="585"/>
      <c r="S328" s="585"/>
      <c r="T328" s="585"/>
      <c r="U328" s="585"/>
      <c r="V328" s="224"/>
      <c r="W328" s="224"/>
      <c r="X328" s="224"/>
      <c r="Y328" s="224"/>
      <c r="Z328" s="868"/>
      <c r="AA328" s="865"/>
      <c r="AB328" s="2"/>
      <c r="AC328" s="2"/>
      <c r="AD328" s="2"/>
      <c r="AE328" s="2"/>
      <c r="AF328" s="2"/>
      <c r="AG328" s="2"/>
      <c r="AH328" s="2"/>
      <c r="AI328" s="2"/>
      <c r="AJ328" s="2"/>
      <c r="AK328" s="2"/>
      <c r="AL328" s="2"/>
      <c r="AM328" s="2"/>
      <c r="AN328" s="2"/>
      <c r="AO328" s="9"/>
      <c r="AP328" s="9"/>
      <c r="AQ328" s="9"/>
      <c r="AR328" s="9"/>
    </row>
    <row r="329">
      <c r="A329" s="585"/>
      <c r="B329" s="585"/>
      <c r="C329" s="585"/>
      <c r="D329" s="585"/>
      <c r="E329" s="585"/>
      <c r="F329" s="585"/>
      <c r="G329" s="585"/>
      <c r="H329" s="585"/>
      <c r="I329" s="585"/>
      <c r="J329" s="585"/>
      <c r="K329" s="585"/>
      <c r="L329" s="585"/>
      <c r="M329" s="585"/>
      <c r="N329" s="585"/>
      <c r="O329" s="585"/>
      <c r="P329" s="585"/>
      <c r="Q329" s="585"/>
      <c r="R329" s="585"/>
      <c r="S329" s="585"/>
      <c r="T329" s="585"/>
      <c r="U329" s="585"/>
      <c r="V329" s="224"/>
      <c r="W329" s="224"/>
      <c r="X329" s="224"/>
      <c r="Y329" s="224"/>
      <c r="Z329" s="868"/>
      <c r="AA329" s="865"/>
      <c r="AB329" s="2"/>
      <c r="AC329" s="2"/>
      <c r="AD329" s="2"/>
      <c r="AE329" s="2"/>
      <c r="AF329" s="2"/>
      <c r="AG329" s="2"/>
      <c r="AH329" s="2"/>
      <c r="AI329" s="2"/>
      <c r="AJ329" s="2"/>
      <c r="AK329" s="2"/>
      <c r="AL329" s="2"/>
      <c r="AM329" s="2"/>
      <c r="AN329" s="2"/>
      <c r="AO329" s="9"/>
      <c r="AP329" s="9"/>
      <c r="AQ329" s="9"/>
      <c r="AR329" s="9"/>
    </row>
    <row r="330">
      <c r="A330" s="585"/>
      <c r="B330" s="585"/>
      <c r="C330" s="585"/>
      <c r="D330" s="585"/>
      <c r="E330" s="585"/>
      <c r="F330" s="585"/>
      <c r="G330" s="585"/>
      <c r="H330" s="585"/>
      <c r="I330" s="585"/>
      <c r="J330" s="585"/>
      <c r="K330" s="585"/>
      <c r="L330" s="585"/>
      <c r="M330" s="585"/>
      <c r="N330" s="585"/>
      <c r="O330" s="585"/>
      <c r="P330" s="585"/>
      <c r="Q330" s="585"/>
      <c r="R330" s="585"/>
      <c r="S330" s="585"/>
      <c r="T330" s="585"/>
      <c r="U330" s="585"/>
      <c r="V330" s="224"/>
      <c r="W330" s="224"/>
      <c r="X330" s="224"/>
      <c r="Y330" s="224"/>
      <c r="Z330" s="868"/>
      <c r="AA330" s="865"/>
      <c r="AB330" s="2"/>
      <c r="AC330" s="2"/>
      <c r="AD330" s="2"/>
      <c r="AE330" s="2"/>
      <c r="AF330" s="2"/>
      <c r="AG330" s="2"/>
      <c r="AH330" s="2"/>
      <c r="AI330" s="2"/>
      <c r="AJ330" s="2"/>
      <c r="AK330" s="2"/>
      <c r="AL330" s="2"/>
      <c r="AM330" s="2"/>
      <c r="AN330" s="2"/>
      <c r="AO330" s="9"/>
      <c r="AP330" s="9"/>
      <c r="AQ330" s="9"/>
      <c r="AR330" s="9"/>
    </row>
    <row r="331">
      <c r="A331" s="585"/>
      <c r="B331" s="585"/>
      <c r="C331" s="585"/>
      <c r="D331" s="585"/>
      <c r="E331" s="585"/>
      <c r="F331" s="585"/>
      <c r="G331" s="585"/>
      <c r="H331" s="585"/>
      <c r="I331" s="585"/>
      <c r="J331" s="585"/>
      <c r="K331" s="585"/>
      <c r="L331" s="585"/>
      <c r="M331" s="585"/>
      <c r="N331" s="585"/>
      <c r="O331" s="585"/>
      <c r="P331" s="585"/>
      <c r="Q331" s="585"/>
      <c r="R331" s="585"/>
      <c r="S331" s="585"/>
      <c r="T331" s="585"/>
      <c r="U331" s="585"/>
      <c r="V331" s="224"/>
      <c r="W331" s="224"/>
      <c r="X331" s="224"/>
      <c r="Y331" s="224"/>
      <c r="Z331" s="868"/>
      <c r="AA331" s="865"/>
      <c r="AB331" s="2"/>
      <c r="AC331" s="2"/>
      <c r="AD331" s="2"/>
      <c r="AE331" s="2"/>
      <c r="AF331" s="2"/>
      <c r="AG331" s="2"/>
      <c r="AH331" s="2"/>
      <c r="AI331" s="2"/>
      <c r="AJ331" s="2"/>
      <c r="AK331" s="2"/>
      <c r="AL331" s="2"/>
      <c r="AM331" s="2"/>
      <c r="AN331" s="2"/>
      <c r="AO331" s="9"/>
      <c r="AP331" s="9"/>
      <c r="AQ331" s="9"/>
      <c r="AR331" s="9"/>
    </row>
    <row r="332">
      <c r="A332" s="585"/>
      <c r="B332" s="585"/>
      <c r="C332" s="585"/>
      <c r="D332" s="585"/>
      <c r="E332" s="585"/>
      <c r="F332" s="585"/>
      <c r="G332" s="585"/>
      <c r="H332" s="585"/>
      <c r="I332" s="585"/>
      <c r="J332" s="585"/>
      <c r="K332" s="585"/>
      <c r="L332" s="585"/>
      <c r="M332" s="585"/>
      <c r="N332" s="585"/>
      <c r="O332" s="585"/>
      <c r="P332" s="585"/>
      <c r="Q332" s="585"/>
      <c r="R332" s="585"/>
      <c r="S332" s="585"/>
      <c r="T332" s="585"/>
      <c r="U332" s="585"/>
      <c r="V332" s="224"/>
      <c r="W332" s="224"/>
      <c r="X332" s="224"/>
      <c r="Y332" s="224"/>
      <c r="Z332" s="868"/>
      <c r="AA332" s="865"/>
      <c r="AB332" s="2"/>
      <c r="AC332" s="2"/>
      <c r="AD332" s="2"/>
      <c r="AE332" s="2"/>
      <c r="AF332" s="2"/>
      <c r="AG332" s="2"/>
      <c r="AH332" s="2"/>
      <c r="AI332" s="2"/>
      <c r="AJ332" s="2"/>
      <c r="AK332" s="2"/>
      <c r="AL332" s="2"/>
      <c r="AM332" s="2"/>
      <c r="AN332" s="2"/>
      <c r="AO332" s="9"/>
      <c r="AP332" s="9"/>
      <c r="AQ332" s="9"/>
      <c r="AR332" s="9"/>
    </row>
    <row r="333">
      <c r="A333" s="585"/>
      <c r="B333" s="585"/>
      <c r="C333" s="585"/>
      <c r="D333" s="585"/>
      <c r="E333" s="585"/>
      <c r="F333" s="585"/>
      <c r="G333" s="585"/>
      <c r="H333" s="585"/>
      <c r="I333" s="585"/>
      <c r="J333" s="585"/>
      <c r="K333" s="585"/>
      <c r="L333" s="585"/>
      <c r="M333" s="585"/>
      <c r="N333" s="585"/>
      <c r="O333" s="585"/>
      <c r="P333" s="585"/>
      <c r="Q333" s="585"/>
      <c r="R333" s="585"/>
      <c r="S333" s="585"/>
      <c r="T333" s="585"/>
      <c r="U333" s="585"/>
      <c r="V333" s="224"/>
      <c r="W333" s="224"/>
      <c r="X333" s="224"/>
      <c r="Y333" s="224"/>
      <c r="Z333" s="868"/>
      <c r="AA333" s="865"/>
      <c r="AB333" s="2"/>
      <c r="AC333" s="2"/>
      <c r="AD333" s="2"/>
      <c r="AE333" s="2"/>
      <c r="AF333" s="2"/>
      <c r="AG333" s="2"/>
      <c r="AH333" s="2"/>
      <c r="AI333" s="2"/>
      <c r="AJ333" s="2"/>
      <c r="AK333" s="2"/>
      <c r="AL333" s="2"/>
      <c r="AM333" s="2"/>
      <c r="AN333" s="2"/>
      <c r="AO333" s="9"/>
      <c r="AP333" s="9"/>
      <c r="AQ333" s="9"/>
      <c r="AR333" s="9"/>
    </row>
    <row r="334">
      <c r="A334" s="585"/>
      <c r="B334" s="585"/>
      <c r="C334" s="585"/>
      <c r="D334" s="585"/>
      <c r="E334" s="585"/>
      <c r="F334" s="585"/>
      <c r="G334" s="585"/>
      <c r="H334" s="585"/>
      <c r="I334" s="585"/>
      <c r="J334" s="585"/>
      <c r="K334" s="585"/>
      <c r="L334" s="585"/>
      <c r="M334" s="585"/>
      <c r="N334" s="585"/>
      <c r="O334" s="585"/>
      <c r="P334" s="585"/>
      <c r="Q334" s="585"/>
      <c r="R334" s="585"/>
      <c r="S334" s="585"/>
      <c r="T334" s="585"/>
      <c r="U334" s="585"/>
      <c r="V334" s="224"/>
      <c r="W334" s="224"/>
      <c r="X334" s="224"/>
      <c r="Y334" s="224"/>
      <c r="Z334" s="868"/>
      <c r="AA334" s="865"/>
      <c r="AB334" s="2"/>
      <c r="AC334" s="2"/>
      <c r="AD334" s="2"/>
      <c r="AE334" s="2"/>
      <c r="AF334" s="2"/>
      <c r="AG334" s="2"/>
      <c r="AH334" s="2"/>
      <c r="AI334" s="2"/>
      <c r="AJ334" s="2"/>
      <c r="AK334" s="2"/>
      <c r="AL334" s="2"/>
      <c r="AM334" s="2"/>
      <c r="AN334" s="2"/>
      <c r="AO334" s="9"/>
      <c r="AP334" s="9"/>
      <c r="AQ334" s="9"/>
      <c r="AR334" s="9"/>
    </row>
    <row r="335">
      <c r="A335" s="585"/>
      <c r="B335" s="585"/>
      <c r="C335" s="585"/>
      <c r="D335" s="585"/>
      <c r="E335" s="585"/>
      <c r="F335" s="585"/>
      <c r="G335" s="585"/>
      <c r="H335" s="585"/>
      <c r="I335" s="585"/>
      <c r="J335" s="585"/>
      <c r="K335" s="585"/>
      <c r="L335" s="585"/>
      <c r="M335" s="585"/>
      <c r="N335" s="585"/>
      <c r="O335" s="585"/>
      <c r="P335" s="585"/>
      <c r="Q335" s="585"/>
      <c r="R335" s="585"/>
      <c r="S335" s="585"/>
      <c r="T335" s="585"/>
      <c r="U335" s="585"/>
      <c r="V335" s="224"/>
      <c r="W335" s="224"/>
      <c r="X335" s="224"/>
      <c r="Y335" s="224"/>
      <c r="Z335" s="868"/>
      <c r="AA335" s="865"/>
      <c r="AB335" s="2"/>
      <c r="AC335" s="2"/>
      <c r="AD335" s="2"/>
      <c r="AE335" s="2"/>
      <c r="AF335" s="2"/>
      <c r="AG335" s="2"/>
      <c r="AH335" s="2"/>
      <c r="AI335" s="2"/>
      <c r="AJ335" s="2"/>
      <c r="AK335" s="2"/>
      <c r="AL335" s="2"/>
      <c r="AM335" s="2"/>
      <c r="AN335" s="2"/>
      <c r="AO335" s="9"/>
      <c r="AP335" s="9"/>
      <c r="AQ335" s="9"/>
      <c r="AR335" s="9"/>
    </row>
    <row r="336">
      <c r="A336" s="585"/>
      <c r="B336" s="585"/>
      <c r="C336" s="585"/>
      <c r="D336" s="585"/>
      <c r="E336" s="585"/>
      <c r="F336" s="585"/>
      <c r="G336" s="585"/>
      <c r="H336" s="585"/>
      <c r="I336" s="585"/>
      <c r="J336" s="585"/>
      <c r="K336" s="585"/>
      <c r="L336" s="585"/>
      <c r="M336" s="585"/>
      <c r="N336" s="585"/>
      <c r="O336" s="585"/>
      <c r="P336" s="585"/>
      <c r="Q336" s="585"/>
      <c r="R336" s="585"/>
      <c r="S336" s="585"/>
      <c r="T336" s="585"/>
      <c r="U336" s="585"/>
      <c r="V336" s="224"/>
      <c r="W336" s="224"/>
      <c r="X336" s="224"/>
      <c r="Y336" s="224"/>
      <c r="Z336" s="868"/>
      <c r="AA336" s="865"/>
      <c r="AB336" s="2"/>
      <c r="AC336" s="2"/>
      <c r="AD336" s="2"/>
      <c r="AE336" s="2"/>
      <c r="AF336" s="2"/>
      <c r="AG336" s="2"/>
      <c r="AH336" s="2"/>
      <c r="AI336" s="2"/>
      <c r="AJ336" s="2"/>
      <c r="AK336" s="2"/>
      <c r="AL336" s="2"/>
      <c r="AM336" s="2"/>
      <c r="AN336" s="2"/>
      <c r="AO336" s="9"/>
      <c r="AP336" s="9"/>
      <c r="AQ336" s="9"/>
      <c r="AR336" s="9"/>
    </row>
    <row r="337">
      <c r="A337" s="585"/>
      <c r="B337" s="585"/>
      <c r="C337" s="585"/>
      <c r="D337" s="585"/>
      <c r="E337" s="585"/>
      <c r="F337" s="585"/>
      <c r="G337" s="585"/>
      <c r="H337" s="585"/>
      <c r="I337" s="585"/>
      <c r="J337" s="585"/>
      <c r="K337" s="585"/>
      <c r="L337" s="585"/>
      <c r="M337" s="585"/>
      <c r="N337" s="585"/>
      <c r="O337" s="585"/>
      <c r="P337" s="585"/>
      <c r="Q337" s="585"/>
      <c r="R337" s="585"/>
      <c r="S337" s="585"/>
      <c r="T337" s="585"/>
      <c r="U337" s="585"/>
      <c r="V337" s="224"/>
      <c r="W337" s="224"/>
      <c r="X337" s="224"/>
      <c r="Y337" s="224"/>
      <c r="Z337" s="868"/>
      <c r="AA337" s="865"/>
      <c r="AB337" s="2"/>
      <c r="AC337" s="2"/>
      <c r="AD337" s="2"/>
      <c r="AE337" s="2"/>
      <c r="AF337" s="2"/>
      <c r="AG337" s="2"/>
      <c r="AH337" s="2"/>
      <c r="AI337" s="2"/>
      <c r="AJ337" s="2"/>
      <c r="AK337" s="2"/>
      <c r="AL337" s="2"/>
      <c r="AM337" s="2"/>
      <c r="AN337" s="2"/>
      <c r="AO337" s="9"/>
      <c r="AP337" s="9"/>
      <c r="AQ337" s="9"/>
      <c r="AR337" s="9"/>
    </row>
    <row r="338">
      <c r="A338" s="585"/>
      <c r="B338" s="585"/>
      <c r="C338" s="585"/>
      <c r="D338" s="585"/>
      <c r="E338" s="585"/>
      <c r="F338" s="585"/>
      <c r="G338" s="585"/>
      <c r="H338" s="585"/>
      <c r="I338" s="585"/>
      <c r="J338" s="585"/>
      <c r="K338" s="585"/>
      <c r="L338" s="585"/>
      <c r="M338" s="585"/>
      <c r="N338" s="585"/>
      <c r="O338" s="585"/>
      <c r="P338" s="585"/>
      <c r="Q338" s="585"/>
      <c r="R338" s="585"/>
      <c r="S338" s="585"/>
      <c r="T338" s="585"/>
      <c r="U338" s="585"/>
      <c r="V338" s="224"/>
      <c r="W338" s="224"/>
      <c r="X338" s="224"/>
      <c r="Y338" s="224"/>
      <c r="Z338" s="868"/>
      <c r="AA338" s="865"/>
      <c r="AB338" s="2"/>
      <c r="AC338" s="2"/>
      <c r="AD338" s="2"/>
      <c r="AE338" s="2"/>
      <c r="AF338" s="2"/>
      <c r="AG338" s="2"/>
      <c r="AH338" s="2"/>
      <c r="AI338" s="2"/>
      <c r="AJ338" s="2"/>
      <c r="AK338" s="2"/>
      <c r="AL338" s="2"/>
      <c r="AM338" s="2"/>
      <c r="AN338" s="2"/>
      <c r="AO338" s="9"/>
      <c r="AP338" s="9"/>
      <c r="AQ338" s="9"/>
      <c r="AR338" s="9"/>
    </row>
    <row r="339">
      <c r="A339" s="585"/>
      <c r="B339" s="585"/>
      <c r="C339" s="585"/>
      <c r="D339" s="585"/>
      <c r="E339" s="585"/>
      <c r="F339" s="585"/>
      <c r="G339" s="585"/>
      <c r="H339" s="585"/>
      <c r="I339" s="585"/>
      <c r="J339" s="585"/>
      <c r="K339" s="585"/>
      <c r="L339" s="585"/>
      <c r="M339" s="585"/>
      <c r="N339" s="585"/>
      <c r="O339" s="585"/>
      <c r="P339" s="585"/>
      <c r="Q339" s="585"/>
      <c r="R339" s="585"/>
      <c r="S339" s="585"/>
      <c r="T339" s="585"/>
      <c r="U339" s="585"/>
      <c r="V339" s="224"/>
      <c r="W339" s="224"/>
      <c r="X339" s="224"/>
      <c r="Y339" s="224"/>
      <c r="Z339" s="868"/>
      <c r="AA339" s="865"/>
      <c r="AB339" s="2"/>
      <c r="AC339" s="2"/>
      <c r="AD339" s="2"/>
      <c r="AE339" s="2"/>
      <c r="AF339" s="2"/>
      <c r="AG339" s="2"/>
      <c r="AH339" s="2"/>
      <c r="AI339" s="2"/>
      <c r="AJ339" s="2"/>
      <c r="AK339" s="2"/>
      <c r="AL339" s="2"/>
      <c r="AM339" s="2"/>
      <c r="AN339" s="2"/>
      <c r="AO339" s="9"/>
      <c r="AP339" s="9"/>
      <c r="AQ339" s="9"/>
      <c r="AR339" s="9"/>
    </row>
    <row r="340">
      <c r="A340" s="585"/>
      <c r="B340" s="585"/>
      <c r="C340" s="585"/>
      <c r="D340" s="585"/>
      <c r="E340" s="585"/>
      <c r="F340" s="585"/>
      <c r="G340" s="585"/>
      <c r="H340" s="585"/>
      <c r="I340" s="585"/>
      <c r="J340" s="585"/>
      <c r="K340" s="585"/>
      <c r="L340" s="585"/>
      <c r="M340" s="585"/>
      <c r="N340" s="585"/>
      <c r="O340" s="585"/>
      <c r="P340" s="585"/>
      <c r="Q340" s="585"/>
      <c r="R340" s="585"/>
      <c r="S340" s="585"/>
      <c r="T340" s="585"/>
      <c r="U340" s="585"/>
      <c r="V340" s="224"/>
      <c r="W340" s="224"/>
      <c r="X340" s="224"/>
      <c r="Y340" s="224"/>
      <c r="Z340" s="868"/>
      <c r="AA340" s="865"/>
      <c r="AB340" s="2"/>
      <c r="AC340" s="2"/>
      <c r="AD340" s="2"/>
      <c r="AE340" s="2"/>
      <c r="AF340" s="2"/>
      <c r="AG340" s="2"/>
      <c r="AH340" s="2"/>
      <c r="AI340" s="2"/>
      <c r="AJ340" s="2"/>
      <c r="AK340" s="2"/>
      <c r="AL340" s="2"/>
      <c r="AM340" s="2"/>
      <c r="AN340" s="2"/>
      <c r="AO340" s="9"/>
      <c r="AP340" s="9"/>
      <c r="AQ340" s="9"/>
      <c r="AR340" s="9"/>
    </row>
    <row r="341">
      <c r="A341" s="585"/>
      <c r="B341" s="585"/>
      <c r="C341" s="585"/>
      <c r="D341" s="585"/>
      <c r="E341" s="585"/>
      <c r="F341" s="585"/>
      <c r="G341" s="585"/>
      <c r="H341" s="585"/>
      <c r="I341" s="585"/>
      <c r="J341" s="585"/>
      <c r="K341" s="585"/>
      <c r="L341" s="585"/>
      <c r="M341" s="585"/>
      <c r="N341" s="585"/>
      <c r="O341" s="585"/>
      <c r="P341" s="585"/>
      <c r="Q341" s="585"/>
      <c r="R341" s="585"/>
      <c r="S341" s="585"/>
      <c r="T341" s="585"/>
      <c r="U341" s="585"/>
      <c r="V341" s="224"/>
      <c r="W341" s="224"/>
      <c r="X341" s="224"/>
      <c r="Y341" s="224"/>
      <c r="Z341" s="868"/>
      <c r="AA341" s="865"/>
      <c r="AB341" s="2"/>
      <c r="AC341" s="2"/>
      <c r="AD341" s="2"/>
      <c r="AE341" s="2"/>
      <c r="AF341" s="2"/>
      <c r="AG341" s="2"/>
      <c r="AH341" s="2"/>
      <c r="AI341" s="2"/>
      <c r="AJ341" s="2"/>
      <c r="AK341" s="2"/>
      <c r="AL341" s="2"/>
      <c r="AM341" s="2"/>
      <c r="AN341" s="2"/>
      <c r="AO341" s="9"/>
      <c r="AP341" s="9"/>
      <c r="AQ341" s="9"/>
      <c r="AR341" s="9"/>
    </row>
    <row r="342">
      <c r="A342" s="585"/>
      <c r="B342" s="585"/>
      <c r="C342" s="585"/>
      <c r="D342" s="585"/>
      <c r="E342" s="585"/>
      <c r="F342" s="585"/>
      <c r="G342" s="585"/>
      <c r="H342" s="585"/>
      <c r="I342" s="585"/>
      <c r="J342" s="585"/>
      <c r="K342" s="585"/>
      <c r="L342" s="585"/>
      <c r="M342" s="585"/>
      <c r="N342" s="585"/>
      <c r="O342" s="585"/>
      <c r="P342" s="585"/>
      <c r="Q342" s="585"/>
      <c r="R342" s="585"/>
      <c r="S342" s="585"/>
      <c r="T342" s="585"/>
      <c r="U342" s="585"/>
      <c r="V342" s="224"/>
      <c r="W342" s="224"/>
      <c r="X342" s="224"/>
      <c r="Y342" s="224"/>
      <c r="Z342" s="868"/>
      <c r="AA342" s="865"/>
      <c r="AB342" s="2"/>
      <c r="AC342" s="2"/>
      <c r="AD342" s="2"/>
      <c r="AE342" s="2"/>
      <c r="AF342" s="2"/>
      <c r="AG342" s="2"/>
      <c r="AH342" s="2"/>
      <c r="AI342" s="2"/>
      <c r="AJ342" s="2"/>
      <c r="AK342" s="2"/>
      <c r="AL342" s="2"/>
      <c r="AM342" s="2"/>
      <c r="AN342" s="2"/>
      <c r="AO342" s="9"/>
      <c r="AP342" s="9"/>
      <c r="AQ342" s="9"/>
      <c r="AR342" s="9"/>
    </row>
    <row r="343">
      <c r="A343" s="585"/>
      <c r="B343" s="585"/>
      <c r="C343" s="585"/>
      <c r="D343" s="585"/>
      <c r="E343" s="585"/>
      <c r="F343" s="585"/>
      <c r="G343" s="585"/>
      <c r="H343" s="585"/>
      <c r="I343" s="585"/>
      <c r="J343" s="585"/>
      <c r="K343" s="585"/>
      <c r="L343" s="585"/>
      <c r="M343" s="585"/>
      <c r="N343" s="585"/>
      <c r="O343" s="585"/>
      <c r="P343" s="585"/>
      <c r="Q343" s="585"/>
      <c r="R343" s="585"/>
      <c r="S343" s="585"/>
      <c r="T343" s="585"/>
      <c r="U343" s="585"/>
      <c r="V343" s="224"/>
      <c r="W343" s="224"/>
      <c r="X343" s="224"/>
      <c r="Y343" s="224"/>
      <c r="Z343" s="868"/>
      <c r="AA343" s="865"/>
      <c r="AB343" s="2"/>
      <c r="AC343" s="2"/>
      <c r="AD343" s="2"/>
      <c r="AE343" s="2"/>
      <c r="AF343" s="2"/>
      <c r="AG343" s="2"/>
      <c r="AH343" s="2"/>
      <c r="AI343" s="2"/>
      <c r="AJ343" s="2"/>
      <c r="AK343" s="2"/>
      <c r="AL343" s="2"/>
      <c r="AM343" s="2"/>
      <c r="AN343" s="2"/>
      <c r="AO343" s="9"/>
      <c r="AP343" s="9"/>
      <c r="AQ343" s="9"/>
      <c r="AR343" s="9"/>
    </row>
    <row r="344">
      <c r="A344" s="585"/>
      <c r="B344" s="585"/>
      <c r="C344" s="585"/>
      <c r="D344" s="585"/>
      <c r="E344" s="585"/>
      <c r="F344" s="585"/>
      <c r="G344" s="585"/>
      <c r="H344" s="585"/>
      <c r="I344" s="585"/>
      <c r="J344" s="585"/>
      <c r="K344" s="585"/>
      <c r="L344" s="585"/>
      <c r="M344" s="585"/>
      <c r="N344" s="585"/>
      <c r="O344" s="585"/>
      <c r="P344" s="585"/>
      <c r="Q344" s="585"/>
      <c r="R344" s="585"/>
      <c r="S344" s="585"/>
      <c r="T344" s="585"/>
      <c r="U344" s="585"/>
      <c r="V344" s="224"/>
      <c r="W344" s="224"/>
      <c r="X344" s="224"/>
      <c r="Y344" s="224"/>
      <c r="Z344" s="868"/>
      <c r="AA344" s="865"/>
      <c r="AB344" s="2"/>
      <c r="AC344" s="2"/>
      <c r="AD344" s="2"/>
      <c r="AE344" s="2"/>
      <c r="AF344" s="2"/>
      <c r="AG344" s="2"/>
      <c r="AH344" s="2"/>
      <c r="AI344" s="2"/>
      <c r="AJ344" s="2"/>
      <c r="AK344" s="2"/>
      <c r="AL344" s="2"/>
      <c r="AM344" s="2"/>
      <c r="AN344" s="2"/>
      <c r="AO344" s="9"/>
      <c r="AP344" s="9"/>
      <c r="AQ344" s="9"/>
      <c r="AR344" s="9"/>
    </row>
    <row r="345">
      <c r="A345" s="585"/>
      <c r="B345" s="585"/>
      <c r="C345" s="585"/>
      <c r="D345" s="585"/>
      <c r="E345" s="585"/>
      <c r="F345" s="585"/>
      <c r="G345" s="585"/>
      <c r="H345" s="585"/>
      <c r="I345" s="585"/>
      <c r="J345" s="585"/>
      <c r="K345" s="585"/>
      <c r="L345" s="585"/>
      <c r="M345" s="585"/>
      <c r="N345" s="585"/>
      <c r="O345" s="585"/>
      <c r="P345" s="585"/>
      <c r="Q345" s="585"/>
      <c r="R345" s="585"/>
      <c r="S345" s="585"/>
      <c r="T345" s="585"/>
      <c r="U345" s="585"/>
      <c r="V345" s="224"/>
      <c r="W345" s="224"/>
      <c r="X345" s="224"/>
      <c r="Y345" s="224"/>
      <c r="Z345" s="868"/>
      <c r="AA345" s="865"/>
      <c r="AB345" s="2"/>
      <c r="AC345" s="2"/>
      <c r="AD345" s="2"/>
      <c r="AE345" s="2"/>
      <c r="AF345" s="2"/>
      <c r="AG345" s="2"/>
      <c r="AH345" s="2"/>
      <c r="AI345" s="2"/>
      <c r="AJ345" s="2"/>
      <c r="AK345" s="2"/>
      <c r="AL345" s="2"/>
      <c r="AM345" s="2"/>
      <c r="AN345" s="2"/>
      <c r="AO345" s="9"/>
      <c r="AP345" s="9"/>
      <c r="AQ345" s="9"/>
      <c r="AR345" s="9"/>
    </row>
    <row r="346">
      <c r="A346" s="585"/>
      <c r="B346" s="585"/>
      <c r="C346" s="585"/>
      <c r="D346" s="585"/>
      <c r="E346" s="585"/>
      <c r="F346" s="585"/>
      <c r="G346" s="585"/>
      <c r="H346" s="585"/>
      <c r="I346" s="585"/>
      <c r="J346" s="585"/>
      <c r="K346" s="585"/>
      <c r="L346" s="585"/>
      <c r="M346" s="585"/>
      <c r="N346" s="585"/>
      <c r="O346" s="585"/>
      <c r="P346" s="585"/>
      <c r="Q346" s="585"/>
      <c r="R346" s="585"/>
      <c r="S346" s="585"/>
      <c r="T346" s="585"/>
      <c r="U346" s="585"/>
      <c r="V346" s="224"/>
      <c r="W346" s="224"/>
      <c r="X346" s="224"/>
      <c r="Y346" s="224"/>
      <c r="Z346" s="868"/>
      <c r="AA346" s="865"/>
      <c r="AB346" s="2"/>
      <c r="AC346" s="2"/>
      <c r="AD346" s="2"/>
      <c r="AE346" s="2"/>
      <c r="AF346" s="2"/>
      <c r="AG346" s="2"/>
      <c r="AH346" s="2"/>
      <c r="AI346" s="2"/>
      <c r="AJ346" s="2"/>
      <c r="AK346" s="2"/>
      <c r="AL346" s="2"/>
      <c r="AM346" s="2"/>
      <c r="AN346" s="2"/>
      <c r="AO346" s="9"/>
      <c r="AP346" s="9"/>
      <c r="AQ346" s="9"/>
      <c r="AR346" s="9"/>
    </row>
    <row r="347">
      <c r="A347" s="585"/>
      <c r="B347" s="585"/>
      <c r="C347" s="585"/>
      <c r="D347" s="585"/>
      <c r="E347" s="585"/>
      <c r="F347" s="585"/>
      <c r="G347" s="585"/>
      <c r="H347" s="585"/>
      <c r="I347" s="585"/>
      <c r="J347" s="585"/>
      <c r="K347" s="585"/>
      <c r="L347" s="585"/>
      <c r="M347" s="585"/>
      <c r="N347" s="585"/>
      <c r="O347" s="585"/>
      <c r="P347" s="585"/>
      <c r="Q347" s="585"/>
      <c r="R347" s="585"/>
      <c r="S347" s="585"/>
      <c r="T347" s="585"/>
      <c r="U347" s="585"/>
      <c r="V347" s="224"/>
      <c r="W347" s="224"/>
      <c r="X347" s="224"/>
      <c r="Y347" s="224"/>
      <c r="Z347" s="868"/>
      <c r="AA347" s="865"/>
      <c r="AB347" s="2"/>
      <c r="AC347" s="2"/>
      <c r="AD347" s="2"/>
      <c r="AE347" s="2"/>
      <c r="AF347" s="2"/>
      <c r="AG347" s="2"/>
      <c r="AH347" s="2"/>
      <c r="AI347" s="2"/>
      <c r="AJ347" s="2"/>
      <c r="AK347" s="2"/>
      <c r="AL347" s="2"/>
      <c r="AM347" s="2"/>
      <c r="AN347" s="2"/>
      <c r="AO347" s="9"/>
      <c r="AP347" s="9"/>
      <c r="AQ347" s="9"/>
      <c r="AR347" s="9"/>
    </row>
    <row r="348">
      <c r="A348" s="585"/>
      <c r="B348" s="585"/>
      <c r="C348" s="585"/>
      <c r="D348" s="585"/>
      <c r="E348" s="585"/>
      <c r="F348" s="585"/>
      <c r="G348" s="585"/>
      <c r="H348" s="585"/>
      <c r="I348" s="585"/>
      <c r="J348" s="585"/>
      <c r="K348" s="585"/>
      <c r="L348" s="585"/>
      <c r="M348" s="585"/>
      <c r="N348" s="585"/>
      <c r="O348" s="585"/>
      <c r="P348" s="585"/>
      <c r="Q348" s="585"/>
      <c r="R348" s="585"/>
      <c r="S348" s="585"/>
      <c r="T348" s="585"/>
      <c r="U348" s="585"/>
      <c r="V348" s="224"/>
      <c r="W348" s="224"/>
      <c r="X348" s="224"/>
      <c r="Y348" s="224"/>
      <c r="Z348" s="868"/>
      <c r="AA348" s="865"/>
      <c r="AB348" s="2"/>
      <c r="AC348" s="2"/>
      <c r="AD348" s="2"/>
      <c r="AE348" s="2"/>
      <c r="AF348" s="2"/>
      <c r="AG348" s="2"/>
      <c r="AH348" s="2"/>
      <c r="AI348" s="2"/>
      <c r="AJ348" s="2"/>
      <c r="AK348" s="2"/>
      <c r="AL348" s="2"/>
      <c r="AM348" s="2"/>
      <c r="AN348" s="2"/>
      <c r="AO348" s="9"/>
      <c r="AP348" s="9"/>
      <c r="AQ348" s="9"/>
      <c r="AR348" s="9"/>
    </row>
    <row r="349">
      <c r="A349" s="585"/>
      <c r="B349" s="585"/>
      <c r="C349" s="585"/>
      <c r="D349" s="585"/>
      <c r="E349" s="585"/>
      <c r="F349" s="585"/>
      <c r="G349" s="585"/>
      <c r="H349" s="585"/>
      <c r="I349" s="585"/>
      <c r="J349" s="585"/>
      <c r="K349" s="585"/>
      <c r="L349" s="585"/>
      <c r="M349" s="585"/>
      <c r="N349" s="585"/>
      <c r="O349" s="585"/>
      <c r="P349" s="585"/>
      <c r="Q349" s="585"/>
      <c r="R349" s="585"/>
      <c r="S349" s="585"/>
      <c r="T349" s="585"/>
      <c r="U349" s="585"/>
      <c r="V349" s="224"/>
      <c r="W349" s="224"/>
      <c r="X349" s="224"/>
      <c r="Y349" s="224"/>
      <c r="Z349" s="868"/>
      <c r="AA349" s="865"/>
      <c r="AB349" s="2"/>
      <c r="AC349" s="2"/>
      <c r="AD349" s="2"/>
      <c r="AE349" s="2"/>
      <c r="AF349" s="2"/>
      <c r="AG349" s="2"/>
      <c r="AH349" s="2"/>
      <c r="AI349" s="2"/>
      <c r="AJ349" s="2"/>
      <c r="AK349" s="2"/>
      <c r="AL349" s="2"/>
      <c r="AM349" s="2"/>
      <c r="AN349" s="2"/>
      <c r="AO349" s="9"/>
      <c r="AP349" s="9"/>
      <c r="AQ349" s="9"/>
      <c r="AR349" s="9"/>
    </row>
    <row r="350">
      <c r="A350" s="585"/>
      <c r="B350" s="585"/>
      <c r="C350" s="585"/>
      <c r="D350" s="585"/>
      <c r="E350" s="585"/>
      <c r="F350" s="585"/>
      <c r="G350" s="585"/>
      <c r="H350" s="585"/>
      <c r="I350" s="585"/>
      <c r="J350" s="585"/>
      <c r="K350" s="585"/>
      <c r="L350" s="585"/>
      <c r="M350" s="585"/>
      <c r="N350" s="585"/>
      <c r="O350" s="585"/>
      <c r="P350" s="585"/>
      <c r="Q350" s="585"/>
      <c r="R350" s="585"/>
      <c r="S350" s="585"/>
      <c r="T350" s="585"/>
      <c r="U350" s="585"/>
      <c r="V350" s="224"/>
      <c r="W350" s="224"/>
      <c r="X350" s="224"/>
      <c r="Y350" s="224"/>
      <c r="Z350" s="868"/>
      <c r="AA350" s="865"/>
      <c r="AB350" s="2"/>
      <c r="AC350" s="2"/>
      <c r="AD350" s="2"/>
      <c r="AE350" s="2"/>
      <c r="AF350" s="2"/>
      <c r="AG350" s="2"/>
      <c r="AH350" s="2"/>
      <c r="AI350" s="2"/>
      <c r="AJ350" s="2"/>
      <c r="AK350" s="2"/>
      <c r="AL350" s="2"/>
      <c r="AM350" s="2"/>
      <c r="AN350" s="2"/>
      <c r="AO350" s="9"/>
      <c r="AP350" s="9"/>
      <c r="AQ350" s="9"/>
      <c r="AR350" s="9"/>
    </row>
    <row r="351">
      <c r="A351" s="585"/>
      <c r="B351" s="585"/>
      <c r="C351" s="585"/>
      <c r="D351" s="585"/>
      <c r="E351" s="585"/>
      <c r="F351" s="585"/>
      <c r="G351" s="585"/>
      <c r="H351" s="585"/>
      <c r="I351" s="585"/>
      <c r="J351" s="585"/>
      <c r="K351" s="585"/>
      <c r="L351" s="585"/>
      <c r="M351" s="585"/>
      <c r="N351" s="585"/>
      <c r="O351" s="585"/>
      <c r="P351" s="585"/>
      <c r="Q351" s="585"/>
      <c r="R351" s="585"/>
      <c r="S351" s="585"/>
      <c r="T351" s="585"/>
      <c r="U351" s="585"/>
      <c r="V351" s="224"/>
      <c r="W351" s="224"/>
      <c r="X351" s="224"/>
      <c r="Y351" s="224"/>
      <c r="Z351" s="868"/>
      <c r="AA351" s="865"/>
      <c r="AB351" s="2"/>
      <c r="AC351" s="2"/>
      <c r="AD351" s="2"/>
      <c r="AE351" s="2"/>
      <c r="AF351" s="2"/>
      <c r="AG351" s="2"/>
      <c r="AH351" s="2"/>
      <c r="AI351" s="2"/>
      <c r="AJ351" s="2"/>
      <c r="AK351" s="2"/>
      <c r="AL351" s="2"/>
      <c r="AM351" s="2"/>
      <c r="AN351" s="2"/>
      <c r="AO351" s="9"/>
      <c r="AP351" s="9"/>
      <c r="AQ351" s="9"/>
      <c r="AR351" s="9"/>
    </row>
    <row r="352">
      <c r="A352" s="585"/>
      <c r="B352" s="585"/>
      <c r="C352" s="585"/>
      <c r="D352" s="585"/>
      <c r="E352" s="585"/>
      <c r="F352" s="585"/>
      <c r="G352" s="585"/>
      <c r="H352" s="585"/>
      <c r="I352" s="585"/>
      <c r="J352" s="585"/>
      <c r="K352" s="585"/>
      <c r="L352" s="585"/>
      <c r="M352" s="585"/>
      <c r="N352" s="585"/>
      <c r="O352" s="585"/>
      <c r="P352" s="585"/>
      <c r="Q352" s="585"/>
      <c r="R352" s="585"/>
      <c r="S352" s="585"/>
      <c r="T352" s="585"/>
      <c r="U352" s="585"/>
      <c r="V352" s="224"/>
      <c r="W352" s="224"/>
      <c r="X352" s="224"/>
      <c r="Y352" s="224"/>
      <c r="Z352" s="868"/>
      <c r="AA352" s="865"/>
      <c r="AB352" s="2"/>
      <c r="AC352" s="2"/>
      <c r="AD352" s="2"/>
      <c r="AE352" s="2"/>
      <c r="AF352" s="2"/>
      <c r="AG352" s="2"/>
      <c r="AH352" s="2"/>
      <c r="AI352" s="2"/>
      <c r="AJ352" s="2"/>
      <c r="AK352" s="2"/>
      <c r="AL352" s="2"/>
      <c r="AM352" s="2"/>
      <c r="AN352" s="2"/>
      <c r="AO352" s="9"/>
      <c r="AP352" s="9"/>
      <c r="AQ352" s="9"/>
      <c r="AR352" s="9"/>
    </row>
    <row r="353">
      <c r="A353" s="585"/>
      <c r="B353" s="585"/>
      <c r="C353" s="585"/>
      <c r="D353" s="585"/>
      <c r="E353" s="585"/>
      <c r="F353" s="585"/>
      <c r="G353" s="585"/>
      <c r="H353" s="585"/>
      <c r="I353" s="585"/>
      <c r="J353" s="585"/>
      <c r="K353" s="585"/>
      <c r="L353" s="585"/>
      <c r="M353" s="585"/>
      <c r="N353" s="585"/>
      <c r="O353" s="585"/>
      <c r="P353" s="585"/>
      <c r="Q353" s="585"/>
      <c r="R353" s="585"/>
      <c r="S353" s="585"/>
      <c r="T353" s="585"/>
      <c r="U353" s="585"/>
      <c r="V353" s="224"/>
      <c r="W353" s="224"/>
      <c r="X353" s="224"/>
      <c r="Y353" s="224"/>
      <c r="Z353" s="868"/>
      <c r="AA353" s="865"/>
      <c r="AB353" s="2"/>
      <c r="AC353" s="2"/>
      <c r="AD353" s="2"/>
      <c r="AE353" s="2"/>
      <c r="AF353" s="2"/>
      <c r="AG353" s="2"/>
      <c r="AH353" s="2"/>
      <c r="AI353" s="2"/>
      <c r="AJ353" s="2"/>
      <c r="AK353" s="2"/>
      <c r="AL353" s="2"/>
      <c r="AM353" s="2"/>
      <c r="AN353" s="2"/>
      <c r="AO353" s="9"/>
      <c r="AP353" s="9"/>
      <c r="AQ353" s="9"/>
      <c r="AR353" s="9"/>
    </row>
    <row r="354">
      <c r="A354" s="585"/>
      <c r="B354" s="585"/>
      <c r="C354" s="585"/>
      <c r="D354" s="585"/>
      <c r="E354" s="585"/>
      <c r="F354" s="585"/>
      <c r="G354" s="585"/>
      <c r="H354" s="585"/>
      <c r="I354" s="585"/>
      <c r="J354" s="585"/>
      <c r="K354" s="585"/>
      <c r="L354" s="585"/>
      <c r="M354" s="585"/>
      <c r="N354" s="585"/>
      <c r="O354" s="585"/>
      <c r="P354" s="585"/>
      <c r="Q354" s="585"/>
      <c r="R354" s="585"/>
      <c r="S354" s="585"/>
      <c r="T354" s="585"/>
      <c r="U354" s="585"/>
      <c r="V354" s="224"/>
      <c r="W354" s="224"/>
      <c r="X354" s="224"/>
      <c r="Y354" s="224"/>
      <c r="Z354" s="868"/>
      <c r="AA354" s="865"/>
      <c r="AB354" s="2"/>
      <c r="AC354" s="2"/>
      <c r="AD354" s="2"/>
      <c r="AE354" s="2"/>
      <c r="AF354" s="2"/>
      <c r="AG354" s="2"/>
      <c r="AH354" s="2"/>
      <c r="AI354" s="2"/>
      <c r="AJ354" s="2"/>
      <c r="AK354" s="2"/>
      <c r="AL354" s="2"/>
      <c r="AM354" s="2"/>
      <c r="AN354" s="2"/>
      <c r="AO354" s="9"/>
      <c r="AP354" s="9"/>
      <c r="AQ354" s="9"/>
      <c r="AR354" s="9"/>
    </row>
    <row r="355">
      <c r="A355" s="585"/>
      <c r="B355" s="585"/>
      <c r="C355" s="585"/>
      <c r="D355" s="585"/>
      <c r="E355" s="585"/>
      <c r="F355" s="585"/>
      <c r="G355" s="585"/>
      <c r="H355" s="585"/>
      <c r="I355" s="585"/>
      <c r="J355" s="585"/>
      <c r="K355" s="585"/>
      <c r="L355" s="585"/>
      <c r="M355" s="585"/>
      <c r="N355" s="585"/>
      <c r="O355" s="585"/>
      <c r="P355" s="585"/>
      <c r="Q355" s="585"/>
      <c r="R355" s="585"/>
      <c r="S355" s="585"/>
      <c r="T355" s="585"/>
      <c r="U355" s="585"/>
      <c r="V355" s="224"/>
      <c r="W355" s="224"/>
      <c r="X355" s="224"/>
      <c r="Y355" s="224"/>
      <c r="Z355" s="868"/>
      <c r="AA355" s="865"/>
      <c r="AB355" s="2"/>
      <c r="AC355" s="2"/>
      <c r="AD355" s="2"/>
      <c r="AE355" s="2"/>
      <c r="AF355" s="2"/>
      <c r="AG355" s="2"/>
      <c r="AH355" s="2"/>
      <c r="AI355" s="2"/>
      <c r="AJ355" s="2"/>
      <c r="AK355" s="2"/>
      <c r="AL355" s="2"/>
      <c r="AM355" s="2"/>
      <c r="AN355" s="2"/>
      <c r="AO355" s="9"/>
      <c r="AP355" s="9"/>
      <c r="AQ355" s="9"/>
      <c r="AR355" s="9"/>
    </row>
    <row r="356">
      <c r="A356" s="585"/>
      <c r="B356" s="585"/>
      <c r="C356" s="585"/>
      <c r="D356" s="585"/>
      <c r="E356" s="585"/>
      <c r="F356" s="585"/>
      <c r="G356" s="585"/>
      <c r="H356" s="585"/>
      <c r="I356" s="585"/>
      <c r="J356" s="585"/>
      <c r="K356" s="585"/>
      <c r="L356" s="585"/>
      <c r="M356" s="585"/>
      <c r="N356" s="585"/>
      <c r="O356" s="585"/>
      <c r="P356" s="585"/>
      <c r="Q356" s="585"/>
      <c r="R356" s="585"/>
      <c r="S356" s="585"/>
      <c r="T356" s="585"/>
      <c r="U356" s="585"/>
      <c r="V356" s="224"/>
      <c r="W356" s="224"/>
      <c r="X356" s="224"/>
      <c r="Y356" s="224"/>
      <c r="Z356" s="868"/>
      <c r="AA356" s="865"/>
      <c r="AB356" s="2"/>
      <c r="AC356" s="2"/>
      <c r="AD356" s="2"/>
      <c r="AE356" s="2"/>
      <c r="AF356" s="2"/>
      <c r="AG356" s="2"/>
      <c r="AH356" s="2"/>
      <c r="AI356" s="2"/>
      <c r="AJ356" s="2"/>
      <c r="AK356" s="2"/>
      <c r="AL356" s="2"/>
      <c r="AM356" s="2"/>
      <c r="AN356" s="2"/>
      <c r="AO356" s="9"/>
      <c r="AP356" s="9"/>
      <c r="AQ356" s="9"/>
      <c r="AR356" s="9"/>
    </row>
    <row r="357">
      <c r="A357" s="585"/>
      <c r="B357" s="585"/>
      <c r="C357" s="585"/>
      <c r="D357" s="585"/>
      <c r="E357" s="585"/>
      <c r="F357" s="585"/>
      <c r="G357" s="585"/>
      <c r="H357" s="585"/>
      <c r="I357" s="585"/>
      <c r="J357" s="585"/>
      <c r="K357" s="585"/>
      <c r="L357" s="585"/>
      <c r="M357" s="585"/>
      <c r="N357" s="585"/>
      <c r="O357" s="585"/>
      <c r="P357" s="585"/>
      <c r="Q357" s="585"/>
      <c r="R357" s="585"/>
      <c r="S357" s="585"/>
      <c r="T357" s="585"/>
      <c r="U357" s="585"/>
      <c r="V357" s="224"/>
      <c r="W357" s="224"/>
      <c r="X357" s="224"/>
      <c r="Y357" s="224"/>
      <c r="Z357" s="868"/>
      <c r="AA357" s="865"/>
      <c r="AB357" s="2"/>
      <c r="AC357" s="2"/>
      <c r="AD357" s="2"/>
      <c r="AE357" s="2"/>
      <c r="AF357" s="2"/>
      <c r="AG357" s="2"/>
      <c r="AH357" s="2"/>
      <c r="AI357" s="2"/>
      <c r="AJ357" s="2"/>
      <c r="AK357" s="2"/>
      <c r="AL357" s="2"/>
      <c r="AM357" s="2"/>
      <c r="AN357" s="2"/>
      <c r="AO357" s="9"/>
      <c r="AP357" s="9"/>
      <c r="AQ357" s="9"/>
      <c r="AR357" s="9"/>
    </row>
    <row r="358">
      <c r="A358" s="585"/>
      <c r="B358" s="585"/>
      <c r="C358" s="585"/>
      <c r="D358" s="585"/>
      <c r="E358" s="585"/>
      <c r="F358" s="585"/>
      <c r="G358" s="585"/>
      <c r="H358" s="585"/>
      <c r="I358" s="585"/>
      <c r="J358" s="585"/>
      <c r="K358" s="585"/>
      <c r="L358" s="585"/>
      <c r="M358" s="585"/>
      <c r="N358" s="585"/>
      <c r="O358" s="585"/>
      <c r="P358" s="585"/>
      <c r="Q358" s="585"/>
      <c r="R358" s="585"/>
      <c r="S358" s="585"/>
      <c r="T358" s="585"/>
      <c r="U358" s="585"/>
      <c r="V358" s="224"/>
      <c r="W358" s="224"/>
      <c r="X358" s="224"/>
      <c r="Y358" s="224"/>
      <c r="Z358" s="868"/>
      <c r="AA358" s="865"/>
      <c r="AB358" s="2"/>
      <c r="AC358" s="2"/>
      <c r="AD358" s="2"/>
      <c r="AE358" s="2"/>
      <c r="AF358" s="2"/>
      <c r="AG358" s="2"/>
      <c r="AH358" s="2"/>
      <c r="AI358" s="2"/>
      <c r="AJ358" s="2"/>
      <c r="AK358" s="2"/>
      <c r="AL358" s="2"/>
      <c r="AM358" s="2"/>
      <c r="AN358" s="2"/>
      <c r="AO358" s="9"/>
      <c r="AP358" s="9"/>
      <c r="AQ358" s="9"/>
      <c r="AR358" s="9"/>
    </row>
    <row r="359">
      <c r="A359" s="585"/>
      <c r="B359" s="585"/>
      <c r="C359" s="585"/>
      <c r="D359" s="585"/>
      <c r="E359" s="585"/>
      <c r="F359" s="585"/>
      <c r="G359" s="585"/>
      <c r="H359" s="585"/>
      <c r="I359" s="585"/>
      <c r="J359" s="585"/>
      <c r="K359" s="585"/>
      <c r="L359" s="585"/>
      <c r="M359" s="585"/>
      <c r="N359" s="585"/>
      <c r="O359" s="585"/>
      <c r="P359" s="585"/>
      <c r="Q359" s="585"/>
      <c r="R359" s="585"/>
      <c r="S359" s="585"/>
      <c r="T359" s="585"/>
      <c r="U359" s="585"/>
      <c r="V359" s="224"/>
      <c r="W359" s="224"/>
      <c r="X359" s="224"/>
      <c r="Y359" s="224"/>
      <c r="Z359" s="868"/>
      <c r="AA359" s="865"/>
      <c r="AB359" s="2"/>
      <c r="AC359" s="2"/>
      <c r="AD359" s="2"/>
      <c r="AE359" s="2"/>
      <c r="AF359" s="2"/>
      <c r="AG359" s="2"/>
      <c r="AH359" s="2"/>
      <c r="AI359" s="2"/>
      <c r="AJ359" s="2"/>
      <c r="AK359" s="2"/>
      <c r="AL359" s="2"/>
      <c r="AM359" s="2"/>
      <c r="AN359" s="2"/>
      <c r="AO359" s="9"/>
      <c r="AP359" s="9"/>
      <c r="AQ359" s="9"/>
      <c r="AR359" s="9"/>
    </row>
    <row r="360">
      <c r="A360" s="585"/>
      <c r="B360" s="585"/>
      <c r="C360" s="585"/>
      <c r="D360" s="585"/>
      <c r="E360" s="585"/>
      <c r="F360" s="585"/>
      <c r="G360" s="585"/>
      <c r="H360" s="585"/>
      <c r="I360" s="585"/>
      <c r="J360" s="585"/>
      <c r="K360" s="585"/>
      <c r="L360" s="585"/>
      <c r="M360" s="585"/>
      <c r="N360" s="585"/>
      <c r="O360" s="585"/>
      <c r="P360" s="585"/>
      <c r="Q360" s="585"/>
      <c r="R360" s="585"/>
      <c r="S360" s="585"/>
      <c r="T360" s="585"/>
      <c r="U360" s="585"/>
      <c r="V360" s="224"/>
      <c r="W360" s="224"/>
      <c r="X360" s="224"/>
      <c r="Y360" s="224"/>
      <c r="Z360" s="868"/>
      <c r="AA360" s="865"/>
      <c r="AB360" s="2"/>
      <c r="AC360" s="2"/>
      <c r="AD360" s="2"/>
      <c r="AE360" s="2"/>
      <c r="AF360" s="2"/>
      <c r="AG360" s="2"/>
      <c r="AH360" s="2"/>
      <c r="AI360" s="2"/>
      <c r="AJ360" s="2"/>
      <c r="AK360" s="2"/>
      <c r="AL360" s="2"/>
      <c r="AM360" s="2"/>
      <c r="AN360" s="2"/>
      <c r="AO360" s="9"/>
      <c r="AP360" s="9"/>
      <c r="AQ360" s="9"/>
      <c r="AR360" s="9"/>
    </row>
    <row r="361">
      <c r="A361" s="585"/>
      <c r="B361" s="585"/>
      <c r="C361" s="585"/>
      <c r="D361" s="585"/>
      <c r="E361" s="585"/>
      <c r="F361" s="585"/>
      <c r="G361" s="585"/>
      <c r="H361" s="585"/>
      <c r="I361" s="585"/>
      <c r="J361" s="585"/>
      <c r="K361" s="585"/>
      <c r="L361" s="585"/>
      <c r="M361" s="585"/>
      <c r="N361" s="585"/>
      <c r="O361" s="585"/>
      <c r="P361" s="585"/>
      <c r="Q361" s="585"/>
      <c r="R361" s="585"/>
      <c r="S361" s="585"/>
      <c r="T361" s="585"/>
      <c r="U361" s="585"/>
      <c r="V361" s="224"/>
      <c r="W361" s="224"/>
      <c r="X361" s="224"/>
      <c r="Y361" s="224"/>
      <c r="Z361" s="868"/>
      <c r="AA361" s="865"/>
      <c r="AB361" s="2"/>
      <c r="AC361" s="2"/>
      <c r="AD361" s="2"/>
      <c r="AE361" s="2"/>
      <c r="AF361" s="2"/>
      <c r="AG361" s="2"/>
      <c r="AH361" s="2"/>
      <c r="AI361" s="2"/>
      <c r="AJ361" s="2"/>
      <c r="AK361" s="2"/>
      <c r="AL361" s="2"/>
      <c r="AM361" s="2"/>
      <c r="AN361" s="2"/>
      <c r="AO361" s="9"/>
      <c r="AP361" s="9"/>
      <c r="AQ361" s="9"/>
      <c r="AR361" s="9"/>
    </row>
    <row r="362">
      <c r="A362" s="585"/>
      <c r="B362" s="585"/>
      <c r="C362" s="585"/>
      <c r="D362" s="585"/>
      <c r="E362" s="585"/>
      <c r="F362" s="585"/>
      <c r="G362" s="585"/>
      <c r="H362" s="585"/>
      <c r="I362" s="585"/>
      <c r="J362" s="585"/>
      <c r="K362" s="585"/>
      <c r="L362" s="585"/>
      <c r="M362" s="585"/>
      <c r="N362" s="585"/>
      <c r="O362" s="585"/>
      <c r="P362" s="585"/>
      <c r="Q362" s="585"/>
      <c r="R362" s="585"/>
      <c r="S362" s="585"/>
      <c r="T362" s="585"/>
      <c r="U362" s="585"/>
      <c r="V362" s="224"/>
      <c r="W362" s="224"/>
      <c r="X362" s="224"/>
      <c r="Y362" s="224"/>
      <c r="Z362" s="868"/>
      <c r="AA362" s="865"/>
      <c r="AB362" s="2"/>
      <c r="AC362" s="2"/>
      <c r="AD362" s="2"/>
      <c r="AE362" s="2"/>
      <c r="AF362" s="2"/>
      <c r="AG362" s="2"/>
      <c r="AH362" s="2"/>
      <c r="AI362" s="2"/>
      <c r="AJ362" s="2"/>
      <c r="AK362" s="2"/>
      <c r="AL362" s="2"/>
      <c r="AM362" s="2"/>
      <c r="AN362" s="2"/>
      <c r="AO362" s="9"/>
      <c r="AP362" s="9"/>
      <c r="AQ362" s="9"/>
      <c r="AR362" s="9"/>
    </row>
    <row r="363">
      <c r="A363" s="585"/>
      <c r="B363" s="585"/>
      <c r="C363" s="585"/>
      <c r="D363" s="585"/>
      <c r="E363" s="585"/>
      <c r="F363" s="585"/>
      <c r="G363" s="585"/>
      <c r="H363" s="585"/>
      <c r="I363" s="585"/>
      <c r="J363" s="585"/>
      <c r="K363" s="585"/>
      <c r="L363" s="585"/>
      <c r="M363" s="585"/>
      <c r="N363" s="585"/>
      <c r="O363" s="585"/>
      <c r="P363" s="585"/>
      <c r="Q363" s="585"/>
      <c r="R363" s="585"/>
      <c r="S363" s="585"/>
      <c r="T363" s="585"/>
      <c r="U363" s="585"/>
      <c r="V363" s="224"/>
      <c r="W363" s="224"/>
      <c r="X363" s="224"/>
      <c r="Y363" s="224"/>
      <c r="Z363" s="868"/>
      <c r="AA363" s="865"/>
      <c r="AB363" s="2"/>
      <c r="AC363" s="2"/>
      <c r="AD363" s="2"/>
      <c r="AE363" s="2"/>
      <c r="AF363" s="2"/>
      <c r="AG363" s="2"/>
      <c r="AH363" s="2"/>
      <c r="AI363" s="2"/>
      <c r="AJ363" s="2"/>
      <c r="AK363" s="2"/>
      <c r="AL363" s="2"/>
      <c r="AM363" s="2"/>
      <c r="AN363" s="2"/>
      <c r="AO363" s="9"/>
      <c r="AP363" s="9"/>
      <c r="AQ363" s="9"/>
      <c r="AR363" s="9"/>
    </row>
    <row r="364">
      <c r="A364" s="585"/>
      <c r="B364" s="585"/>
      <c r="C364" s="585"/>
      <c r="D364" s="585"/>
      <c r="E364" s="585"/>
      <c r="F364" s="585"/>
      <c r="G364" s="585"/>
      <c r="H364" s="585"/>
      <c r="I364" s="585"/>
      <c r="J364" s="585"/>
      <c r="K364" s="585"/>
      <c r="L364" s="585"/>
      <c r="M364" s="585"/>
      <c r="N364" s="585"/>
      <c r="O364" s="585"/>
      <c r="P364" s="585"/>
      <c r="Q364" s="585"/>
      <c r="R364" s="585"/>
      <c r="S364" s="585"/>
      <c r="T364" s="585"/>
      <c r="U364" s="585"/>
      <c r="V364" s="224"/>
      <c r="W364" s="224"/>
      <c r="X364" s="224"/>
      <c r="Y364" s="224"/>
      <c r="Z364" s="868"/>
      <c r="AA364" s="865"/>
      <c r="AB364" s="2"/>
      <c r="AC364" s="2"/>
      <c r="AD364" s="2"/>
      <c r="AE364" s="2"/>
      <c r="AF364" s="2"/>
      <c r="AG364" s="2"/>
      <c r="AH364" s="2"/>
      <c r="AI364" s="2"/>
      <c r="AJ364" s="2"/>
      <c r="AK364" s="2"/>
      <c r="AL364" s="2"/>
      <c r="AM364" s="2"/>
      <c r="AN364" s="2"/>
      <c r="AO364" s="9"/>
      <c r="AP364" s="9"/>
      <c r="AQ364" s="9"/>
      <c r="AR364" s="9"/>
    </row>
    <row r="365">
      <c r="A365" s="585"/>
      <c r="B365" s="585"/>
      <c r="C365" s="585"/>
      <c r="D365" s="585"/>
      <c r="E365" s="585"/>
      <c r="F365" s="585"/>
      <c r="G365" s="585"/>
      <c r="H365" s="585"/>
      <c r="I365" s="585"/>
      <c r="J365" s="585"/>
      <c r="K365" s="585"/>
      <c r="L365" s="585"/>
      <c r="M365" s="585"/>
      <c r="N365" s="585"/>
      <c r="O365" s="585"/>
      <c r="P365" s="585"/>
      <c r="Q365" s="585"/>
      <c r="R365" s="585"/>
      <c r="S365" s="585"/>
      <c r="T365" s="585"/>
      <c r="U365" s="585"/>
      <c r="V365" s="224"/>
      <c r="W365" s="224"/>
      <c r="X365" s="224"/>
      <c r="Y365" s="224"/>
      <c r="Z365" s="868"/>
      <c r="AA365" s="865"/>
      <c r="AB365" s="2"/>
      <c r="AC365" s="2"/>
      <c r="AD365" s="2"/>
      <c r="AE365" s="2"/>
      <c r="AF365" s="2"/>
      <c r="AG365" s="2"/>
      <c r="AH365" s="2"/>
      <c r="AI365" s="2"/>
      <c r="AJ365" s="2"/>
      <c r="AK365" s="2"/>
      <c r="AL365" s="2"/>
      <c r="AM365" s="2"/>
      <c r="AN365" s="2"/>
      <c r="AO365" s="9"/>
      <c r="AP365" s="9"/>
      <c r="AQ365" s="9"/>
      <c r="AR365" s="9"/>
    </row>
    <row r="366">
      <c r="A366" s="585"/>
      <c r="B366" s="585"/>
      <c r="C366" s="585"/>
      <c r="D366" s="585"/>
      <c r="E366" s="585"/>
      <c r="F366" s="585"/>
      <c r="G366" s="585"/>
      <c r="H366" s="585"/>
      <c r="I366" s="585"/>
      <c r="J366" s="585"/>
      <c r="K366" s="585"/>
      <c r="L366" s="585"/>
      <c r="M366" s="585"/>
      <c r="N366" s="585"/>
      <c r="O366" s="585"/>
      <c r="P366" s="585"/>
      <c r="Q366" s="585"/>
      <c r="R366" s="585"/>
      <c r="S366" s="585"/>
      <c r="T366" s="585"/>
      <c r="U366" s="585"/>
      <c r="V366" s="224"/>
      <c r="W366" s="224"/>
      <c r="X366" s="224"/>
      <c r="Y366" s="224"/>
      <c r="Z366" s="868"/>
      <c r="AA366" s="865"/>
      <c r="AB366" s="2"/>
      <c r="AC366" s="2"/>
      <c r="AD366" s="2"/>
      <c r="AE366" s="2"/>
      <c r="AF366" s="2"/>
      <c r="AG366" s="2"/>
      <c r="AH366" s="2"/>
      <c r="AI366" s="2"/>
      <c r="AJ366" s="2"/>
      <c r="AK366" s="2"/>
      <c r="AL366" s="2"/>
      <c r="AM366" s="2"/>
      <c r="AN366" s="2"/>
      <c r="AO366" s="9"/>
      <c r="AP366" s="9"/>
      <c r="AQ366" s="9"/>
      <c r="AR366" s="9"/>
    </row>
    <row r="367">
      <c r="A367" s="585"/>
      <c r="B367" s="585"/>
      <c r="C367" s="585"/>
      <c r="D367" s="585"/>
      <c r="E367" s="585"/>
      <c r="F367" s="585"/>
      <c r="G367" s="585"/>
      <c r="H367" s="585"/>
      <c r="I367" s="585"/>
      <c r="J367" s="585"/>
      <c r="K367" s="585"/>
      <c r="L367" s="585"/>
      <c r="M367" s="585"/>
      <c r="N367" s="585"/>
      <c r="O367" s="585"/>
      <c r="P367" s="585"/>
      <c r="Q367" s="585"/>
      <c r="R367" s="585"/>
      <c r="S367" s="585"/>
      <c r="T367" s="585"/>
      <c r="U367" s="585"/>
      <c r="V367" s="224"/>
      <c r="W367" s="224"/>
      <c r="X367" s="224"/>
      <c r="Y367" s="224"/>
      <c r="Z367" s="868"/>
      <c r="AA367" s="865"/>
      <c r="AB367" s="2"/>
      <c r="AC367" s="2"/>
      <c r="AD367" s="2"/>
      <c r="AE367" s="2"/>
      <c r="AF367" s="2"/>
      <c r="AG367" s="2"/>
      <c r="AH367" s="2"/>
      <c r="AI367" s="2"/>
      <c r="AJ367" s="2"/>
      <c r="AK367" s="2"/>
      <c r="AL367" s="2"/>
      <c r="AM367" s="2"/>
      <c r="AN367" s="2"/>
      <c r="AO367" s="9"/>
      <c r="AP367" s="9"/>
      <c r="AQ367" s="9"/>
      <c r="AR367" s="9"/>
    </row>
    <row r="368">
      <c r="A368" s="585"/>
      <c r="B368" s="585"/>
      <c r="C368" s="585"/>
      <c r="D368" s="585"/>
      <c r="E368" s="585"/>
      <c r="F368" s="585"/>
      <c r="G368" s="585"/>
      <c r="H368" s="585"/>
      <c r="I368" s="585"/>
      <c r="J368" s="585"/>
      <c r="K368" s="585"/>
      <c r="L368" s="585"/>
      <c r="M368" s="585"/>
      <c r="N368" s="585"/>
      <c r="O368" s="585"/>
      <c r="P368" s="585"/>
      <c r="Q368" s="585"/>
      <c r="R368" s="585"/>
      <c r="S368" s="585"/>
      <c r="T368" s="585"/>
      <c r="U368" s="585"/>
      <c r="V368" s="224"/>
      <c r="W368" s="224"/>
      <c r="X368" s="224"/>
      <c r="Y368" s="224"/>
      <c r="Z368" s="868"/>
      <c r="AA368" s="865"/>
      <c r="AB368" s="2"/>
      <c r="AC368" s="2"/>
      <c r="AD368" s="2"/>
      <c r="AE368" s="2"/>
      <c r="AF368" s="2"/>
      <c r="AG368" s="2"/>
      <c r="AH368" s="2"/>
      <c r="AI368" s="2"/>
      <c r="AJ368" s="2"/>
      <c r="AK368" s="2"/>
      <c r="AL368" s="2"/>
      <c r="AM368" s="2"/>
      <c r="AN368" s="2"/>
      <c r="AO368" s="9"/>
      <c r="AP368" s="9"/>
      <c r="AQ368" s="9"/>
      <c r="AR368" s="9"/>
    </row>
    <row r="369">
      <c r="A369" s="585"/>
      <c r="B369" s="585"/>
      <c r="C369" s="585"/>
      <c r="D369" s="585"/>
      <c r="E369" s="585"/>
      <c r="F369" s="585"/>
      <c r="G369" s="585"/>
      <c r="H369" s="585"/>
      <c r="I369" s="585"/>
      <c r="J369" s="585"/>
      <c r="K369" s="585"/>
      <c r="L369" s="585"/>
      <c r="M369" s="585"/>
      <c r="N369" s="585"/>
      <c r="O369" s="585"/>
      <c r="P369" s="585"/>
      <c r="Q369" s="585"/>
      <c r="R369" s="585"/>
      <c r="S369" s="585"/>
      <c r="T369" s="585"/>
      <c r="U369" s="585"/>
      <c r="V369" s="224"/>
      <c r="W369" s="224"/>
      <c r="X369" s="224"/>
      <c r="Y369" s="224"/>
      <c r="Z369" s="868"/>
      <c r="AA369" s="865"/>
      <c r="AB369" s="2"/>
      <c r="AC369" s="2"/>
      <c r="AD369" s="2"/>
      <c r="AE369" s="2"/>
      <c r="AF369" s="2"/>
      <c r="AG369" s="2"/>
      <c r="AH369" s="2"/>
      <c r="AI369" s="2"/>
      <c r="AJ369" s="2"/>
      <c r="AK369" s="2"/>
      <c r="AL369" s="2"/>
      <c r="AM369" s="2"/>
      <c r="AN369" s="2"/>
      <c r="AO369" s="9"/>
      <c r="AP369" s="9"/>
      <c r="AQ369" s="9"/>
      <c r="AR369" s="9"/>
    </row>
    <row r="370">
      <c r="A370" s="585"/>
      <c r="B370" s="585"/>
      <c r="C370" s="585"/>
      <c r="D370" s="585"/>
      <c r="E370" s="585"/>
      <c r="F370" s="585"/>
      <c r="G370" s="585"/>
      <c r="H370" s="585"/>
      <c r="I370" s="585"/>
      <c r="J370" s="585"/>
      <c r="K370" s="585"/>
      <c r="L370" s="585"/>
      <c r="M370" s="585"/>
      <c r="N370" s="585"/>
      <c r="O370" s="585"/>
      <c r="P370" s="585"/>
      <c r="Q370" s="585"/>
      <c r="R370" s="585"/>
      <c r="S370" s="585"/>
      <c r="T370" s="585"/>
      <c r="U370" s="585"/>
      <c r="V370" s="224"/>
      <c r="W370" s="224"/>
      <c r="X370" s="224"/>
      <c r="Y370" s="224"/>
      <c r="Z370" s="868"/>
      <c r="AA370" s="865"/>
      <c r="AB370" s="2"/>
      <c r="AC370" s="2"/>
      <c r="AD370" s="2"/>
      <c r="AE370" s="2"/>
      <c r="AF370" s="2"/>
      <c r="AG370" s="2"/>
      <c r="AH370" s="2"/>
      <c r="AI370" s="2"/>
      <c r="AJ370" s="2"/>
      <c r="AK370" s="2"/>
      <c r="AL370" s="2"/>
      <c r="AM370" s="2"/>
      <c r="AN370" s="2"/>
      <c r="AO370" s="9"/>
      <c r="AP370" s="9"/>
      <c r="AQ370" s="9"/>
      <c r="AR370" s="9"/>
    </row>
    <row r="371">
      <c r="A371" s="585"/>
      <c r="B371" s="585"/>
      <c r="C371" s="585"/>
      <c r="D371" s="585"/>
      <c r="E371" s="585"/>
      <c r="F371" s="585"/>
      <c r="G371" s="585"/>
      <c r="H371" s="585"/>
      <c r="I371" s="585"/>
      <c r="J371" s="585"/>
      <c r="K371" s="585"/>
      <c r="L371" s="585"/>
      <c r="M371" s="585"/>
      <c r="N371" s="585"/>
      <c r="O371" s="585"/>
      <c r="P371" s="585"/>
      <c r="Q371" s="585"/>
      <c r="R371" s="585"/>
      <c r="S371" s="585"/>
      <c r="T371" s="585"/>
      <c r="U371" s="585"/>
      <c r="V371" s="224"/>
      <c r="W371" s="224"/>
      <c r="X371" s="224"/>
      <c r="Y371" s="224"/>
      <c r="Z371" s="868"/>
      <c r="AA371" s="865"/>
      <c r="AB371" s="2"/>
      <c r="AC371" s="2"/>
      <c r="AD371" s="2"/>
      <c r="AE371" s="2"/>
      <c r="AF371" s="2"/>
      <c r="AG371" s="2"/>
      <c r="AH371" s="2"/>
      <c r="AI371" s="2"/>
      <c r="AJ371" s="2"/>
      <c r="AK371" s="2"/>
      <c r="AL371" s="2"/>
      <c r="AM371" s="2"/>
      <c r="AN371" s="2"/>
      <c r="AO371" s="9"/>
      <c r="AP371" s="9"/>
      <c r="AQ371" s="9"/>
      <c r="AR371" s="9"/>
    </row>
    <row r="372">
      <c r="A372" s="585"/>
      <c r="B372" s="585"/>
      <c r="C372" s="585"/>
      <c r="D372" s="585"/>
      <c r="E372" s="585"/>
      <c r="F372" s="585"/>
      <c r="G372" s="585"/>
      <c r="H372" s="585"/>
      <c r="I372" s="585"/>
      <c r="J372" s="585"/>
      <c r="K372" s="585"/>
      <c r="L372" s="585"/>
      <c r="M372" s="585"/>
      <c r="N372" s="585"/>
      <c r="O372" s="585"/>
      <c r="P372" s="585"/>
      <c r="Q372" s="585"/>
      <c r="R372" s="585"/>
      <c r="S372" s="585"/>
      <c r="T372" s="585"/>
      <c r="U372" s="585"/>
      <c r="V372" s="224"/>
      <c r="W372" s="224"/>
      <c r="X372" s="224"/>
      <c r="Y372" s="224"/>
      <c r="Z372" s="868"/>
      <c r="AA372" s="865"/>
      <c r="AB372" s="2"/>
      <c r="AC372" s="2"/>
      <c r="AD372" s="2"/>
      <c r="AE372" s="2"/>
      <c r="AF372" s="2"/>
      <c r="AG372" s="2"/>
      <c r="AH372" s="2"/>
      <c r="AI372" s="2"/>
      <c r="AJ372" s="2"/>
      <c r="AK372" s="2"/>
      <c r="AL372" s="2"/>
      <c r="AM372" s="2"/>
      <c r="AN372" s="2"/>
      <c r="AO372" s="9"/>
      <c r="AP372" s="9"/>
      <c r="AQ372" s="9"/>
      <c r="AR372" s="9"/>
    </row>
    <row r="373">
      <c r="A373" s="585"/>
      <c r="B373" s="585"/>
      <c r="C373" s="585"/>
      <c r="D373" s="585"/>
      <c r="E373" s="585"/>
      <c r="F373" s="585"/>
      <c r="G373" s="585"/>
      <c r="H373" s="585"/>
      <c r="I373" s="585"/>
      <c r="J373" s="585"/>
      <c r="K373" s="585"/>
      <c r="L373" s="585"/>
      <c r="M373" s="585"/>
      <c r="N373" s="585"/>
      <c r="O373" s="585"/>
      <c r="P373" s="585"/>
      <c r="Q373" s="585"/>
      <c r="R373" s="585"/>
      <c r="S373" s="585"/>
      <c r="T373" s="585"/>
      <c r="U373" s="585"/>
      <c r="V373" s="224"/>
      <c r="W373" s="224"/>
      <c r="X373" s="224"/>
      <c r="Y373" s="224"/>
      <c r="Z373" s="868"/>
      <c r="AA373" s="865"/>
      <c r="AB373" s="2"/>
      <c r="AC373" s="2"/>
      <c r="AD373" s="2"/>
      <c r="AE373" s="2"/>
      <c r="AF373" s="2"/>
      <c r="AG373" s="2"/>
      <c r="AH373" s="2"/>
      <c r="AI373" s="2"/>
      <c r="AJ373" s="2"/>
      <c r="AK373" s="2"/>
      <c r="AL373" s="2"/>
      <c r="AM373" s="2"/>
      <c r="AN373" s="2"/>
      <c r="AO373" s="9"/>
      <c r="AP373" s="9"/>
      <c r="AQ373" s="9"/>
      <c r="AR373" s="9"/>
    </row>
    <row r="374">
      <c r="A374" s="585"/>
      <c r="B374" s="585"/>
      <c r="C374" s="585"/>
      <c r="D374" s="585"/>
      <c r="E374" s="585"/>
      <c r="F374" s="585"/>
      <c r="G374" s="585"/>
      <c r="H374" s="585"/>
      <c r="I374" s="585"/>
      <c r="J374" s="585"/>
      <c r="K374" s="585"/>
      <c r="L374" s="585"/>
      <c r="M374" s="585"/>
      <c r="N374" s="585"/>
      <c r="O374" s="585"/>
      <c r="P374" s="585"/>
      <c r="Q374" s="585"/>
      <c r="R374" s="585"/>
      <c r="S374" s="585"/>
      <c r="T374" s="585"/>
      <c r="U374" s="585"/>
      <c r="V374" s="224"/>
      <c r="W374" s="224"/>
      <c r="X374" s="224"/>
      <c r="Y374" s="224"/>
      <c r="Z374" s="868"/>
      <c r="AA374" s="865"/>
      <c r="AB374" s="2"/>
      <c r="AC374" s="2"/>
      <c r="AD374" s="2"/>
      <c r="AE374" s="2"/>
      <c r="AF374" s="2"/>
      <c r="AG374" s="2"/>
      <c r="AH374" s="2"/>
      <c r="AI374" s="2"/>
      <c r="AJ374" s="2"/>
      <c r="AK374" s="2"/>
      <c r="AL374" s="2"/>
      <c r="AM374" s="2"/>
      <c r="AN374" s="2"/>
      <c r="AO374" s="9"/>
      <c r="AP374" s="9"/>
      <c r="AQ374" s="9"/>
      <c r="AR374" s="9"/>
    </row>
    <row r="375">
      <c r="A375" s="585"/>
      <c r="B375" s="585"/>
      <c r="C375" s="585"/>
      <c r="D375" s="585"/>
      <c r="E375" s="585"/>
      <c r="F375" s="585"/>
      <c r="G375" s="585"/>
      <c r="H375" s="585"/>
      <c r="I375" s="585"/>
      <c r="J375" s="585"/>
      <c r="K375" s="585"/>
      <c r="L375" s="585"/>
      <c r="M375" s="585"/>
      <c r="N375" s="585"/>
      <c r="O375" s="585"/>
      <c r="P375" s="585"/>
      <c r="Q375" s="585"/>
      <c r="R375" s="585"/>
      <c r="S375" s="585"/>
      <c r="T375" s="585"/>
      <c r="U375" s="585"/>
      <c r="V375" s="224"/>
      <c r="W375" s="224"/>
      <c r="X375" s="224"/>
      <c r="Y375" s="224"/>
      <c r="Z375" s="868"/>
      <c r="AA375" s="865"/>
      <c r="AB375" s="2"/>
      <c r="AC375" s="2"/>
      <c r="AD375" s="2"/>
      <c r="AE375" s="2"/>
      <c r="AF375" s="2"/>
      <c r="AG375" s="2"/>
      <c r="AH375" s="2"/>
      <c r="AI375" s="2"/>
      <c r="AJ375" s="2"/>
      <c r="AK375" s="2"/>
      <c r="AL375" s="2"/>
      <c r="AM375" s="2"/>
      <c r="AN375" s="2"/>
      <c r="AO375" s="9"/>
      <c r="AP375" s="9"/>
      <c r="AQ375" s="9"/>
      <c r="AR375" s="9"/>
    </row>
    <row r="376">
      <c r="A376" s="585"/>
      <c r="B376" s="585"/>
      <c r="C376" s="585"/>
      <c r="D376" s="585"/>
      <c r="E376" s="585"/>
      <c r="F376" s="585"/>
      <c r="G376" s="585"/>
      <c r="H376" s="585"/>
      <c r="I376" s="585"/>
      <c r="J376" s="585"/>
      <c r="K376" s="585"/>
      <c r="L376" s="585"/>
      <c r="M376" s="585"/>
      <c r="N376" s="585"/>
      <c r="O376" s="585"/>
      <c r="P376" s="585"/>
      <c r="Q376" s="585"/>
      <c r="R376" s="585"/>
      <c r="S376" s="585"/>
      <c r="T376" s="585"/>
      <c r="U376" s="585"/>
      <c r="V376" s="224"/>
      <c r="W376" s="224"/>
      <c r="X376" s="224"/>
      <c r="Y376" s="224"/>
      <c r="Z376" s="868"/>
      <c r="AA376" s="865"/>
      <c r="AB376" s="2"/>
      <c r="AC376" s="2"/>
      <c r="AD376" s="2"/>
      <c r="AE376" s="2"/>
      <c r="AF376" s="2"/>
      <c r="AG376" s="2"/>
      <c r="AH376" s="2"/>
      <c r="AI376" s="2"/>
      <c r="AJ376" s="2"/>
      <c r="AK376" s="2"/>
      <c r="AL376" s="2"/>
      <c r="AM376" s="2"/>
      <c r="AN376" s="2"/>
      <c r="AO376" s="9"/>
      <c r="AP376" s="9"/>
      <c r="AQ376" s="9"/>
      <c r="AR376" s="9"/>
    </row>
    <row r="377">
      <c r="A377" s="585"/>
      <c r="B377" s="585"/>
      <c r="C377" s="585"/>
      <c r="D377" s="585"/>
      <c r="E377" s="585"/>
      <c r="F377" s="585"/>
      <c r="G377" s="585"/>
      <c r="H377" s="585"/>
      <c r="I377" s="585"/>
      <c r="J377" s="585"/>
      <c r="K377" s="585"/>
      <c r="L377" s="585"/>
      <c r="M377" s="585"/>
      <c r="N377" s="585"/>
      <c r="O377" s="585"/>
      <c r="P377" s="585"/>
      <c r="Q377" s="585"/>
      <c r="R377" s="585"/>
      <c r="S377" s="585"/>
      <c r="T377" s="585"/>
      <c r="U377" s="585"/>
      <c r="V377" s="224"/>
      <c r="W377" s="224"/>
      <c r="X377" s="224"/>
      <c r="Y377" s="224"/>
      <c r="Z377" s="868"/>
      <c r="AA377" s="865"/>
      <c r="AB377" s="2"/>
      <c r="AC377" s="2"/>
      <c r="AD377" s="2"/>
      <c r="AE377" s="2"/>
      <c r="AF377" s="2"/>
      <c r="AG377" s="2"/>
      <c r="AH377" s="2"/>
      <c r="AI377" s="2"/>
      <c r="AJ377" s="2"/>
      <c r="AK377" s="2"/>
      <c r="AL377" s="2"/>
      <c r="AM377" s="2"/>
      <c r="AN377" s="2"/>
      <c r="AO377" s="9"/>
      <c r="AP377" s="9"/>
      <c r="AQ377" s="9"/>
      <c r="AR377" s="9"/>
    </row>
    <row r="378">
      <c r="A378" s="585"/>
      <c r="B378" s="585"/>
      <c r="C378" s="585"/>
      <c r="D378" s="585"/>
      <c r="E378" s="585"/>
      <c r="F378" s="585"/>
      <c r="G378" s="585"/>
      <c r="H378" s="585"/>
      <c r="I378" s="585"/>
      <c r="J378" s="585"/>
      <c r="K378" s="585"/>
      <c r="L378" s="585"/>
      <c r="M378" s="585"/>
      <c r="N378" s="585"/>
      <c r="O378" s="585"/>
      <c r="P378" s="585"/>
      <c r="Q378" s="585"/>
      <c r="R378" s="585"/>
      <c r="S378" s="585"/>
      <c r="T378" s="585"/>
      <c r="U378" s="585"/>
      <c r="V378" s="224"/>
      <c r="W378" s="224"/>
      <c r="X378" s="224"/>
      <c r="Y378" s="224"/>
      <c r="Z378" s="868"/>
      <c r="AA378" s="865"/>
      <c r="AB378" s="2"/>
      <c r="AC378" s="2"/>
      <c r="AD378" s="2"/>
      <c r="AE378" s="2"/>
      <c r="AF378" s="2"/>
      <c r="AG378" s="2"/>
      <c r="AH378" s="2"/>
      <c r="AI378" s="2"/>
      <c r="AJ378" s="2"/>
      <c r="AK378" s="2"/>
      <c r="AL378" s="2"/>
      <c r="AM378" s="2"/>
      <c r="AN378" s="2"/>
      <c r="AO378" s="9"/>
      <c r="AP378" s="9"/>
      <c r="AQ378" s="9"/>
      <c r="AR378" s="9"/>
    </row>
    <row r="379">
      <c r="A379" s="585"/>
      <c r="B379" s="585"/>
      <c r="C379" s="585"/>
      <c r="D379" s="585"/>
      <c r="E379" s="585"/>
      <c r="F379" s="585"/>
      <c r="G379" s="585"/>
      <c r="H379" s="585"/>
      <c r="I379" s="585"/>
      <c r="J379" s="585"/>
      <c r="K379" s="585"/>
      <c r="L379" s="585"/>
      <c r="M379" s="585"/>
      <c r="N379" s="585"/>
      <c r="O379" s="585"/>
      <c r="P379" s="585"/>
      <c r="Q379" s="585"/>
      <c r="R379" s="585"/>
      <c r="S379" s="585"/>
      <c r="T379" s="585"/>
      <c r="U379" s="585"/>
      <c r="V379" s="224"/>
      <c r="W379" s="224"/>
      <c r="X379" s="224"/>
      <c r="Y379" s="224"/>
      <c r="Z379" s="868"/>
      <c r="AA379" s="865"/>
      <c r="AB379" s="2"/>
      <c r="AC379" s="2"/>
      <c r="AD379" s="2"/>
      <c r="AE379" s="2"/>
      <c r="AF379" s="2"/>
      <c r="AG379" s="2"/>
      <c r="AH379" s="2"/>
      <c r="AI379" s="2"/>
      <c r="AJ379" s="2"/>
      <c r="AK379" s="2"/>
      <c r="AL379" s="2"/>
      <c r="AM379" s="2"/>
      <c r="AN379" s="2"/>
      <c r="AO379" s="9"/>
      <c r="AP379" s="9"/>
      <c r="AQ379" s="9"/>
      <c r="AR379" s="9"/>
    </row>
    <row r="380">
      <c r="A380" s="585"/>
      <c r="B380" s="585"/>
      <c r="C380" s="585"/>
      <c r="D380" s="585"/>
      <c r="E380" s="585"/>
      <c r="F380" s="585"/>
      <c r="G380" s="585"/>
      <c r="H380" s="585"/>
      <c r="I380" s="585"/>
      <c r="J380" s="585"/>
      <c r="K380" s="585"/>
      <c r="L380" s="585"/>
      <c r="M380" s="585"/>
      <c r="N380" s="585"/>
      <c r="O380" s="585"/>
      <c r="P380" s="585"/>
      <c r="Q380" s="585"/>
      <c r="R380" s="585"/>
      <c r="S380" s="585"/>
      <c r="T380" s="585"/>
      <c r="U380" s="585"/>
      <c r="V380" s="224"/>
      <c r="W380" s="224"/>
      <c r="X380" s="224"/>
      <c r="Y380" s="224"/>
      <c r="Z380" s="868"/>
      <c r="AA380" s="865"/>
      <c r="AB380" s="2"/>
      <c r="AC380" s="2"/>
      <c r="AD380" s="2"/>
      <c r="AE380" s="2"/>
      <c r="AF380" s="2"/>
      <c r="AG380" s="2"/>
      <c r="AH380" s="2"/>
      <c r="AI380" s="2"/>
      <c r="AJ380" s="2"/>
      <c r="AK380" s="2"/>
      <c r="AL380" s="2"/>
      <c r="AM380" s="2"/>
      <c r="AN380" s="2"/>
      <c r="AO380" s="9"/>
      <c r="AP380" s="9"/>
      <c r="AQ380" s="9"/>
      <c r="AR380" s="9"/>
    </row>
    <row r="381">
      <c r="A381" s="585"/>
      <c r="B381" s="585"/>
      <c r="C381" s="585"/>
      <c r="D381" s="585"/>
      <c r="E381" s="585"/>
      <c r="F381" s="585"/>
      <c r="G381" s="585"/>
      <c r="H381" s="585"/>
      <c r="I381" s="585"/>
      <c r="J381" s="585"/>
      <c r="K381" s="585"/>
      <c r="L381" s="585"/>
      <c r="M381" s="585"/>
      <c r="N381" s="585"/>
      <c r="O381" s="585"/>
      <c r="P381" s="585"/>
      <c r="Q381" s="585"/>
      <c r="R381" s="585"/>
      <c r="S381" s="585"/>
      <c r="T381" s="585"/>
      <c r="U381" s="585"/>
      <c r="V381" s="224"/>
      <c r="W381" s="224"/>
      <c r="X381" s="224"/>
      <c r="Y381" s="224"/>
      <c r="Z381" s="868"/>
      <c r="AA381" s="865"/>
      <c r="AB381" s="2"/>
      <c r="AC381" s="2"/>
      <c r="AD381" s="2"/>
      <c r="AE381" s="2"/>
      <c r="AF381" s="2"/>
      <c r="AG381" s="2"/>
      <c r="AH381" s="2"/>
      <c r="AI381" s="2"/>
      <c r="AJ381" s="2"/>
      <c r="AK381" s="2"/>
      <c r="AL381" s="2"/>
      <c r="AM381" s="2"/>
      <c r="AN381" s="2"/>
      <c r="AO381" s="9"/>
      <c r="AP381" s="9"/>
      <c r="AQ381" s="9"/>
      <c r="AR381" s="9"/>
    </row>
    <row r="382">
      <c r="A382" s="585"/>
      <c r="B382" s="585"/>
      <c r="C382" s="585"/>
      <c r="D382" s="585"/>
      <c r="E382" s="585"/>
      <c r="F382" s="585"/>
      <c r="G382" s="585"/>
      <c r="H382" s="585"/>
      <c r="I382" s="585"/>
      <c r="J382" s="585"/>
      <c r="K382" s="585"/>
      <c r="L382" s="585"/>
      <c r="M382" s="585"/>
      <c r="N382" s="585"/>
      <c r="O382" s="585"/>
      <c r="P382" s="585"/>
      <c r="Q382" s="585"/>
      <c r="R382" s="585"/>
      <c r="S382" s="585"/>
      <c r="T382" s="585"/>
      <c r="U382" s="585"/>
      <c r="V382" s="224"/>
      <c r="W382" s="224"/>
      <c r="X382" s="224"/>
      <c r="Y382" s="224"/>
      <c r="Z382" s="868"/>
      <c r="AA382" s="865"/>
      <c r="AB382" s="2"/>
      <c r="AC382" s="2"/>
      <c r="AD382" s="2"/>
      <c r="AE382" s="2"/>
      <c r="AF382" s="2"/>
      <c r="AG382" s="2"/>
      <c r="AH382" s="2"/>
      <c r="AI382" s="2"/>
      <c r="AJ382" s="2"/>
      <c r="AK382" s="2"/>
      <c r="AL382" s="2"/>
      <c r="AM382" s="2"/>
      <c r="AN382" s="2"/>
      <c r="AO382" s="9"/>
      <c r="AP382" s="9"/>
      <c r="AQ382" s="9"/>
      <c r="AR382" s="9"/>
    </row>
    <row r="383">
      <c r="A383" s="585"/>
      <c r="B383" s="585"/>
      <c r="C383" s="585"/>
      <c r="D383" s="585"/>
      <c r="E383" s="585"/>
      <c r="F383" s="585"/>
      <c r="G383" s="585"/>
      <c r="H383" s="585"/>
      <c r="I383" s="585"/>
      <c r="J383" s="585"/>
      <c r="K383" s="585"/>
      <c r="L383" s="585"/>
      <c r="M383" s="585"/>
      <c r="N383" s="585"/>
      <c r="O383" s="585"/>
      <c r="P383" s="585"/>
      <c r="Q383" s="585"/>
      <c r="R383" s="585"/>
      <c r="S383" s="585"/>
      <c r="T383" s="585"/>
      <c r="U383" s="585"/>
      <c r="V383" s="224"/>
      <c r="W383" s="224"/>
      <c r="X383" s="224"/>
      <c r="Y383" s="224"/>
      <c r="Z383" s="868"/>
      <c r="AA383" s="865"/>
      <c r="AB383" s="2"/>
      <c r="AC383" s="2"/>
      <c r="AD383" s="2"/>
      <c r="AE383" s="2"/>
      <c r="AF383" s="2"/>
      <c r="AG383" s="2"/>
      <c r="AH383" s="2"/>
      <c r="AI383" s="2"/>
      <c r="AJ383" s="2"/>
      <c r="AK383" s="2"/>
      <c r="AL383" s="2"/>
      <c r="AM383" s="2"/>
      <c r="AN383" s="2"/>
      <c r="AO383" s="9"/>
      <c r="AP383" s="9"/>
      <c r="AQ383" s="9"/>
      <c r="AR383" s="9"/>
    </row>
    <row r="384">
      <c r="A384" s="585"/>
      <c r="B384" s="585"/>
      <c r="C384" s="585"/>
      <c r="D384" s="585"/>
      <c r="E384" s="585"/>
      <c r="F384" s="585"/>
      <c r="G384" s="585"/>
      <c r="H384" s="585"/>
      <c r="I384" s="585"/>
      <c r="J384" s="585"/>
      <c r="K384" s="585"/>
      <c r="L384" s="585"/>
      <c r="M384" s="585"/>
      <c r="N384" s="585"/>
      <c r="O384" s="585"/>
      <c r="P384" s="585"/>
      <c r="Q384" s="585"/>
      <c r="R384" s="585"/>
      <c r="S384" s="585"/>
      <c r="T384" s="585"/>
      <c r="U384" s="585"/>
      <c r="V384" s="224"/>
      <c r="W384" s="224"/>
      <c r="X384" s="224"/>
      <c r="Y384" s="224"/>
      <c r="Z384" s="868"/>
      <c r="AA384" s="865"/>
      <c r="AB384" s="2"/>
      <c r="AC384" s="2"/>
      <c r="AD384" s="2"/>
      <c r="AE384" s="2"/>
      <c r="AF384" s="2"/>
      <c r="AG384" s="2"/>
      <c r="AH384" s="2"/>
      <c r="AI384" s="2"/>
      <c r="AJ384" s="2"/>
      <c r="AK384" s="2"/>
      <c r="AL384" s="2"/>
      <c r="AM384" s="2"/>
      <c r="AN384" s="2"/>
      <c r="AO384" s="9"/>
      <c r="AP384" s="9"/>
      <c r="AQ384" s="9"/>
      <c r="AR384" s="9"/>
    </row>
    <row r="385">
      <c r="A385" s="585"/>
      <c r="B385" s="585"/>
      <c r="C385" s="585"/>
      <c r="D385" s="585"/>
      <c r="E385" s="585"/>
      <c r="F385" s="585"/>
      <c r="G385" s="585"/>
      <c r="H385" s="585"/>
      <c r="I385" s="585"/>
      <c r="J385" s="585"/>
      <c r="K385" s="585"/>
      <c r="L385" s="585"/>
      <c r="M385" s="585"/>
      <c r="N385" s="585"/>
      <c r="O385" s="585"/>
      <c r="P385" s="585"/>
      <c r="Q385" s="585"/>
      <c r="R385" s="585"/>
      <c r="S385" s="585"/>
      <c r="T385" s="585"/>
      <c r="U385" s="585"/>
      <c r="V385" s="224"/>
      <c r="W385" s="224"/>
      <c r="X385" s="224"/>
      <c r="Y385" s="224"/>
      <c r="Z385" s="868"/>
      <c r="AA385" s="865"/>
      <c r="AB385" s="2"/>
      <c r="AC385" s="2"/>
      <c r="AD385" s="2"/>
      <c r="AE385" s="2"/>
      <c r="AF385" s="2"/>
      <c r="AG385" s="2"/>
      <c r="AH385" s="2"/>
      <c r="AI385" s="2"/>
      <c r="AJ385" s="2"/>
      <c r="AK385" s="2"/>
      <c r="AL385" s="2"/>
      <c r="AM385" s="2"/>
      <c r="AN385" s="2"/>
      <c r="AO385" s="9"/>
      <c r="AP385" s="9"/>
      <c r="AQ385" s="9"/>
      <c r="AR385" s="9"/>
    </row>
    <row r="386">
      <c r="A386" s="585"/>
      <c r="B386" s="585"/>
      <c r="C386" s="585"/>
      <c r="D386" s="585"/>
      <c r="E386" s="585"/>
      <c r="F386" s="585"/>
      <c r="G386" s="585"/>
      <c r="H386" s="585"/>
      <c r="I386" s="585"/>
      <c r="J386" s="585"/>
      <c r="K386" s="585"/>
      <c r="L386" s="585"/>
      <c r="M386" s="585"/>
      <c r="N386" s="585"/>
      <c r="O386" s="585"/>
      <c r="P386" s="585"/>
      <c r="Q386" s="585"/>
      <c r="R386" s="585"/>
      <c r="S386" s="585"/>
      <c r="T386" s="585"/>
      <c r="U386" s="585"/>
      <c r="V386" s="224"/>
      <c r="W386" s="224"/>
      <c r="X386" s="224"/>
      <c r="Y386" s="224"/>
      <c r="Z386" s="868"/>
      <c r="AA386" s="865"/>
      <c r="AB386" s="2"/>
      <c r="AC386" s="2"/>
      <c r="AD386" s="2"/>
      <c r="AE386" s="2"/>
      <c r="AF386" s="2"/>
      <c r="AG386" s="2"/>
      <c r="AH386" s="2"/>
      <c r="AI386" s="2"/>
      <c r="AJ386" s="2"/>
      <c r="AK386" s="2"/>
      <c r="AL386" s="2"/>
      <c r="AM386" s="2"/>
      <c r="AN386" s="2"/>
      <c r="AO386" s="9"/>
      <c r="AP386" s="9"/>
      <c r="AQ386" s="9"/>
      <c r="AR386" s="9"/>
    </row>
    <row r="387">
      <c r="A387" s="585"/>
      <c r="B387" s="585"/>
      <c r="C387" s="585"/>
      <c r="D387" s="585"/>
      <c r="E387" s="585"/>
      <c r="F387" s="585"/>
      <c r="G387" s="585"/>
      <c r="H387" s="585"/>
      <c r="I387" s="585"/>
      <c r="J387" s="585"/>
      <c r="K387" s="585"/>
      <c r="L387" s="585"/>
      <c r="M387" s="585"/>
      <c r="N387" s="585"/>
      <c r="O387" s="585"/>
      <c r="P387" s="585"/>
      <c r="Q387" s="585"/>
      <c r="R387" s="585"/>
      <c r="S387" s="585"/>
      <c r="T387" s="585"/>
      <c r="U387" s="585"/>
      <c r="V387" s="224"/>
      <c r="W387" s="224"/>
      <c r="X387" s="224"/>
      <c r="Y387" s="224"/>
      <c r="Z387" s="868"/>
      <c r="AA387" s="865"/>
      <c r="AB387" s="2"/>
      <c r="AC387" s="2"/>
      <c r="AD387" s="2"/>
      <c r="AE387" s="2"/>
      <c r="AF387" s="2"/>
      <c r="AG387" s="2"/>
      <c r="AH387" s="2"/>
      <c r="AI387" s="2"/>
      <c r="AJ387" s="2"/>
      <c r="AK387" s="2"/>
      <c r="AL387" s="2"/>
      <c r="AM387" s="2"/>
      <c r="AN387" s="2"/>
      <c r="AO387" s="9"/>
      <c r="AP387" s="9"/>
      <c r="AQ387" s="9"/>
      <c r="AR387" s="9"/>
    </row>
    <row r="388">
      <c r="A388" s="585"/>
      <c r="B388" s="585"/>
      <c r="C388" s="585"/>
      <c r="D388" s="585"/>
      <c r="E388" s="585"/>
      <c r="F388" s="585"/>
      <c r="G388" s="585"/>
      <c r="H388" s="585"/>
      <c r="I388" s="585"/>
      <c r="J388" s="585"/>
      <c r="K388" s="585"/>
      <c r="L388" s="585"/>
      <c r="M388" s="585"/>
      <c r="N388" s="585"/>
      <c r="O388" s="585"/>
      <c r="P388" s="585"/>
      <c r="Q388" s="585"/>
      <c r="R388" s="585"/>
      <c r="S388" s="585"/>
      <c r="T388" s="585"/>
      <c r="U388" s="585"/>
      <c r="V388" s="224"/>
      <c r="W388" s="224"/>
      <c r="X388" s="224"/>
      <c r="Y388" s="224"/>
      <c r="Z388" s="868"/>
      <c r="AA388" s="865"/>
      <c r="AB388" s="2"/>
      <c r="AC388" s="2"/>
      <c r="AD388" s="2"/>
      <c r="AE388" s="2"/>
      <c r="AF388" s="2"/>
      <c r="AG388" s="2"/>
      <c r="AH388" s="2"/>
      <c r="AI388" s="2"/>
      <c r="AJ388" s="2"/>
      <c r="AK388" s="2"/>
      <c r="AL388" s="2"/>
      <c r="AM388" s="2"/>
      <c r="AN388" s="2"/>
      <c r="AO388" s="9"/>
      <c r="AP388" s="9"/>
      <c r="AQ388" s="9"/>
      <c r="AR388" s="9"/>
    </row>
    <row r="389">
      <c r="A389" s="585"/>
      <c r="B389" s="585"/>
      <c r="C389" s="585"/>
      <c r="D389" s="585"/>
      <c r="E389" s="585"/>
      <c r="F389" s="585"/>
      <c r="G389" s="585"/>
      <c r="H389" s="585"/>
      <c r="I389" s="585"/>
      <c r="J389" s="585"/>
      <c r="K389" s="585"/>
      <c r="L389" s="585"/>
      <c r="M389" s="585"/>
      <c r="N389" s="585"/>
      <c r="O389" s="585"/>
      <c r="P389" s="585"/>
      <c r="Q389" s="585"/>
      <c r="R389" s="585"/>
      <c r="S389" s="585"/>
      <c r="T389" s="585"/>
      <c r="U389" s="585"/>
      <c r="V389" s="224"/>
      <c r="W389" s="224"/>
      <c r="X389" s="224"/>
      <c r="Y389" s="224"/>
      <c r="Z389" s="868"/>
      <c r="AA389" s="865"/>
      <c r="AB389" s="2"/>
      <c r="AC389" s="2"/>
      <c r="AD389" s="2"/>
      <c r="AE389" s="2"/>
      <c r="AF389" s="2"/>
      <c r="AG389" s="2"/>
      <c r="AH389" s="2"/>
      <c r="AI389" s="2"/>
      <c r="AJ389" s="2"/>
      <c r="AK389" s="2"/>
      <c r="AL389" s="2"/>
      <c r="AM389" s="2"/>
      <c r="AN389" s="2"/>
      <c r="AO389" s="9"/>
      <c r="AP389" s="9"/>
      <c r="AQ389" s="9"/>
      <c r="AR389" s="9"/>
    </row>
    <row r="390">
      <c r="A390" s="585"/>
      <c r="B390" s="585"/>
      <c r="C390" s="585"/>
      <c r="D390" s="585"/>
      <c r="E390" s="585"/>
      <c r="F390" s="585"/>
      <c r="G390" s="585"/>
      <c r="H390" s="585"/>
      <c r="I390" s="585"/>
      <c r="J390" s="585"/>
      <c r="K390" s="585"/>
      <c r="L390" s="585"/>
      <c r="M390" s="585"/>
      <c r="N390" s="585"/>
      <c r="O390" s="585"/>
      <c r="P390" s="585"/>
      <c r="Q390" s="585"/>
      <c r="R390" s="585"/>
      <c r="S390" s="585"/>
      <c r="T390" s="585"/>
      <c r="U390" s="585"/>
      <c r="V390" s="224"/>
      <c r="W390" s="224"/>
      <c r="X390" s="224"/>
      <c r="Y390" s="224"/>
      <c r="Z390" s="868"/>
      <c r="AA390" s="865"/>
      <c r="AB390" s="2"/>
      <c r="AC390" s="2"/>
      <c r="AD390" s="2"/>
      <c r="AE390" s="2"/>
      <c r="AF390" s="2"/>
      <c r="AG390" s="2"/>
      <c r="AH390" s="2"/>
      <c r="AI390" s="2"/>
      <c r="AJ390" s="2"/>
      <c r="AK390" s="2"/>
      <c r="AL390" s="2"/>
      <c r="AM390" s="2"/>
      <c r="AN390" s="2"/>
      <c r="AO390" s="9"/>
      <c r="AP390" s="9"/>
      <c r="AQ390" s="9"/>
      <c r="AR390" s="9"/>
    </row>
    <row r="391">
      <c r="A391" s="585"/>
      <c r="B391" s="585"/>
      <c r="C391" s="585"/>
      <c r="D391" s="585"/>
      <c r="E391" s="585"/>
      <c r="F391" s="585"/>
      <c r="G391" s="585"/>
      <c r="H391" s="585"/>
      <c r="I391" s="585"/>
      <c r="J391" s="585"/>
      <c r="K391" s="585"/>
      <c r="L391" s="585"/>
      <c r="M391" s="585"/>
      <c r="N391" s="585"/>
      <c r="O391" s="585"/>
      <c r="P391" s="585"/>
      <c r="Q391" s="585"/>
      <c r="R391" s="585"/>
      <c r="S391" s="585"/>
      <c r="T391" s="585"/>
      <c r="U391" s="585"/>
      <c r="V391" s="224"/>
      <c r="W391" s="224"/>
      <c r="X391" s="224"/>
      <c r="Y391" s="224"/>
      <c r="Z391" s="868"/>
      <c r="AA391" s="865"/>
      <c r="AB391" s="2"/>
      <c r="AC391" s="2"/>
      <c r="AD391" s="2"/>
      <c r="AE391" s="2"/>
      <c r="AF391" s="2"/>
      <c r="AG391" s="2"/>
      <c r="AH391" s="2"/>
      <c r="AI391" s="2"/>
      <c r="AJ391" s="2"/>
      <c r="AK391" s="2"/>
      <c r="AL391" s="2"/>
      <c r="AM391" s="2"/>
      <c r="AN391" s="2"/>
      <c r="AO391" s="9"/>
      <c r="AP391" s="9"/>
      <c r="AQ391" s="9"/>
      <c r="AR391" s="9"/>
    </row>
    <row r="392">
      <c r="A392" s="585"/>
      <c r="B392" s="585"/>
      <c r="C392" s="585"/>
      <c r="D392" s="585"/>
      <c r="E392" s="585"/>
      <c r="F392" s="585"/>
      <c r="G392" s="585"/>
      <c r="H392" s="585"/>
      <c r="I392" s="585"/>
      <c r="J392" s="585"/>
      <c r="K392" s="585"/>
      <c r="L392" s="585"/>
      <c r="M392" s="585"/>
      <c r="N392" s="585"/>
      <c r="O392" s="585"/>
      <c r="P392" s="585"/>
      <c r="Q392" s="585"/>
      <c r="R392" s="585"/>
      <c r="S392" s="585"/>
      <c r="T392" s="585"/>
      <c r="U392" s="585"/>
      <c r="V392" s="224"/>
      <c r="W392" s="224"/>
      <c r="X392" s="224"/>
      <c r="Y392" s="224"/>
      <c r="Z392" s="868"/>
      <c r="AA392" s="865"/>
      <c r="AB392" s="2"/>
      <c r="AC392" s="2"/>
      <c r="AD392" s="2"/>
      <c r="AE392" s="2"/>
      <c r="AF392" s="2"/>
      <c r="AG392" s="2"/>
      <c r="AH392" s="2"/>
      <c r="AI392" s="2"/>
      <c r="AJ392" s="2"/>
      <c r="AK392" s="2"/>
      <c r="AL392" s="2"/>
      <c r="AM392" s="2"/>
      <c r="AN392" s="2"/>
      <c r="AO392" s="9"/>
      <c r="AP392" s="9"/>
      <c r="AQ392" s="9"/>
      <c r="AR392" s="9"/>
    </row>
    <row r="393">
      <c r="A393" s="585"/>
      <c r="B393" s="585"/>
      <c r="C393" s="585"/>
      <c r="D393" s="585"/>
      <c r="E393" s="585"/>
      <c r="F393" s="585"/>
      <c r="G393" s="585"/>
      <c r="H393" s="585"/>
      <c r="I393" s="585"/>
      <c r="J393" s="585"/>
      <c r="K393" s="585"/>
      <c r="L393" s="585"/>
      <c r="M393" s="585"/>
      <c r="N393" s="585"/>
      <c r="O393" s="585"/>
      <c r="P393" s="585"/>
      <c r="Q393" s="585"/>
      <c r="R393" s="585"/>
      <c r="S393" s="585"/>
      <c r="T393" s="585"/>
      <c r="U393" s="585"/>
      <c r="V393" s="224"/>
      <c r="W393" s="224"/>
      <c r="X393" s="224"/>
      <c r="Y393" s="224"/>
      <c r="Z393" s="868"/>
      <c r="AA393" s="865"/>
      <c r="AB393" s="2"/>
      <c r="AC393" s="2"/>
      <c r="AD393" s="2"/>
      <c r="AE393" s="2"/>
      <c r="AF393" s="2"/>
      <c r="AG393" s="2"/>
      <c r="AH393" s="2"/>
      <c r="AI393" s="2"/>
      <c r="AJ393" s="2"/>
      <c r="AK393" s="2"/>
      <c r="AL393" s="2"/>
      <c r="AM393" s="2"/>
      <c r="AN393" s="2"/>
      <c r="AO393" s="9"/>
      <c r="AP393" s="9"/>
      <c r="AQ393" s="9"/>
      <c r="AR393" s="9"/>
    </row>
    <row r="394">
      <c r="A394" s="585"/>
      <c r="B394" s="585"/>
      <c r="C394" s="585"/>
      <c r="D394" s="585"/>
      <c r="E394" s="585"/>
      <c r="F394" s="585"/>
      <c r="G394" s="585"/>
      <c r="H394" s="585"/>
      <c r="I394" s="585"/>
      <c r="J394" s="585"/>
      <c r="K394" s="585"/>
      <c r="L394" s="585"/>
      <c r="M394" s="585"/>
      <c r="N394" s="585"/>
      <c r="O394" s="585"/>
      <c r="P394" s="585"/>
      <c r="Q394" s="585"/>
      <c r="R394" s="585"/>
      <c r="S394" s="585"/>
      <c r="T394" s="585"/>
      <c r="U394" s="585"/>
      <c r="V394" s="224"/>
      <c r="W394" s="224"/>
      <c r="X394" s="224"/>
      <c r="Y394" s="224"/>
      <c r="Z394" s="868"/>
      <c r="AA394" s="865"/>
      <c r="AB394" s="2"/>
      <c r="AC394" s="2"/>
      <c r="AD394" s="2"/>
      <c r="AE394" s="2"/>
      <c r="AF394" s="2"/>
      <c r="AG394" s="2"/>
      <c r="AH394" s="2"/>
      <c r="AI394" s="2"/>
      <c r="AJ394" s="2"/>
      <c r="AK394" s="2"/>
      <c r="AL394" s="2"/>
      <c r="AM394" s="2"/>
      <c r="AN394" s="2"/>
      <c r="AO394" s="9"/>
      <c r="AP394" s="9"/>
      <c r="AQ394" s="9"/>
      <c r="AR394" s="9"/>
    </row>
    <row r="395">
      <c r="A395" s="585"/>
      <c r="B395" s="585"/>
      <c r="C395" s="585"/>
      <c r="D395" s="585"/>
      <c r="E395" s="585"/>
      <c r="F395" s="585"/>
      <c r="G395" s="585"/>
      <c r="H395" s="585"/>
      <c r="I395" s="585"/>
      <c r="J395" s="585"/>
      <c r="K395" s="585"/>
      <c r="L395" s="585"/>
      <c r="M395" s="585"/>
      <c r="N395" s="585"/>
      <c r="O395" s="585"/>
      <c r="P395" s="585"/>
      <c r="Q395" s="585"/>
      <c r="R395" s="585"/>
      <c r="S395" s="585"/>
      <c r="T395" s="585"/>
      <c r="U395" s="585"/>
      <c r="V395" s="224"/>
      <c r="W395" s="224"/>
      <c r="X395" s="224"/>
      <c r="Y395" s="224"/>
      <c r="Z395" s="868"/>
      <c r="AA395" s="865"/>
      <c r="AB395" s="2"/>
      <c r="AC395" s="2"/>
      <c r="AD395" s="2"/>
      <c r="AE395" s="2"/>
      <c r="AF395" s="2"/>
      <c r="AG395" s="2"/>
      <c r="AH395" s="2"/>
      <c r="AI395" s="2"/>
      <c r="AJ395" s="2"/>
      <c r="AK395" s="2"/>
      <c r="AL395" s="2"/>
      <c r="AM395" s="2"/>
      <c r="AN395" s="2"/>
      <c r="AO395" s="9"/>
      <c r="AP395" s="9"/>
      <c r="AQ395" s="9"/>
      <c r="AR395" s="9"/>
    </row>
    <row r="396">
      <c r="A396" s="585"/>
      <c r="B396" s="585"/>
      <c r="C396" s="585"/>
      <c r="D396" s="585"/>
      <c r="E396" s="585"/>
      <c r="F396" s="585"/>
      <c r="G396" s="585"/>
      <c r="H396" s="585"/>
      <c r="I396" s="585"/>
      <c r="J396" s="585"/>
      <c r="K396" s="585"/>
      <c r="L396" s="585"/>
      <c r="M396" s="585"/>
      <c r="N396" s="585"/>
      <c r="O396" s="585"/>
      <c r="P396" s="585"/>
      <c r="Q396" s="585"/>
      <c r="R396" s="585"/>
      <c r="S396" s="585"/>
      <c r="T396" s="585"/>
      <c r="U396" s="585"/>
      <c r="V396" s="224"/>
      <c r="W396" s="224"/>
      <c r="X396" s="224"/>
      <c r="Y396" s="224"/>
      <c r="Z396" s="868"/>
      <c r="AA396" s="865"/>
      <c r="AB396" s="2"/>
      <c r="AC396" s="2"/>
      <c r="AD396" s="2"/>
      <c r="AE396" s="2"/>
      <c r="AF396" s="2"/>
      <c r="AG396" s="2"/>
      <c r="AH396" s="2"/>
      <c r="AI396" s="2"/>
      <c r="AJ396" s="2"/>
      <c r="AK396" s="2"/>
      <c r="AL396" s="2"/>
      <c r="AM396" s="2"/>
      <c r="AN396" s="2"/>
      <c r="AO396" s="9"/>
      <c r="AP396" s="9"/>
      <c r="AQ396" s="9"/>
      <c r="AR396" s="9"/>
    </row>
    <row r="397">
      <c r="A397" s="585"/>
      <c r="B397" s="585"/>
      <c r="C397" s="585"/>
      <c r="D397" s="585"/>
      <c r="E397" s="585"/>
      <c r="F397" s="585"/>
      <c r="G397" s="585"/>
      <c r="H397" s="585"/>
      <c r="I397" s="585"/>
      <c r="J397" s="585"/>
      <c r="K397" s="585"/>
      <c r="L397" s="585"/>
      <c r="M397" s="585"/>
      <c r="N397" s="585"/>
      <c r="O397" s="585"/>
      <c r="P397" s="585"/>
      <c r="Q397" s="585"/>
      <c r="R397" s="585"/>
      <c r="S397" s="585"/>
      <c r="T397" s="585"/>
      <c r="U397" s="585"/>
      <c r="V397" s="224"/>
      <c r="W397" s="224"/>
      <c r="X397" s="224"/>
      <c r="Y397" s="224"/>
      <c r="Z397" s="868"/>
      <c r="AA397" s="865"/>
      <c r="AB397" s="2"/>
      <c r="AC397" s="2"/>
      <c r="AD397" s="2"/>
      <c r="AE397" s="2"/>
      <c r="AF397" s="2"/>
      <c r="AG397" s="2"/>
      <c r="AH397" s="2"/>
      <c r="AI397" s="2"/>
      <c r="AJ397" s="2"/>
      <c r="AK397" s="2"/>
      <c r="AL397" s="2"/>
      <c r="AM397" s="2"/>
      <c r="AN397" s="2"/>
      <c r="AO397" s="9"/>
      <c r="AP397" s="9"/>
      <c r="AQ397" s="9"/>
      <c r="AR397" s="9"/>
    </row>
    <row r="398">
      <c r="A398" s="585"/>
      <c r="B398" s="585"/>
      <c r="C398" s="585"/>
      <c r="D398" s="585"/>
      <c r="E398" s="585"/>
      <c r="F398" s="585"/>
      <c r="G398" s="585"/>
      <c r="H398" s="585"/>
      <c r="I398" s="585"/>
      <c r="J398" s="585"/>
      <c r="K398" s="585"/>
      <c r="L398" s="585"/>
      <c r="M398" s="585"/>
      <c r="N398" s="585"/>
      <c r="O398" s="585"/>
      <c r="P398" s="585"/>
      <c r="Q398" s="585"/>
      <c r="R398" s="585"/>
      <c r="S398" s="585"/>
      <c r="T398" s="585"/>
      <c r="U398" s="585"/>
      <c r="V398" s="224"/>
      <c r="W398" s="224"/>
      <c r="X398" s="224"/>
      <c r="Y398" s="224"/>
      <c r="Z398" s="868"/>
      <c r="AA398" s="865"/>
      <c r="AB398" s="2"/>
      <c r="AC398" s="2"/>
      <c r="AD398" s="2"/>
      <c r="AE398" s="2"/>
      <c r="AF398" s="2"/>
      <c r="AG398" s="2"/>
      <c r="AH398" s="2"/>
      <c r="AI398" s="2"/>
      <c r="AJ398" s="2"/>
      <c r="AK398" s="2"/>
      <c r="AL398" s="2"/>
      <c r="AM398" s="2"/>
      <c r="AN398" s="2"/>
      <c r="AO398" s="9"/>
      <c r="AP398" s="9"/>
      <c r="AQ398" s="9"/>
      <c r="AR398" s="9"/>
    </row>
    <row r="399">
      <c r="A399" s="585"/>
      <c r="B399" s="585"/>
      <c r="C399" s="585"/>
      <c r="D399" s="585"/>
      <c r="E399" s="585"/>
      <c r="F399" s="585"/>
      <c r="G399" s="585"/>
      <c r="H399" s="585"/>
      <c r="I399" s="585"/>
      <c r="J399" s="585"/>
      <c r="K399" s="585"/>
      <c r="L399" s="585"/>
      <c r="M399" s="585"/>
      <c r="N399" s="585"/>
      <c r="O399" s="585"/>
      <c r="P399" s="585"/>
      <c r="Q399" s="585"/>
      <c r="R399" s="585"/>
      <c r="S399" s="585"/>
      <c r="T399" s="585"/>
      <c r="U399" s="585"/>
      <c r="V399" s="224"/>
      <c r="W399" s="224"/>
      <c r="X399" s="224"/>
      <c r="Y399" s="224"/>
      <c r="Z399" s="868"/>
      <c r="AA399" s="865"/>
      <c r="AB399" s="2"/>
      <c r="AC399" s="2"/>
      <c r="AD399" s="2"/>
      <c r="AE399" s="2"/>
      <c r="AF399" s="2"/>
      <c r="AG399" s="2"/>
      <c r="AH399" s="2"/>
      <c r="AI399" s="2"/>
      <c r="AJ399" s="2"/>
      <c r="AK399" s="2"/>
      <c r="AL399" s="2"/>
      <c r="AM399" s="2"/>
      <c r="AN399" s="2"/>
      <c r="AO399" s="9"/>
      <c r="AP399" s="9"/>
      <c r="AQ399" s="9"/>
      <c r="AR399" s="9"/>
    </row>
    <row r="400">
      <c r="A400" s="585"/>
      <c r="B400" s="585"/>
      <c r="C400" s="585"/>
      <c r="D400" s="585"/>
      <c r="E400" s="585"/>
      <c r="F400" s="585"/>
      <c r="G400" s="585"/>
      <c r="H400" s="585"/>
      <c r="I400" s="585"/>
      <c r="J400" s="585"/>
      <c r="K400" s="585"/>
      <c r="L400" s="585"/>
      <c r="M400" s="585"/>
      <c r="N400" s="585"/>
      <c r="O400" s="585"/>
      <c r="P400" s="585"/>
      <c r="Q400" s="585"/>
      <c r="R400" s="585"/>
      <c r="S400" s="585"/>
      <c r="T400" s="585"/>
      <c r="U400" s="585"/>
      <c r="V400" s="224"/>
      <c r="W400" s="224"/>
      <c r="X400" s="224"/>
      <c r="Y400" s="224"/>
      <c r="Z400" s="868"/>
      <c r="AA400" s="865"/>
      <c r="AB400" s="2"/>
      <c r="AC400" s="2"/>
      <c r="AD400" s="2"/>
      <c r="AE400" s="2"/>
      <c r="AF400" s="2"/>
      <c r="AG400" s="2"/>
      <c r="AH400" s="2"/>
      <c r="AI400" s="2"/>
      <c r="AJ400" s="2"/>
      <c r="AK400" s="2"/>
      <c r="AL400" s="2"/>
      <c r="AM400" s="2"/>
      <c r="AN400" s="2"/>
      <c r="AO400" s="9"/>
      <c r="AP400" s="9"/>
      <c r="AQ400" s="9"/>
      <c r="AR400" s="9"/>
    </row>
    <row r="401">
      <c r="A401" s="585"/>
      <c r="B401" s="585"/>
      <c r="C401" s="585"/>
      <c r="D401" s="585"/>
      <c r="E401" s="585"/>
      <c r="F401" s="585"/>
      <c r="G401" s="585"/>
      <c r="H401" s="585"/>
      <c r="I401" s="585"/>
      <c r="J401" s="585"/>
      <c r="K401" s="585"/>
      <c r="L401" s="585"/>
      <c r="M401" s="585"/>
      <c r="N401" s="585"/>
      <c r="O401" s="585"/>
      <c r="P401" s="585"/>
      <c r="Q401" s="585"/>
      <c r="R401" s="585"/>
      <c r="S401" s="585"/>
      <c r="T401" s="585"/>
      <c r="U401" s="585"/>
      <c r="V401" s="224"/>
      <c r="W401" s="224"/>
      <c r="X401" s="224"/>
      <c r="Y401" s="224"/>
      <c r="Z401" s="868"/>
      <c r="AA401" s="865"/>
      <c r="AB401" s="2"/>
      <c r="AC401" s="2"/>
      <c r="AD401" s="2"/>
      <c r="AE401" s="2"/>
      <c r="AF401" s="2"/>
      <c r="AG401" s="2"/>
      <c r="AH401" s="2"/>
      <c r="AI401" s="2"/>
      <c r="AJ401" s="2"/>
      <c r="AK401" s="2"/>
      <c r="AL401" s="2"/>
      <c r="AM401" s="2"/>
      <c r="AN401" s="2"/>
      <c r="AO401" s="9"/>
      <c r="AP401" s="9"/>
      <c r="AQ401" s="9"/>
      <c r="AR401" s="9"/>
    </row>
    <row r="402">
      <c r="A402" s="585"/>
      <c r="B402" s="585"/>
      <c r="C402" s="585"/>
      <c r="D402" s="585"/>
      <c r="E402" s="585"/>
      <c r="F402" s="585"/>
      <c r="G402" s="585"/>
      <c r="H402" s="585"/>
      <c r="I402" s="585"/>
      <c r="J402" s="585"/>
      <c r="K402" s="585"/>
      <c r="L402" s="585"/>
      <c r="M402" s="585"/>
      <c r="N402" s="585"/>
      <c r="O402" s="585"/>
      <c r="P402" s="585"/>
      <c r="Q402" s="585"/>
      <c r="R402" s="585"/>
      <c r="S402" s="585"/>
      <c r="T402" s="585"/>
      <c r="U402" s="585"/>
      <c r="V402" s="224"/>
      <c r="W402" s="224"/>
      <c r="X402" s="224"/>
      <c r="Y402" s="224"/>
      <c r="Z402" s="868"/>
      <c r="AA402" s="865"/>
      <c r="AB402" s="2"/>
      <c r="AC402" s="2"/>
      <c r="AD402" s="2"/>
      <c r="AE402" s="2"/>
      <c r="AF402" s="2"/>
      <c r="AG402" s="2"/>
      <c r="AH402" s="2"/>
      <c r="AI402" s="2"/>
      <c r="AJ402" s="2"/>
      <c r="AK402" s="2"/>
      <c r="AL402" s="2"/>
      <c r="AM402" s="2"/>
      <c r="AN402" s="2"/>
      <c r="AO402" s="9"/>
      <c r="AP402" s="9"/>
      <c r="AQ402" s="9"/>
      <c r="AR402" s="9"/>
    </row>
    <row r="403">
      <c r="A403" s="585"/>
      <c r="B403" s="585"/>
      <c r="C403" s="585"/>
      <c r="D403" s="585"/>
      <c r="E403" s="585"/>
      <c r="F403" s="585"/>
      <c r="G403" s="585"/>
      <c r="H403" s="585"/>
      <c r="I403" s="585"/>
      <c r="J403" s="585"/>
      <c r="K403" s="585"/>
      <c r="L403" s="585"/>
      <c r="M403" s="585"/>
      <c r="N403" s="585"/>
      <c r="O403" s="585"/>
      <c r="P403" s="585"/>
      <c r="Q403" s="585"/>
      <c r="R403" s="585"/>
      <c r="S403" s="585"/>
      <c r="T403" s="585"/>
      <c r="U403" s="585"/>
      <c r="V403" s="224"/>
      <c r="W403" s="224"/>
      <c r="X403" s="224"/>
      <c r="Y403" s="224"/>
      <c r="Z403" s="868"/>
      <c r="AA403" s="865"/>
      <c r="AB403" s="2"/>
      <c r="AC403" s="2"/>
      <c r="AD403" s="2"/>
      <c r="AE403" s="2"/>
      <c r="AF403" s="2"/>
      <c r="AG403" s="2"/>
      <c r="AH403" s="2"/>
      <c r="AI403" s="2"/>
      <c r="AJ403" s="2"/>
      <c r="AK403" s="2"/>
      <c r="AL403" s="2"/>
      <c r="AM403" s="2"/>
      <c r="AN403" s="2"/>
      <c r="AO403" s="9"/>
      <c r="AP403" s="9"/>
      <c r="AQ403" s="9"/>
      <c r="AR403" s="9"/>
    </row>
    <row r="404">
      <c r="A404" s="585"/>
      <c r="B404" s="585"/>
      <c r="C404" s="585"/>
      <c r="D404" s="585"/>
      <c r="E404" s="585"/>
      <c r="F404" s="585"/>
      <c r="G404" s="585"/>
      <c r="H404" s="585"/>
      <c r="I404" s="585"/>
      <c r="J404" s="585"/>
      <c r="K404" s="585"/>
      <c r="L404" s="585"/>
      <c r="M404" s="585"/>
      <c r="N404" s="585"/>
      <c r="O404" s="585"/>
      <c r="P404" s="585"/>
      <c r="Q404" s="585"/>
      <c r="R404" s="585"/>
      <c r="S404" s="585"/>
      <c r="T404" s="585"/>
      <c r="U404" s="585"/>
      <c r="V404" s="224"/>
      <c r="W404" s="224"/>
      <c r="X404" s="224"/>
      <c r="Y404" s="224"/>
      <c r="Z404" s="868"/>
      <c r="AA404" s="865"/>
      <c r="AB404" s="2"/>
      <c r="AC404" s="2"/>
      <c r="AD404" s="2"/>
      <c r="AE404" s="2"/>
      <c r="AF404" s="2"/>
      <c r="AG404" s="2"/>
      <c r="AH404" s="2"/>
      <c r="AI404" s="2"/>
      <c r="AJ404" s="2"/>
      <c r="AK404" s="2"/>
      <c r="AL404" s="2"/>
      <c r="AM404" s="2"/>
      <c r="AN404" s="2"/>
      <c r="AO404" s="9"/>
      <c r="AP404" s="9"/>
      <c r="AQ404" s="9"/>
      <c r="AR404" s="9"/>
    </row>
    <row r="405">
      <c r="A405" s="585"/>
      <c r="B405" s="585"/>
      <c r="C405" s="585"/>
      <c r="D405" s="585"/>
      <c r="E405" s="585"/>
      <c r="F405" s="585"/>
      <c r="G405" s="585"/>
      <c r="H405" s="585"/>
      <c r="I405" s="585"/>
      <c r="J405" s="585"/>
      <c r="K405" s="585"/>
      <c r="L405" s="585"/>
      <c r="M405" s="585"/>
      <c r="N405" s="585"/>
      <c r="O405" s="585"/>
      <c r="P405" s="585"/>
      <c r="Q405" s="585"/>
      <c r="R405" s="585"/>
      <c r="S405" s="585"/>
      <c r="T405" s="585"/>
      <c r="U405" s="585"/>
      <c r="V405" s="224"/>
      <c r="W405" s="224"/>
      <c r="X405" s="224"/>
      <c r="Y405" s="224"/>
      <c r="Z405" s="868"/>
      <c r="AA405" s="865"/>
      <c r="AB405" s="2"/>
      <c r="AC405" s="2"/>
      <c r="AD405" s="2"/>
      <c r="AE405" s="2"/>
      <c r="AF405" s="2"/>
      <c r="AG405" s="2"/>
      <c r="AH405" s="2"/>
      <c r="AI405" s="2"/>
      <c r="AJ405" s="2"/>
      <c r="AK405" s="2"/>
      <c r="AL405" s="2"/>
      <c r="AM405" s="2"/>
      <c r="AN405" s="2"/>
      <c r="AO405" s="9"/>
      <c r="AP405" s="9"/>
      <c r="AQ405" s="9"/>
      <c r="AR405" s="9"/>
    </row>
    <row r="406">
      <c r="A406" s="585"/>
      <c r="B406" s="585"/>
      <c r="C406" s="585"/>
      <c r="D406" s="585"/>
      <c r="E406" s="585"/>
      <c r="F406" s="585"/>
      <c r="G406" s="585"/>
      <c r="H406" s="585"/>
      <c r="I406" s="585"/>
      <c r="J406" s="585"/>
      <c r="K406" s="585"/>
      <c r="L406" s="585"/>
      <c r="M406" s="585"/>
      <c r="N406" s="585"/>
      <c r="O406" s="585"/>
      <c r="P406" s="585"/>
      <c r="Q406" s="585"/>
      <c r="R406" s="585"/>
      <c r="S406" s="585"/>
      <c r="T406" s="585"/>
      <c r="U406" s="585"/>
      <c r="V406" s="224"/>
      <c r="W406" s="224"/>
      <c r="X406" s="224"/>
      <c r="Y406" s="224"/>
      <c r="Z406" s="868"/>
      <c r="AA406" s="865"/>
      <c r="AB406" s="2"/>
      <c r="AC406" s="2"/>
      <c r="AD406" s="2"/>
      <c r="AE406" s="2"/>
      <c r="AF406" s="2"/>
      <c r="AG406" s="2"/>
      <c r="AH406" s="2"/>
      <c r="AI406" s="2"/>
      <c r="AJ406" s="2"/>
      <c r="AK406" s="2"/>
      <c r="AL406" s="2"/>
      <c r="AM406" s="2"/>
      <c r="AN406" s="2"/>
      <c r="AO406" s="9"/>
      <c r="AP406" s="9"/>
      <c r="AQ406" s="9"/>
      <c r="AR406" s="9"/>
    </row>
    <row r="407">
      <c r="A407" s="585"/>
      <c r="B407" s="585"/>
      <c r="C407" s="585"/>
      <c r="D407" s="585"/>
      <c r="E407" s="585"/>
      <c r="F407" s="585"/>
      <c r="G407" s="585"/>
      <c r="H407" s="585"/>
      <c r="I407" s="585"/>
      <c r="J407" s="585"/>
      <c r="K407" s="585"/>
      <c r="L407" s="585"/>
      <c r="M407" s="585"/>
      <c r="N407" s="585"/>
      <c r="O407" s="585"/>
      <c r="P407" s="585"/>
      <c r="Q407" s="585"/>
      <c r="R407" s="585"/>
      <c r="S407" s="585"/>
      <c r="T407" s="585"/>
      <c r="U407" s="585"/>
      <c r="V407" s="224"/>
      <c r="W407" s="224"/>
      <c r="X407" s="224"/>
      <c r="Y407" s="224"/>
      <c r="Z407" s="868"/>
      <c r="AA407" s="865"/>
      <c r="AB407" s="2"/>
      <c r="AC407" s="2"/>
      <c r="AD407" s="2"/>
      <c r="AE407" s="2"/>
      <c r="AF407" s="2"/>
      <c r="AG407" s="2"/>
      <c r="AH407" s="2"/>
      <c r="AI407" s="2"/>
      <c r="AJ407" s="2"/>
      <c r="AK407" s="2"/>
      <c r="AL407" s="2"/>
      <c r="AM407" s="2"/>
      <c r="AN407" s="2"/>
      <c r="AO407" s="9"/>
      <c r="AP407" s="9"/>
      <c r="AQ407" s="9"/>
      <c r="AR407" s="9"/>
    </row>
    <row r="408">
      <c r="A408" s="585"/>
      <c r="B408" s="585"/>
      <c r="C408" s="585"/>
      <c r="D408" s="585"/>
      <c r="E408" s="585"/>
      <c r="F408" s="585"/>
      <c r="G408" s="585"/>
      <c r="H408" s="585"/>
      <c r="I408" s="585"/>
      <c r="J408" s="585"/>
      <c r="K408" s="585"/>
      <c r="L408" s="585"/>
      <c r="M408" s="585"/>
      <c r="N408" s="585"/>
      <c r="O408" s="585"/>
      <c r="P408" s="585"/>
      <c r="Q408" s="585"/>
      <c r="R408" s="585"/>
      <c r="S408" s="585"/>
      <c r="T408" s="585"/>
      <c r="U408" s="585"/>
      <c r="V408" s="224"/>
      <c r="W408" s="224"/>
      <c r="X408" s="224"/>
      <c r="Y408" s="224"/>
      <c r="Z408" s="868"/>
      <c r="AA408" s="865"/>
      <c r="AB408" s="2"/>
      <c r="AC408" s="2"/>
      <c r="AD408" s="2"/>
      <c r="AE408" s="2"/>
      <c r="AF408" s="2"/>
      <c r="AG408" s="2"/>
      <c r="AH408" s="2"/>
      <c r="AI408" s="2"/>
      <c r="AJ408" s="2"/>
      <c r="AK408" s="2"/>
      <c r="AL408" s="2"/>
      <c r="AM408" s="2"/>
      <c r="AN408" s="2"/>
      <c r="AO408" s="9"/>
      <c r="AP408" s="9"/>
      <c r="AQ408" s="9"/>
      <c r="AR408" s="9"/>
    </row>
    <row r="409">
      <c r="A409" s="585"/>
      <c r="B409" s="585"/>
      <c r="C409" s="585"/>
      <c r="D409" s="585"/>
      <c r="E409" s="585"/>
      <c r="F409" s="585"/>
      <c r="G409" s="585"/>
      <c r="H409" s="585"/>
      <c r="I409" s="585"/>
      <c r="J409" s="585"/>
      <c r="K409" s="585"/>
      <c r="L409" s="585"/>
      <c r="M409" s="585"/>
      <c r="N409" s="585"/>
      <c r="O409" s="585"/>
      <c r="P409" s="585"/>
      <c r="Q409" s="585"/>
      <c r="R409" s="585"/>
      <c r="S409" s="585"/>
      <c r="T409" s="585"/>
      <c r="U409" s="585"/>
      <c r="V409" s="224"/>
      <c r="W409" s="224"/>
      <c r="X409" s="224"/>
      <c r="Y409" s="224"/>
      <c r="Z409" s="868"/>
      <c r="AA409" s="865"/>
      <c r="AB409" s="2"/>
      <c r="AC409" s="2"/>
      <c r="AD409" s="2"/>
      <c r="AE409" s="2"/>
      <c r="AF409" s="2"/>
      <c r="AG409" s="2"/>
      <c r="AH409" s="2"/>
      <c r="AI409" s="2"/>
      <c r="AJ409" s="2"/>
      <c r="AK409" s="2"/>
      <c r="AL409" s="2"/>
      <c r="AM409" s="2"/>
      <c r="AN409" s="2"/>
      <c r="AO409" s="9"/>
      <c r="AP409" s="9"/>
      <c r="AQ409" s="9"/>
      <c r="AR409" s="9"/>
    </row>
    <row r="410">
      <c r="A410" s="585"/>
      <c r="B410" s="585"/>
      <c r="C410" s="585"/>
      <c r="D410" s="585"/>
      <c r="E410" s="585"/>
      <c r="F410" s="585"/>
      <c r="G410" s="585"/>
      <c r="H410" s="585"/>
      <c r="I410" s="585"/>
      <c r="J410" s="585"/>
      <c r="K410" s="585"/>
      <c r="L410" s="585"/>
      <c r="M410" s="585"/>
      <c r="N410" s="585"/>
      <c r="O410" s="585"/>
      <c r="P410" s="585"/>
      <c r="Q410" s="585"/>
      <c r="R410" s="585"/>
      <c r="S410" s="585"/>
      <c r="T410" s="585"/>
      <c r="U410" s="585"/>
      <c r="V410" s="224"/>
      <c r="W410" s="224"/>
      <c r="X410" s="224"/>
      <c r="Y410" s="224"/>
      <c r="Z410" s="868"/>
      <c r="AA410" s="865"/>
      <c r="AB410" s="2"/>
      <c r="AC410" s="2"/>
      <c r="AD410" s="2"/>
      <c r="AE410" s="2"/>
      <c r="AF410" s="2"/>
      <c r="AG410" s="2"/>
      <c r="AH410" s="2"/>
      <c r="AI410" s="2"/>
      <c r="AJ410" s="2"/>
      <c r="AK410" s="2"/>
      <c r="AL410" s="2"/>
      <c r="AM410" s="2"/>
      <c r="AN410" s="2"/>
      <c r="AO410" s="9"/>
      <c r="AP410" s="9"/>
      <c r="AQ410" s="9"/>
      <c r="AR410" s="9"/>
    </row>
    <row r="411">
      <c r="A411" s="585"/>
      <c r="B411" s="585"/>
      <c r="C411" s="585"/>
      <c r="D411" s="585"/>
      <c r="E411" s="585"/>
      <c r="F411" s="585"/>
      <c r="G411" s="585"/>
      <c r="H411" s="585"/>
      <c r="I411" s="585"/>
      <c r="J411" s="585"/>
      <c r="K411" s="585"/>
      <c r="L411" s="585"/>
      <c r="M411" s="585"/>
      <c r="N411" s="585"/>
      <c r="O411" s="585"/>
      <c r="P411" s="585"/>
      <c r="Q411" s="585"/>
      <c r="R411" s="585"/>
      <c r="S411" s="585"/>
      <c r="T411" s="585"/>
      <c r="U411" s="585"/>
      <c r="V411" s="224"/>
      <c r="W411" s="224"/>
      <c r="X411" s="224"/>
      <c r="Y411" s="224"/>
      <c r="Z411" s="868"/>
      <c r="AA411" s="865"/>
      <c r="AB411" s="2"/>
      <c r="AC411" s="2"/>
      <c r="AD411" s="2"/>
      <c r="AE411" s="2"/>
      <c r="AF411" s="2"/>
      <c r="AG411" s="2"/>
      <c r="AH411" s="2"/>
      <c r="AI411" s="2"/>
      <c r="AJ411" s="2"/>
      <c r="AK411" s="2"/>
      <c r="AL411" s="2"/>
      <c r="AM411" s="2"/>
      <c r="AN411" s="2"/>
      <c r="AO411" s="9"/>
      <c r="AP411" s="9"/>
      <c r="AQ411" s="9"/>
      <c r="AR411" s="9"/>
    </row>
    <row r="412">
      <c r="A412" s="585"/>
      <c r="B412" s="585"/>
      <c r="C412" s="585"/>
      <c r="D412" s="585"/>
      <c r="E412" s="585"/>
      <c r="F412" s="585"/>
      <c r="G412" s="585"/>
      <c r="H412" s="585"/>
      <c r="I412" s="585"/>
      <c r="J412" s="585"/>
      <c r="K412" s="585"/>
      <c r="L412" s="585"/>
      <c r="M412" s="585"/>
      <c r="N412" s="585"/>
      <c r="O412" s="585"/>
      <c r="P412" s="585"/>
      <c r="Q412" s="585"/>
      <c r="R412" s="585"/>
      <c r="S412" s="585"/>
      <c r="T412" s="585"/>
      <c r="U412" s="585"/>
      <c r="V412" s="224"/>
      <c r="W412" s="224"/>
      <c r="X412" s="224"/>
      <c r="Y412" s="224"/>
      <c r="Z412" s="868"/>
      <c r="AA412" s="865"/>
      <c r="AB412" s="2"/>
      <c r="AC412" s="2"/>
      <c r="AD412" s="2"/>
      <c r="AE412" s="2"/>
      <c r="AF412" s="2"/>
      <c r="AG412" s="2"/>
      <c r="AH412" s="2"/>
      <c r="AI412" s="2"/>
      <c r="AJ412" s="2"/>
      <c r="AK412" s="2"/>
      <c r="AL412" s="2"/>
      <c r="AM412" s="2"/>
      <c r="AN412" s="2"/>
      <c r="AO412" s="9"/>
      <c r="AP412" s="9"/>
      <c r="AQ412" s="9"/>
      <c r="AR412" s="9"/>
    </row>
    <row r="413">
      <c r="A413" s="585"/>
      <c r="B413" s="585"/>
      <c r="C413" s="585"/>
      <c r="D413" s="585"/>
      <c r="E413" s="585"/>
      <c r="F413" s="585"/>
      <c r="G413" s="585"/>
      <c r="H413" s="585"/>
      <c r="I413" s="585"/>
      <c r="J413" s="585"/>
      <c r="K413" s="585"/>
      <c r="L413" s="585"/>
      <c r="M413" s="585"/>
      <c r="N413" s="585"/>
      <c r="O413" s="585"/>
      <c r="P413" s="585"/>
      <c r="Q413" s="585"/>
      <c r="R413" s="585"/>
      <c r="S413" s="585"/>
      <c r="T413" s="585"/>
      <c r="U413" s="585"/>
      <c r="V413" s="224"/>
      <c r="W413" s="224"/>
      <c r="X413" s="224"/>
      <c r="Y413" s="224"/>
      <c r="Z413" s="868"/>
      <c r="AA413" s="865"/>
      <c r="AB413" s="2"/>
      <c r="AC413" s="2"/>
      <c r="AD413" s="2"/>
      <c r="AE413" s="2"/>
      <c r="AF413" s="2"/>
      <c r="AG413" s="2"/>
      <c r="AH413" s="2"/>
      <c r="AI413" s="2"/>
      <c r="AJ413" s="2"/>
      <c r="AK413" s="2"/>
      <c r="AL413" s="2"/>
      <c r="AM413" s="2"/>
      <c r="AN413" s="2"/>
      <c r="AO413" s="9"/>
      <c r="AP413" s="9"/>
      <c r="AQ413" s="9"/>
      <c r="AR413" s="9"/>
    </row>
    <row r="414">
      <c r="A414" s="585"/>
      <c r="B414" s="585"/>
      <c r="C414" s="585"/>
      <c r="D414" s="585"/>
      <c r="E414" s="585"/>
      <c r="F414" s="585"/>
      <c r="G414" s="585"/>
      <c r="H414" s="585"/>
      <c r="I414" s="585"/>
      <c r="J414" s="585"/>
      <c r="K414" s="585"/>
      <c r="L414" s="585"/>
      <c r="M414" s="585"/>
      <c r="N414" s="585"/>
      <c r="O414" s="585"/>
      <c r="P414" s="585"/>
      <c r="Q414" s="585"/>
      <c r="R414" s="585"/>
      <c r="S414" s="585"/>
      <c r="T414" s="585"/>
      <c r="U414" s="585"/>
      <c r="V414" s="224"/>
      <c r="W414" s="224"/>
      <c r="X414" s="224"/>
      <c r="Y414" s="224"/>
      <c r="Z414" s="868"/>
      <c r="AA414" s="865"/>
      <c r="AB414" s="2"/>
      <c r="AC414" s="2"/>
      <c r="AD414" s="2"/>
      <c r="AE414" s="2"/>
      <c r="AF414" s="2"/>
      <c r="AG414" s="2"/>
      <c r="AH414" s="2"/>
      <c r="AI414" s="2"/>
      <c r="AJ414" s="2"/>
      <c r="AK414" s="2"/>
      <c r="AL414" s="2"/>
      <c r="AM414" s="2"/>
      <c r="AN414" s="2"/>
      <c r="AO414" s="9"/>
      <c r="AP414" s="9"/>
      <c r="AQ414" s="9"/>
      <c r="AR414" s="9"/>
    </row>
    <row r="415">
      <c r="A415" s="585"/>
      <c r="B415" s="585"/>
      <c r="C415" s="585"/>
      <c r="D415" s="585"/>
      <c r="E415" s="585"/>
      <c r="F415" s="585"/>
      <c r="G415" s="585"/>
      <c r="H415" s="585"/>
      <c r="I415" s="585"/>
      <c r="J415" s="585"/>
      <c r="K415" s="585"/>
      <c r="L415" s="585"/>
      <c r="M415" s="585"/>
      <c r="N415" s="585"/>
      <c r="O415" s="585"/>
      <c r="P415" s="585"/>
      <c r="Q415" s="585"/>
      <c r="R415" s="585"/>
      <c r="S415" s="585"/>
      <c r="T415" s="585"/>
      <c r="U415" s="585"/>
      <c r="V415" s="224"/>
      <c r="W415" s="224"/>
      <c r="X415" s="224"/>
      <c r="Y415" s="224"/>
      <c r="Z415" s="868"/>
      <c r="AA415" s="865"/>
      <c r="AB415" s="2"/>
      <c r="AC415" s="2"/>
      <c r="AD415" s="2"/>
      <c r="AE415" s="2"/>
      <c r="AF415" s="2"/>
      <c r="AG415" s="2"/>
      <c r="AH415" s="2"/>
      <c r="AI415" s="2"/>
      <c r="AJ415" s="2"/>
      <c r="AK415" s="2"/>
      <c r="AL415" s="2"/>
      <c r="AM415" s="2"/>
      <c r="AN415" s="2"/>
      <c r="AO415" s="9"/>
      <c r="AP415" s="9"/>
      <c r="AQ415" s="9"/>
      <c r="AR415" s="9"/>
    </row>
    <row r="416">
      <c r="A416" s="585"/>
      <c r="B416" s="585"/>
      <c r="C416" s="585"/>
      <c r="D416" s="585"/>
      <c r="E416" s="585"/>
      <c r="F416" s="585"/>
      <c r="G416" s="585"/>
      <c r="H416" s="585"/>
      <c r="I416" s="585"/>
      <c r="J416" s="585"/>
      <c r="K416" s="585"/>
      <c r="L416" s="585"/>
      <c r="M416" s="585"/>
      <c r="N416" s="585"/>
      <c r="O416" s="585"/>
      <c r="P416" s="585"/>
      <c r="Q416" s="585"/>
      <c r="R416" s="585"/>
      <c r="S416" s="585"/>
      <c r="T416" s="585"/>
      <c r="U416" s="585"/>
      <c r="V416" s="224"/>
      <c r="W416" s="224"/>
      <c r="X416" s="224"/>
      <c r="Y416" s="224"/>
      <c r="Z416" s="868"/>
      <c r="AA416" s="865"/>
      <c r="AB416" s="2"/>
      <c r="AC416" s="2"/>
      <c r="AD416" s="2"/>
      <c r="AE416" s="2"/>
      <c r="AF416" s="2"/>
      <c r="AG416" s="2"/>
      <c r="AH416" s="2"/>
      <c r="AI416" s="2"/>
      <c r="AJ416" s="2"/>
      <c r="AK416" s="2"/>
      <c r="AL416" s="2"/>
      <c r="AM416" s="2"/>
      <c r="AN416" s="2"/>
      <c r="AO416" s="9"/>
      <c r="AP416" s="9"/>
      <c r="AQ416" s="9"/>
      <c r="AR416" s="9"/>
    </row>
    <row r="417">
      <c r="A417" s="585"/>
      <c r="B417" s="585"/>
      <c r="C417" s="585"/>
      <c r="D417" s="585"/>
      <c r="E417" s="585"/>
      <c r="F417" s="585"/>
      <c r="G417" s="585"/>
      <c r="H417" s="585"/>
      <c r="I417" s="585"/>
      <c r="J417" s="585"/>
      <c r="K417" s="585"/>
      <c r="L417" s="585"/>
      <c r="M417" s="585"/>
      <c r="N417" s="585"/>
      <c r="O417" s="585"/>
      <c r="P417" s="585"/>
      <c r="Q417" s="585"/>
      <c r="R417" s="585"/>
      <c r="S417" s="585"/>
      <c r="T417" s="585"/>
      <c r="U417" s="585"/>
      <c r="V417" s="224"/>
      <c r="W417" s="224"/>
      <c r="X417" s="224"/>
      <c r="Y417" s="224"/>
      <c r="Z417" s="868"/>
      <c r="AA417" s="865"/>
      <c r="AB417" s="2"/>
      <c r="AC417" s="2"/>
      <c r="AD417" s="2"/>
      <c r="AE417" s="2"/>
      <c r="AF417" s="2"/>
      <c r="AG417" s="2"/>
      <c r="AH417" s="2"/>
      <c r="AI417" s="2"/>
      <c r="AJ417" s="2"/>
      <c r="AK417" s="2"/>
      <c r="AL417" s="2"/>
      <c r="AM417" s="2"/>
      <c r="AN417" s="2"/>
      <c r="AO417" s="9"/>
      <c r="AP417" s="9"/>
      <c r="AQ417" s="9"/>
      <c r="AR417" s="9"/>
    </row>
    <row r="418">
      <c r="A418" s="585"/>
      <c r="B418" s="585"/>
      <c r="C418" s="585"/>
      <c r="D418" s="585"/>
      <c r="E418" s="585"/>
      <c r="F418" s="585"/>
      <c r="G418" s="585"/>
      <c r="H418" s="585"/>
      <c r="I418" s="585"/>
      <c r="J418" s="585"/>
      <c r="K418" s="585"/>
      <c r="L418" s="585"/>
      <c r="M418" s="585"/>
      <c r="N418" s="585"/>
      <c r="O418" s="585"/>
      <c r="P418" s="585"/>
      <c r="Q418" s="585"/>
      <c r="R418" s="585"/>
      <c r="S418" s="585"/>
      <c r="T418" s="585"/>
      <c r="U418" s="585"/>
      <c r="V418" s="224"/>
      <c r="W418" s="224"/>
      <c r="X418" s="224"/>
      <c r="Y418" s="224"/>
      <c r="Z418" s="868"/>
      <c r="AA418" s="865"/>
      <c r="AB418" s="2"/>
      <c r="AC418" s="2"/>
      <c r="AD418" s="2"/>
      <c r="AE418" s="2"/>
      <c r="AF418" s="2"/>
      <c r="AG418" s="2"/>
      <c r="AH418" s="2"/>
      <c r="AI418" s="2"/>
      <c r="AJ418" s="2"/>
      <c r="AK418" s="2"/>
      <c r="AL418" s="2"/>
      <c r="AM418" s="2"/>
      <c r="AN418" s="2"/>
      <c r="AO418" s="9"/>
      <c r="AP418" s="9"/>
      <c r="AQ418" s="9"/>
      <c r="AR418" s="9"/>
    </row>
    <row r="419">
      <c r="A419" s="585"/>
      <c r="B419" s="585"/>
      <c r="C419" s="585"/>
      <c r="D419" s="585"/>
      <c r="E419" s="585"/>
      <c r="F419" s="585"/>
      <c r="G419" s="585"/>
      <c r="H419" s="585"/>
      <c r="I419" s="585"/>
      <c r="J419" s="585"/>
      <c r="K419" s="585"/>
      <c r="L419" s="585"/>
      <c r="M419" s="585"/>
      <c r="N419" s="585"/>
      <c r="O419" s="585"/>
      <c r="P419" s="585"/>
      <c r="Q419" s="585"/>
      <c r="R419" s="585"/>
      <c r="S419" s="585"/>
      <c r="T419" s="585"/>
      <c r="U419" s="585"/>
      <c r="V419" s="224"/>
      <c r="W419" s="224"/>
      <c r="X419" s="224"/>
      <c r="Y419" s="224"/>
      <c r="Z419" s="868"/>
      <c r="AA419" s="865"/>
      <c r="AB419" s="2"/>
      <c r="AC419" s="2"/>
      <c r="AD419" s="2"/>
      <c r="AE419" s="2"/>
      <c r="AF419" s="2"/>
      <c r="AG419" s="2"/>
      <c r="AH419" s="2"/>
      <c r="AI419" s="2"/>
      <c r="AJ419" s="2"/>
      <c r="AK419" s="2"/>
      <c r="AL419" s="2"/>
      <c r="AM419" s="2"/>
      <c r="AN419" s="2"/>
      <c r="AO419" s="9"/>
      <c r="AP419" s="9"/>
      <c r="AQ419" s="9"/>
      <c r="AR419" s="9"/>
    </row>
    <row r="420">
      <c r="A420" s="585"/>
      <c r="B420" s="585"/>
      <c r="C420" s="585"/>
      <c r="D420" s="585"/>
      <c r="E420" s="585"/>
      <c r="F420" s="585"/>
      <c r="G420" s="585"/>
      <c r="H420" s="585"/>
      <c r="I420" s="585"/>
      <c r="J420" s="585"/>
      <c r="K420" s="585"/>
      <c r="L420" s="585"/>
      <c r="M420" s="585"/>
      <c r="N420" s="585"/>
      <c r="O420" s="585"/>
      <c r="P420" s="585"/>
      <c r="Q420" s="585"/>
      <c r="R420" s="585"/>
      <c r="S420" s="585"/>
      <c r="T420" s="585"/>
      <c r="U420" s="585"/>
      <c r="V420" s="224"/>
      <c r="W420" s="224"/>
      <c r="X420" s="224"/>
      <c r="Y420" s="224"/>
      <c r="Z420" s="868"/>
      <c r="AA420" s="865"/>
      <c r="AB420" s="2"/>
      <c r="AC420" s="2"/>
      <c r="AD420" s="2"/>
      <c r="AE420" s="2"/>
      <c r="AF420" s="2"/>
      <c r="AG420" s="2"/>
      <c r="AH420" s="2"/>
      <c r="AI420" s="2"/>
      <c r="AJ420" s="2"/>
      <c r="AK420" s="2"/>
      <c r="AL420" s="2"/>
      <c r="AM420" s="2"/>
      <c r="AN420" s="2"/>
      <c r="AO420" s="9"/>
      <c r="AP420" s="9"/>
      <c r="AQ420" s="9"/>
      <c r="AR420" s="9"/>
    </row>
    <row r="421">
      <c r="A421" s="585"/>
      <c r="B421" s="585"/>
      <c r="C421" s="585"/>
      <c r="D421" s="585"/>
      <c r="E421" s="585"/>
      <c r="F421" s="585"/>
      <c r="G421" s="585"/>
      <c r="H421" s="585"/>
      <c r="I421" s="585"/>
      <c r="J421" s="585"/>
      <c r="K421" s="585"/>
      <c r="L421" s="585"/>
      <c r="M421" s="585"/>
      <c r="N421" s="585"/>
      <c r="O421" s="585"/>
      <c r="P421" s="585"/>
      <c r="Q421" s="585"/>
      <c r="R421" s="585"/>
      <c r="S421" s="585"/>
      <c r="T421" s="585"/>
      <c r="U421" s="585"/>
      <c r="V421" s="224"/>
      <c r="W421" s="224"/>
      <c r="X421" s="224"/>
      <c r="Y421" s="224"/>
      <c r="Z421" s="868"/>
      <c r="AA421" s="865"/>
      <c r="AB421" s="2"/>
      <c r="AC421" s="2"/>
      <c r="AD421" s="2"/>
      <c r="AE421" s="2"/>
      <c r="AF421" s="2"/>
      <c r="AG421" s="2"/>
      <c r="AH421" s="2"/>
      <c r="AI421" s="2"/>
      <c r="AJ421" s="2"/>
      <c r="AK421" s="2"/>
      <c r="AL421" s="2"/>
      <c r="AM421" s="2"/>
      <c r="AN421" s="2"/>
      <c r="AO421" s="9"/>
      <c r="AP421" s="9"/>
      <c r="AQ421" s="9"/>
      <c r="AR421" s="9"/>
    </row>
    <row r="422">
      <c r="A422" s="585"/>
      <c r="B422" s="585"/>
      <c r="C422" s="585"/>
      <c r="D422" s="585"/>
      <c r="E422" s="585"/>
      <c r="F422" s="585"/>
      <c r="G422" s="585"/>
      <c r="H422" s="585"/>
      <c r="I422" s="585"/>
      <c r="J422" s="585"/>
      <c r="K422" s="585"/>
      <c r="L422" s="585"/>
      <c r="M422" s="585"/>
      <c r="N422" s="585"/>
      <c r="O422" s="585"/>
      <c r="P422" s="585"/>
      <c r="Q422" s="585"/>
      <c r="R422" s="585"/>
      <c r="S422" s="585"/>
      <c r="T422" s="585"/>
      <c r="U422" s="585"/>
      <c r="V422" s="224"/>
      <c r="W422" s="224"/>
      <c r="X422" s="224"/>
      <c r="Y422" s="224"/>
      <c r="Z422" s="868"/>
      <c r="AA422" s="865"/>
      <c r="AB422" s="2"/>
      <c r="AC422" s="2"/>
      <c r="AD422" s="2"/>
      <c r="AE422" s="2"/>
      <c r="AF422" s="2"/>
      <c r="AG422" s="2"/>
      <c r="AH422" s="2"/>
      <c r="AI422" s="2"/>
      <c r="AJ422" s="2"/>
      <c r="AK422" s="2"/>
      <c r="AL422" s="2"/>
      <c r="AM422" s="2"/>
      <c r="AN422" s="2"/>
      <c r="AO422" s="9"/>
      <c r="AP422" s="9"/>
      <c r="AQ422" s="9"/>
      <c r="AR422" s="9"/>
    </row>
    <row r="423">
      <c r="A423" s="585"/>
      <c r="B423" s="585"/>
      <c r="C423" s="585"/>
      <c r="D423" s="585"/>
      <c r="E423" s="585"/>
      <c r="F423" s="585"/>
      <c r="G423" s="585"/>
      <c r="H423" s="585"/>
      <c r="I423" s="585"/>
      <c r="J423" s="585"/>
      <c r="K423" s="585"/>
      <c r="L423" s="585"/>
      <c r="M423" s="585"/>
      <c r="N423" s="585"/>
      <c r="O423" s="585"/>
      <c r="P423" s="585"/>
      <c r="Q423" s="585"/>
      <c r="R423" s="585"/>
      <c r="S423" s="585"/>
      <c r="T423" s="585"/>
      <c r="U423" s="585"/>
      <c r="V423" s="224"/>
      <c r="W423" s="224"/>
      <c r="X423" s="224"/>
      <c r="Y423" s="224"/>
      <c r="Z423" s="868"/>
      <c r="AA423" s="865"/>
      <c r="AB423" s="2"/>
      <c r="AC423" s="2"/>
      <c r="AD423" s="2"/>
      <c r="AE423" s="2"/>
      <c r="AF423" s="2"/>
      <c r="AG423" s="2"/>
      <c r="AH423" s="2"/>
      <c r="AI423" s="2"/>
      <c r="AJ423" s="2"/>
      <c r="AK423" s="2"/>
      <c r="AL423" s="2"/>
      <c r="AM423" s="2"/>
      <c r="AN423" s="2"/>
      <c r="AO423" s="9"/>
      <c r="AP423" s="9"/>
      <c r="AQ423" s="9"/>
      <c r="AR423" s="9"/>
    </row>
    <row r="424">
      <c r="A424" s="585"/>
      <c r="B424" s="585"/>
      <c r="C424" s="585"/>
      <c r="D424" s="585"/>
      <c r="E424" s="585"/>
      <c r="F424" s="585"/>
      <c r="G424" s="585"/>
      <c r="H424" s="585"/>
      <c r="I424" s="585"/>
      <c r="J424" s="585"/>
      <c r="K424" s="585"/>
      <c r="L424" s="585"/>
      <c r="M424" s="585"/>
      <c r="N424" s="585"/>
      <c r="O424" s="585"/>
      <c r="P424" s="585"/>
      <c r="Q424" s="585"/>
      <c r="R424" s="585"/>
      <c r="S424" s="585"/>
      <c r="T424" s="585"/>
      <c r="U424" s="585"/>
      <c r="V424" s="224"/>
      <c r="W424" s="224"/>
      <c r="X424" s="224"/>
      <c r="Y424" s="224"/>
      <c r="Z424" s="868"/>
      <c r="AA424" s="865"/>
      <c r="AB424" s="2"/>
      <c r="AC424" s="2"/>
      <c r="AD424" s="2"/>
      <c r="AE424" s="2"/>
      <c r="AF424" s="2"/>
      <c r="AG424" s="2"/>
      <c r="AH424" s="2"/>
      <c r="AI424" s="2"/>
      <c r="AJ424" s="2"/>
      <c r="AK424" s="2"/>
      <c r="AL424" s="2"/>
      <c r="AM424" s="2"/>
      <c r="AN424" s="2"/>
      <c r="AO424" s="9"/>
      <c r="AP424" s="9"/>
      <c r="AQ424" s="9"/>
      <c r="AR424" s="9"/>
    </row>
    <row r="425">
      <c r="A425" s="585"/>
      <c r="B425" s="585"/>
      <c r="C425" s="585"/>
      <c r="D425" s="585"/>
      <c r="E425" s="585"/>
      <c r="F425" s="585"/>
      <c r="G425" s="585"/>
      <c r="H425" s="585"/>
      <c r="I425" s="585"/>
      <c r="J425" s="585"/>
      <c r="K425" s="585"/>
      <c r="L425" s="585"/>
      <c r="M425" s="585"/>
      <c r="N425" s="585"/>
      <c r="O425" s="585"/>
      <c r="P425" s="585"/>
      <c r="Q425" s="585"/>
      <c r="R425" s="585"/>
      <c r="S425" s="585"/>
      <c r="T425" s="585"/>
      <c r="U425" s="585"/>
      <c r="V425" s="224"/>
      <c r="W425" s="224"/>
      <c r="X425" s="224"/>
      <c r="Y425" s="224"/>
      <c r="Z425" s="868"/>
      <c r="AA425" s="865"/>
      <c r="AB425" s="2"/>
      <c r="AC425" s="2"/>
      <c r="AD425" s="2"/>
      <c r="AE425" s="2"/>
      <c r="AF425" s="2"/>
      <c r="AG425" s="2"/>
      <c r="AH425" s="2"/>
      <c r="AI425" s="2"/>
      <c r="AJ425" s="2"/>
      <c r="AK425" s="2"/>
      <c r="AL425" s="2"/>
      <c r="AM425" s="2"/>
      <c r="AN425" s="2"/>
      <c r="AO425" s="9"/>
      <c r="AP425" s="9"/>
      <c r="AQ425" s="9"/>
      <c r="AR425" s="9"/>
    </row>
    <row r="426">
      <c r="A426" s="585"/>
      <c r="B426" s="585"/>
      <c r="C426" s="585"/>
      <c r="D426" s="585"/>
      <c r="E426" s="585"/>
      <c r="F426" s="585"/>
      <c r="G426" s="585"/>
      <c r="H426" s="585"/>
      <c r="I426" s="585"/>
      <c r="J426" s="585"/>
      <c r="K426" s="585"/>
      <c r="L426" s="585"/>
      <c r="M426" s="585"/>
      <c r="N426" s="585"/>
      <c r="O426" s="585"/>
      <c r="P426" s="585"/>
      <c r="Q426" s="585"/>
      <c r="R426" s="585"/>
      <c r="S426" s="585"/>
      <c r="T426" s="585"/>
      <c r="U426" s="585"/>
      <c r="V426" s="224"/>
      <c r="W426" s="224"/>
      <c r="X426" s="224"/>
      <c r="Y426" s="224"/>
      <c r="Z426" s="868"/>
      <c r="AA426" s="865"/>
      <c r="AB426" s="2"/>
      <c r="AC426" s="2"/>
      <c r="AD426" s="2"/>
      <c r="AE426" s="2"/>
      <c r="AF426" s="2"/>
      <c r="AG426" s="2"/>
      <c r="AH426" s="2"/>
      <c r="AI426" s="2"/>
      <c r="AJ426" s="2"/>
      <c r="AK426" s="2"/>
      <c r="AL426" s="2"/>
      <c r="AM426" s="2"/>
      <c r="AN426" s="2"/>
      <c r="AO426" s="9"/>
      <c r="AP426" s="9"/>
      <c r="AQ426" s="9"/>
      <c r="AR426" s="9"/>
    </row>
    <row r="427">
      <c r="A427" s="585"/>
      <c r="B427" s="585"/>
      <c r="C427" s="585"/>
      <c r="D427" s="585"/>
      <c r="E427" s="585"/>
      <c r="F427" s="585"/>
      <c r="G427" s="585"/>
      <c r="H427" s="585"/>
      <c r="I427" s="585"/>
      <c r="J427" s="585"/>
      <c r="K427" s="585"/>
      <c r="L427" s="585"/>
      <c r="M427" s="585"/>
      <c r="N427" s="585"/>
      <c r="O427" s="585"/>
      <c r="P427" s="585"/>
      <c r="Q427" s="585"/>
      <c r="R427" s="585"/>
      <c r="S427" s="585"/>
      <c r="T427" s="585"/>
      <c r="U427" s="585"/>
      <c r="V427" s="224"/>
      <c r="W427" s="224"/>
      <c r="X427" s="224"/>
      <c r="Y427" s="224"/>
      <c r="Z427" s="868"/>
      <c r="AA427" s="865"/>
      <c r="AB427" s="2"/>
      <c r="AC427" s="2"/>
      <c r="AD427" s="2"/>
      <c r="AE427" s="2"/>
      <c r="AF427" s="2"/>
      <c r="AG427" s="2"/>
      <c r="AH427" s="2"/>
      <c r="AI427" s="2"/>
      <c r="AJ427" s="2"/>
      <c r="AK427" s="2"/>
      <c r="AL427" s="2"/>
      <c r="AM427" s="2"/>
      <c r="AN427" s="2"/>
      <c r="AO427" s="9"/>
      <c r="AP427" s="9"/>
      <c r="AQ427" s="9"/>
      <c r="AR427" s="9"/>
    </row>
    <row r="428">
      <c r="A428" s="585"/>
      <c r="B428" s="585"/>
      <c r="C428" s="585"/>
      <c r="D428" s="585"/>
      <c r="E428" s="585"/>
      <c r="F428" s="585"/>
      <c r="G428" s="585"/>
      <c r="H428" s="585"/>
      <c r="I428" s="585"/>
      <c r="J428" s="585"/>
      <c r="K428" s="585"/>
      <c r="L428" s="585"/>
      <c r="M428" s="585"/>
      <c r="N428" s="585"/>
      <c r="O428" s="585"/>
      <c r="P428" s="585"/>
      <c r="Q428" s="585"/>
      <c r="R428" s="585"/>
      <c r="S428" s="585"/>
      <c r="T428" s="585"/>
      <c r="U428" s="585"/>
      <c r="V428" s="224"/>
      <c r="W428" s="224"/>
      <c r="X428" s="224"/>
      <c r="Y428" s="224"/>
      <c r="Z428" s="868"/>
      <c r="AA428" s="865"/>
      <c r="AB428" s="2"/>
      <c r="AC428" s="2"/>
      <c r="AD428" s="2"/>
      <c r="AE428" s="2"/>
      <c r="AF428" s="2"/>
      <c r="AG428" s="2"/>
      <c r="AH428" s="2"/>
      <c r="AI428" s="2"/>
      <c r="AJ428" s="2"/>
      <c r="AK428" s="2"/>
      <c r="AL428" s="2"/>
      <c r="AM428" s="2"/>
      <c r="AN428" s="2"/>
      <c r="AO428" s="9"/>
      <c r="AP428" s="9"/>
      <c r="AQ428" s="9"/>
      <c r="AR428" s="9"/>
    </row>
    <row r="429">
      <c r="A429" s="585"/>
      <c r="B429" s="585"/>
      <c r="C429" s="585"/>
      <c r="D429" s="585"/>
      <c r="E429" s="585"/>
      <c r="F429" s="585"/>
      <c r="G429" s="585"/>
      <c r="H429" s="585"/>
      <c r="I429" s="585"/>
      <c r="J429" s="585"/>
      <c r="K429" s="585"/>
      <c r="L429" s="585"/>
      <c r="M429" s="585"/>
      <c r="N429" s="585"/>
      <c r="O429" s="585"/>
      <c r="P429" s="585"/>
      <c r="Q429" s="585"/>
      <c r="R429" s="585"/>
      <c r="S429" s="585"/>
      <c r="T429" s="585"/>
      <c r="U429" s="585"/>
      <c r="V429" s="224"/>
      <c r="W429" s="224"/>
      <c r="X429" s="224"/>
      <c r="Y429" s="224"/>
      <c r="Z429" s="868"/>
      <c r="AA429" s="865"/>
      <c r="AB429" s="2"/>
      <c r="AC429" s="2"/>
      <c r="AD429" s="2"/>
      <c r="AE429" s="2"/>
      <c r="AF429" s="2"/>
      <c r="AG429" s="2"/>
      <c r="AH429" s="2"/>
      <c r="AI429" s="2"/>
      <c r="AJ429" s="2"/>
      <c r="AK429" s="2"/>
      <c r="AL429" s="2"/>
      <c r="AM429" s="2"/>
      <c r="AN429" s="2"/>
      <c r="AO429" s="9"/>
      <c r="AP429" s="9"/>
      <c r="AQ429" s="9"/>
      <c r="AR429" s="9"/>
    </row>
    <row r="430">
      <c r="A430" s="585"/>
      <c r="B430" s="585"/>
      <c r="C430" s="585"/>
      <c r="D430" s="585"/>
      <c r="E430" s="585"/>
      <c r="F430" s="585"/>
      <c r="G430" s="585"/>
      <c r="H430" s="585"/>
      <c r="I430" s="585"/>
      <c r="J430" s="585"/>
      <c r="K430" s="585"/>
      <c r="L430" s="585"/>
      <c r="M430" s="585"/>
      <c r="N430" s="585"/>
      <c r="O430" s="585"/>
      <c r="P430" s="585"/>
      <c r="Q430" s="585"/>
      <c r="R430" s="585"/>
      <c r="S430" s="585"/>
      <c r="T430" s="585"/>
      <c r="U430" s="585"/>
      <c r="V430" s="224"/>
      <c r="W430" s="224"/>
      <c r="X430" s="224"/>
      <c r="Y430" s="224"/>
      <c r="Z430" s="868"/>
      <c r="AA430" s="865"/>
      <c r="AB430" s="2"/>
      <c r="AC430" s="2"/>
      <c r="AD430" s="2"/>
      <c r="AE430" s="2"/>
      <c r="AF430" s="2"/>
      <c r="AG430" s="2"/>
      <c r="AH430" s="2"/>
      <c r="AI430" s="2"/>
      <c r="AJ430" s="2"/>
      <c r="AK430" s="2"/>
      <c r="AL430" s="2"/>
      <c r="AM430" s="2"/>
      <c r="AN430" s="2"/>
      <c r="AO430" s="9"/>
      <c r="AP430" s="9"/>
      <c r="AQ430" s="9"/>
      <c r="AR430" s="9"/>
    </row>
    <row r="431">
      <c r="A431" s="585"/>
      <c r="B431" s="585"/>
      <c r="C431" s="585"/>
      <c r="D431" s="585"/>
      <c r="E431" s="585"/>
      <c r="F431" s="585"/>
      <c r="G431" s="585"/>
      <c r="H431" s="585"/>
      <c r="I431" s="585"/>
      <c r="J431" s="585"/>
      <c r="K431" s="585"/>
      <c r="L431" s="585"/>
      <c r="M431" s="585"/>
      <c r="N431" s="585"/>
      <c r="O431" s="585"/>
      <c r="P431" s="585"/>
      <c r="Q431" s="585"/>
      <c r="R431" s="585"/>
      <c r="S431" s="585"/>
      <c r="T431" s="585"/>
      <c r="U431" s="585"/>
      <c r="V431" s="224"/>
      <c r="W431" s="224"/>
      <c r="X431" s="224"/>
      <c r="Y431" s="224"/>
      <c r="Z431" s="868"/>
      <c r="AA431" s="865"/>
      <c r="AB431" s="2"/>
      <c r="AC431" s="2"/>
      <c r="AD431" s="2"/>
      <c r="AE431" s="2"/>
      <c r="AF431" s="2"/>
      <c r="AG431" s="2"/>
      <c r="AH431" s="2"/>
      <c r="AI431" s="2"/>
      <c r="AJ431" s="2"/>
      <c r="AK431" s="2"/>
      <c r="AL431" s="2"/>
      <c r="AM431" s="2"/>
      <c r="AN431" s="2"/>
      <c r="AO431" s="9"/>
      <c r="AP431" s="9"/>
      <c r="AQ431" s="9"/>
      <c r="AR431" s="9"/>
    </row>
    <row r="432">
      <c r="A432" s="585"/>
      <c r="B432" s="585"/>
      <c r="C432" s="585"/>
      <c r="D432" s="585"/>
      <c r="E432" s="585"/>
      <c r="F432" s="585"/>
      <c r="G432" s="585"/>
      <c r="H432" s="585"/>
      <c r="I432" s="585"/>
      <c r="J432" s="585"/>
      <c r="K432" s="585"/>
      <c r="L432" s="585"/>
      <c r="M432" s="585"/>
      <c r="N432" s="585"/>
      <c r="O432" s="585"/>
      <c r="P432" s="585"/>
      <c r="Q432" s="585"/>
      <c r="R432" s="585"/>
      <c r="S432" s="585"/>
      <c r="T432" s="585"/>
      <c r="U432" s="585"/>
      <c r="V432" s="224"/>
      <c r="W432" s="224"/>
      <c r="X432" s="224"/>
      <c r="Y432" s="224"/>
      <c r="Z432" s="868"/>
      <c r="AA432" s="865"/>
      <c r="AB432" s="2"/>
      <c r="AC432" s="2"/>
      <c r="AD432" s="2"/>
      <c r="AE432" s="2"/>
      <c r="AF432" s="2"/>
      <c r="AG432" s="2"/>
      <c r="AH432" s="2"/>
      <c r="AI432" s="2"/>
      <c r="AJ432" s="2"/>
      <c r="AK432" s="2"/>
      <c r="AL432" s="2"/>
      <c r="AM432" s="2"/>
      <c r="AN432" s="2"/>
      <c r="AO432" s="9"/>
      <c r="AP432" s="9"/>
      <c r="AQ432" s="9"/>
      <c r="AR432" s="9"/>
    </row>
    <row r="433">
      <c r="A433" s="585"/>
      <c r="B433" s="585"/>
      <c r="C433" s="585"/>
      <c r="D433" s="585"/>
      <c r="E433" s="585"/>
      <c r="F433" s="585"/>
      <c r="G433" s="585"/>
      <c r="H433" s="585"/>
      <c r="I433" s="585"/>
      <c r="J433" s="585"/>
      <c r="K433" s="585"/>
      <c r="L433" s="585"/>
      <c r="M433" s="585"/>
      <c r="N433" s="585"/>
      <c r="O433" s="585"/>
      <c r="P433" s="585"/>
      <c r="Q433" s="585"/>
      <c r="R433" s="585"/>
      <c r="S433" s="585"/>
      <c r="T433" s="585"/>
      <c r="U433" s="585"/>
      <c r="V433" s="224"/>
      <c r="W433" s="224"/>
      <c r="X433" s="224"/>
      <c r="Y433" s="224"/>
      <c r="Z433" s="868"/>
      <c r="AA433" s="865"/>
      <c r="AB433" s="2"/>
      <c r="AC433" s="2"/>
      <c r="AD433" s="2"/>
      <c r="AE433" s="2"/>
      <c r="AF433" s="2"/>
      <c r="AG433" s="2"/>
      <c r="AH433" s="2"/>
      <c r="AI433" s="2"/>
      <c r="AJ433" s="2"/>
      <c r="AK433" s="2"/>
      <c r="AL433" s="2"/>
      <c r="AM433" s="2"/>
      <c r="AN433" s="2"/>
      <c r="AO433" s="9"/>
      <c r="AP433" s="9"/>
      <c r="AQ433" s="9"/>
      <c r="AR433" s="9"/>
    </row>
    <row r="434">
      <c r="A434" s="585"/>
      <c r="B434" s="585"/>
      <c r="C434" s="585"/>
      <c r="D434" s="585"/>
      <c r="E434" s="585"/>
      <c r="F434" s="585"/>
      <c r="G434" s="585"/>
      <c r="H434" s="585"/>
      <c r="I434" s="585"/>
      <c r="J434" s="585"/>
      <c r="K434" s="585"/>
      <c r="L434" s="585"/>
      <c r="M434" s="585"/>
      <c r="N434" s="585"/>
      <c r="O434" s="585"/>
      <c r="P434" s="585"/>
      <c r="Q434" s="585"/>
      <c r="R434" s="585"/>
      <c r="S434" s="585"/>
      <c r="T434" s="585"/>
      <c r="U434" s="585"/>
      <c r="V434" s="224"/>
      <c r="W434" s="224"/>
      <c r="X434" s="224"/>
      <c r="Y434" s="224"/>
      <c r="Z434" s="868"/>
      <c r="AA434" s="865"/>
      <c r="AB434" s="2"/>
      <c r="AC434" s="2"/>
      <c r="AD434" s="2"/>
      <c r="AE434" s="2"/>
      <c r="AF434" s="2"/>
      <c r="AG434" s="2"/>
      <c r="AH434" s="2"/>
      <c r="AI434" s="2"/>
      <c r="AJ434" s="2"/>
      <c r="AK434" s="2"/>
      <c r="AL434" s="2"/>
      <c r="AM434" s="2"/>
      <c r="AN434" s="2"/>
      <c r="AO434" s="9"/>
      <c r="AP434" s="9"/>
      <c r="AQ434" s="9"/>
      <c r="AR434" s="9"/>
    </row>
    <row r="435">
      <c r="A435" s="585"/>
      <c r="B435" s="585"/>
      <c r="C435" s="585"/>
      <c r="D435" s="585"/>
      <c r="E435" s="585"/>
      <c r="F435" s="585"/>
      <c r="G435" s="585"/>
      <c r="H435" s="585"/>
      <c r="I435" s="585"/>
      <c r="J435" s="585"/>
      <c r="K435" s="585"/>
      <c r="L435" s="585"/>
      <c r="M435" s="585"/>
      <c r="N435" s="585"/>
      <c r="O435" s="585"/>
      <c r="P435" s="585"/>
      <c r="Q435" s="585"/>
      <c r="R435" s="585"/>
      <c r="S435" s="585"/>
      <c r="T435" s="585"/>
      <c r="U435" s="585"/>
      <c r="V435" s="224"/>
      <c r="W435" s="224"/>
      <c r="X435" s="224"/>
      <c r="Y435" s="224"/>
      <c r="Z435" s="868"/>
      <c r="AA435" s="865"/>
      <c r="AB435" s="2"/>
      <c r="AC435" s="2"/>
      <c r="AD435" s="2"/>
      <c r="AE435" s="2"/>
      <c r="AF435" s="2"/>
      <c r="AG435" s="2"/>
      <c r="AH435" s="2"/>
      <c r="AI435" s="2"/>
      <c r="AJ435" s="2"/>
      <c r="AK435" s="2"/>
      <c r="AL435" s="2"/>
      <c r="AM435" s="2"/>
      <c r="AN435" s="2"/>
      <c r="AO435" s="9"/>
      <c r="AP435" s="9"/>
      <c r="AQ435" s="9"/>
      <c r="AR435" s="9"/>
    </row>
    <row r="436">
      <c r="A436" s="585"/>
      <c r="B436" s="585"/>
      <c r="C436" s="585"/>
      <c r="D436" s="585"/>
      <c r="E436" s="585"/>
      <c r="F436" s="585"/>
      <c r="G436" s="585"/>
      <c r="H436" s="585"/>
      <c r="I436" s="585"/>
      <c r="J436" s="585"/>
      <c r="K436" s="585"/>
      <c r="L436" s="585"/>
      <c r="M436" s="585"/>
      <c r="N436" s="585"/>
      <c r="O436" s="585"/>
      <c r="P436" s="585"/>
      <c r="Q436" s="585"/>
      <c r="R436" s="585"/>
      <c r="S436" s="585"/>
      <c r="T436" s="585"/>
      <c r="U436" s="585"/>
      <c r="V436" s="224"/>
      <c r="W436" s="224"/>
      <c r="X436" s="224"/>
      <c r="Y436" s="224"/>
      <c r="Z436" s="868"/>
      <c r="AA436" s="865"/>
      <c r="AB436" s="2"/>
      <c r="AC436" s="2"/>
      <c r="AD436" s="2"/>
      <c r="AE436" s="2"/>
      <c r="AF436" s="2"/>
      <c r="AG436" s="2"/>
      <c r="AH436" s="2"/>
      <c r="AI436" s="2"/>
      <c r="AJ436" s="2"/>
      <c r="AK436" s="2"/>
      <c r="AL436" s="2"/>
      <c r="AM436" s="2"/>
      <c r="AN436" s="2"/>
      <c r="AO436" s="9"/>
      <c r="AP436" s="9"/>
      <c r="AQ436" s="9"/>
      <c r="AR436" s="9"/>
    </row>
    <row r="437">
      <c r="A437" s="585"/>
      <c r="B437" s="585"/>
      <c r="C437" s="585"/>
      <c r="D437" s="585"/>
      <c r="E437" s="585"/>
      <c r="F437" s="585"/>
      <c r="G437" s="585"/>
      <c r="H437" s="585"/>
      <c r="I437" s="585"/>
      <c r="J437" s="585"/>
      <c r="K437" s="585"/>
      <c r="L437" s="585"/>
      <c r="M437" s="585"/>
      <c r="N437" s="585"/>
      <c r="O437" s="585"/>
      <c r="P437" s="585"/>
      <c r="Q437" s="585"/>
      <c r="R437" s="585"/>
      <c r="S437" s="585"/>
      <c r="T437" s="585"/>
      <c r="U437" s="585"/>
      <c r="V437" s="224"/>
      <c r="W437" s="224"/>
      <c r="X437" s="224"/>
      <c r="Y437" s="224"/>
      <c r="Z437" s="868"/>
      <c r="AA437" s="865"/>
      <c r="AB437" s="2"/>
      <c r="AC437" s="2"/>
      <c r="AD437" s="2"/>
      <c r="AE437" s="2"/>
      <c r="AF437" s="2"/>
      <c r="AG437" s="2"/>
      <c r="AH437" s="2"/>
      <c r="AI437" s="2"/>
      <c r="AJ437" s="2"/>
      <c r="AK437" s="2"/>
      <c r="AL437" s="2"/>
      <c r="AM437" s="2"/>
      <c r="AN437" s="2"/>
      <c r="AO437" s="9"/>
      <c r="AP437" s="9"/>
      <c r="AQ437" s="9"/>
      <c r="AR437" s="9"/>
    </row>
    <row r="438">
      <c r="A438" s="585"/>
      <c r="B438" s="585"/>
      <c r="C438" s="585"/>
      <c r="D438" s="585"/>
      <c r="E438" s="585"/>
      <c r="F438" s="585"/>
      <c r="G438" s="585"/>
      <c r="H438" s="585"/>
      <c r="I438" s="585"/>
      <c r="J438" s="585"/>
      <c r="K438" s="585"/>
      <c r="L438" s="585"/>
      <c r="M438" s="585"/>
      <c r="N438" s="585"/>
      <c r="O438" s="585"/>
      <c r="P438" s="585"/>
      <c r="Q438" s="585"/>
      <c r="R438" s="585"/>
      <c r="S438" s="585"/>
      <c r="T438" s="585"/>
      <c r="U438" s="585"/>
      <c r="V438" s="224"/>
      <c r="W438" s="224"/>
      <c r="X438" s="224"/>
      <c r="Y438" s="224"/>
      <c r="Z438" s="868"/>
      <c r="AA438" s="865"/>
      <c r="AB438" s="2"/>
      <c r="AC438" s="2"/>
      <c r="AD438" s="2"/>
      <c r="AE438" s="2"/>
      <c r="AF438" s="2"/>
      <c r="AG438" s="2"/>
      <c r="AH438" s="2"/>
      <c r="AI438" s="2"/>
      <c r="AJ438" s="2"/>
      <c r="AK438" s="2"/>
      <c r="AL438" s="2"/>
      <c r="AM438" s="2"/>
      <c r="AN438" s="2"/>
      <c r="AO438" s="9"/>
      <c r="AP438" s="9"/>
      <c r="AQ438" s="9"/>
      <c r="AR438" s="9"/>
    </row>
    <row r="439">
      <c r="A439" s="585"/>
      <c r="B439" s="585"/>
      <c r="C439" s="585"/>
      <c r="D439" s="585"/>
      <c r="E439" s="585"/>
      <c r="F439" s="585"/>
      <c r="G439" s="585"/>
      <c r="H439" s="585"/>
      <c r="I439" s="585"/>
      <c r="J439" s="585"/>
      <c r="K439" s="585"/>
      <c r="L439" s="585"/>
      <c r="M439" s="585"/>
      <c r="N439" s="585"/>
      <c r="O439" s="585"/>
      <c r="P439" s="585"/>
      <c r="Q439" s="585"/>
      <c r="R439" s="585"/>
      <c r="S439" s="585"/>
      <c r="T439" s="585"/>
      <c r="U439" s="585"/>
      <c r="V439" s="224"/>
      <c r="W439" s="224"/>
      <c r="X439" s="224"/>
      <c r="Y439" s="224"/>
      <c r="Z439" s="868"/>
      <c r="AA439" s="865"/>
      <c r="AB439" s="2"/>
      <c r="AC439" s="2"/>
      <c r="AD439" s="2"/>
      <c r="AE439" s="2"/>
      <c r="AF439" s="2"/>
      <c r="AG439" s="2"/>
      <c r="AH439" s="2"/>
      <c r="AI439" s="2"/>
      <c r="AJ439" s="2"/>
      <c r="AK439" s="2"/>
      <c r="AL439" s="2"/>
      <c r="AM439" s="2"/>
      <c r="AN439" s="2"/>
      <c r="AO439" s="9"/>
      <c r="AP439" s="9"/>
      <c r="AQ439" s="9"/>
      <c r="AR439" s="9"/>
    </row>
    <row r="440">
      <c r="A440" s="585"/>
      <c r="B440" s="585"/>
      <c r="C440" s="585"/>
      <c r="D440" s="585"/>
      <c r="E440" s="585"/>
      <c r="F440" s="585"/>
      <c r="G440" s="585"/>
      <c r="H440" s="585"/>
      <c r="I440" s="585"/>
      <c r="J440" s="585"/>
      <c r="K440" s="585"/>
      <c r="L440" s="585"/>
      <c r="M440" s="585"/>
      <c r="N440" s="585"/>
      <c r="O440" s="585"/>
      <c r="P440" s="585"/>
      <c r="Q440" s="585"/>
      <c r="R440" s="585"/>
      <c r="S440" s="585"/>
      <c r="T440" s="585"/>
      <c r="U440" s="585"/>
      <c r="V440" s="224"/>
      <c r="W440" s="224"/>
      <c r="X440" s="224"/>
      <c r="Y440" s="224"/>
      <c r="Z440" s="868"/>
      <c r="AA440" s="865"/>
      <c r="AB440" s="2"/>
      <c r="AC440" s="2"/>
      <c r="AD440" s="2"/>
      <c r="AE440" s="2"/>
      <c r="AF440" s="2"/>
      <c r="AG440" s="2"/>
      <c r="AH440" s="2"/>
      <c r="AI440" s="2"/>
      <c r="AJ440" s="2"/>
      <c r="AK440" s="2"/>
      <c r="AL440" s="2"/>
      <c r="AM440" s="2"/>
      <c r="AN440" s="2"/>
      <c r="AO440" s="9"/>
      <c r="AP440" s="9"/>
      <c r="AQ440" s="9"/>
      <c r="AR440" s="9"/>
    </row>
    <row r="441">
      <c r="A441" s="585"/>
      <c r="B441" s="585"/>
      <c r="C441" s="585"/>
      <c r="D441" s="585"/>
      <c r="E441" s="585"/>
      <c r="F441" s="585"/>
      <c r="G441" s="585"/>
      <c r="H441" s="585"/>
      <c r="I441" s="585"/>
      <c r="J441" s="585"/>
      <c r="K441" s="585"/>
      <c r="L441" s="585"/>
      <c r="M441" s="585"/>
      <c r="N441" s="585"/>
      <c r="O441" s="585"/>
      <c r="P441" s="585"/>
      <c r="Q441" s="585"/>
      <c r="R441" s="585"/>
      <c r="S441" s="585"/>
      <c r="T441" s="585"/>
      <c r="U441" s="585"/>
      <c r="V441" s="224"/>
      <c r="W441" s="224"/>
      <c r="X441" s="224"/>
      <c r="Y441" s="224"/>
      <c r="Z441" s="868"/>
      <c r="AA441" s="865"/>
      <c r="AB441" s="2"/>
      <c r="AC441" s="2"/>
      <c r="AD441" s="2"/>
      <c r="AE441" s="2"/>
      <c r="AF441" s="2"/>
      <c r="AG441" s="2"/>
      <c r="AH441" s="2"/>
      <c r="AI441" s="2"/>
      <c r="AJ441" s="2"/>
      <c r="AK441" s="2"/>
      <c r="AL441" s="2"/>
      <c r="AM441" s="2"/>
      <c r="AN441" s="2"/>
      <c r="AO441" s="9"/>
      <c r="AP441" s="9"/>
      <c r="AQ441" s="9"/>
      <c r="AR441" s="9"/>
    </row>
    <row r="442">
      <c r="A442" s="585"/>
      <c r="B442" s="585"/>
      <c r="C442" s="585"/>
      <c r="D442" s="585"/>
      <c r="E442" s="585"/>
      <c r="F442" s="585"/>
      <c r="G442" s="585"/>
      <c r="H442" s="585"/>
      <c r="I442" s="585"/>
      <c r="J442" s="585"/>
      <c r="K442" s="585"/>
      <c r="L442" s="585"/>
      <c r="M442" s="585"/>
      <c r="N442" s="585"/>
      <c r="O442" s="585"/>
      <c r="P442" s="585"/>
      <c r="Q442" s="585"/>
      <c r="R442" s="585"/>
      <c r="S442" s="585"/>
      <c r="T442" s="585"/>
      <c r="U442" s="585"/>
      <c r="V442" s="224"/>
      <c r="W442" s="224"/>
      <c r="X442" s="224"/>
      <c r="Y442" s="224"/>
      <c r="Z442" s="868"/>
      <c r="AA442" s="865"/>
      <c r="AB442" s="2"/>
      <c r="AC442" s="2"/>
      <c r="AD442" s="2"/>
      <c r="AE442" s="2"/>
      <c r="AF442" s="2"/>
      <c r="AG442" s="2"/>
      <c r="AH442" s="2"/>
      <c r="AI442" s="2"/>
      <c r="AJ442" s="2"/>
      <c r="AK442" s="2"/>
      <c r="AL442" s="2"/>
      <c r="AM442" s="2"/>
      <c r="AN442" s="2"/>
      <c r="AO442" s="9"/>
      <c r="AP442" s="9"/>
      <c r="AQ442" s="9"/>
      <c r="AR442" s="9"/>
    </row>
    <row r="443">
      <c r="A443" s="585"/>
      <c r="B443" s="585"/>
      <c r="C443" s="585"/>
      <c r="D443" s="585"/>
      <c r="E443" s="585"/>
      <c r="F443" s="585"/>
      <c r="G443" s="585"/>
      <c r="H443" s="585"/>
      <c r="I443" s="585"/>
      <c r="J443" s="585"/>
      <c r="K443" s="585"/>
      <c r="L443" s="585"/>
      <c r="M443" s="585"/>
      <c r="N443" s="585"/>
      <c r="O443" s="585"/>
      <c r="P443" s="585"/>
      <c r="Q443" s="585"/>
      <c r="R443" s="585"/>
      <c r="S443" s="585"/>
      <c r="T443" s="585"/>
      <c r="U443" s="585"/>
      <c r="V443" s="224"/>
      <c r="W443" s="224"/>
      <c r="X443" s="224"/>
      <c r="Y443" s="224"/>
      <c r="Z443" s="868"/>
      <c r="AA443" s="865"/>
      <c r="AB443" s="2"/>
      <c r="AC443" s="2"/>
      <c r="AD443" s="2"/>
      <c r="AE443" s="2"/>
      <c r="AF443" s="2"/>
      <c r="AG443" s="2"/>
      <c r="AH443" s="2"/>
      <c r="AI443" s="2"/>
      <c r="AJ443" s="2"/>
      <c r="AK443" s="2"/>
      <c r="AL443" s="2"/>
      <c r="AM443" s="2"/>
      <c r="AN443" s="2"/>
      <c r="AO443" s="9"/>
      <c r="AP443" s="9"/>
      <c r="AQ443" s="9"/>
      <c r="AR443" s="9"/>
    </row>
    <row r="444">
      <c r="A444" s="585"/>
      <c r="B444" s="585"/>
      <c r="C444" s="585"/>
      <c r="D444" s="585"/>
      <c r="E444" s="585"/>
      <c r="F444" s="585"/>
      <c r="G444" s="585"/>
      <c r="H444" s="585"/>
      <c r="I444" s="585"/>
      <c r="J444" s="585"/>
      <c r="K444" s="585"/>
      <c r="L444" s="585"/>
      <c r="M444" s="585"/>
      <c r="N444" s="585"/>
      <c r="O444" s="585"/>
      <c r="P444" s="585"/>
      <c r="Q444" s="585"/>
      <c r="R444" s="585"/>
      <c r="S444" s="585"/>
      <c r="T444" s="585"/>
      <c r="U444" s="585"/>
      <c r="V444" s="224"/>
      <c r="W444" s="224"/>
      <c r="X444" s="224"/>
      <c r="Y444" s="224"/>
      <c r="Z444" s="868"/>
      <c r="AA444" s="865"/>
      <c r="AB444" s="2"/>
      <c r="AC444" s="2"/>
      <c r="AD444" s="2"/>
      <c r="AE444" s="2"/>
      <c r="AF444" s="2"/>
      <c r="AG444" s="2"/>
      <c r="AH444" s="2"/>
      <c r="AI444" s="2"/>
      <c r="AJ444" s="2"/>
      <c r="AK444" s="2"/>
      <c r="AL444" s="2"/>
      <c r="AM444" s="2"/>
      <c r="AN444" s="2"/>
      <c r="AO444" s="9"/>
      <c r="AP444" s="9"/>
      <c r="AQ444" s="9"/>
      <c r="AR444" s="9"/>
    </row>
    <row r="445">
      <c r="A445" s="585"/>
      <c r="B445" s="585"/>
      <c r="C445" s="585"/>
      <c r="D445" s="585"/>
      <c r="E445" s="585"/>
      <c r="F445" s="585"/>
      <c r="G445" s="585"/>
      <c r="H445" s="585"/>
      <c r="I445" s="585"/>
      <c r="J445" s="585"/>
      <c r="K445" s="585"/>
      <c r="L445" s="585"/>
      <c r="M445" s="585"/>
      <c r="N445" s="585"/>
      <c r="O445" s="585"/>
      <c r="P445" s="585"/>
      <c r="Q445" s="585"/>
      <c r="R445" s="585"/>
      <c r="S445" s="585"/>
      <c r="T445" s="585"/>
      <c r="U445" s="585"/>
      <c r="V445" s="224"/>
      <c r="W445" s="224"/>
      <c r="X445" s="224"/>
      <c r="Y445" s="224"/>
      <c r="Z445" s="868"/>
      <c r="AA445" s="865"/>
      <c r="AB445" s="2"/>
      <c r="AC445" s="2"/>
      <c r="AD445" s="2"/>
      <c r="AE445" s="2"/>
      <c r="AF445" s="2"/>
      <c r="AG445" s="2"/>
      <c r="AH445" s="2"/>
      <c r="AI445" s="2"/>
      <c r="AJ445" s="2"/>
      <c r="AK445" s="2"/>
      <c r="AL445" s="2"/>
      <c r="AM445" s="2"/>
      <c r="AN445" s="2"/>
      <c r="AO445" s="9"/>
      <c r="AP445" s="9"/>
      <c r="AQ445" s="9"/>
      <c r="AR445" s="9"/>
    </row>
    <row r="446">
      <c r="A446" s="585"/>
      <c r="B446" s="585"/>
      <c r="C446" s="585"/>
      <c r="D446" s="585"/>
      <c r="E446" s="585"/>
      <c r="F446" s="585"/>
      <c r="G446" s="585"/>
      <c r="H446" s="585"/>
      <c r="I446" s="585"/>
      <c r="J446" s="585"/>
      <c r="K446" s="585"/>
      <c r="L446" s="585"/>
      <c r="M446" s="585"/>
      <c r="N446" s="585"/>
      <c r="O446" s="585"/>
      <c r="P446" s="585"/>
      <c r="Q446" s="585"/>
      <c r="R446" s="585"/>
      <c r="S446" s="585"/>
      <c r="T446" s="585"/>
      <c r="U446" s="585"/>
      <c r="V446" s="224"/>
      <c r="W446" s="224"/>
      <c r="X446" s="224"/>
      <c r="Y446" s="224"/>
      <c r="Z446" s="868"/>
      <c r="AA446" s="865"/>
      <c r="AB446" s="2"/>
      <c r="AC446" s="2"/>
      <c r="AD446" s="2"/>
      <c r="AE446" s="2"/>
      <c r="AF446" s="2"/>
      <c r="AG446" s="2"/>
      <c r="AH446" s="2"/>
      <c r="AI446" s="2"/>
      <c r="AJ446" s="2"/>
      <c r="AK446" s="2"/>
      <c r="AL446" s="2"/>
      <c r="AM446" s="2"/>
      <c r="AN446" s="2"/>
      <c r="AO446" s="9"/>
      <c r="AP446" s="9"/>
      <c r="AQ446" s="9"/>
      <c r="AR446" s="9"/>
    </row>
    <row r="447">
      <c r="A447" s="585"/>
      <c r="B447" s="585"/>
      <c r="C447" s="585"/>
      <c r="D447" s="585"/>
      <c r="E447" s="585"/>
      <c r="F447" s="585"/>
      <c r="G447" s="585"/>
      <c r="H447" s="585"/>
      <c r="I447" s="585"/>
      <c r="J447" s="585"/>
      <c r="K447" s="585"/>
      <c r="L447" s="585"/>
      <c r="M447" s="585"/>
      <c r="N447" s="585"/>
      <c r="O447" s="585"/>
      <c r="P447" s="585"/>
      <c r="Q447" s="585"/>
      <c r="R447" s="585"/>
      <c r="S447" s="585"/>
      <c r="T447" s="585"/>
      <c r="U447" s="585"/>
      <c r="V447" s="224"/>
      <c r="W447" s="224"/>
      <c r="X447" s="224"/>
      <c r="Y447" s="224"/>
      <c r="Z447" s="868"/>
      <c r="AA447" s="865"/>
      <c r="AB447" s="2"/>
      <c r="AC447" s="2"/>
      <c r="AD447" s="2"/>
      <c r="AE447" s="2"/>
      <c r="AF447" s="2"/>
      <c r="AG447" s="2"/>
      <c r="AH447" s="2"/>
      <c r="AI447" s="2"/>
      <c r="AJ447" s="2"/>
      <c r="AK447" s="2"/>
      <c r="AL447" s="2"/>
      <c r="AM447" s="2"/>
      <c r="AN447" s="2"/>
      <c r="AO447" s="9"/>
      <c r="AP447" s="9"/>
      <c r="AQ447" s="9"/>
      <c r="AR447" s="9"/>
    </row>
    <row r="448">
      <c r="A448" s="585"/>
      <c r="B448" s="585"/>
      <c r="C448" s="585"/>
      <c r="D448" s="585"/>
      <c r="E448" s="585"/>
      <c r="F448" s="585"/>
      <c r="G448" s="585"/>
      <c r="H448" s="585"/>
      <c r="I448" s="585"/>
      <c r="J448" s="585"/>
      <c r="K448" s="585"/>
      <c r="L448" s="585"/>
      <c r="M448" s="585"/>
      <c r="N448" s="585"/>
      <c r="O448" s="585"/>
      <c r="P448" s="585"/>
      <c r="Q448" s="585"/>
      <c r="R448" s="585"/>
      <c r="S448" s="585"/>
      <c r="T448" s="585"/>
      <c r="U448" s="585"/>
      <c r="V448" s="224"/>
      <c r="W448" s="224"/>
      <c r="X448" s="224"/>
      <c r="Y448" s="224"/>
      <c r="Z448" s="868"/>
      <c r="AA448" s="865"/>
      <c r="AB448" s="2"/>
      <c r="AC448" s="2"/>
      <c r="AD448" s="2"/>
      <c r="AE448" s="2"/>
      <c r="AF448" s="2"/>
      <c r="AG448" s="2"/>
      <c r="AH448" s="2"/>
      <c r="AI448" s="2"/>
      <c r="AJ448" s="2"/>
      <c r="AK448" s="2"/>
      <c r="AL448" s="2"/>
      <c r="AM448" s="2"/>
      <c r="AN448" s="2"/>
      <c r="AO448" s="9"/>
      <c r="AP448" s="9"/>
      <c r="AQ448" s="9"/>
      <c r="AR448" s="9"/>
    </row>
    <row r="449">
      <c r="A449" s="585"/>
      <c r="B449" s="585"/>
      <c r="C449" s="585"/>
      <c r="D449" s="585"/>
      <c r="E449" s="585"/>
      <c r="F449" s="585"/>
      <c r="G449" s="585"/>
      <c r="H449" s="585"/>
      <c r="I449" s="585"/>
      <c r="J449" s="585"/>
      <c r="K449" s="585"/>
      <c r="L449" s="585"/>
      <c r="M449" s="585"/>
      <c r="N449" s="585"/>
      <c r="O449" s="585"/>
      <c r="P449" s="585"/>
      <c r="Q449" s="585"/>
      <c r="R449" s="585"/>
      <c r="S449" s="585"/>
      <c r="T449" s="585"/>
      <c r="U449" s="585"/>
      <c r="V449" s="224"/>
      <c r="W449" s="224"/>
      <c r="X449" s="224"/>
      <c r="Y449" s="224"/>
      <c r="Z449" s="868"/>
      <c r="AA449" s="865"/>
      <c r="AB449" s="2"/>
      <c r="AC449" s="2"/>
      <c r="AD449" s="2"/>
      <c r="AE449" s="2"/>
      <c r="AF449" s="2"/>
      <c r="AG449" s="2"/>
      <c r="AH449" s="2"/>
      <c r="AI449" s="2"/>
      <c r="AJ449" s="2"/>
      <c r="AK449" s="2"/>
      <c r="AL449" s="2"/>
      <c r="AM449" s="2"/>
      <c r="AN449" s="2"/>
      <c r="AO449" s="9"/>
      <c r="AP449" s="9"/>
      <c r="AQ449" s="9"/>
      <c r="AR449" s="9"/>
    </row>
    <row r="450">
      <c r="A450" s="585"/>
      <c r="B450" s="585"/>
      <c r="C450" s="585"/>
      <c r="D450" s="585"/>
      <c r="E450" s="585"/>
      <c r="F450" s="585"/>
      <c r="G450" s="585"/>
      <c r="H450" s="585"/>
      <c r="I450" s="585"/>
      <c r="J450" s="585"/>
      <c r="K450" s="585"/>
      <c r="L450" s="585"/>
      <c r="M450" s="585"/>
      <c r="N450" s="585"/>
      <c r="O450" s="585"/>
      <c r="P450" s="585"/>
      <c r="Q450" s="585"/>
      <c r="R450" s="585"/>
      <c r="S450" s="585"/>
      <c r="T450" s="585"/>
      <c r="U450" s="585"/>
      <c r="V450" s="224"/>
      <c r="W450" s="224"/>
      <c r="X450" s="224"/>
      <c r="Y450" s="224"/>
      <c r="Z450" s="868"/>
      <c r="AA450" s="865"/>
      <c r="AB450" s="2"/>
      <c r="AC450" s="2"/>
      <c r="AD450" s="2"/>
      <c r="AE450" s="2"/>
      <c r="AF450" s="2"/>
      <c r="AG450" s="2"/>
      <c r="AH450" s="2"/>
      <c r="AI450" s="2"/>
      <c r="AJ450" s="2"/>
      <c r="AK450" s="2"/>
      <c r="AL450" s="2"/>
      <c r="AM450" s="2"/>
      <c r="AN450" s="2"/>
      <c r="AO450" s="9"/>
      <c r="AP450" s="9"/>
      <c r="AQ450" s="9"/>
      <c r="AR450" s="9"/>
    </row>
    <row r="451">
      <c r="A451" s="585"/>
      <c r="B451" s="585"/>
      <c r="C451" s="585"/>
      <c r="D451" s="585"/>
      <c r="E451" s="585"/>
      <c r="F451" s="585"/>
      <c r="G451" s="585"/>
      <c r="H451" s="585"/>
      <c r="I451" s="585"/>
      <c r="J451" s="585"/>
      <c r="K451" s="585"/>
      <c r="L451" s="585"/>
      <c r="M451" s="585"/>
      <c r="N451" s="585"/>
      <c r="O451" s="585"/>
      <c r="P451" s="585"/>
      <c r="Q451" s="585"/>
      <c r="R451" s="585"/>
      <c r="S451" s="585"/>
      <c r="T451" s="585"/>
      <c r="U451" s="585"/>
      <c r="V451" s="224"/>
      <c r="W451" s="224"/>
      <c r="X451" s="224"/>
      <c r="Y451" s="224"/>
      <c r="Z451" s="868"/>
      <c r="AA451" s="865"/>
      <c r="AB451" s="2"/>
      <c r="AC451" s="2"/>
      <c r="AD451" s="2"/>
      <c r="AE451" s="2"/>
      <c r="AF451" s="2"/>
      <c r="AG451" s="2"/>
      <c r="AH451" s="2"/>
      <c r="AI451" s="2"/>
      <c r="AJ451" s="2"/>
      <c r="AK451" s="2"/>
      <c r="AL451" s="2"/>
      <c r="AM451" s="2"/>
      <c r="AN451" s="2"/>
      <c r="AO451" s="9"/>
      <c r="AP451" s="9"/>
      <c r="AQ451" s="9"/>
      <c r="AR451" s="9"/>
    </row>
    <row r="452">
      <c r="A452" s="585"/>
      <c r="B452" s="585"/>
      <c r="C452" s="585"/>
      <c r="D452" s="585"/>
      <c r="E452" s="585"/>
      <c r="F452" s="585"/>
      <c r="G452" s="585"/>
      <c r="H452" s="585"/>
      <c r="I452" s="585"/>
      <c r="J452" s="585"/>
      <c r="K452" s="585"/>
      <c r="L452" s="585"/>
      <c r="M452" s="585"/>
      <c r="N452" s="585"/>
      <c r="O452" s="585"/>
      <c r="P452" s="585"/>
      <c r="Q452" s="585"/>
      <c r="R452" s="585"/>
      <c r="S452" s="585"/>
      <c r="T452" s="585"/>
      <c r="U452" s="585"/>
      <c r="V452" s="224"/>
      <c r="W452" s="224"/>
      <c r="X452" s="224"/>
      <c r="Y452" s="224"/>
      <c r="Z452" s="868"/>
      <c r="AA452" s="865"/>
      <c r="AB452" s="2"/>
      <c r="AC452" s="2"/>
      <c r="AD452" s="2"/>
      <c r="AE452" s="2"/>
      <c r="AF452" s="2"/>
      <c r="AG452" s="2"/>
      <c r="AH452" s="2"/>
      <c r="AI452" s="2"/>
      <c r="AJ452" s="2"/>
      <c r="AK452" s="2"/>
      <c r="AL452" s="2"/>
      <c r="AM452" s="2"/>
      <c r="AN452" s="2"/>
      <c r="AO452" s="9"/>
      <c r="AP452" s="9"/>
      <c r="AQ452" s="9"/>
      <c r="AR452" s="9"/>
    </row>
    <row r="453">
      <c r="A453" s="585"/>
      <c r="B453" s="585"/>
      <c r="C453" s="585"/>
      <c r="D453" s="585"/>
      <c r="E453" s="585"/>
      <c r="F453" s="585"/>
      <c r="G453" s="585"/>
      <c r="H453" s="585"/>
      <c r="I453" s="585"/>
      <c r="J453" s="585"/>
      <c r="K453" s="585"/>
      <c r="L453" s="585"/>
      <c r="M453" s="585"/>
      <c r="N453" s="585"/>
      <c r="O453" s="585"/>
      <c r="P453" s="585"/>
      <c r="Q453" s="585"/>
      <c r="R453" s="585"/>
      <c r="S453" s="585"/>
      <c r="T453" s="585"/>
      <c r="U453" s="585"/>
      <c r="V453" s="224"/>
      <c r="W453" s="224"/>
      <c r="X453" s="224"/>
      <c r="Y453" s="224"/>
      <c r="Z453" s="868"/>
      <c r="AA453" s="865"/>
      <c r="AB453" s="2"/>
      <c r="AC453" s="2"/>
      <c r="AD453" s="2"/>
      <c r="AE453" s="2"/>
      <c r="AF453" s="2"/>
      <c r="AG453" s="2"/>
      <c r="AH453" s="2"/>
      <c r="AI453" s="2"/>
      <c r="AJ453" s="2"/>
      <c r="AK453" s="2"/>
      <c r="AL453" s="2"/>
      <c r="AM453" s="2"/>
      <c r="AN453" s="2"/>
      <c r="AO453" s="9"/>
      <c r="AP453" s="9"/>
      <c r="AQ453" s="9"/>
      <c r="AR453" s="9"/>
    </row>
    <row r="454">
      <c r="A454" s="585"/>
      <c r="B454" s="585"/>
      <c r="C454" s="585"/>
      <c r="D454" s="585"/>
      <c r="E454" s="585"/>
      <c r="F454" s="585"/>
      <c r="G454" s="585"/>
      <c r="H454" s="585"/>
      <c r="I454" s="585"/>
      <c r="J454" s="585"/>
      <c r="K454" s="585"/>
      <c r="L454" s="585"/>
      <c r="M454" s="585"/>
      <c r="N454" s="585"/>
      <c r="O454" s="585"/>
      <c r="P454" s="585"/>
      <c r="Q454" s="585"/>
      <c r="R454" s="585"/>
      <c r="S454" s="585"/>
      <c r="T454" s="585"/>
      <c r="U454" s="585"/>
      <c r="V454" s="224"/>
      <c r="W454" s="224"/>
      <c r="X454" s="224"/>
      <c r="Y454" s="224"/>
      <c r="Z454" s="868"/>
      <c r="AA454" s="865"/>
      <c r="AB454" s="2"/>
      <c r="AC454" s="2"/>
      <c r="AD454" s="2"/>
      <c r="AE454" s="2"/>
      <c r="AF454" s="2"/>
      <c r="AG454" s="2"/>
      <c r="AH454" s="2"/>
      <c r="AI454" s="2"/>
      <c r="AJ454" s="2"/>
      <c r="AK454" s="2"/>
      <c r="AL454" s="2"/>
      <c r="AM454" s="2"/>
      <c r="AN454" s="2"/>
      <c r="AO454" s="9"/>
      <c r="AP454" s="9"/>
      <c r="AQ454" s="9"/>
      <c r="AR454" s="9"/>
    </row>
    <row r="455">
      <c r="A455" s="585"/>
      <c r="B455" s="585"/>
      <c r="C455" s="585"/>
      <c r="D455" s="585"/>
      <c r="E455" s="585"/>
      <c r="F455" s="585"/>
      <c r="G455" s="585"/>
      <c r="H455" s="585"/>
      <c r="I455" s="585"/>
      <c r="J455" s="585"/>
      <c r="K455" s="585"/>
      <c r="L455" s="585"/>
      <c r="M455" s="585"/>
      <c r="N455" s="585"/>
      <c r="O455" s="585"/>
      <c r="P455" s="585"/>
      <c r="Q455" s="585"/>
      <c r="R455" s="585"/>
      <c r="S455" s="585"/>
      <c r="T455" s="585"/>
      <c r="U455" s="585"/>
      <c r="V455" s="224"/>
      <c r="W455" s="224"/>
      <c r="X455" s="224"/>
      <c r="Y455" s="224"/>
      <c r="Z455" s="868"/>
      <c r="AA455" s="865"/>
      <c r="AB455" s="2"/>
      <c r="AC455" s="2"/>
      <c r="AD455" s="2"/>
      <c r="AE455" s="2"/>
      <c r="AF455" s="2"/>
      <c r="AG455" s="2"/>
      <c r="AH455" s="2"/>
      <c r="AI455" s="2"/>
      <c r="AJ455" s="2"/>
      <c r="AK455" s="2"/>
      <c r="AL455" s="2"/>
      <c r="AM455" s="2"/>
      <c r="AN455" s="2"/>
      <c r="AO455" s="9"/>
      <c r="AP455" s="9"/>
      <c r="AQ455" s="9"/>
      <c r="AR455" s="9"/>
    </row>
    <row r="456">
      <c r="A456" s="585"/>
      <c r="B456" s="585"/>
      <c r="C456" s="585"/>
      <c r="D456" s="585"/>
      <c r="E456" s="585"/>
      <c r="F456" s="585"/>
      <c r="G456" s="585"/>
      <c r="H456" s="585"/>
      <c r="I456" s="585"/>
      <c r="J456" s="585"/>
      <c r="K456" s="585"/>
      <c r="L456" s="585"/>
      <c r="M456" s="585"/>
      <c r="N456" s="585"/>
      <c r="O456" s="585"/>
      <c r="P456" s="585"/>
      <c r="Q456" s="585"/>
      <c r="R456" s="585"/>
      <c r="S456" s="585"/>
      <c r="T456" s="585"/>
      <c r="U456" s="585"/>
      <c r="V456" s="224"/>
      <c r="W456" s="224"/>
      <c r="X456" s="224"/>
      <c r="Y456" s="224"/>
      <c r="Z456" s="868"/>
      <c r="AA456" s="865"/>
      <c r="AB456" s="2"/>
      <c r="AC456" s="2"/>
      <c r="AD456" s="2"/>
      <c r="AE456" s="2"/>
      <c r="AF456" s="2"/>
      <c r="AG456" s="2"/>
      <c r="AH456" s="2"/>
      <c r="AI456" s="2"/>
      <c r="AJ456" s="2"/>
      <c r="AK456" s="2"/>
      <c r="AL456" s="2"/>
      <c r="AM456" s="2"/>
      <c r="AN456" s="2"/>
      <c r="AO456" s="9"/>
      <c r="AP456" s="9"/>
      <c r="AQ456" s="9"/>
      <c r="AR456" s="9"/>
    </row>
    <row r="457">
      <c r="A457" s="585"/>
      <c r="B457" s="585"/>
      <c r="C457" s="585"/>
      <c r="D457" s="585"/>
      <c r="E457" s="585"/>
      <c r="F457" s="585"/>
      <c r="G457" s="585"/>
      <c r="H457" s="585"/>
      <c r="I457" s="585"/>
      <c r="J457" s="585"/>
      <c r="K457" s="585"/>
      <c r="L457" s="585"/>
      <c r="M457" s="585"/>
      <c r="N457" s="585"/>
      <c r="O457" s="585"/>
      <c r="P457" s="585"/>
      <c r="Q457" s="585"/>
      <c r="R457" s="585"/>
      <c r="S457" s="585"/>
      <c r="T457" s="585"/>
      <c r="U457" s="585"/>
      <c r="V457" s="224"/>
      <c r="W457" s="224"/>
      <c r="X457" s="224"/>
      <c r="Y457" s="224"/>
      <c r="Z457" s="868"/>
      <c r="AA457" s="865"/>
      <c r="AB457" s="2"/>
      <c r="AC457" s="2"/>
      <c r="AD457" s="2"/>
      <c r="AE457" s="2"/>
      <c r="AF457" s="2"/>
      <c r="AG457" s="2"/>
      <c r="AH457" s="2"/>
      <c r="AI457" s="2"/>
      <c r="AJ457" s="2"/>
      <c r="AK457" s="2"/>
      <c r="AL457" s="2"/>
      <c r="AM457" s="2"/>
      <c r="AN457" s="2"/>
      <c r="AO457" s="9"/>
      <c r="AP457" s="9"/>
      <c r="AQ457" s="9"/>
      <c r="AR457" s="9"/>
    </row>
    <row r="458">
      <c r="A458" s="585"/>
      <c r="B458" s="585"/>
      <c r="C458" s="585"/>
      <c r="D458" s="585"/>
      <c r="E458" s="585"/>
      <c r="F458" s="585"/>
      <c r="G458" s="585"/>
      <c r="H458" s="585"/>
      <c r="I458" s="585"/>
      <c r="J458" s="585"/>
      <c r="K458" s="585"/>
      <c r="L458" s="585"/>
      <c r="M458" s="585"/>
      <c r="N458" s="585"/>
      <c r="O458" s="585"/>
      <c r="P458" s="585"/>
      <c r="Q458" s="585"/>
      <c r="R458" s="585"/>
      <c r="S458" s="585"/>
      <c r="T458" s="585"/>
      <c r="U458" s="585"/>
      <c r="V458" s="224"/>
      <c r="W458" s="224"/>
      <c r="X458" s="224"/>
      <c r="Y458" s="224"/>
      <c r="Z458" s="868"/>
      <c r="AA458" s="865"/>
      <c r="AB458" s="2"/>
      <c r="AC458" s="2"/>
      <c r="AD458" s="2"/>
      <c r="AE458" s="2"/>
      <c r="AF458" s="2"/>
      <c r="AG458" s="2"/>
      <c r="AH458" s="2"/>
      <c r="AI458" s="2"/>
      <c r="AJ458" s="2"/>
      <c r="AK458" s="2"/>
      <c r="AL458" s="2"/>
      <c r="AM458" s="2"/>
      <c r="AN458" s="2"/>
      <c r="AO458" s="9"/>
      <c r="AP458" s="9"/>
      <c r="AQ458" s="9"/>
      <c r="AR458" s="9"/>
    </row>
    <row r="459">
      <c r="A459" s="585"/>
      <c r="B459" s="585"/>
      <c r="C459" s="585"/>
      <c r="D459" s="585"/>
      <c r="E459" s="585"/>
      <c r="F459" s="585"/>
      <c r="G459" s="585"/>
      <c r="H459" s="585"/>
      <c r="I459" s="585"/>
      <c r="J459" s="585"/>
      <c r="K459" s="585"/>
      <c r="L459" s="585"/>
      <c r="M459" s="585"/>
      <c r="N459" s="585"/>
      <c r="O459" s="585"/>
      <c r="P459" s="585"/>
      <c r="Q459" s="585"/>
      <c r="R459" s="585"/>
      <c r="S459" s="585"/>
      <c r="T459" s="585"/>
      <c r="U459" s="585"/>
      <c r="V459" s="224"/>
      <c r="W459" s="224"/>
      <c r="X459" s="224"/>
      <c r="Y459" s="224"/>
      <c r="Z459" s="868"/>
      <c r="AA459" s="865"/>
      <c r="AB459" s="2"/>
      <c r="AC459" s="2"/>
      <c r="AD459" s="2"/>
      <c r="AE459" s="2"/>
      <c r="AF459" s="2"/>
      <c r="AG459" s="2"/>
      <c r="AH459" s="2"/>
      <c r="AI459" s="2"/>
      <c r="AJ459" s="2"/>
      <c r="AK459" s="2"/>
      <c r="AL459" s="2"/>
      <c r="AM459" s="2"/>
      <c r="AN459" s="2"/>
      <c r="AO459" s="9"/>
      <c r="AP459" s="9"/>
      <c r="AQ459" s="9"/>
      <c r="AR459" s="9"/>
    </row>
    <row r="460">
      <c r="A460" s="585"/>
      <c r="B460" s="585"/>
      <c r="C460" s="585"/>
      <c r="D460" s="585"/>
      <c r="E460" s="585"/>
      <c r="F460" s="585"/>
      <c r="G460" s="585"/>
      <c r="H460" s="585"/>
      <c r="I460" s="585"/>
      <c r="J460" s="585"/>
      <c r="K460" s="585"/>
      <c r="L460" s="585"/>
      <c r="M460" s="585"/>
      <c r="N460" s="585"/>
      <c r="O460" s="585"/>
      <c r="P460" s="585"/>
      <c r="Q460" s="585"/>
      <c r="R460" s="585"/>
      <c r="S460" s="585"/>
      <c r="T460" s="585"/>
      <c r="U460" s="585"/>
      <c r="V460" s="224"/>
      <c r="W460" s="224"/>
      <c r="X460" s="224"/>
      <c r="Y460" s="224"/>
      <c r="Z460" s="868"/>
      <c r="AA460" s="865"/>
      <c r="AB460" s="2"/>
      <c r="AC460" s="2"/>
      <c r="AD460" s="2"/>
      <c r="AE460" s="2"/>
      <c r="AF460" s="2"/>
      <c r="AG460" s="2"/>
      <c r="AH460" s="2"/>
      <c r="AI460" s="2"/>
      <c r="AJ460" s="2"/>
      <c r="AK460" s="2"/>
      <c r="AL460" s="2"/>
      <c r="AM460" s="2"/>
      <c r="AN460" s="2"/>
      <c r="AO460" s="9"/>
      <c r="AP460" s="9"/>
      <c r="AQ460" s="9"/>
      <c r="AR460" s="9"/>
    </row>
    <row r="461">
      <c r="A461" s="585"/>
      <c r="B461" s="585"/>
      <c r="C461" s="585"/>
      <c r="D461" s="585"/>
      <c r="E461" s="585"/>
      <c r="F461" s="585"/>
      <c r="G461" s="585"/>
      <c r="H461" s="585"/>
      <c r="I461" s="585"/>
      <c r="J461" s="585"/>
      <c r="K461" s="585"/>
      <c r="L461" s="585"/>
      <c r="M461" s="585"/>
      <c r="N461" s="585"/>
      <c r="O461" s="585"/>
      <c r="P461" s="585"/>
      <c r="Q461" s="585"/>
      <c r="R461" s="585"/>
      <c r="S461" s="585"/>
      <c r="T461" s="585"/>
      <c r="U461" s="585"/>
      <c r="V461" s="224"/>
      <c r="W461" s="224"/>
      <c r="X461" s="224"/>
      <c r="Y461" s="224"/>
      <c r="Z461" s="868"/>
      <c r="AA461" s="865"/>
      <c r="AB461" s="2"/>
      <c r="AC461" s="2"/>
      <c r="AD461" s="2"/>
      <c r="AE461" s="2"/>
      <c r="AF461" s="2"/>
      <c r="AG461" s="2"/>
      <c r="AH461" s="2"/>
      <c r="AI461" s="2"/>
      <c r="AJ461" s="2"/>
      <c r="AK461" s="2"/>
      <c r="AL461" s="2"/>
      <c r="AM461" s="2"/>
      <c r="AN461" s="2"/>
      <c r="AO461" s="9"/>
      <c r="AP461" s="9"/>
      <c r="AQ461" s="9"/>
      <c r="AR461" s="9"/>
    </row>
    <row r="462">
      <c r="A462" s="585"/>
      <c r="B462" s="585"/>
      <c r="C462" s="585"/>
      <c r="D462" s="585"/>
      <c r="E462" s="585"/>
      <c r="F462" s="585"/>
      <c r="G462" s="585"/>
      <c r="H462" s="585"/>
      <c r="I462" s="585"/>
      <c r="J462" s="585"/>
      <c r="K462" s="585"/>
      <c r="L462" s="585"/>
      <c r="M462" s="585"/>
      <c r="N462" s="585"/>
      <c r="O462" s="585"/>
      <c r="P462" s="585"/>
      <c r="Q462" s="585"/>
      <c r="R462" s="585"/>
      <c r="S462" s="585"/>
      <c r="T462" s="585"/>
      <c r="U462" s="585"/>
      <c r="V462" s="224"/>
      <c r="W462" s="224"/>
      <c r="X462" s="224"/>
      <c r="Y462" s="224"/>
      <c r="Z462" s="868"/>
      <c r="AA462" s="865"/>
      <c r="AB462" s="2"/>
      <c r="AC462" s="2"/>
      <c r="AD462" s="2"/>
      <c r="AE462" s="2"/>
      <c r="AF462" s="2"/>
      <c r="AG462" s="2"/>
      <c r="AH462" s="2"/>
      <c r="AI462" s="2"/>
      <c r="AJ462" s="2"/>
      <c r="AK462" s="2"/>
      <c r="AL462" s="2"/>
      <c r="AM462" s="2"/>
      <c r="AN462" s="2"/>
      <c r="AO462" s="9"/>
      <c r="AP462" s="9"/>
      <c r="AQ462" s="9"/>
      <c r="AR462" s="9"/>
    </row>
    <row r="463">
      <c r="A463" s="585"/>
      <c r="B463" s="585"/>
      <c r="C463" s="585"/>
      <c r="D463" s="585"/>
      <c r="E463" s="585"/>
      <c r="F463" s="585"/>
      <c r="G463" s="585"/>
      <c r="H463" s="585"/>
      <c r="I463" s="585"/>
      <c r="J463" s="585"/>
      <c r="K463" s="585"/>
      <c r="L463" s="585"/>
      <c r="M463" s="585"/>
      <c r="N463" s="585"/>
      <c r="O463" s="585"/>
      <c r="P463" s="585"/>
      <c r="Q463" s="585"/>
      <c r="R463" s="585"/>
      <c r="S463" s="585"/>
      <c r="T463" s="585"/>
      <c r="U463" s="585"/>
      <c r="V463" s="224"/>
      <c r="W463" s="224"/>
      <c r="X463" s="224"/>
      <c r="Y463" s="224"/>
      <c r="Z463" s="868"/>
      <c r="AA463" s="865"/>
      <c r="AB463" s="2"/>
      <c r="AC463" s="2"/>
      <c r="AD463" s="2"/>
      <c r="AE463" s="2"/>
      <c r="AF463" s="2"/>
      <c r="AG463" s="2"/>
      <c r="AH463" s="2"/>
      <c r="AI463" s="2"/>
      <c r="AJ463" s="2"/>
      <c r="AK463" s="2"/>
      <c r="AL463" s="2"/>
      <c r="AM463" s="2"/>
      <c r="AN463" s="2"/>
      <c r="AO463" s="9"/>
      <c r="AP463" s="9"/>
      <c r="AQ463" s="9"/>
      <c r="AR463" s="9"/>
    </row>
    <row r="464">
      <c r="A464" s="585"/>
      <c r="B464" s="585"/>
      <c r="C464" s="585"/>
      <c r="D464" s="585"/>
      <c r="E464" s="585"/>
      <c r="F464" s="585"/>
      <c r="G464" s="585"/>
      <c r="H464" s="585"/>
      <c r="I464" s="585"/>
      <c r="J464" s="585"/>
      <c r="K464" s="585"/>
      <c r="L464" s="585"/>
      <c r="M464" s="585"/>
      <c r="N464" s="585"/>
      <c r="O464" s="585"/>
      <c r="P464" s="585"/>
      <c r="Q464" s="585"/>
      <c r="R464" s="585"/>
      <c r="S464" s="585"/>
      <c r="T464" s="585"/>
      <c r="U464" s="585"/>
      <c r="V464" s="224"/>
      <c r="W464" s="224"/>
      <c r="X464" s="224"/>
      <c r="Y464" s="224"/>
      <c r="Z464" s="868"/>
      <c r="AA464" s="865"/>
      <c r="AB464" s="2"/>
      <c r="AC464" s="2"/>
      <c r="AD464" s="2"/>
      <c r="AE464" s="2"/>
      <c r="AF464" s="2"/>
      <c r="AG464" s="2"/>
      <c r="AH464" s="2"/>
      <c r="AI464" s="2"/>
      <c r="AJ464" s="2"/>
      <c r="AK464" s="2"/>
      <c r="AL464" s="2"/>
      <c r="AM464" s="2"/>
      <c r="AN464" s="2"/>
      <c r="AO464" s="9"/>
      <c r="AP464" s="9"/>
      <c r="AQ464" s="9"/>
      <c r="AR464" s="9"/>
    </row>
    <row r="465">
      <c r="A465" s="585"/>
      <c r="B465" s="585"/>
      <c r="C465" s="585"/>
      <c r="D465" s="585"/>
      <c r="E465" s="585"/>
      <c r="F465" s="585"/>
      <c r="G465" s="585"/>
      <c r="H465" s="585"/>
      <c r="I465" s="585"/>
      <c r="J465" s="585"/>
      <c r="K465" s="585"/>
      <c r="L465" s="585"/>
      <c r="M465" s="585"/>
      <c r="N465" s="585"/>
      <c r="O465" s="585"/>
      <c r="P465" s="585"/>
      <c r="Q465" s="585"/>
      <c r="R465" s="585"/>
      <c r="S465" s="585"/>
      <c r="T465" s="585"/>
      <c r="U465" s="585"/>
      <c r="V465" s="224"/>
      <c r="W465" s="224"/>
      <c r="X465" s="224"/>
      <c r="Y465" s="224"/>
      <c r="Z465" s="868"/>
      <c r="AA465" s="865"/>
      <c r="AB465" s="2"/>
      <c r="AC465" s="2"/>
      <c r="AD465" s="2"/>
      <c r="AE465" s="2"/>
      <c r="AF465" s="2"/>
      <c r="AG465" s="2"/>
      <c r="AH465" s="2"/>
      <c r="AI465" s="2"/>
      <c r="AJ465" s="2"/>
      <c r="AK465" s="2"/>
      <c r="AL465" s="2"/>
      <c r="AM465" s="2"/>
      <c r="AN465" s="2"/>
      <c r="AO465" s="9"/>
      <c r="AP465" s="9"/>
      <c r="AQ465" s="9"/>
      <c r="AR465" s="9"/>
    </row>
    <row r="466">
      <c r="A466" s="585"/>
      <c r="B466" s="585"/>
      <c r="C466" s="585"/>
      <c r="D466" s="585"/>
      <c r="E466" s="585"/>
      <c r="F466" s="585"/>
      <c r="G466" s="585"/>
      <c r="H466" s="585"/>
      <c r="I466" s="585"/>
      <c r="J466" s="585"/>
      <c r="K466" s="585"/>
      <c r="L466" s="585"/>
      <c r="M466" s="585"/>
      <c r="N466" s="585"/>
      <c r="O466" s="585"/>
      <c r="P466" s="585"/>
      <c r="Q466" s="585"/>
      <c r="R466" s="585"/>
      <c r="S466" s="585"/>
      <c r="T466" s="585"/>
      <c r="U466" s="585"/>
      <c r="V466" s="224"/>
      <c r="W466" s="224"/>
      <c r="X466" s="224"/>
      <c r="Y466" s="224"/>
      <c r="Z466" s="868"/>
      <c r="AA466" s="865"/>
      <c r="AB466" s="2"/>
      <c r="AC466" s="2"/>
      <c r="AD466" s="2"/>
      <c r="AE466" s="2"/>
      <c r="AF466" s="2"/>
      <c r="AG466" s="2"/>
      <c r="AH466" s="2"/>
      <c r="AI466" s="2"/>
      <c r="AJ466" s="2"/>
      <c r="AK466" s="2"/>
      <c r="AL466" s="2"/>
      <c r="AM466" s="2"/>
      <c r="AN466" s="2"/>
      <c r="AO466" s="9"/>
      <c r="AP466" s="9"/>
      <c r="AQ466" s="9"/>
      <c r="AR466" s="9"/>
    </row>
    <row r="467">
      <c r="A467" s="585"/>
      <c r="B467" s="585"/>
      <c r="C467" s="585"/>
      <c r="D467" s="585"/>
      <c r="E467" s="585"/>
      <c r="F467" s="585"/>
      <c r="G467" s="585"/>
      <c r="H467" s="585"/>
      <c r="I467" s="585"/>
      <c r="J467" s="585"/>
      <c r="K467" s="585"/>
      <c r="L467" s="585"/>
      <c r="M467" s="585"/>
      <c r="N467" s="585"/>
      <c r="O467" s="585"/>
      <c r="P467" s="585"/>
      <c r="Q467" s="585"/>
      <c r="R467" s="585"/>
      <c r="S467" s="585"/>
      <c r="T467" s="585"/>
      <c r="U467" s="585"/>
      <c r="V467" s="224"/>
      <c r="W467" s="224"/>
      <c r="X467" s="224"/>
      <c r="Y467" s="224"/>
      <c r="Z467" s="868"/>
      <c r="AA467" s="865"/>
      <c r="AB467" s="2"/>
      <c r="AC467" s="2"/>
      <c r="AD467" s="2"/>
      <c r="AE467" s="2"/>
      <c r="AF467" s="2"/>
      <c r="AG467" s="2"/>
      <c r="AH467" s="2"/>
      <c r="AI467" s="2"/>
      <c r="AJ467" s="2"/>
      <c r="AK467" s="2"/>
      <c r="AL467" s="2"/>
      <c r="AM467" s="2"/>
      <c r="AN467" s="2"/>
      <c r="AO467" s="9"/>
      <c r="AP467" s="9"/>
      <c r="AQ467" s="9"/>
      <c r="AR467" s="9"/>
    </row>
    <row r="468">
      <c r="A468" s="585"/>
      <c r="B468" s="585"/>
      <c r="C468" s="585"/>
      <c r="D468" s="585"/>
      <c r="E468" s="585"/>
      <c r="F468" s="585"/>
      <c r="G468" s="585"/>
      <c r="H468" s="585"/>
      <c r="I468" s="585"/>
      <c r="J468" s="585"/>
      <c r="K468" s="585"/>
      <c r="L468" s="585"/>
      <c r="M468" s="585"/>
      <c r="N468" s="585"/>
      <c r="O468" s="585"/>
      <c r="P468" s="585"/>
      <c r="Q468" s="585"/>
      <c r="R468" s="585"/>
      <c r="S468" s="585"/>
      <c r="T468" s="585"/>
      <c r="U468" s="585"/>
      <c r="V468" s="224"/>
      <c r="W468" s="224"/>
      <c r="X468" s="224"/>
      <c r="Y468" s="224"/>
      <c r="Z468" s="868"/>
      <c r="AA468" s="865"/>
      <c r="AB468" s="2"/>
      <c r="AC468" s="2"/>
      <c r="AD468" s="2"/>
      <c r="AE468" s="2"/>
      <c r="AF468" s="2"/>
      <c r="AG468" s="2"/>
      <c r="AH468" s="2"/>
      <c r="AI468" s="2"/>
      <c r="AJ468" s="2"/>
      <c r="AK468" s="2"/>
      <c r="AL468" s="2"/>
      <c r="AM468" s="2"/>
      <c r="AN468" s="2"/>
      <c r="AO468" s="9"/>
      <c r="AP468" s="9"/>
      <c r="AQ468" s="9"/>
      <c r="AR468" s="9"/>
    </row>
    <row r="469">
      <c r="A469" s="585"/>
      <c r="B469" s="585"/>
      <c r="C469" s="585"/>
      <c r="D469" s="585"/>
      <c r="E469" s="585"/>
      <c r="F469" s="585"/>
      <c r="G469" s="585"/>
      <c r="H469" s="585"/>
      <c r="I469" s="585"/>
      <c r="J469" s="585"/>
      <c r="K469" s="585"/>
      <c r="L469" s="585"/>
      <c r="M469" s="585"/>
      <c r="N469" s="585"/>
      <c r="O469" s="585"/>
      <c r="P469" s="585"/>
      <c r="Q469" s="585"/>
      <c r="R469" s="585"/>
      <c r="S469" s="585"/>
      <c r="T469" s="585"/>
      <c r="U469" s="585"/>
      <c r="V469" s="224"/>
      <c r="W469" s="224"/>
      <c r="X469" s="224"/>
      <c r="Y469" s="224"/>
      <c r="Z469" s="868"/>
      <c r="AA469" s="865"/>
      <c r="AB469" s="2"/>
      <c r="AC469" s="2"/>
      <c r="AD469" s="2"/>
      <c r="AE469" s="2"/>
      <c r="AF469" s="2"/>
      <c r="AG469" s="2"/>
      <c r="AH469" s="2"/>
      <c r="AI469" s="2"/>
      <c r="AJ469" s="2"/>
      <c r="AK469" s="2"/>
      <c r="AL469" s="2"/>
      <c r="AM469" s="2"/>
      <c r="AN469" s="2"/>
      <c r="AO469" s="9"/>
      <c r="AP469" s="9"/>
      <c r="AQ469" s="9"/>
      <c r="AR469" s="9"/>
    </row>
    <row r="470">
      <c r="A470" s="585"/>
      <c r="B470" s="585"/>
      <c r="C470" s="585"/>
      <c r="D470" s="585"/>
      <c r="E470" s="585"/>
      <c r="F470" s="585"/>
      <c r="G470" s="585"/>
      <c r="H470" s="585"/>
      <c r="I470" s="585"/>
      <c r="J470" s="585"/>
      <c r="K470" s="585"/>
      <c r="L470" s="585"/>
      <c r="M470" s="585"/>
      <c r="N470" s="585"/>
      <c r="O470" s="585"/>
      <c r="P470" s="585"/>
      <c r="Q470" s="585"/>
      <c r="R470" s="585"/>
      <c r="S470" s="585"/>
      <c r="T470" s="585"/>
      <c r="U470" s="585"/>
      <c r="V470" s="224"/>
      <c r="W470" s="224"/>
      <c r="X470" s="224"/>
      <c r="Y470" s="224"/>
      <c r="Z470" s="868"/>
      <c r="AA470" s="865"/>
      <c r="AB470" s="2"/>
      <c r="AC470" s="2"/>
      <c r="AD470" s="2"/>
      <c r="AE470" s="2"/>
      <c r="AF470" s="2"/>
      <c r="AG470" s="2"/>
      <c r="AH470" s="2"/>
      <c r="AI470" s="2"/>
      <c r="AJ470" s="2"/>
      <c r="AK470" s="2"/>
      <c r="AL470" s="2"/>
      <c r="AM470" s="2"/>
      <c r="AN470" s="2"/>
      <c r="AO470" s="9"/>
      <c r="AP470" s="9"/>
      <c r="AQ470" s="9"/>
      <c r="AR470" s="9"/>
    </row>
    <row r="471">
      <c r="A471" s="585"/>
      <c r="B471" s="585"/>
      <c r="C471" s="585"/>
      <c r="D471" s="585"/>
      <c r="E471" s="585"/>
      <c r="F471" s="585"/>
      <c r="G471" s="585"/>
      <c r="H471" s="585"/>
      <c r="I471" s="585"/>
      <c r="J471" s="585"/>
      <c r="K471" s="585"/>
      <c r="L471" s="585"/>
      <c r="M471" s="585"/>
      <c r="N471" s="585"/>
      <c r="O471" s="585"/>
      <c r="P471" s="585"/>
      <c r="Q471" s="585"/>
      <c r="R471" s="585"/>
      <c r="S471" s="585"/>
      <c r="T471" s="585"/>
      <c r="U471" s="585"/>
      <c r="V471" s="224"/>
      <c r="W471" s="224"/>
      <c r="X471" s="224"/>
      <c r="Y471" s="224"/>
      <c r="Z471" s="868"/>
      <c r="AA471" s="865"/>
      <c r="AB471" s="2"/>
      <c r="AC471" s="2"/>
      <c r="AD471" s="2"/>
      <c r="AE471" s="2"/>
      <c r="AF471" s="2"/>
      <c r="AG471" s="2"/>
      <c r="AH471" s="2"/>
      <c r="AI471" s="2"/>
      <c r="AJ471" s="2"/>
      <c r="AK471" s="2"/>
      <c r="AL471" s="2"/>
      <c r="AM471" s="2"/>
      <c r="AN471" s="2"/>
      <c r="AO471" s="9"/>
      <c r="AP471" s="9"/>
      <c r="AQ471" s="9"/>
      <c r="AR471" s="9"/>
    </row>
    <row r="472">
      <c r="A472" s="585"/>
      <c r="B472" s="585"/>
      <c r="C472" s="585"/>
      <c r="D472" s="585"/>
      <c r="E472" s="585"/>
      <c r="F472" s="585"/>
      <c r="G472" s="585"/>
      <c r="H472" s="585"/>
      <c r="I472" s="585"/>
      <c r="J472" s="585"/>
      <c r="K472" s="585"/>
      <c r="L472" s="585"/>
      <c r="M472" s="585"/>
      <c r="N472" s="585"/>
      <c r="O472" s="585"/>
      <c r="P472" s="585"/>
      <c r="Q472" s="585"/>
      <c r="R472" s="585"/>
      <c r="S472" s="585"/>
      <c r="T472" s="585"/>
      <c r="U472" s="585"/>
      <c r="V472" s="224"/>
      <c r="W472" s="224"/>
      <c r="X472" s="224"/>
      <c r="Y472" s="224"/>
      <c r="Z472" s="868"/>
      <c r="AA472" s="865"/>
      <c r="AB472" s="2"/>
      <c r="AC472" s="2"/>
      <c r="AD472" s="2"/>
      <c r="AE472" s="2"/>
      <c r="AF472" s="2"/>
      <c r="AG472" s="2"/>
      <c r="AH472" s="2"/>
      <c r="AI472" s="2"/>
      <c r="AJ472" s="2"/>
      <c r="AK472" s="2"/>
      <c r="AL472" s="2"/>
      <c r="AM472" s="2"/>
      <c r="AN472" s="2"/>
      <c r="AO472" s="9"/>
      <c r="AP472" s="9"/>
      <c r="AQ472" s="9"/>
      <c r="AR472" s="9"/>
    </row>
    <row r="473">
      <c r="A473" s="585"/>
      <c r="B473" s="585"/>
      <c r="C473" s="585"/>
      <c r="D473" s="585"/>
      <c r="E473" s="585"/>
      <c r="F473" s="585"/>
      <c r="G473" s="585"/>
      <c r="H473" s="585"/>
      <c r="I473" s="585"/>
      <c r="J473" s="585"/>
      <c r="K473" s="585"/>
      <c r="L473" s="585"/>
      <c r="M473" s="585"/>
      <c r="N473" s="585"/>
      <c r="O473" s="585"/>
      <c r="P473" s="585"/>
      <c r="Q473" s="585"/>
      <c r="R473" s="585"/>
      <c r="S473" s="585"/>
      <c r="T473" s="585"/>
      <c r="U473" s="585"/>
      <c r="V473" s="224"/>
      <c r="W473" s="224"/>
      <c r="X473" s="224"/>
      <c r="Y473" s="224"/>
      <c r="Z473" s="868"/>
      <c r="AA473" s="865"/>
      <c r="AB473" s="2"/>
      <c r="AC473" s="2"/>
      <c r="AD473" s="2"/>
      <c r="AE473" s="2"/>
      <c r="AF473" s="2"/>
      <c r="AG473" s="2"/>
      <c r="AH473" s="2"/>
      <c r="AI473" s="2"/>
      <c r="AJ473" s="2"/>
      <c r="AK473" s="2"/>
      <c r="AL473" s="2"/>
      <c r="AM473" s="2"/>
      <c r="AN473" s="2"/>
      <c r="AO473" s="9"/>
      <c r="AP473" s="9"/>
      <c r="AQ473" s="9"/>
      <c r="AR473" s="9"/>
    </row>
    <row r="474">
      <c r="A474" s="585"/>
      <c r="B474" s="585"/>
      <c r="C474" s="585"/>
      <c r="D474" s="585"/>
      <c r="E474" s="585"/>
      <c r="F474" s="585"/>
      <c r="G474" s="585"/>
      <c r="H474" s="585"/>
      <c r="I474" s="585"/>
      <c r="J474" s="585"/>
      <c r="K474" s="585"/>
      <c r="L474" s="585"/>
      <c r="M474" s="585"/>
      <c r="N474" s="585"/>
      <c r="O474" s="585"/>
      <c r="P474" s="585"/>
      <c r="Q474" s="585"/>
      <c r="R474" s="585"/>
      <c r="S474" s="585"/>
      <c r="T474" s="585"/>
      <c r="U474" s="585"/>
      <c r="V474" s="224"/>
      <c r="W474" s="224"/>
      <c r="X474" s="224"/>
      <c r="Y474" s="224"/>
      <c r="Z474" s="868"/>
      <c r="AA474" s="865"/>
      <c r="AB474" s="2"/>
      <c r="AC474" s="2"/>
      <c r="AD474" s="2"/>
      <c r="AE474" s="2"/>
      <c r="AF474" s="2"/>
      <c r="AG474" s="2"/>
      <c r="AH474" s="2"/>
      <c r="AI474" s="2"/>
      <c r="AJ474" s="2"/>
      <c r="AK474" s="2"/>
      <c r="AL474" s="2"/>
      <c r="AM474" s="2"/>
      <c r="AN474" s="2"/>
      <c r="AO474" s="9"/>
      <c r="AP474" s="9"/>
      <c r="AQ474" s="9"/>
      <c r="AR474" s="9"/>
    </row>
    <row r="475">
      <c r="A475" s="585"/>
      <c r="B475" s="585"/>
      <c r="C475" s="585"/>
      <c r="D475" s="585"/>
      <c r="E475" s="585"/>
      <c r="F475" s="585"/>
      <c r="G475" s="585"/>
      <c r="H475" s="585"/>
      <c r="I475" s="585"/>
      <c r="J475" s="585"/>
      <c r="K475" s="585"/>
      <c r="L475" s="585"/>
      <c r="M475" s="585"/>
      <c r="N475" s="585"/>
      <c r="O475" s="585"/>
      <c r="P475" s="585"/>
      <c r="Q475" s="585"/>
      <c r="R475" s="585"/>
      <c r="S475" s="585"/>
      <c r="T475" s="585"/>
      <c r="U475" s="585"/>
      <c r="V475" s="224"/>
      <c r="W475" s="224"/>
      <c r="X475" s="224"/>
      <c r="Y475" s="224"/>
      <c r="Z475" s="868"/>
      <c r="AA475" s="865"/>
      <c r="AB475" s="2"/>
      <c r="AC475" s="2"/>
      <c r="AD475" s="2"/>
      <c r="AE475" s="2"/>
      <c r="AF475" s="2"/>
      <c r="AG475" s="2"/>
      <c r="AH475" s="2"/>
      <c r="AI475" s="2"/>
      <c r="AJ475" s="2"/>
      <c r="AK475" s="2"/>
      <c r="AL475" s="2"/>
      <c r="AM475" s="2"/>
      <c r="AN475" s="2"/>
      <c r="AO475" s="9"/>
      <c r="AP475" s="9"/>
      <c r="AQ475" s="9"/>
      <c r="AR475" s="9"/>
    </row>
    <row r="476">
      <c r="A476" s="585"/>
      <c r="B476" s="585"/>
      <c r="C476" s="585"/>
      <c r="D476" s="585"/>
      <c r="E476" s="585"/>
      <c r="F476" s="585"/>
      <c r="G476" s="585"/>
      <c r="H476" s="585"/>
      <c r="I476" s="585"/>
      <c r="J476" s="585"/>
      <c r="K476" s="585"/>
      <c r="L476" s="585"/>
      <c r="M476" s="585"/>
      <c r="N476" s="585"/>
      <c r="O476" s="585"/>
      <c r="P476" s="585"/>
      <c r="Q476" s="585"/>
      <c r="R476" s="585"/>
      <c r="S476" s="585"/>
      <c r="T476" s="585"/>
      <c r="U476" s="585"/>
      <c r="V476" s="224"/>
      <c r="W476" s="224"/>
      <c r="X476" s="224"/>
      <c r="Y476" s="224"/>
      <c r="Z476" s="868"/>
      <c r="AA476" s="865"/>
      <c r="AB476" s="2"/>
      <c r="AC476" s="2"/>
      <c r="AD476" s="2"/>
      <c r="AE476" s="2"/>
      <c r="AF476" s="2"/>
      <c r="AG476" s="2"/>
      <c r="AH476" s="2"/>
      <c r="AI476" s="2"/>
      <c r="AJ476" s="2"/>
      <c r="AK476" s="2"/>
      <c r="AL476" s="2"/>
      <c r="AM476" s="2"/>
      <c r="AN476" s="2"/>
      <c r="AO476" s="9"/>
      <c r="AP476" s="9"/>
      <c r="AQ476" s="9"/>
      <c r="AR476" s="9"/>
    </row>
    <row r="477">
      <c r="A477" s="585"/>
      <c r="B477" s="585"/>
      <c r="C477" s="585"/>
      <c r="D477" s="585"/>
      <c r="E477" s="585"/>
      <c r="F477" s="585"/>
      <c r="G477" s="585"/>
      <c r="H477" s="585"/>
      <c r="I477" s="585"/>
      <c r="J477" s="585"/>
      <c r="K477" s="585"/>
      <c r="L477" s="585"/>
      <c r="M477" s="585"/>
      <c r="N477" s="585"/>
      <c r="O477" s="585"/>
      <c r="P477" s="585"/>
      <c r="Q477" s="585"/>
      <c r="R477" s="585"/>
      <c r="S477" s="585"/>
      <c r="T477" s="585"/>
      <c r="U477" s="585"/>
      <c r="V477" s="224"/>
      <c r="W477" s="224"/>
      <c r="X477" s="224"/>
      <c r="Y477" s="224"/>
      <c r="Z477" s="868"/>
      <c r="AA477" s="865"/>
      <c r="AB477" s="2"/>
      <c r="AC477" s="2"/>
      <c r="AD477" s="2"/>
      <c r="AE477" s="2"/>
      <c r="AF477" s="2"/>
      <c r="AG477" s="2"/>
      <c r="AH477" s="2"/>
      <c r="AI477" s="2"/>
      <c r="AJ477" s="2"/>
      <c r="AK477" s="2"/>
      <c r="AL477" s="2"/>
      <c r="AM477" s="2"/>
      <c r="AN477" s="2"/>
      <c r="AO477" s="9"/>
      <c r="AP477" s="9"/>
      <c r="AQ477" s="9"/>
      <c r="AR477" s="9"/>
    </row>
    <row r="478">
      <c r="A478" s="585"/>
      <c r="B478" s="585"/>
      <c r="C478" s="585"/>
      <c r="D478" s="585"/>
      <c r="E478" s="585"/>
      <c r="F478" s="585"/>
      <c r="G478" s="585"/>
      <c r="H478" s="585"/>
      <c r="I478" s="585"/>
      <c r="J478" s="585"/>
      <c r="K478" s="585"/>
      <c r="L478" s="585"/>
      <c r="M478" s="585"/>
      <c r="N478" s="585"/>
      <c r="O478" s="585"/>
      <c r="P478" s="585"/>
      <c r="Q478" s="585"/>
      <c r="R478" s="585"/>
      <c r="S478" s="585"/>
      <c r="T478" s="585"/>
      <c r="U478" s="585"/>
      <c r="V478" s="224"/>
      <c r="W478" s="224"/>
      <c r="X478" s="224"/>
      <c r="Y478" s="224"/>
      <c r="Z478" s="868"/>
      <c r="AA478" s="865"/>
      <c r="AB478" s="2"/>
      <c r="AC478" s="2"/>
      <c r="AD478" s="2"/>
      <c r="AE478" s="2"/>
      <c r="AF478" s="2"/>
      <c r="AG478" s="2"/>
      <c r="AH478" s="2"/>
      <c r="AI478" s="2"/>
      <c r="AJ478" s="2"/>
      <c r="AK478" s="2"/>
      <c r="AL478" s="2"/>
      <c r="AM478" s="2"/>
      <c r="AN478" s="2"/>
      <c r="AO478" s="9"/>
      <c r="AP478" s="9"/>
      <c r="AQ478" s="9"/>
      <c r="AR478" s="9"/>
    </row>
    <row r="479">
      <c r="A479" s="585"/>
      <c r="B479" s="585"/>
      <c r="C479" s="585"/>
      <c r="D479" s="585"/>
      <c r="E479" s="585"/>
      <c r="F479" s="585"/>
      <c r="G479" s="585"/>
      <c r="H479" s="585"/>
      <c r="I479" s="585"/>
      <c r="J479" s="585"/>
      <c r="K479" s="585"/>
      <c r="L479" s="585"/>
      <c r="M479" s="585"/>
      <c r="N479" s="585"/>
      <c r="O479" s="585"/>
      <c r="P479" s="585"/>
      <c r="Q479" s="585"/>
      <c r="R479" s="585"/>
      <c r="S479" s="585"/>
      <c r="T479" s="585"/>
      <c r="U479" s="585"/>
      <c r="V479" s="224"/>
      <c r="W479" s="224"/>
      <c r="X479" s="224"/>
      <c r="Y479" s="224"/>
      <c r="Z479" s="868"/>
      <c r="AA479" s="865"/>
      <c r="AB479" s="2"/>
      <c r="AC479" s="2"/>
      <c r="AD479" s="2"/>
      <c r="AE479" s="2"/>
      <c r="AF479" s="2"/>
      <c r="AG479" s="2"/>
      <c r="AH479" s="2"/>
      <c r="AI479" s="2"/>
      <c r="AJ479" s="2"/>
      <c r="AK479" s="2"/>
      <c r="AL479" s="2"/>
      <c r="AM479" s="2"/>
      <c r="AN479" s="2"/>
      <c r="AO479" s="9"/>
      <c r="AP479" s="9"/>
      <c r="AQ479" s="9"/>
      <c r="AR479" s="9"/>
    </row>
    <row r="480">
      <c r="A480" s="585"/>
      <c r="B480" s="585"/>
      <c r="C480" s="585"/>
      <c r="D480" s="585"/>
      <c r="E480" s="585"/>
      <c r="F480" s="585"/>
      <c r="G480" s="585"/>
      <c r="H480" s="585"/>
      <c r="I480" s="585"/>
      <c r="J480" s="585"/>
      <c r="K480" s="585"/>
      <c r="L480" s="585"/>
      <c r="M480" s="585"/>
      <c r="N480" s="585"/>
      <c r="O480" s="585"/>
      <c r="P480" s="585"/>
      <c r="Q480" s="585"/>
      <c r="R480" s="585"/>
      <c r="S480" s="585"/>
      <c r="T480" s="585"/>
      <c r="U480" s="585"/>
      <c r="V480" s="224"/>
      <c r="W480" s="224"/>
      <c r="X480" s="224"/>
      <c r="Y480" s="224"/>
      <c r="Z480" s="868"/>
      <c r="AA480" s="865"/>
      <c r="AB480" s="2"/>
      <c r="AC480" s="2"/>
      <c r="AD480" s="2"/>
      <c r="AE480" s="2"/>
      <c r="AF480" s="2"/>
      <c r="AG480" s="2"/>
      <c r="AH480" s="2"/>
      <c r="AI480" s="2"/>
      <c r="AJ480" s="2"/>
      <c r="AK480" s="2"/>
      <c r="AL480" s="2"/>
      <c r="AM480" s="2"/>
      <c r="AN480" s="2"/>
      <c r="AO480" s="9"/>
      <c r="AP480" s="9"/>
      <c r="AQ480" s="9"/>
      <c r="AR480" s="9"/>
    </row>
    <row r="481">
      <c r="A481" s="585"/>
      <c r="B481" s="585"/>
      <c r="C481" s="585"/>
      <c r="D481" s="585"/>
      <c r="E481" s="585"/>
      <c r="F481" s="585"/>
      <c r="G481" s="585"/>
      <c r="H481" s="585"/>
      <c r="I481" s="585"/>
      <c r="J481" s="585"/>
      <c r="K481" s="585"/>
      <c r="L481" s="585"/>
      <c r="M481" s="585"/>
      <c r="N481" s="585"/>
      <c r="O481" s="585"/>
      <c r="P481" s="585"/>
      <c r="Q481" s="585"/>
      <c r="R481" s="585"/>
      <c r="S481" s="585"/>
      <c r="T481" s="585"/>
      <c r="U481" s="585"/>
      <c r="V481" s="224"/>
      <c r="W481" s="224"/>
      <c r="X481" s="224"/>
      <c r="Y481" s="224"/>
      <c r="Z481" s="868"/>
      <c r="AA481" s="865"/>
      <c r="AB481" s="2"/>
      <c r="AC481" s="2"/>
      <c r="AD481" s="2"/>
      <c r="AE481" s="2"/>
      <c r="AF481" s="2"/>
      <c r="AG481" s="2"/>
      <c r="AH481" s="2"/>
      <c r="AI481" s="2"/>
      <c r="AJ481" s="2"/>
      <c r="AK481" s="2"/>
      <c r="AL481" s="2"/>
      <c r="AM481" s="2"/>
      <c r="AN481" s="2"/>
      <c r="AO481" s="9"/>
      <c r="AP481" s="9"/>
      <c r="AQ481" s="9"/>
      <c r="AR481" s="9"/>
    </row>
    <row r="482">
      <c r="A482" s="585"/>
      <c r="B482" s="585"/>
      <c r="C482" s="585"/>
      <c r="D482" s="585"/>
      <c r="E482" s="585"/>
      <c r="F482" s="585"/>
      <c r="G482" s="585"/>
      <c r="H482" s="585"/>
      <c r="I482" s="585"/>
      <c r="J482" s="585"/>
      <c r="K482" s="585"/>
      <c r="L482" s="585"/>
      <c r="M482" s="585"/>
      <c r="N482" s="585"/>
      <c r="O482" s="585"/>
      <c r="P482" s="585"/>
      <c r="Q482" s="585"/>
      <c r="R482" s="585"/>
      <c r="S482" s="585"/>
      <c r="T482" s="585"/>
      <c r="U482" s="585"/>
      <c r="V482" s="224"/>
      <c r="W482" s="224"/>
      <c r="X482" s="224"/>
      <c r="Y482" s="224"/>
      <c r="Z482" s="868"/>
      <c r="AA482" s="865"/>
      <c r="AB482" s="2"/>
      <c r="AC482" s="2"/>
      <c r="AD482" s="2"/>
      <c r="AE482" s="2"/>
      <c r="AF482" s="2"/>
      <c r="AG482" s="2"/>
      <c r="AH482" s="2"/>
      <c r="AI482" s="2"/>
      <c r="AJ482" s="2"/>
      <c r="AK482" s="2"/>
      <c r="AL482" s="2"/>
      <c r="AM482" s="2"/>
      <c r="AN482" s="2"/>
      <c r="AO482" s="9"/>
      <c r="AP482" s="9"/>
      <c r="AQ482" s="9"/>
      <c r="AR482" s="9"/>
    </row>
    <row r="483">
      <c r="A483" s="585"/>
      <c r="B483" s="585"/>
      <c r="C483" s="585"/>
      <c r="D483" s="585"/>
      <c r="E483" s="585"/>
      <c r="F483" s="585"/>
      <c r="G483" s="585"/>
      <c r="H483" s="585"/>
      <c r="I483" s="585"/>
      <c r="J483" s="585"/>
      <c r="K483" s="585"/>
      <c r="L483" s="585"/>
      <c r="M483" s="585"/>
      <c r="N483" s="585"/>
      <c r="O483" s="585"/>
      <c r="P483" s="585"/>
      <c r="Q483" s="585"/>
      <c r="R483" s="585"/>
      <c r="S483" s="585"/>
      <c r="T483" s="585"/>
      <c r="U483" s="585"/>
      <c r="V483" s="224"/>
      <c r="W483" s="224"/>
      <c r="X483" s="224"/>
      <c r="Y483" s="224"/>
      <c r="Z483" s="868"/>
      <c r="AA483" s="865"/>
      <c r="AB483" s="2"/>
      <c r="AC483" s="2"/>
      <c r="AD483" s="2"/>
      <c r="AE483" s="2"/>
      <c r="AF483" s="2"/>
      <c r="AG483" s="2"/>
      <c r="AH483" s="2"/>
      <c r="AI483" s="2"/>
      <c r="AJ483" s="2"/>
      <c r="AK483" s="2"/>
      <c r="AL483" s="2"/>
      <c r="AM483" s="2"/>
      <c r="AN483" s="2"/>
      <c r="AO483" s="9"/>
      <c r="AP483" s="9"/>
      <c r="AQ483" s="9"/>
      <c r="AR483" s="9"/>
    </row>
    <row r="484">
      <c r="A484" s="585"/>
      <c r="B484" s="585"/>
      <c r="C484" s="585"/>
      <c r="D484" s="585"/>
      <c r="E484" s="585"/>
      <c r="F484" s="585"/>
      <c r="G484" s="585"/>
      <c r="H484" s="585"/>
      <c r="I484" s="585"/>
      <c r="J484" s="585"/>
      <c r="K484" s="585"/>
      <c r="L484" s="585"/>
      <c r="M484" s="585"/>
      <c r="N484" s="585"/>
      <c r="O484" s="585"/>
      <c r="P484" s="585"/>
      <c r="Q484" s="585"/>
      <c r="R484" s="585"/>
      <c r="S484" s="585"/>
      <c r="T484" s="585"/>
      <c r="U484" s="585"/>
      <c r="V484" s="224"/>
      <c r="W484" s="224"/>
      <c r="X484" s="224"/>
      <c r="Y484" s="224"/>
      <c r="Z484" s="868"/>
      <c r="AA484" s="865"/>
      <c r="AB484" s="2"/>
      <c r="AC484" s="2"/>
      <c r="AD484" s="2"/>
      <c r="AE484" s="2"/>
      <c r="AF484" s="2"/>
      <c r="AG484" s="2"/>
      <c r="AH484" s="2"/>
      <c r="AI484" s="2"/>
      <c r="AJ484" s="2"/>
      <c r="AK484" s="2"/>
      <c r="AL484" s="2"/>
      <c r="AM484" s="2"/>
      <c r="AN484" s="2"/>
      <c r="AO484" s="9"/>
      <c r="AP484" s="9"/>
      <c r="AQ484" s="9"/>
      <c r="AR484" s="9"/>
    </row>
    <row r="485">
      <c r="A485" s="585"/>
      <c r="B485" s="585"/>
      <c r="C485" s="585"/>
      <c r="D485" s="585"/>
      <c r="E485" s="585"/>
      <c r="F485" s="585"/>
      <c r="G485" s="585"/>
      <c r="H485" s="585"/>
      <c r="I485" s="585"/>
      <c r="J485" s="585"/>
      <c r="K485" s="585"/>
      <c r="L485" s="585"/>
      <c r="M485" s="585"/>
      <c r="N485" s="585"/>
      <c r="O485" s="585"/>
      <c r="P485" s="585"/>
      <c r="Q485" s="585"/>
      <c r="R485" s="585"/>
      <c r="S485" s="585"/>
      <c r="T485" s="585"/>
      <c r="U485" s="585"/>
      <c r="V485" s="224"/>
      <c r="W485" s="224"/>
      <c r="X485" s="224"/>
      <c r="Y485" s="224"/>
      <c r="Z485" s="868"/>
      <c r="AA485" s="865"/>
      <c r="AB485" s="2"/>
      <c r="AC485" s="2"/>
      <c r="AD485" s="2"/>
      <c r="AE485" s="2"/>
      <c r="AF485" s="2"/>
      <c r="AG485" s="2"/>
      <c r="AH485" s="2"/>
      <c r="AI485" s="2"/>
      <c r="AJ485" s="2"/>
      <c r="AK485" s="2"/>
      <c r="AL485" s="2"/>
      <c r="AM485" s="2"/>
      <c r="AN485" s="2"/>
      <c r="AO485" s="9"/>
      <c r="AP485" s="9"/>
      <c r="AQ485" s="9"/>
      <c r="AR485" s="9"/>
    </row>
    <row r="486">
      <c r="A486" s="585"/>
      <c r="B486" s="585"/>
      <c r="C486" s="585"/>
      <c r="D486" s="585"/>
      <c r="E486" s="585"/>
      <c r="F486" s="585"/>
      <c r="G486" s="585"/>
      <c r="H486" s="585"/>
      <c r="I486" s="585"/>
      <c r="J486" s="585"/>
      <c r="K486" s="585"/>
      <c r="L486" s="585"/>
      <c r="M486" s="585"/>
      <c r="N486" s="585"/>
      <c r="O486" s="585"/>
      <c r="P486" s="585"/>
      <c r="Q486" s="585"/>
      <c r="R486" s="585"/>
      <c r="S486" s="585"/>
      <c r="T486" s="585"/>
      <c r="U486" s="585"/>
      <c r="V486" s="224"/>
      <c r="W486" s="224"/>
      <c r="X486" s="224"/>
      <c r="Y486" s="224"/>
      <c r="Z486" s="868"/>
      <c r="AA486" s="865"/>
      <c r="AB486" s="2"/>
      <c r="AC486" s="2"/>
      <c r="AD486" s="2"/>
      <c r="AE486" s="2"/>
      <c r="AF486" s="2"/>
      <c r="AG486" s="2"/>
      <c r="AH486" s="2"/>
      <c r="AI486" s="2"/>
      <c r="AJ486" s="2"/>
      <c r="AK486" s="2"/>
      <c r="AL486" s="2"/>
      <c r="AM486" s="2"/>
      <c r="AN486" s="2"/>
      <c r="AO486" s="9"/>
      <c r="AP486" s="9"/>
      <c r="AQ486" s="9"/>
      <c r="AR486" s="9"/>
    </row>
    <row r="487">
      <c r="A487" s="585"/>
      <c r="B487" s="585"/>
      <c r="C487" s="585"/>
      <c r="D487" s="585"/>
      <c r="E487" s="585"/>
      <c r="F487" s="585"/>
      <c r="G487" s="585"/>
      <c r="H487" s="585"/>
      <c r="I487" s="585"/>
      <c r="J487" s="585"/>
      <c r="K487" s="585"/>
      <c r="L487" s="585"/>
      <c r="M487" s="585"/>
      <c r="N487" s="585"/>
      <c r="O487" s="585"/>
      <c r="P487" s="585"/>
      <c r="Q487" s="585"/>
      <c r="R487" s="585"/>
      <c r="S487" s="585"/>
      <c r="T487" s="585"/>
      <c r="U487" s="585"/>
      <c r="V487" s="224"/>
      <c r="W487" s="224"/>
      <c r="X487" s="224"/>
      <c r="Y487" s="224"/>
      <c r="Z487" s="868"/>
      <c r="AA487" s="865"/>
      <c r="AB487" s="2"/>
      <c r="AC487" s="2"/>
      <c r="AD487" s="2"/>
      <c r="AE487" s="2"/>
      <c r="AF487" s="2"/>
      <c r="AG487" s="2"/>
      <c r="AH487" s="2"/>
      <c r="AI487" s="2"/>
      <c r="AJ487" s="2"/>
      <c r="AK487" s="2"/>
      <c r="AL487" s="2"/>
      <c r="AM487" s="2"/>
      <c r="AN487" s="2"/>
      <c r="AO487" s="9"/>
      <c r="AP487" s="9"/>
      <c r="AQ487" s="9"/>
      <c r="AR487" s="9"/>
    </row>
    <row r="488">
      <c r="A488" s="585"/>
      <c r="B488" s="585"/>
      <c r="C488" s="585"/>
      <c r="D488" s="585"/>
      <c r="E488" s="585"/>
      <c r="F488" s="585"/>
      <c r="G488" s="585"/>
      <c r="H488" s="585"/>
      <c r="I488" s="585"/>
      <c r="J488" s="585"/>
      <c r="K488" s="585"/>
      <c r="L488" s="585"/>
      <c r="M488" s="585"/>
      <c r="N488" s="585"/>
      <c r="O488" s="585"/>
      <c r="P488" s="585"/>
      <c r="Q488" s="585"/>
      <c r="R488" s="585"/>
      <c r="S488" s="585"/>
      <c r="T488" s="585"/>
      <c r="U488" s="585"/>
      <c r="V488" s="224"/>
      <c r="W488" s="224"/>
      <c r="X488" s="224"/>
      <c r="Y488" s="224"/>
      <c r="Z488" s="868"/>
      <c r="AA488" s="865"/>
      <c r="AB488" s="2"/>
      <c r="AC488" s="2"/>
      <c r="AD488" s="2"/>
      <c r="AE488" s="2"/>
      <c r="AF488" s="2"/>
      <c r="AG488" s="2"/>
      <c r="AH488" s="2"/>
      <c r="AI488" s="2"/>
      <c r="AJ488" s="2"/>
      <c r="AK488" s="2"/>
      <c r="AL488" s="2"/>
      <c r="AM488" s="2"/>
      <c r="AN488" s="2"/>
      <c r="AO488" s="9"/>
      <c r="AP488" s="9"/>
      <c r="AQ488" s="9"/>
      <c r="AR488" s="9"/>
    </row>
    <row r="489">
      <c r="A489" s="585"/>
      <c r="B489" s="585"/>
      <c r="C489" s="585"/>
      <c r="D489" s="585"/>
      <c r="E489" s="585"/>
      <c r="F489" s="585"/>
      <c r="G489" s="585"/>
      <c r="H489" s="585"/>
      <c r="I489" s="585"/>
      <c r="J489" s="585"/>
      <c r="K489" s="585"/>
      <c r="L489" s="585"/>
      <c r="M489" s="585"/>
      <c r="N489" s="585"/>
      <c r="O489" s="585"/>
      <c r="P489" s="585"/>
      <c r="Q489" s="585"/>
      <c r="R489" s="585"/>
      <c r="S489" s="585"/>
      <c r="T489" s="585"/>
      <c r="U489" s="585"/>
      <c r="V489" s="224"/>
      <c r="W489" s="224"/>
      <c r="X489" s="224"/>
      <c r="Y489" s="224"/>
      <c r="Z489" s="868"/>
      <c r="AA489" s="865"/>
      <c r="AB489" s="2"/>
      <c r="AC489" s="2"/>
      <c r="AD489" s="2"/>
      <c r="AE489" s="2"/>
      <c r="AF489" s="2"/>
      <c r="AG489" s="2"/>
      <c r="AH489" s="2"/>
      <c r="AI489" s="2"/>
      <c r="AJ489" s="2"/>
      <c r="AK489" s="2"/>
      <c r="AL489" s="2"/>
      <c r="AM489" s="2"/>
      <c r="AN489" s="2"/>
      <c r="AO489" s="9"/>
      <c r="AP489" s="9"/>
      <c r="AQ489" s="9"/>
      <c r="AR489" s="9"/>
    </row>
    <row r="490">
      <c r="A490" s="585"/>
      <c r="B490" s="585"/>
      <c r="C490" s="585"/>
      <c r="D490" s="585"/>
      <c r="E490" s="585"/>
      <c r="F490" s="585"/>
      <c r="G490" s="585"/>
      <c r="H490" s="585"/>
      <c r="I490" s="585"/>
      <c r="J490" s="585"/>
      <c r="K490" s="585"/>
      <c r="L490" s="585"/>
      <c r="M490" s="585"/>
      <c r="N490" s="585"/>
      <c r="O490" s="585"/>
      <c r="P490" s="585"/>
      <c r="Q490" s="585"/>
      <c r="R490" s="585"/>
      <c r="S490" s="585"/>
      <c r="T490" s="585"/>
      <c r="U490" s="585"/>
      <c r="V490" s="224"/>
      <c r="W490" s="224"/>
      <c r="X490" s="224"/>
      <c r="Y490" s="224"/>
      <c r="Z490" s="868"/>
      <c r="AA490" s="865"/>
      <c r="AB490" s="2"/>
      <c r="AC490" s="2"/>
      <c r="AD490" s="2"/>
      <c r="AE490" s="2"/>
      <c r="AF490" s="2"/>
      <c r="AG490" s="2"/>
      <c r="AH490" s="2"/>
      <c r="AI490" s="2"/>
      <c r="AJ490" s="2"/>
      <c r="AK490" s="2"/>
      <c r="AL490" s="2"/>
      <c r="AM490" s="2"/>
      <c r="AN490" s="2"/>
      <c r="AO490" s="9"/>
      <c r="AP490" s="9"/>
      <c r="AQ490" s="9"/>
      <c r="AR490" s="9"/>
    </row>
    <row r="491">
      <c r="A491" s="585"/>
      <c r="B491" s="585"/>
      <c r="C491" s="585"/>
      <c r="D491" s="585"/>
      <c r="E491" s="585"/>
      <c r="F491" s="585"/>
      <c r="G491" s="585"/>
      <c r="H491" s="585"/>
      <c r="I491" s="585"/>
      <c r="J491" s="585"/>
      <c r="K491" s="585"/>
      <c r="L491" s="585"/>
      <c r="M491" s="585"/>
      <c r="N491" s="585"/>
      <c r="O491" s="585"/>
      <c r="P491" s="585"/>
      <c r="Q491" s="585"/>
      <c r="R491" s="585"/>
      <c r="S491" s="585"/>
      <c r="T491" s="585"/>
      <c r="U491" s="585"/>
      <c r="V491" s="224"/>
      <c r="W491" s="224"/>
      <c r="X491" s="224"/>
      <c r="Y491" s="224"/>
      <c r="Z491" s="868"/>
      <c r="AA491" s="865"/>
      <c r="AB491" s="2"/>
      <c r="AC491" s="2"/>
      <c r="AD491" s="2"/>
      <c r="AE491" s="2"/>
      <c r="AF491" s="2"/>
      <c r="AG491" s="2"/>
      <c r="AH491" s="2"/>
      <c r="AI491" s="2"/>
      <c r="AJ491" s="2"/>
      <c r="AK491" s="2"/>
      <c r="AL491" s="2"/>
      <c r="AM491" s="2"/>
      <c r="AN491" s="2"/>
      <c r="AO491" s="9"/>
      <c r="AP491" s="9"/>
      <c r="AQ491" s="9"/>
      <c r="AR491" s="9"/>
    </row>
    <row r="492">
      <c r="A492" s="585"/>
      <c r="B492" s="585"/>
      <c r="C492" s="585"/>
      <c r="D492" s="585"/>
      <c r="E492" s="585"/>
      <c r="F492" s="585"/>
      <c r="G492" s="585"/>
      <c r="H492" s="585"/>
      <c r="I492" s="585"/>
      <c r="J492" s="585"/>
      <c r="K492" s="585"/>
      <c r="L492" s="585"/>
      <c r="M492" s="585"/>
      <c r="N492" s="585"/>
      <c r="O492" s="585"/>
      <c r="P492" s="585"/>
      <c r="Q492" s="585"/>
      <c r="R492" s="585"/>
      <c r="S492" s="585"/>
      <c r="T492" s="585"/>
      <c r="U492" s="585"/>
      <c r="V492" s="224"/>
      <c r="W492" s="224"/>
      <c r="X492" s="224"/>
      <c r="Y492" s="224"/>
      <c r="Z492" s="868"/>
      <c r="AA492" s="865"/>
      <c r="AB492" s="2"/>
      <c r="AC492" s="2"/>
      <c r="AD492" s="2"/>
      <c r="AE492" s="2"/>
      <c r="AF492" s="2"/>
      <c r="AG492" s="2"/>
      <c r="AH492" s="2"/>
      <c r="AI492" s="2"/>
      <c r="AJ492" s="2"/>
      <c r="AK492" s="2"/>
      <c r="AL492" s="2"/>
      <c r="AM492" s="2"/>
      <c r="AN492" s="2"/>
      <c r="AO492" s="9"/>
      <c r="AP492" s="9"/>
      <c r="AQ492" s="9"/>
      <c r="AR492" s="9"/>
    </row>
    <row r="493">
      <c r="A493" s="585"/>
      <c r="B493" s="585"/>
      <c r="C493" s="585"/>
      <c r="D493" s="585"/>
      <c r="E493" s="585"/>
      <c r="F493" s="585"/>
      <c r="G493" s="585"/>
      <c r="H493" s="585"/>
      <c r="I493" s="585"/>
      <c r="J493" s="585"/>
      <c r="K493" s="585"/>
      <c r="L493" s="585"/>
      <c r="M493" s="585"/>
      <c r="N493" s="585"/>
      <c r="O493" s="585"/>
      <c r="P493" s="585"/>
      <c r="Q493" s="585"/>
      <c r="R493" s="585"/>
      <c r="S493" s="585"/>
      <c r="T493" s="585"/>
      <c r="U493" s="585"/>
      <c r="V493" s="224"/>
      <c r="W493" s="224"/>
      <c r="X493" s="224"/>
      <c r="Y493" s="224"/>
      <c r="Z493" s="868"/>
      <c r="AA493" s="865"/>
      <c r="AB493" s="2"/>
      <c r="AC493" s="2"/>
      <c r="AD493" s="2"/>
      <c r="AE493" s="2"/>
      <c r="AF493" s="2"/>
      <c r="AG493" s="2"/>
      <c r="AH493" s="2"/>
      <c r="AI493" s="2"/>
      <c r="AJ493" s="2"/>
      <c r="AK493" s="2"/>
      <c r="AL493" s="2"/>
      <c r="AM493" s="2"/>
      <c r="AN493" s="2"/>
      <c r="AO493" s="9"/>
      <c r="AP493" s="9"/>
      <c r="AQ493" s="9"/>
      <c r="AR493" s="9"/>
    </row>
    <row r="494">
      <c r="A494" s="585"/>
      <c r="B494" s="585"/>
      <c r="C494" s="585"/>
      <c r="D494" s="585"/>
      <c r="E494" s="585"/>
      <c r="F494" s="585"/>
      <c r="G494" s="585"/>
      <c r="H494" s="585"/>
      <c r="I494" s="585"/>
      <c r="J494" s="585"/>
      <c r="K494" s="585"/>
      <c r="L494" s="585"/>
      <c r="M494" s="585"/>
      <c r="N494" s="585"/>
      <c r="O494" s="585"/>
      <c r="P494" s="585"/>
      <c r="Q494" s="585"/>
      <c r="R494" s="585"/>
      <c r="S494" s="585"/>
      <c r="T494" s="585"/>
      <c r="U494" s="585"/>
      <c r="V494" s="224"/>
      <c r="W494" s="224"/>
      <c r="X494" s="224"/>
      <c r="Y494" s="224"/>
      <c r="Z494" s="868"/>
      <c r="AA494" s="865"/>
      <c r="AB494" s="2"/>
      <c r="AC494" s="2"/>
      <c r="AD494" s="2"/>
      <c r="AE494" s="2"/>
      <c r="AF494" s="2"/>
      <c r="AG494" s="2"/>
      <c r="AH494" s="2"/>
      <c r="AI494" s="2"/>
      <c r="AJ494" s="2"/>
      <c r="AK494" s="2"/>
      <c r="AL494" s="2"/>
      <c r="AM494" s="2"/>
      <c r="AN494" s="2"/>
      <c r="AO494" s="9"/>
      <c r="AP494" s="9"/>
      <c r="AQ494" s="9"/>
      <c r="AR494" s="9"/>
    </row>
    <row r="495">
      <c r="A495" s="585"/>
      <c r="B495" s="585"/>
      <c r="C495" s="585"/>
      <c r="D495" s="585"/>
      <c r="E495" s="585"/>
      <c r="F495" s="585"/>
      <c r="G495" s="585"/>
      <c r="H495" s="585"/>
      <c r="I495" s="585"/>
      <c r="J495" s="585"/>
      <c r="K495" s="585"/>
      <c r="L495" s="585"/>
      <c r="M495" s="585"/>
      <c r="N495" s="585"/>
      <c r="O495" s="585"/>
      <c r="P495" s="585"/>
      <c r="Q495" s="585"/>
      <c r="R495" s="585"/>
      <c r="S495" s="585"/>
      <c r="T495" s="585"/>
      <c r="U495" s="585"/>
      <c r="V495" s="224"/>
      <c r="W495" s="224"/>
      <c r="X495" s="224"/>
      <c r="Y495" s="224"/>
      <c r="Z495" s="868"/>
      <c r="AA495" s="865"/>
      <c r="AB495" s="2"/>
      <c r="AC495" s="2"/>
      <c r="AD495" s="2"/>
      <c r="AE495" s="2"/>
      <c r="AF495" s="2"/>
      <c r="AG495" s="2"/>
      <c r="AH495" s="2"/>
      <c r="AI495" s="2"/>
      <c r="AJ495" s="2"/>
      <c r="AK495" s="2"/>
      <c r="AL495" s="2"/>
      <c r="AM495" s="2"/>
      <c r="AN495" s="2"/>
      <c r="AO495" s="9"/>
      <c r="AP495" s="9"/>
      <c r="AQ495" s="9"/>
      <c r="AR495" s="9"/>
    </row>
    <row r="496">
      <c r="A496" s="585"/>
      <c r="B496" s="585"/>
      <c r="C496" s="585"/>
      <c r="D496" s="585"/>
      <c r="E496" s="585"/>
      <c r="F496" s="585"/>
      <c r="G496" s="585"/>
      <c r="H496" s="585"/>
      <c r="I496" s="585"/>
      <c r="J496" s="585"/>
      <c r="K496" s="585"/>
      <c r="L496" s="585"/>
      <c r="M496" s="585"/>
      <c r="N496" s="585"/>
      <c r="O496" s="585"/>
      <c r="P496" s="585"/>
      <c r="Q496" s="585"/>
      <c r="R496" s="585"/>
      <c r="S496" s="585"/>
      <c r="T496" s="585"/>
      <c r="U496" s="585"/>
      <c r="V496" s="224"/>
      <c r="W496" s="224"/>
      <c r="X496" s="224"/>
      <c r="Y496" s="224"/>
      <c r="Z496" s="868"/>
      <c r="AA496" s="865"/>
      <c r="AB496" s="2"/>
      <c r="AC496" s="2"/>
      <c r="AD496" s="2"/>
      <c r="AE496" s="2"/>
      <c r="AF496" s="2"/>
      <c r="AG496" s="2"/>
      <c r="AH496" s="2"/>
      <c r="AI496" s="2"/>
      <c r="AJ496" s="2"/>
      <c r="AK496" s="2"/>
      <c r="AL496" s="2"/>
      <c r="AM496" s="2"/>
      <c r="AN496" s="2"/>
      <c r="AO496" s="9"/>
      <c r="AP496" s="9"/>
      <c r="AQ496" s="9"/>
      <c r="AR496" s="9"/>
    </row>
    <row r="497">
      <c r="A497" s="585"/>
      <c r="B497" s="585"/>
      <c r="C497" s="585"/>
      <c r="D497" s="585"/>
      <c r="E497" s="585"/>
      <c r="F497" s="585"/>
      <c r="G497" s="585"/>
      <c r="H497" s="585"/>
      <c r="I497" s="585"/>
      <c r="J497" s="585"/>
      <c r="K497" s="585"/>
      <c r="L497" s="585"/>
      <c r="M497" s="585"/>
      <c r="N497" s="585"/>
      <c r="O497" s="585"/>
      <c r="P497" s="585"/>
      <c r="Q497" s="585"/>
      <c r="R497" s="585"/>
      <c r="S497" s="585"/>
      <c r="T497" s="585"/>
      <c r="U497" s="585"/>
      <c r="V497" s="224"/>
      <c r="W497" s="224"/>
      <c r="X497" s="224"/>
      <c r="Y497" s="224"/>
      <c r="Z497" s="868"/>
      <c r="AA497" s="865"/>
      <c r="AB497" s="2"/>
      <c r="AC497" s="2"/>
      <c r="AD497" s="2"/>
      <c r="AE497" s="2"/>
      <c r="AF497" s="2"/>
      <c r="AG497" s="2"/>
      <c r="AH497" s="2"/>
      <c r="AI497" s="2"/>
      <c r="AJ497" s="2"/>
      <c r="AK497" s="2"/>
      <c r="AL497" s="2"/>
      <c r="AM497" s="2"/>
      <c r="AN497" s="2"/>
      <c r="AO497" s="9"/>
      <c r="AP497" s="9"/>
      <c r="AQ497" s="9"/>
      <c r="AR497" s="9"/>
    </row>
    <row r="498">
      <c r="A498" s="585"/>
      <c r="B498" s="585"/>
      <c r="C498" s="585"/>
      <c r="D498" s="585"/>
      <c r="E498" s="585"/>
      <c r="F498" s="585"/>
      <c r="G498" s="585"/>
      <c r="H498" s="585"/>
      <c r="I498" s="585"/>
      <c r="J498" s="585"/>
      <c r="K498" s="585"/>
      <c r="L498" s="585"/>
      <c r="M498" s="585"/>
      <c r="N498" s="585"/>
      <c r="O498" s="585"/>
      <c r="P498" s="585"/>
      <c r="Q498" s="585"/>
      <c r="R498" s="585"/>
      <c r="S498" s="585"/>
      <c r="T498" s="585"/>
      <c r="U498" s="585"/>
      <c r="V498" s="224"/>
      <c r="W498" s="224"/>
      <c r="X498" s="224"/>
      <c r="Y498" s="224"/>
      <c r="Z498" s="868"/>
      <c r="AA498" s="865"/>
      <c r="AB498" s="2"/>
      <c r="AC498" s="2"/>
      <c r="AD498" s="2"/>
      <c r="AE498" s="2"/>
      <c r="AF498" s="2"/>
      <c r="AG498" s="2"/>
      <c r="AH498" s="2"/>
      <c r="AI498" s="2"/>
      <c r="AJ498" s="2"/>
      <c r="AK498" s="2"/>
      <c r="AL498" s="2"/>
      <c r="AM498" s="2"/>
      <c r="AN498" s="2"/>
      <c r="AO498" s="9"/>
      <c r="AP498" s="9"/>
      <c r="AQ498" s="9"/>
      <c r="AR498" s="9"/>
    </row>
    <row r="499">
      <c r="A499" s="585"/>
      <c r="B499" s="585"/>
      <c r="C499" s="585"/>
      <c r="D499" s="585"/>
      <c r="E499" s="585"/>
      <c r="F499" s="585"/>
      <c r="G499" s="585"/>
      <c r="H499" s="585"/>
      <c r="I499" s="585"/>
      <c r="J499" s="585"/>
      <c r="K499" s="585"/>
      <c r="L499" s="585"/>
      <c r="M499" s="585"/>
      <c r="N499" s="585"/>
      <c r="O499" s="585"/>
      <c r="P499" s="585"/>
      <c r="Q499" s="585"/>
      <c r="R499" s="585"/>
      <c r="S499" s="585"/>
      <c r="T499" s="585"/>
      <c r="U499" s="585"/>
      <c r="V499" s="224"/>
      <c r="W499" s="224"/>
      <c r="X499" s="224"/>
      <c r="Y499" s="224"/>
      <c r="Z499" s="868"/>
      <c r="AA499" s="865"/>
      <c r="AB499" s="2"/>
      <c r="AC499" s="2"/>
      <c r="AD499" s="2"/>
      <c r="AE499" s="2"/>
      <c r="AF499" s="2"/>
      <c r="AG499" s="2"/>
      <c r="AH499" s="2"/>
      <c r="AI499" s="2"/>
      <c r="AJ499" s="2"/>
      <c r="AK499" s="2"/>
      <c r="AL499" s="2"/>
      <c r="AM499" s="2"/>
      <c r="AN499" s="2"/>
      <c r="AO499" s="9"/>
      <c r="AP499" s="9"/>
      <c r="AQ499" s="9"/>
      <c r="AR499" s="9"/>
    </row>
    <row r="500">
      <c r="A500" s="585"/>
      <c r="B500" s="585"/>
      <c r="C500" s="585"/>
      <c r="D500" s="585"/>
      <c r="E500" s="585"/>
      <c r="F500" s="585"/>
      <c r="G500" s="585"/>
      <c r="H500" s="585"/>
      <c r="I500" s="585"/>
      <c r="J500" s="585"/>
      <c r="K500" s="585"/>
      <c r="L500" s="585"/>
      <c r="M500" s="585"/>
      <c r="N500" s="585"/>
      <c r="O500" s="585"/>
      <c r="P500" s="585"/>
      <c r="Q500" s="585"/>
      <c r="R500" s="585"/>
      <c r="S500" s="585"/>
      <c r="T500" s="585"/>
      <c r="U500" s="585"/>
      <c r="V500" s="224"/>
      <c r="W500" s="224"/>
      <c r="X500" s="224"/>
      <c r="Y500" s="224"/>
      <c r="Z500" s="868"/>
      <c r="AA500" s="865"/>
      <c r="AB500" s="2"/>
      <c r="AC500" s="2"/>
      <c r="AD500" s="2"/>
      <c r="AE500" s="2"/>
      <c r="AF500" s="2"/>
      <c r="AG500" s="2"/>
      <c r="AH500" s="2"/>
      <c r="AI500" s="2"/>
      <c r="AJ500" s="2"/>
      <c r="AK500" s="2"/>
      <c r="AL500" s="2"/>
      <c r="AM500" s="2"/>
      <c r="AN500" s="2"/>
      <c r="AO500" s="9"/>
      <c r="AP500" s="9"/>
      <c r="AQ500" s="9"/>
      <c r="AR500" s="9"/>
    </row>
    <row r="501">
      <c r="A501" s="585"/>
      <c r="B501" s="585"/>
      <c r="C501" s="585"/>
      <c r="D501" s="585"/>
      <c r="E501" s="585"/>
      <c r="F501" s="585"/>
      <c r="G501" s="585"/>
      <c r="H501" s="585"/>
      <c r="I501" s="585"/>
      <c r="J501" s="585"/>
      <c r="K501" s="585"/>
      <c r="L501" s="585"/>
      <c r="M501" s="585"/>
      <c r="N501" s="585"/>
      <c r="O501" s="585"/>
      <c r="P501" s="585"/>
      <c r="Q501" s="585"/>
      <c r="R501" s="585"/>
      <c r="S501" s="585"/>
      <c r="T501" s="585"/>
      <c r="U501" s="585"/>
      <c r="V501" s="224"/>
      <c r="W501" s="224"/>
      <c r="X501" s="224"/>
      <c r="Y501" s="224"/>
      <c r="Z501" s="868"/>
      <c r="AA501" s="865"/>
      <c r="AB501" s="2"/>
      <c r="AC501" s="2"/>
      <c r="AD501" s="2"/>
      <c r="AE501" s="2"/>
      <c r="AF501" s="2"/>
      <c r="AG501" s="2"/>
      <c r="AH501" s="2"/>
      <c r="AI501" s="2"/>
      <c r="AJ501" s="2"/>
      <c r="AK501" s="2"/>
      <c r="AL501" s="2"/>
      <c r="AM501" s="2"/>
      <c r="AN501" s="2"/>
      <c r="AO501" s="9"/>
      <c r="AP501" s="9"/>
      <c r="AQ501" s="9"/>
      <c r="AR501" s="9"/>
    </row>
    <row r="502">
      <c r="A502" s="585"/>
      <c r="B502" s="585"/>
      <c r="C502" s="585"/>
      <c r="D502" s="585"/>
      <c r="E502" s="585"/>
      <c r="F502" s="585"/>
      <c r="G502" s="585"/>
      <c r="H502" s="585"/>
      <c r="I502" s="585"/>
      <c r="J502" s="585"/>
      <c r="K502" s="585"/>
      <c r="L502" s="585"/>
      <c r="M502" s="585"/>
      <c r="N502" s="585"/>
      <c r="O502" s="585"/>
      <c r="P502" s="585"/>
      <c r="Q502" s="585"/>
      <c r="R502" s="585"/>
      <c r="S502" s="585"/>
      <c r="T502" s="585"/>
      <c r="U502" s="585"/>
      <c r="V502" s="224"/>
      <c r="W502" s="224"/>
      <c r="X502" s="224"/>
      <c r="Y502" s="224"/>
      <c r="Z502" s="868"/>
      <c r="AA502" s="865"/>
      <c r="AB502" s="2"/>
      <c r="AC502" s="2"/>
      <c r="AD502" s="2"/>
      <c r="AE502" s="2"/>
      <c r="AF502" s="2"/>
      <c r="AG502" s="2"/>
      <c r="AH502" s="2"/>
      <c r="AI502" s="2"/>
      <c r="AJ502" s="2"/>
      <c r="AK502" s="2"/>
      <c r="AL502" s="2"/>
      <c r="AM502" s="2"/>
      <c r="AN502" s="2"/>
      <c r="AO502" s="9"/>
      <c r="AP502" s="9"/>
      <c r="AQ502" s="9"/>
      <c r="AR502" s="9"/>
    </row>
    <row r="503">
      <c r="A503" s="585"/>
      <c r="B503" s="585"/>
      <c r="C503" s="585"/>
      <c r="D503" s="585"/>
      <c r="E503" s="585"/>
      <c r="F503" s="585"/>
      <c r="G503" s="585"/>
      <c r="H503" s="585"/>
      <c r="I503" s="585"/>
      <c r="J503" s="585"/>
      <c r="K503" s="585"/>
      <c r="L503" s="585"/>
      <c r="M503" s="585"/>
      <c r="N503" s="585"/>
      <c r="O503" s="585"/>
      <c r="P503" s="585"/>
      <c r="Q503" s="585"/>
      <c r="R503" s="585"/>
      <c r="S503" s="585"/>
      <c r="T503" s="585"/>
      <c r="U503" s="585"/>
      <c r="V503" s="224"/>
      <c r="W503" s="224"/>
      <c r="X503" s="224"/>
      <c r="Y503" s="224"/>
      <c r="Z503" s="868"/>
      <c r="AA503" s="865"/>
      <c r="AB503" s="2"/>
      <c r="AC503" s="2"/>
      <c r="AD503" s="2"/>
      <c r="AE503" s="2"/>
      <c r="AF503" s="2"/>
      <c r="AG503" s="2"/>
      <c r="AH503" s="2"/>
      <c r="AI503" s="2"/>
      <c r="AJ503" s="2"/>
      <c r="AK503" s="2"/>
      <c r="AL503" s="2"/>
      <c r="AM503" s="2"/>
      <c r="AN503" s="2"/>
      <c r="AO503" s="9"/>
      <c r="AP503" s="9"/>
      <c r="AQ503" s="9"/>
      <c r="AR503" s="9"/>
    </row>
    <row r="504">
      <c r="A504" s="585"/>
      <c r="B504" s="585"/>
      <c r="C504" s="585"/>
      <c r="D504" s="585"/>
      <c r="E504" s="585"/>
      <c r="F504" s="585"/>
      <c r="G504" s="585"/>
      <c r="H504" s="585"/>
      <c r="I504" s="585"/>
      <c r="J504" s="585"/>
      <c r="K504" s="585"/>
      <c r="L504" s="585"/>
      <c r="M504" s="585"/>
      <c r="N504" s="585"/>
      <c r="O504" s="585"/>
      <c r="P504" s="585"/>
      <c r="Q504" s="585"/>
      <c r="R504" s="585"/>
      <c r="S504" s="585"/>
      <c r="T504" s="585"/>
      <c r="U504" s="585"/>
      <c r="V504" s="224"/>
      <c r="W504" s="224"/>
      <c r="X504" s="224"/>
      <c r="Y504" s="224"/>
      <c r="Z504" s="868"/>
      <c r="AA504" s="865"/>
      <c r="AB504" s="2"/>
      <c r="AC504" s="2"/>
      <c r="AD504" s="2"/>
      <c r="AE504" s="2"/>
      <c r="AF504" s="2"/>
      <c r="AG504" s="2"/>
      <c r="AH504" s="2"/>
      <c r="AI504" s="2"/>
      <c r="AJ504" s="2"/>
      <c r="AK504" s="2"/>
      <c r="AL504" s="2"/>
      <c r="AM504" s="2"/>
      <c r="AN504" s="2"/>
      <c r="AO504" s="9"/>
      <c r="AP504" s="9"/>
      <c r="AQ504" s="9"/>
      <c r="AR504" s="9"/>
    </row>
    <row r="505">
      <c r="A505" s="585"/>
      <c r="B505" s="585"/>
      <c r="C505" s="585"/>
      <c r="D505" s="585"/>
      <c r="E505" s="585"/>
      <c r="F505" s="585"/>
      <c r="G505" s="585"/>
      <c r="H505" s="585"/>
      <c r="I505" s="585"/>
      <c r="J505" s="585"/>
      <c r="K505" s="585"/>
      <c r="L505" s="585"/>
      <c r="M505" s="585"/>
      <c r="N505" s="585"/>
      <c r="O505" s="585"/>
      <c r="P505" s="585"/>
      <c r="Q505" s="585"/>
      <c r="R505" s="585"/>
      <c r="S505" s="585"/>
      <c r="T505" s="585"/>
      <c r="U505" s="585"/>
      <c r="V505" s="224"/>
      <c r="W505" s="224"/>
      <c r="X505" s="224"/>
      <c r="Y505" s="224"/>
      <c r="Z505" s="868"/>
      <c r="AA505" s="865"/>
      <c r="AB505" s="2"/>
      <c r="AC505" s="2"/>
      <c r="AD505" s="2"/>
      <c r="AE505" s="2"/>
      <c r="AF505" s="2"/>
      <c r="AG505" s="2"/>
      <c r="AH505" s="2"/>
      <c r="AI505" s="2"/>
      <c r="AJ505" s="2"/>
      <c r="AK505" s="2"/>
      <c r="AL505" s="2"/>
      <c r="AM505" s="2"/>
      <c r="AN505" s="2"/>
      <c r="AO505" s="9"/>
      <c r="AP505" s="9"/>
      <c r="AQ505" s="9"/>
      <c r="AR505" s="9"/>
    </row>
    <row r="506">
      <c r="A506" s="585"/>
      <c r="B506" s="585"/>
      <c r="C506" s="585"/>
      <c r="D506" s="585"/>
      <c r="E506" s="585"/>
      <c r="F506" s="585"/>
      <c r="G506" s="585"/>
      <c r="H506" s="585"/>
      <c r="I506" s="585"/>
      <c r="J506" s="585"/>
      <c r="K506" s="585"/>
      <c r="L506" s="585"/>
      <c r="M506" s="585"/>
      <c r="N506" s="585"/>
      <c r="O506" s="585"/>
      <c r="P506" s="585"/>
      <c r="Q506" s="585"/>
      <c r="R506" s="585"/>
      <c r="S506" s="585"/>
      <c r="T506" s="585"/>
      <c r="U506" s="585"/>
      <c r="V506" s="224"/>
      <c r="W506" s="224"/>
      <c r="X506" s="224"/>
      <c r="Y506" s="224"/>
      <c r="Z506" s="868"/>
      <c r="AA506" s="865"/>
      <c r="AB506" s="2"/>
      <c r="AC506" s="2"/>
      <c r="AD506" s="2"/>
      <c r="AE506" s="2"/>
      <c r="AF506" s="2"/>
      <c r="AG506" s="2"/>
      <c r="AH506" s="2"/>
      <c r="AI506" s="2"/>
      <c r="AJ506" s="2"/>
      <c r="AK506" s="2"/>
      <c r="AL506" s="2"/>
      <c r="AM506" s="2"/>
      <c r="AN506" s="2"/>
      <c r="AO506" s="9"/>
      <c r="AP506" s="9"/>
      <c r="AQ506" s="9"/>
      <c r="AR506" s="9"/>
    </row>
    <row r="507">
      <c r="A507" s="585"/>
      <c r="B507" s="585"/>
      <c r="C507" s="585"/>
      <c r="D507" s="585"/>
      <c r="E507" s="585"/>
      <c r="F507" s="585"/>
      <c r="G507" s="585"/>
      <c r="H507" s="585"/>
      <c r="I507" s="585"/>
      <c r="J507" s="585"/>
      <c r="K507" s="585"/>
      <c r="L507" s="585"/>
      <c r="M507" s="585"/>
      <c r="N507" s="585"/>
      <c r="O507" s="585"/>
      <c r="P507" s="585"/>
      <c r="Q507" s="585"/>
      <c r="R507" s="585"/>
      <c r="S507" s="585"/>
      <c r="T507" s="585"/>
      <c r="U507" s="585"/>
      <c r="V507" s="224"/>
      <c r="W507" s="224"/>
      <c r="X507" s="224"/>
      <c r="Y507" s="224"/>
      <c r="Z507" s="868"/>
      <c r="AA507" s="865"/>
      <c r="AB507" s="2"/>
      <c r="AC507" s="2"/>
      <c r="AD507" s="2"/>
      <c r="AE507" s="2"/>
      <c r="AF507" s="2"/>
      <c r="AG507" s="2"/>
      <c r="AH507" s="2"/>
      <c r="AI507" s="2"/>
      <c r="AJ507" s="2"/>
      <c r="AK507" s="2"/>
      <c r="AL507" s="2"/>
      <c r="AM507" s="2"/>
      <c r="AN507" s="2"/>
      <c r="AO507" s="9"/>
      <c r="AP507" s="9"/>
      <c r="AQ507" s="9"/>
      <c r="AR507" s="9"/>
    </row>
    <row r="508">
      <c r="A508" s="585"/>
      <c r="B508" s="585"/>
      <c r="C508" s="585"/>
      <c r="D508" s="585"/>
      <c r="E508" s="585"/>
      <c r="F508" s="585"/>
      <c r="G508" s="585"/>
      <c r="H508" s="585"/>
      <c r="I508" s="585"/>
      <c r="J508" s="585"/>
      <c r="K508" s="585"/>
      <c r="L508" s="585"/>
      <c r="M508" s="585"/>
      <c r="N508" s="585"/>
      <c r="O508" s="585"/>
      <c r="P508" s="585"/>
      <c r="Q508" s="585"/>
      <c r="R508" s="585"/>
      <c r="S508" s="585"/>
      <c r="T508" s="585"/>
      <c r="U508" s="585"/>
      <c r="V508" s="224"/>
      <c r="W508" s="224"/>
      <c r="X508" s="224"/>
      <c r="Y508" s="224"/>
      <c r="Z508" s="868"/>
      <c r="AA508" s="865"/>
      <c r="AB508" s="2"/>
      <c r="AC508" s="2"/>
      <c r="AD508" s="2"/>
      <c r="AE508" s="2"/>
      <c r="AF508" s="2"/>
      <c r="AG508" s="2"/>
      <c r="AH508" s="2"/>
      <c r="AI508" s="2"/>
      <c r="AJ508" s="2"/>
      <c r="AK508" s="2"/>
      <c r="AL508" s="2"/>
      <c r="AM508" s="2"/>
      <c r="AN508" s="2"/>
      <c r="AO508" s="9"/>
      <c r="AP508" s="9"/>
      <c r="AQ508" s="9"/>
      <c r="AR508" s="9"/>
    </row>
    <row r="509">
      <c r="A509" s="585"/>
      <c r="B509" s="585"/>
      <c r="C509" s="585"/>
      <c r="D509" s="585"/>
      <c r="E509" s="585"/>
      <c r="F509" s="585"/>
      <c r="G509" s="585"/>
      <c r="H509" s="585"/>
      <c r="I509" s="585"/>
      <c r="J509" s="585"/>
      <c r="K509" s="585"/>
      <c r="L509" s="585"/>
      <c r="M509" s="585"/>
      <c r="N509" s="585"/>
      <c r="O509" s="585"/>
      <c r="P509" s="585"/>
      <c r="Q509" s="585"/>
      <c r="R509" s="585"/>
      <c r="S509" s="585"/>
      <c r="T509" s="585"/>
      <c r="U509" s="585"/>
      <c r="V509" s="224"/>
      <c r="W509" s="224"/>
      <c r="X509" s="224"/>
      <c r="Y509" s="224"/>
      <c r="Z509" s="868"/>
      <c r="AA509" s="865"/>
      <c r="AB509" s="2"/>
      <c r="AC509" s="2"/>
      <c r="AD509" s="2"/>
      <c r="AE509" s="2"/>
      <c r="AF509" s="2"/>
      <c r="AG509" s="2"/>
      <c r="AH509" s="2"/>
      <c r="AI509" s="2"/>
      <c r="AJ509" s="2"/>
      <c r="AK509" s="2"/>
      <c r="AL509" s="2"/>
      <c r="AM509" s="2"/>
      <c r="AN509" s="2"/>
      <c r="AO509" s="9"/>
      <c r="AP509" s="9"/>
      <c r="AQ509" s="9"/>
      <c r="AR509" s="9"/>
    </row>
    <row r="510">
      <c r="A510" s="585"/>
      <c r="B510" s="585"/>
      <c r="C510" s="585"/>
      <c r="D510" s="585"/>
      <c r="E510" s="585"/>
      <c r="F510" s="585"/>
      <c r="G510" s="585"/>
      <c r="H510" s="585"/>
      <c r="I510" s="585"/>
      <c r="J510" s="585"/>
      <c r="K510" s="585"/>
      <c r="L510" s="585"/>
      <c r="M510" s="585"/>
      <c r="N510" s="585"/>
      <c r="O510" s="585"/>
      <c r="P510" s="585"/>
      <c r="Q510" s="585"/>
      <c r="R510" s="585"/>
      <c r="S510" s="585"/>
      <c r="T510" s="585"/>
      <c r="U510" s="585"/>
      <c r="V510" s="224"/>
      <c r="W510" s="224"/>
      <c r="X510" s="224"/>
      <c r="Y510" s="224"/>
      <c r="Z510" s="868"/>
      <c r="AA510" s="865"/>
      <c r="AB510" s="2"/>
      <c r="AC510" s="2"/>
      <c r="AD510" s="2"/>
      <c r="AE510" s="2"/>
      <c r="AF510" s="2"/>
      <c r="AG510" s="2"/>
      <c r="AH510" s="2"/>
      <c r="AI510" s="2"/>
      <c r="AJ510" s="2"/>
      <c r="AK510" s="2"/>
      <c r="AL510" s="2"/>
      <c r="AM510" s="2"/>
      <c r="AN510" s="2"/>
      <c r="AO510" s="9"/>
      <c r="AP510" s="9"/>
      <c r="AQ510" s="9"/>
      <c r="AR510" s="9"/>
    </row>
    <row r="511">
      <c r="A511" s="585"/>
      <c r="B511" s="585"/>
      <c r="C511" s="585"/>
      <c r="D511" s="585"/>
      <c r="E511" s="585"/>
      <c r="F511" s="585"/>
      <c r="G511" s="585"/>
      <c r="H511" s="585"/>
      <c r="I511" s="585"/>
      <c r="J511" s="585"/>
      <c r="K511" s="585"/>
      <c r="L511" s="585"/>
      <c r="M511" s="585"/>
      <c r="N511" s="585"/>
      <c r="O511" s="585"/>
      <c r="P511" s="585"/>
      <c r="Q511" s="585"/>
      <c r="R511" s="585"/>
      <c r="S511" s="585"/>
      <c r="T511" s="585"/>
      <c r="U511" s="585"/>
      <c r="V511" s="224"/>
      <c r="W511" s="224"/>
      <c r="X511" s="224"/>
      <c r="Y511" s="224"/>
      <c r="Z511" s="868"/>
      <c r="AA511" s="865"/>
      <c r="AB511" s="2"/>
      <c r="AC511" s="2"/>
      <c r="AD511" s="2"/>
      <c r="AE511" s="2"/>
      <c r="AF511" s="2"/>
      <c r="AG511" s="2"/>
      <c r="AH511" s="2"/>
      <c r="AI511" s="2"/>
      <c r="AJ511" s="2"/>
      <c r="AK511" s="2"/>
      <c r="AL511" s="2"/>
      <c r="AM511" s="2"/>
      <c r="AN511" s="2"/>
      <c r="AO511" s="9"/>
      <c r="AP511" s="9"/>
      <c r="AQ511" s="9"/>
      <c r="AR511" s="9"/>
    </row>
    <row r="512">
      <c r="A512" s="585"/>
      <c r="B512" s="585"/>
      <c r="C512" s="585"/>
      <c r="D512" s="585"/>
      <c r="E512" s="585"/>
      <c r="F512" s="585"/>
      <c r="G512" s="585"/>
      <c r="H512" s="585"/>
      <c r="I512" s="585"/>
      <c r="J512" s="585"/>
      <c r="K512" s="585"/>
      <c r="L512" s="585"/>
      <c r="M512" s="585"/>
      <c r="N512" s="585"/>
      <c r="O512" s="585"/>
      <c r="P512" s="585"/>
      <c r="Q512" s="585"/>
      <c r="R512" s="585"/>
      <c r="S512" s="585"/>
      <c r="T512" s="585"/>
      <c r="U512" s="585"/>
      <c r="V512" s="224"/>
      <c r="W512" s="224"/>
      <c r="X512" s="224"/>
      <c r="Y512" s="224"/>
      <c r="Z512" s="868"/>
      <c r="AA512" s="865"/>
      <c r="AB512" s="2"/>
      <c r="AC512" s="2"/>
      <c r="AD512" s="2"/>
      <c r="AE512" s="2"/>
      <c r="AF512" s="2"/>
      <c r="AG512" s="2"/>
      <c r="AH512" s="2"/>
      <c r="AI512" s="2"/>
      <c r="AJ512" s="2"/>
      <c r="AK512" s="2"/>
      <c r="AL512" s="2"/>
      <c r="AM512" s="2"/>
      <c r="AN512" s="2"/>
      <c r="AO512" s="9"/>
      <c r="AP512" s="9"/>
      <c r="AQ512" s="9"/>
      <c r="AR512" s="9"/>
    </row>
    <row r="513">
      <c r="A513" s="585"/>
      <c r="B513" s="585"/>
      <c r="C513" s="585"/>
      <c r="D513" s="585"/>
      <c r="E513" s="585"/>
      <c r="F513" s="585"/>
      <c r="G513" s="585"/>
      <c r="H513" s="585"/>
      <c r="I513" s="585"/>
      <c r="J513" s="585"/>
      <c r="K513" s="585"/>
      <c r="L513" s="585"/>
      <c r="M513" s="585"/>
      <c r="N513" s="585"/>
      <c r="O513" s="585"/>
      <c r="P513" s="585"/>
      <c r="Q513" s="585"/>
      <c r="R513" s="585"/>
      <c r="S513" s="585"/>
      <c r="T513" s="585"/>
      <c r="U513" s="585"/>
      <c r="V513" s="224"/>
      <c r="W513" s="224"/>
      <c r="X513" s="224"/>
      <c r="Y513" s="224"/>
      <c r="Z513" s="868"/>
      <c r="AA513" s="865"/>
      <c r="AB513" s="2"/>
      <c r="AC513" s="2"/>
      <c r="AD513" s="2"/>
      <c r="AE513" s="2"/>
      <c r="AF513" s="2"/>
      <c r="AG513" s="2"/>
      <c r="AH513" s="2"/>
      <c r="AI513" s="2"/>
      <c r="AJ513" s="2"/>
      <c r="AK513" s="2"/>
      <c r="AL513" s="2"/>
      <c r="AM513" s="2"/>
      <c r="AN513" s="2"/>
      <c r="AO513" s="9"/>
      <c r="AP513" s="9"/>
      <c r="AQ513" s="9"/>
      <c r="AR513" s="9"/>
    </row>
    <row r="514">
      <c r="A514" s="585"/>
      <c r="B514" s="585"/>
      <c r="C514" s="585"/>
      <c r="D514" s="585"/>
      <c r="E514" s="585"/>
      <c r="F514" s="585"/>
      <c r="G514" s="585"/>
      <c r="H514" s="585"/>
      <c r="I514" s="585"/>
      <c r="J514" s="585"/>
      <c r="K514" s="585"/>
      <c r="L514" s="585"/>
      <c r="M514" s="585"/>
      <c r="N514" s="585"/>
      <c r="O514" s="585"/>
      <c r="P514" s="585"/>
      <c r="Q514" s="585"/>
      <c r="R514" s="585"/>
      <c r="S514" s="585"/>
      <c r="T514" s="585"/>
      <c r="U514" s="585"/>
      <c r="V514" s="224"/>
      <c r="W514" s="224"/>
      <c r="X514" s="224"/>
      <c r="Y514" s="224"/>
      <c r="Z514" s="868"/>
      <c r="AA514" s="865"/>
      <c r="AB514" s="2"/>
      <c r="AC514" s="2"/>
      <c r="AD514" s="2"/>
      <c r="AE514" s="2"/>
      <c r="AF514" s="2"/>
      <c r="AG514" s="2"/>
      <c r="AH514" s="2"/>
      <c r="AI514" s="2"/>
      <c r="AJ514" s="2"/>
      <c r="AK514" s="2"/>
      <c r="AL514" s="2"/>
      <c r="AM514" s="2"/>
      <c r="AN514" s="2"/>
      <c r="AO514" s="9"/>
      <c r="AP514" s="9"/>
      <c r="AQ514" s="9"/>
      <c r="AR514" s="9"/>
    </row>
    <row r="515">
      <c r="A515" s="585"/>
      <c r="B515" s="585"/>
      <c r="C515" s="585"/>
      <c r="D515" s="585"/>
      <c r="E515" s="585"/>
      <c r="F515" s="585"/>
      <c r="G515" s="585"/>
      <c r="H515" s="585"/>
      <c r="I515" s="585"/>
      <c r="J515" s="585"/>
      <c r="K515" s="585"/>
      <c r="L515" s="585"/>
      <c r="M515" s="585"/>
      <c r="N515" s="585"/>
      <c r="O515" s="585"/>
      <c r="P515" s="585"/>
      <c r="Q515" s="585"/>
      <c r="R515" s="585"/>
      <c r="S515" s="585"/>
      <c r="T515" s="585"/>
      <c r="U515" s="585"/>
      <c r="V515" s="224"/>
      <c r="W515" s="224"/>
      <c r="X515" s="224"/>
      <c r="Y515" s="224"/>
      <c r="Z515" s="868"/>
      <c r="AA515" s="865"/>
      <c r="AB515" s="2"/>
      <c r="AC515" s="2"/>
      <c r="AD515" s="2"/>
      <c r="AE515" s="2"/>
      <c r="AF515" s="2"/>
      <c r="AG515" s="2"/>
      <c r="AH515" s="2"/>
      <c r="AI515" s="2"/>
      <c r="AJ515" s="2"/>
      <c r="AK515" s="2"/>
      <c r="AL515" s="2"/>
      <c r="AM515" s="2"/>
      <c r="AN515" s="2"/>
      <c r="AO515" s="9"/>
      <c r="AP515" s="9"/>
      <c r="AQ515" s="9"/>
      <c r="AR515" s="9"/>
    </row>
    <row r="516">
      <c r="A516" s="585"/>
      <c r="B516" s="585"/>
      <c r="C516" s="585"/>
      <c r="D516" s="585"/>
      <c r="E516" s="585"/>
      <c r="F516" s="585"/>
      <c r="G516" s="585"/>
      <c r="H516" s="585"/>
      <c r="I516" s="585"/>
      <c r="J516" s="585"/>
      <c r="K516" s="585"/>
      <c r="L516" s="585"/>
      <c r="M516" s="585"/>
      <c r="N516" s="585"/>
      <c r="O516" s="585"/>
      <c r="P516" s="585"/>
      <c r="Q516" s="585"/>
      <c r="R516" s="585"/>
      <c r="S516" s="585"/>
      <c r="T516" s="585"/>
      <c r="U516" s="585"/>
      <c r="V516" s="224"/>
      <c r="W516" s="224"/>
      <c r="X516" s="224"/>
      <c r="Y516" s="224"/>
      <c r="Z516" s="868"/>
      <c r="AA516" s="865"/>
      <c r="AB516" s="2"/>
      <c r="AC516" s="2"/>
      <c r="AD516" s="2"/>
      <c r="AE516" s="2"/>
      <c r="AF516" s="2"/>
      <c r="AG516" s="2"/>
      <c r="AH516" s="2"/>
      <c r="AI516" s="2"/>
      <c r="AJ516" s="2"/>
      <c r="AK516" s="2"/>
      <c r="AL516" s="2"/>
      <c r="AM516" s="2"/>
      <c r="AN516" s="2"/>
      <c r="AO516" s="9"/>
      <c r="AP516" s="9"/>
      <c r="AQ516" s="9"/>
      <c r="AR516" s="9"/>
    </row>
    <row r="517">
      <c r="A517" s="585"/>
      <c r="B517" s="585"/>
      <c r="C517" s="585"/>
      <c r="D517" s="585"/>
      <c r="E517" s="585"/>
      <c r="F517" s="585"/>
      <c r="G517" s="585"/>
      <c r="H517" s="585"/>
      <c r="I517" s="585"/>
      <c r="J517" s="585"/>
      <c r="K517" s="585"/>
      <c r="L517" s="585"/>
      <c r="M517" s="585"/>
      <c r="N517" s="585"/>
      <c r="O517" s="585"/>
      <c r="P517" s="585"/>
      <c r="Q517" s="585"/>
      <c r="R517" s="585"/>
      <c r="S517" s="585"/>
      <c r="T517" s="585"/>
      <c r="U517" s="585"/>
      <c r="V517" s="224"/>
      <c r="W517" s="224"/>
      <c r="X517" s="224"/>
      <c r="Y517" s="224"/>
      <c r="Z517" s="868"/>
      <c r="AA517" s="865"/>
      <c r="AB517" s="2"/>
      <c r="AC517" s="2"/>
      <c r="AD517" s="2"/>
      <c r="AE517" s="2"/>
      <c r="AF517" s="2"/>
      <c r="AG517" s="2"/>
      <c r="AH517" s="2"/>
      <c r="AI517" s="2"/>
      <c r="AJ517" s="2"/>
      <c r="AK517" s="2"/>
      <c r="AL517" s="2"/>
      <c r="AM517" s="2"/>
      <c r="AN517" s="2"/>
      <c r="AO517" s="9"/>
      <c r="AP517" s="9"/>
      <c r="AQ517" s="9"/>
      <c r="AR517" s="9"/>
    </row>
    <row r="518">
      <c r="A518" s="585"/>
      <c r="B518" s="585"/>
      <c r="C518" s="585"/>
      <c r="D518" s="585"/>
      <c r="E518" s="585"/>
      <c r="F518" s="585"/>
      <c r="G518" s="585"/>
      <c r="H518" s="585"/>
      <c r="I518" s="585"/>
      <c r="J518" s="585"/>
      <c r="K518" s="585"/>
      <c r="L518" s="585"/>
      <c r="M518" s="585"/>
      <c r="N518" s="585"/>
      <c r="O518" s="585"/>
      <c r="P518" s="585"/>
      <c r="Q518" s="585"/>
      <c r="R518" s="585"/>
      <c r="S518" s="585"/>
      <c r="T518" s="585"/>
      <c r="U518" s="585"/>
      <c r="V518" s="224"/>
      <c r="W518" s="224"/>
      <c r="X518" s="224"/>
      <c r="Y518" s="224"/>
      <c r="Z518" s="868"/>
      <c r="AA518" s="865"/>
      <c r="AB518" s="2"/>
      <c r="AC518" s="2"/>
      <c r="AD518" s="2"/>
      <c r="AE518" s="2"/>
      <c r="AF518" s="2"/>
      <c r="AG518" s="2"/>
      <c r="AH518" s="2"/>
      <c r="AI518" s="2"/>
      <c r="AJ518" s="2"/>
      <c r="AK518" s="2"/>
      <c r="AL518" s="2"/>
      <c r="AM518" s="2"/>
      <c r="AN518" s="2"/>
      <c r="AO518" s="9"/>
      <c r="AP518" s="9"/>
      <c r="AQ518" s="9"/>
      <c r="AR518" s="9"/>
    </row>
    <row r="519">
      <c r="A519" s="585"/>
      <c r="B519" s="585"/>
      <c r="C519" s="585"/>
      <c r="D519" s="585"/>
      <c r="E519" s="585"/>
      <c r="F519" s="585"/>
      <c r="G519" s="585"/>
      <c r="H519" s="585"/>
      <c r="I519" s="585"/>
      <c r="J519" s="585"/>
      <c r="K519" s="585"/>
      <c r="L519" s="585"/>
      <c r="M519" s="585"/>
      <c r="N519" s="585"/>
      <c r="O519" s="585"/>
      <c r="P519" s="585"/>
      <c r="Q519" s="585"/>
      <c r="R519" s="585"/>
      <c r="S519" s="585"/>
      <c r="T519" s="585"/>
      <c r="U519" s="585"/>
      <c r="V519" s="224"/>
      <c r="W519" s="224"/>
      <c r="X519" s="224"/>
      <c r="Y519" s="224"/>
      <c r="Z519" s="868"/>
      <c r="AA519" s="865"/>
      <c r="AB519" s="2"/>
      <c r="AC519" s="2"/>
      <c r="AD519" s="2"/>
      <c r="AE519" s="2"/>
      <c r="AF519" s="2"/>
      <c r="AG519" s="2"/>
      <c r="AH519" s="2"/>
      <c r="AI519" s="2"/>
      <c r="AJ519" s="2"/>
      <c r="AK519" s="2"/>
      <c r="AL519" s="2"/>
      <c r="AM519" s="2"/>
      <c r="AN519" s="2"/>
      <c r="AO519" s="9"/>
      <c r="AP519" s="9"/>
      <c r="AQ519" s="9"/>
      <c r="AR519" s="9"/>
    </row>
    <row r="520">
      <c r="A520" s="585"/>
      <c r="B520" s="585"/>
      <c r="C520" s="585"/>
      <c r="D520" s="585"/>
      <c r="E520" s="585"/>
      <c r="F520" s="585"/>
      <c r="G520" s="585"/>
      <c r="H520" s="585"/>
      <c r="I520" s="585"/>
      <c r="J520" s="585"/>
      <c r="K520" s="585"/>
      <c r="L520" s="585"/>
      <c r="M520" s="585"/>
      <c r="N520" s="585"/>
      <c r="O520" s="585"/>
      <c r="P520" s="585"/>
      <c r="Q520" s="585"/>
      <c r="R520" s="585"/>
      <c r="S520" s="585"/>
      <c r="T520" s="585"/>
      <c r="U520" s="585"/>
      <c r="V520" s="224"/>
      <c r="W520" s="224"/>
      <c r="X520" s="224"/>
      <c r="Y520" s="224"/>
      <c r="Z520" s="868"/>
      <c r="AA520" s="865"/>
      <c r="AB520" s="2"/>
      <c r="AC520" s="2"/>
      <c r="AD520" s="2"/>
      <c r="AE520" s="2"/>
      <c r="AF520" s="2"/>
      <c r="AG520" s="2"/>
      <c r="AH520" s="2"/>
      <c r="AI520" s="2"/>
      <c r="AJ520" s="2"/>
      <c r="AK520" s="2"/>
      <c r="AL520" s="2"/>
      <c r="AM520" s="2"/>
      <c r="AN520" s="2"/>
      <c r="AO520" s="9"/>
      <c r="AP520" s="9"/>
      <c r="AQ520" s="9"/>
      <c r="AR520" s="9"/>
    </row>
    <row r="521">
      <c r="A521" s="585"/>
      <c r="B521" s="585"/>
      <c r="C521" s="585"/>
      <c r="D521" s="585"/>
      <c r="E521" s="585"/>
      <c r="F521" s="585"/>
      <c r="G521" s="585"/>
      <c r="H521" s="585"/>
      <c r="I521" s="585"/>
      <c r="J521" s="585"/>
      <c r="K521" s="585"/>
      <c r="L521" s="585"/>
      <c r="M521" s="585"/>
      <c r="N521" s="585"/>
      <c r="O521" s="585"/>
      <c r="P521" s="585"/>
      <c r="Q521" s="585"/>
      <c r="R521" s="585"/>
      <c r="S521" s="585"/>
      <c r="T521" s="585"/>
      <c r="U521" s="585"/>
      <c r="V521" s="224"/>
      <c r="W521" s="224"/>
      <c r="X521" s="224"/>
      <c r="Y521" s="224"/>
      <c r="Z521" s="868"/>
      <c r="AA521" s="865"/>
      <c r="AB521" s="2"/>
      <c r="AC521" s="2"/>
      <c r="AD521" s="2"/>
      <c r="AE521" s="2"/>
      <c r="AF521" s="2"/>
      <c r="AG521" s="2"/>
      <c r="AH521" s="2"/>
      <c r="AI521" s="2"/>
      <c r="AJ521" s="2"/>
      <c r="AK521" s="2"/>
      <c r="AL521" s="2"/>
      <c r="AM521" s="2"/>
      <c r="AN521" s="2"/>
      <c r="AO521" s="9"/>
      <c r="AP521" s="9"/>
      <c r="AQ521" s="9"/>
      <c r="AR521" s="9"/>
    </row>
    <row r="522">
      <c r="A522" s="585"/>
      <c r="B522" s="585"/>
      <c r="C522" s="585"/>
      <c r="D522" s="585"/>
      <c r="E522" s="585"/>
      <c r="F522" s="585"/>
      <c r="G522" s="585"/>
      <c r="H522" s="585"/>
      <c r="I522" s="585"/>
      <c r="J522" s="585"/>
      <c r="K522" s="585"/>
      <c r="L522" s="585"/>
      <c r="M522" s="585"/>
      <c r="N522" s="585"/>
      <c r="O522" s="585"/>
      <c r="P522" s="585"/>
      <c r="Q522" s="585"/>
      <c r="R522" s="585"/>
      <c r="S522" s="585"/>
      <c r="T522" s="585"/>
      <c r="U522" s="585"/>
      <c r="V522" s="224"/>
      <c r="W522" s="224"/>
      <c r="X522" s="224"/>
      <c r="Y522" s="224"/>
      <c r="Z522" s="868"/>
      <c r="AA522" s="865"/>
      <c r="AB522" s="2"/>
      <c r="AC522" s="2"/>
      <c r="AD522" s="2"/>
      <c r="AE522" s="2"/>
      <c r="AF522" s="2"/>
      <c r="AG522" s="2"/>
      <c r="AH522" s="2"/>
      <c r="AI522" s="2"/>
      <c r="AJ522" s="2"/>
      <c r="AK522" s="2"/>
      <c r="AL522" s="2"/>
      <c r="AM522" s="2"/>
      <c r="AN522" s="2"/>
      <c r="AO522" s="9"/>
      <c r="AP522" s="9"/>
      <c r="AQ522" s="9"/>
      <c r="AR522" s="9"/>
    </row>
    <row r="523">
      <c r="A523" s="585"/>
      <c r="B523" s="585"/>
      <c r="C523" s="585"/>
      <c r="D523" s="585"/>
      <c r="E523" s="585"/>
      <c r="F523" s="585"/>
      <c r="G523" s="585"/>
      <c r="H523" s="585"/>
      <c r="I523" s="585"/>
      <c r="J523" s="585"/>
      <c r="K523" s="585"/>
      <c r="L523" s="585"/>
      <c r="M523" s="585"/>
      <c r="N523" s="585"/>
      <c r="O523" s="585"/>
      <c r="P523" s="585"/>
      <c r="Q523" s="585"/>
      <c r="R523" s="585"/>
      <c r="S523" s="585"/>
      <c r="T523" s="585"/>
      <c r="U523" s="585"/>
      <c r="V523" s="224"/>
      <c r="W523" s="224"/>
      <c r="X523" s="224"/>
      <c r="Y523" s="224"/>
      <c r="Z523" s="868"/>
      <c r="AA523" s="865"/>
      <c r="AB523" s="2"/>
      <c r="AC523" s="2"/>
      <c r="AD523" s="2"/>
      <c r="AE523" s="2"/>
      <c r="AF523" s="2"/>
      <c r="AG523" s="2"/>
      <c r="AH523" s="2"/>
      <c r="AI523" s="2"/>
      <c r="AJ523" s="2"/>
      <c r="AK523" s="2"/>
      <c r="AL523" s="2"/>
      <c r="AM523" s="2"/>
      <c r="AN523" s="2"/>
      <c r="AO523" s="9"/>
      <c r="AP523" s="9"/>
      <c r="AQ523" s="9"/>
      <c r="AR523" s="9"/>
    </row>
    <row r="524">
      <c r="A524" s="585"/>
      <c r="B524" s="585"/>
      <c r="C524" s="585"/>
      <c r="D524" s="585"/>
      <c r="E524" s="585"/>
      <c r="F524" s="585"/>
      <c r="G524" s="585"/>
      <c r="H524" s="585"/>
      <c r="I524" s="585"/>
      <c r="J524" s="585"/>
      <c r="K524" s="585"/>
      <c r="L524" s="585"/>
      <c r="M524" s="585"/>
      <c r="N524" s="585"/>
      <c r="O524" s="585"/>
      <c r="P524" s="585"/>
      <c r="Q524" s="585"/>
      <c r="R524" s="585"/>
      <c r="S524" s="585"/>
      <c r="T524" s="585"/>
      <c r="U524" s="585"/>
      <c r="V524" s="224"/>
      <c r="W524" s="224"/>
      <c r="X524" s="224"/>
      <c r="Y524" s="224"/>
      <c r="Z524" s="868"/>
      <c r="AA524" s="865"/>
      <c r="AB524" s="2"/>
      <c r="AC524" s="2"/>
      <c r="AD524" s="2"/>
      <c r="AE524" s="2"/>
      <c r="AF524" s="2"/>
      <c r="AG524" s="2"/>
      <c r="AH524" s="2"/>
      <c r="AI524" s="2"/>
      <c r="AJ524" s="2"/>
      <c r="AK524" s="2"/>
      <c r="AL524" s="2"/>
      <c r="AM524" s="2"/>
      <c r="AN524" s="2"/>
      <c r="AO524" s="9"/>
      <c r="AP524" s="9"/>
      <c r="AQ524" s="9"/>
      <c r="AR524" s="9"/>
    </row>
    <row r="525">
      <c r="A525" s="585"/>
      <c r="B525" s="585"/>
      <c r="C525" s="585"/>
      <c r="D525" s="585"/>
      <c r="E525" s="585"/>
      <c r="F525" s="585"/>
      <c r="G525" s="585"/>
      <c r="H525" s="585"/>
      <c r="I525" s="585"/>
      <c r="J525" s="585"/>
      <c r="K525" s="585"/>
      <c r="L525" s="585"/>
      <c r="M525" s="585"/>
      <c r="N525" s="585"/>
      <c r="O525" s="585"/>
      <c r="P525" s="585"/>
      <c r="Q525" s="585"/>
      <c r="R525" s="585"/>
      <c r="S525" s="585"/>
      <c r="T525" s="585"/>
      <c r="U525" s="585"/>
      <c r="V525" s="224"/>
      <c r="W525" s="224"/>
      <c r="X525" s="224"/>
      <c r="Y525" s="224"/>
      <c r="Z525" s="868"/>
      <c r="AA525" s="865"/>
      <c r="AB525" s="2"/>
      <c r="AC525" s="2"/>
      <c r="AD525" s="2"/>
      <c r="AE525" s="2"/>
      <c r="AF525" s="2"/>
      <c r="AG525" s="2"/>
      <c r="AH525" s="2"/>
      <c r="AI525" s="2"/>
      <c r="AJ525" s="2"/>
      <c r="AK525" s="2"/>
      <c r="AL525" s="2"/>
      <c r="AM525" s="2"/>
      <c r="AN525" s="2"/>
      <c r="AO525" s="9"/>
      <c r="AP525" s="9"/>
      <c r="AQ525" s="9"/>
      <c r="AR525" s="9"/>
    </row>
    <row r="526">
      <c r="A526" s="585"/>
      <c r="B526" s="585"/>
      <c r="C526" s="585"/>
      <c r="D526" s="585"/>
      <c r="E526" s="585"/>
      <c r="F526" s="585"/>
      <c r="G526" s="585"/>
      <c r="H526" s="585"/>
      <c r="I526" s="585"/>
      <c r="J526" s="585"/>
      <c r="K526" s="585"/>
      <c r="L526" s="585"/>
      <c r="M526" s="585"/>
      <c r="N526" s="585"/>
      <c r="O526" s="585"/>
      <c r="P526" s="585"/>
      <c r="Q526" s="585"/>
      <c r="R526" s="585"/>
      <c r="S526" s="585"/>
      <c r="T526" s="585"/>
      <c r="U526" s="585"/>
      <c r="V526" s="224"/>
      <c r="W526" s="224"/>
      <c r="X526" s="224"/>
      <c r="Y526" s="224"/>
      <c r="Z526" s="868"/>
      <c r="AA526" s="865"/>
      <c r="AB526" s="2"/>
      <c r="AC526" s="2"/>
      <c r="AD526" s="2"/>
      <c r="AE526" s="2"/>
      <c r="AF526" s="2"/>
      <c r="AG526" s="2"/>
      <c r="AH526" s="2"/>
      <c r="AI526" s="2"/>
      <c r="AJ526" s="2"/>
      <c r="AK526" s="2"/>
      <c r="AL526" s="2"/>
      <c r="AM526" s="2"/>
      <c r="AN526" s="2"/>
      <c r="AO526" s="9"/>
      <c r="AP526" s="9"/>
      <c r="AQ526" s="9"/>
      <c r="AR526" s="9"/>
    </row>
    <row r="527">
      <c r="A527" s="585"/>
      <c r="B527" s="585"/>
      <c r="C527" s="585"/>
      <c r="D527" s="585"/>
      <c r="E527" s="585"/>
      <c r="F527" s="585"/>
      <c r="G527" s="585"/>
      <c r="H527" s="585"/>
      <c r="I527" s="585"/>
      <c r="J527" s="585"/>
      <c r="K527" s="585"/>
      <c r="L527" s="585"/>
      <c r="M527" s="585"/>
      <c r="N527" s="585"/>
      <c r="O527" s="585"/>
      <c r="P527" s="585"/>
      <c r="Q527" s="585"/>
      <c r="R527" s="585"/>
      <c r="S527" s="585"/>
      <c r="T527" s="585"/>
      <c r="U527" s="585"/>
      <c r="V527" s="224"/>
      <c r="W527" s="224"/>
      <c r="X527" s="224"/>
      <c r="Y527" s="224"/>
      <c r="Z527" s="868"/>
      <c r="AA527" s="865"/>
      <c r="AB527" s="2"/>
      <c r="AC527" s="2"/>
      <c r="AD527" s="2"/>
      <c r="AE527" s="2"/>
      <c r="AF527" s="2"/>
      <c r="AG527" s="2"/>
      <c r="AH527" s="2"/>
      <c r="AI527" s="2"/>
      <c r="AJ527" s="2"/>
      <c r="AK527" s="2"/>
      <c r="AL527" s="2"/>
      <c r="AM527" s="2"/>
      <c r="AN527" s="2"/>
      <c r="AO527" s="9"/>
      <c r="AP527" s="9"/>
      <c r="AQ527" s="9"/>
      <c r="AR527" s="9"/>
    </row>
    <row r="528">
      <c r="A528" s="585"/>
      <c r="B528" s="585"/>
      <c r="C528" s="585"/>
      <c r="D528" s="585"/>
      <c r="E528" s="585"/>
      <c r="F528" s="585"/>
      <c r="G528" s="585"/>
      <c r="H528" s="585"/>
      <c r="I528" s="585"/>
      <c r="J528" s="585"/>
      <c r="K528" s="585"/>
      <c r="L528" s="585"/>
      <c r="M528" s="585"/>
      <c r="N528" s="585"/>
      <c r="O528" s="585"/>
      <c r="P528" s="585"/>
      <c r="Q528" s="585"/>
      <c r="R528" s="585"/>
      <c r="S528" s="585"/>
      <c r="T528" s="585"/>
      <c r="U528" s="585"/>
      <c r="V528" s="224"/>
      <c r="W528" s="224"/>
      <c r="X528" s="224"/>
      <c r="Y528" s="224"/>
      <c r="Z528" s="868"/>
      <c r="AA528" s="865"/>
      <c r="AB528" s="2"/>
      <c r="AC528" s="2"/>
      <c r="AD528" s="2"/>
      <c r="AE528" s="2"/>
      <c r="AF528" s="2"/>
      <c r="AG528" s="2"/>
      <c r="AH528" s="2"/>
      <c r="AI528" s="2"/>
      <c r="AJ528" s="2"/>
      <c r="AK528" s="2"/>
      <c r="AL528" s="2"/>
      <c r="AM528" s="2"/>
      <c r="AN528" s="2"/>
      <c r="AO528" s="9"/>
      <c r="AP528" s="9"/>
      <c r="AQ528" s="9"/>
      <c r="AR528" s="9"/>
    </row>
    <row r="529">
      <c r="A529" s="585"/>
      <c r="B529" s="585"/>
      <c r="C529" s="585"/>
      <c r="D529" s="585"/>
      <c r="E529" s="585"/>
      <c r="F529" s="585"/>
      <c r="G529" s="585"/>
      <c r="H529" s="585"/>
      <c r="I529" s="585"/>
      <c r="J529" s="585"/>
      <c r="K529" s="585"/>
      <c r="L529" s="585"/>
      <c r="M529" s="585"/>
      <c r="N529" s="585"/>
      <c r="O529" s="585"/>
      <c r="P529" s="585"/>
      <c r="Q529" s="585"/>
      <c r="R529" s="585"/>
      <c r="S529" s="585"/>
      <c r="T529" s="585"/>
      <c r="U529" s="585"/>
      <c r="V529" s="224"/>
      <c r="W529" s="224"/>
      <c r="X529" s="224"/>
      <c r="Y529" s="224"/>
      <c r="Z529" s="868"/>
      <c r="AA529" s="865"/>
      <c r="AB529" s="2"/>
      <c r="AC529" s="2"/>
      <c r="AD529" s="2"/>
      <c r="AE529" s="2"/>
      <c r="AF529" s="2"/>
      <c r="AG529" s="2"/>
      <c r="AH529" s="2"/>
      <c r="AI529" s="2"/>
      <c r="AJ529" s="2"/>
      <c r="AK529" s="2"/>
      <c r="AL529" s="2"/>
      <c r="AM529" s="2"/>
      <c r="AN529" s="2"/>
      <c r="AO529" s="9"/>
      <c r="AP529" s="9"/>
      <c r="AQ529" s="9"/>
      <c r="AR529" s="9"/>
    </row>
    <row r="530">
      <c r="A530" s="585"/>
      <c r="B530" s="585"/>
      <c r="C530" s="585"/>
      <c r="D530" s="585"/>
      <c r="E530" s="585"/>
      <c r="F530" s="585"/>
      <c r="G530" s="585"/>
      <c r="H530" s="585"/>
      <c r="I530" s="585"/>
      <c r="J530" s="585"/>
      <c r="K530" s="585"/>
      <c r="L530" s="585"/>
      <c r="M530" s="585"/>
      <c r="N530" s="585"/>
      <c r="O530" s="585"/>
      <c r="P530" s="585"/>
      <c r="Q530" s="585"/>
      <c r="R530" s="585"/>
      <c r="S530" s="585"/>
      <c r="T530" s="585"/>
      <c r="U530" s="585"/>
      <c r="V530" s="224"/>
      <c r="W530" s="224"/>
      <c r="X530" s="224"/>
      <c r="Y530" s="224"/>
      <c r="Z530" s="868"/>
      <c r="AA530" s="865"/>
      <c r="AB530" s="2"/>
      <c r="AC530" s="2"/>
      <c r="AD530" s="2"/>
      <c r="AE530" s="2"/>
      <c r="AF530" s="2"/>
      <c r="AG530" s="2"/>
      <c r="AH530" s="2"/>
      <c r="AI530" s="2"/>
      <c r="AJ530" s="2"/>
      <c r="AK530" s="2"/>
      <c r="AL530" s="2"/>
      <c r="AM530" s="2"/>
      <c r="AN530" s="2"/>
      <c r="AO530" s="9"/>
      <c r="AP530" s="9"/>
      <c r="AQ530" s="9"/>
      <c r="AR530" s="9"/>
    </row>
    <row r="531">
      <c r="A531" s="585"/>
      <c r="B531" s="585"/>
      <c r="C531" s="585"/>
      <c r="D531" s="585"/>
      <c r="E531" s="585"/>
      <c r="F531" s="585"/>
      <c r="G531" s="585"/>
      <c r="H531" s="585"/>
      <c r="I531" s="585"/>
      <c r="J531" s="585"/>
      <c r="K531" s="585"/>
      <c r="L531" s="585"/>
      <c r="M531" s="585"/>
      <c r="N531" s="585"/>
      <c r="O531" s="585"/>
      <c r="P531" s="585"/>
      <c r="Q531" s="585"/>
      <c r="R531" s="585"/>
      <c r="S531" s="585"/>
      <c r="T531" s="585"/>
      <c r="U531" s="585"/>
      <c r="V531" s="224"/>
      <c r="W531" s="224"/>
      <c r="X531" s="224"/>
      <c r="Y531" s="224"/>
      <c r="Z531" s="868"/>
      <c r="AA531" s="865"/>
      <c r="AB531" s="2"/>
      <c r="AC531" s="2"/>
      <c r="AD531" s="2"/>
      <c r="AE531" s="2"/>
      <c r="AF531" s="2"/>
      <c r="AG531" s="2"/>
      <c r="AH531" s="2"/>
      <c r="AI531" s="2"/>
      <c r="AJ531" s="2"/>
      <c r="AK531" s="2"/>
      <c r="AL531" s="2"/>
      <c r="AM531" s="2"/>
      <c r="AN531" s="2"/>
      <c r="AO531" s="9"/>
      <c r="AP531" s="9"/>
      <c r="AQ531" s="9"/>
      <c r="AR531" s="9"/>
    </row>
    <row r="532">
      <c r="A532" s="585"/>
      <c r="B532" s="585"/>
      <c r="C532" s="585"/>
      <c r="D532" s="585"/>
      <c r="E532" s="585"/>
      <c r="F532" s="585"/>
      <c r="G532" s="585"/>
      <c r="H532" s="585"/>
      <c r="I532" s="585"/>
      <c r="J532" s="585"/>
      <c r="K532" s="585"/>
      <c r="L532" s="585"/>
      <c r="M532" s="585"/>
      <c r="N532" s="585"/>
      <c r="O532" s="585"/>
      <c r="P532" s="585"/>
      <c r="Q532" s="585"/>
      <c r="R532" s="585"/>
      <c r="S532" s="585"/>
      <c r="T532" s="585"/>
      <c r="U532" s="585"/>
      <c r="V532" s="224"/>
      <c r="W532" s="224"/>
      <c r="X532" s="224"/>
      <c r="Y532" s="224"/>
      <c r="Z532" s="868"/>
      <c r="AA532" s="865"/>
      <c r="AB532" s="2"/>
      <c r="AC532" s="2"/>
      <c r="AD532" s="2"/>
      <c r="AE532" s="2"/>
      <c r="AF532" s="2"/>
      <c r="AG532" s="2"/>
      <c r="AH532" s="2"/>
      <c r="AI532" s="2"/>
      <c r="AJ532" s="2"/>
      <c r="AK532" s="2"/>
      <c r="AL532" s="2"/>
      <c r="AM532" s="2"/>
      <c r="AN532" s="2"/>
      <c r="AO532" s="9"/>
      <c r="AP532" s="9"/>
      <c r="AQ532" s="9"/>
      <c r="AR532" s="9"/>
    </row>
    <row r="533">
      <c r="A533" s="585"/>
      <c r="B533" s="585"/>
      <c r="C533" s="585"/>
      <c r="D533" s="585"/>
      <c r="E533" s="585"/>
      <c r="F533" s="585"/>
      <c r="G533" s="585"/>
      <c r="H533" s="585"/>
      <c r="I533" s="585"/>
      <c r="J533" s="585"/>
      <c r="K533" s="585"/>
      <c r="L533" s="585"/>
      <c r="M533" s="585"/>
      <c r="N533" s="585"/>
      <c r="O533" s="585"/>
      <c r="P533" s="585"/>
      <c r="Q533" s="585"/>
      <c r="R533" s="585"/>
      <c r="S533" s="585"/>
      <c r="T533" s="585"/>
      <c r="U533" s="585"/>
      <c r="V533" s="224"/>
      <c r="W533" s="224"/>
      <c r="X533" s="224"/>
      <c r="Y533" s="224"/>
      <c r="Z533" s="868"/>
      <c r="AA533" s="865"/>
      <c r="AB533" s="2"/>
      <c r="AC533" s="2"/>
      <c r="AD533" s="2"/>
      <c r="AE533" s="2"/>
      <c r="AF533" s="2"/>
      <c r="AG533" s="2"/>
      <c r="AH533" s="2"/>
      <c r="AI533" s="2"/>
      <c r="AJ533" s="2"/>
      <c r="AK533" s="2"/>
      <c r="AL533" s="2"/>
      <c r="AM533" s="2"/>
      <c r="AN533" s="2"/>
      <c r="AO533" s="9"/>
      <c r="AP533" s="9"/>
      <c r="AQ533" s="9"/>
      <c r="AR533" s="9"/>
    </row>
    <row r="534">
      <c r="A534" s="585"/>
      <c r="B534" s="585"/>
      <c r="C534" s="585"/>
      <c r="D534" s="585"/>
      <c r="E534" s="585"/>
      <c r="F534" s="585"/>
      <c r="G534" s="585"/>
      <c r="H534" s="585"/>
      <c r="I534" s="585"/>
      <c r="J534" s="585"/>
      <c r="K534" s="585"/>
      <c r="L534" s="585"/>
      <c r="M534" s="585"/>
      <c r="N534" s="585"/>
      <c r="O534" s="585"/>
      <c r="P534" s="585"/>
      <c r="Q534" s="585"/>
      <c r="R534" s="585"/>
      <c r="S534" s="585"/>
      <c r="T534" s="585"/>
      <c r="U534" s="585"/>
      <c r="V534" s="224"/>
      <c r="W534" s="224"/>
      <c r="X534" s="224"/>
      <c r="Y534" s="224"/>
      <c r="Z534" s="868"/>
      <c r="AA534" s="865"/>
      <c r="AB534" s="2"/>
      <c r="AC534" s="2"/>
      <c r="AD534" s="2"/>
      <c r="AE534" s="2"/>
      <c r="AF534" s="2"/>
      <c r="AG534" s="2"/>
      <c r="AH534" s="2"/>
      <c r="AI534" s="2"/>
      <c r="AJ534" s="2"/>
      <c r="AK534" s="2"/>
      <c r="AL534" s="2"/>
      <c r="AM534" s="2"/>
      <c r="AN534" s="2"/>
      <c r="AO534" s="9"/>
      <c r="AP534" s="9"/>
      <c r="AQ534" s="9"/>
      <c r="AR534" s="9"/>
    </row>
    <row r="535">
      <c r="A535" s="585"/>
      <c r="B535" s="585"/>
      <c r="C535" s="585"/>
      <c r="D535" s="585"/>
      <c r="E535" s="585"/>
      <c r="F535" s="585"/>
      <c r="G535" s="585"/>
      <c r="H535" s="585"/>
      <c r="I535" s="585"/>
      <c r="J535" s="585"/>
      <c r="K535" s="585"/>
      <c r="L535" s="585"/>
      <c r="M535" s="585"/>
      <c r="N535" s="585"/>
      <c r="O535" s="585"/>
      <c r="P535" s="585"/>
      <c r="Q535" s="585"/>
      <c r="R535" s="585"/>
      <c r="S535" s="585"/>
      <c r="T535" s="585"/>
      <c r="U535" s="585"/>
      <c r="V535" s="224"/>
      <c r="W535" s="224"/>
      <c r="X535" s="224"/>
      <c r="Y535" s="224"/>
      <c r="Z535" s="868"/>
      <c r="AA535" s="865"/>
      <c r="AB535" s="2"/>
      <c r="AC535" s="2"/>
      <c r="AD535" s="2"/>
      <c r="AE535" s="2"/>
      <c r="AF535" s="2"/>
      <c r="AG535" s="2"/>
      <c r="AH535" s="2"/>
      <c r="AI535" s="2"/>
      <c r="AJ535" s="2"/>
      <c r="AK535" s="2"/>
      <c r="AL535" s="2"/>
      <c r="AM535" s="2"/>
      <c r="AN535" s="2"/>
      <c r="AO535" s="9"/>
      <c r="AP535" s="9"/>
      <c r="AQ535" s="9"/>
      <c r="AR535" s="9"/>
    </row>
    <row r="536">
      <c r="A536" s="585"/>
      <c r="B536" s="585"/>
      <c r="C536" s="585"/>
      <c r="D536" s="585"/>
      <c r="E536" s="585"/>
      <c r="F536" s="585"/>
      <c r="G536" s="585"/>
      <c r="H536" s="585"/>
      <c r="I536" s="585"/>
      <c r="J536" s="585"/>
      <c r="K536" s="585"/>
      <c r="L536" s="585"/>
      <c r="M536" s="585"/>
      <c r="N536" s="585"/>
      <c r="O536" s="585"/>
      <c r="P536" s="585"/>
      <c r="Q536" s="585"/>
      <c r="R536" s="585"/>
      <c r="S536" s="585"/>
      <c r="T536" s="585"/>
      <c r="U536" s="585"/>
      <c r="V536" s="224"/>
      <c r="W536" s="224"/>
      <c r="X536" s="224"/>
      <c r="Y536" s="224"/>
      <c r="Z536" s="868"/>
      <c r="AA536" s="865"/>
      <c r="AB536" s="2"/>
      <c r="AC536" s="2"/>
      <c r="AD536" s="2"/>
      <c r="AE536" s="2"/>
      <c r="AF536" s="2"/>
      <c r="AG536" s="2"/>
      <c r="AH536" s="2"/>
      <c r="AI536" s="2"/>
      <c r="AJ536" s="2"/>
      <c r="AK536" s="2"/>
      <c r="AL536" s="2"/>
      <c r="AM536" s="2"/>
      <c r="AN536" s="2"/>
      <c r="AO536" s="9"/>
      <c r="AP536" s="9"/>
      <c r="AQ536" s="9"/>
      <c r="AR536" s="9"/>
    </row>
    <row r="537">
      <c r="A537" s="585"/>
      <c r="B537" s="585"/>
      <c r="C537" s="585"/>
      <c r="D537" s="585"/>
      <c r="E537" s="585"/>
      <c r="F537" s="585"/>
      <c r="G537" s="585"/>
      <c r="H537" s="585"/>
      <c r="I537" s="585"/>
      <c r="J537" s="585"/>
      <c r="K537" s="585"/>
      <c r="L537" s="585"/>
      <c r="M537" s="585"/>
      <c r="N537" s="585"/>
      <c r="O537" s="585"/>
      <c r="P537" s="585"/>
      <c r="Q537" s="585"/>
      <c r="R537" s="585"/>
      <c r="S537" s="585"/>
      <c r="T537" s="585"/>
      <c r="U537" s="585"/>
      <c r="V537" s="224"/>
      <c r="W537" s="224"/>
      <c r="X537" s="224"/>
      <c r="Y537" s="224"/>
      <c r="Z537" s="868"/>
      <c r="AA537" s="865"/>
      <c r="AB537" s="2"/>
      <c r="AC537" s="2"/>
      <c r="AD537" s="2"/>
      <c r="AE537" s="2"/>
      <c r="AF537" s="2"/>
      <c r="AG537" s="2"/>
      <c r="AH537" s="2"/>
      <c r="AI537" s="2"/>
      <c r="AJ537" s="2"/>
      <c r="AK537" s="2"/>
      <c r="AL537" s="2"/>
      <c r="AM537" s="2"/>
      <c r="AN537" s="2"/>
      <c r="AO537" s="9"/>
      <c r="AP537" s="9"/>
      <c r="AQ537" s="9"/>
      <c r="AR537" s="9"/>
    </row>
    <row r="538">
      <c r="A538" s="585"/>
      <c r="B538" s="585"/>
      <c r="C538" s="585"/>
      <c r="D538" s="585"/>
      <c r="E538" s="585"/>
      <c r="F538" s="585"/>
      <c r="G538" s="585"/>
      <c r="H538" s="585"/>
      <c r="I538" s="585"/>
      <c r="J538" s="585"/>
      <c r="K538" s="585"/>
      <c r="L538" s="585"/>
      <c r="M538" s="585"/>
      <c r="N538" s="585"/>
      <c r="O538" s="585"/>
      <c r="P538" s="585"/>
      <c r="Q538" s="585"/>
      <c r="R538" s="585"/>
      <c r="S538" s="585"/>
      <c r="T538" s="585"/>
      <c r="U538" s="585"/>
      <c r="V538" s="224"/>
      <c r="W538" s="224"/>
      <c r="X538" s="224"/>
      <c r="Y538" s="224"/>
      <c r="Z538" s="868"/>
      <c r="AA538" s="865"/>
      <c r="AB538" s="2"/>
      <c r="AC538" s="2"/>
      <c r="AD538" s="2"/>
      <c r="AE538" s="2"/>
      <c r="AF538" s="2"/>
      <c r="AG538" s="2"/>
      <c r="AH538" s="2"/>
      <c r="AI538" s="2"/>
      <c r="AJ538" s="2"/>
      <c r="AK538" s="2"/>
      <c r="AL538" s="2"/>
      <c r="AM538" s="2"/>
      <c r="AN538" s="2"/>
      <c r="AO538" s="9"/>
      <c r="AP538" s="9"/>
      <c r="AQ538" s="9"/>
      <c r="AR538" s="9"/>
    </row>
    <row r="539">
      <c r="A539" s="585"/>
      <c r="B539" s="585"/>
      <c r="C539" s="585"/>
      <c r="D539" s="585"/>
      <c r="E539" s="585"/>
      <c r="F539" s="585"/>
      <c r="G539" s="585"/>
      <c r="H539" s="585"/>
      <c r="I539" s="585"/>
      <c r="J539" s="585"/>
      <c r="K539" s="585"/>
      <c r="L539" s="585"/>
      <c r="M539" s="585"/>
      <c r="N539" s="585"/>
      <c r="O539" s="585"/>
      <c r="P539" s="585"/>
      <c r="Q539" s="585"/>
      <c r="R539" s="585"/>
      <c r="S539" s="585"/>
      <c r="T539" s="585"/>
      <c r="U539" s="585"/>
      <c r="V539" s="224"/>
      <c r="W539" s="224"/>
      <c r="X539" s="224"/>
      <c r="Y539" s="224"/>
      <c r="Z539" s="868"/>
      <c r="AA539" s="865"/>
      <c r="AB539" s="2"/>
      <c r="AC539" s="2"/>
      <c r="AD539" s="2"/>
      <c r="AE539" s="2"/>
      <c r="AF539" s="2"/>
      <c r="AG539" s="2"/>
      <c r="AH539" s="2"/>
      <c r="AI539" s="2"/>
      <c r="AJ539" s="2"/>
      <c r="AK539" s="2"/>
      <c r="AL539" s="2"/>
      <c r="AM539" s="2"/>
      <c r="AN539" s="2"/>
      <c r="AO539" s="9"/>
      <c r="AP539" s="9"/>
      <c r="AQ539" s="9"/>
      <c r="AR539" s="9"/>
    </row>
    <row r="540">
      <c r="A540" s="585"/>
      <c r="B540" s="585"/>
      <c r="C540" s="585"/>
      <c r="D540" s="585"/>
      <c r="E540" s="585"/>
      <c r="F540" s="585"/>
      <c r="G540" s="585"/>
      <c r="H540" s="585"/>
      <c r="I540" s="585"/>
      <c r="J540" s="585"/>
      <c r="K540" s="585"/>
      <c r="L540" s="585"/>
      <c r="M540" s="585"/>
      <c r="N540" s="585"/>
      <c r="O540" s="585"/>
      <c r="P540" s="585"/>
      <c r="Q540" s="585"/>
      <c r="R540" s="585"/>
      <c r="S540" s="585"/>
      <c r="T540" s="585"/>
      <c r="U540" s="585"/>
      <c r="V540" s="224"/>
      <c r="W540" s="224"/>
      <c r="X540" s="224"/>
      <c r="Y540" s="224"/>
      <c r="Z540" s="868"/>
      <c r="AA540" s="865"/>
      <c r="AB540" s="2"/>
      <c r="AC540" s="2"/>
      <c r="AD540" s="2"/>
      <c r="AE540" s="2"/>
      <c r="AF540" s="2"/>
      <c r="AG540" s="2"/>
      <c r="AH540" s="2"/>
      <c r="AI540" s="2"/>
      <c r="AJ540" s="2"/>
      <c r="AK540" s="2"/>
      <c r="AL540" s="2"/>
      <c r="AM540" s="2"/>
      <c r="AN540" s="2"/>
      <c r="AO540" s="9"/>
      <c r="AP540" s="9"/>
      <c r="AQ540" s="9"/>
      <c r="AR540" s="9"/>
    </row>
    <row r="541">
      <c r="A541" s="585"/>
      <c r="B541" s="585"/>
      <c r="C541" s="585"/>
      <c r="D541" s="585"/>
      <c r="E541" s="585"/>
      <c r="F541" s="585"/>
      <c r="G541" s="585"/>
      <c r="H541" s="585"/>
      <c r="I541" s="585"/>
      <c r="J541" s="585"/>
      <c r="K541" s="585"/>
      <c r="L541" s="585"/>
      <c r="M541" s="585"/>
      <c r="N541" s="585"/>
      <c r="O541" s="585"/>
      <c r="P541" s="585"/>
      <c r="Q541" s="585"/>
      <c r="R541" s="585"/>
      <c r="S541" s="585"/>
      <c r="T541" s="585"/>
      <c r="U541" s="585"/>
      <c r="V541" s="224"/>
      <c r="W541" s="224"/>
      <c r="X541" s="224"/>
      <c r="Y541" s="224"/>
      <c r="Z541" s="868"/>
      <c r="AA541" s="865"/>
      <c r="AB541" s="2"/>
      <c r="AC541" s="2"/>
      <c r="AD541" s="2"/>
      <c r="AE541" s="2"/>
      <c r="AF541" s="2"/>
      <c r="AG541" s="2"/>
      <c r="AH541" s="2"/>
      <c r="AI541" s="2"/>
      <c r="AJ541" s="2"/>
      <c r="AK541" s="2"/>
      <c r="AL541" s="2"/>
      <c r="AM541" s="2"/>
      <c r="AN541" s="2"/>
      <c r="AO541" s="9"/>
      <c r="AP541" s="9"/>
      <c r="AQ541" s="9"/>
      <c r="AR541" s="9"/>
    </row>
    <row r="542">
      <c r="A542" s="585"/>
      <c r="B542" s="585"/>
      <c r="C542" s="585"/>
      <c r="D542" s="585"/>
      <c r="E542" s="585"/>
      <c r="F542" s="585"/>
      <c r="G542" s="585"/>
      <c r="H542" s="585"/>
      <c r="I542" s="585"/>
      <c r="J542" s="585"/>
      <c r="K542" s="585"/>
      <c r="L542" s="585"/>
      <c r="M542" s="585"/>
      <c r="N542" s="585"/>
      <c r="O542" s="585"/>
      <c r="P542" s="585"/>
      <c r="Q542" s="585"/>
      <c r="R542" s="585"/>
      <c r="S542" s="585"/>
      <c r="T542" s="585"/>
      <c r="U542" s="585"/>
      <c r="V542" s="224"/>
      <c r="W542" s="224"/>
      <c r="X542" s="224"/>
      <c r="Y542" s="224"/>
      <c r="Z542" s="868"/>
      <c r="AA542" s="865"/>
      <c r="AB542" s="2"/>
      <c r="AC542" s="2"/>
      <c r="AD542" s="2"/>
      <c r="AE542" s="2"/>
      <c r="AF542" s="2"/>
      <c r="AG542" s="2"/>
      <c r="AH542" s="2"/>
      <c r="AI542" s="2"/>
      <c r="AJ542" s="2"/>
      <c r="AK542" s="2"/>
      <c r="AL542" s="2"/>
      <c r="AM542" s="2"/>
      <c r="AN542" s="2"/>
      <c r="AO542" s="9"/>
      <c r="AP542" s="9"/>
      <c r="AQ542" s="9"/>
      <c r="AR542" s="9"/>
    </row>
    <row r="543">
      <c r="A543" s="585"/>
      <c r="B543" s="585"/>
      <c r="C543" s="585"/>
      <c r="D543" s="585"/>
      <c r="E543" s="585"/>
      <c r="F543" s="585"/>
      <c r="G543" s="585"/>
      <c r="H543" s="585"/>
      <c r="I543" s="585"/>
      <c r="J543" s="585"/>
      <c r="K543" s="585"/>
      <c r="L543" s="585"/>
      <c r="M543" s="585"/>
      <c r="N543" s="585"/>
      <c r="O543" s="585"/>
      <c r="P543" s="585"/>
      <c r="Q543" s="585"/>
      <c r="R543" s="585"/>
      <c r="S543" s="585"/>
      <c r="T543" s="585"/>
      <c r="U543" s="585"/>
      <c r="V543" s="224"/>
      <c r="W543" s="224"/>
      <c r="X543" s="224"/>
      <c r="Y543" s="224"/>
      <c r="Z543" s="868"/>
      <c r="AA543" s="865"/>
      <c r="AB543" s="2"/>
      <c r="AC543" s="2"/>
      <c r="AD543" s="2"/>
      <c r="AE543" s="2"/>
      <c r="AF543" s="2"/>
      <c r="AG543" s="2"/>
      <c r="AH543" s="2"/>
      <c r="AI543" s="2"/>
      <c r="AJ543" s="2"/>
      <c r="AK543" s="2"/>
      <c r="AL543" s="2"/>
      <c r="AM543" s="2"/>
      <c r="AN543" s="2"/>
      <c r="AO543" s="9"/>
      <c r="AP543" s="9"/>
      <c r="AQ543" s="9"/>
      <c r="AR543" s="9"/>
    </row>
    <row r="544">
      <c r="A544" s="585"/>
      <c r="B544" s="585"/>
      <c r="C544" s="585"/>
      <c r="D544" s="585"/>
      <c r="E544" s="585"/>
      <c r="F544" s="585"/>
      <c r="G544" s="585"/>
      <c r="H544" s="585"/>
      <c r="I544" s="585"/>
      <c r="J544" s="585"/>
      <c r="K544" s="585"/>
      <c r="L544" s="585"/>
      <c r="M544" s="585"/>
      <c r="N544" s="585"/>
      <c r="O544" s="585"/>
      <c r="P544" s="585"/>
      <c r="Q544" s="585"/>
      <c r="R544" s="585"/>
      <c r="S544" s="585"/>
      <c r="T544" s="585"/>
      <c r="U544" s="585"/>
      <c r="V544" s="224"/>
      <c r="W544" s="224"/>
      <c r="X544" s="224"/>
      <c r="Y544" s="224"/>
      <c r="Z544" s="868"/>
      <c r="AA544" s="865"/>
      <c r="AB544" s="2"/>
      <c r="AC544" s="2"/>
      <c r="AD544" s="2"/>
      <c r="AE544" s="2"/>
      <c r="AF544" s="2"/>
      <c r="AG544" s="2"/>
      <c r="AH544" s="2"/>
      <c r="AI544" s="2"/>
      <c r="AJ544" s="2"/>
      <c r="AK544" s="2"/>
      <c r="AL544" s="2"/>
      <c r="AM544" s="2"/>
      <c r="AN544" s="2"/>
      <c r="AO544" s="9"/>
      <c r="AP544" s="9"/>
      <c r="AQ544" s="9"/>
      <c r="AR544" s="9"/>
    </row>
    <row r="545">
      <c r="A545" s="585"/>
      <c r="B545" s="585"/>
      <c r="C545" s="585"/>
      <c r="D545" s="585"/>
      <c r="E545" s="585"/>
      <c r="F545" s="585"/>
      <c r="G545" s="585"/>
      <c r="H545" s="585"/>
      <c r="I545" s="585"/>
      <c r="J545" s="585"/>
      <c r="K545" s="585"/>
      <c r="L545" s="585"/>
      <c r="M545" s="585"/>
      <c r="N545" s="585"/>
      <c r="O545" s="585"/>
      <c r="P545" s="585"/>
      <c r="Q545" s="585"/>
      <c r="R545" s="585"/>
      <c r="S545" s="585"/>
      <c r="T545" s="585"/>
      <c r="U545" s="585"/>
      <c r="V545" s="224"/>
      <c r="W545" s="224"/>
      <c r="X545" s="224"/>
      <c r="Y545" s="224"/>
      <c r="Z545" s="868"/>
      <c r="AA545" s="865"/>
      <c r="AB545" s="2"/>
      <c r="AC545" s="2"/>
      <c r="AD545" s="2"/>
      <c r="AE545" s="2"/>
      <c r="AF545" s="2"/>
      <c r="AG545" s="2"/>
      <c r="AH545" s="2"/>
      <c r="AI545" s="2"/>
      <c r="AJ545" s="2"/>
      <c r="AK545" s="2"/>
      <c r="AL545" s="2"/>
      <c r="AM545" s="2"/>
      <c r="AN545" s="2"/>
      <c r="AO545" s="9"/>
      <c r="AP545" s="9"/>
      <c r="AQ545" s="9"/>
      <c r="AR545" s="9"/>
    </row>
    <row r="546">
      <c r="A546" s="585"/>
      <c r="B546" s="585"/>
      <c r="C546" s="585"/>
      <c r="D546" s="585"/>
      <c r="E546" s="585"/>
      <c r="F546" s="585"/>
      <c r="G546" s="585"/>
      <c r="H546" s="585"/>
      <c r="I546" s="585"/>
      <c r="J546" s="585"/>
      <c r="K546" s="585"/>
      <c r="L546" s="585"/>
      <c r="M546" s="585"/>
      <c r="N546" s="585"/>
      <c r="O546" s="585"/>
      <c r="P546" s="585"/>
      <c r="Q546" s="585"/>
      <c r="R546" s="585"/>
      <c r="S546" s="585"/>
      <c r="T546" s="585"/>
      <c r="U546" s="585"/>
      <c r="V546" s="224"/>
      <c r="W546" s="224"/>
      <c r="X546" s="224"/>
      <c r="Y546" s="224"/>
      <c r="Z546" s="868"/>
      <c r="AA546" s="865"/>
      <c r="AB546" s="2"/>
      <c r="AC546" s="2"/>
      <c r="AD546" s="2"/>
      <c r="AE546" s="2"/>
      <c r="AF546" s="2"/>
      <c r="AG546" s="2"/>
      <c r="AH546" s="2"/>
      <c r="AI546" s="2"/>
      <c r="AJ546" s="2"/>
      <c r="AK546" s="2"/>
      <c r="AL546" s="2"/>
      <c r="AM546" s="2"/>
      <c r="AN546" s="2"/>
      <c r="AO546" s="9"/>
      <c r="AP546" s="9"/>
      <c r="AQ546" s="9"/>
      <c r="AR546" s="9"/>
    </row>
    <row r="547">
      <c r="A547" s="585"/>
      <c r="B547" s="585"/>
      <c r="C547" s="585"/>
      <c r="D547" s="585"/>
      <c r="E547" s="585"/>
      <c r="F547" s="585"/>
      <c r="G547" s="585"/>
      <c r="H547" s="585"/>
      <c r="I547" s="585"/>
      <c r="J547" s="585"/>
      <c r="K547" s="585"/>
      <c r="L547" s="585"/>
      <c r="M547" s="585"/>
      <c r="N547" s="585"/>
      <c r="O547" s="585"/>
      <c r="P547" s="585"/>
      <c r="Q547" s="585"/>
      <c r="R547" s="585"/>
      <c r="S547" s="585"/>
      <c r="T547" s="585"/>
      <c r="U547" s="585"/>
      <c r="V547" s="224"/>
      <c r="W547" s="224"/>
      <c r="X547" s="224"/>
      <c r="Y547" s="224"/>
      <c r="Z547" s="868"/>
      <c r="AA547" s="865"/>
      <c r="AB547" s="2"/>
      <c r="AC547" s="2"/>
      <c r="AD547" s="2"/>
      <c r="AE547" s="2"/>
      <c r="AF547" s="2"/>
      <c r="AG547" s="2"/>
      <c r="AH547" s="2"/>
      <c r="AI547" s="2"/>
      <c r="AJ547" s="2"/>
      <c r="AK547" s="2"/>
      <c r="AL547" s="2"/>
      <c r="AM547" s="2"/>
      <c r="AN547" s="2"/>
      <c r="AO547" s="9"/>
      <c r="AP547" s="9"/>
      <c r="AQ547" s="9"/>
      <c r="AR547" s="9"/>
    </row>
    <row r="548">
      <c r="A548" s="585"/>
      <c r="B548" s="585"/>
      <c r="C548" s="585"/>
      <c r="D548" s="585"/>
      <c r="E548" s="585"/>
      <c r="F548" s="585"/>
      <c r="G548" s="585"/>
      <c r="H548" s="585"/>
      <c r="I548" s="585"/>
      <c r="J548" s="585"/>
      <c r="K548" s="585"/>
      <c r="L548" s="585"/>
      <c r="M548" s="585"/>
      <c r="N548" s="585"/>
      <c r="O548" s="585"/>
      <c r="P548" s="585"/>
      <c r="Q548" s="585"/>
      <c r="R548" s="585"/>
      <c r="S548" s="585"/>
      <c r="T548" s="585"/>
      <c r="U548" s="585"/>
      <c r="V548" s="224"/>
      <c r="W548" s="224"/>
      <c r="X548" s="224"/>
      <c r="Y548" s="224"/>
      <c r="Z548" s="868"/>
      <c r="AA548" s="865"/>
      <c r="AB548" s="2"/>
      <c r="AC548" s="2"/>
      <c r="AD548" s="2"/>
      <c r="AE548" s="2"/>
      <c r="AF548" s="2"/>
      <c r="AG548" s="2"/>
      <c r="AH548" s="2"/>
      <c r="AI548" s="2"/>
      <c r="AJ548" s="2"/>
      <c r="AK548" s="2"/>
      <c r="AL548" s="2"/>
      <c r="AM548" s="2"/>
      <c r="AN548" s="2"/>
      <c r="AO548" s="9"/>
      <c r="AP548" s="9"/>
      <c r="AQ548" s="9"/>
      <c r="AR548" s="9"/>
    </row>
    <row r="549">
      <c r="A549" s="585"/>
      <c r="B549" s="585"/>
      <c r="C549" s="585"/>
      <c r="D549" s="585"/>
      <c r="E549" s="585"/>
      <c r="F549" s="585"/>
      <c r="G549" s="585"/>
      <c r="H549" s="585"/>
      <c r="I549" s="585"/>
      <c r="J549" s="585"/>
      <c r="K549" s="585"/>
      <c r="L549" s="585"/>
      <c r="M549" s="585"/>
      <c r="N549" s="585"/>
      <c r="O549" s="585"/>
      <c r="P549" s="585"/>
      <c r="Q549" s="585"/>
      <c r="R549" s="585"/>
      <c r="S549" s="585"/>
      <c r="T549" s="585"/>
      <c r="U549" s="585"/>
      <c r="V549" s="224"/>
      <c r="W549" s="224"/>
      <c r="X549" s="224"/>
      <c r="Y549" s="224"/>
      <c r="Z549" s="868"/>
      <c r="AA549" s="865"/>
      <c r="AB549" s="2"/>
      <c r="AC549" s="2"/>
      <c r="AD549" s="2"/>
      <c r="AE549" s="2"/>
      <c r="AF549" s="2"/>
      <c r="AG549" s="2"/>
      <c r="AH549" s="2"/>
      <c r="AI549" s="2"/>
      <c r="AJ549" s="2"/>
      <c r="AK549" s="2"/>
      <c r="AL549" s="2"/>
      <c r="AM549" s="2"/>
      <c r="AN549" s="2"/>
      <c r="AO549" s="9"/>
      <c r="AP549" s="9"/>
      <c r="AQ549" s="9"/>
      <c r="AR549" s="9"/>
    </row>
    <row r="550">
      <c r="A550" s="585"/>
      <c r="B550" s="585"/>
      <c r="C550" s="585"/>
      <c r="D550" s="585"/>
      <c r="E550" s="585"/>
      <c r="F550" s="585"/>
      <c r="G550" s="585"/>
      <c r="H550" s="585"/>
      <c r="I550" s="585"/>
      <c r="J550" s="585"/>
      <c r="K550" s="585"/>
      <c r="L550" s="585"/>
      <c r="M550" s="585"/>
      <c r="N550" s="585"/>
      <c r="O550" s="585"/>
      <c r="P550" s="585"/>
      <c r="Q550" s="585"/>
      <c r="R550" s="585"/>
      <c r="S550" s="585"/>
      <c r="T550" s="585"/>
      <c r="U550" s="585"/>
      <c r="V550" s="224"/>
      <c r="W550" s="224"/>
      <c r="X550" s="224"/>
      <c r="Y550" s="224"/>
      <c r="Z550" s="868"/>
      <c r="AA550" s="865"/>
      <c r="AB550" s="2"/>
      <c r="AC550" s="2"/>
      <c r="AD550" s="2"/>
      <c r="AE550" s="2"/>
      <c r="AF550" s="2"/>
      <c r="AG550" s="2"/>
      <c r="AH550" s="2"/>
      <c r="AI550" s="2"/>
      <c r="AJ550" s="2"/>
      <c r="AK550" s="2"/>
      <c r="AL550" s="2"/>
      <c r="AM550" s="2"/>
      <c r="AN550" s="2"/>
      <c r="AO550" s="9"/>
      <c r="AP550" s="9"/>
      <c r="AQ550" s="9"/>
      <c r="AR550" s="9"/>
    </row>
    <row r="551">
      <c r="A551" s="585"/>
      <c r="B551" s="585"/>
      <c r="C551" s="585"/>
      <c r="D551" s="585"/>
      <c r="E551" s="585"/>
      <c r="F551" s="585"/>
      <c r="G551" s="585"/>
      <c r="H551" s="585"/>
      <c r="I551" s="585"/>
      <c r="J551" s="585"/>
      <c r="K551" s="585"/>
      <c r="L551" s="585"/>
      <c r="M551" s="585"/>
      <c r="N551" s="585"/>
      <c r="O551" s="585"/>
      <c r="P551" s="585"/>
      <c r="Q551" s="585"/>
      <c r="R551" s="585"/>
      <c r="S551" s="585"/>
      <c r="T551" s="585"/>
      <c r="U551" s="585"/>
      <c r="V551" s="224"/>
      <c r="W551" s="224"/>
      <c r="X551" s="224"/>
      <c r="Y551" s="224"/>
      <c r="Z551" s="868"/>
      <c r="AA551" s="865"/>
      <c r="AB551" s="2"/>
      <c r="AC551" s="2"/>
      <c r="AD551" s="2"/>
      <c r="AE551" s="2"/>
      <c r="AF551" s="2"/>
      <c r="AG551" s="2"/>
      <c r="AH551" s="2"/>
      <c r="AI551" s="2"/>
      <c r="AJ551" s="2"/>
      <c r="AK551" s="2"/>
      <c r="AL551" s="2"/>
      <c r="AM551" s="2"/>
      <c r="AN551" s="2"/>
      <c r="AO551" s="9"/>
      <c r="AP551" s="9"/>
      <c r="AQ551" s="9"/>
      <c r="AR551" s="9"/>
    </row>
    <row r="552">
      <c r="A552" s="585"/>
      <c r="B552" s="585"/>
      <c r="C552" s="585"/>
      <c r="D552" s="585"/>
      <c r="E552" s="585"/>
      <c r="F552" s="585"/>
      <c r="G552" s="585"/>
      <c r="H552" s="585"/>
      <c r="I552" s="585"/>
      <c r="J552" s="585"/>
      <c r="K552" s="585"/>
      <c r="L552" s="585"/>
      <c r="M552" s="585"/>
      <c r="N552" s="585"/>
      <c r="O552" s="585"/>
      <c r="P552" s="585"/>
      <c r="Q552" s="585"/>
      <c r="R552" s="585"/>
      <c r="S552" s="585"/>
      <c r="T552" s="585"/>
      <c r="U552" s="585"/>
      <c r="V552" s="224"/>
      <c r="W552" s="224"/>
      <c r="X552" s="224"/>
      <c r="Y552" s="224"/>
      <c r="Z552" s="868"/>
      <c r="AA552" s="865"/>
      <c r="AB552" s="2"/>
      <c r="AC552" s="2"/>
      <c r="AD552" s="2"/>
      <c r="AE552" s="2"/>
      <c r="AF552" s="2"/>
      <c r="AG552" s="2"/>
      <c r="AH552" s="2"/>
      <c r="AI552" s="2"/>
      <c r="AJ552" s="2"/>
      <c r="AK552" s="2"/>
      <c r="AL552" s="2"/>
      <c r="AM552" s="2"/>
      <c r="AN552" s="2"/>
      <c r="AO552" s="9"/>
      <c r="AP552" s="9"/>
      <c r="AQ552" s="9"/>
      <c r="AR552" s="9"/>
    </row>
    <row r="553">
      <c r="A553" s="585"/>
      <c r="B553" s="585"/>
      <c r="C553" s="585"/>
      <c r="D553" s="585"/>
      <c r="E553" s="585"/>
      <c r="F553" s="585"/>
      <c r="G553" s="585"/>
      <c r="H553" s="585"/>
      <c r="I553" s="585"/>
      <c r="J553" s="585"/>
      <c r="K553" s="585"/>
      <c r="L553" s="585"/>
      <c r="M553" s="585"/>
      <c r="N553" s="585"/>
      <c r="O553" s="585"/>
      <c r="P553" s="585"/>
      <c r="Q553" s="585"/>
      <c r="R553" s="585"/>
      <c r="S553" s="585"/>
      <c r="T553" s="585"/>
      <c r="U553" s="585"/>
      <c r="V553" s="224"/>
      <c r="W553" s="224"/>
      <c r="X553" s="224"/>
      <c r="Y553" s="224"/>
      <c r="Z553" s="868"/>
      <c r="AA553" s="865"/>
      <c r="AB553" s="2"/>
      <c r="AC553" s="2"/>
      <c r="AD553" s="2"/>
      <c r="AE553" s="2"/>
      <c r="AF553" s="2"/>
      <c r="AG553" s="2"/>
      <c r="AH553" s="2"/>
      <c r="AI553" s="2"/>
      <c r="AJ553" s="2"/>
      <c r="AK553" s="2"/>
      <c r="AL553" s="2"/>
      <c r="AM553" s="2"/>
      <c r="AN553" s="2"/>
      <c r="AO553" s="9"/>
      <c r="AP553" s="9"/>
      <c r="AQ553" s="9"/>
      <c r="AR553" s="9"/>
    </row>
    <row r="554">
      <c r="A554" s="585"/>
      <c r="B554" s="585"/>
      <c r="C554" s="585"/>
      <c r="D554" s="585"/>
      <c r="E554" s="585"/>
      <c r="F554" s="585"/>
      <c r="G554" s="585"/>
      <c r="H554" s="585"/>
      <c r="I554" s="585"/>
      <c r="J554" s="585"/>
      <c r="K554" s="585"/>
      <c r="L554" s="585"/>
      <c r="M554" s="585"/>
      <c r="N554" s="585"/>
      <c r="O554" s="585"/>
      <c r="P554" s="585"/>
      <c r="Q554" s="585"/>
      <c r="R554" s="585"/>
      <c r="S554" s="585"/>
      <c r="T554" s="585"/>
      <c r="U554" s="585"/>
      <c r="V554" s="224"/>
      <c r="W554" s="224"/>
      <c r="X554" s="224"/>
      <c r="Y554" s="224"/>
      <c r="Z554" s="868"/>
      <c r="AA554" s="865"/>
      <c r="AB554" s="2"/>
      <c r="AC554" s="2"/>
      <c r="AD554" s="2"/>
      <c r="AE554" s="2"/>
      <c r="AF554" s="2"/>
      <c r="AG554" s="2"/>
      <c r="AH554" s="2"/>
      <c r="AI554" s="2"/>
      <c r="AJ554" s="2"/>
      <c r="AK554" s="2"/>
      <c r="AL554" s="2"/>
      <c r="AM554" s="2"/>
      <c r="AN554" s="2"/>
      <c r="AO554" s="9"/>
      <c r="AP554" s="9"/>
      <c r="AQ554" s="9"/>
      <c r="AR554" s="9"/>
    </row>
    <row r="555">
      <c r="A555" s="585"/>
      <c r="B555" s="585"/>
      <c r="C555" s="585"/>
      <c r="D555" s="585"/>
      <c r="E555" s="585"/>
      <c r="F555" s="585"/>
      <c r="G555" s="585"/>
      <c r="H555" s="585"/>
      <c r="I555" s="585"/>
      <c r="J555" s="585"/>
      <c r="K555" s="585"/>
      <c r="L555" s="585"/>
      <c r="M555" s="585"/>
      <c r="N555" s="585"/>
      <c r="O555" s="585"/>
      <c r="P555" s="585"/>
      <c r="Q555" s="585"/>
      <c r="R555" s="585"/>
      <c r="S555" s="585"/>
      <c r="T555" s="585"/>
      <c r="U555" s="585"/>
      <c r="V555" s="224"/>
      <c r="W555" s="224"/>
      <c r="X555" s="224"/>
      <c r="Y555" s="224"/>
      <c r="Z555" s="868"/>
      <c r="AA555" s="865"/>
      <c r="AB555" s="2"/>
      <c r="AC555" s="2"/>
      <c r="AD555" s="2"/>
      <c r="AE555" s="2"/>
      <c r="AF555" s="2"/>
      <c r="AG555" s="2"/>
      <c r="AH555" s="2"/>
      <c r="AI555" s="2"/>
      <c r="AJ555" s="2"/>
      <c r="AK555" s="2"/>
      <c r="AL555" s="2"/>
      <c r="AM555" s="2"/>
      <c r="AN555" s="2"/>
      <c r="AO555" s="9"/>
      <c r="AP555" s="9"/>
      <c r="AQ555" s="9"/>
      <c r="AR555" s="9"/>
    </row>
    <row r="556">
      <c r="A556" s="585"/>
      <c r="B556" s="585"/>
      <c r="C556" s="585"/>
      <c r="D556" s="585"/>
      <c r="E556" s="585"/>
      <c r="F556" s="585"/>
      <c r="G556" s="585"/>
      <c r="H556" s="585"/>
      <c r="I556" s="585"/>
      <c r="J556" s="585"/>
      <c r="K556" s="585"/>
      <c r="L556" s="585"/>
      <c r="M556" s="585"/>
      <c r="N556" s="585"/>
      <c r="O556" s="585"/>
      <c r="P556" s="585"/>
      <c r="Q556" s="585"/>
      <c r="R556" s="585"/>
      <c r="S556" s="585"/>
      <c r="T556" s="585"/>
      <c r="U556" s="585"/>
      <c r="V556" s="224"/>
      <c r="W556" s="224"/>
      <c r="X556" s="224"/>
      <c r="Y556" s="224"/>
      <c r="Z556" s="868"/>
      <c r="AA556" s="865"/>
      <c r="AB556" s="2"/>
      <c r="AC556" s="2"/>
      <c r="AD556" s="2"/>
      <c r="AE556" s="2"/>
      <c r="AF556" s="2"/>
      <c r="AG556" s="2"/>
      <c r="AH556" s="2"/>
      <c r="AI556" s="2"/>
      <c r="AJ556" s="2"/>
      <c r="AK556" s="2"/>
      <c r="AL556" s="2"/>
      <c r="AM556" s="2"/>
      <c r="AN556" s="2"/>
      <c r="AO556" s="9"/>
      <c r="AP556" s="9"/>
      <c r="AQ556" s="9"/>
      <c r="AR556" s="9"/>
    </row>
    <row r="557">
      <c r="A557" s="585"/>
      <c r="B557" s="585"/>
      <c r="C557" s="585"/>
      <c r="D557" s="585"/>
      <c r="E557" s="585"/>
      <c r="F557" s="585"/>
      <c r="G557" s="585"/>
      <c r="H557" s="585"/>
      <c r="I557" s="585"/>
      <c r="J557" s="585"/>
      <c r="K557" s="585"/>
      <c r="L557" s="585"/>
      <c r="M557" s="585"/>
      <c r="N557" s="585"/>
      <c r="O557" s="585"/>
      <c r="P557" s="585"/>
      <c r="Q557" s="585"/>
      <c r="R557" s="585"/>
      <c r="S557" s="585"/>
      <c r="T557" s="585"/>
      <c r="U557" s="585"/>
      <c r="V557" s="224"/>
      <c r="W557" s="224"/>
      <c r="X557" s="224"/>
      <c r="Y557" s="224"/>
      <c r="Z557" s="868"/>
      <c r="AA557" s="865"/>
      <c r="AB557" s="2"/>
      <c r="AC557" s="2"/>
      <c r="AD557" s="2"/>
      <c r="AE557" s="2"/>
      <c r="AF557" s="2"/>
      <c r="AG557" s="2"/>
      <c r="AH557" s="2"/>
      <c r="AI557" s="2"/>
      <c r="AJ557" s="2"/>
      <c r="AK557" s="2"/>
      <c r="AL557" s="2"/>
      <c r="AM557" s="2"/>
      <c r="AN557" s="2"/>
      <c r="AO557" s="9"/>
      <c r="AP557" s="9"/>
      <c r="AQ557" s="9"/>
      <c r="AR557" s="9"/>
    </row>
    <row r="558">
      <c r="A558" s="585"/>
      <c r="B558" s="585"/>
      <c r="C558" s="585"/>
      <c r="D558" s="585"/>
      <c r="E558" s="585"/>
      <c r="F558" s="585"/>
      <c r="G558" s="585"/>
      <c r="H558" s="585"/>
      <c r="I558" s="585"/>
      <c r="J558" s="585"/>
      <c r="K558" s="585"/>
      <c r="L558" s="585"/>
      <c r="M558" s="585"/>
      <c r="N558" s="585"/>
      <c r="O558" s="585"/>
      <c r="P558" s="585"/>
      <c r="Q558" s="585"/>
      <c r="R558" s="585"/>
      <c r="S558" s="585"/>
      <c r="T558" s="585"/>
      <c r="U558" s="585"/>
      <c r="V558" s="224"/>
      <c r="W558" s="224"/>
      <c r="X558" s="224"/>
      <c r="Y558" s="224"/>
      <c r="Z558" s="868"/>
      <c r="AA558" s="865"/>
      <c r="AB558" s="2"/>
      <c r="AC558" s="2"/>
      <c r="AD558" s="2"/>
      <c r="AE558" s="2"/>
      <c r="AF558" s="2"/>
      <c r="AG558" s="2"/>
      <c r="AH558" s="2"/>
      <c r="AI558" s="2"/>
      <c r="AJ558" s="2"/>
      <c r="AK558" s="2"/>
      <c r="AL558" s="2"/>
      <c r="AM558" s="2"/>
      <c r="AN558" s="2"/>
      <c r="AO558" s="9"/>
      <c r="AP558" s="9"/>
      <c r="AQ558" s="9"/>
      <c r="AR558" s="9"/>
    </row>
    <row r="559">
      <c r="A559" s="585"/>
      <c r="B559" s="585"/>
      <c r="C559" s="585"/>
      <c r="D559" s="585"/>
      <c r="E559" s="585"/>
      <c r="F559" s="585"/>
      <c r="G559" s="585"/>
      <c r="H559" s="585"/>
      <c r="I559" s="585"/>
      <c r="J559" s="585"/>
      <c r="K559" s="585"/>
      <c r="L559" s="585"/>
      <c r="M559" s="585"/>
      <c r="N559" s="585"/>
      <c r="O559" s="585"/>
      <c r="P559" s="585"/>
      <c r="Q559" s="585"/>
      <c r="R559" s="585"/>
      <c r="S559" s="585"/>
      <c r="T559" s="585"/>
      <c r="U559" s="585"/>
      <c r="V559" s="224"/>
      <c r="W559" s="224"/>
      <c r="X559" s="224"/>
      <c r="Y559" s="224"/>
      <c r="Z559" s="868"/>
      <c r="AA559" s="865"/>
      <c r="AB559" s="2"/>
      <c r="AC559" s="2"/>
      <c r="AD559" s="2"/>
      <c r="AE559" s="2"/>
      <c r="AF559" s="2"/>
      <c r="AG559" s="2"/>
      <c r="AH559" s="2"/>
      <c r="AI559" s="2"/>
      <c r="AJ559" s="2"/>
      <c r="AK559" s="2"/>
      <c r="AL559" s="2"/>
      <c r="AM559" s="2"/>
      <c r="AN559" s="2"/>
      <c r="AO559" s="9"/>
      <c r="AP559" s="9"/>
      <c r="AQ559" s="9"/>
      <c r="AR559" s="9"/>
    </row>
    <row r="560">
      <c r="A560" s="585"/>
      <c r="B560" s="585"/>
      <c r="C560" s="585"/>
      <c r="D560" s="585"/>
      <c r="E560" s="585"/>
      <c r="F560" s="585"/>
      <c r="G560" s="585"/>
      <c r="H560" s="585"/>
      <c r="I560" s="585"/>
      <c r="J560" s="585"/>
      <c r="K560" s="585"/>
      <c r="L560" s="585"/>
      <c r="M560" s="585"/>
      <c r="N560" s="585"/>
      <c r="O560" s="585"/>
      <c r="P560" s="585"/>
      <c r="Q560" s="585"/>
      <c r="R560" s="585"/>
      <c r="S560" s="585"/>
      <c r="T560" s="585"/>
      <c r="U560" s="585"/>
      <c r="V560" s="224"/>
      <c r="W560" s="224"/>
      <c r="X560" s="224"/>
      <c r="Y560" s="224"/>
      <c r="Z560" s="868"/>
      <c r="AA560" s="865"/>
      <c r="AB560" s="2"/>
      <c r="AC560" s="2"/>
      <c r="AD560" s="2"/>
      <c r="AE560" s="2"/>
      <c r="AF560" s="2"/>
      <c r="AG560" s="2"/>
      <c r="AH560" s="2"/>
      <c r="AI560" s="2"/>
      <c r="AJ560" s="2"/>
      <c r="AK560" s="2"/>
      <c r="AL560" s="2"/>
      <c r="AM560" s="2"/>
      <c r="AN560" s="2"/>
      <c r="AO560" s="9"/>
      <c r="AP560" s="9"/>
      <c r="AQ560" s="9"/>
      <c r="AR560" s="9"/>
    </row>
    <row r="561">
      <c r="A561" s="585"/>
      <c r="B561" s="585"/>
      <c r="C561" s="585"/>
      <c r="D561" s="585"/>
      <c r="E561" s="585"/>
      <c r="F561" s="585"/>
      <c r="G561" s="585"/>
      <c r="H561" s="585"/>
      <c r="I561" s="585"/>
      <c r="J561" s="585"/>
      <c r="K561" s="585"/>
      <c r="L561" s="585"/>
      <c r="M561" s="585"/>
      <c r="N561" s="585"/>
      <c r="O561" s="585"/>
      <c r="P561" s="585"/>
      <c r="Q561" s="585"/>
      <c r="R561" s="585"/>
      <c r="S561" s="585"/>
      <c r="T561" s="585"/>
      <c r="U561" s="585"/>
      <c r="V561" s="224"/>
      <c r="W561" s="224"/>
      <c r="X561" s="224"/>
      <c r="Y561" s="224"/>
      <c r="Z561" s="868"/>
      <c r="AA561" s="865"/>
      <c r="AB561" s="2"/>
      <c r="AC561" s="2"/>
      <c r="AD561" s="2"/>
      <c r="AE561" s="2"/>
      <c r="AF561" s="2"/>
      <c r="AG561" s="2"/>
      <c r="AH561" s="2"/>
      <c r="AI561" s="2"/>
      <c r="AJ561" s="2"/>
      <c r="AK561" s="2"/>
      <c r="AL561" s="2"/>
      <c r="AM561" s="2"/>
      <c r="AN561" s="2"/>
      <c r="AO561" s="9"/>
      <c r="AP561" s="9"/>
      <c r="AQ561" s="9"/>
      <c r="AR561" s="9"/>
    </row>
    <row r="562">
      <c r="A562" s="585"/>
      <c r="B562" s="585"/>
      <c r="C562" s="585"/>
      <c r="D562" s="585"/>
      <c r="E562" s="585"/>
      <c r="F562" s="585"/>
      <c r="G562" s="585"/>
      <c r="H562" s="585"/>
      <c r="I562" s="585"/>
      <c r="J562" s="585"/>
      <c r="K562" s="585"/>
      <c r="L562" s="585"/>
      <c r="M562" s="585"/>
      <c r="N562" s="585"/>
      <c r="O562" s="585"/>
      <c r="P562" s="585"/>
      <c r="Q562" s="585"/>
      <c r="R562" s="585"/>
      <c r="S562" s="585"/>
      <c r="T562" s="585"/>
      <c r="U562" s="585"/>
      <c r="V562" s="224"/>
      <c r="W562" s="224"/>
      <c r="X562" s="224"/>
      <c r="Y562" s="224"/>
      <c r="Z562" s="868"/>
      <c r="AA562" s="865"/>
      <c r="AB562" s="2"/>
      <c r="AC562" s="2"/>
      <c r="AD562" s="2"/>
      <c r="AE562" s="2"/>
      <c r="AF562" s="2"/>
      <c r="AG562" s="2"/>
      <c r="AH562" s="2"/>
      <c r="AI562" s="2"/>
      <c r="AJ562" s="2"/>
      <c r="AK562" s="2"/>
      <c r="AL562" s="2"/>
      <c r="AM562" s="2"/>
      <c r="AN562" s="2"/>
      <c r="AO562" s="9"/>
      <c r="AP562" s="9"/>
      <c r="AQ562" s="9"/>
      <c r="AR562" s="9"/>
    </row>
    <row r="563">
      <c r="A563" s="585"/>
      <c r="B563" s="585"/>
      <c r="C563" s="585"/>
      <c r="D563" s="585"/>
      <c r="E563" s="585"/>
      <c r="F563" s="585"/>
      <c r="G563" s="585"/>
      <c r="H563" s="585"/>
      <c r="I563" s="585"/>
      <c r="J563" s="585"/>
      <c r="K563" s="585"/>
      <c r="L563" s="585"/>
      <c r="M563" s="585"/>
      <c r="N563" s="585"/>
      <c r="O563" s="585"/>
      <c r="P563" s="585"/>
      <c r="Q563" s="585"/>
      <c r="R563" s="585"/>
      <c r="S563" s="585"/>
      <c r="T563" s="585"/>
      <c r="U563" s="585"/>
      <c r="V563" s="224"/>
      <c r="W563" s="224"/>
      <c r="X563" s="224"/>
      <c r="Y563" s="224"/>
      <c r="Z563" s="868"/>
      <c r="AA563" s="865"/>
      <c r="AB563" s="2"/>
      <c r="AC563" s="2"/>
      <c r="AD563" s="2"/>
      <c r="AE563" s="2"/>
      <c r="AF563" s="2"/>
      <c r="AG563" s="2"/>
      <c r="AH563" s="2"/>
      <c r="AI563" s="2"/>
      <c r="AJ563" s="2"/>
      <c r="AK563" s="2"/>
      <c r="AL563" s="2"/>
      <c r="AM563" s="2"/>
      <c r="AN563" s="2"/>
      <c r="AO563" s="9"/>
      <c r="AP563" s="9"/>
      <c r="AQ563" s="9"/>
      <c r="AR563" s="9"/>
    </row>
    <row r="564">
      <c r="A564" s="585"/>
      <c r="B564" s="585"/>
      <c r="C564" s="585"/>
      <c r="D564" s="585"/>
      <c r="E564" s="585"/>
      <c r="F564" s="585"/>
      <c r="G564" s="585"/>
      <c r="H564" s="585"/>
      <c r="I564" s="585"/>
      <c r="J564" s="585"/>
      <c r="K564" s="585"/>
      <c r="L564" s="585"/>
      <c r="M564" s="585"/>
      <c r="N564" s="585"/>
      <c r="O564" s="585"/>
      <c r="P564" s="585"/>
      <c r="Q564" s="585"/>
      <c r="R564" s="585"/>
      <c r="S564" s="585"/>
      <c r="T564" s="585"/>
      <c r="U564" s="585"/>
      <c r="V564" s="224"/>
      <c r="W564" s="224"/>
      <c r="X564" s="224"/>
      <c r="Y564" s="224"/>
      <c r="Z564" s="868"/>
      <c r="AA564" s="865"/>
      <c r="AB564" s="2"/>
      <c r="AC564" s="2"/>
      <c r="AD564" s="2"/>
      <c r="AE564" s="2"/>
      <c r="AF564" s="2"/>
      <c r="AG564" s="2"/>
      <c r="AH564" s="2"/>
      <c r="AI564" s="2"/>
      <c r="AJ564" s="2"/>
      <c r="AK564" s="2"/>
      <c r="AL564" s="2"/>
      <c r="AM564" s="2"/>
      <c r="AN564" s="2"/>
      <c r="AO564" s="9"/>
      <c r="AP564" s="9"/>
      <c r="AQ564" s="9"/>
      <c r="AR564" s="9"/>
    </row>
    <row r="565">
      <c r="A565" s="585"/>
      <c r="B565" s="585"/>
      <c r="C565" s="585"/>
      <c r="D565" s="585"/>
      <c r="E565" s="585"/>
      <c r="F565" s="585"/>
      <c r="G565" s="585"/>
      <c r="H565" s="585"/>
      <c r="I565" s="585"/>
      <c r="J565" s="585"/>
      <c r="K565" s="585"/>
      <c r="L565" s="585"/>
      <c r="M565" s="585"/>
      <c r="N565" s="585"/>
      <c r="O565" s="585"/>
      <c r="P565" s="585"/>
      <c r="Q565" s="585"/>
      <c r="R565" s="585"/>
      <c r="S565" s="585"/>
      <c r="T565" s="585"/>
      <c r="U565" s="585"/>
      <c r="V565" s="224"/>
      <c r="W565" s="224"/>
      <c r="X565" s="224"/>
      <c r="Y565" s="224"/>
      <c r="Z565" s="868"/>
      <c r="AA565" s="865"/>
      <c r="AB565" s="2"/>
      <c r="AC565" s="2"/>
      <c r="AD565" s="2"/>
      <c r="AE565" s="2"/>
      <c r="AF565" s="2"/>
      <c r="AG565" s="2"/>
      <c r="AH565" s="2"/>
      <c r="AI565" s="2"/>
      <c r="AJ565" s="2"/>
      <c r="AK565" s="2"/>
      <c r="AL565" s="2"/>
      <c r="AM565" s="2"/>
      <c r="AN565" s="2"/>
      <c r="AO565" s="9"/>
      <c r="AP565" s="9"/>
      <c r="AQ565" s="9"/>
      <c r="AR565" s="9"/>
    </row>
    <row r="566">
      <c r="A566" s="585"/>
      <c r="B566" s="585"/>
      <c r="C566" s="585"/>
      <c r="D566" s="585"/>
      <c r="E566" s="585"/>
      <c r="F566" s="585"/>
      <c r="G566" s="585"/>
      <c r="H566" s="585"/>
      <c r="I566" s="585"/>
      <c r="J566" s="585"/>
      <c r="K566" s="585"/>
      <c r="L566" s="585"/>
      <c r="M566" s="585"/>
      <c r="N566" s="585"/>
      <c r="O566" s="585"/>
      <c r="P566" s="585"/>
      <c r="Q566" s="585"/>
      <c r="R566" s="585"/>
      <c r="S566" s="585"/>
      <c r="T566" s="585"/>
      <c r="U566" s="585"/>
      <c r="V566" s="224"/>
      <c r="W566" s="224"/>
      <c r="X566" s="224"/>
      <c r="Y566" s="224"/>
      <c r="Z566" s="868"/>
      <c r="AA566" s="865"/>
      <c r="AB566" s="2"/>
      <c r="AC566" s="2"/>
      <c r="AD566" s="2"/>
      <c r="AE566" s="2"/>
      <c r="AF566" s="2"/>
      <c r="AG566" s="2"/>
      <c r="AH566" s="2"/>
      <c r="AI566" s="2"/>
      <c r="AJ566" s="2"/>
      <c r="AK566" s="2"/>
      <c r="AL566" s="2"/>
      <c r="AM566" s="2"/>
      <c r="AN566" s="2"/>
      <c r="AO566" s="9"/>
      <c r="AP566" s="9"/>
      <c r="AQ566" s="9"/>
      <c r="AR566" s="9"/>
    </row>
    <row r="567">
      <c r="A567" s="585"/>
      <c r="B567" s="585"/>
      <c r="C567" s="585"/>
      <c r="D567" s="585"/>
      <c r="E567" s="585"/>
      <c r="F567" s="585"/>
      <c r="G567" s="585"/>
      <c r="H567" s="585"/>
      <c r="I567" s="585"/>
      <c r="J567" s="585"/>
      <c r="K567" s="585"/>
      <c r="L567" s="585"/>
      <c r="M567" s="585"/>
      <c r="N567" s="585"/>
      <c r="O567" s="585"/>
      <c r="P567" s="585"/>
      <c r="Q567" s="585"/>
      <c r="R567" s="585"/>
      <c r="S567" s="585"/>
      <c r="T567" s="585"/>
      <c r="U567" s="585"/>
      <c r="V567" s="224"/>
      <c r="W567" s="224"/>
      <c r="X567" s="224"/>
      <c r="Y567" s="224"/>
      <c r="Z567" s="868"/>
      <c r="AA567" s="865"/>
      <c r="AB567" s="2"/>
      <c r="AC567" s="2"/>
      <c r="AD567" s="2"/>
      <c r="AE567" s="2"/>
      <c r="AF567" s="2"/>
      <c r="AG567" s="2"/>
      <c r="AH567" s="2"/>
      <c r="AI567" s="2"/>
      <c r="AJ567" s="2"/>
      <c r="AK567" s="2"/>
      <c r="AL567" s="2"/>
      <c r="AM567" s="2"/>
      <c r="AN567" s="2"/>
      <c r="AO567" s="9"/>
      <c r="AP567" s="9"/>
      <c r="AQ567" s="9"/>
      <c r="AR567" s="9"/>
    </row>
    <row r="568">
      <c r="A568" s="585"/>
      <c r="B568" s="585"/>
      <c r="C568" s="585"/>
      <c r="D568" s="585"/>
      <c r="E568" s="585"/>
      <c r="F568" s="585"/>
      <c r="G568" s="585"/>
      <c r="H568" s="585"/>
      <c r="I568" s="585"/>
      <c r="J568" s="585"/>
      <c r="K568" s="585"/>
      <c r="L568" s="585"/>
      <c r="M568" s="585"/>
      <c r="N568" s="585"/>
      <c r="O568" s="585"/>
      <c r="P568" s="585"/>
      <c r="Q568" s="585"/>
      <c r="R568" s="585"/>
      <c r="S568" s="585"/>
      <c r="T568" s="585"/>
      <c r="U568" s="585"/>
      <c r="V568" s="224"/>
      <c r="W568" s="224"/>
      <c r="X568" s="224"/>
      <c r="Y568" s="224"/>
      <c r="Z568" s="868"/>
      <c r="AA568" s="865"/>
      <c r="AB568" s="2"/>
      <c r="AC568" s="2"/>
      <c r="AD568" s="2"/>
      <c r="AE568" s="2"/>
      <c r="AF568" s="2"/>
      <c r="AG568" s="2"/>
      <c r="AH568" s="2"/>
      <c r="AI568" s="2"/>
      <c r="AJ568" s="2"/>
      <c r="AK568" s="2"/>
      <c r="AL568" s="2"/>
      <c r="AM568" s="2"/>
      <c r="AN568" s="2"/>
      <c r="AO568" s="9"/>
      <c r="AP568" s="9"/>
      <c r="AQ568" s="9"/>
      <c r="AR568" s="9"/>
    </row>
    <row r="569">
      <c r="A569" s="585"/>
      <c r="B569" s="585"/>
      <c r="C569" s="585"/>
      <c r="D569" s="585"/>
      <c r="E569" s="585"/>
      <c r="F569" s="585"/>
      <c r="G569" s="585"/>
      <c r="H569" s="585"/>
      <c r="I569" s="585"/>
      <c r="J569" s="585"/>
      <c r="K569" s="585"/>
      <c r="L569" s="585"/>
      <c r="M569" s="585"/>
      <c r="N569" s="585"/>
      <c r="O569" s="585"/>
      <c r="P569" s="585"/>
      <c r="Q569" s="585"/>
      <c r="R569" s="585"/>
      <c r="S569" s="585"/>
      <c r="T569" s="585"/>
      <c r="U569" s="585"/>
      <c r="V569" s="224"/>
      <c r="W569" s="224"/>
      <c r="X569" s="224"/>
      <c r="Y569" s="224"/>
      <c r="Z569" s="868"/>
      <c r="AA569" s="865"/>
      <c r="AB569" s="2"/>
      <c r="AC569" s="2"/>
      <c r="AD569" s="2"/>
      <c r="AE569" s="2"/>
      <c r="AF569" s="2"/>
      <c r="AG569" s="2"/>
      <c r="AH569" s="2"/>
      <c r="AI569" s="2"/>
      <c r="AJ569" s="2"/>
      <c r="AK569" s="2"/>
      <c r="AL569" s="2"/>
      <c r="AM569" s="2"/>
      <c r="AN569" s="2"/>
      <c r="AO569" s="9"/>
      <c r="AP569" s="9"/>
      <c r="AQ569" s="9"/>
      <c r="AR569" s="9"/>
    </row>
    <row r="570">
      <c r="A570" s="585"/>
      <c r="B570" s="585"/>
      <c r="C570" s="585"/>
      <c r="D570" s="585"/>
      <c r="E570" s="585"/>
      <c r="F570" s="585"/>
      <c r="G570" s="585"/>
      <c r="H570" s="585"/>
      <c r="I570" s="585"/>
      <c r="J570" s="585"/>
      <c r="K570" s="585"/>
      <c r="L570" s="585"/>
      <c r="M570" s="585"/>
      <c r="N570" s="585"/>
      <c r="O570" s="585"/>
      <c r="P570" s="585"/>
      <c r="Q570" s="585"/>
      <c r="R570" s="585"/>
      <c r="S570" s="585"/>
      <c r="T570" s="585"/>
      <c r="U570" s="585"/>
      <c r="V570" s="224"/>
      <c r="W570" s="224"/>
      <c r="X570" s="224"/>
      <c r="Y570" s="224"/>
      <c r="Z570" s="868"/>
      <c r="AA570" s="865"/>
      <c r="AB570" s="2"/>
      <c r="AC570" s="2"/>
      <c r="AD570" s="2"/>
      <c r="AE570" s="2"/>
      <c r="AF570" s="2"/>
      <c r="AG570" s="2"/>
      <c r="AH570" s="2"/>
      <c r="AI570" s="2"/>
      <c r="AJ570" s="2"/>
      <c r="AK570" s="2"/>
      <c r="AL570" s="2"/>
      <c r="AM570" s="2"/>
      <c r="AN570" s="2"/>
      <c r="AO570" s="9"/>
      <c r="AP570" s="9"/>
      <c r="AQ570" s="9"/>
      <c r="AR570" s="9"/>
    </row>
    <row r="571">
      <c r="A571" s="585"/>
      <c r="B571" s="585"/>
      <c r="C571" s="585"/>
      <c r="D571" s="585"/>
      <c r="E571" s="585"/>
      <c r="F571" s="585"/>
      <c r="G571" s="585"/>
      <c r="H571" s="585"/>
      <c r="I571" s="585"/>
      <c r="J571" s="585"/>
      <c r="K571" s="585"/>
      <c r="L571" s="585"/>
      <c r="M571" s="585"/>
      <c r="N571" s="585"/>
      <c r="O571" s="585"/>
      <c r="P571" s="585"/>
      <c r="Q571" s="585"/>
      <c r="R571" s="585"/>
      <c r="S571" s="585"/>
      <c r="T571" s="585"/>
      <c r="U571" s="585"/>
      <c r="V571" s="224"/>
      <c r="W571" s="224"/>
      <c r="X571" s="224"/>
      <c r="Y571" s="224"/>
      <c r="Z571" s="868"/>
      <c r="AA571" s="865"/>
      <c r="AB571" s="2"/>
      <c r="AC571" s="2"/>
      <c r="AD571" s="2"/>
      <c r="AE571" s="2"/>
      <c r="AF571" s="2"/>
      <c r="AG571" s="2"/>
      <c r="AH571" s="2"/>
      <c r="AI571" s="2"/>
      <c r="AJ571" s="2"/>
      <c r="AK571" s="2"/>
      <c r="AL571" s="2"/>
      <c r="AM571" s="2"/>
      <c r="AN571" s="2"/>
      <c r="AO571" s="9"/>
      <c r="AP571" s="9"/>
      <c r="AQ571" s="9"/>
      <c r="AR571" s="9"/>
    </row>
    <row r="572">
      <c r="A572" s="585"/>
      <c r="B572" s="585"/>
      <c r="C572" s="585"/>
      <c r="D572" s="585"/>
      <c r="E572" s="585"/>
      <c r="F572" s="585"/>
      <c r="G572" s="585"/>
      <c r="H572" s="585"/>
      <c r="I572" s="585"/>
      <c r="J572" s="585"/>
      <c r="K572" s="585"/>
      <c r="L572" s="585"/>
      <c r="M572" s="585"/>
      <c r="N572" s="585"/>
      <c r="O572" s="585"/>
      <c r="P572" s="585"/>
      <c r="Q572" s="585"/>
      <c r="R572" s="585"/>
      <c r="S572" s="585"/>
      <c r="T572" s="585"/>
      <c r="U572" s="585"/>
      <c r="V572" s="224"/>
      <c r="W572" s="224"/>
      <c r="X572" s="224"/>
      <c r="Y572" s="224"/>
      <c r="Z572" s="868"/>
      <c r="AA572" s="865"/>
      <c r="AB572" s="2"/>
      <c r="AC572" s="2"/>
      <c r="AD572" s="2"/>
      <c r="AE572" s="2"/>
      <c r="AF572" s="2"/>
      <c r="AG572" s="2"/>
      <c r="AH572" s="2"/>
      <c r="AI572" s="2"/>
      <c r="AJ572" s="2"/>
      <c r="AK572" s="2"/>
      <c r="AL572" s="2"/>
      <c r="AM572" s="2"/>
      <c r="AN572" s="2"/>
      <c r="AO572" s="9"/>
      <c r="AP572" s="9"/>
      <c r="AQ572" s="9"/>
      <c r="AR572" s="9"/>
    </row>
    <row r="573">
      <c r="A573" s="585"/>
      <c r="B573" s="585"/>
      <c r="C573" s="585"/>
      <c r="D573" s="585"/>
      <c r="E573" s="585"/>
      <c r="F573" s="585"/>
      <c r="G573" s="585"/>
      <c r="H573" s="585"/>
      <c r="I573" s="585"/>
      <c r="J573" s="585"/>
      <c r="K573" s="585"/>
      <c r="L573" s="585"/>
      <c r="M573" s="585"/>
      <c r="N573" s="585"/>
      <c r="O573" s="585"/>
      <c r="P573" s="585"/>
      <c r="Q573" s="585"/>
      <c r="R573" s="585"/>
      <c r="S573" s="585"/>
      <c r="T573" s="585"/>
      <c r="U573" s="585"/>
      <c r="V573" s="224"/>
      <c r="W573" s="224"/>
      <c r="X573" s="224"/>
      <c r="Y573" s="224"/>
      <c r="Z573" s="868"/>
      <c r="AA573" s="865"/>
      <c r="AB573" s="2"/>
      <c r="AC573" s="2"/>
      <c r="AD573" s="2"/>
      <c r="AE573" s="2"/>
      <c r="AF573" s="2"/>
      <c r="AG573" s="2"/>
      <c r="AH573" s="2"/>
      <c r="AI573" s="2"/>
      <c r="AJ573" s="2"/>
      <c r="AK573" s="2"/>
      <c r="AL573" s="2"/>
      <c r="AM573" s="2"/>
      <c r="AN573" s="2"/>
      <c r="AO573" s="9"/>
      <c r="AP573" s="9"/>
      <c r="AQ573" s="9"/>
      <c r="AR573" s="9"/>
    </row>
    <row r="574">
      <c r="A574" s="585"/>
      <c r="B574" s="585"/>
      <c r="C574" s="585"/>
      <c r="D574" s="585"/>
      <c r="E574" s="585"/>
      <c r="F574" s="585"/>
      <c r="G574" s="585"/>
      <c r="H574" s="585"/>
      <c r="I574" s="585"/>
      <c r="J574" s="585"/>
      <c r="K574" s="585"/>
      <c r="L574" s="585"/>
      <c r="M574" s="585"/>
      <c r="N574" s="585"/>
      <c r="O574" s="585"/>
      <c r="P574" s="585"/>
      <c r="Q574" s="585"/>
      <c r="R574" s="585"/>
      <c r="S574" s="585"/>
      <c r="T574" s="585"/>
      <c r="U574" s="585"/>
      <c r="V574" s="224"/>
      <c r="W574" s="224"/>
      <c r="X574" s="224"/>
      <c r="Y574" s="224"/>
      <c r="Z574" s="868"/>
      <c r="AA574" s="865"/>
      <c r="AB574" s="2"/>
      <c r="AC574" s="2"/>
      <c r="AD574" s="2"/>
      <c r="AE574" s="2"/>
      <c r="AF574" s="2"/>
      <c r="AG574" s="2"/>
      <c r="AH574" s="2"/>
      <c r="AI574" s="2"/>
      <c r="AJ574" s="2"/>
      <c r="AK574" s="2"/>
      <c r="AL574" s="2"/>
      <c r="AM574" s="2"/>
      <c r="AN574" s="2"/>
      <c r="AO574" s="9"/>
      <c r="AP574" s="9"/>
      <c r="AQ574" s="9"/>
      <c r="AR574" s="9"/>
    </row>
    <row r="575">
      <c r="A575" s="585"/>
      <c r="B575" s="585"/>
      <c r="C575" s="585"/>
      <c r="D575" s="585"/>
      <c r="E575" s="585"/>
      <c r="F575" s="585"/>
      <c r="G575" s="585"/>
      <c r="H575" s="585"/>
      <c r="I575" s="585"/>
      <c r="J575" s="585"/>
      <c r="K575" s="585"/>
      <c r="L575" s="585"/>
      <c r="M575" s="585"/>
      <c r="N575" s="585"/>
      <c r="O575" s="585"/>
      <c r="P575" s="585"/>
      <c r="Q575" s="585"/>
      <c r="R575" s="585"/>
      <c r="S575" s="585"/>
      <c r="T575" s="585"/>
      <c r="U575" s="585"/>
      <c r="V575" s="224"/>
      <c r="W575" s="224"/>
      <c r="X575" s="224"/>
      <c r="Y575" s="224"/>
      <c r="Z575" s="868"/>
      <c r="AA575" s="865"/>
      <c r="AB575" s="2"/>
      <c r="AC575" s="2"/>
      <c r="AD575" s="2"/>
      <c r="AE575" s="2"/>
      <c r="AF575" s="2"/>
      <c r="AG575" s="2"/>
      <c r="AH575" s="2"/>
      <c r="AI575" s="2"/>
      <c r="AJ575" s="2"/>
      <c r="AK575" s="2"/>
      <c r="AL575" s="2"/>
      <c r="AM575" s="2"/>
      <c r="AN575" s="2"/>
      <c r="AO575" s="9"/>
      <c r="AP575" s="9"/>
      <c r="AQ575" s="9"/>
      <c r="AR575" s="9"/>
    </row>
    <row r="576">
      <c r="A576" s="585"/>
      <c r="B576" s="585"/>
      <c r="C576" s="585"/>
      <c r="D576" s="585"/>
      <c r="E576" s="585"/>
      <c r="F576" s="585"/>
      <c r="G576" s="585"/>
      <c r="H576" s="585"/>
      <c r="I576" s="585"/>
      <c r="J576" s="585"/>
      <c r="K576" s="585"/>
      <c r="L576" s="585"/>
      <c r="M576" s="585"/>
      <c r="N576" s="585"/>
      <c r="O576" s="585"/>
      <c r="P576" s="585"/>
      <c r="Q576" s="585"/>
      <c r="R576" s="585"/>
      <c r="S576" s="585"/>
      <c r="T576" s="585"/>
      <c r="U576" s="585"/>
      <c r="V576" s="224"/>
      <c r="W576" s="224"/>
      <c r="X576" s="224"/>
      <c r="Y576" s="224"/>
      <c r="Z576" s="868"/>
      <c r="AA576" s="865"/>
      <c r="AB576" s="2"/>
      <c r="AC576" s="2"/>
      <c r="AD576" s="2"/>
      <c r="AE576" s="2"/>
      <c r="AF576" s="2"/>
      <c r="AG576" s="2"/>
      <c r="AH576" s="2"/>
      <c r="AI576" s="2"/>
      <c r="AJ576" s="2"/>
      <c r="AK576" s="2"/>
      <c r="AL576" s="2"/>
      <c r="AM576" s="2"/>
      <c r="AN576" s="2"/>
      <c r="AO576" s="9"/>
      <c r="AP576" s="9"/>
      <c r="AQ576" s="9"/>
      <c r="AR576" s="9"/>
    </row>
    <row r="577">
      <c r="A577" s="585"/>
      <c r="B577" s="585"/>
      <c r="C577" s="585"/>
      <c r="D577" s="585"/>
      <c r="E577" s="585"/>
      <c r="F577" s="585"/>
      <c r="G577" s="585"/>
      <c r="H577" s="585"/>
      <c r="I577" s="585"/>
      <c r="J577" s="585"/>
      <c r="K577" s="585"/>
      <c r="L577" s="585"/>
      <c r="M577" s="585"/>
      <c r="N577" s="585"/>
      <c r="O577" s="585"/>
      <c r="P577" s="585"/>
      <c r="Q577" s="585"/>
      <c r="R577" s="585"/>
      <c r="S577" s="585"/>
      <c r="T577" s="585"/>
      <c r="U577" s="585"/>
      <c r="V577" s="224"/>
      <c r="W577" s="224"/>
      <c r="X577" s="224"/>
      <c r="Y577" s="224"/>
      <c r="Z577" s="868"/>
      <c r="AA577" s="865"/>
      <c r="AB577" s="2"/>
      <c r="AC577" s="2"/>
      <c r="AD577" s="2"/>
      <c r="AE577" s="2"/>
      <c r="AF577" s="2"/>
      <c r="AG577" s="2"/>
      <c r="AH577" s="2"/>
      <c r="AI577" s="2"/>
      <c r="AJ577" s="2"/>
      <c r="AK577" s="2"/>
      <c r="AL577" s="2"/>
      <c r="AM577" s="2"/>
      <c r="AN577" s="2"/>
      <c r="AO577" s="9"/>
      <c r="AP577" s="9"/>
      <c r="AQ577" s="9"/>
      <c r="AR577" s="9"/>
    </row>
    <row r="578">
      <c r="A578" s="585"/>
      <c r="B578" s="585"/>
      <c r="C578" s="585"/>
      <c r="D578" s="585"/>
      <c r="E578" s="585"/>
      <c r="F578" s="585"/>
      <c r="G578" s="585"/>
      <c r="H578" s="585"/>
      <c r="I578" s="585"/>
      <c r="J578" s="585"/>
      <c r="K578" s="585"/>
      <c r="L578" s="585"/>
      <c r="M578" s="585"/>
      <c r="N578" s="585"/>
      <c r="O578" s="585"/>
      <c r="P578" s="585"/>
      <c r="Q578" s="585"/>
      <c r="R578" s="585"/>
      <c r="S578" s="585"/>
      <c r="T578" s="585"/>
      <c r="U578" s="585"/>
      <c r="V578" s="224"/>
      <c r="W578" s="224"/>
      <c r="X578" s="224"/>
      <c r="Y578" s="224"/>
      <c r="Z578" s="868"/>
      <c r="AA578" s="865"/>
      <c r="AB578" s="2"/>
      <c r="AC578" s="2"/>
      <c r="AD578" s="2"/>
      <c r="AE578" s="2"/>
      <c r="AF578" s="2"/>
      <c r="AG578" s="2"/>
      <c r="AH578" s="2"/>
      <c r="AI578" s="2"/>
      <c r="AJ578" s="2"/>
      <c r="AK578" s="2"/>
      <c r="AL578" s="2"/>
      <c r="AM578" s="2"/>
      <c r="AN578" s="2"/>
      <c r="AO578" s="9"/>
      <c r="AP578" s="9"/>
      <c r="AQ578" s="9"/>
      <c r="AR578" s="9"/>
    </row>
    <row r="579">
      <c r="A579" s="585"/>
      <c r="B579" s="585"/>
      <c r="C579" s="585"/>
      <c r="D579" s="585"/>
      <c r="E579" s="585"/>
      <c r="F579" s="585"/>
      <c r="G579" s="585"/>
      <c r="H579" s="585"/>
      <c r="I579" s="585"/>
      <c r="J579" s="585"/>
      <c r="K579" s="585"/>
      <c r="L579" s="585"/>
      <c r="M579" s="585"/>
      <c r="N579" s="585"/>
      <c r="O579" s="585"/>
      <c r="P579" s="585"/>
      <c r="Q579" s="585"/>
      <c r="R579" s="585"/>
      <c r="S579" s="585"/>
      <c r="T579" s="585"/>
      <c r="U579" s="585"/>
      <c r="V579" s="224"/>
      <c r="W579" s="224"/>
      <c r="X579" s="224"/>
      <c r="Y579" s="224"/>
      <c r="Z579" s="868"/>
      <c r="AA579" s="865"/>
      <c r="AB579" s="2"/>
      <c r="AC579" s="2"/>
      <c r="AD579" s="2"/>
      <c r="AE579" s="2"/>
      <c r="AF579" s="2"/>
      <c r="AG579" s="2"/>
      <c r="AH579" s="2"/>
      <c r="AI579" s="2"/>
      <c r="AJ579" s="2"/>
      <c r="AK579" s="2"/>
      <c r="AL579" s="2"/>
      <c r="AM579" s="2"/>
      <c r="AN579" s="2"/>
      <c r="AO579" s="9"/>
      <c r="AP579" s="9"/>
      <c r="AQ579" s="9"/>
      <c r="AR579" s="9"/>
    </row>
    <row r="580">
      <c r="A580" s="585"/>
      <c r="B580" s="585"/>
      <c r="C580" s="585"/>
      <c r="D580" s="585"/>
      <c r="E580" s="585"/>
      <c r="F580" s="585"/>
      <c r="G580" s="585"/>
      <c r="H580" s="585"/>
      <c r="I580" s="585"/>
      <c r="J580" s="585"/>
      <c r="K580" s="585"/>
      <c r="L580" s="585"/>
      <c r="M580" s="585"/>
      <c r="N580" s="585"/>
      <c r="O580" s="585"/>
      <c r="P580" s="585"/>
      <c r="Q580" s="585"/>
      <c r="R580" s="585"/>
      <c r="S580" s="585"/>
      <c r="T580" s="585"/>
      <c r="U580" s="585"/>
      <c r="V580" s="224"/>
      <c r="W580" s="224"/>
      <c r="X580" s="224"/>
      <c r="Y580" s="224"/>
      <c r="Z580" s="868"/>
      <c r="AA580" s="865"/>
      <c r="AB580" s="2"/>
      <c r="AC580" s="2"/>
      <c r="AD580" s="2"/>
      <c r="AE580" s="2"/>
      <c r="AF580" s="2"/>
      <c r="AG580" s="2"/>
      <c r="AH580" s="2"/>
      <c r="AI580" s="2"/>
      <c r="AJ580" s="2"/>
      <c r="AK580" s="2"/>
      <c r="AL580" s="2"/>
      <c r="AM580" s="2"/>
      <c r="AN580" s="2"/>
      <c r="AO580" s="9"/>
      <c r="AP580" s="9"/>
      <c r="AQ580" s="9"/>
      <c r="AR580" s="9"/>
    </row>
    <row r="581">
      <c r="A581" s="585"/>
      <c r="B581" s="585"/>
      <c r="C581" s="585"/>
      <c r="D581" s="585"/>
      <c r="E581" s="585"/>
      <c r="F581" s="585"/>
      <c r="G581" s="585"/>
      <c r="H581" s="585"/>
      <c r="I581" s="585"/>
      <c r="J581" s="585"/>
      <c r="K581" s="585"/>
      <c r="L581" s="585"/>
      <c r="M581" s="585"/>
      <c r="N581" s="585"/>
      <c r="O581" s="585"/>
      <c r="P581" s="585"/>
      <c r="Q581" s="585"/>
      <c r="R581" s="585"/>
      <c r="S581" s="585"/>
      <c r="T581" s="585"/>
      <c r="U581" s="585"/>
      <c r="V581" s="224"/>
      <c r="W581" s="224"/>
      <c r="X581" s="224"/>
      <c r="Y581" s="224"/>
      <c r="Z581" s="868"/>
      <c r="AA581" s="865"/>
      <c r="AB581" s="2"/>
      <c r="AC581" s="2"/>
      <c r="AD581" s="2"/>
      <c r="AE581" s="2"/>
      <c r="AF581" s="2"/>
      <c r="AG581" s="2"/>
      <c r="AH581" s="2"/>
      <c r="AI581" s="2"/>
      <c r="AJ581" s="2"/>
      <c r="AK581" s="2"/>
      <c r="AL581" s="2"/>
      <c r="AM581" s="2"/>
      <c r="AN581" s="2"/>
      <c r="AO581" s="9"/>
      <c r="AP581" s="9"/>
      <c r="AQ581" s="9"/>
      <c r="AR581" s="9"/>
    </row>
    <row r="582">
      <c r="A582" s="585"/>
      <c r="B582" s="585"/>
      <c r="C582" s="585"/>
      <c r="D582" s="585"/>
      <c r="E582" s="585"/>
      <c r="F582" s="585"/>
      <c r="G582" s="585"/>
      <c r="H582" s="585"/>
      <c r="I582" s="585"/>
      <c r="J582" s="585"/>
      <c r="K582" s="585"/>
      <c r="L582" s="585"/>
      <c r="M582" s="585"/>
      <c r="N582" s="585"/>
      <c r="O582" s="585"/>
      <c r="P582" s="585"/>
      <c r="Q582" s="585"/>
      <c r="R582" s="585"/>
      <c r="S582" s="585"/>
      <c r="T582" s="585"/>
      <c r="U582" s="585"/>
      <c r="V582" s="224"/>
      <c r="W582" s="224"/>
      <c r="X582" s="224"/>
      <c r="Y582" s="224"/>
      <c r="Z582" s="868"/>
      <c r="AA582" s="865"/>
      <c r="AB582" s="2"/>
      <c r="AC582" s="2"/>
      <c r="AD582" s="2"/>
      <c r="AE582" s="2"/>
      <c r="AF582" s="2"/>
      <c r="AG582" s="2"/>
      <c r="AH582" s="2"/>
      <c r="AI582" s="2"/>
      <c r="AJ582" s="2"/>
      <c r="AK582" s="2"/>
      <c r="AL582" s="2"/>
      <c r="AM582" s="2"/>
      <c r="AN582" s="2"/>
      <c r="AO582" s="9"/>
      <c r="AP582" s="9"/>
      <c r="AQ582" s="9"/>
      <c r="AR582" s="9"/>
    </row>
    <row r="583">
      <c r="A583" s="585"/>
      <c r="B583" s="585"/>
      <c r="C583" s="585"/>
      <c r="D583" s="585"/>
      <c r="E583" s="585"/>
      <c r="F583" s="585"/>
      <c r="G583" s="585"/>
      <c r="H583" s="585"/>
      <c r="I583" s="585"/>
      <c r="J583" s="585"/>
      <c r="K583" s="585"/>
      <c r="L583" s="585"/>
      <c r="M583" s="585"/>
      <c r="N583" s="585"/>
      <c r="O583" s="585"/>
      <c r="P583" s="585"/>
      <c r="Q583" s="585"/>
      <c r="R583" s="585"/>
      <c r="S583" s="585"/>
      <c r="T583" s="585"/>
      <c r="U583" s="585"/>
      <c r="V583" s="224"/>
      <c r="W583" s="224"/>
      <c r="X583" s="224"/>
      <c r="Y583" s="224"/>
      <c r="Z583" s="868"/>
      <c r="AA583" s="865"/>
      <c r="AB583" s="2"/>
      <c r="AC583" s="2"/>
      <c r="AD583" s="2"/>
      <c r="AE583" s="2"/>
      <c r="AF583" s="2"/>
      <c r="AG583" s="2"/>
      <c r="AH583" s="2"/>
      <c r="AI583" s="2"/>
      <c r="AJ583" s="2"/>
      <c r="AK583" s="2"/>
      <c r="AL583" s="2"/>
      <c r="AM583" s="2"/>
      <c r="AN583" s="2"/>
      <c r="AO583" s="9"/>
      <c r="AP583" s="9"/>
      <c r="AQ583" s="9"/>
      <c r="AR583" s="9"/>
    </row>
    <row r="584">
      <c r="A584" s="585"/>
      <c r="B584" s="585"/>
      <c r="C584" s="585"/>
      <c r="D584" s="585"/>
      <c r="E584" s="585"/>
      <c r="F584" s="585"/>
      <c r="G584" s="585"/>
      <c r="H584" s="585"/>
      <c r="I584" s="585"/>
      <c r="J584" s="585"/>
      <c r="K584" s="585"/>
      <c r="L584" s="585"/>
      <c r="M584" s="585"/>
      <c r="N584" s="585"/>
      <c r="O584" s="585"/>
      <c r="P584" s="585"/>
      <c r="Q584" s="585"/>
      <c r="R584" s="585"/>
      <c r="S584" s="585"/>
      <c r="T584" s="585"/>
      <c r="U584" s="585"/>
      <c r="V584" s="224"/>
      <c r="W584" s="224"/>
      <c r="X584" s="224"/>
      <c r="Y584" s="224"/>
      <c r="Z584" s="868"/>
      <c r="AA584" s="865"/>
      <c r="AB584" s="2"/>
      <c r="AC584" s="2"/>
      <c r="AD584" s="2"/>
      <c r="AE584" s="2"/>
      <c r="AF584" s="2"/>
      <c r="AG584" s="2"/>
      <c r="AH584" s="2"/>
      <c r="AI584" s="2"/>
      <c r="AJ584" s="2"/>
      <c r="AK584" s="2"/>
      <c r="AL584" s="2"/>
      <c r="AM584" s="2"/>
      <c r="AN584" s="2"/>
      <c r="AO584" s="9"/>
      <c r="AP584" s="9"/>
      <c r="AQ584" s="9"/>
      <c r="AR584" s="9"/>
    </row>
    <row r="585">
      <c r="A585" s="585"/>
      <c r="B585" s="585"/>
      <c r="C585" s="585"/>
      <c r="D585" s="585"/>
      <c r="E585" s="585"/>
      <c r="F585" s="585"/>
      <c r="G585" s="585"/>
      <c r="H585" s="585"/>
      <c r="I585" s="585"/>
      <c r="J585" s="585"/>
      <c r="K585" s="585"/>
      <c r="L585" s="585"/>
      <c r="M585" s="585"/>
      <c r="N585" s="585"/>
      <c r="O585" s="585"/>
      <c r="P585" s="585"/>
      <c r="Q585" s="585"/>
      <c r="R585" s="585"/>
      <c r="S585" s="585"/>
      <c r="T585" s="585"/>
      <c r="U585" s="585"/>
      <c r="V585" s="224"/>
      <c r="W585" s="224"/>
      <c r="X585" s="224"/>
      <c r="Y585" s="224"/>
      <c r="Z585" s="868"/>
      <c r="AA585" s="865"/>
      <c r="AB585" s="2"/>
      <c r="AC585" s="2"/>
      <c r="AD585" s="2"/>
      <c r="AE585" s="2"/>
      <c r="AF585" s="2"/>
      <c r="AG585" s="2"/>
      <c r="AH585" s="2"/>
      <c r="AI585" s="2"/>
      <c r="AJ585" s="2"/>
      <c r="AK585" s="2"/>
      <c r="AL585" s="2"/>
      <c r="AM585" s="2"/>
      <c r="AN585" s="2"/>
      <c r="AO585" s="9"/>
      <c r="AP585" s="9"/>
      <c r="AQ585" s="9"/>
      <c r="AR585" s="9"/>
    </row>
    <row r="586">
      <c r="A586" s="585"/>
      <c r="B586" s="585"/>
      <c r="C586" s="585"/>
      <c r="D586" s="585"/>
      <c r="E586" s="585"/>
      <c r="F586" s="585"/>
      <c r="G586" s="585"/>
      <c r="H586" s="585"/>
      <c r="I586" s="585"/>
      <c r="J586" s="585"/>
      <c r="K586" s="585"/>
      <c r="L586" s="585"/>
      <c r="M586" s="585"/>
      <c r="N586" s="585"/>
      <c r="O586" s="585"/>
      <c r="P586" s="585"/>
      <c r="Q586" s="585"/>
      <c r="R586" s="585"/>
      <c r="S586" s="585"/>
      <c r="T586" s="585"/>
      <c r="U586" s="585"/>
      <c r="V586" s="224"/>
      <c r="W586" s="224"/>
      <c r="X586" s="224"/>
      <c r="Y586" s="224"/>
      <c r="Z586" s="868"/>
      <c r="AA586" s="865"/>
      <c r="AB586" s="2"/>
      <c r="AC586" s="2"/>
      <c r="AD586" s="2"/>
      <c r="AE586" s="2"/>
      <c r="AF586" s="2"/>
      <c r="AG586" s="2"/>
      <c r="AH586" s="2"/>
      <c r="AI586" s="2"/>
      <c r="AJ586" s="2"/>
      <c r="AK586" s="2"/>
      <c r="AL586" s="2"/>
      <c r="AM586" s="2"/>
      <c r="AN586" s="2"/>
      <c r="AO586" s="9"/>
      <c r="AP586" s="9"/>
      <c r="AQ586" s="9"/>
      <c r="AR586" s="9"/>
    </row>
    <row r="587">
      <c r="A587" s="585"/>
      <c r="B587" s="585"/>
      <c r="C587" s="585"/>
      <c r="D587" s="585"/>
      <c r="E587" s="585"/>
      <c r="F587" s="585"/>
      <c r="G587" s="585"/>
      <c r="H587" s="585"/>
      <c r="I587" s="585"/>
      <c r="J587" s="585"/>
      <c r="K587" s="585"/>
      <c r="L587" s="585"/>
      <c r="M587" s="585"/>
      <c r="N587" s="585"/>
      <c r="O587" s="585"/>
      <c r="P587" s="585"/>
      <c r="Q587" s="585"/>
      <c r="R587" s="585"/>
      <c r="S587" s="585"/>
      <c r="T587" s="585"/>
      <c r="U587" s="585"/>
      <c r="V587" s="224"/>
      <c r="W587" s="224"/>
      <c r="X587" s="224"/>
      <c r="Y587" s="224"/>
      <c r="Z587" s="868"/>
      <c r="AA587" s="865"/>
      <c r="AB587" s="2"/>
      <c r="AC587" s="2"/>
      <c r="AD587" s="2"/>
      <c r="AE587" s="2"/>
      <c r="AF587" s="2"/>
      <c r="AG587" s="2"/>
      <c r="AH587" s="2"/>
      <c r="AI587" s="2"/>
      <c r="AJ587" s="2"/>
      <c r="AK587" s="2"/>
      <c r="AL587" s="2"/>
      <c r="AM587" s="2"/>
      <c r="AN587" s="2"/>
      <c r="AO587" s="9"/>
      <c r="AP587" s="9"/>
      <c r="AQ587" s="9"/>
      <c r="AR587" s="9"/>
    </row>
    <row r="588">
      <c r="A588" s="585"/>
      <c r="B588" s="585"/>
      <c r="C588" s="585"/>
      <c r="D588" s="585"/>
      <c r="E588" s="585"/>
      <c r="F588" s="585"/>
      <c r="G588" s="585"/>
      <c r="H588" s="585"/>
      <c r="I588" s="585"/>
      <c r="J588" s="585"/>
      <c r="K588" s="585"/>
      <c r="L588" s="585"/>
      <c r="M588" s="585"/>
      <c r="N588" s="585"/>
      <c r="O588" s="585"/>
      <c r="P588" s="585"/>
      <c r="Q588" s="585"/>
      <c r="R588" s="585"/>
      <c r="S588" s="585"/>
      <c r="T588" s="585"/>
      <c r="U588" s="585"/>
      <c r="V588" s="224"/>
      <c r="W588" s="224"/>
      <c r="X588" s="224"/>
      <c r="Y588" s="224"/>
      <c r="Z588" s="868"/>
      <c r="AA588" s="865"/>
      <c r="AB588" s="2"/>
      <c r="AC588" s="2"/>
      <c r="AD588" s="2"/>
      <c r="AE588" s="2"/>
      <c r="AF588" s="2"/>
      <c r="AG588" s="2"/>
      <c r="AH588" s="2"/>
      <c r="AI588" s="2"/>
      <c r="AJ588" s="2"/>
      <c r="AK588" s="2"/>
      <c r="AL588" s="2"/>
      <c r="AM588" s="2"/>
      <c r="AN588" s="2"/>
      <c r="AO588" s="9"/>
      <c r="AP588" s="9"/>
      <c r="AQ588" s="9"/>
      <c r="AR588" s="9"/>
    </row>
    <row r="589">
      <c r="A589" s="585"/>
      <c r="B589" s="585"/>
      <c r="C589" s="585"/>
      <c r="D589" s="585"/>
      <c r="E589" s="585"/>
      <c r="F589" s="585"/>
      <c r="G589" s="585"/>
      <c r="H589" s="585"/>
      <c r="I589" s="585"/>
      <c r="J589" s="585"/>
      <c r="K589" s="585"/>
      <c r="L589" s="585"/>
      <c r="M589" s="585"/>
      <c r="N589" s="585"/>
      <c r="O589" s="585"/>
      <c r="P589" s="585"/>
      <c r="Q589" s="585"/>
      <c r="R589" s="585"/>
      <c r="S589" s="585"/>
      <c r="T589" s="585"/>
      <c r="U589" s="585"/>
      <c r="V589" s="224"/>
      <c r="W589" s="224"/>
      <c r="X589" s="224"/>
      <c r="Y589" s="224"/>
      <c r="Z589" s="868"/>
      <c r="AA589" s="865"/>
      <c r="AB589" s="2"/>
      <c r="AC589" s="2"/>
      <c r="AD589" s="2"/>
      <c r="AE589" s="2"/>
      <c r="AF589" s="2"/>
      <c r="AG589" s="2"/>
      <c r="AH589" s="2"/>
      <c r="AI589" s="2"/>
      <c r="AJ589" s="2"/>
      <c r="AK589" s="2"/>
      <c r="AL589" s="2"/>
      <c r="AM589" s="2"/>
      <c r="AN589" s="2"/>
      <c r="AO589" s="9"/>
      <c r="AP589" s="9"/>
      <c r="AQ589" s="9"/>
      <c r="AR589" s="9"/>
    </row>
    <row r="590">
      <c r="A590" s="585"/>
      <c r="B590" s="585"/>
      <c r="C590" s="585"/>
      <c r="D590" s="585"/>
      <c r="E590" s="585"/>
      <c r="F590" s="585"/>
      <c r="G590" s="585"/>
      <c r="H590" s="585"/>
      <c r="I590" s="585"/>
      <c r="J590" s="585"/>
      <c r="K590" s="585"/>
      <c r="L590" s="585"/>
      <c r="M590" s="585"/>
      <c r="N590" s="585"/>
      <c r="O590" s="585"/>
      <c r="P590" s="585"/>
      <c r="Q590" s="585"/>
      <c r="R590" s="585"/>
      <c r="S590" s="585"/>
      <c r="T590" s="585"/>
      <c r="U590" s="585"/>
      <c r="V590" s="224"/>
      <c r="W590" s="224"/>
      <c r="X590" s="224"/>
      <c r="Y590" s="224"/>
      <c r="Z590" s="868"/>
      <c r="AA590" s="865"/>
      <c r="AB590" s="2"/>
      <c r="AC590" s="2"/>
      <c r="AD590" s="2"/>
      <c r="AE590" s="2"/>
      <c r="AF590" s="2"/>
      <c r="AG590" s="2"/>
      <c r="AH590" s="2"/>
      <c r="AI590" s="2"/>
      <c r="AJ590" s="2"/>
      <c r="AK590" s="2"/>
      <c r="AL590" s="2"/>
      <c r="AM590" s="2"/>
      <c r="AN590" s="2"/>
      <c r="AO590" s="9"/>
      <c r="AP590" s="9"/>
      <c r="AQ590" s="9"/>
      <c r="AR590" s="9"/>
    </row>
    <row r="591">
      <c r="A591" s="585"/>
      <c r="B591" s="585"/>
      <c r="C591" s="585"/>
      <c r="D591" s="585"/>
      <c r="E591" s="585"/>
      <c r="F591" s="585"/>
      <c r="G591" s="585"/>
      <c r="H591" s="585"/>
      <c r="I591" s="585"/>
      <c r="J591" s="585"/>
      <c r="K591" s="585"/>
      <c r="L591" s="585"/>
      <c r="M591" s="585"/>
      <c r="N591" s="585"/>
      <c r="O591" s="585"/>
      <c r="P591" s="585"/>
      <c r="Q591" s="585"/>
      <c r="R591" s="585"/>
      <c r="S591" s="585"/>
      <c r="T591" s="585"/>
      <c r="U591" s="585"/>
      <c r="V591" s="224"/>
      <c r="W591" s="224"/>
      <c r="X591" s="224"/>
      <c r="Y591" s="224"/>
      <c r="Z591" s="868"/>
      <c r="AA591" s="865"/>
      <c r="AB591" s="2"/>
      <c r="AC591" s="2"/>
      <c r="AD591" s="2"/>
      <c r="AE591" s="2"/>
      <c r="AF591" s="2"/>
      <c r="AG591" s="2"/>
      <c r="AH591" s="2"/>
      <c r="AI591" s="2"/>
      <c r="AJ591" s="2"/>
      <c r="AK591" s="2"/>
      <c r="AL591" s="2"/>
      <c r="AM591" s="2"/>
      <c r="AN591" s="2"/>
      <c r="AO591" s="9"/>
      <c r="AP591" s="9"/>
      <c r="AQ591" s="9"/>
      <c r="AR591" s="9"/>
    </row>
    <row r="592">
      <c r="A592" s="585"/>
      <c r="B592" s="585"/>
      <c r="C592" s="585"/>
      <c r="D592" s="585"/>
      <c r="E592" s="585"/>
      <c r="F592" s="585"/>
      <c r="G592" s="585"/>
      <c r="H592" s="585"/>
      <c r="I592" s="585"/>
      <c r="J592" s="585"/>
      <c r="K592" s="585"/>
      <c r="L592" s="585"/>
      <c r="M592" s="585"/>
      <c r="N592" s="585"/>
      <c r="O592" s="585"/>
      <c r="P592" s="585"/>
      <c r="Q592" s="585"/>
      <c r="R592" s="585"/>
      <c r="S592" s="585"/>
      <c r="T592" s="585"/>
      <c r="U592" s="585"/>
      <c r="V592" s="224"/>
      <c r="W592" s="224"/>
      <c r="X592" s="224"/>
      <c r="Y592" s="224"/>
      <c r="Z592" s="868"/>
      <c r="AA592" s="865"/>
      <c r="AB592" s="2"/>
      <c r="AC592" s="2"/>
      <c r="AD592" s="2"/>
      <c r="AE592" s="2"/>
      <c r="AF592" s="2"/>
      <c r="AG592" s="2"/>
      <c r="AH592" s="2"/>
      <c r="AI592" s="2"/>
      <c r="AJ592" s="2"/>
      <c r="AK592" s="2"/>
      <c r="AL592" s="2"/>
      <c r="AM592" s="2"/>
      <c r="AN592" s="2"/>
      <c r="AO592" s="9"/>
      <c r="AP592" s="9"/>
      <c r="AQ592" s="9"/>
      <c r="AR592" s="9"/>
    </row>
    <row r="593">
      <c r="A593" s="585"/>
      <c r="B593" s="585"/>
      <c r="C593" s="585"/>
      <c r="D593" s="585"/>
      <c r="E593" s="585"/>
      <c r="F593" s="585"/>
      <c r="G593" s="585"/>
      <c r="H593" s="585"/>
      <c r="I593" s="585"/>
      <c r="J593" s="585"/>
      <c r="K593" s="585"/>
      <c r="L593" s="585"/>
      <c r="M593" s="585"/>
      <c r="N593" s="585"/>
      <c r="O593" s="585"/>
      <c r="P593" s="585"/>
      <c r="Q593" s="585"/>
      <c r="R593" s="585"/>
      <c r="S593" s="585"/>
      <c r="T593" s="585"/>
      <c r="U593" s="585"/>
      <c r="V593" s="224"/>
      <c r="W593" s="224"/>
      <c r="X593" s="224"/>
      <c r="Y593" s="224"/>
      <c r="Z593" s="868"/>
      <c r="AA593" s="865"/>
      <c r="AB593" s="2"/>
      <c r="AC593" s="2"/>
      <c r="AD593" s="2"/>
      <c r="AE593" s="2"/>
      <c r="AF593" s="2"/>
      <c r="AG593" s="2"/>
      <c r="AH593" s="2"/>
      <c r="AI593" s="2"/>
      <c r="AJ593" s="2"/>
      <c r="AK593" s="2"/>
      <c r="AL593" s="2"/>
      <c r="AM593" s="2"/>
      <c r="AN593" s="2"/>
      <c r="AO593" s="9"/>
      <c r="AP593" s="9"/>
      <c r="AQ593" s="9"/>
      <c r="AR593" s="9"/>
    </row>
    <row r="594">
      <c r="A594" s="585"/>
      <c r="B594" s="585"/>
      <c r="C594" s="585"/>
      <c r="D594" s="585"/>
      <c r="E594" s="585"/>
      <c r="F594" s="585"/>
      <c r="G594" s="585"/>
      <c r="H594" s="585"/>
      <c r="I594" s="585"/>
      <c r="J594" s="585"/>
      <c r="K594" s="585"/>
      <c r="L594" s="585"/>
      <c r="M594" s="585"/>
      <c r="N594" s="585"/>
      <c r="O594" s="585"/>
      <c r="P594" s="585"/>
      <c r="Q594" s="585"/>
      <c r="R594" s="585"/>
      <c r="S594" s="585"/>
      <c r="T594" s="585"/>
      <c r="U594" s="585"/>
      <c r="V594" s="224"/>
      <c r="W594" s="224"/>
      <c r="X594" s="224"/>
      <c r="Y594" s="224"/>
      <c r="Z594" s="868"/>
      <c r="AA594" s="865"/>
      <c r="AB594" s="2"/>
      <c r="AC594" s="2"/>
      <c r="AD594" s="2"/>
      <c r="AE594" s="2"/>
      <c r="AF594" s="2"/>
      <c r="AG594" s="2"/>
      <c r="AH594" s="2"/>
      <c r="AI594" s="2"/>
      <c r="AJ594" s="2"/>
      <c r="AK594" s="2"/>
      <c r="AL594" s="2"/>
      <c r="AM594" s="2"/>
      <c r="AN594" s="2"/>
      <c r="AO594" s="9"/>
      <c r="AP594" s="9"/>
      <c r="AQ594" s="9"/>
      <c r="AR594" s="9"/>
    </row>
    <row r="595">
      <c r="A595" s="585"/>
      <c r="B595" s="585"/>
      <c r="C595" s="585"/>
      <c r="D595" s="585"/>
      <c r="E595" s="585"/>
      <c r="F595" s="585"/>
      <c r="G595" s="585"/>
      <c r="H595" s="585"/>
      <c r="I595" s="585"/>
      <c r="J595" s="585"/>
      <c r="K595" s="585"/>
      <c r="L595" s="585"/>
      <c r="M595" s="585"/>
      <c r="N595" s="585"/>
      <c r="O595" s="585"/>
      <c r="P595" s="585"/>
      <c r="Q595" s="585"/>
      <c r="R595" s="585"/>
      <c r="S595" s="585"/>
      <c r="T595" s="585"/>
      <c r="U595" s="585"/>
      <c r="V595" s="224"/>
      <c r="W595" s="224"/>
      <c r="X595" s="224"/>
      <c r="Y595" s="224"/>
      <c r="Z595" s="868"/>
      <c r="AA595" s="865"/>
      <c r="AB595" s="2"/>
      <c r="AC595" s="2"/>
      <c r="AD595" s="2"/>
      <c r="AE595" s="2"/>
      <c r="AF595" s="2"/>
      <c r="AG595" s="2"/>
      <c r="AH595" s="2"/>
      <c r="AI595" s="2"/>
      <c r="AJ595" s="2"/>
      <c r="AK595" s="2"/>
      <c r="AL595" s="2"/>
      <c r="AM595" s="2"/>
      <c r="AN595" s="2"/>
      <c r="AO595" s="9"/>
      <c r="AP595" s="9"/>
      <c r="AQ595" s="9"/>
      <c r="AR595" s="9"/>
    </row>
    <row r="596">
      <c r="A596" s="585"/>
      <c r="B596" s="585"/>
      <c r="C596" s="585"/>
      <c r="D596" s="585"/>
      <c r="E596" s="585"/>
      <c r="F596" s="585"/>
      <c r="G596" s="585"/>
      <c r="H596" s="585"/>
      <c r="I596" s="585"/>
      <c r="J596" s="585"/>
      <c r="K596" s="585"/>
      <c r="L596" s="585"/>
      <c r="M596" s="585"/>
      <c r="N596" s="585"/>
      <c r="O596" s="585"/>
      <c r="P596" s="585"/>
      <c r="Q596" s="585"/>
      <c r="R596" s="585"/>
      <c r="S596" s="585"/>
      <c r="T596" s="585"/>
      <c r="U596" s="585"/>
      <c r="V596" s="224"/>
      <c r="W596" s="224"/>
      <c r="X596" s="224"/>
      <c r="Y596" s="224"/>
      <c r="Z596" s="868"/>
      <c r="AA596" s="865"/>
      <c r="AB596" s="2"/>
      <c r="AC596" s="2"/>
      <c r="AD596" s="2"/>
      <c r="AE596" s="2"/>
      <c r="AF596" s="2"/>
      <c r="AG596" s="2"/>
      <c r="AH596" s="2"/>
      <c r="AI596" s="2"/>
      <c r="AJ596" s="2"/>
      <c r="AK596" s="2"/>
      <c r="AL596" s="2"/>
      <c r="AM596" s="2"/>
      <c r="AN596" s="2"/>
      <c r="AO596" s="9"/>
      <c r="AP596" s="9"/>
      <c r="AQ596" s="9"/>
      <c r="AR596" s="9"/>
    </row>
    <row r="597">
      <c r="A597" s="585"/>
      <c r="B597" s="585"/>
      <c r="C597" s="585"/>
      <c r="D597" s="585"/>
      <c r="E597" s="585"/>
      <c r="F597" s="585"/>
      <c r="G597" s="585"/>
      <c r="H597" s="585"/>
      <c r="I597" s="585"/>
      <c r="J597" s="585"/>
      <c r="K597" s="585"/>
      <c r="L597" s="585"/>
      <c r="M597" s="585"/>
      <c r="N597" s="585"/>
      <c r="O597" s="585"/>
      <c r="P597" s="585"/>
      <c r="Q597" s="585"/>
      <c r="R597" s="585"/>
      <c r="S597" s="585"/>
      <c r="T597" s="585"/>
      <c r="U597" s="585"/>
      <c r="V597" s="224"/>
      <c r="W597" s="224"/>
      <c r="X597" s="224"/>
      <c r="Y597" s="224"/>
      <c r="Z597" s="868"/>
      <c r="AA597" s="865"/>
      <c r="AB597" s="2"/>
      <c r="AC597" s="2"/>
      <c r="AD597" s="2"/>
      <c r="AE597" s="2"/>
      <c r="AF597" s="2"/>
      <c r="AG597" s="2"/>
      <c r="AH597" s="2"/>
      <c r="AI597" s="2"/>
      <c r="AJ597" s="2"/>
      <c r="AK597" s="2"/>
      <c r="AL597" s="2"/>
      <c r="AM597" s="2"/>
      <c r="AN597" s="2"/>
      <c r="AO597" s="9"/>
      <c r="AP597" s="9"/>
      <c r="AQ597" s="9"/>
      <c r="AR597" s="9"/>
    </row>
    <row r="598">
      <c r="A598" s="585"/>
      <c r="B598" s="585"/>
      <c r="C598" s="585"/>
      <c r="D598" s="585"/>
      <c r="E598" s="585"/>
      <c r="F598" s="585"/>
      <c r="G598" s="585"/>
      <c r="H598" s="585"/>
      <c r="I598" s="585"/>
      <c r="J598" s="585"/>
      <c r="K598" s="585"/>
      <c r="L598" s="585"/>
      <c r="M598" s="585"/>
      <c r="N598" s="585"/>
      <c r="O598" s="585"/>
      <c r="P598" s="585"/>
      <c r="Q598" s="585"/>
      <c r="R598" s="585"/>
      <c r="S598" s="585"/>
      <c r="T598" s="585"/>
      <c r="U598" s="585"/>
      <c r="V598" s="224"/>
      <c r="W598" s="224"/>
      <c r="X598" s="224"/>
      <c r="Y598" s="224"/>
      <c r="Z598" s="868"/>
      <c r="AA598" s="865"/>
      <c r="AB598" s="2"/>
      <c r="AC598" s="2"/>
      <c r="AD598" s="2"/>
      <c r="AE598" s="2"/>
      <c r="AF598" s="2"/>
      <c r="AG598" s="2"/>
      <c r="AH598" s="2"/>
      <c r="AI598" s="2"/>
      <c r="AJ598" s="2"/>
      <c r="AK598" s="2"/>
      <c r="AL598" s="2"/>
      <c r="AM598" s="2"/>
      <c r="AN598" s="2"/>
      <c r="AO598" s="9"/>
      <c r="AP598" s="9"/>
      <c r="AQ598" s="9"/>
      <c r="AR598" s="9"/>
    </row>
    <row r="599">
      <c r="A599" s="585"/>
      <c r="B599" s="585"/>
      <c r="C599" s="585"/>
      <c r="D599" s="585"/>
      <c r="E599" s="585"/>
      <c r="F599" s="585"/>
      <c r="G599" s="585"/>
      <c r="H599" s="585"/>
      <c r="I599" s="585"/>
      <c r="J599" s="585"/>
      <c r="K599" s="585"/>
      <c r="L599" s="585"/>
      <c r="M599" s="585"/>
      <c r="N599" s="585"/>
      <c r="O599" s="585"/>
      <c r="P599" s="585"/>
      <c r="Q599" s="585"/>
      <c r="R599" s="585"/>
      <c r="S599" s="585"/>
      <c r="T599" s="585"/>
      <c r="U599" s="585"/>
      <c r="V599" s="224"/>
      <c r="W599" s="224"/>
      <c r="X599" s="224"/>
      <c r="Y599" s="224"/>
      <c r="Z599" s="868"/>
      <c r="AA599" s="865"/>
      <c r="AB599" s="2"/>
      <c r="AC599" s="2"/>
      <c r="AD599" s="2"/>
      <c r="AE599" s="2"/>
      <c r="AF599" s="2"/>
      <c r="AG599" s="2"/>
      <c r="AH599" s="2"/>
      <c r="AI599" s="2"/>
      <c r="AJ599" s="2"/>
      <c r="AK599" s="2"/>
      <c r="AL599" s="2"/>
      <c r="AM599" s="2"/>
      <c r="AN599" s="2"/>
      <c r="AO599" s="9"/>
      <c r="AP599" s="9"/>
      <c r="AQ599" s="9"/>
      <c r="AR599" s="9"/>
    </row>
    <row r="600">
      <c r="A600" s="585"/>
      <c r="B600" s="585"/>
      <c r="C600" s="585"/>
      <c r="D600" s="585"/>
      <c r="E600" s="585"/>
      <c r="F600" s="585"/>
      <c r="G600" s="585"/>
      <c r="H600" s="585"/>
      <c r="I600" s="585"/>
      <c r="J600" s="585"/>
      <c r="K600" s="585"/>
      <c r="L600" s="585"/>
      <c r="M600" s="585"/>
      <c r="N600" s="585"/>
      <c r="O600" s="585"/>
      <c r="P600" s="585"/>
      <c r="Q600" s="585"/>
      <c r="R600" s="585"/>
      <c r="S600" s="585"/>
      <c r="T600" s="585"/>
      <c r="U600" s="585"/>
      <c r="V600" s="224"/>
      <c r="W600" s="224"/>
      <c r="X600" s="224"/>
      <c r="Y600" s="224"/>
      <c r="Z600" s="868"/>
      <c r="AA600" s="865"/>
      <c r="AB600" s="2"/>
      <c r="AC600" s="2"/>
      <c r="AD600" s="2"/>
      <c r="AE600" s="2"/>
      <c r="AF600" s="2"/>
      <c r="AG600" s="2"/>
      <c r="AH600" s="2"/>
      <c r="AI600" s="2"/>
      <c r="AJ600" s="2"/>
      <c r="AK600" s="2"/>
      <c r="AL600" s="2"/>
      <c r="AM600" s="2"/>
      <c r="AN600" s="2"/>
      <c r="AO600" s="9"/>
      <c r="AP600" s="9"/>
      <c r="AQ600" s="9"/>
      <c r="AR600" s="9"/>
    </row>
    <row r="601">
      <c r="A601" s="585"/>
      <c r="B601" s="585"/>
      <c r="C601" s="585"/>
      <c r="D601" s="585"/>
      <c r="E601" s="585"/>
      <c r="F601" s="585"/>
      <c r="G601" s="585"/>
      <c r="H601" s="585"/>
      <c r="I601" s="585"/>
      <c r="J601" s="585"/>
      <c r="K601" s="585"/>
      <c r="L601" s="585"/>
      <c r="M601" s="585"/>
      <c r="N601" s="585"/>
      <c r="O601" s="585"/>
      <c r="P601" s="585"/>
      <c r="Q601" s="585"/>
      <c r="R601" s="585"/>
      <c r="S601" s="585"/>
      <c r="T601" s="585"/>
      <c r="U601" s="585"/>
      <c r="V601" s="224"/>
      <c r="W601" s="224"/>
      <c r="X601" s="224"/>
      <c r="Y601" s="224"/>
      <c r="Z601" s="868"/>
      <c r="AA601" s="865"/>
      <c r="AB601" s="2"/>
      <c r="AC601" s="2"/>
      <c r="AD601" s="2"/>
      <c r="AE601" s="2"/>
      <c r="AF601" s="2"/>
      <c r="AG601" s="2"/>
      <c r="AH601" s="2"/>
      <c r="AI601" s="2"/>
      <c r="AJ601" s="2"/>
      <c r="AK601" s="2"/>
      <c r="AL601" s="2"/>
      <c r="AM601" s="2"/>
      <c r="AN601" s="2"/>
      <c r="AO601" s="9"/>
      <c r="AP601" s="9"/>
      <c r="AQ601" s="9"/>
      <c r="AR601" s="9"/>
    </row>
    <row r="602">
      <c r="A602" s="585"/>
      <c r="B602" s="585"/>
      <c r="C602" s="585"/>
      <c r="D602" s="585"/>
      <c r="E602" s="585"/>
      <c r="F602" s="585"/>
      <c r="G602" s="585"/>
      <c r="H602" s="585"/>
      <c r="I602" s="585"/>
      <c r="J602" s="585"/>
      <c r="K602" s="585"/>
      <c r="L602" s="585"/>
      <c r="M602" s="585"/>
      <c r="N602" s="585"/>
      <c r="O602" s="585"/>
      <c r="P602" s="585"/>
      <c r="Q602" s="585"/>
      <c r="R602" s="585"/>
      <c r="S602" s="585"/>
      <c r="T602" s="585"/>
      <c r="U602" s="585"/>
      <c r="V602" s="224"/>
      <c r="W602" s="224"/>
      <c r="X602" s="224"/>
      <c r="Y602" s="224"/>
      <c r="Z602" s="868"/>
      <c r="AA602" s="865"/>
      <c r="AB602" s="2"/>
      <c r="AC602" s="2"/>
      <c r="AD602" s="2"/>
      <c r="AE602" s="2"/>
      <c r="AF602" s="2"/>
      <c r="AG602" s="2"/>
      <c r="AH602" s="2"/>
      <c r="AI602" s="2"/>
      <c r="AJ602" s="2"/>
      <c r="AK602" s="2"/>
      <c r="AL602" s="2"/>
      <c r="AM602" s="2"/>
      <c r="AN602" s="2"/>
      <c r="AO602" s="9"/>
      <c r="AP602" s="9"/>
      <c r="AQ602" s="9"/>
      <c r="AR602" s="9"/>
    </row>
    <row r="603">
      <c r="A603" s="585"/>
      <c r="B603" s="585"/>
      <c r="C603" s="585"/>
      <c r="D603" s="585"/>
      <c r="E603" s="585"/>
      <c r="F603" s="585"/>
      <c r="G603" s="585"/>
      <c r="H603" s="585"/>
      <c r="I603" s="585"/>
      <c r="J603" s="585"/>
      <c r="K603" s="585"/>
      <c r="L603" s="585"/>
      <c r="M603" s="585"/>
      <c r="N603" s="585"/>
      <c r="O603" s="585"/>
      <c r="P603" s="585"/>
      <c r="Q603" s="585"/>
      <c r="R603" s="585"/>
      <c r="S603" s="585"/>
      <c r="T603" s="585"/>
      <c r="U603" s="585"/>
      <c r="V603" s="224"/>
      <c r="W603" s="224"/>
      <c r="X603" s="224"/>
      <c r="Y603" s="224"/>
      <c r="Z603" s="868"/>
      <c r="AA603" s="865"/>
      <c r="AB603" s="2"/>
      <c r="AC603" s="2"/>
      <c r="AD603" s="2"/>
      <c r="AE603" s="2"/>
      <c r="AF603" s="2"/>
      <c r="AG603" s="2"/>
      <c r="AH603" s="2"/>
      <c r="AI603" s="2"/>
      <c r="AJ603" s="2"/>
      <c r="AK603" s="2"/>
      <c r="AL603" s="2"/>
      <c r="AM603" s="2"/>
      <c r="AN603" s="2"/>
      <c r="AO603" s="9"/>
      <c r="AP603" s="9"/>
      <c r="AQ603" s="9"/>
      <c r="AR603" s="9"/>
    </row>
    <row r="604">
      <c r="A604" s="585"/>
      <c r="B604" s="585"/>
      <c r="C604" s="585"/>
      <c r="D604" s="585"/>
      <c r="E604" s="585"/>
      <c r="F604" s="585"/>
      <c r="G604" s="585"/>
      <c r="H604" s="585"/>
      <c r="I604" s="585"/>
      <c r="J604" s="585"/>
      <c r="K604" s="585"/>
      <c r="L604" s="585"/>
      <c r="M604" s="585"/>
      <c r="N604" s="585"/>
      <c r="O604" s="585"/>
      <c r="P604" s="585"/>
      <c r="Q604" s="585"/>
      <c r="R604" s="585"/>
      <c r="S604" s="585"/>
      <c r="T604" s="585"/>
      <c r="U604" s="585"/>
      <c r="V604" s="224"/>
      <c r="W604" s="224"/>
      <c r="X604" s="224"/>
      <c r="Y604" s="224"/>
      <c r="Z604" s="868"/>
      <c r="AA604" s="865"/>
      <c r="AB604" s="2"/>
      <c r="AC604" s="2"/>
      <c r="AD604" s="2"/>
      <c r="AE604" s="2"/>
      <c r="AF604" s="2"/>
      <c r="AG604" s="2"/>
      <c r="AH604" s="2"/>
      <c r="AI604" s="2"/>
      <c r="AJ604" s="2"/>
      <c r="AK604" s="2"/>
      <c r="AL604" s="2"/>
      <c r="AM604" s="2"/>
      <c r="AN604" s="2"/>
      <c r="AO604" s="9"/>
      <c r="AP604" s="9"/>
      <c r="AQ604" s="9"/>
      <c r="AR604" s="9"/>
    </row>
    <row r="605">
      <c r="A605" s="585"/>
      <c r="B605" s="585"/>
      <c r="C605" s="585"/>
      <c r="D605" s="585"/>
      <c r="E605" s="585"/>
      <c r="F605" s="585"/>
      <c r="G605" s="585"/>
      <c r="H605" s="585"/>
      <c r="I605" s="585"/>
      <c r="J605" s="585"/>
      <c r="K605" s="585"/>
      <c r="L605" s="585"/>
      <c r="M605" s="585"/>
      <c r="N605" s="585"/>
      <c r="O605" s="585"/>
      <c r="P605" s="585"/>
      <c r="Q605" s="585"/>
      <c r="R605" s="585"/>
      <c r="S605" s="585"/>
      <c r="T605" s="585"/>
      <c r="U605" s="585"/>
      <c r="V605" s="224"/>
      <c r="W605" s="224"/>
      <c r="X605" s="224"/>
      <c r="Y605" s="224"/>
      <c r="Z605" s="868"/>
      <c r="AA605" s="865"/>
      <c r="AB605" s="2"/>
      <c r="AC605" s="2"/>
      <c r="AD605" s="2"/>
      <c r="AE605" s="2"/>
      <c r="AF605" s="2"/>
      <c r="AG605" s="2"/>
      <c r="AH605" s="2"/>
      <c r="AI605" s="2"/>
      <c r="AJ605" s="2"/>
      <c r="AK605" s="2"/>
      <c r="AL605" s="2"/>
      <c r="AM605" s="2"/>
      <c r="AN605" s="2"/>
      <c r="AO605" s="9"/>
      <c r="AP605" s="9"/>
      <c r="AQ605" s="9"/>
      <c r="AR605" s="9"/>
    </row>
    <row r="606">
      <c r="A606" s="585"/>
      <c r="B606" s="585"/>
      <c r="C606" s="585"/>
      <c r="D606" s="585"/>
      <c r="E606" s="585"/>
      <c r="F606" s="585"/>
      <c r="G606" s="585"/>
      <c r="H606" s="585"/>
      <c r="I606" s="585"/>
      <c r="J606" s="585"/>
      <c r="K606" s="585"/>
      <c r="L606" s="585"/>
      <c r="M606" s="585"/>
      <c r="N606" s="585"/>
      <c r="O606" s="585"/>
      <c r="P606" s="585"/>
      <c r="Q606" s="585"/>
      <c r="R606" s="585"/>
      <c r="S606" s="585"/>
      <c r="T606" s="585"/>
      <c r="U606" s="585"/>
      <c r="V606" s="224"/>
      <c r="W606" s="224"/>
      <c r="X606" s="224"/>
      <c r="Y606" s="224"/>
      <c r="Z606" s="868"/>
      <c r="AA606" s="865"/>
      <c r="AB606" s="2"/>
      <c r="AC606" s="2"/>
      <c r="AD606" s="2"/>
      <c r="AE606" s="2"/>
      <c r="AF606" s="2"/>
      <c r="AG606" s="2"/>
      <c r="AH606" s="2"/>
      <c r="AI606" s="2"/>
      <c r="AJ606" s="2"/>
      <c r="AK606" s="2"/>
      <c r="AL606" s="2"/>
      <c r="AM606" s="2"/>
      <c r="AN606" s="2"/>
      <c r="AO606" s="9"/>
      <c r="AP606" s="9"/>
      <c r="AQ606" s="9"/>
      <c r="AR606" s="9"/>
    </row>
    <row r="607">
      <c r="A607" s="585"/>
      <c r="B607" s="585"/>
      <c r="C607" s="585"/>
      <c r="D607" s="585"/>
      <c r="E607" s="585"/>
      <c r="F607" s="585"/>
      <c r="G607" s="585"/>
      <c r="H607" s="585"/>
      <c r="I607" s="585"/>
      <c r="J607" s="585"/>
      <c r="K607" s="585"/>
      <c r="L607" s="585"/>
      <c r="M607" s="585"/>
      <c r="N607" s="585"/>
      <c r="O607" s="585"/>
      <c r="P607" s="585"/>
      <c r="Q607" s="585"/>
      <c r="R607" s="585"/>
      <c r="S607" s="585"/>
      <c r="T607" s="585"/>
      <c r="U607" s="585"/>
      <c r="V607" s="224"/>
      <c r="W607" s="224"/>
      <c r="X607" s="224"/>
      <c r="Y607" s="224"/>
      <c r="Z607" s="868"/>
      <c r="AA607" s="865"/>
      <c r="AB607" s="2"/>
      <c r="AC607" s="2"/>
      <c r="AD607" s="2"/>
      <c r="AE607" s="2"/>
      <c r="AF607" s="2"/>
      <c r="AG607" s="2"/>
      <c r="AH607" s="2"/>
      <c r="AI607" s="2"/>
      <c r="AJ607" s="2"/>
      <c r="AK607" s="2"/>
      <c r="AL607" s="2"/>
      <c r="AM607" s="2"/>
      <c r="AN607" s="2"/>
      <c r="AO607" s="9"/>
      <c r="AP607" s="9"/>
      <c r="AQ607" s="9"/>
      <c r="AR607" s="9"/>
    </row>
    <row r="608">
      <c r="A608" s="585"/>
      <c r="B608" s="585"/>
      <c r="C608" s="585"/>
      <c r="D608" s="585"/>
      <c r="E608" s="585"/>
      <c r="F608" s="585"/>
      <c r="G608" s="585"/>
      <c r="H608" s="585"/>
      <c r="I608" s="585"/>
      <c r="J608" s="585"/>
      <c r="K608" s="585"/>
      <c r="L608" s="585"/>
      <c r="M608" s="585"/>
      <c r="N608" s="585"/>
      <c r="O608" s="585"/>
      <c r="P608" s="585"/>
      <c r="Q608" s="585"/>
      <c r="R608" s="585"/>
      <c r="S608" s="585"/>
      <c r="T608" s="585"/>
      <c r="U608" s="585"/>
      <c r="V608" s="224"/>
      <c r="W608" s="224"/>
      <c r="X608" s="224"/>
      <c r="Y608" s="224"/>
      <c r="Z608" s="868"/>
      <c r="AA608" s="865"/>
      <c r="AB608" s="2"/>
      <c r="AC608" s="2"/>
      <c r="AD608" s="2"/>
      <c r="AE608" s="2"/>
      <c r="AF608" s="2"/>
      <c r="AG608" s="2"/>
      <c r="AH608" s="2"/>
      <c r="AI608" s="2"/>
      <c r="AJ608" s="2"/>
      <c r="AK608" s="2"/>
      <c r="AL608" s="2"/>
      <c r="AM608" s="2"/>
      <c r="AN608" s="2"/>
      <c r="AO608" s="9"/>
      <c r="AP608" s="9"/>
      <c r="AQ608" s="9"/>
      <c r="AR608" s="9"/>
    </row>
    <row r="609">
      <c r="A609" s="585"/>
      <c r="B609" s="585"/>
      <c r="C609" s="585"/>
      <c r="D609" s="585"/>
      <c r="E609" s="585"/>
      <c r="F609" s="585"/>
      <c r="G609" s="585"/>
      <c r="H609" s="585"/>
      <c r="I609" s="585"/>
      <c r="J609" s="585"/>
      <c r="K609" s="585"/>
      <c r="L609" s="585"/>
      <c r="M609" s="585"/>
      <c r="N609" s="585"/>
      <c r="O609" s="585"/>
      <c r="P609" s="585"/>
      <c r="Q609" s="585"/>
      <c r="R609" s="585"/>
      <c r="S609" s="585"/>
      <c r="T609" s="585"/>
      <c r="U609" s="585"/>
      <c r="V609" s="224"/>
      <c r="W609" s="224"/>
      <c r="X609" s="224"/>
      <c r="Y609" s="224"/>
      <c r="Z609" s="868"/>
      <c r="AA609" s="865"/>
      <c r="AB609" s="2"/>
      <c r="AC609" s="2"/>
      <c r="AD609" s="2"/>
      <c r="AE609" s="2"/>
      <c r="AF609" s="2"/>
      <c r="AG609" s="2"/>
      <c r="AH609" s="2"/>
      <c r="AI609" s="2"/>
      <c r="AJ609" s="2"/>
      <c r="AK609" s="2"/>
      <c r="AL609" s="2"/>
      <c r="AM609" s="2"/>
      <c r="AN609" s="2"/>
      <c r="AO609" s="9"/>
      <c r="AP609" s="9"/>
      <c r="AQ609" s="9"/>
      <c r="AR609" s="9"/>
    </row>
    <row r="610">
      <c r="A610" s="585"/>
      <c r="B610" s="585"/>
      <c r="C610" s="585"/>
      <c r="D610" s="585"/>
      <c r="E610" s="585"/>
      <c r="F610" s="585"/>
      <c r="G610" s="585"/>
      <c r="H610" s="585"/>
      <c r="I610" s="585"/>
      <c r="J610" s="585"/>
      <c r="K610" s="585"/>
      <c r="L610" s="585"/>
      <c r="M610" s="585"/>
      <c r="N610" s="585"/>
      <c r="O610" s="585"/>
      <c r="P610" s="585"/>
      <c r="Q610" s="585"/>
      <c r="R610" s="585"/>
      <c r="S610" s="585"/>
      <c r="T610" s="585"/>
      <c r="U610" s="585"/>
      <c r="V610" s="224"/>
      <c r="W610" s="224"/>
      <c r="X610" s="224"/>
      <c r="Y610" s="224"/>
      <c r="Z610" s="868"/>
      <c r="AA610" s="865"/>
      <c r="AB610" s="2"/>
      <c r="AC610" s="2"/>
      <c r="AD610" s="2"/>
      <c r="AE610" s="2"/>
      <c r="AF610" s="2"/>
      <c r="AG610" s="2"/>
      <c r="AH610" s="2"/>
      <c r="AI610" s="2"/>
      <c r="AJ610" s="2"/>
      <c r="AK610" s="2"/>
      <c r="AL610" s="2"/>
      <c r="AM610" s="2"/>
      <c r="AN610" s="2"/>
      <c r="AO610" s="9"/>
      <c r="AP610" s="9"/>
      <c r="AQ610" s="9"/>
      <c r="AR610" s="9"/>
    </row>
    <row r="611">
      <c r="A611" s="585"/>
      <c r="B611" s="585"/>
      <c r="C611" s="585"/>
      <c r="D611" s="585"/>
      <c r="E611" s="585"/>
      <c r="F611" s="585"/>
      <c r="G611" s="585"/>
      <c r="H611" s="585"/>
      <c r="I611" s="585"/>
      <c r="J611" s="585"/>
      <c r="K611" s="585"/>
      <c r="L611" s="585"/>
      <c r="M611" s="585"/>
      <c r="N611" s="585"/>
      <c r="O611" s="585"/>
      <c r="P611" s="585"/>
      <c r="Q611" s="585"/>
      <c r="R611" s="585"/>
      <c r="S611" s="585"/>
      <c r="T611" s="585"/>
      <c r="U611" s="585"/>
      <c r="V611" s="224"/>
      <c r="W611" s="224"/>
      <c r="X611" s="224"/>
      <c r="Y611" s="224"/>
      <c r="Z611" s="868"/>
      <c r="AA611" s="865"/>
      <c r="AB611" s="2"/>
      <c r="AC611" s="2"/>
      <c r="AD611" s="2"/>
      <c r="AE611" s="2"/>
      <c r="AF611" s="2"/>
      <c r="AG611" s="2"/>
      <c r="AH611" s="2"/>
      <c r="AI611" s="2"/>
      <c r="AJ611" s="2"/>
      <c r="AK611" s="2"/>
      <c r="AL611" s="2"/>
      <c r="AM611" s="2"/>
      <c r="AN611" s="2"/>
      <c r="AO611" s="9"/>
      <c r="AP611" s="9"/>
      <c r="AQ611" s="9"/>
      <c r="AR611" s="9"/>
    </row>
    <row r="612">
      <c r="A612" s="585"/>
      <c r="B612" s="585"/>
      <c r="C612" s="585"/>
      <c r="D612" s="585"/>
      <c r="E612" s="585"/>
      <c r="F612" s="585"/>
      <c r="G612" s="585"/>
      <c r="H612" s="585"/>
      <c r="I612" s="585"/>
      <c r="J612" s="585"/>
      <c r="K612" s="585"/>
      <c r="L612" s="585"/>
      <c r="M612" s="585"/>
      <c r="N612" s="585"/>
      <c r="O612" s="585"/>
      <c r="P612" s="585"/>
      <c r="Q612" s="585"/>
      <c r="R612" s="585"/>
      <c r="S612" s="585"/>
      <c r="T612" s="585"/>
      <c r="U612" s="585"/>
      <c r="V612" s="224"/>
      <c r="W612" s="224"/>
      <c r="X612" s="224"/>
      <c r="Y612" s="224"/>
      <c r="Z612" s="868"/>
      <c r="AA612" s="865"/>
      <c r="AB612" s="2"/>
      <c r="AC612" s="2"/>
      <c r="AD612" s="2"/>
      <c r="AE612" s="2"/>
      <c r="AF612" s="2"/>
      <c r="AG612" s="2"/>
      <c r="AH612" s="2"/>
      <c r="AI612" s="2"/>
      <c r="AJ612" s="2"/>
      <c r="AK612" s="2"/>
      <c r="AL612" s="2"/>
      <c r="AM612" s="2"/>
      <c r="AN612" s="2"/>
      <c r="AO612" s="9"/>
      <c r="AP612" s="9"/>
      <c r="AQ612" s="9"/>
      <c r="AR612" s="9"/>
    </row>
    <row r="613">
      <c r="A613" s="585"/>
      <c r="B613" s="585"/>
      <c r="C613" s="585"/>
      <c r="D613" s="585"/>
      <c r="E613" s="585"/>
      <c r="F613" s="585"/>
      <c r="G613" s="585"/>
      <c r="H613" s="585"/>
      <c r="I613" s="585"/>
      <c r="J613" s="585"/>
      <c r="K613" s="585"/>
      <c r="L613" s="585"/>
      <c r="M613" s="585"/>
      <c r="N613" s="585"/>
      <c r="O613" s="585"/>
      <c r="P613" s="585"/>
      <c r="Q613" s="585"/>
      <c r="R613" s="585"/>
      <c r="S613" s="585"/>
      <c r="T613" s="585"/>
      <c r="U613" s="585"/>
      <c r="V613" s="224"/>
      <c r="W613" s="224"/>
      <c r="X613" s="224"/>
      <c r="Y613" s="224"/>
      <c r="Z613" s="868"/>
      <c r="AA613" s="865"/>
      <c r="AB613" s="2"/>
      <c r="AC613" s="2"/>
      <c r="AD613" s="2"/>
      <c r="AE613" s="2"/>
      <c r="AF613" s="2"/>
      <c r="AG613" s="2"/>
      <c r="AH613" s="2"/>
      <c r="AI613" s="2"/>
      <c r="AJ613" s="2"/>
      <c r="AK613" s="2"/>
      <c r="AL613" s="2"/>
      <c r="AM613" s="2"/>
      <c r="AN613" s="2"/>
      <c r="AO613" s="9"/>
      <c r="AP613" s="9"/>
      <c r="AQ613" s="9"/>
      <c r="AR613" s="9"/>
    </row>
    <row r="614">
      <c r="A614" s="585"/>
      <c r="B614" s="585"/>
      <c r="C614" s="585"/>
      <c r="D614" s="585"/>
      <c r="E614" s="585"/>
      <c r="F614" s="585"/>
      <c r="G614" s="585"/>
      <c r="H614" s="585"/>
      <c r="I614" s="585"/>
      <c r="J614" s="585"/>
      <c r="K614" s="585"/>
      <c r="L614" s="585"/>
      <c r="M614" s="585"/>
      <c r="N614" s="585"/>
      <c r="O614" s="585"/>
      <c r="P614" s="585"/>
      <c r="Q614" s="585"/>
      <c r="R614" s="585"/>
      <c r="S614" s="585"/>
      <c r="T614" s="585"/>
      <c r="U614" s="585"/>
      <c r="V614" s="224"/>
      <c r="W614" s="224"/>
      <c r="X614" s="224"/>
      <c r="Y614" s="224"/>
      <c r="Z614" s="868"/>
      <c r="AA614" s="865"/>
      <c r="AB614" s="2"/>
      <c r="AC614" s="2"/>
      <c r="AD614" s="2"/>
      <c r="AE614" s="2"/>
      <c r="AF614" s="2"/>
      <c r="AG614" s="2"/>
      <c r="AH614" s="2"/>
      <c r="AI614" s="2"/>
      <c r="AJ614" s="2"/>
      <c r="AK614" s="2"/>
      <c r="AL614" s="2"/>
      <c r="AM614" s="2"/>
      <c r="AN614" s="2"/>
      <c r="AO614" s="9"/>
      <c r="AP614" s="9"/>
      <c r="AQ614" s="9"/>
      <c r="AR614" s="9"/>
    </row>
    <row r="615">
      <c r="A615" s="585"/>
      <c r="B615" s="585"/>
      <c r="C615" s="585"/>
      <c r="D615" s="585"/>
      <c r="E615" s="585"/>
      <c r="F615" s="585"/>
      <c r="G615" s="585"/>
      <c r="H615" s="585"/>
      <c r="I615" s="585"/>
      <c r="J615" s="585"/>
      <c r="K615" s="585"/>
      <c r="L615" s="585"/>
      <c r="M615" s="585"/>
      <c r="N615" s="585"/>
      <c r="O615" s="585"/>
      <c r="P615" s="585"/>
      <c r="Q615" s="585"/>
      <c r="R615" s="585"/>
      <c r="S615" s="585"/>
      <c r="T615" s="585"/>
      <c r="U615" s="585"/>
      <c r="V615" s="224"/>
      <c r="W615" s="224"/>
      <c r="X615" s="224"/>
      <c r="Y615" s="224"/>
      <c r="Z615" s="868"/>
      <c r="AA615" s="865"/>
      <c r="AB615" s="2"/>
      <c r="AC615" s="2"/>
      <c r="AD615" s="2"/>
      <c r="AE615" s="2"/>
      <c r="AF615" s="2"/>
      <c r="AG615" s="2"/>
      <c r="AH615" s="2"/>
      <c r="AI615" s="2"/>
      <c r="AJ615" s="2"/>
      <c r="AK615" s="2"/>
      <c r="AL615" s="2"/>
      <c r="AM615" s="2"/>
      <c r="AN615" s="2"/>
      <c r="AO615" s="9"/>
      <c r="AP615" s="9"/>
      <c r="AQ615" s="9"/>
      <c r="AR615" s="9"/>
    </row>
    <row r="616">
      <c r="A616" s="585"/>
      <c r="B616" s="585"/>
      <c r="C616" s="585"/>
      <c r="D616" s="585"/>
      <c r="E616" s="585"/>
      <c r="F616" s="585"/>
      <c r="G616" s="585"/>
      <c r="H616" s="585"/>
      <c r="I616" s="585"/>
      <c r="J616" s="585"/>
      <c r="K616" s="585"/>
      <c r="L616" s="585"/>
      <c r="M616" s="585"/>
      <c r="N616" s="585"/>
      <c r="O616" s="585"/>
      <c r="P616" s="585"/>
      <c r="Q616" s="585"/>
      <c r="R616" s="585"/>
      <c r="S616" s="585"/>
      <c r="T616" s="585"/>
      <c r="U616" s="585"/>
      <c r="V616" s="224"/>
      <c r="W616" s="224"/>
      <c r="X616" s="224"/>
      <c r="Y616" s="224"/>
      <c r="Z616" s="868"/>
      <c r="AA616" s="865"/>
      <c r="AB616" s="2"/>
      <c r="AC616" s="2"/>
      <c r="AD616" s="2"/>
      <c r="AE616" s="2"/>
      <c r="AF616" s="2"/>
      <c r="AG616" s="2"/>
      <c r="AH616" s="2"/>
      <c r="AI616" s="2"/>
      <c r="AJ616" s="2"/>
      <c r="AK616" s="2"/>
      <c r="AL616" s="2"/>
      <c r="AM616" s="2"/>
      <c r="AN616" s="2"/>
      <c r="AO616" s="9"/>
      <c r="AP616" s="9"/>
      <c r="AQ616" s="9"/>
      <c r="AR616" s="9"/>
    </row>
    <row r="617">
      <c r="A617" s="585"/>
      <c r="B617" s="585"/>
      <c r="C617" s="585"/>
      <c r="D617" s="585"/>
      <c r="E617" s="585"/>
      <c r="F617" s="585"/>
      <c r="G617" s="585"/>
      <c r="H617" s="585"/>
      <c r="I617" s="585"/>
      <c r="J617" s="585"/>
      <c r="K617" s="585"/>
      <c r="L617" s="585"/>
      <c r="M617" s="585"/>
      <c r="N617" s="585"/>
      <c r="O617" s="585"/>
      <c r="P617" s="585"/>
      <c r="Q617" s="585"/>
      <c r="R617" s="585"/>
      <c r="S617" s="585"/>
      <c r="T617" s="585"/>
      <c r="U617" s="585"/>
      <c r="V617" s="224"/>
      <c r="W617" s="224"/>
      <c r="X617" s="224"/>
      <c r="Y617" s="224"/>
      <c r="Z617" s="868"/>
      <c r="AA617" s="865"/>
      <c r="AB617" s="2"/>
      <c r="AC617" s="2"/>
      <c r="AD617" s="2"/>
      <c r="AE617" s="2"/>
      <c r="AF617" s="2"/>
      <c r="AG617" s="2"/>
      <c r="AH617" s="2"/>
      <c r="AI617" s="2"/>
      <c r="AJ617" s="2"/>
      <c r="AK617" s="2"/>
      <c r="AL617" s="2"/>
      <c r="AM617" s="2"/>
      <c r="AN617" s="2"/>
      <c r="AO617" s="9"/>
      <c r="AP617" s="9"/>
      <c r="AQ617" s="9"/>
      <c r="AR617" s="9"/>
    </row>
    <row r="618">
      <c r="A618" s="585"/>
      <c r="B618" s="585"/>
      <c r="C618" s="585"/>
      <c r="D618" s="585"/>
      <c r="E618" s="585"/>
      <c r="F618" s="585"/>
      <c r="G618" s="585"/>
      <c r="H618" s="585"/>
      <c r="I618" s="585"/>
      <c r="J618" s="585"/>
      <c r="K618" s="585"/>
      <c r="L618" s="585"/>
      <c r="M618" s="585"/>
      <c r="N618" s="585"/>
      <c r="O618" s="585"/>
      <c r="P618" s="585"/>
      <c r="Q618" s="585"/>
      <c r="R618" s="585"/>
      <c r="S618" s="585"/>
      <c r="T618" s="585"/>
      <c r="U618" s="585"/>
      <c r="V618" s="224"/>
      <c r="W618" s="224"/>
      <c r="X618" s="224"/>
      <c r="Y618" s="224"/>
      <c r="Z618" s="868"/>
      <c r="AA618" s="865"/>
      <c r="AB618" s="2"/>
      <c r="AC618" s="2"/>
      <c r="AD618" s="2"/>
      <c r="AE618" s="2"/>
      <c r="AF618" s="2"/>
      <c r="AG618" s="2"/>
      <c r="AH618" s="2"/>
      <c r="AI618" s="2"/>
      <c r="AJ618" s="2"/>
      <c r="AK618" s="2"/>
      <c r="AL618" s="2"/>
      <c r="AM618" s="2"/>
      <c r="AN618" s="2"/>
      <c r="AO618" s="9"/>
      <c r="AP618" s="9"/>
      <c r="AQ618" s="9"/>
      <c r="AR618" s="9"/>
    </row>
    <row r="619">
      <c r="A619" s="585"/>
      <c r="B619" s="585"/>
      <c r="C619" s="585"/>
      <c r="D619" s="585"/>
      <c r="E619" s="585"/>
      <c r="F619" s="585"/>
      <c r="G619" s="585"/>
      <c r="H619" s="585"/>
      <c r="I619" s="585"/>
      <c r="J619" s="585"/>
      <c r="K619" s="585"/>
      <c r="L619" s="585"/>
      <c r="M619" s="585"/>
      <c r="N619" s="585"/>
      <c r="O619" s="585"/>
      <c r="P619" s="585"/>
      <c r="Q619" s="585"/>
      <c r="R619" s="585"/>
      <c r="S619" s="585"/>
      <c r="T619" s="585"/>
      <c r="U619" s="585"/>
      <c r="V619" s="224"/>
      <c r="W619" s="224"/>
      <c r="X619" s="224"/>
      <c r="Y619" s="224"/>
      <c r="Z619" s="868"/>
      <c r="AA619" s="865"/>
      <c r="AB619" s="2"/>
      <c r="AC619" s="2"/>
      <c r="AD619" s="2"/>
      <c r="AE619" s="2"/>
      <c r="AF619" s="2"/>
      <c r="AG619" s="2"/>
      <c r="AH619" s="2"/>
      <c r="AI619" s="2"/>
      <c r="AJ619" s="2"/>
      <c r="AK619" s="2"/>
      <c r="AL619" s="2"/>
      <c r="AM619" s="2"/>
      <c r="AN619" s="2"/>
      <c r="AO619" s="9"/>
      <c r="AP619" s="9"/>
      <c r="AQ619" s="9"/>
      <c r="AR619" s="9"/>
    </row>
    <row r="620">
      <c r="A620" s="585"/>
      <c r="B620" s="585"/>
      <c r="C620" s="585"/>
      <c r="D620" s="585"/>
      <c r="E620" s="585"/>
      <c r="F620" s="585"/>
      <c r="G620" s="585"/>
      <c r="H620" s="585"/>
      <c r="I620" s="585"/>
      <c r="J620" s="585"/>
      <c r="K620" s="585"/>
      <c r="L620" s="585"/>
      <c r="M620" s="585"/>
      <c r="N620" s="585"/>
      <c r="O620" s="585"/>
      <c r="P620" s="585"/>
      <c r="Q620" s="585"/>
      <c r="R620" s="585"/>
      <c r="S620" s="585"/>
      <c r="T620" s="585"/>
      <c r="U620" s="585"/>
      <c r="V620" s="224"/>
      <c r="W620" s="224"/>
      <c r="X620" s="224"/>
      <c r="Y620" s="224"/>
      <c r="Z620" s="868"/>
      <c r="AA620" s="865"/>
      <c r="AB620" s="2"/>
      <c r="AC620" s="2"/>
      <c r="AD620" s="2"/>
      <c r="AE620" s="2"/>
      <c r="AF620" s="2"/>
      <c r="AG620" s="2"/>
      <c r="AH620" s="2"/>
      <c r="AI620" s="2"/>
      <c r="AJ620" s="2"/>
      <c r="AK620" s="2"/>
      <c r="AL620" s="2"/>
      <c r="AM620" s="2"/>
      <c r="AN620" s="2"/>
      <c r="AO620" s="9"/>
      <c r="AP620" s="9"/>
      <c r="AQ620" s="9"/>
      <c r="AR620" s="9"/>
    </row>
    <row r="621">
      <c r="A621" s="585"/>
      <c r="B621" s="585"/>
      <c r="C621" s="585"/>
      <c r="D621" s="585"/>
      <c r="E621" s="585"/>
      <c r="F621" s="585"/>
      <c r="G621" s="585"/>
      <c r="H621" s="585"/>
      <c r="I621" s="585"/>
      <c r="J621" s="585"/>
      <c r="K621" s="585"/>
      <c r="L621" s="585"/>
      <c r="M621" s="585"/>
      <c r="N621" s="585"/>
      <c r="O621" s="585"/>
      <c r="P621" s="585"/>
      <c r="Q621" s="585"/>
      <c r="R621" s="585"/>
      <c r="S621" s="585"/>
      <c r="T621" s="585"/>
      <c r="U621" s="585"/>
      <c r="V621" s="224"/>
      <c r="W621" s="224"/>
      <c r="X621" s="224"/>
      <c r="Y621" s="224"/>
      <c r="Z621" s="868"/>
      <c r="AA621" s="865"/>
      <c r="AB621" s="2"/>
      <c r="AC621" s="2"/>
      <c r="AD621" s="2"/>
      <c r="AE621" s="2"/>
      <c r="AF621" s="2"/>
      <c r="AG621" s="2"/>
      <c r="AH621" s="2"/>
      <c r="AI621" s="2"/>
      <c r="AJ621" s="2"/>
      <c r="AK621" s="2"/>
      <c r="AL621" s="2"/>
      <c r="AM621" s="2"/>
      <c r="AN621" s="2"/>
      <c r="AO621" s="9"/>
      <c r="AP621" s="9"/>
      <c r="AQ621" s="9"/>
      <c r="AR621" s="9"/>
    </row>
    <row r="622">
      <c r="A622" s="585"/>
      <c r="B622" s="585"/>
      <c r="C622" s="585"/>
      <c r="D622" s="585"/>
      <c r="E622" s="585"/>
      <c r="F622" s="585"/>
      <c r="G622" s="585"/>
      <c r="H622" s="585"/>
      <c r="I622" s="585"/>
      <c r="J622" s="585"/>
      <c r="K622" s="585"/>
      <c r="L622" s="585"/>
      <c r="M622" s="585"/>
      <c r="N622" s="585"/>
      <c r="O622" s="585"/>
      <c r="P622" s="585"/>
      <c r="Q622" s="585"/>
      <c r="R622" s="585"/>
      <c r="S622" s="585"/>
      <c r="T622" s="585"/>
      <c r="U622" s="585"/>
      <c r="V622" s="224"/>
      <c r="W622" s="224"/>
      <c r="X622" s="224"/>
      <c r="Y622" s="224"/>
      <c r="Z622" s="868"/>
      <c r="AA622" s="865"/>
      <c r="AB622" s="2"/>
      <c r="AC622" s="2"/>
      <c r="AD622" s="2"/>
      <c r="AE622" s="2"/>
      <c r="AF622" s="2"/>
      <c r="AG622" s="2"/>
      <c r="AH622" s="2"/>
      <c r="AI622" s="2"/>
      <c r="AJ622" s="2"/>
      <c r="AK622" s="2"/>
      <c r="AL622" s="2"/>
      <c r="AM622" s="2"/>
      <c r="AN622" s="2"/>
      <c r="AO622" s="9"/>
      <c r="AP622" s="9"/>
      <c r="AQ622" s="9"/>
      <c r="AR622" s="9"/>
    </row>
    <row r="623">
      <c r="A623" s="585"/>
      <c r="B623" s="585"/>
      <c r="C623" s="585"/>
      <c r="D623" s="585"/>
      <c r="E623" s="585"/>
      <c r="F623" s="585"/>
      <c r="G623" s="585"/>
      <c r="H623" s="585"/>
      <c r="I623" s="585"/>
      <c r="J623" s="585"/>
      <c r="K623" s="585"/>
      <c r="L623" s="585"/>
      <c r="M623" s="585"/>
      <c r="N623" s="585"/>
      <c r="O623" s="585"/>
      <c r="P623" s="585"/>
      <c r="Q623" s="585"/>
      <c r="R623" s="585"/>
      <c r="S623" s="585"/>
      <c r="T623" s="585"/>
      <c r="U623" s="585"/>
      <c r="V623" s="224"/>
      <c r="W623" s="224"/>
      <c r="X623" s="224"/>
      <c r="Y623" s="224"/>
      <c r="Z623" s="868"/>
      <c r="AA623" s="865"/>
      <c r="AB623" s="2"/>
      <c r="AC623" s="2"/>
      <c r="AD623" s="2"/>
      <c r="AE623" s="2"/>
      <c r="AF623" s="2"/>
      <c r="AG623" s="2"/>
      <c r="AH623" s="2"/>
      <c r="AI623" s="2"/>
      <c r="AJ623" s="2"/>
      <c r="AK623" s="2"/>
      <c r="AL623" s="2"/>
      <c r="AM623" s="2"/>
      <c r="AN623" s="2"/>
      <c r="AO623" s="9"/>
      <c r="AP623" s="9"/>
      <c r="AQ623" s="9"/>
      <c r="AR623" s="9"/>
    </row>
    <row r="624">
      <c r="A624" s="585"/>
      <c r="B624" s="585"/>
      <c r="C624" s="585"/>
      <c r="D624" s="585"/>
      <c r="E624" s="585"/>
      <c r="F624" s="585"/>
      <c r="G624" s="585"/>
      <c r="H624" s="585"/>
      <c r="I624" s="585"/>
      <c r="J624" s="585"/>
      <c r="K624" s="585"/>
      <c r="L624" s="585"/>
      <c r="M624" s="585"/>
      <c r="N624" s="585"/>
      <c r="O624" s="585"/>
      <c r="P624" s="585"/>
      <c r="Q624" s="585"/>
      <c r="R624" s="585"/>
      <c r="S624" s="585"/>
      <c r="T624" s="585"/>
      <c r="U624" s="585"/>
      <c r="V624" s="224"/>
      <c r="W624" s="224"/>
      <c r="X624" s="224"/>
      <c r="Y624" s="224"/>
      <c r="Z624" s="868"/>
      <c r="AA624" s="865"/>
      <c r="AB624" s="2"/>
      <c r="AC624" s="2"/>
      <c r="AD624" s="2"/>
      <c r="AE624" s="2"/>
      <c r="AF624" s="2"/>
      <c r="AG624" s="2"/>
      <c r="AH624" s="2"/>
      <c r="AI624" s="2"/>
      <c r="AJ624" s="2"/>
      <c r="AK624" s="2"/>
      <c r="AL624" s="2"/>
      <c r="AM624" s="2"/>
      <c r="AN624" s="2"/>
      <c r="AO624" s="9"/>
      <c r="AP624" s="9"/>
      <c r="AQ624" s="9"/>
      <c r="AR624" s="9"/>
    </row>
    <row r="625">
      <c r="A625" s="585"/>
      <c r="B625" s="585"/>
      <c r="C625" s="585"/>
      <c r="D625" s="585"/>
      <c r="E625" s="585"/>
      <c r="F625" s="585"/>
      <c r="G625" s="585"/>
      <c r="H625" s="585"/>
      <c r="I625" s="585"/>
      <c r="J625" s="585"/>
      <c r="K625" s="585"/>
      <c r="L625" s="585"/>
      <c r="M625" s="585"/>
      <c r="N625" s="585"/>
      <c r="O625" s="585"/>
      <c r="P625" s="585"/>
      <c r="Q625" s="585"/>
      <c r="R625" s="585"/>
      <c r="S625" s="585"/>
      <c r="T625" s="585"/>
      <c r="U625" s="585"/>
      <c r="V625" s="224"/>
      <c r="W625" s="224"/>
      <c r="X625" s="224"/>
      <c r="Y625" s="224"/>
      <c r="Z625" s="868"/>
      <c r="AA625" s="865"/>
      <c r="AB625" s="2"/>
      <c r="AC625" s="2"/>
      <c r="AD625" s="2"/>
      <c r="AE625" s="2"/>
      <c r="AF625" s="2"/>
      <c r="AG625" s="2"/>
      <c r="AH625" s="2"/>
      <c r="AI625" s="2"/>
      <c r="AJ625" s="2"/>
      <c r="AK625" s="2"/>
      <c r="AL625" s="2"/>
      <c r="AM625" s="2"/>
      <c r="AN625" s="2"/>
      <c r="AO625" s="9"/>
      <c r="AP625" s="9"/>
      <c r="AQ625" s="9"/>
      <c r="AR625" s="9"/>
    </row>
    <row r="626">
      <c r="A626" s="585"/>
      <c r="B626" s="585"/>
      <c r="C626" s="585"/>
      <c r="D626" s="585"/>
      <c r="E626" s="585"/>
      <c r="F626" s="585"/>
      <c r="G626" s="585"/>
      <c r="H626" s="585"/>
      <c r="I626" s="585"/>
      <c r="J626" s="585"/>
      <c r="K626" s="585"/>
      <c r="L626" s="585"/>
      <c r="M626" s="585"/>
      <c r="N626" s="585"/>
      <c r="O626" s="585"/>
      <c r="P626" s="585"/>
      <c r="Q626" s="585"/>
      <c r="R626" s="585"/>
      <c r="S626" s="585"/>
      <c r="T626" s="585"/>
      <c r="U626" s="585"/>
      <c r="V626" s="224"/>
      <c r="W626" s="224"/>
      <c r="X626" s="224"/>
      <c r="Y626" s="224"/>
      <c r="Z626" s="868"/>
      <c r="AA626" s="865"/>
      <c r="AB626" s="2"/>
      <c r="AC626" s="2"/>
      <c r="AD626" s="2"/>
      <c r="AE626" s="2"/>
      <c r="AF626" s="2"/>
      <c r="AG626" s="2"/>
      <c r="AH626" s="2"/>
      <c r="AI626" s="2"/>
      <c r="AJ626" s="2"/>
      <c r="AK626" s="2"/>
      <c r="AL626" s="2"/>
      <c r="AM626" s="2"/>
      <c r="AN626" s="2"/>
      <c r="AO626" s="9"/>
      <c r="AP626" s="9"/>
      <c r="AQ626" s="9"/>
      <c r="AR626" s="9"/>
    </row>
    <row r="627">
      <c r="A627" s="585"/>
      <c r="B627" s="585"/>
      <c r="C627" s="585"/>
      <c r="D627" s="585"/>
      <c r="E627" s="585"/>
      <c r="F627" s="585"/>
      <c r="G627" s="585"/>
      <c r="H627" s="585"/>
      <c r="I627" s="585"/>
      <c r="J627" s="585"/>
      <c r="K627" s="585"/>
      <c r="L627" s="585"/>
      <c r="M627" s="585"/>
      <c r="N627" s="585"/>
      <c r="O627" s="585"/>
      <c r="P627" s="585"/>
      <c r="Q627" s="585"/>
      <c r="R627" s="585"/>
      <c r="S627" s="585"/>
      <c r="T627" s="585"/>
      <c r="U627" s="585"/>
      <c r="V627" s="224"/>
      <c r="W627" s="224"/>
      <c r="X627" s="224"/>
      <c r="Y627" s="224"/>
      <c r="Z627" s="868"/>
      <c r="AA627" s="865"/>
      <c r="AB627" s="2"/>
      <c r="AC627" s="2"/>
      <c r="AD627" s="2"/>
      <c r="AE627" s="2"/>
      <c r="AF627" s="2"/>
      <c r="AG627" s="2"/>
      <c r="AH627" s="2"/>
      <c r="AI627" s="2"/>
      <c r="AJ627" s="2"/>
      <c r="AK627" s="2"/>
      <c r="AL627" s="2"/>
      <c r="AM627" s="2"/>
      <c r="AN627" s="2"/>
      <c r="AO627" s="9"/>
      <c r="AP627" s="9"/>
      <c r="AQ627" s="9"/>
      <c r="AR627" s="9"/>
    </row>
    <row r="628">
      <c r="A628" s="585"/>
      <c r="B628" s="585"/>
      <c r="C628" s="585"/>
      <c r="D628" s="585"/>
      <c r="E628" s="585"/>
      <c r="F628" s="585"/>
      <c r="G628" s="585"/>
      <c r="H628" s="585"/>
      <c r="I628" s="585"/>
      <c r="J628" s="585"/>
      <c r="K628" s="585"/>
      <c r="L628" s="585"/>
      <c r="M628" s="585"/>
      <c r="N628" s="585"/>
      <c r="O628" s="585"/>
      <c r="P628" s="585"/>
      <c r="Q628" s="585"/>
      <c r="R628" s="585"/>
      <c r="S628" s="585"/>
      <c r="T628" s="585"/>
      <c r="U628" s="585"/>
      <c r="V628" s="224"/>
      <c r="W628" s="224"/>
      <c r="X628" s="224"/>
      <c r="Y628" s="224"/>
      <c r="Z628" s="868"/>
      <c r="AA628" s="865"/>
      <c r="AB628" s="2"/>
      <c r="AC628" s="2"/>
      <c r="AD628" s="2"/>
      <c r="AE628" s="2"/>
      <c r="AF628" s="2"/>
      <c r="AG628" s="2"/>
      <c r="AH628" s="2"/>
      <c r="AI628" s="2"/>
      <c r="AJ628" s="2"/>
      <c r="AK628" s="2"/>
      <c r="AL628" s="2"/>
      <c r="AM628" s="2"/>
      <c r="AN628" s="2"/>
      <c r="AO628" s="9"/>
      <c r="AP628" s="9"/>
      <c r="AQ628" s="9"/>
      <c r="AR628" s="9"/>
    </row>
    <row r="629">
      <c r="A629" s="585"/>
      <c r="B629" s="585"/>
      <c r="C629" s="585"/>
      <c r="D629" s="585"/>
      <c r="E629" s="585"/>
      <c r="F629" s="585"/>
      <c r="G629" s="585"/>
      <c r="H629" s="585"/>
      <c r="I629" s="585"/>
      <c r="J629" s="585"/>
      <c r="K629" s="585"/>
      <c r="L629" s="585"/>
      <c r="M629" s="585"/>
      <c r="N629" s="585"/>
      <c r="O629" s="585"/>
      <c r="P629" s="585"/>
      <c r="Q629" s="585"/>
      <c r="R629" s="585"/>
      <c r="S629" s="585"/>
      <c r="T629" s="585"/>
      <c r="U629" s="585"/>
      <c r="V629" s="224"/>
      <c r="W629" s="224"/>
      <c r="X629" s="224"/>
      <c r="Y629" s="224"/>
      <c r="Z629" s="868"/>
      <c r="AA629" s="865"/>
      <c r="AB629" s="2"/>
      <c r="AC629" s="2"/>
      <c r="AD629" s="2"/>
      <c r="AE629" s="2"/>
      <c r="AF629" s="2"/>
      <c r="AG629" s="2"/>
      <c r="AH629" s="2"/>
      <c r="AI629" s="2"/>
      <c r="AJ629" s="2"/>
      <c r="AK629" s="2"/>
      <c r="AL629" s="2"/>
      <c r="AM629" s="2"/>
      <c r="AN629" s="2"/>
      <c r="AO629" s="9"/>
      <c r="AP629" s="9"/>
      <c r="AQ629" s="9"/>
      <c r="AR629" s="9"/>
    </row>
    <row r="630">
      <c r="A630" s="585"/>
      <c r="B630" s="585"/>
      <c r="C630" s="585"/>
      <c r="D630" s="585"/>
      <c r="E630" s="585"/>
      <c r="F630" s="585"/>
      <c r="G630" s="585"/>
      <c r="H630" s="585"/>
      <c r="I630" s="585"/>
      <c r="J630" s="585"/>
      <c r="K630" s="585"/>
      <c r="L630" s="585"/>
      <c r="M630" s="585"/>
      <c r="N630" s="585"/>
      <c r="O630" s="585"/>
      <c r="P630" s="585"/>
      <c r="Q630" s="585"/>
      <c r="R630" s="585"/>
      <c r="S630" s="585"/>
      <c r="T630" s="585"/>
      <c r="U630" s="585"/>
      <c r="V630" s="224"/>
      <c r="W630" s="224"/>
      <c r="X630" s="224"/>
      <c r="Y630" s="224"/>
      <c r="Z630" s="868"/>
      <c r="AA630" s="865"/>
      <c r="AB630" s="2"/>
      <c r="AC630" s="2"/>
      <c r="AD630" s="2"/>
      <c r="AE630" s="2"/>
      <c r="AF630" s="2"/>
      <c r="AG630" s="2"/>
      <c r="AH630" s="2"/>
      <c r="AI630" s="2"/>
      <c r="AJ630" s="2"/>
      <c r="AK630" s="2"/>
      <c r="AL630" s="2"/>
      <c r="AM630" s="2"/>
      <c r="AN630" s="2"/>
      <c r="AO630" s="9"/>
      <c r="AP630" s="9"/>
      <c r="AQ630" s="9"/>
      <c r="AR630" s="9"/>
    </row>
    <row r="631">
      <c r="A631" s="585"/>
      <c r="B631" s="585"/>
      <c r="C631" s="585"/>
      <c r="D631" s="585"/>
      <c r="E631" s="585"/>
      <c r="F631" s="585"/>
      <c r="G631" s="585"/>
      <c r="H631" s="585"/>
      <c r="I631" s="585"/>
      <c r="J631" s="585"/>
      <c r="K631" s="585"/>
      <c r="L631" s="585"/>
      <c r="M631" s="585"/>
      <c r="N631" s="585"/>
      <c r="O631" s="585"/>
      <c r="P631" s="585"/>
      <c r="Q631" s="585"/>
      <c r="R631" s="585"/>
      <c r="S631" s="585"/>
      <c r="T631" s="585"/>
      <c r="U631" s="585"/>
      <c r="V631" s="224"/>
      <c r="W631" s="224"/>
      <c r="X631" s="224"/>
      <c r="Y631" s="224"/>
      <c r="Z631" s="868"/>
      <c r="AA631" s="865"/>
      <c r="AB631" s="2"/>
      <c r="AC631" s="2"/>
      <c r="AD631" s="2"/>
      <c r="AE631" s="2"/>
      <c r="AF631" s="2"/>
      <c r="AG631" s="2"/>
      <c r="AH631" s="2"/>
      <c r="AI631" s="2"/>
      <c r="AJ631" s="2"/>
      <c r="AK631" s="2"/>
      <c r="AL631" s="2"/>
      <c r="AM631" s="2"/>
      <c r="AN631" s="2"/>
      <c r="AO631" s="9"/>
      <c r="AP631" s="9"/>
      <c r="AQ631" s="9"/>
      <c r="AR631" s="9"/>
    </row>
    <row r="632">
      <c r="A632" s="585"/>
      <c r="B632" s="585"/>
      <c r="C632" s="585"/>
      <c r="D632" s="585"/>
      <c r="E632" s="585"/>
      <c r="F632" s="585"/>
      <c r="G632" s="585"/>
      <c r="H632" s="585"/>
      <c r="I632" s="585"/>
      <c r="J632" s="585"/>
      <c r="K632" s="585"/>
      <c r="L632" s="585"/>
      <c r="M632" s="585"/>
      <c r="N632" s="585"/>
      <c r="O632" s="585"/>
      <c r="P632" s="585"/>
      <c r="Q632" s="585"/>
      <c r="R632" s="585"/>
      <c r="S632" s="585"/>
      <c r="T632" s="585"/>
      <c r="U632" s="585"/>
      <c r="V632" s="224"/>
      <c r="W632" s="224"/>
      <c r="X632" s="224"/>
      <c r="Y632" s="224"/>
      <c r="Z632" s="868"/>
      <c r="AA632" s="865"/>
      <c r="AB632" s="2"/>
      <c r="AC632" s="2"/>
      <c r="AD632" s="2"/>
      <c r="AE632" s="2"/>
      <c r="AF632" s="2"/>
      <c r="AG632" s="2"/>
      <c r="AH632" s="2"/>
      <c r="AI632" s="2"/>
      <c r="AJ632" s="2"/>
      <c r="AK632" s="2"/>
      <c r="AL632" s="2"/>
      <c r="AM632" s="2"/>
      <c r="AN632" s="2"/>
      <c r="AO632" s="9"/>
      <c r="AP632" s="9"/>
      <c r="AQ632" s="9"/>
      <c r="AR632" s="9"/>
    </row>
    <row r="633">
      <c r="A633" s="585"/>
      <c r="B633" s="585"/>
      <c r="C633" s="585"/>
      <c r="D633" s="585"/>
      <c r="E633" s="585"/>
      <c r="F633" s="585"/>
      <c r="G633" s="585"/>
      <c r="H633" s="585"/>
      <c r="I633" s="585"/>
      <c r="J633" s="585"/>
      <c r="K633" s="585"/>
      <c r="L633" s="585"/>
      <c r="M633" s="585"/>
      <c r="N633" s="585"/>
      <c r="O633" s="585"/>
      <c r="P633" s="585"/>
      <c r="Q633" s="585"/>
      <c r="R633" s="585"/>
      <c r="S633" s="585"/>
      <c r="T633" s="585"/>
      <c r="U633" s="585"/>
      <c r="V633" s="224"/>
      <c r="W633" s="224"/>
      <c r="X633" s="224"/>
      <c r="Y633" s="224"/>
      <c r="Z633" s="868"/>
      <c r="AA633" s="865"/>
      <c r="AB633" s="2"/>
      <c r="AC633" s="2"/>
      <c r="AD633" s="2"/>
      <c r="AE633" s="2"/>
      <c r="AF633" s="2"/>
      <c r="AG633" s="2"/>
      <c r="AH633" s="2"/>
      <c r="AI633" s="2"/>
      <c r="AJ633" s="2"/>
      <c r="AK633" s="2"/>
      <c r="AL633" s="2"/>
      <c r="AM633" s="2"/>
      <c r="AN633" s="2"/>
      <c r="AO633" s="9"/>
      <c r="AP633" s="9"/>
      <c r="AQ633" s="9"/>
      <c r="AR633" s="9"/>
    </row>
    <row r="634">
      <c r="A634" s="585"/>
      <c r="B634" s="585"/>
      <c r="C634" s="585"/>
      <c r="D634" s="585"/>
      <c r="E634" s="585"/>
      <c r="F634" s="585"/>
      <c r="G634" s="585"/>
      <c r="H634" s="585"/>
      <c r="I634" s="585"/>
      <c r="J634" s="585"/>
      <c r="K634" s="585"/>
      <c r="L634" s="585"/>
      <c r="M634" s="585"/>
      <c r="N634" s="585"/>
      <c r="O634" s="585"/>
      <c r="P634" s="585"/>
      <c r="Q634" s="585"/>
      <c r="R634" s="585"/>
      <c r="S634" s="585"/>
      <c r="T634" s="585"/>
      <c r="U634" s="585"/>
      <c r="V634" s="224"/>
      <c r="W634" s="224"/>
      <c r="X634" s="224"/>
      <c r="Y634" s="224"/>
      <c r="Z634" s="868"/>
      <c r="AA634" s="865"/>
      <c r="AB634" s="2"/>
      <c r="AC634" s="2"/>
      <c r="AD634" s="2"/>
      <c r="AE634" s="2"/>
      <c r="AF634" s="2"/>
      <c r="AG634" s="2"/>
      <c r="AH634" s="2"/>
      <c r="AI634" s="2"/>
      <c r="AJ634" s="2"/>
      <c r="AK634" s="2"/>
      <c r="AL634" s="2"/>
      <c r="AM634" s="2"/>
      <c r="AN634" s="2"/>
      <c r="AO634" s="9"/>
      <c r="AP634" s="9"/>
      <c r="AQ634" s="9"/>
      <c r="AR634" s="9"/>
    </row>
    <row r="635">
      <c r="A635" s="585"/>
      <c r="B635" s="585"/>
      <c r="C635" s="585"/>
      <c r="D635" s="585"/>
      <c r="E635" s="585"/>
      <c r="F635" s="585"/>
      <c r="G635" s="585"/>
      <c r="H635" s="585"/>
      <c r="I635" s="585"/>
      <c r="J635" s="585"/>
      <c r="K635" s="585"/>
      <c r="L635" s="585"/>
      <c r="M635" s="585"/>
      <c r="N635" s="585"/>
      <c r="O635" s="585"/>
      <c r="P635" s="585"/>
      <c r="Q635" s="585"/>
      <c r="R635" s="585"/>
      <c r="S635" s="585"/>
      <c r="T635" s="585"/>
      <c r="U635" s="585"/>
      <c r="V635" s="224"/>
      <c r="W635" s="224"/>
      <c r="X635" s="224"/>
      <c r="Y635" s="224"/>
      <c r="Z635" s="868"/>
      <c r="AA635" s="865"/>
      <c r="AB635" s="2"/>
      <c r="AC635" s="2"/>
      <c r="AD635" s="2"/>
      <c r="AE635" s="2"/>
      <c r="AF635" s="2"/>
      <c r="AG635" s="2"/>
      <c r="AH635" s="2"/>
      <c r="AI635" s="2"/>
      <c r="AJ635" s="2"/>
      <c r="AK635" s="2"/>
      <c r="AL635" s="2"/>
      <c r="AM635" s="2"/>
      <c r="AN635" s="2"/>
      <c r="AO635" s="9"/>
      <c r="AP635" s="9"/>
      <c r="AQ635" s="9"/>
      <c r="AR635" s="9"/>
    </row>
    <row r="636">
      <c r="A636" s="585"/>
      <c r="B636" s="585"/>
      <c r="C636" s="585"/>
      <c r="D636" s="585"/>
      <c r="E636" s="585"/>
      <c r="F636" s="585"/>
      <c r="G636" s="585"/>
      <c r="H636" s="585"/>
      <c r="I636" s="585"/>
      <c r="J636" s="585"/>
      <c r="K636" s="585"/>
      <c r="L636" s="585"/>
      <c r="M636" s="585"/>
      <c r="N636" s="585"/>
      <c r="O636" s="585"/>
      <c r="P636" s="585"/>
      <c r="Q636" s="585"/>
      <c r="R636" s="585"/>
      <c r="S636" s="585"/>
      <c r="T636" s="585"/>
      <c r="U636" s="585"/>
      <c r="V636" s="224"/>
      <c r="W636" s="224"/>
      <c r="X636" s="224"/>
      <c r="Y636" s="224"/>
      <c r="Z636" s="868"/>
      <c r="AA636" s="865"/>
      <c r="AB636" s="2"/>
      <c r="AC636" s="2"/>
      <c r="AD636" s="2"/>
      <c r="AE636" s="2"/>
      <c r="AF636" s="2"/>
      <c r="AG636" s="2"/>
      <c r="AH636" s="2"/>
      <c r="AI636" s="2"/>
      <c r="AJ636" s="2"/>
      <c r="AK636" s="2"/>
      <c r="AL636" s="2"/>
      <c r="AM636" s="2"/>
      <c r="AN636" s="2"/>
      <c r="AO636" s="9"/>
      <c r="AP636" s="9"/>
      <c r="AQ636" s="9"/>
      <c r="AR636" s="9"/>
    </row>
    <row r="637">
      <c r="A637" s="585"/>
      <c r="B637" s="585"/>
      <c r="C637" s="585"/>
      <c r="D637" s="585"/>
      <c r="E637" s="585"/>
      <c r="F637" s="585"/>
      <c r="G637" s="585"/>
      <c r="H637" s="585"/>
      <c r="I637" s="585"/>
      <c r="J637" s="585"/>
      <c r="K637" s="585"/>
      <c r="L637" s="585"/>
      <c r="M637" s="585"/>
      <c r="N637" s="585"/>
      <c r="O637" s="585"/>
      <c r="P637" s="585"/>
      <c r="Q637" s="585"/>
      <c r="R637" s="585"/>
      <c r="S637" s="585"/>
      <c r="T637" s="585"/>
      <c r="U637" s="585"/>
      <c r="V637" s="224"/>
      <c r="W637" s="224"/>
      <c r="X637" s="224"/>
      <c r="Y637" s="224"/>
      <c r="Z637" s="868"/>
      <c r="AA637" s="865"/>
      <c r="AB637" s="2"/>
      <c r="AC637" s="2"/>
      <c r="AD637" s="2"/>
      <c r="AE637" s="2"/>
      <c r="AF637" s="2"/>
      <c r="AG637" s="2"/>
      <c r="AH637" s="2"/>
      <c r="AI637" s="2"/>
      <c r="AJ637" s="2"/>
      <c r="AK637" s="2"/>
      <c r="AL637" s="2"/>
      <c r="AM637" s="2"/>
      <c r="AN637" s="2"/>
      <c r="AO637" s="9"/>
      <c r="AP637" s="9"/>
      <c r="AQ637" s="9"/>
      <c r="AR637" s="9"/>
    </row>
    <row r="638">
      <c r="A638" s="585"/>
      <c r="B638" s="585"/>
      <c r="C638" s="585"/>
      <c r="D638" s="585"/>
      <c r="E638" s="585"/>
      <c r="F638" s="585"/>
      <c r="G638" s="585"/>
      <c r="H638" s="585"/>
      <c r="I638" s="585"/>
      <c r="J638" s="585"/>
      <c r="K638" s="585"/>
      <c r="L638" s="585"/>
      <c r="M638" s="585"/>
      <c r="N638" s="585"/>
      <c r="O638" s="585"/>
      <c r="P638" s="585"/>
      <c r="Q638" s="585"/>
      <c r="R638" s="585"/>
      <c r="S638" s="585"/>
      <c r="T638" s="585"/>
      <c r="U638" s="585"/>
      <c r="V638" s="224"/>
      <c r="W638" s="224"/>
      <c r="X638" s="224"/>
      <c r="Y638" s="224"/>
      <c r="Z638" s="868"/>
      <c r="AA638" s="865"/>
      <c r="AB638" s="2"/>
      <c r="AC638" s="2"/>
      <c r="AD638" s="2"/>
      <c r="AE638" s="2"/>
      <c r="AF638" s="2"/>
      <c r="AG638" s="2"/>
      <c r="AH638" s="2"/>
      <c r="AI638" s="2"/>
      <c r="AJ638" s="2"/>
      <c r="AK638" s="2"/>
      <c r="AL638" s="2"/>
      <c r="AM638" s="2"/>
      <c r="AN638" s="2"/>
      <c r="AO638" s="9"/>
      <c r="AP638" s="9"/>
      <c r="AQ638" s="9"/>
      <c r="AR638" s="9"/>
    </row>
    <row r="639">
      <c r="A639" s="585"/>
      <c r="B639" s="585"/>
      <c r="C639" s="585"/>
      <c r="D639" s="585"/>
      <c r="E639" s="585"/>
      <c r="F639" s="585"/>
      <c r="G639" s="585"/>
      <c r="H639" s="585"/>
      <c r="I639" s="585"/>
      <c r="J639" s="585"/>
      <c r="K639" s="585"/>
      <c r="L639" s="585"/>
      <c r="M639" s="585"/>
      <c r="N639" s="585"/>
      <c r="O639" s="585"/>
      <c r="P639" s="585"/>
      <c r="Q639" s="585"/>
      <c r="R639" s="585"/>
      <c r="S639" s="585"/>
      <c r="T639" s="585"/>
      <c r="U639" s="585"/>
      <c r="V639" s="224"/>
      <c r="W639" s="224"/>
      <c r="X639" s="224"/>
      <c r="Y639" s="224"/>
      <c r="Z639" s="868"/>
      <c r="AA639" s="865"/>
      <c r="AB639" s="2"/>
      <c r="AC639" s="2"/>
      <c r="AD639" s="2"/>
      <c r="AE639" s="2"/>
      <c r="AF639" s="2"/>
      <c r="AG639" s="2"/>
      <c r="AH639" s="2"/>
      <c r="AI639" s="2"/>
      <c r="AJ639" s="2"/>
      <c r="AK639" s="2"/>
      <c r="AL639" s="2"/>
      <c r="AM639" s="2"/>
      <c r="AN639" s="2"/>
      <c r="AO639" s="9"/>
      <c r="AP639" s="9"/>
      <c r="AQ639" s="9"/>
      <c r="AR639" s="9"/>
    </row>
    <row r="640">
      <c r="A640" s="585"/>
      <c r="B640" s="585"/>
      <c r="C640" s="585"/>
      <c r="D640" s="585"/>
      <c r="E640" s="585"/>
      <c r="F640" s="585"/>
      <c r="G640" s="585"/>
      <c r="H640" s="585"/>
      <c r="I640" s="585"/>
      <c r="J640" s="585"/>
      <c r="K640" s="585"/>
      <c r="L640" s="585"/>
      <c r="M640" s="585"/>
      <c r="N640" s="585"/>
      <c r="O640" s="585"/>
      <c r="P640" s="585"/>
      <c r="Q640" s="585"/>
      <c r="R640" s="585"/>
      <c r="S640" s="585"/>
      <c r="T640" s="585"/>
      <c r="U640" s="585"/>
      <c r="V640" s="224"/>
      <c r="W640" s="224"/>
      <c r="X640" s="224"/>
      <c r="Y640" s="224"/>
      <c r="Z640" s="868"/>
      <c r="AA640" s="865"/>
      <c r="AB640" s="2"/>
      <c r="AC640" s="2"/>
      <c r="AD640" s="2"/>
      <c r="AE640" s="2"/>
      <c r="AF640" s="2"/>
      <c r="AG640" s="2"/>
      <c r="AH640" s="2"/>
      <c r="AI640" s="2"/>
      <c r="AJ640" s="2"/>
      <c r="AK640" s="2"/>
      <c r="AL640" s="2"/>
      <c r="AM640" s="2"/>
      <c r="AN640" s="2"/>
      <c r="AO640" s="9"/>
      <c r="AP640" s="9"/>
      <c r="AQ640" s="9"/>
      <c r="AR640" s="9"/>
    </row>
    <row r="641">
      <c r="A641" s="585"/>
      <c r="B641" s="585"/>
      <c r="C641" s="585"/>
      <c r="D641" s="585"/>
      <c r="E641" s="585"/>
      <c r="F641" s="585"/>
      <c r="G641" s="585"/>
      <c r="H641" s="585"/>
      <c r="I641" s="585"/>
      <c r="J641" s="585"/>
      <c r="K641" s="585"/>
      <c r="L641" s="585"/>
      <c r="M641" s="585"/>
      <c r="N641" s="585"/>
      <c r="O641" s="585"/>
      <c r="P641" s="585"/>
      <c r="Q641" s="585"/>
      <c r="R641" s="585"/>
      <c r="S641" s="585"/>
      <c r="T641" s="585"/>
      <c r="U641" s="585"/>
      <c r="V641" s="224"/>
      <c r="W641" s="224"/>
      <c r="X641" s="224"/>
      <c r="Y641" s="224"/>
      <c r="Z641" s="868"/>
      <c r="AA641" s="865"/>
      <c r="AB641" s="2"/>
      <c r="AC641" s="2"/>
      <c r="AD641" s="2"/>
      <c r="AE641" s="2"/>
      <c r="AF641" s="2"/>
      <c r="AG641" s="2"/>
      <c r="AH641" s="2"/>
      <c r="AI641" s="2"/>
      <c r="AJ641" s="2"/>
      <c r="AK641" s="2"/>
      <c r="AL641" s="2"/>
      <c r="AM641" s="2"/>
      <c r="AN641" s="2"/>
      <c r="AO641" s="9"/>
      <c r="AP641" s="9"/>
      <c r="AQ641" s="9"/>
      <c r="AR641" s="9"/>
    </row>
    <row r="642">
      <c r="A642" s="585"/>
      <c r="B642" s="585"/>
      <c r="C642" s="585"/>
      <c r="D642" s="585"/>
      <c r="E642" s="585"/>
      <c r="F642" s="585"/>
      <c r="G642" s="585"/>
      <c r="H642" s="585"/>
      <c r="I642" s="585"/>
      <c r="J642" s="585"/>
      <c r="K642" s="585"/>
      <c r="L642" s="585"/>
      <c r="M642" s="585"/>
      <c r="N642" s="585"/>
      <c r="O642" s="585"/>
      <c r="P642" s="585"/>
      <c r="Q642" s="585"/>
      <c r="R642" s="585"/>
      <c r="S642" s="585"/>
      <c r="T642" s="585"/>
      <c r="U642" s="585"/>
      <c r="V642" s="224"/>
      <c r="W642" s="224"/>
      <c r="X642" s="224"/>
      <c r="Y642" s="224"/>
      <c r="Z642" s="868"/>
      <c r="AA642" s="865"/>
      <c r="AB642" s="2"/>
      <c r="AC642" s="2"/>
      <c r="AD642" s="2"/>
      <c r="AE642" s="2"/>
      <c r="AF642" s="2"/>
      <c r="AG642" s="2"/>
      <c r="AH642" s="2"/>
      <c r="AI642" s="2"/>
      <c r="AJ642" s="2"/>
      <c r="AK642" s="2"/>
      <c r="AL642" s="2"/>
      <c r="AM642" s="2"/>
      <c r="AN642" s="2"/>
      <c r="AO642" s="9"/>
      <c r="AP642" s="9"/>
      <c r="AQ642" s="9"/>
      <c r="AR642" s="9"/>
    </row>
    <row r="643">
      <c r="A643" s="585"/>
      <c r="B643" s="585"/>
      <c r="C643" s="585"/>
      <c r="D643" s="585"/>
      <c r="E643" s="585"/>
      <c r="F643" s="585"/>
      <c r="G643" s="585"/>
      <c r="H643" s="585"/>
      <c r="I643" s="585"/>
      <c r="J643" s="585"/>
      <c r="K643" s="585"/>
      <c r="L643" s="585"/>
      <c r="M643" s="585"/>
      <c r="N643" s="585"/>
      <c r="O643" s="585"/>
      <c r="P643" s="585"/>
      <c r="Q643" s="585"/>
      <c r="R643" s="585"/>
      <c r="S643" s="585"/>
      <c r="T643" s="585"/>
      <c r="U643" s="585"/>
      <c r="V643" s="224"/>
      <c r="W643" s="224"/>
      <c r="X643" s="224"/>
      <c r="Y643" s="224"/>
      <c r="Z643" s="868"/>
      <c r="AA643" s="865"/>
      <c r="AB643" s="2"/>
      <c r="AC643" s="2"/>
      <c r="AD643" s="2"/>
      <c r="AE643" s="2"/>
      <c r="AF643" s="2"/>
      <c r="AG643" s="2"/>
      <c r="AH643" s="2"/>
      <c r="AI643" s="2"/>
      <c r="AJ643" s="2"/>
      <c r="AK643" s="2"/>
      <c r="AL643" s="2"/>
      <c r="AM643" s="2"/>
      <c r="AN643" s="2"/>
      <c r="AO643" s="9"/>
      <c r="AP643" s="9"/>
      <c r="AQ643" s="9"/>
      <c r="AR643" s="9"/>
    </row>
    <row r="644">
      <c r="A644" s="585"/>
      <c r="B644" s="585"/>
      <c r="C644" s="585"/>
      <c r="D644" s="585"/>
      <c r="E644" s="585"/>
      <c r="F644" s="585"/>
      <c r="G644" s="585"/>
      <c r="H644" s="585"/>
      <c r="I644" s="585"/>
      <c r="J644" s="585"/>
      <c r="K644" s="585"/>
      <c r="L644" s="585"/>
      <c r="M644" s="585"/>
      <c r="N644" s="585"/>
      <c r="O644" s="585"/>
      <c r="P644" s="585"/>
      <c r="Q644" s="585"/>
      <c r="R644" s="585"/>
      <c r="S644" s="585"/>
      <c r="T644" s="585"/>
      <c r="U644" s="585"/>
      <c r="V644" s="224"/>
      <c r="W644" s="224"/>
      <c r="X644" s="224"/>
      <c r="Y644" s="224"/>
      <c r="Z644" s="868"/>
      <c r="AA644" s="865"/>
      <c r="AB644" s="2"/>
      <c r="AC644" s="2"/>
      <c r="AD644" s="2"/>
      <c r="AE644" s="2"/>
      <c r="AF644" s="2"/>
      <c r="AG644" s="2"/>
      <c r="AH644" s="2"/>
      <c r="AI644" s="2"/>
      <c r="AJ644" s="2"/>
      <c r="AK644" s="2"/>
      <c r="AL644" s="2"/>
      <c r="AM644" s="2"/>
      <c r="AN644" s="2"/>
      <c r="AO644" s="9"/>
      <c r="AP644" s="9"/>
      <c r="AQ644" s="9"/>
      <c r="AR644" s="9"/>
    </row>
    <row r="645">
      <c r="A645" s="585"/>
      <c r="B645" s="585"/>
      <c r="C645" s="585"/>
      <c r="D645" s="585"/>
      <c r="E645" s="585"/>
      <c r="F645" s="585"/>
      <c r="G645" s="585"/>
      <c r="H645" s="585"/>
      <c r="I645" s="585"/>
      <c r="J645" s="585"/>
      <c r="K645" s="585"/>
      <c r="L645" s="585"/>
      <c r="M645" s="585"/>
      <c r="N645" s="585"/>
      <c r="O645" s="585"/>
      <c r="P645" s="585"/>
      <c r="Q645" s="585"/>
      <c r="R645" s="585"/>
      <c r="S645" s="585"/>
      <c r="T645" s="585"/>
      <c r="U645" s="585"/>
      <c r="V645" s="224"/>
      <c r="W645" s="224"/>
      <c r="X645" s="224"/>
      <c r="Y645" s="224"/>
      <c r="Z645" s="868"/>
      <c r="AA645" s="865"/>
      <c r="AB645" s="2"/>
      <c r="AC645" s="2"/>
      <c r="AD645" s="2"/>
      <c r="AE645" s="2"/>
      <c r="AF645" s="2"/>
      <c r="AG645" s="2"/>
      <c r="AH645" s="2"/>
      <c r="AI645" s="2"/>
      <c r="AJ645" s="2"/>
      <c r="AK645" s="2"/>
      <c r="AL645" s="2"/>
      <c r="AM645" s="2"/>
      <c r="AN645" s="2"/>
      <c r="AO645" s="9"/>
      <c r="AP645" s="9"/>
      <c r="AQ645" s="9"/>
      <c r="AR645" s="9"/>
    </row>
    <row r="646">
      <c r="A646" s="585"/>
      <c r="B646" s="585"/>
      <c r="C646" s="585"/>
      <c r="D646" s="585"/>
      <c r="E646" s="585"/>
      <c r="F646" s="585"/>
      <c r="G646" s="585"/>
      <c r="H646" s="585"/>
      <c r="I646" s="585"/>
      <c r="J646" s="585"/>
      <c r="K646" s="585"/>
      <c r="L646" s="585"/>
      <c r="M646" s="585"/>
      <c r="N646" s="585"/>
      <c r="O646" s="585"/>
      <c r="P646" s="585"/>
      <c r="Q646" s="585"/>
      <c r="R646" s="585"/>
      <c r="S646" s="585"/>
      <c r="T646" s="585"/>
      <c r="U646" s="585"/>
      <c r="V646" s="224"/>
      <c r="W646" s="224"/>
      <c r="X646" s="224"/>
      <c r="Y646" s="224"/>
      <c r="Z646" s="868"/>
      <c r="AA646" s="865"/>
      <c r="AB646" s="2"/>
      <c r="AC646" s="2"/>
      <c r="AD646" s="2"/>
      <c r="AE646" s="2"/>
      <c r="AF646" s="2"/>
      <c r="AG646" s="2"/>
      <c r="AH646" s="2"/>
      <c r="AI646" s="2"/>
      <c r="AJ646" s="2"/>
      <c r="AK646" s="2"/>
      <c r="AL646" s="2"/>
      <c r="AM646" s="2"/>
      <c r="AN646" s="2"/>
      <c r="AO646" s="9"/>
      <c r="AP646" s="9"/>
      <c r="AQ646" s="9"/>
      <c r="AR646" s="9"/>
    </row>
    <row r="647">
      <c r="A647" s="585"/>
      <c r="B647" s="585"/>
      <c r="C647" s="585"/>
      <c r="D647" s="585"/>
      <c r="E647" s="585"/>
      <c r="F647" s="585"/>
      <c r="G647" s="585"/>
      <c r="H647" s="585"/>
      <c r="I647" s="585"/>
      <c r="J647" s="585"/>
      <c r="K647" s="585"/>
      <c r="L647" s="585"/>
      <c r="M647" s="585"/>
      <c r="N647" s="585"/>
      <c r="O647" s="585"/>
      <c r="P647" s="585"/>
      <c r="Q647" s="585"/>
      <c r="R647" s="585"/>
      <c r="S647" s="585"/>
      <c r="T647" s="585"/>
      <c r="U647" s="585"/>
      <c r="V647" s="224"/>
      <c r="W647" s="224"/>
      <c r="X647" s="224"/>
      <c r="Y647" s="224"/>
      <c r="Z647" s="868"/>
      <c r="AA647" s="865"/>
      <c r="AB647" s="2"/>
      <c r="AC647" s="2"/>
      <c r="AD647" s="2"/>
      <c r="AE647" s="2"/>
      <c r="AF647" s="2"/>
      <c r="AG647" s="2"/>
      <c r="AH647" s="2"/>
      <c r="AI647" s="2"/>
      <c r="AJ647" s="2"/>
      <c r="AK647" s="2"/>
      <c r="AL647" s="2"/>
      <c r="AM647" s="2"/>
      <c r="AN647" s="2"/>
      <c r="AO647" s="9"/>
      <c r="AP647" s="9"/>
      <c r="AQ647" s="9"/>
      <c r="AR647" s="9"/>
    </row>
    <row r="648">
      <c r="A648" s="585"/>
      <c r="B648" s="585"/>
      <c r="C648" s="585"/>
      <c r="D648" s="585"/>
      <c r="E648" s="585"/>
      <c r="F648" s="585"/>
      <c r="G648" s="585"/>
      <c r="H648" s="585"/>
      <c r="I648" s="585"/>
      <c r="J648" s="585"/>
      <c r="K648" s="585"/>
      <c r="L648" s="585"/>
      <c r="M648" s="585"/>
      <c r="N648" s="585"/>
      <c r="O648" s="585"/>
      <c r="P648" s="585"/>
      <c r="Q648" s="585"/>
      <c r="R648" s="585"/>
      <c r="S648" s="585"/>
      <c r="T648" s="585"/>
      <c r="U648" s="585"/>
      <c r="V648" s="224"/>
      <c r="W648" s="224"/>
      <c r="X648" s="224"/>
      <c r="Y648" s="224"/>
      <c r="Z648" s="868"/>
      <c r="AA648" s="865"/>
      <c r="AB648" s="2"/>
      <c r="AC648" s="2"/>
      <c r="AD648" s="2"/>
      <c r="AE648" s="2"/>
      <c r="AF648" s="2"/>
      <c r="AG648" s="2"/>
      <c r="AH648" s="2"/>
      <c r="AI648" s="2"/>
      <c r="AJ648" s="2"/>
      <c r="AK648" s="2"/>
      <c r="AL648" s="2"/>
      <c r="AM648" s="2"/>
      <c r="AN648" s="2"/>
      <c r="AO648" s="9"/>
      <c r="AP648" s="9"/>
      <c r="AQ648" s="9"/>
      <c r="AR648" s="9"/>
    </row>
    <row r="649">
      <c r="A649" s="585"/>
      <c r="B649" s="585"/>
      <c r="C649" s="585"/>
      <c r="D649" s="585"/>
      <c r="E649" s="585"/>
      <c r="F649" s="585"/>
      <c r="G649" s="585"/>
      <c r="H649" s="585"/>
      <c r="I649" s="585"/>
      <c r="J649" s="585"/>
      <c r="K649" s="585"/>
      <c r="L649" s="585"/>
      <c r="M649" s="585"/>
      <c r="N649" s="585"/>
      <c r="O649" s="585"/>
      <c r="P649" s="585"/>
      <c r="Q649" s="585"/>
      <c r="R649" s="585"/>
      <c r="S649" s="585"/>
      <c r="T649" s="585"/>
      <c r="U649" s="585"/>
      <c r="V649" s="224"/>
      <c r="W649" s="224"/>
      <c r="X649" s="224"/>
      <c r="Y649" s="224"/>
      <c r="Z649" s="868"/>
      <c r="AA649" s="865"/>
      <c r="AB649" s="2"/>
      <c r="AC649" s="2"/>
      <c r="AD649" s="2"/>
      <c r="AE649" s="2"/>
      <c r="AF649" s="2"/>
      <c r="AG649" s="2"/>
      <c r="AH649" s="2"/>
      <c r="AI649" s="2"/>
      <c r="AJ649" s="2"/>
      <c r="AK649" s="2"/>
      <c r="AL649" s="2"/>
      <c r="AM649" s="2"/>
      <c r="AN649" s="2"/>
      <c r="AO649" s="9"/>
      <c r="AP649" s="9"/>
      <c r="AQ649" s="9"/>
      <c r="AR649" s="9"/>
    </row>
    <row r="650">
      <c r="A650" s="585"/>
      <c r="B650" s="585"/>
      <c r="C650" s="585"/>
      <c r="D650" s="585"/>
      <c r="E650" s="585"/>
      <c r="F650" s="585"/>
      <c r="G650" s="585"/>
      <c r="H650" s="585"/>
      <c r="I650" s="585"/>
      <c r="J650" s="585"/>
      <c r="K650" s="585"/>
      <c r="L650" s="585"/>
      <c r="M650" s="585"/>
      <c r="N650" s="585"/>
      <c r="O650" s="585"/>
      <c r="P650" s="585"/>
      <c r="Q650" s="585"/>
      <c r="R650" s="585"/>
      <c r="S650" s="585"/>
      <c r="T650" s="585"/>
      <c r="U650" s="585"/>
      <c r="V650" s="224"/>
      <c r="W650" s="224"/>
      <c r="X650" s="224"/>
      <c r="Y650" s="224"/>
      <c r="Z650" s="868"/>
      <c r="AA650" s="865"/>
      <c r="AB650" s="2"/>
      <c r="AC650" s="2"/>
      <c r="AD650" s="2"/>
      <c r="AE650" s="2"/>
      <c r="AF650" s="2"/>
      <c r="AG650" s="2"/>
      <c r="AH650" s="2"/>
      <c r="AI650" s="2"/>
      <c r="AJ650" s="2"/>
      <c r="AK650" s="2"/>
      <c r="AL650" s="2"/>
      <c r="AM650" s="2"/>
      <c r="AN650" s="2"/>
      <c r="AO650" s="9"/>
      <c r="AP650" s="9"/>
      <c r="AQ650" s="9"/>
      <c r="AR650" s="9"/>
    </row>
    <row r="651">
      <c r="A651" s="585"/>
      <c r="B651" s="585"/>
      <c r="C651" s="585"/>
      <c r="D651" s="585"/>
      <c r="E651" s="585"/>
      <c r="F651" s="585"/>
      <c r="G651" s="585"/>
      <c r="H651" s="585"/>
      <c r="I651" s="585"/>
      <c r="J651" s="585"/>
      <c r="K651" s="585"/>
      <c r="L651" s="585"/>
      <c r="M651" s="585"/>
      <c r="N651" s="585"/>
      <c r="O651" s="585"/>
      <c r="P651" s="585"/>
      <c r="Q651" s="585"/>
      <c r="R651" s="585"/>
      <c r="S651" s="585"/>
      <c r="T651" s="585"/>
      <c r="U651" s="585"/>
      <c r="V651" s="224"/>
      <c r="W651" s="224"/>
      <c r="X651" s="224"/>
      <c r="Y651" s="224"/>
      <c r="Z651" s="868"/>
      <c r="AA651" s="865"/>
      <c r="AB651" s="2"/>
      <c r="AC651" s="2"/>
      <c r="AD651" s="2"/>
      <c r="AE651" s="2"/>
      <c r="AF651" s="2"/>
      <c r="AG651" s="2"/>
      <c r="AH651" s="2"/>
      <c r="AI651" s="2"/>
      <c r="AJ651" s="2"/>
      <c r="AK651" s="2"/>
      <c r="AL651" s="2"/>
      <c r="AM651" s="2"/>
      <c r="AN651" s="2"/>
      <c r="AO651" s="9"/>
      <c r="AP651" s="9"/>
      <c r="AQ651" s="9"/>
      <c r="AR651" s="9"/>
    </row>
    <row r="652">
      <c r="A652" s="585"/>
      <c r="B652" s="585"/>
      <c r="C652" s="585"/>
      <c r="D652" s="585"/>
      <c r="E652" s="585"/>
      <c r="F652" s="585"/>
      <c r="G652" s="585"/>
      <c r="H652" s="585"/>
      <c r="I652" s="585"/>
      <c r="J652" s="585"/>
      <c r="K652" s="585"/>
      <c r="L652" s="585"/>
      <c r="M652" s="585"/>
      <c r="N652" s="585"/>
      <c r="O652" s="585"/>
      <c r="P652" s="585"/>
      <c r="Q652" s="585"/>
      <c r="R652" s="585"/>
      <c r="S652" s="585"/>
      <c r="T652" s="585"/>
      <c r="U652" s="585"/>
      <c r="V652" s="224"/>
      <c r="W652" s="224"/>
      <c r="X652" s="224"/>
      <c r="Y652" s="224"/>
      <c r="Z652" s="868"/>
      <c r="AA652" s="865"/>
      <c r="AB652" s="2"/>
      <c r="AC652" s="2"/>
      <c r="AD652" s="2"/>
      <c r="AE652" s="2"/>
      <c r="AF652" s="2"/>
      <c r="AG652" s="2"/>
      <c r="AH652" s="2"/>
      <c r="AI652" s="2"/>
      <c r="AJ652" s="2"/>
      <c r="AK652" s="2"/>
      <c r="AL652" s="2"/>
      <c r="AM652" s="2"/>
      <c r="AN652" s="2"/>
      <c r="AO652" s="9"/>
      <c r="AP652" s="9"/>
      <c r="AQ652" s="9"/>
      <c r="AR652" s="9"/>
    </row>
    <row r="653">
      <c r="A653" s="585"/>
      <c r="B653" s="585"/>
      <c r="C653" s="585"/>
      <c r="D653" s="585"/>
      <c r="E653" s="585"/>
      <c r="F653" s="585"/>
      <c r="G653" s="585"/>
      <c r="H653" s="585"/>
      <c r="I653" s="585"/>
      <c r="J653" s="585"/>
      <c r="K653" s="585"/>
      <c r="L653" s="585"/>
      <c r="M653" s="585"/>
      <c r="N653" s="585"/>
      <c r="O653" s="585"/>
      <c r="P653" s="585"/>
      <c r="Q653" s="585"/>
      <c r="R653" s="585"/>
      <c r="S653" s="585"/>
      <c r="T653" s="585"/>
      <c r="U653" s="585"/>
      <c r="V653" s="224"/>
      <c r="W653" s="224"/>
      <c r="X653" s="224"/>
      <c r="Y653" s="224"/>
      <c r="Z653" s="868"/>
      <c r="AA653" s="865"/>
      <c r="AB653" s="2"/>
      <c r="AC653" s="2"/>
      <c r="AD653" s="2"/>
      <c r="AE653" s="2"/>
      <c r="AF653" s="2"/>
      <c r="AG653" s="2"/>
      <c r="AH653" s="2"/>
      <c r="AI653" s="2"/>
      <c r="AJ653" s="2"/>
      <c r="AK653" s="2"/>
      <c r="AL653" s="2"/>
      <c r="AM653" s="2"/>
      <c r="AN653" s="2"/>
      <c r="AO653" s="9"/>
      <c r="AP653" s="9"/>
      <c r="AQ653" s="9"/>
      <c r="AR653" s="9"/>
    </row>
    <row r="654">
      <c r="A654" s="585"/>
      <c r="B654" s="585"/>
      <c r="C654" s="585"/>
      <c r="D654" s="585"/>
      <c r="E654" s="585"/>
      <c r="F654" s="585"/>
      <c r="G654" s="585"/>
      <c r="H654" s="585"/>
      <c r="I654" s="585"/>
      <c r="J654" s="585"/>
      <c r="K654" s="585"/>
      <c r="L654" s="585"/>
      <c r="M654" s="585"/>
      <c r="N654" s="585"/>
      <c r="O654" s="585"/>
      <c r="P654" s="585"/>
      <c r="Q654" s="585"/>
      <c r="R654" s="585"/>
      <c r="S654" s="585"/>
      <c r="T654" s="585"/>
      <c r="U654" s="585"/>
      <c r="V654" s="224"/>
      <c r="W654" s="224"/>
      <c r="X654" s="224"/>
      <c r="Y654" s="224"/>
      <c r="Z654" s="868"/>
      <c r="AA654" s="865"/>
      <c r="AB654" s="2"/>
      <c r="AC654" s="2"/>
      <c r="AD654" s="2"/>
      <c r="AE654" s="2"/>
      <c r="AF654" s="2"/>
      <c r="AG654" s="2"/>
      <c r="AH654" s="2"/>
      <c r="AI654" s="2"/>
      <c r="AJ654" s="2"/>
      <c r="AK654" s="2"/>
      <c r="AL654" s="2"/>
      <c r="AM654" s="2"/>
      <c r="AN654" s="2"/>
      <c r="AO654" s="9"/>
      <c r="AP654" s="9"/>
      <c r="AQ654" s="9"/>
      <c r="AR654" s="9"/>
    </row>
    <row r="655">
      <c r="A655" s="585"/>
      <c r="B655" s="585"/>
      <c r="C655" s="585"/>
      <c r="D655" s="585"/>
      <c r="E655" s="585"/>
      <c r="F655" s="585"/>
      <c r="G655" s="585"/>
      <c r="H655" s="585"/>
      <c r="I655" s="585"/>
      <c r="J655" s="585"/>
      <c r="K655" s="585"/>
      <c r="L655" s="585"/>
      <c r="M655" s="585"/>
      <c r="N655" s="585"/>
      <c r="O655" s="585"/>
      <c r="P655" s="585"/>
      <c r="Q655" s="585"/>
      <c r="R655" s="585"/>
      <c r="S655" s="585"/>
      <c r="T655" s="585"/>
      <c r="U655" s="585"/>
      <c r="V655" s="224"/>
      <c r="W655" s="224"/>
      <c r="X655" s="224"/>
      <c r="Y655" s="224"/>
      <c r="Z655" s="868"/>
      <c r="AA655" s="865"/>
      <c r="AB655" s="2"/>
      <c r="AC655" s="2"/>
      <c r="AD655" s="2"/>
      <c r="AE655" s="2"/>
      <c r="AF655" s="2"/>
      <c r="AG655" s="2"/>
      <c r="AH655" s="2"/>
      <c r="AI655" s="2"/>
      <c r="AJ655" s="2"/>
      <c r="AK655" s="2"/>
      <c r="AL655" s="2"/>
      <c r="AM655" s="2"/>
      <c r="AN655" s="2"/>
      <c r="AO655" s="9"/>
      <c r="AP655" s="9"/>
      <c r="AQ655" s="9"/>
      <c r="AR655" s="9"/>
    </row>
    <row r="656">
      <c r="A656" s="585"/>
      <c r="B656" s="585"/>
      <c r="C656" s="585"/>
      <c r="D656" s="585"/>
      <c r="E656" s="585"/>
      <c r="F656" s="585"/>
      <c r="G656" s="585"/>
      <c r="H656" s="585"/>
      <c r="I656" s="585"/>
      <c r="J656" s="585"/>
      <c r="K656" s="585"/>
      <c r="L656" s="585"/>
      <c r="M656" s="585"/>
      <c r="N656" s="585"/>
      <c r="O656" s="585"/>
      <c r="P656" s="585"/>
      <c r="Q656" s="585"/>
      <c r="R656" s="585"/>
      <c r="S656" s="585"/>
      <c r="T656" s="585"/>
      <c r="U656" s="585"/>
      <c r="V656" s="224"/>
      <c r="W656" s="224"/>
      <c r="X656" s="224"/>
      <c r="Y656" s="224"/>
      <c r="Z656" s="868"/>
      <c r="AA656" s="865"/>
      <c r="AB656" s="2"/>
      <c r="AC656" s="2"/>
      <c r="AD656" s="2"/>
      <c r="AE656" s="2"/>
      <c r="AF656" s="2"/>
      <c r="AG656" s="2"/>
      <c r="AH656" s="2"/>
      <c r="AI656" s="2"/>
      <c r="AJ656" s="2"/>
      <c r="AK656" s="2"/>
      <c r="AL656" s="2"/>
      <c r="AM656" s="2"/>
      <c r="AN656" s="2"/>
      <c r="AO656" s="9"/>
      <c r="AP656" s="9"/>
      <c r="AQ656" s="9"/>
      <c r="AR656" s="9"/>
    </row>
    <row r="657">
      <c r="A657" s="585"/>
      <c r="B657" s="585"/>
      <c r="C657" s="585"/>
      <c r="D657" s="585"/>
      <c r="E657" s="585"/>
      <c r="F657" s="585"/>
      <c r="G657" s="585"/>
      <c r="H657" s="585"/>
      <c r="I657" s="585"/>
      <c r="J657" s="585"/>
      <c r="K657" s="585"/>
      <c r="L657" s="585"/>
      <c r="M657" s="585"/>
      <c r="N657" s="585"/>
      <c r="O657" s="585"/>
      <c r="P657" s="585"/>
      <c r="Q657" s="585"/>
      <c r="R657" s="585"/>
      <c r="S657" s="585"/>
      <c r="T657" s="585"/>
      <c r="U657" s="585"/>
      <c r="V657" s="224"/>
      <c r="W657" s="224"/>
      <c r="X657" s="224"/>
      <c r="Y657" s="224"/>
      <c r="Z657" s="868"/>
      <c r="AA657" s="865"/>
      <c r="AB657" s="2"/>
      <c r="AC657" s="2"/>
      <c r="AD657" s="2"/>
      <c r="AE657" s="2"/>
      <c r="AF657" s="2"/>
      <c r="AG657" s="2"/>
      <c r="AH657" s="2"/>
      <c r="AI657" s="2"/>
      <c r="AJ657" s="2"/>
      <c r="AK657" s="2"/>
      <c r="AL657" s="2"/>
      <c r="AM657" s="2"/>
      <c r="AN657" s="2"/>
      <c r="AO657" s="9"/>
      <c r="AP657" s="9"/>
      <c r="AQ657" s="9"/>
      <c r="AR657" s="9"/>
    </row>
    <row r="658">
      <c r="A658" s="585"/>
      <c r="B658" s="585"/>
      <c r="C658" s="585"/>
      <c r="D658" s="585"/>
      <c r="E658" s="585"/>
      <c r="F658" s="585"/>
      <c r="G658" s="585"/>
      <c r="H658" s="585"/>
      <c r="I658" s="585"/>
      <c r="J658" s="585"/>
      <c r="K658" s="585"/>
      <c r="L658" s="585"/>
      <c r="M658" s="585"/>
      <c r="N658" s="585"/>
      <c r="O658" s="585"/>
      <c r="P658" s="585"/>
      <c r="Q658" s="585"/>
      <c r="R658" s="585"/>
      <c r="S658" s="585"/>
      <c r="T658" s="585"/>
      <c r="U658" s="585"/>
      <c r="V658" s="224"/>
      <c r="W658" s="224"/>
      <c r="X658" s="224"/>
      <c r="Y658" s="224"/>
      <c r="Z658" s="868"/>
      <c r="AA658" s="865"/>
      <c r="AB658" s="2"/>
      <c r="AC658" s="2"/>
      <c r="AD658" s="2"/>
      <c r="AE658" s="2"/>
      <c r="AF658" s="2"/>
      <c r="AG658" s="2"/>
      <c r="AH658" s="2"/>
      <c r="AI658" s="2"/>
      <c r="AJ658" s="2"/>
      <c r="AK658" s="2"/>
      <c r="AL658" s="2"/>
      <c r="AM658" s="2"/>
      <c r="AN658" s="2"/>
      <c r="AO658" s="9"/>
      <c r="AP658" s="9"/>
      <c r="AQ658" s="9"/>
      <c r="AR658" s="9"/>
    </row>
    <row r="659">
      <c r="A659" s="585"/>
      <c r="B659" s="585"/>
      <c r="C659" s="585"/>
      <c r="D659" s="585"/>
      <c r="E659" s="585"/>
      <c r="F659" s="585"/>
      <c r="G659" s="585"/>
      <c r="H659" s="585"/>
      <c r="I659" s="585"/>
      <c r="J659" s="585"/>
      <c r="K659" s="585"/>
      <c r="L659" s="585"/>
      <c r="M659" s="585"/>
      <c r="N659" s="585"/>
      <c r="O659" s="585"/>
      <c r="P659" s="585"/>
      <c r="Q659" s="585"/>
      <c r="R659" s="585"/>
      <c r="S659" s="585"/>
      <c r="T659" s="585"/>
      <c r="U659" s="585"/>
      <c r="V659" s="224"/>
      <c r="W659" s="224"/>
      <c r="X659" s="224"/>
      <c r="Y659" s="224"/>
      <c r="Z659" s="868"/>
      <c r="AA659" s="865"/>
      <c r="AB659" s="2"/>
      <c r="AC659" s="2"/>
      <c r="AD659" s="2"/>
      <c r="AE659" s="2"/>
      <c r="AF659" s="2"/>
      <c r="AG659" s="2"/>
      <c r="AH659" s="2"/>
      <c r="AI659" s="2"/>
      <c r="AJ659" s="2"/>
      <c r="AK659" s="2"/>
      <c r="AL659" s="2"/>
      <c r="AM659" s="2"/>
      <c r="AN659" s="2"/>
      <c r="AO659" s="9"/>
      <c r="AP659" s="9"/>
      <c r="AQ659" s="9"/>
      <c r="AR659" s="9"/>
    </row>
    <row r="660">
      <c r="A660" s="585"/>
      <c r="B660" s="585"/>
      <c r="C660" s="585"/>
      <c r="D660" s="585"/>
      <c r="E660" s="585"/>
      <c r="F660" s="585"/>
      <c r="G660" s="585"/>
      <c r="H660" s="585"/>
      <c r="I660" s="585"/>
      <c r="J660" s="585"/>
      <c r="K660" s="585"/>
      <c r="L660" s="585"/>
      <c r="M660" s="585"/>
      <c r="N660" s="585"/>
      <c r="O660" s="585"/>
      <c r="P660" s="585"/>
      <c r="Q660" s="585"/>
      <c r="R660" s="585"/>
      <c r="S660" s="585"/>
      <c r="T660" s="585"/>
      <c r="U660" s="585"/>
      <c r="V660" s="224"/>
      <c r="W660" s="224"/>
      <c r="X660" s="224"/>
      <c r="Y660" s="224"/>
      <c r="Z660" s="868"/>
      <c r="AA660" s="865"/>
      <c r="AB660" s="2"/>
      <c r="AC660" s="2"/>
      <c r="AD660" s="2"/>
      <c r="AE660" s="2"/>
      <c r="AF660" s="2"/>
      <c r="AG660" s="2"/>
      <c r="AH660" s="2"/>
      <c r="AI660" s="2"/>
      <c r="AJ660" s="2"/>
      <c r="AK660" s="2"/>
      <c r="AL660" s="2"/>
      <c r="AM660" s="2"/>
      <c r="AN660" s="2"/>
      <c r="AO660" s="9"/>
      <c r="AP660" s="9"/>
      <c r="AQ660" s="9"/>
      <c r="AR660" s="9"/>
    </row>
    <row r="661">
      <c r="A661" s="585"/>
      <c r="B661" s="585"/>
      <c r="C661" s="585"/>
      <c r="D661" s="585"/>
      <c r="E661" s="585"/>
      <c r="F661" s="585"/>
      <c r="G661" s="585"/>
      <c r="H661" s="585"/>
      <c r="I661" s="585"/>
      <c r="J661" s="585"/>
      <c r="K661" s="585"/>
      <c r="L661" s="585"/>
      <c r="M661" s="585"/>
      <c r="N661" s="585"/>
      <c r="O661" s="585"/>
      <c r="P661" s="585"/>
      <c r="Q661" s="585"/>
      <c r="R661" s="585"/>
      <c r="S661" s="585"/>
      <c r="T661" s="585"/>
      <c r="U661" s="585"/>
      <c r="V661" s="224"/>
      <c r="W661" s="224"/>
      <c r="X661" s="224"/>
      <c r="Y661" s="224"/>
      <c r="Z661" s="868"/>
      <c r="AA661" s="865"/>
      <c r="AB661" s="2"/>
      <c r="AC661" s="2"/>
      <c r="AD661" s="2"/>
      <c r="AE661" s="2"/>
      <c r="AF661" s="2"/>
      <c r="AG661" s="2"/>
      <c r="AH661" s="2"/>
      <c r="AI661" s="2"/>
      <c r="AJ661" s="2"/>
      <c r="AK661" s="2"/>
      <c r="AL661" s="2"/>
      <c r="AM661" s="2"/>
      <c r="AN661" s="2"/>
      <c r="AO661" s="9"/>
      <c r="AP661" s="9"/>
      <c r="AQ661" s="9"/>
      <c r="AR661" s="9"/>
    </row>
    <row r="662">
      <c r="A662" s="585"/>
      <c r="B662" s="585"/>
      <c r="C662" s="585"/>
      <c r="D662" s="585"/>
      <c r="E662" s="585"/>
      <c r="F662" s="585"/>
      <c r="G662" s="585"/>
      <c r="H662" s="585"/>
      <c r="I662" s="585"/>
      <c r="J662" s="585"/>
      <c r="K662" s="585"/>
      <c r="L662" s="585"/>
      <c r="M662" s="585"/>
      <c r="N662" s="585"/>
      <c r="O662" s="585"/>
      <c r="P662" s="585"/>
      <c r="Q662" s="585"/>
      <c r="R662" s="585"/>
      <c r="S662" s="585"/>
      <c r="T662" s="585"/>
      <c r="U662" s="585"/>
      <c r="V662" s="224"/>
      <c r="W662" s="224"/>
      <c r="X662" s="224"/>
      <c r="Y662" s="224"/>
      <c r="Z662" s="868"/>
      <c r="AA662" s="865"/>
      <c r="AB662" s="2"/>
      <c r="AC662" s="2"/>
      <c r="AD662" s="2"/>
      <c r="AE662" s="2"/>
      <c r="AF662" s="2"/>
      <c r="AG662" s="2"/>
      <c r="AH662" s="2"/>
      <c r="AI662" s="2"/>
      <c r="AJ662" s="2"/>
      <c r="AK662" s="2"/>
      <c r="AL662" s="2"/>
      <c r="AM662" s="2"/>
      <c r="AN662" s="2"/>
      <c r="AO662" s="9"/>
      <c r="AP662" s="9"/>
      <c r="AQ662" s="9"/>
      <c r="AR662" s="9"/>
    </row>
    <row r="663">
      <c r="A663" s="585"/>
      <c r="B663" s="585"/>
      <c r="C663" s="585"/>
      <c r="D663" s="585"/>
      <c r="E663" s="585"/>
      <c r="F663" s="585"/>
      <c r="G663" s="585"/>
      <c r="H663" s="585"/>
      <c r="I663" s="585"/>
      <c r="J663" s="585"/>
      <c r="K663" s="585"/>
      <c r="L663" s="585"/>
      <c r="M663" s="585"/>
      <c r="N663" s="585"/>
      <c r="O663" s="585"/>
      <c r="P663" s="585"/>
      <c r="Q663" s="585"/>
      <c r="R663" s="585"/>
      <c r="S663" s="585"/>
      <c r="T663" s="585"/>
      <c r="U663" s="585"/>
      <c r="V663" s="224"/>
      <c r="W663" s="224"/>
      <c r="X663" s="224"/>
      <c r="Y663" s="224"/>
      <c r="Z663" s="868"/>
      <c r="AA663" s="865"/>
      <c r="AB663" s="2"/>
      <c r="AC663" s="2"/>
      <c r="AD663" s="2"/>
      <c r="AE663" s="2"/>
      <c r="AF663" s="2"/>
      <c r="AG663" s="2"/>
      <c r="AH663" s="2"/>
      <c r="AI663" s="2"/>
      <c r="AJ663" s="2"/>
      <c r="AK663" s="2"/>
      <c r="AL663" s="2"/>
      <c r="AM663" s="2"/>
      <c r="AN663" s="2"/>
      <c r="AO663" s="9"/>
      <c r="AP663" s="9"/>
      <c r="AQ663" s="9"/>
      <c r="AR663" s="9"/>
    </row>
    <row r="664">
      <c r="A664" s="585"/>
      <c r="B664" s="585"/>
      <c r="C664" s="585"/>
      <c r="D664" s="585"/>
      <c r="E664" s="585"/>
      <c r="F664" s="585"/>
      <c r="G664" s="585"/>
      <c r="H664" s="585"/>
      <c r="I664" s="585"/>
      <c r="J664" s="585"/>
      <c r="K664" s="585"/>
      <c r="L664" s="585"/>
      <c r="M664" s="585"/>
      <c r="N664" s="585"/>
      <c r="O664" s="585"/>
      <c r="P664" s="585"/>
      <c r="Q664" s="585"/>
      <c r="R664" s="585"/>
      <c r="S664" s="585"/>
      <c r="T664" s="585"/>
      <c r="U664" s="585"/>
      <c r="V664" s="224"/>
      <c r="W664" s="224"/>
      <c r="X664" s="224"/>
      <c r="Y664" s="224"/>
      <c r="Z664" s="868"/>
      <c r="AA664" s="865"/>
      <c r="AB664" s="2"/>
      <c r="AC664" s="2"/>
      <c r="AD664" s="2"/>
      <c r="AE664" s="2"/>
      <c r="AF664" s="2"/>
      <c r="AG664" s="2"/>
      <c r="AH664" s="2"/>
      <c r="AI664" s="2"/>
      <c r="AJ664" s="2"/>
      <c r="AK664" s="2"/>
      <c r="AL664" s="2"/>
      <c r="AM664" s="2"/>
      <c r="AN664" s="2"/>
      <c r="AO664" s="9"/>
      <c r="AP664" s="9"/>
      <c r="AQ664" s="9"/>
      <c r="AR664" s="9"/>
    </row>
    <row r="665">
      <c r="A665" s="585"/>
      <c r="B665" s="585"/>
      <c r="C665" s="585"/>
      <c r="D665" s="585"/>
      <c r="E665" s="585"/>
      <c r="F665" s="585"/>
      <c r="G665" s="585"/>
      <c r="H665" s="585"/>
      <c r="I665" s="585"/>
      <c r="J665" s="585"/>
      <c r="K665" s="585"/>
      <c r="L665" s="585"/>
      <c r="M665" s="585"/>
      <c r="N665" s="585"/>
      <c r="O665" s="585"/>
      <c r="P665" s="585"/>
      <c r="Q665" s="585"/>
      <c r="R665" s="585"/>
      <c r="S665" s="585"/>
      <c r="T665" s="585"/>
      <c r="U665" s="585"/>
      <c r="V665" s="224"/>
      <c r="W665" s="224"/>
      <c r="X665" s="224"/>
      <c r="Y665" s="224"/>
      <c r="Z665" s="868"/>
      <c r="AA665" s="865"/>
      <c r="AB665" s="2"/>
      <c r="AC665" s="2"/>
      <c r="AD665" s="2"/>
      <c r="AE665" s="2"/>
      <c r="AF665" s="2"/>
      <c r="AG665" s="2"/>
      <c r="AH665" s="2"/>
      <c r="AI665" s="2"/>
      <c r="AJ665" s="2"/>
      <c r="AK665" s="2"/>
      <c r="AL665" s="2"/>
      <c r="AM665" s="2"/>
      <c r="AN665" s="2"/>
      <c r="AO665" s="9"/>
      <c r="AP665" s="9"/>
      <c r="AQ665" s="9"/>
      <c r="AR665" s="9"/>
    </row>
    <row r="666">
      <c r="A666" s="585"/>
      <c r="B666" s="585"/>
      <c r="C666" s="585"/>
      <c r="D666" s="585"/>
      <c r="E666" s="585"/>
      <c r="F666" s="585"/>
      <c r="G666" s="585"/>
      <c r="H666" s="585"/>
      <c r="I666" s="585"/>
      <c r="J666" s="585"/>
      <c r="K666" s="585"/>
      <c r="L666" s="585"/>
      <c r="M666" s="585"/>
      <c r="N666" s="585"/>
      <c r="O666" s="585"/>
      <c r="P666" s="585"/>
      <c r="Q666" s="585"/>
      <c r="R666" s="585"/>
      <c r="S666" s="585"/>
      <c r="T666" s="585"/>
      <c r="U666" s="585"/>
      <c r="V666" s="224"/>
      <c r="W666" s="224"/>
      <c r="X666" s="224"/>
      <c r="Y666" s="224"/>
      <c r="Z666" s="868"/>
      <c r="AA666" s="865"/>
      <c r="AB666" s="2"/>
      <c r="AC666" s="2"/>
      <c r="AD666" s="2"/>
      <c r="AE666" s="2"/>
      <c r="AF666" s="2"/>
      <c r="AG666" s="2"/>
      <c r="AH666" s="2"/>
      <c r="AI666" s="2"/>
      <c r="AJ666" s="2"/>
      <c r="AK666" s="2"/>
      <c r="AL666" s="2"/>
      <c r="AM666" s="2"/>
      <c r="AN666" s="2"/>
      <c r="AO666" s="9"/>
      <c r="AP666" s="9"/>
      <c r="AQ666" s="9"/>
      <c r="AR666" s="9"/>
    </row>
    <row r="667">
      <c r="A667" s="585"/>
      <c r="B667" s="585"/>
      <c r="C667" s="585"/>
      <c r="D667" s="585"/>
      <c r="E667" s="585"/>
      <c r="F667" s="585"/>
      <c r="G667" s="585"/>
      <c r="H667" s="585"/>
      <c r="I667" s="585"/>
      <c r="J667" s="585"/>
      <c r="K667" s="585"/>
      <c r="L667" s="585"/>
      <c r="M667" s="585"/>
      <c r="N667" s="585"/>
      <c r="O667" s="585"/>
      <c r="P667" s="585"/>
      <c r="Q667" s="585"/>
      <c r="R667" s="585"/>
      <c r="S667" s="585"/>
      <c r="T667" s="585"/>
      <c r="U667" s="585"/>
      <c r="V667" s="224"/>
      <c r="W667" s="224"/>
      <c r="X667" s="224"/>
      <c r="Y667" s="224"/>
      <c r="Z667" s="868"/>
      <c r="AA667" s="865"/>
      <c r="AB667" s="2"/>
      <c r="AC667" s="2"/>
      <c r="AD667" s="2"/>
      <c r="AE667" s="2"/>
      <c r="AF667" s="2"/>
      <c r="AG667" s="2"/>
      <c r="AH667" s="2"/>
      <c r="AI667" s="2"/>
      <c r="AJ667" s="2"/>
      <c r="AK667" s="2"/>
      <c r="AL667" s="2"/>
      <c r="AM667" s="2"/>
      <c r="AN667" s="2"/>
      <c r="AO667" s="9"/>
      <c r="AP667" s="9"/>
      <c r="AQ667" s="9"/>
      <c r="AR667" s="9"/>
    </row>
    <row r="668">
      <c r="A668" s="585"/>
      <c r="B668" s="585"/>
      <c r="C668" s="585"/>
      <c r="D668" s="585"/>
      <c r="E668" s="585"/>
      <c r="F668" s="585"/>
      <c r="G668" s="585"/>
      <c r="H668" s="585"/>
      <c r="I668" s="585"/>
      <c r="J668" s="585"/>
      <c r="K668" s="585"/>
      <c r="L668" s="585"/>
      <c r="M668" s="585"/>
      <c r="N668" s="585"/>
      <c r="O668" s="585"/>
      <c r="P668" s="585"/>
      <c r="Q668" s="585"/>
      <c r="R668" s="585"/>
      <c r="S668" s="585"/>
      <c r="T668" s="585"/>
      <c r="U668" s="585"/>
      <c r="V668" s="224"/>
      <c r="W668" s="224"/>
      <c r="X668" s="224"/>
      <c r="Y668" s="224"/>
      <c r="Z668" s="868"/>
      <c r="AA668" s="865"/>
      <c r="AB668" s="2"/>
      <c r="AC668" s="2"/>
      <c r="AD668" s="2"/>
      <c r="AE668" s="2"/>
      <c r="AF668" s="2"/>
      <c r="AG668" s="2"/>
      <c r="AH668" s="2"/>
      <c r="AI668" s="2"/>
      <c r="AJ668" s="2"/>
      <c r="AK668" s="2"/>
      <c r="AL668" s="2"/>
      <c r="AM668" s="2"/>
      <c r="AN668" s="2"/>
      <c r="AO668" s="9"/>
      <c r="AP668" s="9"/>
      <c r="AQ668" s="9"/>
      <c r="AR668" s="9"/>
    </row>
    <row r="669">
      <c r="A669" s="585"/>
      <c r="B669" s="585"/>
      <c r="C669" s="585"/>
      <c r="D669" s="585"/>
      <c r="E669" s="585"/>
      <c r="F669" s="585"/>
      <c r="G669" s="585"/>
      <c r="H669" s="585"/>
      <c r="I669" s="585"/>
      <c r="J669" s="585"/>
      <c r="K669" s="585"/>
      <c r="L669" s="585"/>
      <c r="M669" s="585"/>
      <c r="N669" s="585"/>
      <c r="O669" s="585"/>
      <c r="P669" s="585"/>
      <c r="Q669" s="585"/>
      <c r="R669" s="585"/>
      <c r="S669" s="585"/>
      <c r="T669" s="585"/>
      <c r="U669" s="585"/>
      <c r="V669" s="224"/>
      <c r="W669" s="224"/>
      <c r="X669" s="224"/>
      <c r="Y669" s="224"/>
      <c r="Z669" s="868"/>
      <c r="AA669" s="865"/>
      <c r="AB669" s="2"/>
      <c r="AC669" s="2"/>
      <c r="AD669" s="2"/>
      <c r="AE669" s="2"/>
      <c r="AF669" s="2"/>
      <c r="AG669" s="2"/>
      <c r="AH669" s="2"/>
      <c r="AI669" s="2"/>
      <c r="AJ669" s="2"/>
      <c r="AK669" s="2"/>
      <c r="AL669" s="2"/>
      <c r="AM669" s="2"/>
      <c r="AN669" s="2"/>
      <c r="AO669" s="9"/>
      <c r="AP669" s="9"/>
      <c r="AQ669" s="9"/>
      <c r="AR669" s="9"/>
    </row>
    <row r="670">
      <c r="A670" s="585"/>
      <c r="B670" s="585"/>
      <c r="C670" s="585"/>
      <c r="D670" s="585"/>
      <c r="E670" s="585"/>
      <c r="F670" s="585"/>
      <c r="G670" s="585"/>
      <c r="H670" s="585"/>
      <c r="I670" s="585"/>
      <c r="J670" s="585"/>
      <c r="K670" s="585"/>
      <c r="L670" s="585"/>
      <c r="M670" s="585"/>
      <c r="N670" s="585"/>
      <c r="O670" s="585"/>
      <c r="P670" s="585"/>
      <c r="Q670" s="585"/>
      <c r="R670" s="585"/>
      <c r="S670" s="585"/>
      <c r="T670" s="585"/>
      <c r="U670" s="585"/>
      <c r="V670" s="224"/>
      <c r="W670" s="224"/>
      <c r="X670" s="224"/>
      <c r="Y670" s="224"/>
      <c r="Z670" s="868"/>
      <c r="AA670" s="865"/>
      <c r="AB670" s="2"/>
      <c r="AC670" s="2"/>
      <c r="AD670" s="2"/>
      <c r="AE670" s="2"/>
      <c r="AF670" s="2"/>
      <c r="AG670" s="2"/>
      <c r="AH670" s="2"/>
      <c r="AI670" s="2"/>
      <c r="AJ670" s="2"/>
      <c r="AK670" s="2"/>
      <c r="AL670" s="2"/>
      <c r="AM670" s="2"/>
      <c r="AN670" s="2"/>
      <c r="AO670" s="9"/>
      <c r="AP670" s="9"/>
      <c r="AQ670" s="9"/>
      <c r="AR670" s="9"/>
    </row>
    <row r="671">
      <c r="A671" s="585"/>
      <c r="B671" s="585"/>
      <c r="C671" s="585"/>
      <c r="D671" s="585"/>
      <c r="E671" s="585"/>
      <c r="F671" s="585"/>
      <c r="G671" s="585"/>
      <c r="H671" s="585"/>
      <c r="I671" s="585"/>
      <c r="J671" s="585"/>
      <c r="K671" s="585"/>
      <c r="L671" s="585"/>
      <c r="M671" s="585"/>
      <c r="N671" s="585"/>
      <c r="O671" s="585"/>
      <c r="P671" s="585"/>
      <c r="Q671" s="585"/>
      <c r="R671" s="585"/>
      <c r="S671" s="585"/>
      <c r="T671" s="585"/>
      <c r="U671" s="585"/>
      <c r="V671" s="224"/>
      <c r="W671" s="224"/>
      <c r="X671" s="224"/>
      <c r="Y671" s="224"/>
      <c r="Z671" s="868"/>
      <c r="AA671" s="865"/>
      <c r="AB671" s="2"/>
      <c r="AC671" s="2"/>
      <c r="AD671" s="2"/>
      <c r="AE671" s="2"/>
      <c r="AF671" s="2"/>
      <c r="AG671" s="2"/>
      <c r="AH671" s="2"/>
      <c r="AI671" s="2"/>
      <c r="AJ671" s="2"/>
      <c r="AK671" s="2"/>
      <c r="AL671" s="2"/>
      <c r="AM671" s="2"/>
      <c r="AN671" s="2"/>
      <c r="AO671" s="9"/>
      <c r="AP671" s="9"/>
      <c r="AQ671" s="9"/>
      <c r="AR671" s="9"/>
    </row>
    <row r="672">
      <c r="A672" s="585"/>
      <c r="B672" s="585"/>
      <c r="C672" s="585"/>
      <c r="D672" s="585"/>
      <c r="E672" s="585"/>
      <c r="F672" s="585"/>
      <c r="G672" s="585"/>
      <c r="H672" s="585"/>
      <c r="I672" s="585"/>
      <c r="J672" s="585"/>
      <c r="K672" s="585"/>
      <c r="L672" s="585"/>
      <c r="M672" s="585"/>
      <c r="N672" s="585"/>
      <c r="O672" s="585"/>
      <c r="P672" s="585"/>
      <c r="Q672" s="585"/>
      <c r="R672" s="585"/>
      <c r="S672" s="585"/>
      <c r="T672" s="585"/>
      <c r="U672" s="585"/>
      <c r="V672" s="224"/>
      <c r="W672" s="224"/>
      <c r="X672" s="224"/>
      <c r="Y672" s="224"/>
      <c r="Z672" s="868"/>
      <c r="AA672" s="865"/>
      <c r="AB672" s="2"/>
      <c r="AC672" s="2"/>
      <c r="AD672" s="2"/>
      <c r="AE672" s="2"/>
      <c r="AF672" s="2"/>
      <c r="AG672" s="2"/>
      <c r="AH672" s="2"/>
      <c r="AI672" s="2"/>
      <c r="AJ672" s="2"/>
      <c r="AK672" s="2"/>
      <c r="AL672" s="2"/>
      <c r="AM672" s="2"/>
      <c r="AN672" s="2"/>
      <c r="AO672" s="9"/>
      <c r="AP672" s="9"/>
      <c r="AQ672" s="9"/>
      <c r="AR672" s="9"/>
    </row>
    <row r="673">
      <c r="A673" s="585"/>
      <c r="B673" s="585"/>
      <c r="C673" s="585"/>
      <c r="D673" s="585"/>
      <c r="E673" s="585"/>
      <c r="F673" s="585"/>
      <c r="G673" s="585"/>
      <c r="H673" s="585"/>
      <c r="I673" s="585"/>
      <c r="J673" s="585"/>
      <c r="K673" s="585"/>
      <c r="L673" s="585"/>
      <c r="M673" s="585"/>
      <c r="N673" s="585"/>
      <c r="O673" s="585"/>
      <c r="P673" s="585"/>
      <c r="Q673" s="585"/>
      <c r="R673" s="585"/>
      <c r="S673" s="585"/>
      <c r="T673" s="585"/>
      <c r="U673" s="585"/>
      <c r="V673" s="224"/>
      <c r="W673" s="224"/>
      <c r="X673" s="224"/>
      <c r="Y673" s="224"/>
      <c r="Z673" s="868"/>
      <c r="AA673" s="865"/>
      <c r="AB673" s="2"/>
      <c r="AC673" s="2"/>
      <c r="AD673" s="2"/>
      <c r="AE673" s="2"/>
      <c r="AF673" s="2"/>
      <c r="AG673" s="2"/>
      <c r="AH673" s="2"/>
      <c r="AI673" s="2"/>
      <c r="AJ673" s="2"/>
      <c r="AK673" s="2"/>
      <c r="AL673" s="2"/>
      <c r="AM673" s="2"/>
      <c r="AN673" s="2"/>
      <c r="AO673" s="9"/>
      <c r="AP673" s="9"/>
      <c r="AQ673" s="9"/>
      <c r="AR673" s="9"/>
    </row>
    <row r="674">
      <c r="A674" s="585"/>
      <c r="B674" s="585"/>
      <c r="C674" s="585"/>
      <c r="D674" s="585"/>
      <c r="E674" s="585"/>
      <c r="F674" s="585"/>
      <c r="G674" s="585"/>
      <c r="H674" s="585"/>
      <c r="I674" s="585"/>
      <c r="J674" s="585"/>
      <c r="K674" s="585"/>
      <c r="L674" s="585"/>
      <c r="M674" s="585"/>
      <c r="N674" s="585"/>
      <c r="O674" s="585"/>
      <c r="P674" s="585"/>
      <c r="Q674" s="585"/>
      <c r="R674" s="585"/>
      <c r="S674" s="585"/>
      <c r="T674" s="585"/>
      <c r="U674" s="585"/>
      <c r="V674" s="224"/>
      <c r="W674" s="224"/>
      <c r="X674" s="224"/>
      <c r="Y674" s="224"/>
      <c r="Z674" s="868"/>
      <c r="AA674" s="865"/>
      <c r="AB674" s="2"/>
      <c r="AC674" s="2"/>
      <c r="AD674" s="2"/>
      <c r="AE674" s="2"/>
      <c r="AF674" s="2"/>
      <c r="AG674" s="2"/>
      <c r="AH674" s="2"/>
      <c r="AI674" s="2"/>
      <c r="AJ674" s="2"/>
      <c r="AK674" s="2"/>
      <c r="AL674" s="2"/>
      <c r="AM674" s="2"/>
      <c r="AN674" s="2"/>
      <c r="AO674" s="9"/>
      <c r="AP674" s="9"/>
      <c r="AQ674" s="9"/>
      <c r="AR674" s="9"/>
    </row>
    <row r="675">
      <c r="A675" s="585"/>
      <c r="B675" s="585"/>
      <c r="C675" s="585"/>
      <c r="D675" s="585"/>
      <c r="E675" s="585"/>
      <c r="F675" s="585"/>
      <c r="G675" s="585"/>
      <c r="H675" s="585"/>
      <c r="I675" s="585"/>
      <c r="J675" s="585"/>
      <c r="K675" s="585"/>
      <c r="L675" s="585"/>
      <c r="M675" s="585"/>
      <c r="N675" s="585"/>
      <c r="O675" s="585"/>
      <c r="P675" s="585"/>
      <c r="Q675" s="585"/>
      <c r="R675" s="585"/>
      <c r="S675" s="585"/>
      <c r="T675" s="585"/>
      <c r="U675" s="585"/>
      <c r="V675" s="224"/>
      <c r="W675" s="224"/>
      <c r="X675" s="224"/>
      <c r="Y675" s="224"/>
      <c r="Z675" s="868"/>
      <c r="AA675" s="865"/>
      <c r="AB675" s="2"/>
      <c r="AC675" s="2"/>
      <c r="AD675" s="2"/>
      <c r="AE675" s="2"/>
      <c r="AF675" s="2"/>
      <c r="AG675" s="2"/>
      <c r="AH675" s="2"/>
      <c r="AI675" s="2"/>
      <c r="AJ675" s="2"/>
      <c r="AK675" s="2"/>
      <c r="AL675" s="2"/>
      <c r="AM675" s="2"/>
      <c r="AN675" s="2"/>
      <c r="AO675" s="9"/>
      <c r="AP675" s="9"/>
      <c r="AQ675" s="9"/>
      <c r="AR675" s="9"/>
    </row>
    <row r="676">
      <c r="A676" s="585"/>
      <c r="B676" s="585"/>
      <c r="C676" s="585"/>
      <c r="D676" s="585"/>
      <c r="E676" s="585"/>
      <c r="F676" s="585"/>
      <c r="G676" s="585"/>
      <c r="H676" s="585"/>
      <c r="I676" s="585"/>
      <c r="J676" s="585"/>
      <c r="K676" s="585"/>
      <c r="L676" s="585"/>
      <c r="M676" s="585"/>
      <c r="N676" s="585"/>
      <c r="O676" s="585"/>
      <c r="P676" s="585"/>
      <c r="Q676" s="585"/>
      <c r="R676" s="585"/>
      <c r="S676" s="585"/>
      <c r="T676" s="585"/>
      <c r="U676" s="585"/>
      <c r="V676" s="224"/>
      <c r="W676" s="224"/>
      <c r="X676" s="224"/>
      <c r="Y676" s="224"/>
      <c r="Z676" s="868"/>
      <c r="AA676" s="865"/>
      <c r="AB676" s="2"/>
      <c r="AC676" s="2"/>
      <c r="AD676" s="2"/>
      <c r="AE676" s="2"/>
      <c r="AF676" s="2"/>
      <c r="AG676" s="2"/>
      <c r="AH676" s="2"/>
      <c r="AI676" s="2"/>
      <c r="AJ676" s="2"/>
      <c r="AK676" s="2"/>
      <c r="AL676" s="2"/>
      <c r="AM676" s="2"/>
      <c r="AN676" s="2"/>
      <c r="AO676" s="9"/>
      <c r="AP676" s="9"/>
      <c r="AQ676" s="9"/>
      <c r="AR676" s="9"/>
    </row>
    <row r="677">
      <c r="A677" s="585"/>
      <c r="B677" s="585"/>
      <c r="C677" s="585"/>
      <c r="D677" s="585"/>
      <c r="E677" s="585"/>
      <c r="F677" s="585"/>
      <c r="G677" s="585"/>
      <c r="H677" s="585"/>
      <c r="I677" s="585"/>
      <c r="J677" s="585"/>
      <c r="K677" s="585"/>
      <c r="L677" s="585"/>
      <c r="M677" s="585"/>
      <c r="N677" s="585"/>
      <c r="O677" s="585"/>
      <c r="P677" s="585"/>
      <c r="Q677" s="585"/>
      <c r="R677" s="585"/>
      <c r="S677" s="585"/>
      <c r="T677" s="585"/>
      <c r="U677" s="585"/>
      <c r="V677" s="224"/>
      <c r="W677" s="224"/>
      <c r="X677" s="224"/>
      <c r="Y677" s="224"/>
      <c r="Z677" s="868"/>
      <c r="AA677" s="865"/>
      <c r="AB677" s="2"/>
      <c r="AC677" s="2"/>
      <c r="AD677" s="2"/>
      <c r="AE677" s="2"/>
      <c r="AF677" s="2"/>
      <c r="AG677" s="2"/>
      <c r="AH677" s="2"/>
      <c r="AI677" s="2"/>
      <c r="AJ677" s="2"/>
      <c r="AK677" s="2"/>
      <c r="AL677" s="2"/>
      <c r="AM677" s="2"/>
      <c r="AN677" s="2"/>
      <c r="AO677" s="9"/>
      <c r="AP677" s="9"/>
      <c r="AQ677" s="9"/>
      <c r="AR677" s="9"/>
    </row>
    <row r="678">
      <c r="A678" s="585"/>
      <c r="B678" s="585"/>
      <c r="C678" s="585"/>
      <c r="D678" s="585"/>
      <c r="E678" s="585"/>
      <c r="F678" s="585"/>
      <c r="G678" s="585"/>
      <c r="H678" s="585"/>
      <c r="I678" s="585"/>
      <c r="J678" s="585"/>
      <c r="K678" s="585"/>
      <c r="L678" s="585"/>
      <c r="M678" s="585"/>
      <c r="N678" s="585"/>
      <c r="O678" s="585"/>
      <c r="P678" s="585"/>
      <c r="Q678" s="585"/>
      <c r="R678" s="585"/>
      <c r="S678" s="585"/>
      <c r="T678" s="585"/>
      <c r="U678" s="585"/>
      <c r="V678" s="224"/>
      <c r="W678" s="224"/>
      <c r="X678" s="224"/>
      <c r="Y678" s="224"/>
      <c r="Z678" s="868"/>
      <c r="AA678" s="865"/>
      <c r="AB678" s="2"/>
      <c r="AC678" s="2"/>
      <c r="AD678" s="2"/>
      <c r="AE678" s="2"/>
      <c r="AF678" s="2"/>
      <c r="AG678" s="2"/>
      <c r="AH678" s="2"/>
      <c r="AI678" s="2"/>
      <c r="AJ678" s="2"/>
      <c r="AK678" s="2"/>
      <c r="AL678" s="2"/>
      <c r="AM678" s="2"/>
      <c r="AN678" s="2"/>
      <c r="AO678" s="9"/>
      <c r="AP678" s="9"/>
      <c r="AQ678" s="9"/>
      <c r="AR678" s="9"/>
    </row>
    <row r="679">
      <c r="A679" s="585"/>
      <c r="B679" s="585"/>
      <c r="C679" s="585"/>
      <c r="D679" s="585"/>
      <c r="E679" s="585"/>
      <c r="F679" s="585"/>
      <c r="G679" s="585"/>
      <c r="H679" s="585"/>
      <c r="I679" s="585"/>
      <c r="J679" s="585"/>
      <c r="K679" s="585"/>
      <c r="L679" s="585"/>
      <c r="M679" s="585"/>
      <c r="N679" s="585"/>
      <c r="O679" s="585"/>
      <c r="P679" s="585"/>
      <c r="Q679" s="585"/>
      <c r="R679" s="585"/>
      <c r="S679" s="585"/>
      <c r="T679" s="585"/>
      <c r="U679" s="585"/>
      <c r="V679" s="224"/>
      <c r="W679" s="224"/>
      <c r="X679" s="224"/>
      <c r="Y679" s="224"/>
      <c r="Z679" s="868"/>
      <c r="AA679" s="865"/>
      <c r="AB679" s="2"/>
      <c r="AC679" s="2"/>
      <c r="AD679" s="2"/>
      <c r="AE679" s="2"/>
      <c r="AF679" s="2"/>
      <c r="AG679" s="2"/>
      <c r="AH679" s="2"/>
      <c r="AI679" s="2"/>
      <c r="AJ679" s="2"/>
      <c r="AK679" s="2"/>
      <c r="AL679" s="2"/>
      <c r="AM679" s="2"/>
      <c r="AN679" s="2"/>
      <c r="AO679" s="9"/>
      <c r="AP679" s="9"/>
      <c r="AQ679" s="9"/>
      <c r="AR679" s="9"/>
    </row>
    <row r="680">
      <c r="A680" s="585"/>
      <c r="B680" s="585"/>
      <c r="C680" s="585"/>
      <c r="D680" s="585"/>
      <c r="E680" s="585"/>
      <c r="F680" s="585"/>
      <c r="G680" s="585"/>
      <c r="H680" s="585"/>
      <c r="I680" s="585"/>
      <c r="J680" s="585"/>
      <c r="K680" s="585"/>
      <c r="L680" s="585"/>
      <c r="M680" s="585"/>
      <c r="N680" s="585"/>
      <c r="O680" s="585"/>
      <c r="P680" s="585"/>
      <c r="Q680" s="585"/>
      <c r="R680" s="585"/>
      <c r="S680" s="585"/>
      <c r="T680" s="585"/>
      <c r="U680" s="585"/>
      <c r="V680" s="224"/>
      <c r="W680" s="224"/>
      <c r="X680" s="224"/>
      <c r="Y680" s="224"/>
      <c r="Z680" s="868"/>
      <c r="AA680" s="865"/>
      <c r="AB680" s="2"/>
      <c r="AC680" s="2"/>
      <c r="AD680" s="2"/>
      <c r="AE680" s="2"/>
      <c r="AF680" s="2"/>
      <c r="AG680" s="2"/>
      <c r="AH680" s="2"/>
      <c r="AI680" s="2"/>
      <c r="AJ680" s="2"/>
      <c r="AK680" s="2"/>
      <c r="AL680" s="2"/>
      <c r="AM680" s="2"/>
      <c r="AN680" s="2"/>
      <c r="AO680" s="9"/>
      <c r="AP680" s="9"/>
      <c r="AQ680" s="9"/>
      <c r="AR680" s="9"/>
    </row>
    <row r="681">
      <c r="A681" s="585"/>
      <c r="B681" s="585"/>
      <c r="C681" s="585"/>
      <c r="D681" s="585"/>
      <c r="E681" s="585"/>
      <c r="F681" s="585"/>
      <c r="G681" s="585"/>
      <c r="H681" s="585"/>
      <c r="I681" s="585"/>
      <c r="J681" s="585"/>
      <c r="K681" s="585"/>
      <c r="L681" s="585"/>
      <c r="M681" s="585"/>
      <c r="N681" s="585"/>
      <c r="O681" s="585"/>
      <c r="P681" s="585"/>
      <c r="Q681" s="585"/>
      <c r="R681" s="585"/>
      <c r="S681" s="585"/>
      <c r="T681" s="585"/>
      <c r="U681" s="585"/>
      <c r="V681" s="224"/>
      <c r="W681" s="224"/>
      <c r="X681" s="224"/>
      <c r="Y681" s="224"/>
      <c r="Z681" s="868"/>
      <c r="AA681" s="865"/>
      <c r="AB681" s="2"/>
      <c r="AC681" s="2"/>
      <c r="AD681" s="2"/>
      <c r="AE681" s="2"/>
      <c r="AF681" s="2"/>
      <c r="AG681" s="2"/>
      <c r="AH681" s="2"/>
      <c r="AI681" s="2"/>
      <c r="AJ681" s="2"/>
      <c r="AK681" s="2"/>
      <c r="AL681" s="2"/>
      <c r="AM681" s="2"/>
      <c r="AN681" s="2"/>
      <c r="AO681" s="9"/>
      <c r="AP681" s="9"/>
      <c r="AQ681" s="9"/>
      <c r="AR681" s="9"/>
    </row>
    <row r="682">
      <c r="A682" s="585"/>
      <c r="B682" s="585"/>
      <c r="C682" s="585"/>
      <c r="D682" s="585"/>
      <c r="E682" s="585"/>
      <c r="F682" s="585"/>
      <c r="G682" s="585"/>
      <c r="H682" s="585"/>
      <c r="I682" s="585"/>
      <c r="J682" s="585"/>
      <c r="K682" s="585"/>
      <c r="L682" s="585"/>
      <c r="M682" s="585"/>
      <c r="N682" s="585"/>
      <c r="O682" s="585"/>
      <c r="P682" s="585"/>
      <c r="Q682" s="585"/>
      <c r="R682" s="585"/>
      <c r="S682" s="585"/>
      <c r="T682" s="585"/>
      <c r="U682" s="585"/>
      <c r="V682" s="224"/>
      <c r="W682" s="224"/>
      <c r="X682" s="224"/>
      <c r="Y682" s="224"/>
      <c r="Z682" s="868"/>
      <c r="AA682" s="865"/>
      <c r="AB682" s="2"/>
      <c r="AC682" s="2"/>
      <c r="AD682" s="2"/>
      <c r="AE682" s="2"/>
      <c r="AF682" s="2"/>
      <c r="AG682" s="2"/>
      <c r="AH682" s="2"/>
      <c r="AI682" s="2"/>
      <c r="AJ682" s="2"/>
      <c r="AK682" s="2"/>
      <c r="AL682" s="2"/>
      <c r="AM682" s="2"/>
      <c r="AN682" s="2"/>
      <c r="AO682" s="9"/>
      <c r="AP682" s="9"/>
      <c r="AQ682" s="9"/>
      <c r="AR682" s="9"/>
    </row>
    <row r="683">
      <c r="A683" s="585"/>
      <c r="B683" s="585"/>
      <c r="C683" s="585"/>
      <c r="D683" s="585"/>
      <c r="E683" s="585"/>
      <c r="F683" s="585"/>
      <c r="G683" s="585"/>
      <c r="H683" s="585"/>
      <c r="I683" s="585"/>
      <c r="J683" s="585"/>
      <c r="K683" s="585"/>
      <c r="L683" s="585"/>
      <c r="M683" s="585"/>
      <c r="N683" s="585"/>
      <c r="O683" s="585"/>
      <c r="P683" s="585"/>
      <c r="Q683" s="585"/>
      <c r="R683" s="585"/>
      <c r="S683" s="585"/>
      <c r="T683" s="585"/>
      <c r="U683" s="585"/>
      <c r="V683" s="224"/>
      <c r="W683" s="224"/>
      <c r="X683" s="224"/>
      <c r="Y683" s="224"/>
      <c r="Z683" s="868"/>
      <c r="AA683" s="865"/>
      <c r="AB683" s="2"/>
      <c r="AC683" s="2"/>
      <c r="AD683" s="2"/>
      <c r="AE683" s="2"/>
      <c r="AF683" s="2"/>
      <c r="AG683" s="2"/>
      <c r="AH683" s="2"/>
      <c r="AI683" s="2"/>
      <c r="AJ683" s="2"/>
      <c r="AK683" s="2"/>
      <c r="AL683" s="2"/>
      <c r="AM683" s="2"/>
      <c r="AN683" s="2"/>
      <c r="AO683" s="9"/>
      <c r="AP683" s="9"/>
      <c r="AQ683" s="9"/>
      <c r="AR683" s="9"/>
    </row>
    <row r="684">
      <c r="A684" s="585"/>
      <c r="B684" s="585"/>
      <c r="C684" s="585"/>
      <c r="D684" s="585"/>
      <c r="E684" s="585"/>
      <c r="F684" s="585"/>
      <c r="G684" s="585"/>
      <c r="H684" s="585"/>
      <c r="I684" s="585"/>
      <c r="J684" s="585"/>
      <c r="K684" s="585"/>
      <c r="L684" s="585"/>
      <c r="M684" s="585"/>
      <c r="N684" s="585"/>
      <c r="O684" s="585"/>
      <c r="P684" s="585"/>
      <c r="Q684" s="585"/>
      <c r="R684" s="585"/>
      <c r="S684" s="585"/>
      <c r="T684" s="585"/>
      <c r="U684" s="585"/>
      <c r="V684" s="224"/>
      <c r="W684" s="224"/>
      <c r="X684" s="224"/>
      <c r="Y684" s="224"/>
      <c r="Z684" s="868"/>
      <c r="AA684" s="865"/>
      <c r="AB684" s="2"/>
      <c r="AC684" s="2"/>
      <c r="AD684" s="2"/>
      <c r="AE684" s="2"/>
      <c r="AF684" s="2"/>
      <c r="AG684" s="2"/>
      <c r="AH684" s="2"/>
      <c r="AI684" s="2"/>
      <c r="AJ684" s="2"/>
      <c r="AK684" s="2"/>
      <c r="AL684" s="2"/>
      <c r="AM684" s="2"/>
      <c r="AN684" s="2"/>
      <c r="AO684" s="9"/>
      <c r="AP684" s="9"/>
      <c r="AQ684" s="9"/>
      <c r="AR684" s="9"/>
    </row>
    <row r="685">
      <c r="A685" s="585"/>
      <c r="B685" s="585"/>
      <c r="C685" s="585"/>
      <c r="D685" s="585"/>
      <c r="E685" s="585"/>
      <c r="F685" s="585"/>
      <c r="G685" s="585"/>
      <c r="H685" s="585"/>
      <c r="I685" s="585"/>
      <c r="J685" s="585"/>
      <c r="K685" s="585"/>
      <c r="L685" s="585"/>
      <c r="M685" s="585"/>
      <c r="N685" s="585"/>
      <c r="O685" s="585"/>
      <c r="P685" s="585"/>
      <c r="Q685" s="585"/>
      <c r="R685" s="585"/>
      <c r="S685" s="585"/>
      <c r="T685" s="585"/>
      <c r="U685" s="585"/>
      <c r="V685" s="224"/>
      <c r="W685" s="224"/>
      <c r="X685" s="224"/>
      <c r="Y685" s="224"/>
      <c r="Z685" s="868"/>
      <c r="AA685" s="865"/>
      <c r="AB685" s="2"/>
      <c r="AC685" s="2"/>
      <c r="AD685" s="2"/>
      <c r="AE685" s="2"/>
      <c r="AF685" s="2"/>
      <c r="AG685" s="2"/>
      <c r="AH685" s="2"/>
      <c r="AI685" s="2"/>
      <c r="AJ685" s="2"/>
      <c r="AK685" s="2"/>
      <c r="AL685" s="2"/>
      <c r="AM685" s="2"/>
      <c r="AN685" s="2"/>
      <c r="AO685" s="9"/>
      <c r="AP685" s="9"/>
      <c r="AQ685" s="9"/>
      <c r="AR685" s="9"/>
    </row>
    <row r="686">
      <c r="A686" s="585"/>
      <c r="B686" s="585"/>
      <c r="C686" s="585"/>
      <c r="D686" s="585"/>
      <c r="E686" s="585"/>
      <c r="F686" s="585"/>
      <c r="G686" s="585"/>
      <c r="H686" s="585"/>
      <c r="I686" s="585"/>
      <c r="J686" s="585"/>
      <c r="K686" s="585"/>
      <c r="L686" s="585"/>
      <c r="M686" s="585"/>
      <c r="N686" s="585"/>
      <c r="O686" s="585"/>
      <c r="P686" s="585"/>
      <c r="Q686" s="585"/>
      <c r="R686" s="585"/>
      <c r="S686" s="585"/>
      <c r="T686" s="585"/>
      <c r="U686" s="585"/>
      <c r="V686" s="224"/>
      <c r="W686" s="224"/>
      <c r="X686" s="224"/>
      <c r="Y686" s="224"/>
      <c r="Z686" s="868"/>
      <c r="AA686" s="865"/>
      <c r="AB686" s="2"/>
      <c r="AC686" s="2"/>
      <c r="AD686" s="2"/>
      <c r="AE686" s="2"/>
      <c r="AF686" s="2"/>
      <c r="AG686" s="2"/>
      <c r="AH686" s="2"/>
      <c r="AI686" s="2"/>
      <c r="AJ686" s="2"/>
      <c r="AK686" s="2"/>
      <c r="AL686" s="2"/>
      <c r="AM686" s="2"/>
      <c r="AN686" s="2"/>
      <c r="AO686" s="9"/>
      <c r="AP686" s="9"/>
      <c r="AQ686" s="9"/>
      <c r="AR686" s="9"/>
    </row>
    <row r="687">
      <c r="A687" s="585"/>
      <c r="B687" s="585"/>
      <c r="C687" s="585"/>
      <c r="D687" s="585"/>
      <c r="E687" s="585"/>
      <c r="F687" s="585"/>
      <c r="G687" s="585"/>
      <c r="H687" s="585"/>
      <c r="I687" s="585"/>
      <c r="J687" s="585"/>
      <c r="K687" s="585"/>
      <c r="L687" s="585"/>
      <c r="M687" s="585"/>
      <c r="N687" s="585"/>
      <c r="O687" s="585"/>
      <c r="P687" s="585"/>
      <c r="Q687" s="585"/>
      <c r="R687" s="585"/>
      <c r="S687" s="585"/>
      <c r="T687" s="585"/>
      <c r="U687" s="585"/>
      <c r="V687" s="224"/>
      <c r="W687" s="224"/>
      <c r="X687" s="224"/>
      <c r="Y687" s="224"/>
      <c r="Z687" s="868"/>
      <c r="AA687" s="865"/>
      <c r="AB687" s="2"/>
      <c r="AC687" s="2"/>
      <c r="AD687" s="2"/>
      <c r="AE687" s="2"/>
      <c r="AF687" s="2"/>
      <c r="AG687" s="2"/>
      <c r="AH687" s="2"/>
      <c r="AI687" s="2"/>
      <c r="AJ687" s="2"/>
      <c r="AK687" s="2"/>
      <c r="AL687" s="2"/>
      <c r="AM687" s="2"/>
      <c r="AN687" s="2"/>
      <c r="AO687" s="9"/>
      <c r="AP687" s="9"/>
      <c r="AQ687" s="9"/>
      <c r="AR687" s="9"/>
    </row>
    <row r="688">
      <c r="A688" s="585"/>
      <c r="B688" s="585"/>
      <c r="C688" s="585"/>
      <c r="D688" s="585"/>
      <c r="E688" s="585"/>
      <c r="F688" s="585"/>
      <c r="G688" s="585"/>
      <c r="H688" s="585"/>
      <c r="I688" s="585"/>
      <c r="J688" s="585"/>
      <c r="K688" s="585"/>
      <c r="L688" s="585"/>
      <c r="M688" s="585"/>
      <c r="N688" s="585"/>
      <c r="O688" s="585"/>
      <c r="P688" s="585"/>
      <c r="Q688" s="585"/>
      <c r="R688" s="585"/>
      <c r="S688" s="585"/>
      <c r="T688" s="585"/>
      <c r="U688" s="585"/>
      <c r="V688" s="224"/>
      <c r="W688" s="224"/>
      <c r="X688" s="224"/>
      <c r="Y688" s="224"/>
      <c r="Z688" s="868"/>
      <c r="AA688" s="865"/>
      <c r="AB688" s="2"/>
      <c r="AC688" s="2"/>
      <c r="AD688" s="2"/>
      <c r="AE688" s="2"/>
      <c r="AF688" s="2"/>
      <c r="AG688" s="2"/>
      <c r="AH688" s="2"/>
      <c r="AI688" s="2"/>
      <c r="AJ688" s="2"/>
      <c r="AK688" s="2"/>
      <c r="AL688" s="2"/>
      <c r="AM688" s="2"/>
      <c r="AN688" s="2"/>
      <c r="AO688" s="9"/>
      <c r="AP688" s="9"/>
      <c r="AQ688" s="9"/>
      <c r="AR688" s="9"/>
    </row>
    <row r="689">
      <c r="A689" s="585"/>
      <c r="B689" s="585"/>
      <c r="C689" s="585"/>
      <c r="D689" s="585"/>
      <c r="E689" s="585"/>
      <c r="F689" s="585"/>
      <c r="G689" s="585"/>
      <c r="H689" s="585"/>
      <c r="I689" s="585"/>
      <c r="J689" s="585"/>
      <c r="K689" s="585"/>
      <c r="L689" s="585"/>
      <c r="M689" s="585"/>
      <c r="N689" s="585"/>
      <c r="O689" s="585"/>
      <c r="P689" s="585"/>
      <c r="Q689" s="585"/>
      <c r="R689" s="585"/>
      <c r="S689" s="585"/>
      <c r="T689" s="585"/>
      <c r="U689" s="585"/>
      <c r="V689" s="224"/>
      <c r="W689" s="224"/>
      <c r="X689" s="224"/>
      <c r="Y689" s="224"/>
      <c r="Z689" s="868"/>
      <c r="AA689" s="865"/>
      <c r="AB689" s="2"/>
      <c r="AC689" s="2"/>
      <c r="AD689" s="2"/>
      <c r="AE689" s="2"/>
      <c r="AF689" s="2"/>
      <c r="AG689" s="2"/>
      <c r="AH689" s="2"/>
      <c r="AI689" s="2"/>
      <c r="AJ689" s="2"/>
      <c r="AK689" s="2"/>
      <c r="AL689" s="2"/>
      <c r="AM689" s="2"/>
      <c r="AN689" s="2"/>
      <c r="AO689" s="9"/>
      <c r="AP689" s="9"/>
      <c r="AQ689" s="9"/>
      <c r="AR689" s="9"/>
    </row>
    <row r="690">
      <c r="A690" s="585"/>
      <c r="B690" s="585"/>
      <c r="C690" s="585"/>
      <c r="D690" s="585"/>
      <c r="E690" s="585"/>
      <c r="F690" s="585"/>
      <c r="G690" s="585"/>
      <c r="H690" s="585"/>
      <c r="I690" s="585"/>
      <c r="J690" s="585"/>
      <c r="K690" s="585"/>
      <c r="L690" s="585"/>
      <c r="M690" s="585"/>
      <c r="N690" s="585"/>
      <c r="O690" s="585"/>
      <c r="P690" s="585"/>
      <c r="Q690" s="585"/>
      <c r="R690" s="585"/>
      <c r="S690" s="585"/>
      <c r="T690" s="585"/>
      <c r="U690" s="585"/>
      <c r="V690" s="224"/>
      <c r="W690" s="224"/>
      <c r="X690" s="224"/>
      <c r="Y690" s="224"/>
      <c r="Z690" s="868"/>
      <c r="AA690" s="865"/>
      <c r="AB690" s="2"/>
      <c r="AC690" s="2"/>
      <c r="AD690" s="2"/>
      <c r="AE690" s="2"/>
      <c r="AF690" s="2"/>
      <c r="AG690" s="2"/>
      <c r="AH690" s="2"/>
      <c r="AI690" s="2"/>
      <c r="AJ690" s="2"/>
      <c r="AK690" s="2"/>
      <c r="AL690" s="2"/>
      <c r="AM690" s="2"/>
      <c r="AN690" s="2"/>
      <c r="AO690" s="9"/>
      <c r="AP690" s="9"/>
      <c r="AQ690" s="9"/>
      <c r="AR690" s="9"/>
    </row>
    <row r="691">
      <c r="A691" s="585"/>
      <c r="B691" s="585"/>
      <c r="C691" s="585"/>
      <c r="D691" s="585"/>
      <c r="E691" s="585"/>
      <c r="F691" s="585"/>
      <c r="G691" s="585"/>
      <c r="H691" s="585"/>
      <c r="I691" s="585"/>
      <c r="J691" s="585"/>
      <c r="K691" s="585"/>
      <c r="L691" s="585"/>
      <c r="M691" s="585"/>
      <c r="N691" s="585"/>
      <c r="O691" s="585"/>
      <c r="P691" s="585"/>
      <c r="Q691" s="585"/>
      <c r="R691" s="585"/>
      <c r="S691" s="585"/>
      <c r="T691" s="585"/>
      <c r="U691" s="585"/>
      <c r="V691" s="224"/>
      <c r="W691" s="224"/>
      <c r="X691" s="224"/>
      <c r="Y691" s="224"/>
      <c r="Z691" s="868"/>
      <c r="AA691" s="865"/>
      <c r="AB691" s="2"/>
      <c r="AC691" s="2"/>
      <c r="AD691" s="2"/>
      <c r="AE691" s="2"/>
      <c r="AF691" s="2"/>
      <c r="AG691" s="2"/>
      <c r="AH691" s="2"/>
      <c r="AI691" s="2"/>
      <c r="AJ691" s="2"/>
      <c r="AK691" s="2"/>
      <c r="AL691" s="2"/>
      <c r="AM691" s="2"/>
      <c r="AN691" s="2"/>
      <c r="AO691" s="9"/>
      <c r="AP691" s="9"/>
      <c r="AQ691" s="9"/>
      <c r="AR691" s="9"/>
    </row>
    <row r="692">
      <c r="A692" s="585"/>
      <c r="B692" s="585"/>
      <c r="C692" s="585"/>
      <c r="D692" s="585"/>
      <c r="E692" s="585"/>
      <c r="F692" s="585"/>
      <c r="G692" s="585"/>
      <c r="H692" s="585"/>
      <c r="I692" s="585"/>
      <c r="J692" s="585"/>
      <c r="K692" s="585"/>
      <c r="L692" s="585"/>
      <c r="M692" s="585"/>
      <c r="N692" s="585"/>
      <c r="O692" s="585"/>
      <c r="P692" s="585"/>
      <c r="Q692" s="585"/>
      <c r="R692" s="585"/>
      <c r="S692" s="585"/>
      <c r="T692" s="585"/>
      <c r="U692" s="585"/>
      <c r="V692" s="224"/>
      <c r="W692" s="224"/>
      <c r="X692" s="224"/>
      <c r="Y692" s="224"/>
      <c r="Z692" s="868"/>
      <c r="AA692" s="865"/>
      <c r="AB692" s="2"/>
      <c r="AC692" s="2"/>
      <c r="AD692" s="2"/>
      <c r="AE692" s="2"/>
      <c r="AF692" s="2"/>
      <c r="AG692" s="2"/>
      <c r="AH692" s="2"/>
      <c r="AI692" s="2"/>
      <c r="AJ692" s="2"/>
      <c r="AK692" s="2"/>
      <c r="AL692" s="2"/>
      <c r="AM692" s="2"/>
      <c r="AN692" s="2"/>
      <c r="AO692" s="9"/>
      <c r="AP692" s="9"/>
      <c r="AQ692" s="9"/>
      <c r="AR692" s="9"/>
    </row>
    <row r="693">
      <c r="A693" s="585"/>
      <c r="B693" s="585"/>
      <c r="C693" s="585"/>
      <c r="D693" s="585"/>
      <c r="E693" s="585"/>
      <c r="F693" s="585"/>
      <c r="G693" s="585"/>
      <c r="H693" s="585"/>
      <c r="I693" s="585"/>
      <c r="J693" s="585"/>
      <c r="K693" s="585"/>
      <c r="L693" s="585"/>
      <c r="M693" s="585"/>
      <c r="N693" s="585"/>
      <c r="O693" s="585"/>
      <c r="P693" s="585"/>
      <c r="Q693" s="585"/>
      <c r="R693" s="585"/>
      <c r="S693" s="585"/>
      <c r="T693" s="585"/>
      <c r="U693" s="585"/>
      <c r="V693" s="224"/>
      <c r="W693" s="224"/>
      <c r="X693" s="224"/>
      <c r="Y693" s="224"/>
      <c r="Z693" s="868"/>
      <c r="AA693" s="865"/>
      <c r="AB693" s="2"/>
      <c r="AC693" s="2"/>
      <c r="AD693" s="2"/>
      <c r="AE693" s="2"/>
      <c r="AF693" s="2"/>
      <c r="AG693" s="2"/>
      <c r="AH693" s="2"/>
      <c r="AI693" s="2"/>
      <c r="AJ693" s="2"/>
      <c r="AK693" s="2"/>
      <c r="AL693" s="2"/>
      <c r="AM693" s="2"/>
      <c r="AN693" s="2"/>
      <c r="AO693" s="9"/>
      <c r="AP693" s="9"/>
      <c r="AQ693" s="9"/>
      <c r="AR693" s="9"/>
    </row>
    <row r="694">
      <c r="A694" s="585"/>
      <c r="B694" s="585"/>
      <c r="C694" s="585"/>
      <c r="D694" s="585"/>
      <c r="E694" s="585"/>
      <c r="F694" s="585"/>
      <c r="G694" s="585"/>
      <c r="H694" s="585"/>
      <c r="I694" s="585"/>
      <c r="J694" s="585"/>
      <c r="K694" s="585"/>
      <c r="L694" s="585"/>
      <c r="M694" s="585"/>
      <c r="N694" s="585"/>
      <c r="O694" s="585"/>
      <c r="P694" s="585"/>
      <c r="Q694" s="585"/>
      <c r="R694" s="585"/>
      <c r="S694" s="585"/>
      <c r="T694" s="585"/>
      <c r="U694" s="585"/>
      <c r="V694" s="224"/>
      <c r="W694" s="224"/>
      <c r="X694" s="224"/>
      <c r="Y694" s="224"/>
      <c r="Z694" s="868"/>
      <c r="AA694" s="865"/>
      <c r="AB694" s="2"/>
      <c r="AC694" s="2"/>
      <c r="AD694" s="2"/>
      <c r="AE694" s="2"/>
      <c r="AF694" s="2"/>
      <c r="AG694" s="2"/>
      <c r="AH694" s="2"/>
      <c r="AI694" s="2"/>
      <c r="AJ694" s="2"/>
      <c r="AK694" s="2"/>
      <c r="AL694" s="2"/>
      <c r="AM694" s="2"/>
      <c r="AN694" s="2"/>
      <c r="AO694" s="9"/>
      <c r="AP694" s="9"/>
      <c r="AQ694" s="9"/>
      <c r="AR694" s="9"/>
    </row>
    <row r="695">
      <c r="A695" s="585"/>
      <c r="B695" s="585"/>
      <c r="C695" s="585"/>
      <c r="D695" s="585"/>
      <c r="E695" s="585"/>
      <c r="F695" s="585"/>
      <c r="G695" s="585"/>
      <c r="H695" s="585"/>
      <c r="I695" s="585"/>
      <c r="J695" s="585"/>
      <c r="K695" s="585"/>
      <c r="L695" s="585"/>
      <c r="M695" s="585"/>
      <c r="N695" s="585"/>
      <c r="O695" s="585"/>
      <c r="P695" s="585"/>
      <c r="Q695" s="585"/>
      <c r="R695" s="585"/>
      <c r="S695" s="585"/>
      <c r="T695" s="585"/>
      <c r="U695" s="585"/>
      <c r="V695" s="224"/>
      <c r="W695" s="224"/>
      <c r="X695" s="224"/>
      <c r="Y695" s="224"/>
      <c r="Z695" s="868"/>
      <c r="AA695" s="865"/>
      <c r="AB695" s="2"/>
      <c r="AC695" s="2"/>
      <c r="AD695" s="2"/>
      <c r="AE695" s="2"/>
      <c r="AF695" s="2"/>
      <c r="AG695" s="2"/>
      <c r="AH695" s="2"/>
      <c r="AI695" s="2"/>
      <c r="AJ695" s="2"/>
      <c r="AK695" s="2"/>
      <c r="AL695" s="2"/>
      <c r="AM695" s="2"/>
      <c r="AN695" s="2"/>
      <c r="AO695" s="9"/>
      <c r="AP695" s="9"/>
      <c r="AQ695" s="9"/>
      <c r="AR695" s="9"/>
    </row>
    <row r="696">
      <c r="A696" s="585"/>
      <c r="B696" s="585"/>
      <c r="C696" s="585"/>
      <c r="D696" s="585"/>
      <c r="E696" s="585"/>
      <c r="F696" s="585"/>
      <c r="G696" s="585"/>
      <c r="H696" s="585"/>
      <c r="I696" s="585"/>
      <c r="J696" s="585"/>
      <c r="K696" s="585"/>
      <c r="L696" s="585"/>
      <c r="M696" s="585"/>
      <c r="N696" s="585"/>
      <c r="O696" s="585"/>
      <c r="P696" s="585"/>
      <c r="Q696" s="585"/>
      <c r="R696" s="585"/>
      <c r="S696" s="585"/>
      <c r="T696" s="585"/>
      <c r="U696" s="585"/>
      <c r="V696" s="224"/>
      <c r="W696" s="224"/>
      <c r="X696" s="224"/>
      <c r="Y696" s="224"/>
      <c r="Z696" s="868"/>
      <c r="AA696" s="865"/>
      <c r="AB696" s="2"/>
      <c r="AC696" s="2"/>
      <c r="AD696" s="2"/>
      <c r="AE696" s="2"/>
      <c r="AF696" s="2"/>
      <c r="AG696" s="2"/>
      <c r="AH696" s="2"/>
      <c r="AI696" s="2"/>
      <c r="AJ696" s="2"/>
      <c r="AK696" s="2"/>
      <c r="AL696" s="2"/>
      <c r="AM696" s="2"/>
      <c r="AN696" s="2"/>
      <c r="AO696" s="9"/>
      <c r="AP696" s="9"/>
      <c r="AQ696" s="9"/>
      <c r="AR696" s="9"/>
    </row>
    <row r="697">
      <c r="A697" s="585"/>
      <c r="B697" s="585"/>
      <c r="C697" s="585"/>
      <c r="D697" s="585"/>
      <c r="E697" s="585"/>
      <c r="F697" s="585"/>
      <c r="G697" s="585"/>
      <c r="H697" s="585"/>
      <c r="I697" s="585"/>
      <c r="J697" s="585"/>
      <c r="K697" s="585"/>
      <c r="L697" s="585"/>
      <c r="M697" s="585"/>
      <c r="N697" s="585"/>
      <c r="O697" s="585"/>
      <c r="P697" s="585"/>
      <c r="Q697" s="585"/>
      <c r="R697" s="585"/>
      <c r="S697" s="585"/>
      <c r="T697" s="585"/>
      <c r="U697" s="585"/>
      <c r="V697" s="224"/>
      <c r="W697" s="224"/>
      <c r="X697" s="224"/>
      <c r="Y697" s="224"/>
      <c r="Z697" s="868"/>
      <c r="AA697" s="865"/>
      <c r="AB697" s="2"/>
      <c r="AC697" s="2"/>
      <c r="AD697" s="2"/>
      <c r="AE697" s="2"/>
      <c r="AF697" s="2"/>
      <c r="AG697" s="2"/>
      <c r="AH697" s="2"/>
      <c r="AI697" s="2"/>
      <c r="AJ697" s="2"/>
      <c r="AK697" s="2"/>
      <c r="AL697" s="2"/>
      <c r="AM697" s="2"/>
      <c r="AN697" s="2"/>
      <c r="AO697" s="9"/>
      <c r="AP697" s="9"/>
      <c r="AQ697" s="9"/>
      <c r="AR697" s="9"/>
    </row>
    <row r="698">
      <c r="A698" s="585"/>
      <c r="B698" s="585"/>
      <c r="C698" s="585"/>
      <c r="D698" s="585"/>
      <c r="E698" s="585"/>
      <c r="F698" s="585"/>
      <c r="G698" s="585"/>
      <c r="H698" s="585"/>
      <c r="I698" s="585"/>
      <c r="J698" s="585"/>
      <c r="K698" s="585"/>
      <c r="L698" s="585"/>
      <c r="M698" s="585"/>
      <c r="N698" s="585"/>
      <c r="O698" s="585"/>
      <c r="P698" s="585"/>
      <c r="Q698" s="585"/>
      <c r="R698" s="585"/>
      <c r="S698" s="585"/>
      <c r="T698" s="585"/>
      <c r="U698" s="585"/>
      <c r="V698" s="224"/>
      <c r="W698" s="224"/>
      <c r="X698" s="224"/>
      <c r="Y698" s="224"/>
      <c r="Z698" s="868"/>
      <c r="AA698" s="865"/>
      <c r="AB698" s="2"/>
      <c r="AC698" s="2"/>
      <c r="AD698" s="2"/>
      <c r="AE698" s="2"/>
      <c r="AF698" s="2"/>
      <c r="AG698" s="2"/>
      <c r="AH698" s="2"/>
      <c r="AI698" s="2"/>
      <c r="AJ698" s="2"/>
      <c r="AK698" s="2"/>
      <c r="AL698" s="2"/>
      <c r="AM698" s="2"/>
      <c r="AN698" s="2"/>
      <c r="AO698" s="9"/>
      <c r="AP698" s="9"/>
      <c r="AQ698" s="9"/>
      <c r="AR698" s="9"/>
    </row>
    <row r="699">
      <c r="A699" s="585"/>
      <c r="B699" s="585"/>
      <c r="C699" s="585"/>
      <c r="D699" s="585"/>
      <c r="E699" s="585"/>
      <c r="F699" s="585"/>
      <c r="G699" s="585"/>
      <c r="H699" s="585"/>
      <c r="I699" s="585"/>
      <c r="J699" s="585"/>
      <c r="K699" s="585"/>
      <c r="L699" s="585"/>
      <c r="M699" s="585"/>
      <c r="N699" s="585"/>
      <c r="O699" s="585"/>
      <c r="P699" s="585"/>
      <c r="Q699" s="585"/>
      <c r="R699" s="585"/>
      <c r="S699" s="585"/>
      <c r="T699" s="585"/>
      <c r="U699" s="585"/>
      <c r="V699" s="224"/>
      <c r="W699" s="224"/>
      <c r="X699" s="224"/>
      <c r="Y699" s="224"/>
      <c r="Z699" s="868"/>
      <c r="AA699" s="865"/>
      <c r="AB699" s="2"/>
      <c r="AC699" s="2"/>
      <c r="AD699" s="2"/>
      <c r="AE699" s="2"/>
      <c r="AF699" s="2"/>
      <c r="AG699" s="2"/>
      <c r="AH699" s="2"/>
      <c r="AI699" s="2"/>
      <c r="AJ699" s="2"/>
      <c r="AK699" s="2"/>
      <c r="AL699" s="2"/>
      <c r="AM699" s="2"/>
      <c r="AN699" s="2"/>
      <c r="AO699" s="9"/>
      <c r="AP699" s="9"/>
      <c r="AQ699" s="9"/>
      <c r="AR699" s="9"/>
    </row>
    <row r="700">
      <c r="A700" s="585"/>
      <c r="B700" s="585"/>
      <c r="C700" s="585"/>
      <c r="D700" s="585"/>
      <c r="E700" s="585"/>
      <c r="F700" s="585"/>
      <c r="G700" s="585"/>
      <c r="H700" s="585"/>
      <c r="I700" s="585"/>
      <c r="J700" s="585"/>
      <c r="K700" s="585"/>
      <c r="L700" s="585"/>
      <c r="M700" s="585"/>
      <c r="N700" s="585"/>
      <c r="O700" s="585"/>
      <c r="P700" s="585"/>
      <c r="Q700" s="585"/>
      <c r="R700" s="585"/>
      <c r="S700" s="585"/>
      <c r="T700" s="585"/>
      <c r="U700" s="585"/>
      <c r="V700" s="224"/>
      <c r="W700" s="224"/>
      <c r="X700" s="224"/>
      <c r="Y700" s="224"/>
      <c r="Z700" s="868"/>
      <c r="AA700" s="865"/>
      <c r="AB700" s="2"/>
      <c r="AC700" s="2"/>
      <c r="AD700" s="2"/>
      <c r="AE700" s="2"/>
      <c r="AF700" s="2"/>
      <c r="AG700" s="2"/>
      <c r="AH700" s="2"/>
      <c r="AI700" s="2"/>
      <c r="AJ700" s="2"/>
      <c r="AK700" s="2"/>
      <c r="AL700" s="2"/>
      <c r="AM700" s="2"/>
      <c r="AN700" s="2"/>
      <c r="AO700" s="9"/>
      <c r="AP700" s="9"/>
      <c r="AQ700" s="9"/>
      <c r="AR700" s="9"/>
    </row>
    <row r="701">
      <c r="A701" s="585"/>
      <c r="B701" s="585"/>
      <c r="C701" s="585"/>
      <c r="D701" s="585"/>
      <c r="E701" s="585"/>
      <c r="F701" s="585"/>
      <c r="G701" s="585"/>
      <c r="H701" s="585"/>
      <c r="I701" s="585"/>
      <c r="J701" s="585"/>
      <c r="K701" s="585"/>
      <c r="L701" s="585"/>
      <c r="M701" s="585"/>
      <c r="N701" s="585"/>
      <c r="O701" s="585"/>
      <c r="P701" s="585"/>
      <c r="Q701" s="585"/>
      <c r="R701" s="585"/>
      <c r="S701" s="585"/>
      <c r="T701" s="585"/>
      <c r="U701" s="585"/>
      <c r="V701" s="224"/>
      <c r="W701" s="224"/>
      <c r="X701" s="224"/>
      <c r="Y701" s="224"/>
      <c r="Z701" s="868"/>
      <c r="AA701" s="865"/>
      <c r="AB701" s="2"/>
      <c r="AC701" s="2"/>
      <c r="AD701" s="2"/>
      <c r="AE701" s="2"/>
      <c r="AF701" s="2"/>
      <c r="AG701" s="2"/>
      <c r="AH701" s="2"/>
      <c r="AI701" s="2"/>
      <c r="AJ701" s="2"/>
      <c r="AK701" s="2"/>
      <c r="AL701" s="2"/>
      <c r="AM701" s="2"/>
      <c r="AN701" s="2"/>
      <c r="AO701" s="9"/>
      <c r="AP701" s="9"/>
      <c r="AQ701" s="9"/>
      <c r="AR701" s="9"/>
    </row>
    <row r="702">
      <c r="A702" s="585"/>
      <c r="B702" s="585"/>
      <c r="C702" s="585"/>
      <c r="D702" s="585"/>
      <c r="E702" s="585"/>
      <c r="F702" s="585"/>
      <c r="G702" s="585"/>
      <c r="H702" s="585"/>
      <c r="I702" s="585"/>
      <c r="J702" s="585"/>
      <c r="K702" s="585"/>
      <c r="L702" s="585"/>
      <c r="M702" s="585"/>
      <c r="N702" s="585"/>
      <c r="O702" s="585"/>
      <c r="P702" s="585"/>
      <c r="Q702" s="585"/>
      <c r="R702" s="585"/>
      <c r="S702" s="585"/>
      <c r="T702" s="585"/>
      <c r="U702" s="585"/>
      <c r="V702" s="224"/>
      <c r="W702" s="224"/>
      <c r="X702" s="224"/>
      <c r="Y702" s="224"/>
      <c r="Z702" s="868"/>
      <c r="AA702" s="865"/>
      <c r="AB702" s="2"/>
      <c r="AC702" s="2"/>
      <c r="AD702" s="2"/>
      <c r="AE702" s="2"/>
      <c r="AF702" s="2"/>
      <c r="AG702" s="2"/>
      <c r="AH702" s="2"/>
      <c r="AI702" s="2"/>
      <c r="AJ702" s="2"/>
      <c r="AK702" s="2"/>
      <c r="AL702" s="2"/>
      <c r="AM702" s="2"/>
      <c r="AN702" s="2"/>
      <c r="AO702" s="9"/>
      <c r="AP702" s="9"/>
      <c r="AQ702" s="9"/>
      <c r="AR702" s="9"/>
    </row>
    <row r="703">
      <c r="A703" s="585"/>
      <c r="B703" s="585"/>
      <c r="C703" s="585"/>
      <c r="D703" s="585"/>
      <c r="E703" s="585"/>
      <c r="F703" s="585"/>
      <c r="G703" s="585"/>
      <c r="H703" s="585"/>
      <c r="I703" s="585"/>
      <c r="J703" s="585"/>
      <c r="K703" s="585"/>
      <c r="L703" s="585"/>
      <c r="M703" s="585"/>
      <c r="N703" s="585"/>
      <c r="O703" s="585"/>
      <c r="P703" s="585"/>
      <c r="Q703" s="585"/>
      <c r="R703" s="585"/>
      <c r="S703" s="585"/>
      <c r="T703" s="585"/>
      <c r="U703" s="585"/>
      <c r="V703" s="224"/>
      <c r="W703" s="224"/>
      <c r="X703" s="224"/>
      <c r="Y703" s="224"/>
      <c r="Z703" s="868"/>
      <c r="AA703" s="865"/>
      <c r="AB703" s="2"/>
      <c r="AC703" s="2"/>
      <c r="AD703" s="2"/>
      <c r="AE703" s="2"/>
      <c r="AF703" s="2"/>
      <c r="AG703" s="2"/>
      <c r="AH703" s="2"/>
      <c r="AI703" s="2"/>
      <c r="AJ703" s="2"/>
      <c r="AK703" s="2"/>
      <c r="AL703" s="2"/>
      <c r="AM703" s="2"/>
      <c r="AN703" s="2"/>
      <c r="AO703" s="9"/>
      <c r="AP703" s="9"/>
      <c r="AQ703" s="9"/>
      <c r="AR703" s="9"/>
    </row>
    <row r="704">
      <c r="A704" s="585"/>
      <c r="B704" s="585"/>
      <c r="C704" s="585"/>
      <c r="D704" s="585"/>
      <c r="E704" s="585"/>
      <c r="F704" s="585"/>
      <c r="G704" s="585"/>
      <c r="H704" s="585"/>
      <c r="I704" s="585"/>
      <c r="J704" s="585"/>
      <c r="K704" s="585"/>
      <c r="L704" s="585"/>
      <c r="M704" s="585"/>
      <c r="N704" s="585"/>
      <c r="O704" s="585"/>
      <c r="P704" s="585"/>
      <c r="Q704" s="585"/>
      <c r="R704" s="585"/>
      <c r="S704" s="585"/>
      <c r="T704" s="585"/>
      <c r="U704" s="585"/>
      <c r="V704" s="224"/>
      <c r="W704" s="224"/>
      <c r="X704" s="224"/>
      <c r="Y704" s="224"/>
      <c r="Z704" s="868"/>
      <c r="AA704" s="865"/>
      <c r="AB704" s="2"/>
      <c r="AC704" s="2"/>
      <c r="AD704" s="2"/>
      <c r="AE704" s="2"/>
      <c r="AF704" s="2"/>
      <c r="AG704" s="2"/>
      <c r="AH704" s="2"/>
      <c r="AI704" s="2"/>
      <c r="AJ704" s="2"/>
      <c r="AK704" s="2"/>
      <c r="AL704" s="2"/>
      <c r="AM704" s="2"/>
      <c r="AN704" s="2"/>
      <c r="AO704" s="9"/>
      <c r="AP704" s="9"/>
      <c r="AQ704" s="9"/>
      <c r="AR704" s="9"/>
    </row>
    <row r="705">
      <c r="A705" s="585"/>
      <c r="B705" s="585"/>
      <c r="C705" s="585"/>
      <c r="D705" s="585"/>
      <c r="E705" s="585"/>
      <c r="F705" s="585"/>
      <c r="G705" s="585"/>
      <c r="H705" s="585"/>
      <c r="I705" s="585"/>
      <c r="J705" s="585"/>
      <c r="K705" s="585"/>
      <c r="L705" s="585"/>
      <c r="M705" s="585"/>
      <c r="N705" s="585"/>
      <c r="O705" s="585"/>
      <c r="P705" s="585"/>
      <c r="Q705" s="585"/>
      <c r="R705" s="585"/>
      <c r="S705" s="585"/>
      <c r="T705" s="585"/>
      <c r="U705" s="585"/>
      <c r="V705" s="224"/>
      <c r="W705" s="224"/>
      <c r="X705" s="224"/>
      <c r="Y705" s="224"/>
      <c r="Z705" s="868"/>
      <c r="AA705" s="865"/>
      <c r="AB705" s="2"/>
      <c r="AC705" s="2"/>
      <c r="AD705" s="2"/>
      <c r="AE705" s="2"/>
      <c r="AF705" s="2"/>
      <c r="AG705" s="2"/>
      <c r="AH705" s="2"/>
      <c r="AI705" s="2"/>
      <c r="AJ705" s="2"/>
      <c r="AK705" s="2"/>
      <c r="AL705" s="2"/>
      <c r="AM705" s="2"/>
      <c r="AN705" s="2"/>
      <c r="AO705" s="9"/>
      <c r="AP705" s="9"/>
      <c r="AQ705" s="9"/>
      <c r="AR705" s="9"/>
    </row>
    <row r="706">
      <c r="A706" s="585"/>
      <c r="B706" s="585"/>
      <c r="C706" s="585"/>
      <c r="D706" s="585"/>
      <c r="E706" s="585"/>
      <c r="F706" s="585"/>
      <c r="G706" s="585"/>
      <c r="H706" s="585"/>
      <c r="I706" s="585"/>
      <c r="J706" s="585"/>
      <c r="K706" s="585"/>
      <c r="L706" s="585"/>
      <c r="M706" s="585"/>
      <c r="N706" s="585"/>
      <c r="O706" s="585"/>
      <c r="P706" s="585"/>
      <c r="Q706" s="585"/>
      <c r="R706" s="585"/>
      <c r="S706" s="585"/>
      <c r="T706" s="585"/>
      <c r="U706" s="585"/>
      <c r="V706" s="224"/>
      <c r="W706" s="224"/>
      <c r="X706" s="224"/>
      <c r="Y706" s="224"/>
      <c r="Z706" s="868"/>
      <c r="AA706" s="865"/>
      <c r="AB706" s="2"/>
      <c r="AC706" s="2"/>
      <c r="AD706" s="2"/>
      <c r="AE706" s="2"/>
      <c r="AF706" s="2"/>
      <c r="AG706" s="2"/>
      <c r="AH706" s="2"/>
      <c r="AI706" s="2"/>
      <c r="AJ706" s="2"/>
      <c r="AK706" s="2"/>
      <c r="AL706" s="2"/>
      <c r="AM706" s="2"/>
      <c r="AN706" s="2"/>
      <c r="AO706" s="9"/>
      <c r="AP706" s="9"/>
      <c r="AQ706" s="9"/>
      <c r="AR706" s="9"/>
    </row>
    <row r="707">
      <c r="A707" s="585"/>
      <c r="B707" s="585"/>
      <c r="C707" s="585"/>
      <c r="D707" s="585"/>
      <c r="E707" s="585"/>
      <c r="F707" s="585"/>
      <c r="G707" s="585"/>
      <c r="H707" s="585"/>
      <c r="I707" s="585"/>
      <c r="J707" s="585"/>
      <c r="K707" s="585"/>
      <c r="L707" s="585"/>
      <c r="M707" s="585"/>
      <c r="N707" s="585"/>
      <c r="O707" s="585"/>
      <c r="P707" s="585"/>
      <c r="Q707" s="585"/>
      <c r="R707" s="585"/>
      <c r="S707" s="585"/>
      <c r="T707" s="585"/>
      <c r="U707" s="585"/>
      <c r="V707" s="224"/>
      <c r="W707" s="224"/>
      <c r="X707" s="224"/>
      <c r="Y707" s="224"/>
      <c r="Z707" s="868"/>
      <c r="AA707" s="865"/>
      <c r="AB707" s="2"/>
      <c r="AC707" s="2"/>
      <c r="AD707" s="2"/>
      <c r="AE707" s="2"/>
      <c r="AF707" s="2"/>
      <c r="AG707" s="2"/>
      <c r="AH707" s="2"/>
      <c r="AI707" s="2"/>
      <c r="AJ707" s="2"/>
      <c r="AK707" s="2"/>
      <c r="AL707" s="2"/>
      <c r="AM707" s="2"/>
      <c r="AN707" s="2"/>
      <c r="AO707" s="9"/>
      <c r="AP707" s="9"/>
      <c r="AQ707" s="9"/>
      <c r="AR707" s="9"/>
    </row>
    <row r="708">
      <c r="A708" s="585"/>
      <c r="B708" s="585"/>
      <c r="C708" s="585"/>
      <c r="D708" s="585"/>
      <c r="E708" s="585"/>
      <c r="F708" s="585"/>
      <c r="G708" s="585"/>
      <c r="H708" s="585"/>
      <c r="I708" s="585"/>
      <c r="J708" s="585"/>
      <c r="K708" s="585"/>
      <c r="L708" s="585"/>
      <c r="M708" s="585"/>
      <c r="N708" s="585"/>
      <c r="O708" s="585"/>
      <c r="P708" s="585"/>
      <c r="Q708" s="585"/>
      <c r="R708" s="585"/>
      <c r="S708" s="585"/>
      <c r="T708" s="585"/>
      <c r="U708" s="585"/>
      <c r="V708" s="224"/>
      <c r="W708" s="224"/>
      <c r="X708" s="224"/>
      <c r="Y708" s="224"/>
      <c r="Z708" s="868"/>
      <c r="AA708" s="865"/>
      <c r="AB708" s="2"/>
      <c r="AC708" s="2"/>
      <c r="AD708" s="2"/>
      <c r="AE708" s="2"/>
      <c r="AF708" s="2"/>
      <c r="AG708" s="2"/>
      <c r="AH708" s="2"/>
      <c r="AI708" s="2"/>
      <c r="AJ708" s="2"/>
      <c r="AK708" s="2"/>
      <c r="AL708" s="2"/>
      <c r="AM708" s="2"/>
      <c r="AN708" s="2"/>
      <c r="AO708" s="9"/>
      <c r="AP708" s="9"/>
      <c r="AQ708" s="9"/>
      <c r="AR708" s="9"/>
    </row>
    <row r="709">
      <c r="A709" s="585"/>
      <c r="B709" s="585"/>
      <c r="C709" s="585"/>
      <c r="D709" s="585"/>
      <c r="E709" s="585"/>
      <c r="F709" s="585"/>
      <c r="G709" s="585"/>
      <c r="H709" s="585"/>
      <c r="I709" s="585"/>
      <c r="J709" s="585"/>
      <c r="K709" s="585"/>
      <c r="L709" s="585"/>
      <c r="M709" s="585"/>
      <c r="N709" s="585"/>
      <c r="O709" s="585"/>
      <c r="P709" s="585"/>
      <c r="Q709" s="585"/>
      <c r="R709" s="585"/>
      <c r="S709" s="585"/>
      <c r="T709" s="585"/>
      <c r="U709" s="585"/>
      <c r="V709" s="224"/>
      <c r="W709" s="224"/>
      <c r="X709" s="224"/>
      <c r="Y709" s="224"/>
      <c r="Z709" s="868"/>
      <c r="AA709" s="865"/>
      <c r="AB709" s="2"/>
      <c r="AC709" s="2"/>
      <c r="AD709" s="2"/>
      <c r="AE709" s="2"/>
      <c r="AF709" s="2"/>
      <c r="AG709" s="2"/>
      <c r="AH709" s="2"/>
      <c r="AI709" s="2"/>
      <c r="AJ709" s="2"/>
      <c r="AK709" s="2"/>
      <c r="AL709" s="2"/>
      <c r="AM709" s="2"/>
      <c r="AN709" s="2"/>
      <c r="AO709" s="9"/>
      <c r="AP709" s="9"/>
      <c r="AQ709" s="9"/>
      <c r="AR709" s="9"/>
    </row>
    <row r="710">
      <c r="A710" s="585"/>
      <c r="B710" s="585"/>
      <c r="C710" s="585"/>
      <c r="D710" s="585"/>
      <c r="E710" s="585"/>
      <c r="F710" s="585"/>
      <c r="G710" s="585"/>
      <c r="H710" s="585"/>
      <c r="I710" s="585"/>
      <c r="J710" s="585"/>
      <c r="K710" s="585"/>
      <c r="L710" s="585"/>
      <c r="M710" s="585"/>
      <c r="N710" s="585"/>
      <c r="O710" s="585"/>
      <c r="P710" s="585"/>
      <c r="Q710" s="585"/>
      <c r="R710" s="585"/>
      <c r="S710" s="585"/>
      <c r="T710" s="585"/>
      <c r="U710" s="585"/>
      <c r="V710" s="224"/>
      <c r="W710" s="224"/>
      <c r="X710" s="224"/>
      <c r="Y710" s="224"/>
      <c r="Z710" s="868"/>
      <c r="AA710" s="865"/>
      <c r="AB710" s="2"/>
      <c r="AC710" s="2"/>
      <c r="AD710" s="2"/>
      <c r="AE710" s="2"/>
      <c r="AF710" s="2"/>
      <c r="AG710" s="2"/>
      <c r="AH710" s="2"/>
      <c r="AI710" s="2"/>
      <c r="AJ710" s="2"/>
      <c r="AK710" s="2"/>
      <c r="AL710" s="2"/>
      <c r="AM710" s="2"/>
      <c r="AN710" s="2"/>
      <c r="AO710" s="9"/>
      <c r="AP710" s="9"/>
      <c r="AQ710" s="9"/>
      <c r="AR710" s="9"/>
    </row>
    <row r="711">
      <c r="A711" s="585"/>
      <c r="B711" s="585"/>
      <c r="C711" s="585"/>
      <c r="D711" s="585"/>
      <c r="E711" s="585"/>
      <c r="F711" s="585"/>
      <c r="G711" s="585"/>
      <c r="H711" s="585"/>
      <c r="I711" s="585"/>
      <c r="J711" s="585"/>
      <c r="K711" s="585"/>
      <c r="L711" s="585"/>
      <c r="M711" s="585"/>
      <c r="N711" s="585"/>
      <c r="O711" s="585"/>
      <c r="P711" s="585"/>
      <c r="Q711" s="585"/>
      <c r="R711" s="585"/>
      <c r="S711" s="585"/>
      <c r="T711" s="585"/>
      <c r="U711" s="585"/>
      <c r="V711" s="224"/>
      <c r="W711" s="224"/>
      <c r="X711" s="224"/>
      <c r="Y711" s="224"/>
      <c r="Z711" s="868"/>
      <c r="AA711" s="865"/>
      <c r="AB711" s="2"/>
      <c r="AC711" s="2"/>
      <c r="AD711" s="2"/>
      <c r="AE711" s="2"/>
      <c r="AF711" s="2"/>
      <c r="AG711" s="2"/>
      <c r="AH711" s="2"/>
      <c r="AI711" s="2"/>
      <c r="AJ711" s="2"/>
      <c r="AK711" s="2"/>
      <c r="AL711" s="2"/>
      <c r="AM711" s="2"/>
      <c r="AN711" s="2"/>
      <c r="AO711" s="9"/>
      <c r="AP711" s="9"/>
      <c r="AQ711" s="9"/>
      <c r="AR711" s="9"/>
    </row>
    <row r="712">
      <c r="A712" s="585"/>
      <c r="B712" s="585"/>
      <c r="C712" s="585"/>
      <c r="D712" s="585"/>
      <c r="E712" s="585"/>
      <c r="F712" s="585"/>
      <c r="G712" s="585"/>
      <c r="H712" s="585"/>
      <c r="I712" s="585"/>
      <c r="J712" s="585"/>
      <c r="K712" s="585"/>
      <c r="L712" s="585"/>
      <c r="M712" s="585"/>
      <c r="N712" s="585"/>
      <c r="O712" s="585"/>
      <c r="P712" s="585"/>
      <c r="Q712" s="585"/>
      <c r="R712" s="585"/>
      <c r="S712" s="585"/>
      <c r="T712" s="585"/>
      <c r="U712" s="585"/>
      <c r="V712" s="224"/>
      <c r="W712" s="224"/>
      <c r="X712" s="224"/>
      <c r="Y712" s="224"/>
      <c r="Z712" s="868"/>
      <c r="AA712" s="865"/>
      <c r="AB712" s="2"/>
      <c r="AC712" s="2"/>
      <c r="AD712" s="2"/>
      <c r="AE712" s="2"/>
      <c r="AF712" s="2"/>
      <c r="AG712" s="2"/>
      <c r="AH712" s="2"/>
      <c r="AI712" s="2"/>
      <c r="AJ712" s="2"/>
      <c r="AK712" s="2"/>
      <c r="AL712" s="2"/>
      <c r="AM712" s="2"/>
      <c r="AN712" s="2"/>
      <c r="AO712" s="9"/>
      <c r="AP712" s="9"/>
      <c r="AQ712" s="9"/>
      <c r="AR712" s="9"/>
    </row>
    <row r="713">
      <c r="A713" s="585"/>
      <c r="B713" s="585"/>
      <c r="C713" s="585"/>
      <c r="D713" s="585"/>
      <c r="E713" s="585"/>
      <c r="F713" s="585"/>
      <c r="G713" s="585"/>
      <c r="H713" s="585"/>
      <c r="I713" s="585"/>
      <c r="J713" s="585"/>
      <c r="K713" s="585"/>
      <c r="L713" s="585"/>
      <c r="M713" s="585"/>
      <c r="N713" s="585"/>
      <c r="O713" s="585"/>
      <c r="P713" s="585"/>
      <c r="Q713" s="585"/>
      <c r="R713" s="585"/>
      <c r="S713" s="585"/>
      <c r="T713" s="585"/>
      <c r="U713" s="585"/>
      <c r="V713" s="224"/>
      <c r="W713" s="224"/>
      <c r="X713" s="224"/>
      <c r="Y713" s="224"/>
      <c r="Z713" s="868"/>
      <c r="AA713" s="865"/>
      <c r="AB713" s="2"/>
      <c r="AC713" s="2"/>
      <c r="AD713" s="2"/>
      <c r="AE713" s="2"/>
      <c r="AF713" s="2"/>
      <c r="AG713" s="2"/>
      <c r="AH713" s="2"/>
      <c r="AI713" s="2"/>
      <c r="AJ713" s="2"/>
      <c r="AK713" s="2"/>
      <c r="AL713" s="2"/>
      <c r="AM713" s="2"/>
      <c r="AN713" s="2"/>
      <c r="AO713" s="9"/>
      <c r="AP713" s="9"/>
      <c r="AQ713" s="9"/>
      <c r="AR713" s="9"/>
    </row>
    <row r="714">
      <c r="A714" s="585"/>
      <c r="B714" s="585"/>
      <c r="C714" s="585"/>
      <c r="D714" s="585"/>
      <c r="E714" s="585"/>
      <c r="F714" s="585"/>
      <c r="G714" s="585"/>
      <c r="H714" s="585"/>
      <c r="I714" s="585"/>
      <c r="J714" s="585"/>
      <c r="K714" s="585"/>
      <c r="L714" s="585"/>
      <c r="M714" s="585"/>
      <c r="N714" s="585"/>
      <c r="O714" s="585"/>
      <c r="P714" s="585"/>
      <c r="Q714" s="585"/>
      <c r="R714" s="585"/>
      <c r="S714" s="585"/>
      <c r="T714" s="585"/>
      <c r="U714" s="585"/>
      <c r="V714" s="224"/>
      <c r="W714" s="224"/>
      <c r="X714" s="224"/>
      <c r="Y714" s="224"/>
      <c r="Z714" s="868"/>
      <c r="AA714" s="865"/>
      <c r="AB714" s="2"/>
      <c r="AC714" s="2"/>
      <c r="AD714" s="2"/>
      <c r="AE714" s="2"/>
      <c r="AF714" s="2"/>
      <c r="AG714" s="2"/>
      <c r="AH714" s="2"/>
      <c r="AI714" s="2"/>
      <c r="AJ714" s="2"/>
      <c r="AK714" s="2"/>
      <c r="AL714" s="2"/>
      <c r="AM714" s="2"/>
      <c r="AN714" s="2"/>
      <c r="AO714" s="9"/>
      <c r="AP714" s="9"/>
      <c r="AQ714" s="9"/>
      <c r="AR714" s="9"/>
    </row>
    <row r="715">
      <c r="A715" s="585"/>
      <c r="B715" s="585"/>
      <c r="C715" s="585"/>
      <c r="D715" s="585"/>
      <c r="E715" s="585"/>
      <c r="F715" s="585"/>
      <c r="G715" s="585"/>
      <c r="H715" s="585"/>
      <c r="I715" s="585"/>
      <c r="J715" s="585"/>
      <c r="K715" s="585"/>
      <c r="L715" s="585"/>
      <c r="M715" s="585"/>
      <c r="N715" s="585"/>
      <c r="O715" s="585"/>
      <c r="P715" s="585"/>
      <c r="Q715" s="585"/>
      <c r="R715" s="585"/>
      <c r="S715" s="585"/>
      <c r="T715" s="585"/>
      <c r="U715" s="585"/>
      <c r="V715" s="224"/>
      <c r="W715" s="224"/>
      <c r="X715" s="224"/>
      <c r="Y715" s="224"/>
      <c r="Z715" s="868"/>
      <c r="AA715" s="865"/>
      <c r="AB715" s="2"/>
      <c r="AC715" s="2"/>
      <c r="AD715" s="2"/>
      <c r="AE715" s="2"/>
      <c r="AF715" s="2"/>
      <c r="AG715" s="2"/>
      <c r="AH715" s="2"/>
      <c r="AI715" s="2"/>
      <c r="AJ715" s="2"/>
      <c r="AK715" s="2"/>
      <c r="AL715" s="2"/>
      <c r="AM715" s="2"/>
      <c r="AN715" s="2"/>
      <c r="AO715" s="9"/>
      <c r="AP715" s="9"/>
      <c r="AQ715" s="9"/>
      <c r="AR715" s="9"/>
    </row>
    <row r="716">
      <c r="A716" s="585"/>
      <c r="B716" s="585"/>
      <c r="C716" s="585"/>
      <c r="D716" s="585"/>
      <c r="E716" s="585"/>
      <c r="F716" s="585"/>
      <c r="G716" s="585"/>
      <c r="H716" s="585"/>
      <c r="I716" s="585"/>
      <c r="J716" s="585"/>
      <c r="K716" s="585"/>
      <c r="L716" s="585"/>
      <c r="M716" s="585"/>
      <c r="N716" s="585"/>
      <c r="O716" s="585"/>
      <c r="P716" s="585"/>
      <c r="Q716" s="585"/>
      <c r="R716" s="585"/>
      <c r="S716" s="585"/>
      <c r="T716" s="585"/>
      <c r="U716" s="585"/>
      <c r="V716" s="224"/>
      <c r="W716" s="224"/>
      <c r="X716" s="224"/>
      <c r="Y716" s="224"/>
      <c r="Z716" s="868"/>
      <c r="AA716" s="865"/>
      <c r="AB716" s="2"/>
      <c r="AC716" s="2"/>
      <c r="AD716" s="2"/>
      <c r="AE716" s="2"/>
      <c r="AF716" s="2"/>
      <c r="AG716" s="2"/>
      <c r="AH716" s="2"/>
      <c r="AI716" s="2"/>
      <c r="AJ716" s="2"/>
      <c r="AK716" s="2"/>
      <c r="AL716" s="2"/>
      <c r="AM716" s="2"/>
      <c r="AN716" s="2"/>
      <c r="AO716" s="9"/>
      <c r="AP716" s="9"/>
      <c r="AQ716" s="9"/>
      <c r="AR716" s="9"/>
    </row>
    <row r="717">
      <c r="A717" s="585"/>
      <c r="B717" s="585"/>
      <c r="C717" s="585"/>
      <c r="D717" s="585"/>
      <c r="E717" s="585"/>
      <c r="F717" s="585"/>
      <c r="G717" s="585"/>
      <c r="H717" s="585"/>
      <c r="I717" s="585"/>
      <c r="J717" s="585"/>
      <c r="K717" s="585"/>
      <c r="L717" s="585"/>
      <c r="M717" s="585"/>
      <c r="N717" s="585"/>
      <c r="O717" s="585"/>
      <c r="P717" s="585"/>
      <c r="Q717" s="585"/>
      <c r="R717" s="585"/>
      <c r="S717" s="585"/>
      <c r="T717" s="585"/>
      <c r="U717" s="585"/>
      <c r="V717" s="224"/>
      <c r="W717" s="224"/>
      <c r="X717" s="224"/>
      <c r="Y717" s="224"/>
      <c r="Z717" s="868"/>
      <c r="AA717" s="865"/>
      <c r="AB717" s="2"/>
      <c r="AC717" s="2"/>
      <c r="AD717" s="2"/>
      <c r="AE717" s="2"/>
      <c r="AF717" s="2"/>
      <c r="AG717" s="2"/>
      <c r="AH717" s="2"/>
      <c r="AI717" s="2"/>
      <c r="AJ717" s="2"/>
      <c r="AK717" s="2"/>
      <c r="AL717" s="2"/>
      <c r="AM717" s="2"/>
      <c r="AN717" s="2"/>
      <c r="AO717" s="9"/>
      <c r="AP717" s="9"/>
      <c r="AQ717" s="9"/>
      <c r="AR717" s="9"/>
    </row>
    <row r="718">
      <c r="A718" s="585"/>
      <c r="B718" s="585"/>
      <c r="C718" s="585"/>
      <c r="D718" s="585"/>
      <c r="E718" s="585"/>
      <c r="F718" s="585"/>
      <c r="G718" s="585"/>
      <c r="H718" s="585"/>
      <c r="I718" s="585"/>
      <c r="J718" s="585"/>
      <c r="K718" s="585"/>
      <c r="L718" s="585"/>
      <c r="M718" s="585"/>
      <c r="N718" s="585"/>
      <c r="O718" s="585"/>
      <c r="P718" s="585"/>
      <c r="Q718" s="585"/>
      <c r="R718" s="585"/>
      <c r="S718" s="585"/>
      <c r="T718" s="585"/>
      <c r="U718" s="585"/>
      <c r="V718" s="224"/>
      <c r="W718" s="224"/>
      <c r="X718" s="224"/>
      <c r="Y718" s="224"/>
      <c r="Z718" s="868"/>
      <c r="AA718" s="865"/>
      <c r="AB718" s="2"/>
      <c r="AC718" s="2"/>
      <c r="AD718" s="2"/>
      <c r="AE718" s="2"/>
      <c r="AF718" s="2"/>
      <c r="AG718" s="2"/>
      <c r="AH718" s="2"/>
      <c r="AI718" s="2"/>
      <c r="AJ718" s="2"/>
      <c r="AK718" s="2"/>
      <c r="AL718" s="2"/>
      <c r="AM718" s="2"/>
      <c r="AN718" s="2"/>
      <c r="AO718" s="9"/>
      <c r="AP718" s="9"/>
      <c r="AQ718" s="9"/>
      <c r="AR718" s="9"/>
    </row>
    <row r="719">
      <c r="A719" s="585"/>
      <c r="B719" s="585"/>
      <c r="C719" s="585"/>
      <c r="D719" s="585"/>
      <c r="E719" s="585"/>
      <c r="F719" s="585"/>
      <c r="G719" s="585"/>
      <c r="H719" s="585"/>
      <c r="I719" s="585"/>
      <c r="J719" s="585"/>
      <c r="K719" s="585"/>
      <c r="L719" s="585"/>
      <c r="M719" s="585"/>
      <c r="N719" s="585"/>
      <c r="O719" s="585"/>
      <c r="P719" s="585"/>
      <c r="Q719" s="585"/>
      <c r="R719" s="585"/>
      <c r="S719" s="585"/>
      <c r="T719" s="585"/>
      <c r="U719" s="585"/>
      <c r="V719" s="224"/>
      <c r="W719" s="224"/>
      <c r="X719" s="224"/>
      <c r="Y719" s="224"/>
      <c r="Z719" s="868"/>
      <c r="AA719" s="865"/>
      <c r="AB719" s="2"/>
      <c r="AC719" s="2"/>
      <c r="AD719" s="2"/>
      <c r="AE719" s="2"/>
      <c r="AF719" s="2"/>
      <c r="AG719" s="2"/>
      <c r="AH719" s="2"/>
      <c r="AI719" s="2"/>
      <c r="AJ719" s="2"/>
      <c r="AK719" s="2"/>
      <c r="AL719" s="2"/>
      <c r="AM719" s="2"/>
      <c r="AN719" s="2"/>
      <c r="AO719" s="9"/>
      <c r="AP719" s="9"/>
      <c r="AQ719" s="9"/>
      <c r="AR719" s="9"/>
    </row>
    <row r="720">
      <c r="A720" s="585"/>
      <c r="B720" s="585"/>
      <c r="C720" s="585"/>
      <c r="D720" s="585"/>
      <c r="E720" s="585"/>
      <c r="F720" s="585"/>
      <c r="G720" s="585"/>
      <c r="H720" s="585"/>
      <c r="I720" s="585"/>
      <c r="J720" s="585"/>
      <c r="K720" s="585"/>
      <c r="L720" s="585"/>
      <c r="M720" s="585"/>
      <c r="N720" s="585"/>
      <c r="O720" s="585"/>
      <c r="P720" s="585"/>
      <c r="Q720" s="585"/>
      <c r="R720" s="585"/>
      <c r="S720" s="585"/>
      <c r="T720" s="585"/>
      <c r="U720" s="585"/>
      <c r="V720" s="224"/>
      <c r="W720" s="224"/>
      <c r="X720" s="224"/>
      <c r="Y720" s="224"/>
      <c r="Z720" s="868"/>
      <c r="AA720" s="865"/>
      <c r="AB720" s="2"/>
      <c r="AC720" s="2"/>
      <c r="AD720" s="2"/>
      <c r="AE720" s="2"/>
      <c r="AF720" s="2"/>
      <c r="AG720" s="2"/>
      <c r="AH720" s="2"/>
      <c r="AI720" s="2"/>
      <c r="AJ720" s="2"/>
      <c r="AK720" s="2"/>
      <c r="AL720" s="2"/>
      <c r="AM720" s="2"/>
      <c r="AN720" s="2"/>
      <c r="AO720" s="9"/>
      <c r="AP720" s="9"/>
      <c r="AQ720" s="9"/>
      <c r="AR720" s="9"/>
    </row>
    <row r="721">
      <c r="A721" s="585"/>
      <c r="B721" s="585"/>
      <c r="C721" s="585"/>
      <c r="D721" s="585"/>
      <c r="E721" s="585"/>
      <c r="F721" s="585"/>
      <c r="G721" s="585"/>
      <c r="H721" s="585"/>
      <c r="I721" s="585"/>
      <c r="J721" s="585"/>
      <c r="K721" s="585"/>
      <c r="L721" s="585"/>
      <c r="M721" s="585"/>
      <c r="N721" s="585"/>
      <c r="O721" s="585"/>
      <c r="P721" s="585"/>
      <c r="Q721" s="585"/>
      <c r="R721" s="585"/>
      <c r="S721" s="585"/>
      <c r="T721" s="585"/>
      <c r="U721" s="585"/>
      <c r="V721" s="224"/>
      <c r="W721" s="224"/>
      <c r="X721" s="224"/>
      <c r="Y721" s="224"/>
      <c r="Z721" s="868"/>
      <c r="AA721" s="865"/>
      <c r="AB721" s="2"/>
      <c r="AC721" s="2"/>
      <c r="AD721" s="2"/>
      <c r="AE721" s="2"/>
      <c r="AF721" s="2"/>
      <c r="AG721" s="2"/>
      <c r="AH721" s="2"/>
      <c r="AI721" s="2"/>
      <c r="AJ721" s="2"/>
      <c r="AK721" s="2"/>
      <c r="AL721" s="2"/>
      <c r="AM721" s="2"/>
      <c r="AN721" s="2"/>
      <c r="AO721" s="9"/>
      <c r="AP721" s="9"/>
      <c r="AQ721" s="9"/>
      <c r="AR721" s="9"/>
    </row>
    <row r="722">
      <c r="A722" s="585"/>
      <c r="B722" s="585"/>
      <c r="C722" s="585"/>
      <c r="D722" s="585"/>
      <c r="E722" s="585"/>
      <c r="F722" s="585"/>
      <c r="G722" s="585"/>
      <c r="H722" s="585"/>
      <c r="I722" s="585"/>
      <c r="J722" s="585"/>
      <c r="K722" s="585"/>
      <c r="L722" s="585"/>
      <c r="M722" s="585"/>
      <c r="N722" s="585"/>
      <c r="O722" s="585"/>
      <c r="P722" s="585"/>
      <c r="Q722" s="585"/>
      <c r="R722" s="585"/>
      <c r="S722" s="585"/>
      <c r="T722" s="585"/>
      <c r="U722" s="585"/>
      <c r="V722" s="224"/>
      <c r="W722" s="224"/>
      <c r="X722" s="224"/>
      <c r="Y722" s="224"/>
      <c r="Z722" s="868"/>
      <c r="AA722" s="865"/>
      <c r="AB722" s="2"/>
      <c r="AC722" s="2"/>
      <c r="AD722" s="2"/>
      <c r="AE722" s="2"/>
      <c r="AF722" s="2"/>
      <c r="AG722" s="2"/>
      <c r="AH722" s="2"/>
      <c r="AI722" s="2"/>
      <c r="AJ722" s="2"/>
      <c r="AK722" s="2"/>
      <c r="AL722" s="2"/>
      <c r="AM722" s="2"/>
      <c r="AN722" s="2"/>
      <c r="AO722" s="9"/>
      <c r="AP722" s="9"/>
      <c r="AQ722" s="9"/>
      <c r="AR722" s="9"/>
    </row>
    <row r="723">
      <c r="A723" s="585"/>
      <c r="B723" s="585"/>
      <c r="C723" s="585"/>
      <c r="D723" s="585"/>
      <c r="E723" s="585"/>
      <c r="F723" s="585"/>
      <c r="G723" s="585"/>
      <c r="H723" s="585"/>
      <c r="I723" s="585"/>
      <c r="J723" s="585"/>
      <c r="K723" s="585"/>
      <c r="L723" s="585"/>
      <c r="M723" s="585"/>
      <c r="N723" s="585"/>
      <c r="O723" s="585"/>
      <c r="P723" s="585"/>
      <c r="Q723" s="585"/>
      <c r="R723" s="585"/>
      <c r="S723" s="585"/>
      <c r="T723" s="585"/>
      <c r="U723" s="585"/>
      <c r="V723" s="224"/>
      <c r="W723" s="224"/>
      <c r="X723" s="224"/>
      <c r="Y723" s="224"/>
      <c r="Z723" s="868"/>
      <c r="AA723" s="865"/>
      <c r="AB723" s="2"/>
      <c r="AC723" s="2"/>
      <c r="AD723" s="2"/>
      <c r="AE723" s="2"/>
      <c r="AF723" s="2"/>
      <c r="AG723" s="2"/>
      <c r="AH723" s="2"/>
      <c r="AI723" s="2"/>
      <c r="AJ723" s="2"/>
      <c r="AK723" s="2"/>
      <c r="AL723" s="2"/>
      <c r="AM723" s="2"/>
      <c r="AN723" s="2"/>
      <c r="AO723" s="9"/>
      <c r="AP723" s="9"/>
      <c r="AQ723" s="9"/>
      <c r="AR723" s="9"/>
    </row>
    <row r="724">
      <c r="A724" s="585"/>
      <c r="B724" s="585"/>
      <c r="C724" s="585"/>
      <c r="D724" s="585"/>
      <c r="E724" s="585"/>
      <c r="F724" s="585"/>
      <c r="G724" s="585"/>
      <c r="H724" s="585"/>
      <c r="I724" s="585"/>
      <c r="J724" s="585"/>
      <c r="K724" s="585"/>
      <c r="L724" s="585"/>
      <c r="M724" s="585"/>
      <c r="N724" s="585"/>
      <c r="O724" s="585"/>
      <c r="P724" s="585"/>
      <c r="Q724" s="585"/>
      <c r="R724" s="585"/>
      <c r="S724" s="585"/>
      <c r="T724" s="585"/>
      <c r="U724" s="585"/>
      <c r="V724" s="224"/>
      <c r="W724" s="224"/>
      <c r="X724" s="224"/>
      <c r="Y724" s="224"/>
      <c r="Z724" s="868"/>
      <c r="AA724" s="865"/>
      <c r="AB724" s="2"/>
      <c r="AC724" s="2"/>
      <c r="AD724" s="2"/>
      <c r="AE724" s="2"/>
      <c r="AF724" s="2"/>
      <c r="AG724" s="2"/>
      <c r="AH724" s="2"/>
      <c r="AI724" s="2"/>
      <c r="AJ724" s="2"/>
      <c r="AK724" s="2"/>
      <c r="AL724" s="2"/>
      <c r="AM724" s="2"/>
      <c r="AN724" s="2"/>
      <c r="AO724" s="9"/>
      <c r="AP724" s="9"/>
      <c r="AQ724" s="9"/>
      <c r="AR724" s="9"/>
    </row>
    <row r="725">
      <c r="A725" s="585"/>
      <c r="B725" s="585"/>
      <c r="C725" s="585"/>
      <c r="D725" s="585"/>
      <c r="E725" s="585"/>
      <c r="F725" s="585"/>
      <c r="G725" s="585"/>
      <c r="H725" s="585"/>
      <c r="I725" s="585"/>
      <c r="J725" s="585"/>
      <c r="K725" s="585"/>
      <c r="L725" s="585"/>
      <c r="M725" s="585"/>
      <c r="N725" s="585"/>
      <c r="O725" s="585"/>
      <c r="P725" s="585"/>
      <c r="Q725" s="585"/>
      <c r="R725" s="585"/>
      <c r="S725" s="585"/>
      <c r="T725" s="585"/>
      <c r="U725" s="585"/>
      <c r="V725" s="224"/>
      <c r="W725" s="224"/>
      <c r="X725" s="224"/>
      <c r="Y725" s="224"/>
      <c r="Z725" s="868"/>
      <c r="AA725" s="865"/>
      <c r="AB725" s="2"/>
      <c r="AC725" s="2"/>
      <c r="AD725" s="2"/>
      <c r="AE725" s="2"/>
      <c r="AF725" s="2"/>
      <c r="AG725" s="2"/>
      <c r="AH725" s="2"/>
      <c r="AI725" s="2"/>
      <c r="AJ725" s="2"/>
      <c r="AK725" s="2"/>
      <c r="AL725" s="2"/>
      <c r="AM725" s="2"/>
      <c r="AN725" s="2"/>
      <c r="AO725" s="9"/>
      <c r="AP725" s="9"/>
      <c r="AQ725" s="9"/>
      <c r="AR725" s="9"/>
    </row>
    <row r="726">
      <c r="A726" s="585"/>
      <c r="B726" s="585"/>
      <c r="C726" s="585"/>
      <c r="D726" s="585"/>
      <c r="E726" s="585"/>
      <c r="F726" s="585"/>
      <c r="G726" s="585"/>
      <c r="H726" s="585"/>
      <c r="I726" s="585"/>
      <c r="J726" s="585"/>
      <c r="K726" s="585"/>
      <c r="L726" s="585"/>
      <c r="M726" s="585"/>
      <c r="N726" s="585"/>
      <c r="O726" s="585"/>
      <c r="P726" s="585"/>
      <c r="Q726" s="585"/>
      <c r="R726" s="585"/>
      <c r="S726" s="585"/>
      <c r="T726" s="585"/>
      <c r="U726" s="585"/>
      <c r="V726" s="224"/>
      <c r="W726" s="224"/>
      <c r="X726" s="224"/>
      <c r="Y726" s="224"/>
      <c r="Z726" s="868"/>
      <c r="AA726" s="865"/>
      <c r="AB726" s="2"/>
      <c r="AC726" s="2"/>
      <c r="AD726" s="2"/>
      <c r="AE726" s="2"/>
      <c r="AF726" s="2"/>
      <c r="AG726" s="2"/>
      <c r="AH726" s="2"/>
      <c r="AI726" s="2"/>
      <c r="AJ726" s="2"/>
      <c r="AK726" s="2"/>
      <c r="AL726" s="2"/>
      <c r="AM726" s="2"/>
      <c r="AN726" s="2"/>
      <c r="AO726" s="9"/>
      <c r="AP726" s="9"/>
      <c r="AQ726" s="9"/>
      <c r="AR726" s="9"/>
    </row>
    <row r="727">
      <c r="A727" s="585"/>
      <c r="B727" s="585"/>
      <c r="C727" s="585"/>
      <c r="D727" s="585"/>
      <c r="E727" s="585"/>
      <c r="F727" s="585"/>
      <c r="G727" s="585"/>
      <c r="H727" s="585"/>
      <c r="I727" s="585"/>
      <c r="J727" s="585"/>
      <c r="K727" s="585"/>
      <c r="L727" s="585"/>
      <c r="M727" s="585"/>
      <c r="N727" s="585"/>
      <c r="O727" s="585"/>
      <c r="P727" s="585"/>
      <c r="Q727" s="585"/>
      <c r="R727" s="585"/>
      <c r="S727" s="585"/>
      <c r="T727" s="585"/>
      <c r="U727" s="585"/>
      <c r="V727" s="224"/>
      <c r="W727" s="224"/>
      <c r="X727" s="224"/>
      <c r="Y727" s="224"/>
      <c r="Z727" s="868"/>
      <c r="AA727" s="865"/>
      <c r="AB727" s="2"/>
      <c r="AC727" s="2"/>
      <c r="AD727" s="2"/>
      <c r="AE727" s="2"/>
      <c r="AF727" s="2"/>
      <c r="AG727" s="2"/>
      <c r="AH727" s="2"/>
      <c r="AI727" s="2"/>
      <c r="AJ727" s="2"/>
      <c r="AK727" s="2"/>
      <c r="AL727" s="2"/>
      <c r="AM727" s="2"/>
      <c r="AN727" s="2"/>
      <c r="AO727" s="9"/>
      <c r="AP727" s="9"/>
      <c r="AQ727" s="9"/>
      <c r="AR727" s="9"/>
    </row>
    <row r="728">
      <c r="A728" s="585"/>
      <c r="B728" s="585"/>
      <c r="C728" s="585"/>
      <c r="D728" s="585"/>
      <c r="E728" s="585"/>
      <c r="F728" s="585"/>
      <c r="G728" s="585"/>
      <c r="H728" s="585"/>
      <c r="I728" s="585"/>
      <c r="J728" s="585"/>
      <c r="K728" s="585"/>
      <c r="L728" s="585"/>
      <c r="M728" s="585"/>
      <c r="N728" s="585"/>
      <c r="O728" s="585"/>
      <c r="P728" s="585"/>
      <c r="Q728" s="585"/>
      <c r="R728" s="585"/>
      <c r="S728" s="585"/>
      <c r="T728" s="585"/>
      <c r="U728" s="585"/>
      <c r="V728" s="224"/>
      <c r="W728" s="224"/>
      <c r="X728" s="224"/>
      <c r="Y728" s="224"/>
      <c r="Z728" s="868"/>
      <c r="AA728" s="865"/>
      <c r="AB728" s="2"/>
      <c r="AC728" s="2"/>
      <c r="AD728" s="2"/>
      <c r="AE728" s="2"/>
      <c r="AF728" s="2"/>
      <c r="AG728" s="2"/>
      <c r="AH728" s="2"/>
      <c r="AI728" s="2"/>
      <c r="AJ728" s="2"/>
      <c r="AK728" s="2"/>
      <c r="AL728" s="2"/>
      <c r="AM728" s="2"/>
      <c r="AN728" s="2"/>
      <c r="AO728" s="9"/>
      <c r="AP728" s="9"/>
      <c r="AQ728" s="9"/>
      <c r="AR728" s="9"/>
    </row>
    <row r="729">
      <c r="A729" s="585"/>
      <c r="B729" s="585"/>
      <c r="C729" s="585"/>
      <c r="D729" s="585"/>
      <c r="E729" s="585"/>
      <c r="F729" s="585"/>
      <c r="G729" s="585"/>
      <c r="H729" s="585"/>
      <c r="I729" s="585"/>
      <c r="J729" s="585"/>
      <c r="K729" s="585"/>
      <c r="L729" s="585"/>
      <c r="M729" s="585"/>
      <c r="N729" s="585"/>
      <c r="O729" s="585"/>
      <c r="P729" s="585"/>
      <c r="Q729" s="585"/>
      <c r="R729" s="585"/>
      <c r="S729" s="585"/>
      <c r="T729" s="585"/>
      <c r="U729" s="585"/>
      <c r="V729" s="224"/>
      <c r="W729" s="224"/>
      <c r="X729" s="224"/>
      <c r="Y729" s="224"/>
      <c r="Z729" s="868"/>
      <c r="AA729" s="865"/>
      <c r="AB729" s="2"/>
      <c r="AC729" s="2"/>
      <c r="AD729" s="2"/>
      <c r="AE729" s="2"/>
      <c r="AF729" s="2"/>
      <c r="AG729" s="2"/>
      <c r="AH729" s="2"/>
      <c r="AI729" s="2"/>
      <c r="AJ729" s="2"/>
      <c r="AK729" s="2"/>
      <c r="AL729" s="2"/>
      <c r="AM729" s="2"/>
      <c r="AN729" s="2"/>
      <c r="AO729" s="9"/>
      <c r="AP729" s="9"/>
      <c r="AQ729" s="9"/>
      <c r="AR729" s="9"/>
    </row>
    <row r="730">
      <c r="A730" s="585"/>
      <c r="B730" s="585"/>
      <c r="C730" s="585"/>
      <c r="D730" s="585"/>
      <c r="E730" s="585"/>
      <c r="F730" s="585"/>
      <c r="G730" s="585"/>
      <c r="H730" s="585"/>
      <c r="I730" s="585"/>
      <c r="J730" s="585"/>
      <c r="K730" s="585"/>
      <c r="L730" s="585"/>
      <c r="M730" s="585"/>
      <c r="N730" s="585"/>
      <c r="O730" s="585"/>
      <c r="P730" s="585"/>
      <c r="Q730" s="585"/>
      <c r="R730" s="585"/>
      <c r="S730" s="585"/>
      <c r="T730" s="585"/>
      <c r="U730" s="585"/>
      <c r="V730" s="224"/>
      <c r="W730" s="224"/>
      <c r="X730" s="224"/>
      <c r="Y730" s="224"/>
      <c r="Z730" s="868"/>
      <c r="AA730" s="865"/>
      <c r="AB730" s="2"/>
      <c r="AC730" s="2"/>
      <c r="AD730" s="2"/>
      <c r="AE730" s="2"/>
      <c r="AF730" s="2"/>
      <c r="AG730" s="2"/>
      <c r="AH730" s="2"/>
      <c r="AI730" s="2"/>
      <c r="AJ730" s="2"/>
      <c r="AK730" s="2"/>
      <c r="AL730" s="2"/>
      <c r="AM730" s="2"/>
      <c r="AN730" s="2"/>
      <c r="AO730" s="9"/>
      <c r="AP730" s="9"/>
      <c r="AQ730" s="9"/>
      <c r="AR730" s="9"/>
    </row>
    <row r="731">
      <c r="A731" s="585"/>
      <c r="B731" s="585"/>
      <c r="C731" s="585"/>
      <c r="D731" s="585"/>
      <c r="E731" s="585"/>
      <c r="F731" s="585"/>
      <c r="G731" s="585"/>
      <c r="H731" s="585"/>
      <c r="I731" s="585"/>
      <c r="J731" s="585"/>
      <c r="K731" s="585"/>
      <c r="L731" s="585"/>
      <c r="M731" s="585"/>
      <c r="N731" s="585"/>
      <c r="O731" s="585"/>
      <c r="P731" s="585"/>
      <c r="Q731" s="585"/>
      <c r="R731" s="585"/>
      <c r="S731" s="585"/>
      <c r="T731" s="585"/>
      <c r="U731" s="585"/>
      <c r="V731" s="224"/>
      <c r="W731" s="224"/>
      <c r="X731" s="224"/>
      <c r="Y731" s="224"/>
      <c r="Z731" s="868"/>
      <c r="AA731" s="865"/>
      <c r="AB731" s="2"/>
      <c r="AC731" s="2"/>
      <c r="AD731" s="2"/>
      <c r="AE731" s="2"/>
      <c r="AF731" s="2"/>
      <c r="AG731" s="2"/>
      <c r="AH731" s="2"/>
      <c r="AI731" s="2"/>
      <c r="AJ731" s="2"/>
      <c r="AK731" s="2"/>
      <c r="AL731" s="2"/>
      <c r="AM731" s="2"/>
      <c r="AN731" s="2"/>
      <c r="AO731" s="9"/>
      <c r="AP731" s="9"/>
      <c r="AQ731" s="9"/>
      <c r="AR731" s="9"/>
    </row>
    <row r="732">
      <c r="A732" s="585"/>
      <c r="B732" s="585"/>
      <c r="C732" s="585"/>
      <c r="D732" s="585"/>
      <c r="E732" s="585"/>
      <c r="F732" s="585"/>
      <c r="G732" s="585"/>
      <c r="H732" s="585"/>
      <c r="I732" s="585"/>
      <c r="J732" s="585"/>
      <c r="K732" s="585"/>
      <c r="L732" s="585"/>
      <c r="M732" s="585"/>
      <c r="N732" s="585"/>
      <c r="O732" s="585"/>
      <c r="P732" s="585"/>
      <c r="Q732" s="585"/>
      <c r="R732" s="585"/>
      <c r="S732" s="585"/>
      <c r="T732" s="585"/>
      <c r="U732" s="585"/>
      <c r="V732" s="224"/>
      <c r="W732" s="224"/>
      <c r="X732" s="224"/>
      <c r="Y732" s="224"/>
      <c r="Z732" s="868"/>
      <c r="AA732" s="865"/>
      <c r="AB732" s="2"/>
      <c r="AC732" s="2"/>
      <c r="AD732" s="2"/>
      <c r="AE732" s="2"/>
      <c r="AF732" s="2"/>
      <c r="AG732" s="2"/>
      <c r="AH732" s="2"/>
      <c r="AI732" s="2"/>
      <c r="AJ732" s="2"/>
      <c r="AK732" s="2"/>
      <c r="AL732" s="2"/>
      <c r="AM732" s="2"/>
      <c r="AN732" s="2"/>
      <c r="AO732" s="9"/>
      <c r="AP732" s="9"/>
      <c r="AQ732" s="9"/>
      <c r="AR732" s="9"/>
    </row>
    <row r="733">
      <c r="A733" s="585"/>
      <c r="B733" s="585"/>
      <c r="C733" s="585"/>
      <c r="D733" s="585"/>
      <c r="E733" s="585"/>
      <c r="F733" s="585"/>
      <c r="G733" s="585"/>
      <c r="H733" s="585"/>
      <c r="I733" s="585"/>
      <c r="J733" s="585"/>
      <c r="K733" s="585"/>
      <c r="L733" s="585"/>
      <c r="M733" s="585"/>
      <c r="N733" s="585"/>
      <c r="O733" s="585"/>
      <c r="P733" s="585"/>
      <c r="Q733" s="585"/>
      <c r="R733" s="585"/>
      <c r="S733" s="585"/>
      <c r="T733" s="585"/>
      <c r="U733" s="585"/>
      <c r="V733" s="224"/>
      <c r="W733" s="224"/>
      <c r="X733" s="224"/>
      <c r="Y733" s="224"/>
      <c r="Z733" s="868"/>
      <c r="AA733" s="865"/>
      <c r="AB733" s="2"/>
      <c r="AC733" s="2"/>
      <c r="AD733" s="2"/>
      <c r="AE733" s="2"/>
      <c r="AF733" s="2"/>
      <c r="AG733" s="2"/>
      <c r="AH733" s="2"/>
      <c r="AI733" s="2"/>
      <c r="AJ733" s="2"/>
      <c r="AK733" s="2"/>
      <c r="AL733" s="2"/>
      <c r="AM733" s="2"/>
      <c r="AN733" s="2"/>
      <c r="AO733" s="9"/>
      <c r="AP733" s="9"/>
      <c r="AQ733" s="9"/>
      <c r="AR733" s="9"/>
    </row>
    <row r="734">
      <c r="A734" s="585"/>
      <c r="B734" s="585"/>
      <c r="C734" s="585"/>
      <c r="D734" s="585"/>
      <c r="E734" s="585"/>
      <c r="F734" s="585"/>
      <c r="G734" s="585"/>
      <c r="H734" s="585"/>
      <c r="I734" s="585"/>
      <c r="J734" s="585"/>
      <c r="K734" s="585"/>
      <c r="L734" s="585"/>
      <c r="M734" s="585"/>
      <c r="N734" s="585"/>
      <c r="O734" s="585"/>
      <c r="P734" s="585"/>
      <c r="Q734" s="585"/>
      <c r="R734" s="585"/>
      <c r="S734" s="585"/>
      <c r="T734" s="585"/>
      <c r="U734" s="585"/>
      <c r="V734" s="224"/>
      <c r="W734" s="224"/>
      <c r="X734" s="224"/>
      <c r="Y734" s="224"/>
      <c r="Z734" s="868"/>
      <c r="AA734" s="865"/>
      <c r="AB734" s="2"/>
      <c r="AC734" s="2"/>
      <c r="AD734" s="2"/>
      <c r="AE734" s="2"/>
      <c r="AF734" s="2"/>
      <c r="AG734" s="2"/>
      <c r="AH734" s="2"/>
      <c r="AI734" s="2"/>
      <c r="AJ734" s="2"/>
      <c r="AK734" s="2"/>
      <c r="AL734" s="2"/>
      <c r="AM734" s="2"/>
      <c r="AN734" s="2"/>
      <c r="AO734" s="9"/>
      <c r="AP734" s="9"/>
      <c r="AQ734" s="9"/>
      <c r="AR734" s="9"/>
    </row>
    <row r="735">
      <c r="A735" s="585"/>
      <c r="B735" s="585"/>
      <c r="C735" s="585"/>
      <c r="D735" s="585"/>
      <c r="E735" s="585"/>
      <c r="F735" s="585"/>
      <c r="G735" s="585"/>
      <c r="H735" s="585"/>
      <c r="I735" s="585"/>
      <c r="J735" s="585"/>
      <c r="K735" s="585"/>
      <c r="L735" s="585"/>
      <c r="M735" s="585"/>
      <c r="N735" s="585"/>
      <c r="O735" s="585"/>
      <c r="P735" s="585"/>
      <c r="Q735" s="585"/>
      <c r="R735" s="585"/>
      <c r="S735" s="585"/>
      <c r="T735" s="585"/>
      <c r="U735" s="585"/>
      <c r="V735" s="224"/>
      <c r="W735" s="224"/>
      <c r="X735" s="224"/>
      <c r="Y735" s="224"/>
      <c r="Z735" s="868"/>
      <c r="AA735" s="865"/>
      <c r="AB735" s="2"/>
      <c r="AC735" s="2"/>
      <c r="AD735" s="2"/>
      <c r="AE735" s="2"/>
      <c r="AF735" s="2"/>
      <c r="AG735" s="2"/>
      <c r="AH735" s="2"/>
      <c r="AI735" s="2"/>
      <c r="AJ735" s="2"/>
      <c r="AK735" s="2"/>
      <c r="AL735" s="2"/>
      <c r="AM735" s="2"/>
      <c r="AN735" s="2"/>
      <c r="AO735" s="9"/>
      <c r="AP735" s="9"/>
      <c r="AQ735" s="9"/>
      <c r="AR735" s="9"/>
    </row>
    <row r="736">
      <c r="A736" s="585"/>
      <c r="B736" s="585"/>
      <c r="C736" s="585"/>
      <c r="D736" s="585"/>
      <c r="E736" s="585"/>
      <c r="F736" s="585"/>
      <c r="G736" s="585"/>
      <c r="H736" s="585"/>
      <c r="I736" s="585"/>
      <c r="J736" s="585"/>
      <c r="K736" s="585"/>
      <c r="L736" s="585"/>
      <c r="M736" s="585"/>
      <c r="N736" s="585"/>
      <c r="O736" s="585"/>
      <c r="P736" s="585"/>
      <c r="Q736" s="585"/>
      <c r="R736" s="585"/>
      <c r="S736" s="585"/>
      <c r="T736" s="585"/>
      <c r="U736" s="585"/>
      <c r="V736" s="224"/>
      <c r="W736" s="224"/>
      <c r="X736" s="224"/>
      <c r="Y736" s="224"/>
      <c r="Z736" s="868"/>
      <c r="AA736" s="865"/>
      <c r="AB736" s="2"/>
      <c r="AC736" s="2"/>
      <c r="AD736" s="2"/>
      <c r="AE736" s="2"/>
      <c r="AF736" s="2"/>
      <c r="AG736" s="2"/>
      <c r="AH736" s="2"/>
      <c r="AI736" s="2"/>
      <c r="AJ736" s="2"/>
      <c r="AK736" s="2"/>
      <c r="AL736" s="2"/>
      <c r="AM736" s="2"/>
      <c r="AN736" s="2"/>
      <c r="AO736" s="9"/>
      <c r="AP736" s="9"/>
      <c r="AQ736" s="9"/>
      <c r="AR736" s="9"/>
    </row>
    <row r="737">
      <c r="A737" s="585"/>
      <c r="B737" s="585"/>
      <c r="C737" s="585"/>
      <c r="D737" s="585"/>
      <c r="E737" s="585"/>
      <c r="F737" s="585"/>
      <c r="G737" s="585"/>
      <c r="H737" s="585"/>
      <c r="I737" s="585"/>
      <c r="J737" s="585"/>
      <c r="K737" s="585"/>
      <c r="L737" s="585"/>
      <c r="M737" s="585"/>
      <c r="N737" s="585"/>
      <c r="O737" s="585"/>
      <c r="P737" s="585"/>
      <c r="Q737" s="585"/>
      <c r="R737" s="585"/>
      <c r="S737" s="585"/>
      <c r="T737" s="585"/>
      <c r="U737" s="585"/>
      <c r="V737" s="224"/>
      <c r="W737" s="224"/>
      <c r="X737" s="224"/>
      <c r="Y737" s="224"/>
      <c r="Z737" s="868"/>
      <c r="AA737" s="865"/>
      <c r="AB737" s="2"/>
      <c r="AC737" s="2"/>
      <c r="AD737" s="2"/>
      <c r="AE737" s="2"/>
      <c r="AF737" s="2"/>
      <c r="AG737" s="2"/>
      <c r="AH737" s="2"/>
      <c r="AI737" s="2"/>
      <c r="AJ737" s="2"/>
      <c r="AK737" s="2"/>
      <c r="AL737" s="2"/>
      <c r="AM737" s="2"/>
      <c r="AN737" s="2"/>
      <c r="AO737" s="9"/>
      <c r="AP737" s="9"/>
      <c r="AQ737" s="9"/>
      <c r="AR737" s="9"/>
    </row>
    <row r="738">
      <c r="A738" s="585"/>
      <c r="B738" s="585"/>
      <c r="C738" s="585"/>
      <c r="D738" s="585"/>
      <c r="E738" s="585"/>
      <c r="F738" s="585"/>
      <c r="G738" s="585"/>
      <c r="H738" s="585"/>
      <c r="I738" s="585"/>
      <c r="J738" s="585"/>
      <c r="K738" s="585"/>
      <c r="L738" s="585"/>
      <c r="M738" s="585"/>
      <c r="N738" s="585"/>
      <c r="O738" s="585"/>
      <c r="P738" s="585"/>
      <c r="Q738" s="585"/>
      <c r="R738" s="585"/>
      <c r="S738" s="585"/>
      <c r="T738" s="585"/>
      <c r="U738" s="585"/>
      <c r="V738" s="224"/>
      <c r="W738" s="224"/>
      <c r="X738" s="224"/>
      <c r="Y738" s="224"/>
      <c r="Z738" s="868"/>
      <c r="AA738" s="865"/>
      <c r="AB738" s="2"/>
      <c r="AC738" s="2"/>
      <c r="AD738" s="2"/>
      <c r="AE738" s="2"/>
      <c r="AF738" s="2"/>
      <c r="AG738" s="2"/>
      <c r="AH738" s="2"/>
      <c r="AI738" s="2"/>
      <c r="AJ738" s="2"/>
      <c r="AK738" s="2"/>
      <c r="AL738" s="2"/>
      <c r="AM738" s="2"/>
      <c r="AN738" s="2"/>
      <c r="AO738" s="9"/>
      <c r="AP738" s="9"/>
      <c r="AQ738" s="9"/>
      <c r="AR738" s="9"/>
    </row>
    <row r="739">
      <c r="A739" s="585"/>
      <c r="B739" s="585"/>
      <c r="C739" s="585"/>
      <c r="D739" s="585"/>
      <c r="E739" s="585"/>
      <c r="F739" s="585"/>
      <c r="G739" s="585"/>
      <c r="H739" s="585"/>
      <c r="I739" s="585"/>
      <c r="J739" s="585"/>
      <c r="K739" s="585"/>
      <c r="L739" s="585"/>
      <c r="M739" s="585"/>
      <c r="N739" s="585"/>
      <c r="O739" s="585"/>
      <c r="P739" s="585"/>
      <c r="Q739" s="585"/>
      <c r="R739" s="585"/>
      <c r="S739" s="585"/>
      <c r="T739" s="585"/>
      <c r="U739" s="585"/>
      <c r="V739" s="224"/>
      <c r="W739" s="224"/>
      <c r="X739" s="224"/>
      <c r="Y739" s="224"/>
      <c r="Z739" s="868"/>
      <c r="AA739" s="865"/>
      <c r="AB739" s="2"/>
      <c r="AC739" s="2"/>
      <c r="AD739" s="2"/>
      <c r="AE739" s="2"/>
      <c r="AF739" s="2"/>
      <c r="AG739" s="2"/>
      <c r="AH739" s="2"/>
      <c r="AI739" s="2"/>
      <c r="AJ739" s="2"/>
      <c r="AK739" s="2"/>
      <c r="AL739" s="2"/>
      <c r="AM739" s="2"/>
      <c r="AN739" s="2"/>
      <c r="AO739" s="9"/>
      <c r="AP739" s="9"/>
      <c r="AQ739" s="9"/>
      <c r="AR739" s="9"/>
    </row>
    <row r="740">
      <c r="A740" s="585"/>
      <c r="B740" s="585"/>
      <c r="C740" s="585"/>
      <c r="D740" s="585"/>
      <c r="E740" s="585"/>
      <c r="F740" s="585"/>
      <c r="G740" s="585"/>
      <c r="H740" s="585"/>
      <c r="I740" s="585"/>
      <c r="J740" s="585"/>
      <c r="K740" s="585"/>
      <c r="L740" s="585"/>
      <c r="M740" s="585"/>
      <c r="N740" s="585"/>
      <c r="O740" s="585"/>
      <c r="P740" s="585"/>
      <c r="Q740" s="585"/>
      <c r="R740" s="585"/>
      <c r="S740" s="585"/>
      <c r="T740" s="585"/>
      <c r="U740" s="585"/>
      <c r="V740" s="224"/>
      <c r="W740" s="224"/>
      <c r="X740" s="224"/>
      <c r="Y740" s="224"/>
      <c r="Z740" s="868"/>
      <c r="AA740" s="865"/>
      <c r="AB740" s="2"/>
      <c r="AC740" s="2"/>
      <c r="AD740" s="2"/>
      <c r="AE740" s="2"/>
      <c r="AF740" s="2"/>
      <c r="AG740" s="2"/>
      <c r="AH740" s="2"/>
      <c r="AI740" s="2"/>
      <c r="AJ740" s="2"/>
      <c r="AK740" s="2"/>
      <c r="AL740" s="2"/>
      <c r="AM740" s="2"/>
      <c r="AN740" s="2"/>
      <c r="AO740" s="9"/>
      <c r="AP740" s="9"/>
      <c r="AQ740" s="9"/>
      <c r="AR740" s="9"/>
    </row>
    <row r="741">
      <c r="A741" s="585"/>
      <c r="B741" s="585"/>
      <c r="C741" s="585"/>
      <c r="D741" s="585"/>
      <c r="E741" s="585"/>
      <c r="F741" s="585"/>
      <c r="G741" s="585"/>
      <c r="H741" s="585"/>
      <c r="I741" s="585"/>
      <c r="J741" s="585"/>
      <c r="K741" s="585"/>
      <c r="L741" s="585"/>
      <c r="M741" s="585"/>
      <c r="N741" s="585"/>
      <c r="O741" s="585"/>
      <c r="P741" s="585"/>
      <c r="Q741" s="585"/>
      <c r="R741" s="585"/>
      <c r="S741" s="585"/>
      <c r="T741" s="585"/>
      <c r="U741" s="585"/>
      <c r="V741" s="224"/>
      <c r="W741" s="224"/>
      <c r="X741" s="224"/>
      <c r="Y741" s="224"/>
      <c r="Z741" s="868"/>
      <c r="AA741" s="865"/>
      <c r="AB741" s="2"/>
      <c r="AC741" s="2"/>
      <c r="AD741" s="2"/>
      <c r="AE741" s="2"/>
      <c r="AF741" s="2"/>
      <c r="AG741" s="2"/>
      <c r="AH741" s="2"/>
      <c r="AI741" s="2"/>
      <c r="AJ741" s="2"/>
      <c r="AK741" s="2"/>
      <c r="AL741" s="2"/>
      <c r="AM741" s="2"/>
      <c r="AN741" s="2"/>
      <c r="AO741" s="9"/>
      <c r="AP741" s="9"/>
      <c r="AQ741" s="9"/>
      <c r="AR741" s="9"/>
    </row>
    <row r="742">
      <c r="A742" s="585"/>
      <c r="B742" s="585"/>
      <c r="C742" s="585"/>
      <c r="D742" s="585"/>
      <c r="E742" s="585"/>
      <c r="F742" s="585"/>
      <c r="G742" s="585"/>
      <c r="H742" s="585"/>
      <c r="I742" s="585"/>
      <c r="J742" s="585"/>
      <c r="K742" s="585"/>
      <c r="L742" s="585"/>
      <c r="M742" s="585"/>
      <c r="N742" s="585"/>
      <c r="O742" s="585"/>
      <c r="P742" s="585"/>
      <c r="Q742" s="585"/>
      <c r="R742" s="585"/>
      <c r="S742" s="585"/>
      <c r="T742" s="585"/>
      <c r="U742" s="585"/>
      <c r="V742" s="224"/>
      <c r="W742" s="224"/>
      <c r="X742" s="224"/>
      <c r="Y742" s="224"/>
      <c r="Z742" s="868"/>
      <c r="AA742" s="865"/>
      <c r="AB742" s="2"/>
      <c r="AC742" s="2"/>
      <c r="AD742" s="2"/>
      <c r="AE742" s="2"/>
      <c r="AF742" s="2"/>
      <c r="AG742" s="2"/>
      <c r="AH742" s="2"/>
      <c r="AI742" s="2"/>
      <c r="AJ742" s="2"/>
      <c r="AK742" s="2"/>
      <c r="AL742" s="2"/>
      <c r="AM742" s="2"/>
      <c r="AN742" s="2"/>
      <c r="AO742" s="9"/>
      <c r="AP742" s="9"/>
      <c r="AQ742" s="9"/>
      <c r="AR742" s="9"/>
    </row>
    <row r="743">
      <c r="A743" s="585"/>
      <c r="B743" s="585"/>
      <c r="C743" s="585"/>
      <c r="D743" s="585"/>
      <c r="E743" s="585"/>
      <c r="F743" s="585"/>
      <c r="G743" s="585"/>
      <c r="H743" s="585"/>
      <c r="I743" s="585"/>
      <c r="J743" s="585"/>
      <c r="K743" s="585"/>
      <c r="L743" s="585"/>
      <c r="M743" s="585"/>
      <c r="N743" s="585"/>
      <c r="O743" s="585"/>
      <c r="P743" s="585"/>
      <c r="Q743" s="585"/>
      <c r="R743" s="585"/>
      <c r="S743" s="585"/>
      <c r="T743" s="585"/>
      <c r="U743" s="585"/>
      <c r="V743" s="224"/>
      <c r="W743" s="224"/>
      <c r="X743" s="224"/>
      <c r="Y743" s="224"/>
      <c r="Z743" s="868"/>
      <c r="AA743" s="865"/>
      <c r="AB743" s="2"/>
      <c r="AC743" s="2"/>
      <c r="AD743" s="2"/>
      <c r="AE743" s="2"/>
      <c r="AF743" s="2"/>
      <c r="AG743" s="2"/>
      <c r="AH743" s="2"/>
      <c r="AI743" s="2"/>
      <c r="AJ743" s="2"/>
      <c r="AK743" s="2"/>
      <c r="AL743" s="2"/>
      <c r="AM743" s="2"/>
      <c r="AN743" s="2"/>
      <c r="AO743" s="9"/>
      <c r="AP743" s="9"/>
      <c r="AQ743" s="9"/>
      <c r="AR743" s="9"/>
    </row>
    <row r="744">
      <c r="A744" s="585"/>
      <c r="B744" s="585"/>
      <c r="C744" s="585"/>
      <c r="D744" s="585"/>
      <c r="E744" s="585"/>
      <c r="F744" s="585"/>
      <c r="G744" s="585"/>
      <c r="H744" s="585"/>
      <c r="I744" s="585"/>
      <c r="J744" s="585"/>
      <c r="K744" s="585"/>
      <c r="L744" s="585"/>
      <c r="M744" s="585"/>
      <c r="N744" s="585"/>
      <c r="O744" s="585"/>
      <c r="P744" s="585"/>
      <c r="Q744" s="585"/>
      <c r="R744" s="585"/>
      <c r="S744" s="585"/>
      <c r="T744" s="585"/>
      <c r="U744" s="585"/>
      <c r="V744" s="224"/>
      <c r="W744" s="224"/>
      <c r="X744" s="224"/>
      <c r="Y744" s="224"/>
      <c r="Z744" s="868"/>
      <c r="AA744" s="865"/>
      <c r="AB744" s="2"/>
      <c r="AC744" s="2"/>
      <c r="AD744" s="2"/>
      <c r="AE744" s="2"/>
      <c r="AF744" s="2"/>
      <c r="AG744" s="2"/>
      <c r="AH744" s="2"/>
      <c r="AI744" s="2"/>
      <c r="AJ744" s="2"/>
      <c r="AK744" s="2"/>
      <c r="AL744" s="2"/>
      <c r="AM744" s="2"/>
      <c r="AN744" s="2"/>
      <c r="AO744" s="9"/>
      <c r="AP744" s="9"/>
      <c r="AQ744" s="9"/>
      <c r="AR744" s="9"/>
    </row>
    <row r="745">
      <c r="A745" s="585"/>
      <c r="B745" s="585"/>
      <c r="C745" s="585"/>
      <c r="D745" s="585"/>
      <c r="E745" s="585"/>
      <c r="F745" s="585"/>
      <c r="G745" s="585"/>
      <c r="H745" s="585"/>
      <c r="I745" s="585"/>
      <c r="J745" s="585"/>
      <c r="K745" s="585"/>
      <c r="L745" s="585"/>
      <c r="M745" s="585"/>
      <c r="N745" s="585"/>
      <c r="O745" s="585"/>
      <c r="P745" s="585"/>
      <c r="Q745" s="585"/>
      <c r="R745" s="585"/>
      <c r="S745" s="585"/>
      <c r="T745" s="585"/>
      <c r="U745" s="585"/>
      <c r="V745" s="224"/>
      <c r="W745" s="224"/>
      <c r="X745" s="224"/>
      <c r="Y745" s="224"/>
      <c r="Z745" s="868"/>
      <c r="AA745" s="865"/>
      <c r="AB745" s="2"/>
      <c r="AC745" s="2"/>
      <c r="AD745" s="2"/>
      <c r="AE745" s="2"/>
      <c r="AF745" s="2"/>
      <c r="AG745" s="2"/>
      <c r="AH745" s="2"/>
      <c r="AI745" s="2"/>
      <c r="AJ745" s="2"/>
      <c r="AK745" s="2"/>
      <c r="AL745" s="2"/>
      <c r="AM745" s="2"/>
      <c r="AN745" s="2"/>
      <c r="AO745" s="9"/>
      <c r="AP745" s="9"/>
      <c r="AQ745" s="9"/>
      <c r="AR745" s="9"/>
    </row>
    <row r="746">
      <c r="A746" s="585"/>
      <c r="B746" s="585"/>
      <c r="C746" s="585"/>
      <c r="D746" s="585"/>
      <c r="E746" s="585"/>
      <c r="F746" s="585"/>
      <c r="G746" s="585"/>
      <c r="H746" s="585"/>
      <c r="I746" s="585"/>
      <c r="J746" s="585"/>
      <c r="K746" s="585"/>
      <c r="L746" s="585"/>
      <c r="M746" s="585"/>
      <c r="N746" s="585"/>
      <c r="O746" s="585"/>
      <c r="P746" s="585"/>
      <c r="Q746" s="585"/>
      <c r="R746" s="585"/>
      <c r="S746" s="585"/>
      <c r="T746" s="585"/>
      <c r="U746" s="585"/>
      <c r="V746" s="224"/>
      <c r="W746" s="224"/>
      <c r="X746" s="224"/>
      <c r="Y746" s="224"/>
      <c r="Z746" s="868"/>
      <c r="AA746" s="865"/>
      <c r="AB746" s="2"/>
      <c r="AC746" s="2"/>
      <c r="AD746" s="2"/>
      <c r="AE746" s="2"/>
      <c r="AF746" s="2"/>
      <c r="AG746" s="2"/>
      <c r="AH746" s="2"/>
      <c r="AI746" s="2"/>
      <c r="AJ746" s="2"/>
      <c r="AK746" s="2"/>
      <c r="AL746" s="2"/>
      <c r="AM746" s="2"/>
      <c r="AN746" s="2"/>
      <c r="AO746" s="9"/>
      <c r="AP746" s="9"/>
      <c r="AQ746" s="9"/>
      <c r="AR746" s="9"/>
    </row>
    <row r="747">
      <c r="A747" s="585"/>
      <c r="B747" s="585"/>
      <c r="C747" s="585"/>
      <c r="D747" s="585"/>
      <c r="E747" s="585"/>
      <c r="F747" s="585"/>
      <c r="G747" s="585"/>
      <c r="H747" s="585"/>
      <c r="I747" s="585"/>
      <c r="J747" s="585"/>
      <c r="K747" s="585"/>
      <c r="L747" s="585"/>
      <c r="M747" s="585"/>
      <c r="N747" s="585"/>
      <c r="O747" s="585"/>
      <c r="P747" s="585"/>
      <c r="Q747" s="585"/>
      <c r="R747" s="585"/>
      <c r="S747" s="585"/>
      <c r="T747" s="585"/>
      <c r="U747" s="585"/>
      <c r="V747" s="224"/>
      <c r="W747" s="224"/>
      <c r="X747" s="224"/>
      <c r="Y747" s="224"/>
      <c r="Z747" s="868"/>
      <c r="AA747" s="865"/>
      <c r="AB747" s="2"/>
      <c r="AC747" s="2"/>
      <c r="AD747" s="2"/>
      <c r="AE747" s="2"/>
      <c r="AF747" s="2"/>
      <c r="AG747" s="2"/>
      <c r="AH747" s="2"/>
      <c r="AI747" s="2"/>
      <c r="AJ747" s="2"/>
      <c r="AK747" s="2"/>
      <c r="AL747" s="2"/>
      <c r="AM747" s="2"/>
      <c r="AN747" s="2"/>
      <c r="AO747" s="9"/>
      <c r="AP747" s="9"/>
      <c r="AQ747" s="9"/>
      <c r="AR747" s="9"/>
    </row>
    <row r="748">
      <c r="A748" s="585"/>
      <c r="B748" s="585"/>
      <c r="C748" s="585"/>
      <c r="D748" s="585"/>
      <c r="E748" s="585"/>
      <c r="F748" s="585"/>
      <c r="G748" s="585"/>
      <c r="H748" s="585"/>
      <c r="I748" s="585"/>
      <c r="J748" s="585"/>
      <c r="K748" s="585"/>
      <c r="L748" s="585"/>
      <c r="M748" s="585"/>
      <c r="N748" s="585"/>
      <c r="O748" s="585"/>
      <c r="P748" s="585"/>
      <c r="Q748" s="585"/>
      <c r="R748" s="585"/>
      <c r="S748" s="585"/>
      <c r="T748" s="585"/>
      <c r="U748" s="585"/>
      <c r="V748" s="224"/>
      <c r="W748" s="224"/>
      <c r="X748" s="224"/>
      <c r="Y748" s="224"/>
      <c r="Z748" s="868"/>
      <c r="AA748" s="865"/>
      <c r="AB748" s="2"/>
      <c r="AC748" s="2"/>
      <c r="AD748" s="2"/>
      <c r="AE748" s="2"/>
      <c r="AF748" s="2"/>
      <c r="AG748" s="2"/>
      <c r="AH748" s="2"/>
      <c r="AI748" s="2"/>
      <c r="AJ748" s="2"/>
      <c r="AK748" s="2"/>
      <c r="AL748" s="2"/>
      <c r="AM748" s="2"/>
      <c r="AN748" s="2"/>
      <c r="AO748" s="9"/>
      <c r="AP748" s="9"/>
      <c r="AQ748" s="9"/>
      <c r="AR748" s="9"/>
    </row>
    <row r="749">
      <c r="A749" s="585"/>
      <c r="B749" s="585"/>
      <c r="C749" s="585"/>
      <c r="D749" s="585"/>
      <c r="E749" s="585"/>
      <c r="F749" s="585"/>
      <c r="G749" s="585"/>
      <c r="H749" s="585"/>
      <c r="I749" s="585"/>
      <c r="J749" s="585"/>
      <c r="K749" s="585"/>
      <c r="L749" s="585"/>
      <c r="M749" s="585"/>
      <c r="N749" s="585"/>
      <c r="O749" s="585"/>
      <c r="P749" s="585"/>
      <c r="Q749" s="585"/>
      <c r="R749" s="585"/>
      <c r="S749" s="585"/>
      <c r="T749" s="585"/>
      <c r="U749" s="585"/>
      <c r="V749" s="224"/>
      <c r="W749" s="224"/>
      <c r="X749" s="224"/>
      <c r="Y749" s="224"/>
      <c r="Z749" s="868"/>
      <c r="AA749" s="865"/>
      <c r="AB749" s="2"/>
      <c r="AC749" s="2"/>
      <c r="AD749" s="2"/>
      <c r="AE749" s="2"/>
      <c r="AF749" s="2"/>
      <c r="AG749" s="2"/>
      <c r="AH749" s="2"/>
      <c r="AI749" s="2"/>
      <c r="AJ749" s="2"/>
      <c r="AK749" s="2"/>
      <c r="AL749" s="2"/>
      <c r="AM749" s="2"/>
      <c r="AN749" s="2"/>
      <c r="AO749" s="9"/>
      <c r="AP749" s="9"/>
      <c r="AQ749" s="9"/>
      <c r="AR749" s="9"/>
    </row>
    <row r="750">
      <c r="A750" s="585"/>
      <c r="B750" s="585"/>
      <c r="C750" s="585"/>
      <c r="D750" s="585"/>
      <c r="E750" s="585"/>
      <c r="F750" s="585"/>
      <c r="G750" s="585"/>
      <c r="H750" s="585"/>
      <c r="I750" s="585"/>
      <c r="J750" s="585"/>
      <c r="K750" s="585"/>
      <c r="L750" s="585"/>
      <c r="M750" s="585"/>
      <c r="N750" s="585"/>
      <c r="O750" s="585"/>
      <c r="P750" s="585"/>
      <c r="Q750" s="585"/>
      <c r="R750" s="585"/>
      <c r="S750" s="585"/>
      <c r="T750" s="585"/>
      <c r="U750" s="585"/>
      <c r="V750" s="224"/>
      <c r="W750" s="224"/>
      <c r="X750" s="224"/>
      <c r="Y750" s="224"/>
      <c r="Z750" s="868"/>
      <c r="AA750" s="865"/>
      <c r="AB750" s="2"/>
      <c r="AC750" s="2"/>
      <c r="AD750" s="2"/>
      <c r="AE750" s="2"/>
      <c r="AF750" s="2"/>
      <c r="AG750" s="2"/>
      <c r="AH750" s="2"/>
      <c r="AI750" s="2"/>
      <c r="AJ750" s="2"/>
      <c r="AK750" s="2"/>
      <c r="AL750" s="2"/>
      <c r="AM750" s="2"/>
      <c r="AN750" s="2"/>
      <c r="AO750" s="9"/>
      <c r="AP750" s="9"/>
      <c r="AQ750" s="9"/>
      <c r="AR750" s="9"/>
    </row>
    <row r="751">
      <c r="A751" s="585"/>
      <c r="B751" s="585"/>
      <c r="C751" s="585"/>
      <c r="D751" s="585"/>
      <c r="E751" s="585"/>
      <c r="F751" s="585"/>
      <c r="G751" s="585"/>
      <c r="H751" s="585"/>
      <c r="I751" s="585"/>
      <c r="J751" s="585"/>
      <c r="K751" s="585"/>
      <c r="L751" s="585"/>
      <c r="M751" s="585"/>
      <c r="N751" s="585"/>
      <c r="O751" s="585"/>
      <c r="P751" s="585"/>
      <c r="Q751" s="585"/>
      <c r="R751" s="585"/>
      <c r="S751" s="585"/>
      <c r="T751" s="585"/>
      <c r="U751" s="585"/>
      <c r="V751" s="224"/>
      <c r="W751" s="224"/>
      <c r="X751" s="224"/>
      <c r="Y751" s="224"/>
      <c r="Z751" s="868"/>
      <c r="AA751" s="865"/>
      <c r="AB751" s="2"/>
      <c r="AC751" s="2"/>
      <c r="AD751" s="2"/>
      <c r="AE751" s="2"/>
      <c r="AF751" s="2"/>
      <c r="AG751" s="2"/>
      <c r="AH751" s="2"/>
      <c r="AI751" s="2"/>
      <c r="AJ751" s="2"/>
      <c r="AK751" s="2"/>
      <c r="AL751" s="2"/>
      <c r="AM751" s="2"/>
      <c r="AN751" s="2"/>
      <c r="AO751" s="9"/>
      <c r="AP751" s="9"/>
      <c r="AQ751" s="9"/>
      <c r="AR751" s="9"/>
    </row>
    <row r="752">
      <c r="A752" s="585"/>
      <c r="B752" s="585"/>
      <c r="C752" s="585"/>
      <c r="D752" s="585"/>
      <c r="E752" s="585"/>
      <c r="F752" s="585"/>
      <c r="G752" s="585"/>
      <c r="H752" s="585"/>
      <c r="I752" s="585"/>
      <c r="J752" s="585"/>
      <c r="K752" s="585"/>
      <c r="L752" s="585"/>
      <c r="M752" s="585"/>
      <c r="N752" s="585"/>
      <c r="O752" s="585"/>
      <c r="P752" s="585"/>
      <c r="Q752" s="585"/>
      <c r="R752" s="585"/>
      <c r="S752" s="585"/>
      <c r="T752" s="585"/>
      <c r="U752" s="585"/>
      <c r="V752" s="224"/>
      <c r="W752" s="224"/>
      <c r="X752" s="224"/>
      <c r="Y752" s="224"/>
      <c r="Z752" s="868"/>
      <c r="AA752" s="865"/>
      <c r="AB752" s="2"/>
      <c r="AC752" s="2"/>
      <c r="AD752" s="2"/>
      <c r="AE752" s="2"/>
      <c r="AF752" s="2"/>
      <c r="AG752" s="2"/>
      <c r="AH752" s="2"/>
      <c r="AI752" s="2"/>
      <c r="AJ752" s="2"/>
      <c r="AK752" s="2"/>
      <c r="AL752" s="2"/>
      <c r="AM752" s="2"/>
      <c r="AN752" s="2"/>
      <c r="AO752" s="9"/>
      <c r="AP752" s="9"/>
      <c r="AQ752" s="9"/>
      <c r="AR752" s="9"/>
    </row>
    <row r="753">
      <c r="A753" s="585"/>
      <c r="B753" s="585"/>
      <c r="C753" s="585"/>
      <c r="D753" s="585"/>
      <c r="E753" s="585"/>
      <c r="F753" s="585"/>
      <c r="G753" s="585"/>
      <c r="H753" s="585"/>
      <c r="I753" s="585"/>
      <c r="J753" s="585"/>
      <c r="K753" s="585"/>
      <c r="L753" s="585"/>
      <c r="M753" s="585"/>
      <c r="N753" s="585"/>
      <c r="O753" s="585"/>
      <c r="P753" s="585"/>
      <c r="Q753" s="585"/>
      <c r="R753" s="585"/>
      <c r="S753" s="585"/>
      <c r="T753" s="585"/>
      <c r="U753" s="585"/>
      <c r="V753" s="224"/>
      <c r="W753" s="224"/>
      <c r="X753" s="224"/>
      <c r="Y753" s="224"/>
      <c r="Z753" s="868"/>
      <c r="AA753" s="865"/>
      <c r="AB753" s="2"/>
      <c r="AC753" s="2"/>
      <c r="AD753" s="2"/>
      <c r="AE753" s="2"/>
      <c r="AF753" s="2"/>
      <c r="AG753" s="2"/>
      <c r="AH753" s="2"/>
      <c r="AI753" s="2"/>
      <c r="AJ753" s="2"/>
      <c r="AK753" s="2"/>
      <c r="AL753" s="2"/>
      <c r="AM753" s="2"/>
      <c r="AN753" s="2"/>
      <c r="AO753" s="9"/>
      <c r="AP753" s="9"/>
      <c r="AQ753" s="9"/>
      <c r="AR753" s="9"/>
    </row>
    <row r="754">
      <c r="A754" s="585"/>
      <c r="B754" s="585"/>
      <c r="C754" s="585"/>
      <c r="D754" s="585"/>
      <c r="E754" s="585"/>
      <c r="F754" s="585"/>
      <c r="G754" s="585"/>
      <c r="H754" s="585"/>
      <c r="I754" s="585"/>
      <c r="J754" s="585"/>
      <c r="K754" s="585"/>
      <c r="L754" s="585"/>
      <c r="M754" s="585"/>
      <c r="N754" s="585"/>
      <c r="O754" s="585"/>
      <c r="P754" s="585"/>
      <c r="Q754" s="585"/>
      <c r="R754" s="585"/>
      <c r="S754" s="585"/>
      <c r="T754" s="585"/>
      <c r="U754" s="585"/>
      <c r="V754" s="224"/>
      <c r="W754" s="224"/>
      <c r="X754" s="224"/>
      <c r="Y754" s="224"/>
      <c r="Z754" s="868"/>
      <c r="AA754" s="865"/>
      <c r="AB754" s="2"/>
      <c r="AC754" s="2"/>
      <c r="AD754" s="2"/>
      <c r="AE754" s="2"/>
      <c r="AF754" s="2"/>
      <c r="AG754" s="2"/>
      <c r="AH754" s="2"/>
      <c r="AI754" s="2"/>
      <c r="AJ754" s="2"/>
      <c r="AK754" s="2"/>
      <c r="AL754" s="2"/>
      <c r="AM754" s="2"/>
      <c r="AN754" s="2"/>
      <c r="AO754" s="9"/>
      <c r="AP754" s="9"/>
      <c r="AQ754" s="9"/>
      <c r="AR754" s="9"/>
    </row>
    <row r="755">
      <c r="A755" s="585"/>
      <c r="B755" s="585"/>
      <c r="C755" s="585"/>
      <c r="D755" s="585"/>
      <c r="E755" s="585"/>
      <c r="F755" s="585"/>
      <c r="G755" s="585"/>
      <c r="H755" s="585"/>
      <c r="I755" s="585"/>
      <c r="J755" s="585"/>
      <c r="K755" s="585"/>
      <c r="L755" s="585"/>
      <c r="M755" s="585"/>
      <c r="N755" s="585"/>
      <c r="O755" s="585"/>
      <c r="P755" s="585"/>
      <c r="Q755" s="585"/>
      <c r="R755" s="585"/>
      <c r="S755" s="585"/>
      <c r="T755" s="585"/>
      <c r="U755" s="585"/>
      <c r="V755" s="224"/>
      <c r="W755" s="224"/>
      <c r="X755" s="224"/>
      <c r="Y755" s="224"/>
      <c r="Z755" s="868"/>
      <c r="AA755" s="865"/>
      <c r="AB755" s="2"/>
      <c r="AC755" s="2"/>
      <c r="AD755" s="2"/>
      <c r="AE755" s="2"/>
      <c r="AF755" s="2"/>
      <c r="AG755" s="2"/>
      <c r="AH755" s="2"/>
      <c r="AI755" s="2"/>
      <c r="AJ755" s="2"/>
      <c r="AK755" s="2"/>
      <c r="AL755" s="2"/>
      <c r="AM755" s="2"/>
      <c r="AN755" s="2"/>
      <c r="AO755" s="9"/>
      <c r="AP755" s="9"/>
      <c r="AQ755" s="9"/>
      <c r="AR755" s="9"/>
    </row>
    <row r="756">
      <c r="A756" s="585"/>
      <c r="B756" s="585"/>
      <c r="C756" s="585"/>
      <c r="D756" s="585"/>
      <c r="E756" s="585"/>
      <c r="F756" s="585"/>
      <c r="G756" s="585"/>
      <c r="H756" s="585"/>
      <c r="I756" s="585"/>
      <c r="J756" s="585"/>
      <c r="K756" s="585"/>
      <c r="L756" s="585"/>
      <c r="M756" s="585"/>
      <c r="N756" s="585"/>
      <c r="O756" s="585"/>
      <c r="P756" s="585"/>
      <c r="Q756" s="585"/>
      <c r="R756" s="585"/>
      <c r="S756" s="585"/>
      <c r="T756" s="585"/>
      <c r="U756" s="585"/>
      <c r="V756" s="224"/>
      <c r="W756" s="224"/>
      <c r="X756" s="224"/>
      <c r="Y756" s="224"/>
      <c r="Z756" s="868"/>
      <c r="AA756" s="865"/>
      <c r="AB756" s="2"/>
      <c r="AC756" s="2"/>
      <c r="AD756" s="2"/>
      <c r="AE756" s="2"/>
      <c r="AF756" s="2"/>
      <c r="AG756" s="2"/>
      <c r="AH756" s="2"/>
      <c r="AI756" s="2"/>
      <c r="AJ756" s="2"/>
      <c r="AK756" s="2"/>
      <c r="AL756" s="2"/>
      <c r="AM756" s="2"/>
      <c r="AN756" s="2"/>
      <c r="AO756" s="9"/>
      <c r="AP756" s="9"/>
      <c r="AQ756" s="9"/>
      <c r="AR756" s="9"/>
    </row>
    <row r="757">
      <c r="A757" s="585"/>
      <c r="B757" s="585"/>
      <c r="C757" s="585"/>
      <c r="D757" s="585"/>
      <c r="E757" s="585"/>
      <c r="F757" s="585"/>
      <c r="G757" s="585"/>
      <c r="H757" s="585"/>
      <c r="I757" s="585"/>
      <c r="J757" s="585"/>
      <c r="K757" s="585"/>
      <c r="L757" s="585"/>
      <c r="M757" s="585"/>
      <c r="N757" s="585"/>
      <c r="O757" s="585"/>
      <c r="P757" s="585"/>
      <c r="Q757" s="585"/>
      <c r="R757" s="585"/>
      <c r="S757" s="585"/>
      <c r="T757" s="585"/>
      <c r="U757" s="585"/>
      <c r="V757" s="224"/>
      <c r="W757" s="224"/>
      <c r="X757" s="224"/>
      <c r="Y757" s="224"/>
      <c r="Z757" s="868"/>
      <c r="AA757" s="865"/>
      <c r="AB757" s="2"/>
      <c r="AC757" s="2"/>
      <c r="AD757" s="2"/>
      <c r="AE757" s="2"/>
      <c r="AF757" s="2"/>
      <c r="AG757" s="2"/>
      <c r="AH757" s="2"/>
      <c r="AI757" s="2"/>
      <c r="AJ757" s="2"/>
      <c r="AK757" s="2"/>
      <c r="AL757" s="2"/>
      <c r="AM757" s="2"/>
      <c r="AN757" s="2"/>
      <c r="AO757" s="9"/>
      <c r="AP757" s="9"/>
      <c r="AQ757" s="9"/>
      <c r="AR757" s="9"/>
    </row>
    <row r="758">
      <c r="A758" s="585"/>
      <c r="B758" s="585"/>
      <c r="C758" s="585"/>
      <c r="D758" s="585"/>
      <c r="E758" s="585"/>
      <c r="F758" s="585"/>
      <c r="G758" s="585"/>
      <c r="H758" s="585"/>
      <c r="I758" s="585"/>
      <c r="J758" s="585"/>
      <c r="K758" s="585"/>
      <c r="L758" s="585"/>
      <c r="M758" s="585"/>
      <c r="N758" s="585"/>
      <c r="O758" s="585"/>
      <c r="P758" s="585"/>
      <c r="Q758" s="585"/>
      <c r="R758" s="585"/>
      <c r="S758" s="585"/>
      <c r="T758" s="585"/>
      <c r="U758" s="585"/>
      <c r="V758" s="224"/>
      <c r="W758" s="224"/>
      <c r="X758" s="224"/>
      <c r="Y758" s="224"/>
      <c r="Z758" s="868"/>
      <c r="AA758" s="865"/>
      <c r="AB758" s="2"/>
      <c r="AC758" s="2"/>
      <c r="AD758" s="2"/>
      <c r="AE758" s="2"/>
      <c r="AF758" s="2"/>
      <c r="AG758" s="2"/>
      <c r="AH758" s="2"/>
      <c r="AI758" s="2"/>
      <c r="AJ758" s="2"/>
      <c r="AK758" s="2"/>
      <c r="AL758" s="2"/>
      <c r="AM758" s="2"/>
      <c r="AN758" s="2"/>
      <c r="AO758" s="9"/>
      <c r="AP758" s="9"/>
      <c r="AQ758" s="9"/>
      <c r="AR758" s="9"/>
    </row>
    <row r="759">
      <c r="A759" s="585"/>
      <c r="B759" s="585"/>
      <c r="C759" s="585"/>
      <c r="D759" s="585"/>
      <c r="E759" s="585"/>
      <c r="F759" s="585"/>
      <c r="G759" s="585"/>
      <c r="H759" s="585"/>
      <c r="I759" s="585"/>
      <c r="J759" s="585"/>
      <c r="K759" s="585"/>
      <c r="L759" s="585"/>
      <c r="M759" s="585"/>
      <c r="N759" s="585"/>
      <c r="O759" s="585"/>
      <c r="P759" s="585"/>
      <c r="Q759" s="585"/>
      <c r="R759" s="585"/>
      <c r="S759" s="585"/>
      <c r="T759" s="585"/>
      <c r="U759" s="585"/>
      <c r="V759" s="224"/>
      <c r="W759" s="224"/>
      <c r="X759" s="224"/>
      <c r="Y759" s="224"/>
      <c r="Z759" s="868"/>
      <c r="AA759" s="865"/>
      <c r="AB759" s="2"/>
      <c r="AC759" s="2"/>
      <c r="AD759" s="2"/>
      <c r="AE759" s="2"/>
      <c r="AF759" s="2"/>
      <c r="AG759" s="2"/>
      <c r="AH759" s="2"/>
      <c r="AI759" s="2"/>
      <c r="AJ759" s="2"/>
      <c r="AK759" s="2"/>
      <c r="AL759" s="2"/>
      <c r="AM759" s="2"/>
      <c r="AN759" s="2"/>
      <c r="AO759" s="9"/>
      <c r="AP759" s="9"/>
      <c r="AQ759" s="9"/>
      <c r="AR759" s="9"/>
    </row>
    <row r="760">
      <c r="A760" s="585"/>
      <c r="B760" s="585"/>
      <c r="C760" s="585"/>
      <c r="D760" s="585"/>
      <c r="E760" s="585"/>
      <c r="F760" s="585"/>
      <c r="G760" s="585"/>
      <c r="H760" s="585"/>
      <c r="I760" s="585"/>
      <c r="J760" s="585"/>
      <c r="K760" s="585"/>
      <c r="L760" s="585"/>
      <c r="M760" s="585"/>
      <c r="N760" s="585"/>
      <c r="O760" s="585"/>
      <c r="P760" s="585"/>
      <c r="Q760" s="585"/>
      <c r="R760" s="585"/>
      <c r="S760" s="585"/>
      <c r="T760" s="585"/>
      <c r="U760" s="585"/>
      <c r="V760" s="224"/>
      <c r="W760" s="224"/>
      <c r="X760" s="224"/>
      <c r="Y760" s="224"/>
      <c r="Z760" s="868"/>
      <c r="AA760" s="865"/>
      <c r="AB760" s="2"/>
      <c r="AC760" s="2"/>
      <c r="AD760" s="2"/>
      <c r="AE760" s="2"/>
      <c r="AF760" s="2"/>
      <c r="AG760" s="2"/>
      <c r="AH760" s="2"/>
      <c r="AI760" s="2"/>
      <c r="AJ760" s="2"/>
      <c r="AK760" s="2"/>
      <c r="AL760" s="2"/>
      <c r="AM760" s="2"/>
      <c r="AN760" s="2"/>
      <c r="AO760" s="9"/>
      <c r="AP760" s="9"/>
      <c r="AQ760" s="9"/>
      <c r="AR760" s="9"/>
    </row>
    <row r="761">
      <c r="A761" s="585"/>
      <c r="B761" s="585"/>
      <c r="C761" s="585"/>
      <c r="D761" s="585"/>
      <c r="E761" s="585"/>
      <c r="F761" s="585"/>
      <c r="G761" s="585"/>
      <c r="H761" s="585"/>
      <c r="I761" s="585"/>
      <c r="J761" s="585"/>
      <c r="K761" s="585"/>
      <c r="L761" s="585"/>
      <c r="M761" s="585"/>
      <c r="N761" s="585"/>
      <c r="O761" s="585"/>
      <c r="P761" s="585"/>
      <c r="Q761" s="585"/>
      <c r="R761" s="585"/>
      <c r="S761" s="585"/>
      <c r="T761" s="585"/>
      <c r="U761" s="585"/>
      <c r="V761" s="224"/>
      <c r="W761" s="224"/>
      <c r="X761" s="224"/>
      <c r="Y761" s="224"/>
      <c r="Z761" s="868"/>
      <c r="AA761" s="865"/>
      <c r="AB761" s="2"/>
      <c r="AC761" s="2"/>
      <c r="AD761" s="2"/>
      <c r="AE761" s="2"/>
      <c r="AF761" s="2"/>
      <c r="AG761" s="2"/>
      <c r="AH761" s="2"/>
      <c r="AI761" s="2"/>
      <c r="AJ761" s="2"/>
      <c r="AK761" s="2"/>
      <c r="AL761" s="2"/>
      <c r="AM761" s="2"/>
      <c r="AN761" s="2"/>
      <c r="AO761" s="9"/>
      <c r="AP761" s="9"/>
      <c r="AQ761" s="9"/>
      <c r="AR761" s="9"/>
    </row>
    <row r="762">
      <c r="A762" s="585"/>
      <c r="B762" s="585"/>
      <c r="C762" s="585"/>
      <c r="D762" s="585"/>
      <c r="E762" s="585"/>
      <c r="F762" s="585"/>
      <c r="G762" s="585"/>
      <c r="H762" s="585"/>
      <c r="I762" s="585"/>
      <c r="J762" s="585"/>
      <c r="K762" s="585"/>
      <c r="L762" s="585"/>
      <c r="M762" s="585"/>
      <c r="N762" s="585"/>
      <c r="O762" s="585"/>
      <c r="P762" s="585"/>
      <c r="Q762" s="585"/>
      <c r="R762" s="585"/>
      <c r="S762" s="585"/>
      <c r="T762" s="585"/>
      <c r="U762" s="585"/>
      <c r="V762" s="224"/>
      <c r="W762" s="224"/>
      <c r="X762" s="224"/>
      <c r="Y762" s="224"/>
      <c r="Z762" s="868"/>
      <c r="AA762" s="865"/>
      <c r="AB762" s="2"/>
      <c r="AC762" s="2"/>
      <c r="AD762" s="2"/>
      <c r="AE762" s="2"/>
      <c r="AF762" s="2"/>
      <c r="AG762" s="2"/>
      <c r="AH762" s="2"/>
      <c r="AI762" s="2"/>
      <c r="AJ762" s="2"/>
      <c r="AK762" s="2"/>
      <c r="AL762" s="2"/>
      <c r="AM762" s="2"/>
      <c r="AN762" s="2"/>
      <c r="AO762" s="9"/>
      <c r="AP762" s="9"/>
      <c r="AQ762" s="9"/>
      <c r="AR762" s="9"/>
    </row>
    <row r="763">
      <c r="A763" s="585"/>
      <c r="B763" s="585"/>
      <c r="C763" s="585"/>
      <c r="D763" s="585"/>
      <c r="E763" s="585"/>
      <c r="F763" s="585"/>
      <c r="G763" s="585"/>
      <c r="H763" s="585"/>
      <c r="I763" s="585"/>
      <c r="J763" s="585"/>
      <c r="K763" s="585"/>
      <c r="L763" s="585"/>
      <c r="M763" s="585"/>
      <c r="N763" s="585"/>
      <c r="O763" s="585"/>
      <c r="P763" s="585"/>
      <c r="Q763" s="585"/>
      <c r="R763" s="585"/>
      <c r="S763" s="585"/>
      <c r="T763" s="585"/>
      <c r="U763" s="585"/>
      <c r="V763" s="224"/>
      <c r="W763" s="224"/>
      <c r="X763" s="224"/>
      <c r="Y763" s="224"/>
      <c r="Z763" s="868"/>
      <c r="AA763" s="865"/>
      <c r="AB763" s="2"/>
      <c r="AC763" s="2"/>
      <c r="AD763" s="2"/>
      <c r="AE763" s="2"/>
      <c r="AF763" s="2"/>
      <c r="AG763" s="2"/>
      <c r="AH763" s="2"/>
      <c r="AI763" s="2"/>
      <c r="AJ763" s="2"/>
      <c r="AK763" s="2"/>
      <c r="AL763" s="2"/>
      <c r="AM763" s="2"/>
      <c r="AN763" s="2"/>
      <c r="AO763" s="9"/>
      <c r="AP763" s="9"/>
      <c r="AQ763" s="9"/>
      <c r="AR763" s="9"/>
    </row>
    <row r="764">
      <c r="A764" s="585"/>
      <c r="B764" s="585"/>
      <c r="C764" s="585"/>
      <c r="D764" s="585"/>
      <c r="E764" s="585"/>
      <c r="F764" s="585"/>
      <c r="G764" s="585"/>
      <c r="H764" s="585"/>
      <c r="I764" s="585"/>
      <c r="J764" s="585"/>
      <c r="K764" s="585"/>
      <c r="L764" s="585"/>
      <c r="M764" s="585"/>
      <c r="N764" s="585"/>
      <c r="O764" s="585"/>
      <c r="P764" s="585"/>
      <c r="Q764" s="585"/>
      <c r="R764" s="585"/>
      <c r="S764" s="585"/>
      <c r="T764" s="585"/>
      <c r="U764" s="585"/>
      <c r="V764" s="224"/>
      <c r="W764" s="224"/>
      <c r="X764" s="224"/>
      <c r="Y764" s="224"/>
      <c r="Z764" s="868"/>
      <c r="AA764" s="865"/>
      <c r="AB764" s="2"/>
      <c r="AC764" s="2"/>
      <c r="AD764" s="2"/>
      <c r="AE764" s="2"/>
      <c r="AF764" s="2"/>
      <c r="AG764" s="2"/>
      <c r="AH764" s="2"/>
      <c r="AI764" s="2"/>
      <c r="AJ764" s="2"/>
      <c r="AK764" s="2"/>
      <c r="AL764" s="2"/>
      <c r="AM764" s="2"/>
      <c r="AN764" s="2"/>
      <c r="AO764" s="9"/>
      <c r="AP764" s="9"/>
      <c r="AQ764" s="9"/>
      <c r="AR764" s="9"/>
    </row>
    <row r="765">
      <c r="A765" s="585"/>
      <c r="B765" s="585"/>
      <c r="C765" s="585"/>
      <c r="D765" s="585"/>
      <c r="E765" s="585"/>
      <c r="F765" s="585"/>
      <c r="G765" s="585"/>
      <c r="H765" s="585"/>
      <c r="I765" s="585"/>
      <c r="J765" s="585"/>
      <c r="K765" s="585"/>
      <c r="L765" s="585"/>
      <c r="M765" s="585"/>
      <c r="N765" s="585"/>
      <c r="O765" s="585"/>
      <c r="P765" s="585"/>
      <c r="Q765" s="585"/>
      <c r="R765" s="585"/>
      <c r="S765" s="585"/>
      <c r="T765" s="585"/>
      <c r="U765" s="585"/>
      <c r="V765" s="224"/>
      <c r="W765" s="224"/>
      <c r="X765" s="224"/>
      <c r="Y765" s="224"/>
      <c r="Z765" s="868"/>
      <c r="AA765" s="865"/>
      <c r="AB765" s="2"/>
      <c r="AC765" s="2"/>
      <c r="AD765" s="2"/>
      <c r="AE765" s="2"/>
      <c r="AF765" s="2"/>
      <c r="AG765" s="2"/>
      <c r="AH765" s="2"/>
      <c r="AI765" s="2"/>
      <c r="AJ765" s="2"/>
      <c r="AK765" s="2"/>
      <c r="AL765" s="2"/>
      <c r="AM765" s="2"/>
      <c r="AN765" s="2"/>
      <c r="AO765" s="9"/>
      <c r="AP765" s="9"/>
      <c r="AQ765" s="9"/>
      <c r="AR765" s="9"/>
    </row>
    <row r="766">
      <c r="A766" s="585"/>
      <c r="B766" s="585"/>
      <c r="C766" s="585"/>
      <c r="D766" s="585"/>
      <c r="E766" s="585"/>
      <c r="F766" s="585"/>
      <c r="G766" s="585"/>
      <c r="H766" s="585"/>
      <c r="I766" s="585"/>
      <c r="J766" s="585"/>
      <c r="K766" s="585"/>
      <c r="L766" s="585"/>
      <c r="M766" s="585"/>
      <c r="N766" s="585"/>
      <c r="O766" s="585"/>
      <c r="P766" s="585"/>
      <c r="Q766" s="585"/>
      <c r="R766" s="585"/>
      <c r="S766" s="585"/>
      <c r="T766" s="585"/>
      <c r="U766" s="585"/>
      <c r="V766" s="224"/>
      <c r="W766" s="224"/>
      <c r="X766" s="224"/>
      <c r="Y766" s="224"/>
      <c r="Z766" s="868"/>
      <c r="AA766" s="865"/>
      <c r="AB766" s="2"/>
      <c r="AC766" s="2"/>
      <c r="AD766" s="2"/>
      <c r="AE766" s="2"/>
      <c r="AF766" s="2"/>
      <c r="AG766" s="2"/>
      <c r="AH766" s="2"/>
      <c r="AI766" s="2"/>
      <c r="AJ766" s="2"/>
      <c r="AK766" s="2"/>
      <c r="AL766" s="2"/>
      <c r="AM766" s="2"/>
      <c r="AN766" s="2"/>
      <c r="AO766" s="9"/>
      <c r="AP766" s="9"/>
      <c r="AQ766" s="9"/>
      <c r="AR766" s="9"/>
    </row>
    <row r="767">
      <c r="A767" s="585"/>
      <c r="B767" s="585"/>
      <c r="C767" s="585"/>
      <c r="D767" s="585"/>
      <c r="E767" s="585"/>
      <c r="F767" s="585"/>
      <c r="G767" s="585"/>
      <c r="H767" s="585"/>
      <c r="I767" s="585"/>
      <c r="J767" s="585"/>
      <c r="K767" s="585"/>
      <c r="L767" s="585"/>
      <c r="M767" s="585"/>
      <c r="N767" s="585"/>
      <c r="O767" s="585"/>
      <c r="P767" s="585"/>
      <c r="Q767" s="585"/>
      <c r="R767" s="585"/>
      <c r="S767" s="585"/>
      <c r="T767" s="585"/>
      <c r="U767" s="585"/>
      <c r="V767" s="224"/>
      <c r="W767" s="224"/>
      <c r="X767" s="224"/>
      <c r="Y767" s="224"/>
      <c r="Z767" s="868"/>
      <c r="AA767" s="865"/>
      <c r="AB767" s="2"/>
      <c r="AC767" s="2"/>
      <c r="AD767" s="2"/>
      <c r="AE767" s="2"/>
      <c r="AF767" s="2"/>
      <c r="AG767" s="2"/>
      <c r="AH767" s="2"/>
      <c r="AI767" s="2"/>
      <c r="AJ767" s="2"/>
      <c r="AK767" s="2"/>
      <c r="AL767" s="2"/>
      <c r="AM767" s="2"/>
      <c r="AN767" s="2"/>
      <c r="AO767" s="9"/>
      <c r="AP767" s="9"/>
      <c r="AQ767" s="9"/>
      <c r="AR767" s="9"/>
    </row>
    <row r="768">
      <c r="A768" s="585"/>
      <c r="B768" s="585"/>
      <c r="C768" s="585"/>
      <c r="D768" s="585"/>
      <c r="E768" s="585"/>
      <c r="F768" s="585"/>
      <c r="G768" s="585"/>
      <c r="H768" s="585"/>
      <c r="I768" s="585"/>
      <c r="J768" s="585"/>
      <c r="K768" s="585"/>
      <c r="L768" s="585"/>
      <c r="M768" s="585"/>
      <c r="N768" s="585"/>
      <c r="O768" s="585"/>
      <c r="P768" s="585"/>
      <c r="Q768" s="585"/>
      <c r="R768" s="585"/>
      <c r="S768" s="585"/>
      <c r="T768" s="585"/>
      <c r="U768" s="585"/>
      <c r="V768" s="224"/>
      <c r="W768" s="224"/>
      <c r="X768" s="224"/>
      <c r="Y768" s="224"/>
      <c r="Z768" s="868"/>
      <c r="AA768" s="865"/>
      <c r="AB768" s="2"/>
      <c r="AC768" s="2"/>
      <c r="AD768" s="2"/>
      <c r="AE768" s="2"/>
      <c r="AF768" s="2"/>
      <c r="AG768" s="2"/>
      <c r="AH768" s="2"/>
      <c r="AI768" s="2"/>
      <c r="AJ768" s="2"/>
      <c r="AK768" s="2"/>
      <c r="AL768" s="2"/>
      <c r="AM768" s="2"/>
      <c r="AN768" s="2"/>
      <c r="AO768" s="9"/>
      <c r="AP768" s="9"/>
      <c r="AQ768" s="9"/>
      <c r="AR768" s="9"/>
    </row>
    <row r="769">
      <c r="A769" s="585"/>
      <c r="B769" s="585"/>
      <c r="C769" s="585"/>
      <c r="D769" s="585"/>
      <c r="E769" s="585"/>
      <c r="F769" s="585"/>
      <c r="G769" s="585"/>
      <c r="H769" s="585"/>
      <c r="I769" s="585"/>
      <c r="J769" s="585"/>
      <c r="K769" s="585"/>
      <c r="L769" s="585"/>
      <c r="M769" s="585"/>
      <c r="N769" s="585"/>
      <c r="O769" s="585"/>
      <c r="P769" s="585"/>
      <c r="Q769" s="585"/>
      <c r="R769" s="585"/>
      <c r="S769" s="585"/>
      <c r="T769" s="585"/>
      <c r="U769" s="585"/>
      <c r="V769" s="224"/>
      <c r="W769" s="224"/>
      <c r="X769" s="224"/>
      <c r="Y769" s="224"/>
      <c r="Z769" s="868"/>
      <c r="AA769" s="865"/>
      <c r="AB769" s="2"/>
      <c r="AC769" s="2"/>
      <c r="AD769" s="2"/>
      <c r="AE769" s="2"/>
      <c r="AF769" s="2"/>
      <c r="AG769" s="2"/>
      <c r="AH769" s="2"/>
      <c r="AI769" s="2"/>
      <c r="AJ769" s="2"/>
      <c r="AK769" s="2"/>
      <c r="AL769" s="2"/>
      <c r="AM769" s="2"/>
      <c r="AN769" s="2"/>
      <c r="AO769" s="9"/>
      <c r="AP769" s="9"/>
      <c r="AQ769" s="9"/>
      <c r="AR769" s="9"/>
    </row>
    <row r="770">
      <c r="A770" s="585"/>
      <c r="B770" s="585"/>
      <c r="C770" s="585"/>
      <c r="D770" s="585"/>
      <c r="E770" s="585"/>
      <c r="F770" s="585"/>
      <c r="G770" s="585"/>
      <c r="H770" s="585"/>
      <c r="I770" s="585"/>
      <c r="J770" s="585"/>
      <c r="K770" s="585"/>
      <c r="L770" s="585"/>
      <c r="M770" s="585"/>
      <c r="N770" s="585"/>
      <c r="O770" s="585"/>
      <c r="P770" s="585"/>
      <c r="Q770" s="585"/>
      <c r="R770" s="585"/>
      <c r="S770" s="585"/>
      <c r="T770" s="585"/>
      <c r="U770" s="585"/>
      <c r="V770" s="224"/>
      <c r="W770" s="224"/>
      <c r="X770" s="224"/>
      <c r="Y770" s="224"/>
      <c r="Z770" s="868"/>
      <c r="AA770" s="865"/>
      <c r="AB770" s="2"/>
      <c r="AC770" s="2"/>
      <c r="AD770" s="2"/>
      <c r="AE770" s="2"/>
      <c r="AF770" s="2"/>
      <c r="AG770" s="2"/>
      <c r="AH770" s="2"/>
      <c r="AI770" s="2"/>
      <c r="AJ770" s="2"/>
      <c r="AK770" s="2"/>
      <c r="AL770" s="2"/>
      <c r="AM770" s="2"/>
      <c r="AN770" s="2"/>
      <c r="AO770" s="9"/>
      <c r="AP770" s="9"/>
      <c r="AQ770" s="9"/>
      <c r="AR770" s="9"/>
    </row>
    <row r="771">
      <c r="A771" s="585"/>
      <c r="B771" s="585"/>
      <c r="C771" s="585"/>
      <c r="D771" s="585"/>
      <c r="E771" s="585"/>
      <c r="F771" s="585"/>
      <c r="G771" s="585"/>
      <c r="H771" s="585"/>
      <c r="I771" s="585"/>
      <c r="J771" s="585"/>
      <c r="K771" s="585"/>
      <c r="L771" s="585"/>
      <c r="M771" s="585"/>
      <c r="N771" s="585"/>
      <c r="O771" s="585"/>
      <c r="P771" s="585"/>
      <c r="Q771" s="585"/>
      <c r="R771" s="585"/>
      <c r="S771" s="585"/>
      <c r="T771" s="585"/>
      <c r="U771" s="585"/>
      <c r="V771" s="224"/>
      <c r="W771" s="224"/>
      <c r="X771" s="224"/>
      <c r="Y771" s="224"/>
      <c r="Z771" s="868"/>
      <c r="AA771" s="865"/>
      <c r="AB771" s="2"/>
      <c r="AC771" s="2"/>
      <c r="AD771" s="2"/>
      <c r="AE771" s="2"/>
      <c r="AF771" s="2"/>
      <c r="AG771" s="2"/>
      <c r="AH771" s="2"/>
      <c r="AI771" s="2"/>
      <c r="AJ771" s="2"/>
      <c r="AK771" s="2"/>
      <c r="AL771" s="2"/>
      <c r="AM771" s="2"/>
      <c r="AN771" s="2"/>
      <c r="AO771" s="9"/>
      <c r="AP771" s="9"/>
      <c r="AQ771" s="9"/>
      <c r="AR771" s="9"/>
    </row>
    <row r="772">
      <c r="A772" s="585"/>
      <c r="B772" s="585"/>
      <c r="C772" s="585"/>
      <c r="D772" s="585"/>
      <c r="E772" s="585"/>
      <c r="F772" s="585"/>
      <c r="G772" s="585"/>
      <c r="H772" s="585"/>
      <c r="I772" s="585"/>
      <c r="J772" s="585"/>
      <c r="K772" s="585"/>
      <c r="L772" s="585"/>
      <c r="M772" s="585"/>
      <c r="N772" s="585"/>
      <c r="O772" s="585"/>
      <c r="P772" s="585"/>
      <c r="Q772" s="585"/>
      <c r="R772" s="585"/>
      <c r="S772" s="585"/>
      <c r="T772" s="585"/>
      <c r="U772" s="585"/>
      <c r="V772" s="224"/>
      <c r="W772" s="224"/>
      <c r="X772" s="224"/>
      <c r="Y772" s="224"/>
      <c r="Z772" s="868"/>
      <c r="AA772" s="865"/>
      <c r="AB772" s="2"/>
      <c r="AC772" s="2"/>
      <c r="AD772" s="2"/>
      <c r="AE772" s="2"/>
      <c r="AF772" s="2"/>
      <c r="AG772" s="2"/>
      <c r="AH772" s="2"/>
      <c r="AI772" s="2"/>
      <c r="AJ772" s="2"/>
      <c r="AK772" s="2"/>
      <c r="AL772" s="2"/>
      <c r="AM772" s="2"/>
      <c r="AN772" s="2"/>
      <c r="AO772" s="9"/>
      <c r="AP772" s="9"/>
      <c r="AQ772" s="9"/>
      <c r="AR772" s="9"/>
    </row>
    <row r="773">
      <c r="A773" s="585"/>
      <c r="B773" s="585"/>
      <c r="C773" s="585"/>
      <c r="D773" s="585"/>
      <c r="E773" s="585"/>
      <c r="F773" s="585"/>
      <c r="G773" s="585"/>
      <c r="H773" s="585"/>
      <c r="I773" s="585"/>
      <c r="J773" s="585"/>
      <c r="K773" s="585"/>
      <c r="L773" s="585"/>
      <c r="M773" s="585"/>
      <c r="N773" s="585"/>
      <c r="O773" s="585"/>
      <c r="P773" s="585"/>
      <c r="Q773" s="585"/>
      <c r="R773" s="585"/>
      <c r="S773" s="585"/>
      <c r="T773" s="585"/>
      <c r="U773" s="585"/>
      <c r="V773" s="224"/>
      <c r="W773" s="224"/>
      <c r="X773" s="224"/>
      <c r="Y773" s="224"/>
      <c r="Z773" s="868"/>
      <c r="AA773" s="865"/>
      <c r="AB773" s="2"/>
      <c r="AC773" s="2"/>
      <c r="AD773" s="2"/>
      <c r="AE773" s="2"/>
      <c r="AF773" s="2"/>
      <c r="AG773" s="2"/>
      <c r="AH773" s="2"/>
      <c r="AI773" s="2"/>
      <c r="AJ773" s="2"/>
      <c r="AK773" s="2"/>
      <c r="AL773" s="2"/>
      <c r="AM773" s="2"/>
      <c r="AN773" s="2"/>
      <c r="AO773" s="9"/>
      <c r="AP773" s="9"/>
      <c r="AQ773" s="9"/>
      <c r="AR773" s="9"/>
    </row>
    <row r="774">
      <c r="A774" s="585"/>
      <c r="B774" s="585"/>
      <c r="C774" s="585"/>
      <c r="D774" s="585"/>
      <c r="E774" s="585"/>
      <c r="F774" s="585"/>
      <c r="G774" s="585"/>
      <c r="H774" s="585"/>
      <c r="I774" s="585"/>
      <c r="J774" s="585"/>
      <c r="K774" s="585"/>
      <c r="L774" s="585"/>
      <c r="M774" s="585"/>
      <c r="N774" s="585"/>
      <c r="O774" s="585"/>
      <c r="P774" s="585"/>
      <c r="Q774" s="585"/>
      <c r="R774" s="585"/>
      <c r="S774" s="585"/>
      <c r="T774" s="585"/>
      <c r="U774" s="585"/>
      <c r="V774" s="224"/>
      <c r="W774" s="224"/>
      <c r="X774" s="224"/>
      <c r="Y774" s="224"/>
      <c r="Z774" s="868"/>
      <c r="AA774" s="865"/>
      <c r="AB774" s="2"/>
      <c r="AC774" s="2"/>
      <c r="AD774" s="2"/>
      <c r="AE774" s="2"/>
      <c r="AF774" s="2"/>
      <c r="AG774" s="2"/>
      <c r="AH774" s="2"/>
      <c r="AI774" s="2"/>
      <c r="AJ774" s="2"/>
      <c r="AK774" s="2"/>
      <c r="AL774" s="2"/>
      <c r="AM774" s="2"/>
      <c r="AN774" s="2"/>
      <c r="AO774" s="9"/>
      <c r="AP774" s="9"/>
      <c r="AQ774" s="9"/>
      <c r="AR774" s="9"/>
    </row>
    <row r="775">
      <c r="A775" s="585"/>
      <c r="B775" s="585"/>
      <c r="C775" s="585"/>
      <c r="D775" s="585"/>
      <c r="E775" s="585"/>
      <c r="F775" s="585"/>
      <c r="G775" s="585"/>
      <c r="H775" s="585"/>
      <c r="I775" s="585"/>
      <c r="J775" s="585"/>
      <c r="K775" s="585"/>
      <c r="L775" s="585"/>
      <c r="M775" s="585"/>
      <c r="N775" s="585"/>
      <c r="O775" s="585"/>
      <c r="P775" s="585"/>
      <c r="Q775" s="585"/>
      <c r="R775" s="585"/>
      <c r="S775" s="585"/>
      <c r="T775" s="585"/>
      <c r="U775" s="585"/>
      <c r="V775" s="224"/>
      <c r="W775" s="224"/>
      <c r="X775" s="224"/>
      <c r="Y775" s="224"/>
      <c r="Z775" s="868"/>
      <c r="AA775" s="865"/>
      <c r="AB775" s="2"/>
      <c r="AC775" s="2"/>
      <c r="AD775" s="2"/>
      <c r="AE775" s="2"/>
      <c r="AF775" s="2"/>
      <c r="AG775" s="2"/>
      <c r="AH775" s="2"/>
      <c r="AI775" s="2"/>
      <c r="AJ775" s="2"/>
      <c r="AK775" s="2"/>
      <c r="AL775" s="2"/>
      <c r="AM775" s="2"/>
      <c r="AN775" s="2"/>
      <c r="AO775" s="9"/>
      <c r="AP775" s="9"/>
      <c r="AQ775" s="9"/>
      <c r="AR775" s="9"/>
    </row>
    <row r="776">
      <c r="A776" s="585"/>
      <c r="B776" s="585"/>
      <c r="C776" s="585"/>
      <c r="D776" s="585"/>
      <c r="E776" s="585"/>
      <c r="F776" s="585"/>
      <c r="G776" s="585"/>
      <c r="H776" s="585"/>
      <c r="I776" s="585"/>
      <c r="J776" s="585"/>
      <c r="K776" s="585"/>
      <c r="L776" s="585"/>
      <c r="M776" s="585"/>
      <c r="N776" s="585"/>
      <c r="O776" s="585"/>
      <c r="P776" s="585"/>
      <c r="Q776" s="585"/>
      <c r="R776" s="585"/>
      <c r="S776" s="585"/>
      <c r="T776" s="585"/>
      <c r="U776" s="585"/>
      <c r="V776" s="224"/>
      <c r="W776" s="224"/>
      <c r="X776" s="224"/>
      <c r="Y776" s="224"/>
      <c r="Z776" s="868"/>
      <c r="AA776" s="865"/>
      <c r="AB776" s="2"/>
      <c r="AC776" s="2"/>
      <c r="AD776" s="2"/>
      <c r="AE776" s="2"/>
      <c r="AF776" s="2"/>
      <c r="AG776" s="2"/>
      <c r="AH776" s="2"/>
      <c r="AI776" s="2"/>
      <c r="AJ776" s="2"/>
      <c r="AK776" s="2"/>
      <c r="AL776" s="2"/>
      <c r="AM776" s="2"/>
      <c r="AN776" s="2"/>
      <c r="AO776" s="9"/>
      <c r="AP776" s="9"/>
      <c r="AQ776" s="9"/>
      <c r="AR776" s="9"/>
    </row>
    <row r="777">
      <c r="A777" s="585"/>
      <c r="B777" s="585"/>
      <c r="C777" s="585"/>
      <c r="D777" s="585"/>
      <c r="E777" s="585"/>
      <c r="F777" s="585"/>
      <c r="G777" s="585"/>
      <c r="H777" s="585"/>
      <c r="I777" s="585"/>
      <c r="J777" s="585"/>
      <c r="K777" s="585"/>
      <c r="L777" s="585"/>
      <c r="M777" s="585"/>
      <c r="N777" s="585"/>
      <c r="O777" s="585"/>
      <c r="P777" s="585"/>
      <c r="Q777" s="585"/>
      <c r="R777" s="585"/>
      <c r="S777" s="585"/>
      <c r="T777" s="585"/>
      <c r="U777" s="585"/>
      <c r="V777" s="224"/>
      <c r="W777" s="224"/>
      <c r="X777" s="224"/>
      <c r="Y777" s="224"/>
      <c r="Z777" s="868"/>
      <c r="AA777" s="865"/>
      <c r="AB777" s="2"/>
      <c r="AC777" s="2"/>
      <c r="AD777" s="2"/>
      <c r="AE777" s="2"/>
      <c r="AF777" s="2"/>
      <c r="AG777" s="2"/>
      <c r="AH777" s="2"/>
      <c r="AI777" s="2"/>
      <c r="AJ777" s="2"/>
      <c r="AK777" s="2"/>
      <c r="AL777" s="2"/>
      <c r="AM777" s="2"/>
      <c r="AN777" s="2"/>
      <c r="AO777" s="9"/>
      <c r="AP777" s="9"/>
      <c r="AQ777" s="9"/>
      <c r="AR777" s="9"/>
    </row>
    <row r="778">
      <c r="A778" s="585"/>
      <c r="B778" s="585"/>
      <c r="C778" s="585"/>
      <c r="D778" s="585"/>
      <c r="E778" s="585"/>
      <c r="F778" s="585"/>
      <c r="G778" s="585"/>
      <c r="H778" s="585"/>
      <c r="I778" s="585"/>
      <c r="J778" s="585"/>
      <c r="K778" s="585"/>
      <c r="L778" s="585"/>
      <c r="M778" s="585"/>
      <c r="N778" s="585"/>
      <c r="O778" s="585"/>
      <c r="P778" s="585"/>
      <c r="Q778" s="585"/>
      <c r="R778" s="585"/>
      <c r="S778" s="585"/>
      <c r="T778" s="585"/>
      <c r="U778" s="585"/>
      <c r="V778" s="224"/>
      <c r="W778" s="224"/>
      <c r="X778" s="224"/>
      <c r="Y778" s="224"/>
      <c r="Z778" s="868"/>
      <c r="AA778" s="865"/>
      <c r="AB778" s="2"/>
      <c r="AC778" s="2"/>
      <c r="AD778" s="2"/>
      <c r="AE778" s="2"/>
      <c r="AF778" s="2"/>
      <c r="AG778" s="2"/>
      <c r="AH778" s="2"/>
      <c r="AI778" s="2"/>
      <c r="AJ778" s="2"/>
      <c r="AK778" s="2"/>
      <c r="AL778" s="2"/>
      <c r="AM778" s="2"/>
      <c r="AN778" s="2"/>
      <c r="AO778" s="9"/>
      <c r="AP778" s="9"/>
      <c r="AQ778" s="9"/>
      <c r="AR778" s="9"/>
    </row>
    <row r="779">
      <c r="A779" s="585"/>
      <c r="B779" s="585"/>
      <c r="C779" s="585"/>
      <c r="D779" s="585"/>
      <c r="E779" s="585"/>
      <c r="F779" s="585"/>
      <c r="G779" s="585"/>
      <c r="H779" s="585"/>
      <c r="I779" s="585"/>
      <c r="J779" s="585"/>
      <c r="K779" s="585"/>
      <c r="L779" s="585"/>
      <c r="M779" s="585"/>
      <c r="N779" s="585"/>
      <c r="O779" s="585"/>
      <c r="P779" s="585"/>
      <c r="Q779" s="585"/>
      <c r="R779" s="585"/>
      <c r="S779" s="585"/>
      <c r="T779" s="585"/>
      <c r="U779" s="585"/>
      <c r="V779" s="224"/>
      <c r="W779" s="224"/>
      <c r="X779" s="224"/>
      <c r="Y779" s="224"/>
      <c r="Z779" s="868"/>
      <c r="AA779" s="865"/>
      <c r="AB779" s="2"/>
      <c r="AC779" s="2"/>
      <c r="AD779" s="2"/>
      <c r="AE779" s="2"/>
      <c r="AF779" s="2"/>
      <c r="AG779" s="2"/>
      <c r="AH779" s="2"/>
      <c r="AI779" s="2"/>
      <c r="AJ779" s="2"/>
      <c r="AK779" s="2"/>
      <c r="AL779" s="2"/>
      <c r="AM779" s="2"/>
      <c r="AN779" s="2"/>
      <c r="AO779" s="9"/>
      <c r="AP779" s="9"/>
      <c r="AQ779" s="9"/>
      <c r="AR779" s="9"/>
    </row>
    <row r="780">
      <c r="A780" s="585"/>
      <c r="B780" s="585"/>
      <c r="C780" s="585"/>
      <c r="D780" s="585"/>
      <c r="E780" s="585"/>
      <c r="F780" s="585"/>
      <c r="G780" s="585"/>
      <c r="H780" s="585"/>
      <c r="I780" s="585"/>
      <c r="J780" s="585"/>
      <c r="K780" s="585"/>
      <c r="L780" s="585"/>
      <c r="M780" s="585"/>
      <c r="N780" s="585"/>
      <c r="O780" s="585"/>
      <c r="P780" s="585"/>
      <c r="Q780" s="585"/>
      <c r="R780" s="585"/>
      <c r="S780" s="585"/>
      <c r="T780" s="585"/>
      <c r="U780" s="585"/>
      <c r="V780" s="224"/>
      <c r="W780" s="224"/>
      <c r="X780" s="224"/>
      <c r="Y780" s="224"/>
      <c r="Z780" s="868"/>
      <c r="AA780" s="865"/>
      <c r="AB780" s="2"/>
      <c r="AC780" s="2"/>
      <c r="AD780" s="2"/>
      <c r="AE780" s="2"/>
      <c r="AF780" s="2"/>
      <c r="AG780" s="2"/>
      <c r="AH780" s="2"/>
      <c r="AI780" s="2"/>
      <c r="AJ780" s="2"/>
      <c r="AK780" s="2"/>
      <c r="AL780" s="2"/>
      <c r="AM780" s="2"/>
      <c r="AN780" s="2"/>
      <c r="AO780" s="9"/>
      <c r="AP780" s="9"/>
      <c r="AQ780" s="9"/>
      <c r="AR780" s="9"/>
    </row>
    <row r="781">
      <c r="A781" s="585"/>
      <c r="B781" s="585"/>
      <c r="C781" s="585"/>
      <c r="D781" s="585"/>
      <c r="E781" s="585"/>
      <c r="F781" s="585"/>
      <c r="G781" s="585"/>
      <c r="H781" s="585"/>
      <c r="I781" s="585"/>
      <c r="J781" s="585"/>
      <c r="K781" s="585"/>
      <c r="L781" s="585"/>
      <c r="M781" s="585"/>
      <c r="N781" s="585"/>
      <c r="O781" s="585"/>
      <c r="P781" s="585"/>
      <c r="Q781" s="585"/>
      <c r="R781" s="585"/>
      <c r="S781" s="585"/>
      <c r="T781" s="585"/>
      <c r="U781" s="585"/>
      <c r="V781" s="224"/>
      <c r="W781" s="224"/>
      <c r="X781" s="224"/>
      <c r="Y781" s="224"/>
      <c r="Z781" s="868"/>
      <c r="AA781" s="865"/>
      <c r="AB781" s="2"/>
      <c r="AC781" s="2"/>
      <c r="AD781" s="2"/>
      <c r="AE781" s="2"/>
      <c r="AF781" s="2"/>
      <c r="AG781" s="2"/>
      <c r="AH781" s="2"/>
      <c r="AI781" s="2"/>
      <c r="AJ781" s="2"/>
      <c r="AK781" s="2"/>
      <c r="AL781" s="2"/>
      <c r="AM781" s="2"/>
      <c r="AN781" s="2"/>
      <c r="AO781" s="9"/>
      <c r="AP781" s="9"/>
      <c r="AQ781" s="9"/>
      <c r="AR781" s="9"/>
    </row>
    <row r="782">
      <c r="A782" s="585"/>
      <c r="B782" s="585"/>
      <c r="C782" s="585"/>
      <c r="D782" s="585"/>
      <c r="E782" s="585"/>
      <c r="F782" s="585"/>
      <c r="G782" s="585"/>
      <c r="H782" s="585"/>
      <c r="I782" s="585"/>
      <c r="J782" s="585"/>
      <c r="K782" s="585"/>
      <c r="L782" s="585"/>
      <c r="M782" s="585"/>
      <c r="N782" s="585"/>
      <c r="O782" s="585"/>
      <c r="P782" s="585"/>
      <c r="Q782" s="585"/>
      <c r="R782" s="585"/>
      <c r="S782" s="585"/>
      <c r="T782" s="585"/>
      <c r="U782" s="585"/>
      <c r="V782" s="224"/>
      <c r="W782" s="224"/>
      <c r="X782" s="224"/>
      <c r="Y782" s="224"/>
      <c r="Z782" s="868"/>
      <c r="AA782" s="865"/>
      <c r="AB782" s="2"/>
      <c r="AC782" s="2"/>
      <c r="AD782" s="2"/>
      <c r="AE782" s="2"/>
      <c r="AF782" s="2"/>
      <c r="AG782" s="2"/>
      <c r="AH782" s="2"/>
      <c r="AI782" s="2"/>
      <c r="AJ782" s="2"/>
      <c r="AK782" s="2"/>
      <c r="AL782" s="2"/>
      <c r="AM782" s="2"/>
      <c r="AN782" s="2"/>
      <c r="AO782" s="9"/>
      <c r="AP782" s="9"/>
      <c r="AQ782" s="9"/>
      <c r="AR782" s="9"/>
    </row>
    <row r="783">
      <c r="A783" s="585"/>
      <c r="B783" s="585"/>
      <c r="C783" s="585"/>
      <c r="D783" s="585"/>
      <c r="E783" s="585"/>
      <c r="F783" s="585"/>
      <c r="G783" s="585"/>
      <c r="H783" s="585"/>
      <c r="I783" s="585"/>
      <c r="J783" s="585"/>
      <c r="K783" s="585"/>
      <c r="L783" s="585"/>
      <c r="M783" s="585"/>
      <c r="N783" s="585"/>
      <c r="O783" s="585"/>
      <c r="P783" s="585"/>
      <c r="Q783" s="585"/>
      <c r="R783" s="585"/>
      <c r="S783" s="585"/>
      <c r="T783" s="585"/>
      <c r="U783" s="585"/>
      <c r="V783" s="224"/>
      <c r="W783" s="224"/>
      <c r="X783" s="224"/>
      <c r="Y783" s="224"/>
      <c r="Z783" s="868"/>
      <c r="AA783" s="865"/>
      <c r="AB783" s="2"/>
      <c r="AC783" s="2"/>
      <c r="AD783" s="2"/>
      <c r="AE783" s="2"/>
      <c r="AF783" s="2"/>
      <c r="AG783" s="2"/>
      <c r="AH783" s="2"/>
      <c r="AI783" s="2"/>
      <c r="AJ783" s="2"/>
      <c r="AK783" s="2"/>
      <c r="AL783" s="2"/>
      <c r="AM783" s="2"/>
      <c r="AN783" s="2"/>
      <c r="AO783" s="9"/>
      <c r="AP783" s="9"/>
      <c r="AQ783" s="9"/>
      <c r="AR783" s="9"/>
    </row>
    <row r="784">
      <c r="A784" s="585"/>
      <c r="B784" s="585"/>
      <c r="C784" s="585"/>
      <c r="D784" s="585"/>
      <c r="E784" s="585"/>
      <c r="F784" s="585"/>
      <c r="G784" s="585"/>
      <c r="H784" s="585"/>
      <c r="I784" s="585"/>
      <c r="J784" s="585"/>
      <c r="K784" s="585"/>
      <c r="L784" s="585"/>
      <c r="M784" s="585"/>
      <c r="N784" s="585"/>
      <c r="O784" s="585"/>
      <c r="P784" s="585"/>
      <c r="Q784" s="585"/>
      <c r="R784" s="585"/>
      <c r="S784" s="585"/>
      <c r="T784" s="585"/>
      <c r="U784" s="585"/>
      <c r="V784" s="224"/>
      <c r="W784" s="224"/>
      <c r="X784" s="224"/>
      <c r="Y784" s="224"/>
      <c r="Z784" s="868"/>
      <c r="AA784" s="865"/>
      <c r="AB784" s="2"/>
      <c r="AC784" s="2"/>
      <c r="AD784" s="2"/>
      <c r="AE784" s="2"/>
      <c r="AF784" s="2"/>
      <c r="AG784" s="2"/>
      <c r="AH784" s="2"/>
      <c r="AI784" s="2"/>
      <c r="AJ784" s="2"/>
      <c r="AK784" s="2"/>
      <c r="AL784" s="2"/>
      <c r="AM784" s="2"/>
      <c r="AN784" s="2"/>
      <c r="AO784" s="9"/>
      <c r="AP784" s="9"/>
      <c r="AQ784" s="9"/>
      <c r="AR784" s="9"/>
    </row>
    <row r="785">
      <c r="A785" s="585"/>
      <c r="B785" s="585"/>
      <c r="C785" s="585"/>
      <c r="D785" s="585"/>
      <c r="E785" s="585"/>
      <c r="F785" s="585"/>
      <c r="G785" s="585"/>
      <c r="H785" s="585"/>
      <c r="I785" s="585"/>
      <c r="J785" s="585"/>
      <c r="K785" s="585"/>
      <c r="L785" s="585"/>
      <c r="M785" s="585"/>
      <c r="N785" s="585"/>
      <c r="O785" s="585"/>
      <c r="P785" s="585"/>
      <c r="Q785" s="585"/>
      <c r="R785" s="585"/>
      <c r="S785" s="585"/>
      <c r="T785" s="585"/>
      <c r="U785" s="585"/>
      <c r="V785" s="224"/>
      <c r="W785" s="224"/>
      <c r="X785" s="224"/>
      <c r="Y785" s="224"/>
      <c r="Z785" s="868"/>
      <c r="AA785" s="865"/>
      <c r="AB785" s="2"/>
      <c r="AC785" s="2"/>
      <c r="AD785" s="2"/>
      <c r="AE785" s="2"/>
      <c r="AF785" s="2"/>
      <c r="AG785" s="2"/>
      <c r="AH785" s="2"/>
      <c r="AI785" s="2"/>
      <c r="AJ785" s="2"/>
      <c r="AK785" s="2"/>
      <c r="AL785" s="2"/>
      <c r="AM785" s="2"/>
      <c r="AN785" s="2"/>
      <c r="AO785" s="9"/>
      <c r="AP785" s="9"/>
      <c r="AQ785" s="9"/>
      <c r="AR785" s="9"/>
    </row>
    <row r="786">
      <c r="A786" s="585"/>
      <c r="B786" s="585"/>
      <c r="C786" s="585"/>
      <c r="D786" s="585"/>
      <c r="E786" s="585"/>
      <c r="F786" s="585"/>
      <c r="G786" s="585"/>
      <c r="H786" s="585"/>
      <c r="I786" s="585"/>
      <c r="J786" s="585"/>
      <c r="K786" s="585"/>
      <c r="L786" s="585"/>
      <c r="M786" s="585"/>
      <c r="N786" s="585"/>
      <c r="O786" s="585"/>
      <c r="P786" s="585"/>
      <c r="Q786" s="585"/>
      <c r="R786" s="585"/>
      <c r="S786" s="585"/>
      <c r="T786" s="585"/>
      <c r="U786" s="585"/>
      <c r="V786" s="224"/>
      <c r="W786" s="224"/>
      <c r="X786" s="224"/>
      <c r="Y786" s="224"/>
      <c r="Z786" s="868"/>
      <c r="AA786" s="865"/>
      <c r="AB786" s="2"/>
      <c r="AC786" s="2"/>
      <c r="AD786" s="2"/>
      <c r="AE786" s="2"/>
      <c r="AF786" s="2"/>
      <c r="AG786" s="2"/>
      <c r="AH786" s="2"/>
      <c r="AI786" s="2"/>
      <c r="AJ786" s="2"/>
      <c r="AK786" s="2"/>
      <c r="AL786" s="2"/>
      <c r="AM786" s="2"/>
      <c r="AN786" s="2"/>
      <c r="AO786" s="9"/>
      <c r="AP786" s="9"/>
      <c r="AQ786" s="9"/>
      <c r="AR786" s="9"/>
    </row>
    <row r="787">
      <c r="A787" s="585"/>
      <c r="B787" s="585"/>
      <c r="C787" s="585"/>
      <c r="D787" s="585"/>
      <c r="E787" s="585"/>
      <c r="F787" s="585"/>
      <c r="G787" s="585"/>
      <c r="H787" s="585"/>
      <c r="I787" s="585"/>
      <c r="J787" s="585"/>
      <c r="K787" s="585"/>
      <c r="L787" s="585"/>
      <c r="M787" s="585"/>
      <c r="N787" s="585"/>
      <c r="O787" s="585"/>
      <c r="P787" s="585"/>
      <c r="Q787" s="585"/>
      <c r="R787" s="585"/>
      <c r="S787" s="585"/>
      <c r="T787" s="585"/>
      <c r="U787" s="585"/>
      <c r="V787" s="224"/>
      <c r="W787" s="224"/>
      <c r="X787" s="224"/>
      <c r="Y787" s="224"/>
      <c r="Z787" s="868"/>
      <c r="AA787" s="865"/>
      <c r="AB787" s="2"/>
      <c r="AC787" s="2"/>
      <c r="AD787" s="2"/>
      <c r="AE787" s="2"/>
      <c r="AF787" s="2"/>
      <c r="AG787" s="2"/>
      <c r="AH787" s="2"/>
      <c r="AI787" s="2"/>
      <c r="AJ787" s="2"/>
      <c r="AK787" s="2"/>
      <c r="AL787" s="2"/>
      <c r="AM787" s="2"/>
      <c r="AN787" s="2"/>
      <c r="AO787" s="9"/>
      <c r="AP787" s="9"/>
      <c r="AQ787" s="9"/>
      <c r="AR787" s="9"/>
    </row>
    <row r="788">
      <c r="A788" s="585"/>
      <c r="B788" s="585"/>
      <c r="C788" s="585"/>
      <c r="D788" s="585"/>
      <c r="E788" s="585"/>
      <c r="F788" s="585"/>
      <c r="G788" s="585"/>
      <c r="H788" s="585"/>
      <c r="I788" s="585"/>
      <c r="J788" s="585"/>
      <c r="K788" s="585"/>
      <c r="L788" s="585"/>
      <c r="M788" s="585"/>
      <c r="N788" s="585"/>
      <c r="O788" s="585"/>
      <c r="P788" s="585"/>
      <c r="Q788" s="585"/>
      <c r="R788" s="585"/>
      <c r="S788" s="585"/>
      <c r="T788" s="585"/>
      <c r="U788" s="585"/>
      <c r="V788" s="224"/>
      <c r="W788" s="224"/>
      <c r="X788" s="224"/>
      <c r="Y788" s="224"/>
      <c r="Z788" s="868"/>
      <c r="AA788" s="865"/>
      <c r="AB788" s="2"/>
      <c r="AC788" s="2"/>
      <c r="AD788" s="2"/>
      <c r="AE788" s="2"/>
      <c r="AF788" s="2"/>
      <c r="AG788" s="2"/>
      <c r="AH788" s="2"/>
      <c r="AI788" s="2"/>
      <c r="AJ788" s="2"/>
      <c r="AK788" s="2"/>
      <c r="AL788" s="2"/>
      <c r="AM788" s="2"/>
      <c r="AN788" s="2"/>
      <c r="AO788" s="9"/>
      <c r="AP788" s="9"/>
      <c r="AQ788" s="9"/>
      <c r="AR788" s="9"/>
    </row>
    <row r="789">
      <c r="A789" s="585"/>
      <c r="B789" s="585"/>
      <c r="C789" s="585"/>
      <c r="D789" s="585"/>
      <c r="E789" s="585"/>
      <c r="F789" s="585"/>
      <c r="G789" s="585"/>
      <c r="H789" s="585"/>
      <c r="I789" s="585"/>
      <c r="J789" s="585"/>
      <c r="K789" s="585"/>
      <c r="L789" s="585"/>
      <c r="M789" s="585"/>
      <c r="N789" s="585"/>
      <c r="O789" s="585"/>
      <c r="P789" s="585"/>
      <c r="Q789" s="585"/>
      <c r="R789" s="585"/>
      <c r="S789" s="585"/>
      <c r="T789" s="585"/>
      <c r="U789" s="585"/>
      <c r="V789" s="224"/>
      <c r="W789" s="224"/>
      <c r="X789" s="224"/>
      <c r="Y789" s="224"/>
      <c r="Z789" s="868"/>
      <c r="AA789" s="865"/>
      <c r="AB789" s="2"/>
      <c r="AC789" s="2"/>
      <c r="AD789" s="2"/>
      <c r="AE789" s="2"/>
      <c r="AF789" s="2"/>
      <c r="AG789" s="2"/>
      <c r="AH789" s="2"/>
      <c r="AI789" s="2"/>
      <c r="AJ789" s="2"/>
      <c r="AK789" s="2"/>
      <c r="AL789" s="2"/>
      <c r="AM789" s="2"/>
      <c r="AN789" s="2"/>
      <c r="AO789" s="9"/>
      <c r="AP789" s="9"/>
      <c r="AQ789" s="9"/>
      <c r="AR789" s="9"/>
    </row>
    <row r="790">
      <c r="A790" s="585"/>
      <c r="B790" s="585"/>
      <c r="C790" s="585"/>
      <c r="D790" s="585"/>
      <c r="E790" s="585"/>
      <c r="F790" s="585"/>
      <c r="G790" s="585"/>
      <c r="H790" s="585"/>
      <c r="I790" s="585"/>
      <c r="J790" s="585"/>
      <c r="K790" s="585"/>
      <c r="L790" s="585"/>
      <c r="M790" s="585"/>
      <c r="N790" s="585"/>
      <c r="O790" s="585"/>
      <c r="P790" s="585"/>
      <c r="Q790" s="585"/>
      <c r="R790" s="585"/>
      <c r="S790" s="585"/>
      <c r="T790" s="585"/>
      <c r="U790" s="585"/>
      <c r="V790" s="224"/>
      <c r="W790" s="224"/>
      <c r="X790" s="224"/>
      <c r="Y790" s="224"/>
      <c r="Z790" s="868"/>
      <c r="AA790" s="865"/>
      <c r="AB790" s="2"/>
      <c r="AC790" s="2"/>
      <c r="AD790" s="2"/>
      <c r="AE790" s="2"/>
      <c r="AF790" s="2"/>
      <c r="AG790" s="2"/>
      <c r="AH790" s="2"/>
      <c r="AI790" s="2"/>
      <c r="AJ790" s="2"/>
      <c r="AK790" s="2"/>
      <c r="AL790" s="2"/>
      <c r="AM790" s="2"/>
      <c r="AN790" s="2"/>
      <c r="AO790" s="9"/>
      <c r="AP790" s="9"/>
      <c r="AQ790" s="9"/>
      <c r="AR790" s="9"/>
    </row>
    <row r="791">
      <c r="A791" s="585"/>
      <c r="B791" s="585"/>
      <c r="C791" s="585"/>
      <c r="D791" s="585"/>
      <c r="E791" s="585"/>
      <c r="F791" s="585"/>
      <c r="G791" s="585"/>
      <c r="H791" s="585"/>
      <c r="I791" s="585"/>
      <c r="J791" s="585"/>
      <c r="K791" s="585"/>
      <c r="L791" s="585"/>
      <c r="M791" s="585"/>
      <c r="N791" s="585"/>
      <c r="O791" s="585"/>
      <c r="P791" s="585"/>
      <c r="Q791" s="585"/>
      <c r="R791" s="585"/>
      <c r="S791" s="585"/>
      <c r="T791" s="585"/>
      <c r="U791" s="585"/>
      <c r="V791" s="224"/>
      <c r="W791" s="224"/>
      <c r="X791" s="224"/>
      <c r="Y791" s="224"/>
      <c r="Z791" s="868"/>
      <c r="AA791" s="865"/>
      <c r="AB791" s="2"/>
      <c r="AC791" s="2"/>
      <c r="AD791" s="2"/>
      <c r="AE791" s="2"/>
      <c r="AF791" s="2"/>
      <c r="AG791" s="2"/>
      <c r="AH791" s="2"/>
      <c r="AI791" s="2"/>
      <c r="AJ791" s="2"/>
      <c r="AK791" s="2"/>
      <c r="AL791" s="2"/>
      <c r="AM791" s="2"/>
      <c r="AN791" s="2"/>
      <c r="AO791" s="9"/>
      <c r="AP791" s="9"/>
      <c r="AQ791" s="9"/>
      <c r="AR791" s="9"/>
    </row>
    <row r="792">
      <c r="A792" s="585"/>
      <c r="B792" s="585"/>
      <c r="C792" s="585"/>
      <c r="D792" s="585"/>
      <c r="E792" s="585"/>
      <c r="F792" s="585"/>
      <c r="G792" s="585"/>
      <c r="H792" s="585"/>
      <c r="I792" s="585"/>
      <c r="J792" s="585"/>
      <c r="K792" s="585"/>
      <c r="L792" s="585"/>
      <c r="M792" s="585"/>
      <c r="N792" s="585"/>
      <c r="O792" s="585"/>
      <c r="P792" s="585"/>
      <c r="Q792" s="585"/>
      <c r="R792" s="585"/>
      <c r="S792" s="585"/>
      <c r="T792" s="585"/>
      <c r="U792" s="585"/>
      <c r="V792" s="224"/>
      <c r="W792" s="224"/>
      <c r="X792" s="224"/>
      <c r="Y792" s="224"/>
      <c r="Z792" s="868"/>
      <c r="AA792" s="865"/>
      <c r="AB792" s="2"/>
      <c r="AC792" s="2"/>
      <c r="AD792" s="2"/>
      <c r="AE792" s="2"/>
      <c r="AF792" s="2"/>
      <c r="AG792" s="2"/>
      <c r="AH792" s="2"/>
      <c r="AI792" s="2"/>
      <c r="AJ792" s="2"/>
      <c r="AK792" s="2"/>
      <c r="AL792" s="2"/>
      <c r="AM792" s="2"/>
      <c r="AN792" s="2"/>
      <c r="AO792" s="9"/>
      <c r="AP792" s="9"/>
      <c r="AQ792" s="9"/>
      <c r="AR792" s="9"/>
    </row>
    <row r="793">
      <c r="A793" s="585"/>
      <c r="B793" s="585"/>
      <c r="C793" s="585"/>
      <c r="D793" s="585"/>
      <c r="E793" s="585"/>
      <c r="F793" s="585"/>
      <c r="G793" s="585"/>
      <c r="H793" s="585"/>
      <c r="I793" s="585"/>
      <c r="J793" s="585"/>
      <c r="K793" s="585"/>
      <c r="L793" s="585"/>
      <c r="M793" s="585"/>
      <c r="N793" s="585"/>
      <c r="O793" s="585"/>
      <c r="P793" s="585"/>
      <c r="Q793" s="585"/>
      <c r="R793" s="585"/>
      <c r="S793" s="585"/>
      <c r="T793" s="585"/>
      <c r="U793" s="585"/>
      <c r="V793" s="224"/>
      <c r="W793" s="224"/>
      <c r="X793" s="224"/>
      <c r="Y793" s="224"/>
      <c r="Z793" s="868"/>
      <c r="AA793" s="865"/>
      <c r="AB793" s="2"/>
      <c r="AC793" s="2"/>
      <c r="AD793" s="2"/>
      <c r="AE793" s="2"/>
      <c r="AF793" s="2"/>
      <c r="AG793" s="2"/>
      <c r="AH793" s="2"/>
      <c r="AI793" s="2"/>
      <c r="AJ793" s="2"/>
      <c r="AK793" s="2"/>
      <c r="AL793" s="2"/>
      <c r="AM793" s="2"/>
      <c r="AN793" s="2"/>
      <c r="AO793" s="9"/>
      <c r="AP793" s="9"/>
      <c r="AQ793" s="9"/>
      <c r="AR793" s="9"/>
    </row>
    <row r="794">
      <c r="A794" s="585"/>
      <c r="B794" s="585"/>
      <c r="C794" s="585"/>
      <c r="D794" s="585"/>
      <c r="E794" s="585"/>
      <c r="F794" s="585"/>
      <c r="G794" s="585"/>
      <c r="H794" s="585"/>
      <c r="I794" s="585"/>
      <c r="J794" s="585"/>
      <c r="K794" s="585"/>
      <c r="L794" s="585"/>
      <c r="M794" s="585"/>
      <c r="N794" s="585"/>
      <c r="O794" s="585"/>
      <c r="P794" s="585"/>
      <c r="Q794" s="585"/>
      <c r="R794" s="585"/>
      <c r="S794" s="585"/>
      <c r="T794" s="585"/>
      <c r="U794" s="585"/>
      <c r="V794" s="224"/>
      <c r="W794" s="224"/>
      <c r="X794" s="224"/>
      <c r="Y794" s="224"/>
      <c r="Z794" s="868"/>
      <c r="AA794" s="865"/>
      <c r="AB794" s="2"/>
      <c r="AC794" s="2"/>
      <c r="AD794" s="2"/>
      <c r="AE794" s="2"/>
      <c r="AF794" s="2"/>
      <c r="AG794" s="2"/>
      <c r="AH794" s="2"/>
      <c r="AI794" s="2"/>
      <c r="AJ794" s="2"/>
      <c r="AK794" s="2"/>
      <c r="AL794" s="2"/>
      <c r="AM794" s="2"/>
      <c r="AN794" s="2"/>
      <c r="AO794" s="9"/>
      <c r="AP794" s="9"/>
      <c r="AQ794" s="9"/>
      <c r="AR794" s="9"/>
    </row>
    <row r="795">
      <c r="A795" s="585"/>
      <c r="B795" s="585"/>
      <c r="C795" s="585"/>
      <c r="D795" s="585"/>
      <c r="E795" s="585"/>
      <c r="F795" s="585"/>
      <c r="G795" s="585"/>
      <c r="H795" s="585"/>
      <c r="I795" s="585"/>
      <c r="J795" s="585"/>
      <c r="K795" s="585"/>
      <c r="L795" s="585"/>
      <c r="M795" s="585"/>
      <c r="N795" s="585"/>
      <c r="O795" s="585"/>
      <c r="P795" s="585"/>
      <c r="Q795" s="585"/>
      <c r="R795" s="585"/>
      <c r="S795" s="585"/>
      <c r="T795" s="585"/>
      <c r="U795" s="585"/>
      <c r="V795" s="224"/>
      <c r="W795" s="224"/>
      <c r="X795" s="224"/>
      <c r="Y795" s="224"/>
      <c r="Z795" s="868"/>
      <c r="AA795" s="865"/>
      <c r="AB795" s="2"/>
      <c r="AC795" s="2"/>
      <c r="AD795" s="2"/>
      <c r="AE795" s="2"/>
      <c r="AF795" s="2"/>
      <c r="AG795" s="2"/>
      <c r="AH795" s="2"/>
      <c r="AI795" s="2"/>
      <c r="AJ795" s="2"/>
      <c r="AK795" s="2"/>
      <c r="AL795" s="2"/>
      <c r="AM795" s="2"/>
      <c r="AN795" s="2"/>
      <c r="AO795" s="9"/>
      <c r="AP795" s="9"/>
      <c r="AQ795" s="9"/>
      <c r="AR795" s="9"/>
    </row>
    <row r="796">
      <c r="A796" s="585"/>
      <c r="B796" s="585"/>
      <c r="C796" s="585"/>
      <c r="D796" s="585"/>
      <c r="E796" s="585"/>
      <c r="F796" s="585"/>
      <c r="G796" s="585"/>
      <c r="H796" s="585"/>
      <c r="I796" s="585"/>
      <c r="J796" s="585"/>
      <c r="K796" s="585"/>
      <c r="L796" s="585"/>
      <c r="M796" s="585"/>
      <c r="N796" s="585"/>
      <c r="O796" s="585"/>
      <c r="P796" s="585"/>
      <c r="Q796" s="585"/>
      <c r="R796" s="585"/>
      <c r="S796" s="585"/>
      <c r="T796" s="585"/>
      <c r="U796" s="585"/>
      <c r="V796" s="224"/>
      <c r="W796" s="224"/>
      <c r="X796" s="224"/>
      <c r="Y796" s="224"/>
      <c r="Z796" s="868"/>
      <c r="AA796" s="865"/>
      <c r="AB796" s="2"/>
      <c r="AC796" s="2"/>
      <c r="AD796" s="2"/>
      <c r="AE796" s="2"/>
      <c r="AF796" s="2"/>
      <c r="AG796" s="2"/>
      <c r="AH796" s="2"/>
      <c r="AI796" s="2"/>
      <c r="AJ796" s="2"/>
      <c r="AK796" s="2"/>
      <c r="AL796" s="2"/>
      <c r="AM796" s="2"/>
      <c r="AN796" s="2"/>
      <c r="AO796" s="9"/>
      <c r="AP796" s="9"/>
      <c r="AQ796" s="9"/>
      <c r="AR796" s="9"/>
    </row>
    <row r="797">
      <c r="A797" s="585"/>
      <c r="B797" s="585"/>
      <c r="C797" s="585"/>
      <c r="D797" s="585"/>
      <c r="E797" s="585"/>
      <c r="F797" s="585"/>
      <c r="G797" s="585"/>
      <c r="H797" s="585"/>
      <c r="I797" s="585"/>
      <c r="J797" s="585"/>
      <c r="K797" s="585"/>
      <c r="L797" s="585"/>
      <c r="M797" s="585"/>
      <c r="N797" s="585"/>
      <c r="O797" s="585"/>
      <c r="P797" s="585"/>
      <c r="Q797" s="585"/>
      <c r="R797" s="585"/>
      <c r="S797" s="585"/>
      <c r="T797" s="585"/>
      <c r="U797" s="585"/>
      <c r="V797" s="224"/>
      <c r="W797" s="224"/>
      <c r="X797" s="224"/>
      <c r="Y797" s="224"/>
      <c r="Z797" s="868"/>
      <c r="AA797" s="865"/>
      <c r="AB797" s="2"/>
      <c r="AC797" s="2"/>
      <c r="AD797" s="2"/>
      <c r="AE797" s="2"/>
      <c r="AF797" s="2"/>
      <c r="AG797" s="2"/>
      <c r="AH797" s="2"/>
      <c r="AI797" s="2"/>
      <c r="AJ797" s="2"/>
      <c r="AK797" s="2"/>
      <c r="AL797" s="2"/>
      <c r="AM797" s="2"/>
      <c r="AN797" s="2"/>
      <c r="AO797" s="9"/>
      <c r="AP797" s="9"/>
      <c r="AQ797" s="9"/>
      <c r="AR797" s="9"/>
    </row>
    <row r="798">
      <c r="A798" s="585"/>
      <c r="B798" s="585"/>
      <c r="C798" s="585"/>
      <c r="D798" s="585"/>
      <c r="E798" s="585"/>
      <c r="F798" s="585"/>
      <c r="G798" s="585"/>
      <c r="H798" s="585"/>
      <c r="I798" s="585"/>
      <c r="J798" s="585"/>
      <c r="K798" s="585"/>
      <c r="L798" s="585"/>
      <c r="M798" s="585"/>
      <c r="N798" s="585"/>
      <c r="O798" s="585"/>
      <c r="P798" s="585"/>
      <c r="Q798" s="585"/>
      <c r="R798" s="585"/>
      <c r="S798" s="585"/>
      <c r="T798" s="585"/>
      <c r="U798" s="585"/>
      <c r="V798" s="224"/>
      <c r="W798" s="224"/>
      <c r="X798" s="224"/>
      <c r="Y798" s="224"/>
      <c r="Z798" s="868"/>
      <c r="AA798" s="865"/>
      <c r="AB798" s="2"/>
      <c r="AC798" s="2"/>
      <c r="AD798" s="2"/>
      <c r="AE798" s="2"/>
      <c r="AF798" s="2"/>
      <c r="AG798" s="2"/>
      <c r="AH798" s="2"/>
      <c r="AI798" s="2"/>
      <c r="AJ798" s="2"/>
      <c r="AK798" s="2"/>
      <c r="AL798" s="2"/>
      <c r="AM798" s="2"/>
      <c r="AN798" s="2"/>
      <c r="AO798" s="9"/>
      <c r="AP798" s="9"/>
      <c r="AQ798" s="9"/>
      <c r="AR798" s="9"/>
    </row>
    <row r="799">
      <c r="A799" s="585"/>
      <c r="B799" s="585"/>
      <c r="C799" s="585"/>
      <c r="D799" s="585"/>
      <c r="E799" s="585"/>
      <c r="F799" s="585"/>
      <c r="G799" s="585"/>
      <c r="H799" s="585"/>
      <c r="I799" s="585"/>
      <c r="J799" s="585"/>
      <c r="K799" s="585"/>
      <c r="L799" s="585"/>
      <c r="M799" s="585"/>
      <c r="N799" s="585"/>
      <c r="O799" s="585"/>
      <c r="P799" s="585"/>
      <c r="Q799" s="585"/>
      <c r="R799" s="585"/>
      <c r="S799" s="585"/>
      <c r="T799" s="585"/>
      <c r="U799" s="585"/>
      <c r="V799" s="224"/>
      <c r="W799" s="224"/>
      <c r="X799" s="224"/>
      <c r="Y799" s="224"/>
      <c r="Z799" s="868"/>
      <c r="AA799" s="865"/>
      <c r="AB799" s="2"/>
      <c r="AC799" s="2"/>
      <c r="AD799" s="2"/>
      <c r="AE799" s="2"/>
      <c r="AF799" s="2"/>
      <c r="AG799" s="2"/>
      <c r="AH799" s="2"/>
      <c r="AI799" s="2"/>
      <c r="AJ799" s="2"/>
      <c r="AK799" s="2"/>
      <c r="AL799" s="2"/>
      <c r="AM799" s="2"/>
      <c r="AN799" s="2"/>
      <c r="AO799" s="9"/>
      <c r="AP799" s="9"/>
      <c r="AQ799" s="9"/>
      <c r="AR799" s="9"/>
    </row>
    <row r="800">
      <c r="A800" s="585"/>
      <c r="B800" s="585"/>
      <c r="C800" s="585"/>
      <c r="D800" s="585"/>
      <c r="E800" s="585"/>
      <c r="F800" s="585"/>
      <c r="G800" s="585"/>
      <c r="H800" s="585"/>
      <c r="I800" s="585"/>
      <c r="J800" s="585"/>
      <c r="K800" s="585"/>
      <c r="L800" s="585"/>
      <c r="M800" s="585"/>
      <c r="N800" s="585"/>
      <c r="O800" s="585"/>
      <c r="P800" s="585"/>
      <c r="Q800" s="585"/>
      <c r="R800" s="585"/>
      <c r="S800" s="585"/>
      <c r="T800" s="585"/>
      <c r="U800" s="585"/>
      <c r="V800" s="224"/>
      <c r="W800" s="224"/>
      <c r="X800" s="224"/>
      <c r="Y800" s="224"/>
      <c r="Z800" s="868"/>
      <c r="AA800" s="865"/>
      <c r="AB800" s="2"/>
      <c r="AC800" s="2"/>
      <c r="AD800" s="2"/>
      <c r="AE800" s="2"/>
      <c r="AF800" s="2"/>
      <c r="AG800" s="2"/>
      <c r="AH800" s="2"/>
      <c r="AI800" s="2"/>
      <c r="AJ800" s="2"/>
      <c r="AK800" s="2"/>
      <c r="AL800" s="2"/>
      <c r="AM800" s="2"/>
      <c r="AN800" s="2"/>
      <c r="AO800" s="9"/>
      <c r="AP800" s="9"/>
      <c r="AQ800" s="9"/>
      <c r="AR800" s="9"/>
    </row>
    <row r="801">
      <c r="A801" s="585"/>
      <c r="B801" s="585"/>
      <c r="C801" s="585"/>
      <c r="D801" s="585"/>
      <c r="E801" s="585"/>
      <c r="F801" s="585"/>
      <c r="G801" s="585"/>
      <c r="H801" s="585"/>
      <c r="I801" s="585"/>
      <c r="J801" s="585"/>
      <c r="K801" s="585"/>
      <c r="L801" s="585"/>
      <c r="M801" s="585"/>
      <c r="N801" s="585"/>
      <c r="O801" s="585"/>
      <c r="P801" s="585"/>
      <c r="Q801" s="585"/>
      <c r="R801" s="585"/>
      <c r="S801" s="585"/>
      <c r="T801" s="585"/>
      <c r="U801" s="585"/>
      <c r="V801" s="224"/>
      <c r="W801" s="224"/>
      <c r="X801" s="224"/>
      <c r="Y801" s="224"/>
      <c r="Z801" s="868"/>
      <c r="AA801" s="865"/>
      <c r="AB801" s="2"/>
      <c r="AC801" s="2"/>
      <c r="AD801" s="2"/>
      <c r="AE801" s="2"/>
      <c r="AF801" s="2"/>
      <c r="AG801" s="2"/>
      <c r="AH801" s="2"/>
      <c r="AI801" s="2"/>
      <c r="AJ801" s="2"/>
      <c r="AK801" s="2"/>
      <c r="AL801" s="2"/>
      <c r="AM801" s="2"/>
      <c r="AN801" s="2"/>
      <c r="AO801" s="9"/>
      <c r="AP801" s="9"/>
      <c r="AQ801" s="9"/>
      <c r="AR801" s="9"/>
    </row>
    <row r="802">
      <c r="A802" s="585"/>
      <c r="B802" s="585"/>
      <c r="C802" s="585"/>
      <c r="D802" s="585"/>
      <c r="E802" s="585"/>
      <c r="F802" s="585"/>
      <c r="G802" s="585"/>
      <c r="H802" s="585"/>
      <c r="I802" s="585"/>
      <c r="J802" s="585"/>
      <c r="K802" s="585"/>
      <c r="L802" s="585"/>
      <c r="M802" s="585"/>
      <c r="N802" s="585"/>
      <c r="O802" s="585"/>
      <c r="P802" s="585"/>
      <c r="Q802" s="585"/>
      <c r="R802" s="585"/>
      <c r="S802" s="585"/>
      <c r="T802" s="585"/>
      <c r="U802" s="585"/>
      <c r="V802" s="224"/>
      <c r="W802" s="224"/>
      <c r="X802" s="224"/>
      <c r="Y802" s="224"/>
      <c r="Z802" s="868"/>
      <c r="AA802" s="865"/>
      <c r="AB802" s="2"/>
      <c r="AC802" s="2"/>
      <c r="AD802" s="2"/>
      <c r="AE802" s="2"/>
      <c r="AF802" s="2"/>
      <c r="AG802" s="2"/>
      <c r="AH802" s="2"/>
      <c r="AI802" s="2"/>
      <c r="AJ802" s="2"/>
      <c r="AK802" s="2"/>
      <c r="AL802" s="2"/>
      <c r="AM802" s="2"/>
      <c r="AN802" s="2"/>
      <c r="AO802" s="9"/>
      <c r="AP802" s="9"/>
      <c r="AQ802" s="9"/>
      <c r="AR802" s="9"/>
    </row>
    <row r="803">
      <c r="A803" s="585"/>
      <c r="B803" s="585"/>
      <c r="C803" s="585"/>
      <c r="D803" s="585"/>
      <c r="E803" s="585"/>
      <c r="F803" s="585"/>
      <c r="G803" s="585"/>
      <c r="H803" s="585"/>
      <c r="I803" s="585"/>
      <c r="J803" s="585"/>
      <c r="K803" s="585"/>
      <c r="L803" s="585"/>
      <c r="M803" s="585"/>
      <c r="N803" s="585"/>
      <c r="O803" s="585"/>
      <c r="P803" s="585"/>
      <c r="Q803" s="585"/>
      <c r="R803" s="585"/>
      <c r="S803" s="585"/>
      <c r="T803" s="585"/>
      <c r="U803" s="585"/>
      <c r="V803" s="224"/>
      <c r="W803" s="224"/>
      <c r="X803" s="224"/>
      <c r="Y803" s="224"/>
      <c r="Z803" s="868"/>
      <c r="AA803" s="865"/>
      <c r="AB803" s="2"/>
      <c r="AC803" s="2"/>
      <c r="AD803" s="2"/>
      <c r="AE803" s="2"/>
      <c r="AF803" s="2"/>
      <c r="AG803" s="2"/>
      <c r="AH803" s="2"/>
      <c r="AI803" s="2"/>
      <c r="AJ803" s="2"/>
      <c r="AK803" s="2"/>
      <c r="AL803" s="2"/>
      <c r="AM803" s="2"/>
      <c r="AN803" s="2"/>
      <c r="AO803" s="9"/>
      <c r="AP803" s="9"/>
      <c r="AQ803" s="9"/>
      <c r="AR803" s="9"/>
    </row>
    <row r="804">
      <c r="A804" s="585"/>
      <c r="B804" s="585"/>
      <c r="C804" s="585"/>
      <c r="D804" s="585"/>
      <c r="E804" s="585"/>
      <c r="F804" s="585"/>
      <c r="G804" s="585"/>
      <c r="H804" s="585"/>
      <c r="I804" s="585"/>
      <c r="J804" s="585"/>
      <c r="K804" s="585"/>
      <c r="L804" s="585"/>
      <c r="M804" s="585"/>
      <c r="N804" s="585"/>
      <c r="O804" s="585"/>
      <c r="P804" s="585"/>
      <c r="Q804" s="585"/>
      <c r="R804" s="585"/>
      <c r="S804" s="585"/>
      <c r="T804" s="585"/>
      <c r="U804" s="585"/>
      <c r="V804" s="224"/>
      <c r="W804" s="224"/>
      <c r="X804" s="224"/>
      <c r="Y804" s="224"/>
      <c r="Z804" s="868"/>
      <c r="AA804" s="865"/>
      <c r="AB804" s="2"/>
      <c r="AC804" s="2"/>
      <c r="AD804" s="2"/>
      <c r="AE804" s="2"/>
      <c r="AF804" s="2"/>
      <c r="AG804" s="2"/>
      <c r="AH804" s="2"/>
      <c r="AI804" s="2"/>
      <c r="AJ804" s="2"/>
      <c r="AK804" s="2"/>
      <c r="AL804" s="2"/>
      <c r="AM804" s="2"/>
      <c r="AN804" s="2"/>
      <c r="AO804" s="9"/>
      <c r="AP804" s="9"/>
      <c r="AQ804" s="9"/>
      <c r="AR804" s="9"/>
    </row>
    <row r="805">
      <c r="A805" s="585"/>
      <c r="B805" s="585"/>
      <c r="C805" s="585"/>
      <c r="D805" s="585"/>
      <c r="E805" s="585"/>
      <c r="F805" s="585"/>
      <c r="G805" s="585"/>
      <c r="H805" s="585"/>
      <c r="I805" s="585"/>
      <c r="J805" s="585"/>
      <c r="K805" s="585"/>
      <c r="L805" s="585"/>
      <c r="M805" s="585"/>
      <c r="N805" s="585"/>
      <c r="O805" s="585"/>
      <c r="P805" s="585"/>
      <c r="Q805" s="585"/>
      <c r="R805" s="585"/>
      <c r="S805" s="585"/>
      <c r="T805" s="585"/>
      <c r="U805" s="585"/>
      <c r="V805" s="224"/>
      <c r="W805" s="224"/>
      <c r="X805" s="224"/>
      <c r="Y805" s="224"/>
      <c r="Z805" s="868"/>
      <c r="AA805" s="865"/>
      <c r="AB805" s="2"/>
      <c r="AC805" s="2"/>
      <c r="AD805" s="2"/>
      <c r="AE805" s="2"/>
      <c r="AF805" s="2"/>
      <c r="AG805" s="2"/>
      <c r="AH805" s="2"/>
      <c r="AI805" s="2"/>
      <c r="AJ805" s="2"/>
      <c r="AK805" s="2"/>
      <c r="AL805" s="2"/>
      <c r="AM805" s="2"/>
      <c r="AN805" s="2"/>
      <c r="AO805" s="9"/>
      <c r="AP805" s="9"/>
      <c r="AQ805" s="9"/>
      <c r="AR805" s="9"/>
    </row>
    <row r="806">
      <c r="A806" s="585"/>
      <c r="B806" s="585"/>
      <c r="C806" s="585"/>
      <c r="D806" s="585"/>
      <c r="E806" s="585"/>
      <c r="F806" s="585"/>
      <c r="G806" s="585"/>
      <c r="H806" s="585"/>
      <c r="I806" s="585"/>
      <c r="J806" s="585"/>
      <c r="K806" s="585"/>
      <c r="L806" s="585"/>
      <c r="M806" s="585"/>
      <c r="N806" s="585"/>
      <c r="O806" s="585"/>
      <c r="P806" s="585"/>
      <c r="Q806" s="585"/>
      <c r="R806" s="585"/>
      <c r="S806" s="585"/>
      <c r="T806" s="585"/>
      <c r="U806" s="585"/>
      <c r="V806" s="224"/>
      <c r="W806" s="224"/>
      <c r="X806" s="224"/>
      <c r="Y806" s="224"/>
      <c r="Z806" s="868"/>
      <c r="AA806" s="865"/>
      <c r="AB806" s="2"/>
      <c r="AC806" s="2"/>
      <c r="AD806" s="2"/>
      <c r="AE806" s="2"/>
      <c r="AF806" s="2"/>
      <c r="AG806" s="2"/>
      <c r="AH806" s="2"/>
      <c r="AI806" s="2"/>
      <c r="AJ806" s="2"/>
      <c r="AK806" s="2"/>
      <c r="AL806" s="2"/>
      <c r="AM806" s="2"/>
      <c r="AN806" s="2"/>
      <c r="AO806" s="9"/>
      <c r="AP806" s="9"/>
      <c r="AQ806" s="9"/>
      <c r="AR806" s="9"/>
    </row>
    <row r="807">
      <c r="A807" s="585"/>
      <c r="B807" s="585"/>
      <c r="C807" s="585"/>
      <c r="D807" s="585"/>
      <c r="E807" s="585"/>
      <c r="F807" s="585"/>
      <c r="G807" s="585"/>
      <c r="H807" s="585"/>
      <c r="I807" s="585"/>
      <c r="J807" s="585"/>
      <c r="K807" s="585"/>
      <c r="L807" s="585"/>
      <c r="M807" s="585"/>
      <c r="N807" s="585"/>
      <c r="O807" s="585"/>
      <c r="P807" s="585"/>
      <c r="Q807" s="585"/>
      <c r="R807" s="585"/>
      <c r="S807" s="585"/>
      <c r="T807" s="585"/>
      <c r="U807" s="585"/>
      <c r="V807" s="224"/>
      <c r="W807" s="224"/>
      <c r="X807" s="224"/>
      <c r="Y807" s="224"/>
      <c r="Z807" s="868"/>
      <c r="AA807" s="865"/>
      <c r="AB807" s="2"/>
      <c r="AC807" s="2"/>
      <c r="AD807" s="2"/>
      <c r="AE807" s="2"/>
      <c r="AF807" s="2"/>
      <c r="AG807" s="2"/>
      <c r="AH807" s="2"/>
      <c r="AI807" s="2"/>
      <c r="AJ807" s="2"/>
      <c r="AK807" s="2"/>
      <c r="AL807" s="2"/>
      <c r="AM807" s="2"/>
      <c r="AN807" s="2"/>
      <c r="AO807" s="9"/>
      <c r="AP807" s="9"/>
      <c r="AQ807" s="9"/>
      <c r="AR807" s="9"/>
    </row>
    <row r="808">
      <c r="A808" s="585"/>
      <c r="B808" s="585"/>
      <c r="C808" s="585"/>
      <c r="D808" s="585"/>
      <c r="E808" s="585"/>
      <c r="F808" s="585"/>
      <c r="G808" s="585"/>
      <c r="H808" s="585"/>
      <c r="I808" s="585"/>
      <c r="J808" s="585"/>
      <c r="K808" s="585"/>
      <c r="L808" s="585"/>
      <c r="M808" s="585"/>
      <c r="N808" s="585"/>
      <c r="O808" s="585"/>
      <c r="P808" s="585"/>
      <c r="Q808" s="585"/>
      <c r="R808" s="585"/>
      <c r="S808" s="585"/>
      <c r="T808" s="585"/>
      <c r="U808" s="585"/>
      <c r="V808" s="224"/>
      <c r="W808" s="224"/>
      <c r="X808" s="224"/>
      <c r="Y808" s="224"/>
      <c r="Z808" s="868"/>
      <c r="AA808" s="865"/>
      <c r="AB808" s="2"/>
      <c r="AC808" s="2"/>
      <c r="AD808" s="2"/>
      <c r="AE808" s="2"/>
      <c r="AF808" s="2"/>
      <c r="AG808" s="2"/>
      <c r="AH808" s="2"/>
      <c r="AI808" s="2"/>
      <c r="AJ808" s="2"/>
      <c r="AK808" s="2"/>
      <c r="AL808" s="2"/>
      <c r="AM808" s="2"/>
      <c r="AN808" s="2"/>
      <c r="AO808" s="9"/>
      <c r="AP808" s="9"/>
      <c r="AQ808" s="9"/>
      <c r="AR808" s="9"/>
    </row>
    <row r="809">
      <c r="A809" s="585"/>
      <c r="B809" s="585"/>
      <c r="C809" s="585"/>
      <c r="D809" s="585"/>
      <c r="E809" s="585"/>
      <c r="F809" s="585"/>
      <c r="G809" s="585"/>
      <c r="H809" s="585"/>
      <c r="I809" s="585"/>
      <c r="J809" s="585"/>
      <c r="K809" s="585"/>
      <c r="L809" s="585"/>
      <c r="M809" s="585"/>
      <c r="N809" s="585"/>
      <c r="O809" s="585"/>
      <c r="P809" s="585"/>
      <c r="Q809" s="585"/>
      <c r="R809" s="585"/>
      <c r="S809" s="585"/>
      <c r="T809" s="585"/>
      <c r="U809" s="585"/>
      <c r="V809" s="224"/>
      <c r="W809" s="224"/>
      <c r="X809" s="224"/>
      <c r="Y809" s="224"/>
      <c r="Z809" s="868"/>
      <c r="AA809" s="865"/>
      <c r="AB809" s="2"/>
      <c r="AC809" s="2"/>
      <c r="AD809" s="2"/>
      <c r="AE809" s="2"/>
      <c r="AF809" s="2"/>
      <c r="AG809" s="2"/>
      <c r="AH809" s="2"/>
      <c r="AI809" s="2"/>
      <c r="AJ809" s="2"/>
      <c r="AK809" s="2"/>
      <c r="AL809" s="2"/>
      <c r="AM809" s="2"/>
      <c r="AN809" s="2"/>
      <c r="AO809" s="9"/>
      <c r="AP809" s="9"/>
      <c r="AQ809" s="9"/>
      <c r="AR809" s="9"/>
    </row>
    <row r="810">
      <c r="A810" s="585"/>
      <c r="B810" s="585"/>
      <c r="C810" s="585"/>
      <c r="D810" s="585"/>
      <c r="E810" s="585"/>
      <c r="F810" s="585"/>
      <c r="G810" s="585"/>
      <c r="H810" s="585"/>
      <c r="I810" s="585"/>
      <c r="J810" s="585"/>
      <c r="K810" s="585"/>
      <c r="L810" s="585"/>
      <c r="M810" s="585"/>
      <c r="N810" s="585"/>
      <c r="O810" s="585"/>
      <c r="P810" s="585"/>
      <c r="Q810" s="585"/>
      <c r="R810" s="585"/>
      <c r="S810" s="585"/>
      <c r="T810" s="585"/>
      <c r="U810" s="585"/>
      <c r="V810" s="224"/>
      <c r="W810" s="224"/>
      <c r="X810" s="224"/>
      <c r="Y810" s="224"/>
      <c r="Z810" s="868"/>
      <c r="AA810" s="865"/>
      <c r="AB810" s="2"/>
      <c r="AC810" s="2"/>
      <c r="AD810" s="2"/>
      <c r="AE810" s="2"/>
      <c r="AF810" s="2"/>
      <c r="AG810" s="2"/>
      <c r="AH810" s="2"/>
      <c r="AI810" s="2"/>
      <c r="AJ810" s="2"/>
      <c r="AK810" s="2"/>
      <c r="AL810" s="2"/>
      <c r="AM810" s="2"/>
      <c r="AN810" s="2"/>
      <c r="AO810" s="9"/>
      <c r="AP810" s="9"/>
      <c r="AQ810" s="9"/>
      <c r="AR810" s="9"/>
    </row>
    <row r="811">
      <c r="A811" s="585"/>
      <c r="B811" s="585"/>
      <c r="C811" s="585"/>
      <c r="D811" s="585"/>
      <c r="E811" s="585"/>
      <c r="F811" s="585"/>
      <c r="G811" s="585"/>
      <c r="H811" s="585"/>
      <c r="I811" s="585"/>
      <c r="J811" s="585"/>
      <c r="K811" s="585"/>
      <c r="L811" s="585"/>
      <c r="M811" s="585"/>
      <c r="N811" s="585"/>
      <c r="O811" s="585"/>
      <c r="P811" s="585"/>
      <c r="Q811" s="585"/>
      <c r="R811" s="585"/>
      <c r="S811" s="585"/>
      <c r="T811" s="585"/>
      <c r="U811" s="585"/>
      <c r="V811" s="224"/>
      <c r="W811" s="224"/>
      <c r="X811" s="224"/>
      <c r="Y811" s="224"/>
      <c r="Z811" s="868"/>
      <c r="AA811" s="865"/>
      <c r="AB811" s="2"/>
      <c r="AC811" s="2"/>
      <c r="AD811" s="2"/>
      <c r="AE811" s="2"/>
      <c r="AF811" s="2"/>
      <c r="AG811" s="2"/>
      <c r="AH811" s="2"/>
      <c r="AI811" s="2"/>
      <c r="AJ811" s="2"/>
      <c r="AK811" s="2"/>
      <c r="AL811" s="2"/>
      <c r="AM811" s="2"/>
      <c r="AN811" s="2"/>
      <c r="AO811" s="9"/>
      <c r="AP811" s="9"/>
      <c r="AQ811" s="9"/>
      <c r="AR811" s="9"/>
    </row>
    <row r="812">
      <c r="A812" s="585"/>
      <c r="B812" s="585"/>
      <c r="C812" s="585"/>
      <c r="D812" s="585"/>
      <c r="E812" s="585"/>
      <c r="F812" s="585"/>
      <c r="G812" s="585"/>
      <c r="H812" s="585"/>
      <c r="I812" s="585"/>
      <c r="J812" s="585"/>
      <c r="K812" s="585"/>
      <c r="L812" s="585"/>
      <c r="M812" s="585"/>
      <c r="N812" s="585"/>
      <c r="O812" s="585"/>
      <c r="P812" s="585"/>
      <c r="Q812" s="585"/>
      <c r="R812" s="585"/>
      <c r="S812" s="585"/>
      <c r="T812" s="585"/>
      <c r="U812" s="585"/>
      <c r="V812" s="224"/>
      <c r="W812" s="224"/>
      <c r="X812" s="224"/>
      <c r="Y812" s="224"/>
      <c r="Z812" s="868"/>
      <c r="AA812" s="865"/>
      <c r="AB812" s="2"/>
      <c r="AC812" s="2"/>
      <c r="AD812" s="2"/>
      <c r="AE812" s="2"/>
      <c r="AF812" s="2"/>
      <c r="AG812" s="2"/>
      <c r="AH812" s="2"/>
      <c r="AI812" s="2"/>
      <c r="AJ812" s="2"/>
      <c r="AK812" s="2"/>
      <c r="AL812" s="2"/>
      <c r="AM812" s="2"/>
      <c r="AN812" s="2"/>
      <c r="AO812" s="9"/>
      <c r="AP812" s="9"/>
      <c r="AQ812" s="9"/>
      <c r="AR812" s="9"/>
    </row>
    <row r="813">
      <c r="A813" s="585"/>
      <c r="B813" s="585"/>
      <c r="C813" s="585"/>
      <c r="D813" s="585"/>
      <c r="E813" s="585"/>
      <c r="F813" s="585"/>
      <c r="G813" s="585"/>
      <c r="H813" s="585"/>
      <c r="I813" s="585"/>
      <c r="J813" s="585"/>
      <c r="K813" s="585"/>
      <c r="L813" s="585"/>
      <c r="M813" s="585"/>
      <c r="N813" s="585"/>
      <c r="O813" s="585"/>
      <c r="P813" s="585"/>
      <c r="Q813" s="585"/>
      <c r="R813" s="585"/>
      <c r="S813" s="585"/>
      <c r="T813" s="585"/>
      <c r="U813" s="585"/>
      <c r="V813" s="224"/>
      <c r="W813" s="224"/>
      <c r="X813" s="224"/>
      <c r="Y813" s="224"/>
      <c r="Z813" s="868"/>
      <c r="AA813" s="865"/>
      <c r="AB813" s="2"/>
      <c r="AC813" s="2"/>
      <c r="AD813" s="2"/>
      <c r="AE813" s="2"/>
      <c r="AF813" s="2"/>
      <c r="AG813" s="2"/>
      <c r="AH813" s="2"/>
      <c r="AI813" s="2"/>
      <c r="AJ813" s="2"/>
      <c r="AK813" s="2"/>
      <c r="AL813" s="2"/>
      <c r="AM813" s="2"/>
      <c r="AN813" s="2"/>
      <c r="AO813" s="9"/>
      <c r="AP813" s="9"/>
      <c r="AQ813" s="9"/>
      <c r="AR813" s="9"/>
    </row>
    <row r="814">
      <c r="A814" s="585"/>
      <c r="B814" s="585"/>
      <c r="C814" s="585"/>
      <c r="D814" s="585"/>
      <c r="E814" s="585"/>
      <c r="F814" s="585"/>
      <c r="G814" s="585"/>
      <c r="H814" s="585"/>
      <c r="I814" s="585"/>
      <c r="J814" s="585"/>
      <c r="K814" s="585"/>
      <c r="L814" s="585"/>
      <c r="M814" s="585"/>
      <c r="N814" s="585"/>
      <c r="O814" s="585"/>
      <c r="P814" s="585"/>
      <c r="Q814" s="585"/>
      <c r="R814" s="585"/>
      <c r="S814" s="585"/>
      <c r="T814" s="585"/>
      <c r="U814" s="585"/>
      <c r="V814" s="224"/>
      <c r="W814" s="224"/>
      <c r="X814" s="224"/>
      <c r="Y814" s="224"/>
      <c r="Z814" s="868"/>
      <c r="AA814" s="865"/>
      <c r="AB814" s="2"/>
      <c r="AC814" s="2"/>
      <c r="AD814" s="2"/>
      <c r="AE814" s="2"/>
      <c r="AF814" s="2"/>
      <c r="AG814" s="2"/>
      <c r="AH814" s="2"/>
      <c r="AI814" s="2"/>
      <c r="AJ814" s="2"/>
      <c r="AK814" s="2"/>
      <c r="AL814" s="2"/>
      <c r="AM814" s="2"/>
      <c r="AN814" s="2"/>
      <c r="AO814" s="9"/>
      <c r="AP814" s="9"/>
      <c r="AQ814" s="9"/>
      <c r="AR814" s="9"/>
    </row>
    <row r="815">
      <c r="A815" s="585"/>
      <c r="B815" s="585"/>
      <c r="C815" s="585"/>
      <c r="D815" s="585"/>
      <c r="E815" s="585"/>
      <c r="F815" s="585"/>
      <c r="G815" s="585"/>
      <c r="H815" s="585"/>
      <c r="I815" s="585"/>
      <c r="J815" s="585"/>
      <c r="K815" s="585"/>
      <c r="L815" s="585"/>
      <c r="M815" s="585"/>
      <c r="N815" s="585"/>
      <c r="O815" s="585"/>
      <c r="P815" s="585"/>
      <c r="Q815" s="585"/>
      <c r="R815" s="585"/>
      <c r="S815" s="585"/>
      <c r="T815" s="585"/>
      <c r="U815" s="585"/>
      <c r="V815" s="224"/>
      <c r="W815" s="224"/>
      <c r="X815" s="224"/>
      <c r="Y815" s="224"/>
      <c r="Z815" s="868"/>
      <c r="AA815" s="865"/>
      <c r="AB815" s="2"/>
      <c r="AC815" s="2"/>
      <c r="AD815" s="2"/>
      <c r="AE815" s="2"/>
      <c r="AF815" s="2"/>
      <c r="AG815" s="2"/>
      <c r="AH815" s="2"/>
      <c r="AI815" s="2"/>
      <c r="AJ815" s="2"/>
      <c r="AK815" s="2"/>
      <c r="AL815" s="2"/>
      <c r="AM815" s="2"/>
      <c r="AN815" s="2"/>
      <c r="AO815" s="9"/>
      <c r="AP815" s="9"/>
      <c r="AQ815" s="9"/>
      <c r="AR815" s="9"/>
    </row>
    <row r="816">
      <c r="A816" s="585"/>
      <c r="B816" s="585"/>
      <c r="C816" s="585"/>
      <c r="D816" s="585"/>
      <c r="E816" s="585"/>
      <c r="F816" s="585"/>
      <c r="G816" s="585"/>
      <c r="H816" s="585"/>
      <c r="I816" s="585"/>
      <c r="J816" s="585"/>
      <c r="K816" s="585"/>
      <c r="L816" s="585"/>
      <c r="M816" s="585"/>
      <c r="N816" s="585"/>
      <c r="O816" s="585"/>
      <c r="P816" s="585"/>
      <c r="Q816" s="585"/>
      <c r="R816" s="585"/>
      <c r="S816" s="585"/>
      <c r="T816" s="585"/>
      <c r="U816" s="585"/>
      <c r="V816" s="224"/>
      <c r="W816" s="224"/>
      <c r="X816" s="224"/>
      <c r="Y816" s="224"/>
      <c r="Z816" s="868"/>
      <c r="AA816" s="865"/>
      <c r="AB816" s="2"/>
      <c r="AC816" s="2"/>
      <c r="AD816" s="2"/>
      <c r="AE816" s="2"/>
      <c r="AF816" s="2"/>
      <c r="AG816" s="2"/>
      <c r="AH816" s="2"/>
      <c r="AI816" s="2"/>
      <c r="AJ816" s="2"/>
      <c r="AK816" s="2"/>
      <c r="AL816" s="2"/>
      <c r="AM816" s="2"/>
      <c r="AN816" s="2"/>
      <c r="AO816" s="9"/>
      <c r="AP816" s="9"/>
      <c r="AQ816" s="9"/>
      <c r="AR816" s="9"/>
    </row>
    <row r="817">
      <c r="A817" s="585"/>
      <c r="B817" s="585"/>
      <c r="C817" s="585"/>
      <c r="D817" s="585"/>
      <c r="E817" s="585"/>
      <c r="F817" s="585"/>
      <c r="G817" s="585"/>
      <c r="H817" s="585"/>
      <c r="I817" s="585"/>
      <c r="J817" s="585"/>
      <c r="K817" s="585"/>
      <c r="L817" s="585"/>
      <c r="M817" s="585"/>
      <c r="N817" s="585"/>
      <c r="O817" s="585"/>
      <c r="P817" s="585"/>
      <c r="Q817" s="585"/>
      <c r="R817" s="585"/>
      <c r="S817" s="585"/>
      <c r="T817" s="585"/>
      <c r="U817" s="585"/>
      <c r="V817" s="224"/>
      <c r="W817" s="224"/>
      <c r="X817" s="224"/>
      <c r="Y817" s="224"/>
      <c r="Z817" s="868"/>
      <c r="AA817" s="865"/>
      <c r="AB817" s="2"/>
      <c r="AC817" s="2"/>
      <c r="AD817" s="2"/>
      <c r="AE817" s="2"/>
      <c r="AF817" s="2"/>
      <c r="AG817" s="2"/>
      <c r="AH817" s="2"/>
      <c r="AI817" s="2"/>
      <c r="AJ817" s="2"/>
      <c r="AK817" s="2"/>
      <c r="AL817" s="2"/>
      <c r="AM817" s="2"/>
      <c r="AN817" s="2"/>
      <c r="AO817" s="9"/>
      <c r="AP817" s="9"/>
      <c r="AQ817" s="9"/>
      <c r="AR817" s="9"/>
    </row>
    <row r="818">
      <c r="A818" s="585"/>
      <c r="B818" s="585"/>
      <c r="C818" s="585"/>
      <c r="D818" s="585"/>
      <c r="E818" s="585"/>
      <c r="F818" s="585"/>
      <c r="G818" s="585"/>
      <c r="H818" s="585"/>
      <c r="I818" s="585"/>
      <c r="J818" s="585"/>
      <c r="K818" s="585"/>
      <c r="L818" s="585"/>
      <c r="M818" s="585"/>
      <c r="N818" s="585"/>
      <c r="O818" s="585"/>
      <c r="P818" s="585"/>
      <c r="Q818" s="585"/>
      <c r="R818" s="585"/>
      <c r="S818" s="585"/>
      <c r="T818" s="585"/>
      <c r="U818" s="585"/>
      <c r="V818" s="224"/>
      <c r="W818" s="224"/>
      <c r="X818" s="224"/>
      <c r="Y818" s="224"/>
      <c r="Z818" s="868"/>
      <c r="AA818" s="865"/>
      <c r="AB818" s="2"/>
      <c r="AC818" s="2"/>
      <c r="AD818" s="2"/>
      <c r="AE818" s="2"/>
      <c r="AF818" s="2"/>
      <c r="AG818" s="2"/>
      <c r="AH818" s="2"/>
      <c r="AI818" s="2"/>
      <c r="AJ818" s="2"/>
      <c r="AK818" s="2"/>
      <c r="AL818" s="2"/>
      <c r="AM818" s="2"/>
      <c r="AN818" s="2"/>
      <c r="AO818" s="9"/>
      <c r="AP818" s="9"/>
      <c r="AQ818" s="9"/>
      <c r="AR818" s="9"/>
    </row>
    <row r="819">
      <c r="A819" s="585"/>
      <c r="B819" s="585"/>
      <c r="C819" s="585"/>
      <c r="D819" s="585"/>
      <c r="E819" s="585"/>
      <c r="F819" s="585"/>
      <c r="G819" s="585"/>
      <c r="H819" s="585"/>
      <c r="I819" s="585"/>
      <c r="J819" s="585"/>
      <c r="K819" s="585"/>
      <c r="L819" s="585"/>
      <c r="M819" s="585"/>
      <c r="N819" s="585"/>
      <c r="O819" s="585"/>
      <c r="P819" s="585"/>
      <c r="Q819" s="585"/>
      <c r="R819" s="585"/>
      <c r="S819" s="585"/>
      <c r="T819" s="585"/>
      <c r="U819" s="585"/>
      <c r="V819" s="224"/>
      <c r="W819" s="224"/>
      <c r="X819" s="224"/>
      <c r="Y819" s="224"/>
      <c r="Z819" s="868"/>
      <c r="AA819" s="865"/>
      <c r="AB819" s="2"/>
      <c r="AC819" s="2"/>
      <c r="AD819" s="2"/>
      <c r="AE819" s="2"/>
      <c r="AF819" s="2"/>
      <c r="AG819" s="2"/>
      <c r="AH819" s="2"/>
      <c r="AI819" s="2"/>
      <c r="AJ819" s="2"/>
      <c r="AK819" s="2"/>
      <c r="AL819" s="2"/>
      <c r="AM819" s="2"/>
      <c r="AN819" s="2"/>
      <c r="AO819" s="9"/>
      <c r="AP819" s="9"/>
      <c r="AQ819" s="9"/>
      <c r="AR819" s="9"/>
    </row>
    <row r="820">
      <c r="A820" s="585"/>
      <c r="B820" s="585"/>
      <c r="C820" s="585"/>
      <c r="D820" s="585"/>
      <c r="E820" s="585"/>
      <c r="F820" s="585"/>
      <c r="G820" s="585"/>
      <c r="H820" s="585"/>
      <c r="I820" s="585"/>
      <c r="J820" s="585"/>
      <c r="K820" s="585"/>
      <c r="L820" s="585"/>
      <c r="M820" s="585"/>
      <c r="N820" s="585"/>
      <c r="O820" s="585"/>
      <c r="P820" s="585"/>
      <c r="Q820" s="585"/>
      <c r="R820" s="585"/>
      <c r="S820" s="585"/>
      <c r="T820" s="585"/>
      <c r="U820" s="585"/>
      <c r="V820" s="224"/>
      <c r="W820" s="224"/>
      <c r="X820" s="224"/>
      <c r="Y820" s="224"/>
      <c r="Z820" s="868"/>
      <c r="AA820" s="865"/>
      <c r="AB820" s="2"/>
      <c r="AC820" s="2"/>
      <c r="AD820" s="2"/>
      <c r="AE820" s="2"/>
      <c r="AF820" s="2"/>
      <c r="AG820" s="2"/>
      <c r="AH820" s="2"/>
      <c r="AI820" s="2"/>
      <c r="AJ820" s="2"/>
      <c r="AK820" s="2"/>
      <c r="AL820" s="2"/>
      <c r="AM820" s="2"/>
      <c r="AN820" s="2"/>
      <c r="AO820" s="9"/>
      <c r="AP820" s="9"/>
      <c r="AQ820" s="9"/>
      <c r="AR820" s="9"/>
    </row>
    <row r="821">
      <c r="A821" s="585"/>
      <c r="B821" s="585"/>
      <c r="C821" s="585"/>
      <c r="D821" s="585"/>
      <c r="E821" s="585"/>
      <c r="F821" s="585"/>
      <c r="G821" s="585"/>
      <c r="H821" s="585"/>
      <c r="I821" s="585"/>
      <c r="J821" s="585"/>
      <c r="K821" s="585"/>
      <c r="L821" s="585"/>
      <c r="M821" s="585"/>
      <c r="N821" s="585"/>
      <c r="O821" s="585"/>
      <c r="P821" s="585"/>
      <c r="Q821" s="585"/>
      <c r="R821" s="585"/>
      <c r="S821" s="585"/>
      <c r="T821" s="585"/>
      <c r="U821" s="585"/>
      <c r="V821" s="224"/>
      <c r="W821" s="224"/>
      <c r="X821" s="224"/>
      <c r="Y821" s="224"/>
      <c r="Z821" s="868"/>
      <c r="AA821" s="865"/>
      <c r="AB821" s="2"/>
      <c r="AC821" s="2"/>
      <c r="AD821" s="2"/>
      <c r="AE821" s="2"/>
      <c r="AF821" s="2"/>
      <c r="AG821" s="2"/>
      <c r="AH821" s="2"/>
      <c r="AI821" s="2"/>
      <c r="AJ821" s="2"/>
      <c r="AK821" s="2"/>
      <c r="AL821" s="2"/>
      <c r="AM821" s="2"/>
      <c r="AN821" s="2"/>
      <c r="AO821" s="9"/>
      <c r="AP821" s="9"/>
      <c r="AQ821" s="9"/>
      <c r="AR821" s="9"/>
    </row>
    <row r="822">
      <c r="A822" s="585"/>
      <c r="B822" s="585"/>
      <c r="C822" s="585"/>
      <c r="D822" s="585"/>
      <c r="E822" s="585"/>
      <c r="F822" s="585"/>
      <c r="G822" s="585"/>
      <c r="H822" s="585"/>
      <c r="I822" s="585"/>
      <c r="J822" s="585"/>
      <c r="K822" s="585"/>
      <c r="L822" s="585"/>
      <c r="M822" s="585"/>
      <c r="N822" s="585"/>
      <c r="O822" s="585"/>
      <c r="P822" s="585"/>
      <c r="Q822" s="585"/>
      <c r="R822" s="585"/>
      <c r="S822" s="585"/>
      <c r="T822" s="585"/>
      <c r="U822" s="585"/>
      <c r="V822" s="224"/>
      <c r="W822" s="224"/>
      <c r="X822" s="224"/>
      <c r="Y822" s="224"/>
      <c r="Z822" s="868"/>
      <c r="AA822" s="865"/>
      <c r="AB822" s="2"/>
      <c r="AC822" s="2"/>
      <c r="AD822" s="2"/>
      <c r="AE822" s="2"/>
      <c r="AF822" s="2"/>
      <c r="AG822" s="2"/>
      <c r="AH822" s="2"/>
      <c r="AI822" s="2"/>
      <c r="AJ822" s="2"/>
      <c r="AK822" s="2"/>
      <c r="AL822" s="2"/>
      <c r="AM822" s="2"/>
      <c r="AN822" s="2"/>
      <c r="AO822" s="9"/>
      <c r="AP822" s="9"/>
      <c r="AQ822" s="9"/>
      <c r="AR822" s="9"/>
    </row>
    <row r="823">
      <c r="A823" s="585"/>
      <c r="B823" s="585"/>
      <c r="C823" s="585"/>
      <c r="D823" s="585"/>
      <c r="E823" s="585"/>
      <c r="F823" s="585"/>
      <c r="G823" s="585"/>
      <c r="H823" s="585"/>
      <c r="I823" s="585"/>
      <c r="J823" s="585"/>
      <c r="K823" s="585"/>
      <c r="L823" s="585"/>
      <c r="M823" s="585"/>
      <c r="N823" s="585"/>
      <c r="O823" s="585"/>
      <c r="P823" s="585"/>
      <c r="Q823" s="585"/>
      <c r="R823" s="585"/>
      <c r="S823" s="585"/>
      <c r="T823" s="585"/>
      <c r="U823" s="585"/>
      <c r="V823" s="224"/>
      <c r="W823" s="224"/>
      <c r="X823" s="224"/>
      <c r="Y823" s="224"/>
      <c r="Z823" s="868"/>
      <c r="AA823" s="865"/>
      <c r="AB823" s="2"/>
      <c r="AC823" s="2"/>
      <c r="AD823" s="2"/>
      <c r="AE823" s="2"/>
      <c r="AF823" s="2"/>
      <c r="AG823" s="2"/>
      <c r="AH823" s="2"/>
      <c r="AI823" s="2"/>
      <c r="AJ823" s="2"/>
      <c r="AK823" s="2"/>
      <c r="AL823" s="2"/>
      <c r="AM823" s="2"/>
      <c r="AN823" s="2"/>
      <c r="AO823" s="9"/>
      <c r="AP823" s="9"/>
      <c r="AQ823" s="9"/>
      <c r="AR823" s="9"/>
    </row>
    <row r="824">
      <c r="A824" s="585"/>
      <c r="B824" s="585"/>
      <c r="C824" s="585"/>
      <c r="D824" s="585"/>
      <c r="E824" s="585"/>
      <c r="F824" s="585"/>
      <c r="G824" s="585"/>
      <c r="H824" s="585"/>
      <c r="I824" s="585"/>
      <c r="J824" s="585"/>
      <c r="K824" s="585"/>
      <c r="L824" s="585"/>
      <c r="M824" s="585"/>
      <c r="N824" s="585"/>
      <c r="O824" s="585"/>
      <c r="P824" s="585"/>
      <c r="Q824" s="585"/>
      <c r="R824" s="585"/>
      <c r="S824" s="585"/>
      <c r="T824" s="585"/>
      <c r="U824" s="585"/>
      <c r="V824" s="224"/>
      <c r="W824" s="224"/>
      <c r="X824" s="224"/>
      <c r="Y824" s="224"/>
      <c r="Z824" s="868"/>
      <c r="AA824" s="865"/>
      <c r="AB824" s="2"/>
      <c r="AC824" s="2"/>
      <c r="AD824" s="2"/>
      <c r="AE824" s="2"/>
      <c r="AF824" s="2"/>
      <c r="AG824" s="2"/>
      <c r="AH824" s="2"/>
      <c r="AI824" s="2"/>
      <c r="AJ824" s="2"/>
      <c r="AK824" s="2"/>
      <c r="AL824" s="2"/>
      <c r="AM824" s="2"/>
      <c r="AN824" s="2"/>
      <c r="AO824" s="9"/>
      <c r="AP824" s="9"/>
      <c r="AQ824" s="9"/>
      <c r="AR824" s="9"/>
    </row>
    <row r="825">
      <c r="A825" s="585"/>
      <c r="B825" s="585"/>
      <c r="C825" s="585"/>
      <c r="D825" s="585"/>
      <c r="E825" s="585"/>
      <c r="F825" s="585"/>
      <c r="G825" s="585"/>
      <c r="H825" s="585"/>
      <c r="I825" s="585"/>
      <c r="J825" s="585"/>
      <c r="K825" s="585"/>
      <c r="L825" s="585"/>
      <c r="M825" s="585"/>
      <c r="N825" s="585"/>
      <c r="O825" s="585"/>
      <c r="P825" s="585"/>
      <c r="Q825" s="585"/>
      <c r="R825" s="585"/>
      <c r="S825" s="585"/>
      <c r="T825" s="585"/>
      <c r="U825" s="585"/>
      <c r="V825" s="224"/>
      <c r="W825" s="224"/>
      <c r="X825" s="224"/>
      <c r="Y825" s="224"/>
      <c r="Z825" s="868"/>
      <c r="AA825" s="865"/>
      <c r="AB825" s="2"/>
      <c r="AC825" s="2"/>
      <c r="AD825" s="2"/>
      <c r="AE825" s="2"/>
      <c r="AF825" s="2"/>
      <c r="AG825" s="2"/>
      <c r="AH825" s="2"/>
      <c r="AI825" s="2"/>
      <c r="AJ825" s="2"/>
      <c r="AK825" s="2"/>
      <c r="AL825" s="2"/>
      <c r="AM825" s="2"/>
      <c r="AN825" s="2"/>
      <c r="AO825" s="9"/>
      <c r="AP825" s="9"/>
      <c r="AQ825" s="9"/>
      <c r="AR825" s="9"/>
    </row>
    <row r="826">
      <c r="A826" s="585"/>
      <c r="B826" s="585"/>
      <c r="C826" s="585"/>
      <c r="D826" s="585"/>
      <c r="E826" s="585"/>
      <c r="F826" s="585"/>
      <c r="G826" s="585"/>
      <c r="H826" s="585"/>
      <c r="I826" s="585"/>
      <c r="J826" s="585"/>
      <c r="K826" s="585"/>
      <c r="L826" s="585"/>
      <c r="M826" s="585"/>
      <c r="N826" s="585"/>
      <c r="O826" s="585"/>
      <c r="P826" s="585"/>
      <c r="Q826" s="585"/>
      <c r="R826" s="585"/>
      <c r="S826" s="585"/>
      <c r="T826" s="585"/>
      <c r="U826" s="585"/>
      <c r="V826" s="224"/>
      <c r="W826" s="224"/>
      <c r="X826" s="224"/>
      <c r="Y826" s="224"/>
      <c r="Z826" s="868"/>
      <c r="AA826" s="865"/>
      <c r="AB826" s="2"/>
      <c r="AC826" s="2"/>
      <c r="AD826" s="2"/>
      <c r="AE826" s="2"/>
      <c r="AF826" s="2"/>
      <c r="AG826" s="2"/>
      <c r="AH826" s="2"/>
      <c r="AI826" s="2"/>
      <c r="AJ826" s="2"/>
      <c r="AK826" s="2"/>
      <c r="AL826" s="2"/>
      <c r="AM826" s="2"/>
      <c r="AN826" s="2"/>
      <c r="AO826" s="9"/>
      <c r="AP826" s="9"/>
      <c r="AQ826" s="9"/>
      <c r="AR826" s="9"/>
    </row>
    <row r="827">
      <c r="A827" s="585"/>
      <c r="B827" s="585"/>
      <c r="C827" s="585"/>
      <c r="D827" s="585"/>
      <c r="E827" s="585"/>
      <c r="F827" s="585"/>
      <c r="G827" s="585"/>
      <c r="H827" s="585"/>
      <c r="I827" s="585"/>
      <c r="J827" s="585"/>
      <c r="K827" s="585"/>
      <c r="L827" s="585"/>
      <c r="M827" s="585"/>
      <c r="N827" s="585"/>
      <c r="O827" s="585"/>
      <c r="P827" s="585"/>
      <c r="Q827" s="585"/>
      <c r="R827" s="585"/>
      <c r="S827" s="585"/>
      <c r="T827" s="585"/>
      <c r="U827" s="585"/>
      <c r="V827" s="224"/>
      <c r="W827" s="224"/>
      <c r="X827" s="224"/>
      <c r="Y827" s="224"/>
      <c r="Z827" s="868"/>
      <c r="AA827" s="865"/>
      <c r="AB827" s="2"/>
      <c r="AC827" s="2"/>
      <c r="AD827" s="2"/>
      <c r="AE827" s="2"/>
      <c r="AF827" s="2"/>
      <c r="AG827" s="2"/>
      <c r="AH827" s="2"/>
      <c r="AI827" s="2"/>
      <c r="AJ827" s="2"/>
      <c r="AK827" s="2"/>
      <c r="AL827" s="2"/>
      <c r="AM827" s="2"/>
      <c r="AN827" s="2"/>
      <c r="AO827" s="9"/>
      <c r="AP827" s="9"/>
      <c r="AQ827" s="9"/>
      <c r="AR827" s="9"/>
    </row>
    <row r="828">
      <c r="A828" s="585"/>
      <c r="B828" s="585"/>
      <c r="C828" s="585"/>
      <c r="D828" s="585"/>
      <c r="E828" s="585"/>
      <c r="F828" s="585"/>
      <c r="G828" s="585"/>
      <c r="H828" s="585"/>
      <c r="I828" s="585"/>
      <c r="J828" s="585"/>
      <c r="K828" s="585"/>
      <c r="L828" s="585"/>
      <c r="M828" s="585"/>
      <c r="N828" s="585"/>
      <c r="O828" s="585"/>
      <c r="P828" s="585"/>
      <c r="Q828" s="585"/>
      <c r="R828" s="585"/>
      <c r="S828" s="585"/>
      <c r="T828" s="585"/>
      <c r="U828" s="585"/>
      <c r="V828" s="224"/>
      <c r="W828" s="224"/>
      <c r="X828" s="224"/>
      <c r="Y828" s="224"/>
      <c r="Z828" s="868"/>
      <c r="AA828" s="865"/>
      <c r="AB828" s="2"/>
      <c r="AC828" s="2"/>
      <c r="AD828" s="2"/>
      <c r="AE828" s="2"/>
      <c r="AF828" s="2"/>
      <c r="AG828" s="2"/>
      <c r="AH828" s="2"/>
      <c r="AI828" s="2"/>
      <c r="AJ828" s="2"/>
      <c r="AK828" s="2"/>
      <c r="AL828" s="2"/>
      <c r="AM828" s="2"/>
      <c r="AN828" s="2"/>
      <c r="AO828" s="9"/>
      <c r="AP828" s="9"/>
      <c r="AQ828" s="9"/>
      <c r="AR828" s="9"/>
    </row>
    <row r="829">
      <c r="A829" s="585"/>
      <c r="B829" s="585"/>
      <c r="C829" s="585"/>
      <c r="D829" s="585"/>
      <c r="E829" s="585"/>
      <c r="F829" s="585"/>
      <c r="G829" s="585"/>
      <c r="H829" s="585"/>
      <c r="I829" s="585"/>
      <c r="J829" s="585"/>
      <c r="K829" s="585"/>
      <c r="L829" s="585"/>
      <c r="M829" s="585"/>
      <c r="N829" s="585"/>
      <c r="O829" s="585"/>
      <c r="P829" s="585"/>
      <c r="Q829" s="585"/>
      <c r="R829" s="585"/>
      <c r="S829" s="585"/>
      <c r="T829" s="585"/>
      <c r="U829" s="585"/>
      <c r="V829" s="224"/>
      <c r="W829" s="224"/>
      <c r="X829" s="224"/>
      <c r="Y829" s="224"/>
      <c r="Z829" s="868"/>
      <c r="AA829" s="865"/>
      <c r="AB829" s="2"/>
      <c r="AC829" s="2"/>
      <c r="AD829" s="2"/>
      <c r="AE829" s="2"/>
      <c r="AF829" s="2"/>
      <c r="AG829" s="2"/>
      <c r="AH829" s="2"/>
      <c r="AI829" s="2"/>
      <c r="AJ829" s="2"/>
      <c r="AK829" s="2"/>
      <c r="AL829" s="2"/>
      <c r="AM829" s="2"/>
      <c r="AN829" s="2"/>
      <c r="AO829" s="9"/>
      <c r="AP829" s="9"/>
      <c r="AQ829" s="9"/>
      <c r="AR829" s="9"/>
    </row>
    <row r="830">
      <c r="A830" s="585"/>
      <c r="B830" s="585"/>
      <c r="C830" s="585"/>
      <c r="D830" s="585"/>
      <c r="E830" s="585"/>
      <c r="F830" s="585"/>
      <c r="G830" s="585"/>
      <c r="H830" s="585"/>
      <c r="I830" s="585"/>
      <c r="J830" s="585"/>
      <c r="K830" s="585"/>
      <c r="L830" s="585"/>
      <c r="M830" s="585"/>
      <c r="N830" s="585"/>
      <c r="O830" s="585"/>
      <c r="P830" s="585"/>
      <c r="Q830" s="585"/>
      <c r="R830" s="585"/>
      <c r="S830" s="585"/>
      <c r="T830" s="585"/>
      <c r="U830" s="585"/>
      <c r="V830" s="224"/>
      <c r="W830" s="224"/>
      <c r="X830" s="224"/>
      <c r="Y830" s="224"/>
      <c r="Z830" s="868"/>
      <c r="AA830" s="865"/>
      <c r="AB830" s="2"/>
      <c r="AC830" s="2"/>
      <c r="AD830" s="2"/>
      <c r="AE830" s="2"/>
      <c r="AF830" s="2"/>
      <c r="AG830" s="2"/>
      <c r="AH830" s="2"/>
      <c r="AI830" s="2"/>
      <c r="AJ830" s="2"/>
      <c r="AK830" s="2"/>
      <c r="AL830" s="2"/>
      <c r="AM830" s="2"/>
      <c r="AN830" s="2"/>
      <c r="AO830" s="9"/>
      <c r="AP830" s="9"/>
      <c r="AQ830" s="9"/>
      <c r="AR830" s="9"/>
    </row>
    <row r="831">
      <c r="A831" s="585"/>
      <c r="B831" s="585"/>
      <c r="C831" s="585"/>
      <c r="D831" s="585"/>
      <c r="E831" s="585"/>
      <c r="F831" s="585"/>
      <c r="G831" s="585"/>
      <c r="H831" s="585"/>
      <c r="I831" s="585"/>
      <c r="J831" s="585"/>
      <c r="K831" s="585"/>
      <c r="L831" s="585"/>
      <c r="M831" s="585"/>
      <c r="N831" s="585"/>
      <c r="O831" s="585"/>
      <c r="P831" s="585"/>
      <c r="Q831" s="585"/>
      <c r="R831" s="585"/>
      <c r="S831" s="585"/>
      <c r="T831" s="585"/>
      <c r="U831" s="585"/>
      <c r="V831" s="224"/>
      <c r="W831" s="224"/>
      <c r="X831" s="224"/>
      <c r="Y831" s="224"/>
      <c r="Z831" s="868"/>
      <c r="AA831" s="865"/>
      <c r="AB831" s="2"/>
      <c r="AC831" s="2"/>
      <c r="AD831" s="2"/>
      <c r="AE831" s="2"/>
      <c r="AF831" s="2"/>
      <c r="AG831" s="2"/>
      <c r="AH831" s="2"/>
      <c r="AI831" s="2"/>
      <c r="AJ831" s="2"/>
      <c r="AK831" s="2"/>
      <c r="AL831" s="2"/>
      <c r="AM831" s="2"/>
      <c r="AN831" s="2"/>
      <c r="AO831" s="9"/>
      <c r="AP831" s="9"/>
      <c r="AQ831" s="9"/>
      <c r="AR831" s="9"/>
    </row>
    <row r="832">
      <c r="A832" s="585"/>
      <c r="B832" s="585"/>
      <c r="C832" s="585"/>
      <c r="D832" s="585"/>
      <c r="E832" s="585"/>
      <c r="F832" s="585"/>
      <c r="G832" s="585"/>
      <c r="H832" s="585"/>
      <c r="I832" s="585"/>
      <c r="J832" s="585"/>
      <c r="K832" s="585"/>
      <c r="L832" s="585"/>
      <c r="M832" s="585"/>
      <c r="N832" s="585"/>
      <c r="O832" s="585"/>
      <c r="P832" s="585"/>
      <c r="Q832" s="585"/>
      <c r="R832" s="585"/>
      <c r="S832" s="585"/>
      <c r="T832" s="585"/>
      <c r="U832" s="585"/>
      <c r="V832" s="224"/>
      <c r="W832" s="224"/>
      <c r="X832" s="224"/>
      <c r="Y832" s="224"/>
      <c r="Z832" s="868"/>
      <c r="AA832" s="865"/>
      <c r="AB832" s="2"/>
      <c r="AC832" s="2"/>
      <c r="AD832" s="2"/>
      <c r="AE832" s="2"/>
      <c r="AF832" s="2"/>
      <c r="AG832" s="2"/>
      <c r="AH832" s="2"/>
      <c r="AI832" s="2"/>
      <c r="AJ832" s="2"/>
      <c r="AK832" s="2"/>
      <c r="AL832" s="2"/>
      <c r="AM832" s="2"/>
      <c r="AN832" s="2"/>
      <c r="AO832" s="9"/>
      <c r="AP832" s="9"/>
      <c r="AQ832" s="9"/>
      <c r="AR832" s="9"/>
    </row>
    <row r="833">
      <c r="A833" s="585"/>
      <c r="B833" s="585"/>
      <c r="C833" s="585"/>
      <c r="D833" s="585"/>
      <c r="E833" s="585"/>
      <c r="F833" s="585"/>
      <c r="G833" s="585"/>
      <c r="H833" s="585"/>
      <c r="I833" s="585"/>
      <c r="J833" s="585"/>
      <c r="K833" s="585"/>
      <c r="L833" s="585"/>
      <c r="M833" s="585"/>
      <c r="N833" s="585"/>
      <c r="O833" s="585"/>
      <c r="P833" s="585"/>
      <c r="Q833" s="585"/>
      <c r="R833" s="585"/>
      <c r="S833" s="585"/>
      <c r="T833" s="585"/>
      <c r="U833" s="585"/>
      <c r="V833" s="224"/>
      <c r="W833" s="224"/>
      <c r="X833" s="224"/>
      <c r="Y833" s="224"/>
      <c r="Z833" s="868"/>
      <c r="AA833" s="865"/>
      <c r="AB833" s="2"/>
      <c r="AC833" s="2"/>
      <c r="AD833" s="2"/>
      <c r="AE833" s="2"/>
      <c r="AF833" s="2"/>
      <c r="AG833" s="2"/>
      <c r="AH833" s="2"/>
      <c r="AI833" s="2"/>
      <c r="AJ833" s="2"/>
      <c r="AK833" s="2"/>
      <c r="AL833" s="2"/>
      <c r="AM833" s="2"/>
      <c r="AN833" s="2"/>
      <c r="AO833" s="9"/>
      <c r="AP833" s="9"/>
      <c r="AQ833" s="9"/>
      <c r="AR833" s="9"/>
    </row>
    <row r="834">
      <c r="A834" s="585"/>
      <c r="B834" s="585"/>
      <c r="C834" s="585"/>
      <c r="D834" s="585"/>
      <c r="E834" s="585"/>
      <c r="F834" s="585"/>
      <c r="G834" s="585"/>
      <c r="H834" s="585"/>
      <c r="I834" s="585"/>
      <c r="J834" s="585"/>
      <c r="K834" s="585"/>
      <c r="L834" s="585"/>
      <c r="M834" s="585"/>
      <c r="N834" s="585"/>
      <c r="O834" s="585"/>
      <c r="P834" s="585"/>
      <c r="Q834" s="585"/>
      <c r="R834" s="585"/>
      <c r="S834" s="585"/>
      <c r="T834" s="585"/>
      <c r="U834" s="585"/>
      <c r="V834" s="224"/>
      <c r="W834" s="224"/>
      <c r="X834" s="224"/>
      <c r="Y834" s="224"/>
      <c r="Z834" s="868"/>
      <c r="AA834" s="865"/>
      <c r="AB834" s="2"/>
      <c r="AC834" s="2"/>
      <c r="AD834" s="2"/>
      <c r="AE834" s="2"/>
      <c r="AF834" s="2"/>
      <c r="AG834" s="2"/>
      <c r="AH834" s="2"/>
      <c r="AI834" s="2"/>
      <c r="AJ834" s="2"/>
      <c r="AK834" s="2"/>
      <c r="AL834" s="2"/>
      <c r="AM834" s="2"/>
      <c r="AN834" s="2"/>
      <c r="AO834" s="9"/>
      <c r="AP834" s="9"/>
      <c r="AQ834" s="9"/>
      <c r="AR834" s="9"/>
    </row>
    <row r="835">
      <c r="A835" s="585"/>
      <c r="B835" s="585"/>
      <c r="C835" s="585"/>
      <c r="D835" s="585"/>
      <c r="E835" s="585"/>
      <c r="F835" s="585"/>
      <c r="G835" s="585"/>
      <c r="H835" s="585"/>
      <c r="I835" s="585"/>
      <c r="J835" s="585"/>
      <c r="K835" s="585"/>
      <c r="L835" s="585"/>
      <c r="M835" s="585"/>
      <c r="N835" s="585"/>
      <c r="O835" s="585"/>
      <c r="P835" s="585"/>
      <c r="Q835" s="585"/>
      <c r="R835" s="585"/>
      <c r="S835" s="585"/>
      <c r="T835" s="585"/>
      <c r="U835" s="585"/>
      <c r="V835" s="224"/>
      <c r="W835" s="224"/>
      <c r="X835" s="224"/>
      <c r="Y835" s="224"/>
      <c r="Z835" s="868"/>
      <c r="AA835" s="865"/>
      <c r="AB835" s="2"/>
      <c r="AC835" s="2"/>
      <c r="AD835" s="2"/>
      <c r="AE835" s="2"/>
      <c r="AF835" s="2"/>
      <c r="AG835" s="2"/>
      <c r="AH835" s="2"/>
      <c r="AI835" s="2"/>
      <c r="AJ835" s="2"/>
      <c r="AK835" s="2"/>
      <c r="AL835" s="2"/>
      <c r="AM835" s="2"/>
      <c r="AN835" s="2"/>
      <c r="AO835" s="9"/>
      <c r="AP835" s="9"/>
      <c r="AQ835" s="9"/>
      <c r="AR835" s="9"/>
    </row>
    <row r="836">
      <c r="A836" s="585"/>
      <c r="B836" s="585"/>
      <c r="C836" s="585"/>
      <c r="D836" s="585"/>
      <c r="E836" s="585"/>
      <c r="F836" s="585"/>
      <c r="G836" s="585"/>
      <c r="H836" s="585"/>
      <c r="I836" s="585"/>
      <c r="J836" s="585"/>
      <c r="K836" s="585"/>
      <c r="L836" s="585"/>
      <c r="M836" s="585"/>
      <c r="N836" s="585"/>
      <c r="O836" s="585"/>
      <c r="P836" s="585"/>
      <c r="Q836" s="585"/>
      <c r="R836" s="585"/>
      <c r="S836" s="585"/>
      <c r="T836" s="585"/>
      <c r="U836" s="585"/>
      <c r="V836" s="224"/>
      <c r="W836" s="224"/>
      <c r="X836" s="224"/>
      <c r="Y836" s="224"/>
      <c r="Z836" s="868"/>
      <c r="AA836" s="865"/>
      <c r="AB836" s="2"/>
      <c r="AC836" s="2"/>
      <c r="AD836" s="2"/>
      <c r="AE836" s="2"/>
      <c r="AF836" s="2"/>
      <c r="AG836" s="2"/>
      <c r="AH836" s="2"/>
      <c r="AI836" s="2"/>
      <c r="AJ836" s="2"/>
      <c r="AK836" s="2"/>
      <c r="AL836" s="2"/>
      <c r="AM836" s="2"/>
      <c r="AN836" s="2"/>
      <c r="AO836" s="9"/>
      <c r="AP836" s="9"/>
      <c r="AQ836" s="9"/>
      <c r="AR836" s="9"/>
    </row>
    <row r="837">
      <c r="A837" s="585"/>
      <c r="B837" s="585"/>
      <c r="C837" s="585"/>
      <c r="D837" s="585"/>
      <c r="E837" s="585"/>
      <c r="F837" s="585"/>
      <c r="G837" s="585"/>
      <c r="H837" s="585"/>
      <c r="I837" s="585"/>
      <c r="J837" s="585"/>
      <c r="K837" s="585"/>
      <c r="L837" s="585"/>
      <c r="M837" s="585"/>
      <c r="N837" s="585"/>
      <c r="O837" s="585"/>
      <c r="P837" s="585"/>
      <c r="Q837" s="585"/>
      <c r="R837" s="585"/>
      <c r="S837" s="585"/>
      <c r="T837" s="585"/>
      <c r="U837" s="585"/>
      <c r="V837" s="224"/>
      <c r="W837" s="224"/>
      <c r="X837" s="224"/>
      <c r="Y837" s="224"/>
      <c r="Z837" s="868"/>
      <c r="AA837" s="865"/>
      <c r="AB837" s="2"/>
      <c r="AC837" s="2"/>
      <c r="AD837" s="2"/>
      <c r="AE837" s="2"/>
      <c r="AF837" s="2"/>
      <c r="AG837" s="2"/>
      <c r="AH837" s="2"/>
      <c r="AI837" s="2"/>
      <c r="AJ837" s="2"/>
      <c r="AK837" s="2"/>
      <c r="AL837" s="2"/>
      <c r="AM837" s="2"/>
      <c r="AN837" s="2"/>
      <c r="AO837" s="9"/>
      <c r="AP837" s="9"/>
      <c r="AQ837" s="9"/>
      <c r="AR837" s="9"/>
    </row>
    <row r="838">
      <c r="A838" s="585"/>
      <c r="B838" s="585"/>
      <c r="C838" s="585"/>
      <c r="D838" s="585"/>
      <c r="E838" s="585"/>
      <c r="F838" s="585"/>
      <c r="G838" s="585"/>
      <c r="H838" s="585"/>
      <c r="I838" s="585"/>
      <c r="J838" s="585"/>
      <c r="K838" s="585"/>
      <c r="L838" s="585"/>
      <c r="M838" s="585"/>
      <c r="N838" s="585"/>
      <c r="O838" s="585"/>
      <c r="P838" s="585"/>
      <c r="Q838" s="585"/>
      <c r="R838" s="585"/>
      <c r="S838" s="585"/>
      <c r="T838" s="585"/>
      <c r="U838" s="585"/>
      <c r="V838" s="224"/>
      <c r="W838" s="224"/>
      <c r="X838" s="224"/>
      <c r="Y838" s="224"/>
      <c r="Z838" s="868"/>
      <c r="AA838" s="865"/>
      <c r="AB838" s="2"/>
      <c r="AC838" s="2"/>
      <c r="AD838" s="2"/>
      <c r="AE838" s="2"/>
      <c r="AF838" s="2"/>
      <c r="AG838" s="2"/>
      <c r="AH838" s="2"/>
      <c r="AI838" s="2"/>
      <c r="AJ838" s="2"/>
      <c r="AK838" s="2"/>
      <c r="AL838" s="2"/>
      <c r="AM838" s="2"/>
      <c r="AN838" s="2"/>
      <c r="AO838" s="9"/>
      <c r="AP838" s="9"/>
      <c r="AQ838" s="9"/>
      <c r="AR838" s="9"/>
    </row>
    <row r="839">
      <c r="A839" s="585"/>
      <c r="B839" s="585"/>
      <c r="C839" s="585"/>
      <c r="D839" s="585"/>
      <c r="E839" s="585"/>
      <c r="F839" s="585"/>
      <c r="G839" s="585"/>
      <c r="H839" s="585"/>
      <c r="I839" s="585"/>
      <c r="J839" s="585"/>
      <c r="K839" s="585"/>
      <c r="L839" s="585"/>
      <c r="M839" s="585"/>
      <c r="N839" s="585"/>
      <c r="O839" s="585"/>
      <c r="P839" s="585"/>
      <c r="Q839" s="585"/>
      <c r="R839" s="585"/>
      <c r="S839" s="585"/>
      <c r="T839" s="585"/>
      <c r="U839" s="585"/>
      <c r="V839" s="224"/>
      <c r="W839" s="224"/>
      <c r="X839" s="224"/>
      <c r="Y839" s="224"/>
      <c r="Z839" s="868"/>
      <c r="AA839" s="865"/>
      <c r="AB839" s="2"/>
      <c r="AC839" s="2"/>
      <c r="AD839" s="2"/>
      <c r="AE839" s="2"/>
      <c r="AF839" s="2"/>
      <c r="AG839" s="2"/>
      <c r="AH839" s="2"/>
      <c r="AI839" s="2"/>
      <c r="AJ839" s="2"/>
      <c r="AK839" s="2"/>
      <c r="AL839" s="2"/>
      <c r="AM839" s="2"/>
      <c r="AN839" s="2"/>
      <c r="AO839" s="9"/>
      <c r="AP839" s="9"/>
      <c r="AQ839" s="9"/>
      <c r="AR839" s="9"/>
    </row>
    <row r="840">
      <c r="A840" s="585"/>
      <c r="B840" s="585"/>
      <c r="C840" s="585"/>
      <c r="D840" s="585"/>
      <c r="E840" s="585"/>
      <c r="F840" s="585"/>
      <c r="G840" s="585"/>
      <c r="H840" s="585"/>
      <c r="I840" s="585"/>
      <c r="J840" s="585"/>
      <c r="K840" s="585"/>
      <c r="L840" s="585"/>
      <c r="M840" s="585"/>
      <c r="N840" s="585"/>
      <c r="O840" s="585"/>
      <c r="P840" s="585"/>
      <c r="Q840" s="585"/>
      <c r="R840" s="585"/>
      <c r="S840" s="585"/>
      <c r="T840" s="585"/>
      <c r="U840" s="585"/>
      <c r="V840" s="224"/>
      <c r="W840" s="224"/>
      <c r="X840" s="224"/>
      <c r="Y840" s="224"/>
      <c r="Z840" s="868"/>
      <c r="AA840" s="865"/>
      <c r="AB840" s="2"/>
      <c r="AC840" s="2"/>
      <c r="AD840" s="2"/>
      <c r="AE840" s="2"/>
      <c r="AF840" s="2"/>
      <c r="AG840" s="2"/>
      <c r="AH840" s="2"/>
      <c r="AI840" s="2"/>
      <c r="AJ840" s="2"/>
      <c r="AK840" s="2"/>
      <c r="AL840" s="2"/>
      <c r="AM840" s="2"/>
      <c r="AN840" s="2"/>
      <c r="AO840" s="9"/>
      <c r="AP840" s="9"/>
      <c r="AQ840" s="9"/>
      <c r="AR840" s="9"/>
    </row>
    <row r="841">
      <c r="A841" s="585"/>
      <c r="B841" s="585"/>
      <c r="C841" s="585"/>
      <c r="D841" s="585"/>
      <c r="E841" s="585"/>
      <c r="F841" s="585"/>
      <c r="G841" s="585"/>
      <c r="H841" s="585"/>
      <c r="I841" s="585"/>
      <c r="J841" s="585"/>
      <c r="K841" s="585"/>
      <c r="L841" s="585"/>
      <c r="M841" s="585"/>
      <c r="N841" s="585"/>
      <c r="O841" s="585"/>
      <c r="P841" s="585"/>
      <c r="Q841" s="585"/>
      <c r="R841" s="585"/>
      <c r="S841" s="585"/>
      <c r="T841" s="585"/>
      <c r="U841" s="585"/>
      <c r="V841" s="224"/>
      <c r="W841" s="224"/>
      <c r="X841" s="224"/>
      <c r="Y841" s="224"/>
      <c r="Z841" s="868"/>
      <c r="AA841" s="865"/>
      <c r="AB841" s="2"/>
      <c r="AC841" s="2"/>
      <c r="AD841" s="2"/>
      <c r="AE841" s="2"/>
      <c r="AF841" s="2"/>
      <c r="AG841" s="2"/>
      <c r="AH841" s="2"/>
      <c r="AI841" s="2"/>
      <c r="AJ841" s="2"/>
      <c r="AK841" s="2"/>
      <c r="AL841" s="2"/>
      <c r="AM841" s="2"/>
      <c r="AN841" s="2"/>
      <c r="AO841" s="9"/>
      <c r="AP841" s="9"/>
      <c r="AQ841" s="9"/>
      <c r="AR841" s="9"/>
    </row>
    <row r="842">
      <c r="A842" s="585"/>
      <c r="B842" s="585"/>
      <c r="C842" s="585"/>
      <c r="D842" s="585"/>
      <c r="E842" s="585"/>
      <c r="F842" s="585"/>
      <c r="G842" s="585"/>
      <c r="H842" s="585"/>
      <c r="I842" s="585"/>
      <c r="J842" s="585"/>
      <c r="K842" s="585"/>
      <c r="L842" s="585"/>
      <c r="M842" s="585"/>
      <c r="N842" s="585"/>
      <c r="O842" s="585"/>
      <c r="P842" s="585"/>
      <c r="Q842" s="585"/>
      <c r="R842" s="585"/>
      <c r="S842" s="585"/>
      <c r="T842" s="585"/>
      <c r="U842" s="585"/>
      <c r="V842" s="224"/>
      <c r="W842" s="224"/>
      <c r="X842" s="224"/>
      <c r="Y842" s="224"/>
      <c r="Z842" s="868"/>
      <c r="AA842" s="865"/>
      <c r="AB842" s="2"/>
      <c r="AC842" s="2"/>
      <c r="AD842" s="2"/>
      <c r="AE842" s="2"/>
      <c r="AF842" s="2"/>
      <c r="AG842" s="2"/>
      <c r="AH842" s="2"/>
      <c r="AI842" s="2"/>
      <c r="AJ842" s="2"/>
      <c r="AK842" s="2"/>
      <c r="AL842" s="2"/>
      <c r="AM842" s="2"/>
      <c r="AN842" s="2"/>
      <c r="AO842" s="9"/>
      <c r="AP842" s="9"/>
      <c r="AQ842" s="9"/>
      <c r="AR842" s="9"/>
    </row>
    <row r="843">
      <c r="A843" s="585"/>
      <c r="B843" s="585"/>
      <c r="C843" s="585"/>
      <c r="D843" s="585"/>
      <c r="E843" s="585"/>
      <c r="F843" s="585"/>
      <c r="G843" s="585"/>
      <c r="H843" s="585"/>
      <c r="I843" s="585"/>
      <c r="J843" s="585"/>
      <c r="K843" s="585"/>
      <c r="L843" s="585"/>
      <c r="M843" s="585"/>
      <c r="N843" s="585"/>
      <c r="O843" s="585"/>
      <c r="P843" s="585"/>
      <c r="Q843" s="585"/>
      <c r="R843" s="585"/>
      <c r="S843" s="585"/>
      <c r="T843" s="585"/>
      <c r="U843" s="585"/>
      <c r="V843" s="224"/>
      <c r="W843" s="224"/>
      <c r="X843" s="224"/>
      <c r="Y843" s="224"/>
      <c r="Z843" s="868"/>
      <c r="AA843" s="865"/>
      <c r="AB843" s="2"/>
      <c r="AC843" s="2"/>
      <c r="AD843" s="2"/>
      <c r="AE843" s="2"/>
      <c r="AF843" s="2"/>
      <c r="AG843" s="2"/>
      <c r="AH843" s="2"/>
      <c r="AI843" s="2"/>
      <c r="AJ843" s="2"/>
      <c r="AK843" s="2"/>
      <c r="AL843" s="2"/>
      <c r="AM843" s="2"/>
      <c r="AN843" s="2"/>
      <c r="AO843" s="9"/>
      <c r="AP843" s="9"/>
      <c r="AQ843" s="9"/>
      <c r="AR843" s="9"/>
    </row>
    <row r="844">
      <c r="A844" s="585"/>
      <c r="B844" s="585"/>
      <c r="C844" s="585"/>
      <c r="D844" s="585"/>
      <c r="E844" s="585"/>
      <c r="F844" s="585"/>
      <c r="G844" s="585"/>
      <c r="H844" s="585"/>
      <c r="I844" s="585"/>
      <c r="J844" s="585"/>
      <c r="K844" s="585"/>
      <c r="L844" s="585"/>
      <c r="M844" s="585"/>
      <c r="N844" s="585"/>
      <c r="O844" s="585"/>
      <c r="P844" s="585"/>
      <c r="Q844" s="585"/>
      <c r="R844" s="585"/>
      <c r="S844" s="585"/>
      <c r="T844" s="585"/>
      <c r="U844" s="585"/>
      <c r="V844" s="224"/>
      <c r="W844" s="224"/>
      <c r="X844" s="224"/>
      <c r="Y844" s="224"/>
      <c r="Z844" s="868"/>
      <c r="AA844" s="865"/>
      <c r="AB844" s="2"/>
      <c r="AC844" s="2"/>
      <c r="AD844" s="2"/>
      <c r="AE844" s="2"/>
      <c r="AF844" s="2"/>
      <c r="AG844" s="2"/>
      <c r="AH844" s="2"/>
      <c r="AI844" s="2"/>
      <c r="AJ844" s="2"/>
      <c r="AK844" s="2"/>
      <c r="AL844" s="2"/>
      <c r="AM844" s="2"/>
      <c r="AN844" s="2"/>
      <c r="AO844" s="9"/>
      <c r="AP844" s="9"/>
      <c r="AQ844" s="9"/>
      <c r="AR844" s="9"/>
    </row>
    <row r="845">
      <c r="A845" s="585"/>
      <c r="B845" s="585"/>
      <c r="C845" s="585"/>
      <c r="D845" s="585"/>
      <c r="E845" s="585"/>
      <c r="F845" s="585"/>
      <c r="G845" s="585"/>
      <c r="H845" s="585"/>
      <c r="I845" s="585"/>
      <c r="J845" s="585"/>
      <c r="K845" s="585"/>
      <c r="L845" s="585"/>
      <c r="M845" s="585"/>
      <c r="N845" s="585"/>
      <c r="O845" s="585"/>
      <c r="P845" s="585"/>
      <c r="Q845" s="585"/>
      <c r="R845" s="585"/>
      <c r="S845" s="585"/>
      <c r="T845" s="585"/>
      <c r="U845" s="585"/>
      <c r="V845" s="224"/>
      <c r="W845" s="224"/>
      <c r="X845" s="224"/>
      <c r="Y845" s="224"/>
      <c r="Z845" s="868"/>
      <c r="AA845" s="865"/>
      <c r="AB845" s="2"/>
      <c r="AC845" s="2"/>
      <c r="AD845" s="2"/>
      <c r="AE845" s="2"/>
      <c r="AF845" s="2"/>
      <c r="AG845" s="2"/>
      <c r="AH845" s="2"/>
      <c r="AI845" s="2"/>
      <c r="AJ845" s="2"/>
      <c r="AK845" s="2"/>
      <c r="AL845" s="2"/>
      <c r="AM845" s="2"/>
      <c r="AN845" s="2"/>
      <c r="AO845" s="9"/>
      <c r="AP845" s="9"/>
      <c r="AQ845" s="9"/>
      <c r="AR845" s="9"/>
    </row>
    <row r="846">
      <c r="A846" s="585"/>
      <c r="B846" s="585"/>
      <c r="C846" s="585"/>
      <c r="D846" s="585"/>
      <c r="E846" s="585"/>
      <c r="F846" s="585"/>
      <c r="G846" s="585"/>
      <c r="H846" s="585"/>
      <c r="I846" s="585"/>
      <c r="J846" s="585"/>
      <c r="K846" s="585"/>
      <c r="L846" s="585"/>
      <c r="M846" s="585"/>
      <c r="N846" s="585"/>
      <c r="O846" s="585"/>
      <c r="P846" s="585"/>
      <c r="Q846" s="585"/>
      <c r="R846" s="585"/>
      <c r="S846" s="585"/>
      <c r="T846" s="585"/>
      <c r="U846" s="585"/>
      <c r="V846" s="224"/>
      <c r="W846" s="224"/>
      <c r="X846" s="224"/>
      <c r="Y846" s="224"/>
      <c r="Z846" s="868"/>
      <c r="AA846" s="865"/>
      <c r="AB846" s="2"/>
      <c r="AC846" s="2"/>
      <c r="AD846" s="2"/>
      <c r="AE846" s="2"/>
      <c r="AF846" s="2"/>
      <c r="AG846" s="2"/>
      <c r="AH846" s="2"/>
      <c r="AI846" s="2"/>
      <c r="AJ846" s="2"/>
      <c r="AK846" s="2"/>
      <c r="AL846" s="2"/>
      <c r="AM846" s="2"/>
      <c r="AN846" s="2"/>
      <c r="AO846" s="9"/>
      <c r="AP846" s="9"/>
      <c r="AQ846" s="9"/>
      <c r="AR846" s="9"/>
    </row>
    <row r="847">
      <c r="A847" s="585"/>
      <c r="B847" s="585"/>
      <c r="C847" s="585"/>
      <c r="D847" s="585"/>
      <c r="E847" s="585"/>
      <c r="F847" s="585"/>
      <c r="G847" s="585"/>
      <c r="H847" s="585"/>
      <c r="I847" s="585"/>
      <c r="J847" s="585"/>
      <c r="K847" s="585"/>
      <c r="L847" s="585"/>
      <c r="M847" s="585"/>
      <c r="N847" s="585"/>
      <c r="O847" s="585"/>
      <c r="P847" s="585"/>
      <c r="Q847" s="585"/>
      <c r="R847" s="585"/>
      <c r="S847" s="585"/>
      <c r="T847" s="585"/>
      <c r="U847" s="585"/>
      <c r="V847" s="224"/>
      <c r="W847" s="224"/>
      <c r="X847" s="224"/>
      <c r="Y847" s="224"/>
      <c r="Z847" s="868"/>
      <c r="AA847" s="865"/>
      <c r="AB847" s="2"/>
      <c r="AC847" s="2"/>
      <c r="AD847" s="2"/>
      <c r="AE847" s="2"/>
      <c r="AF847" s="2"/>
      <c r="AG847" s="2"/>
      <c r="AH847" s="2"/>
      <c r="AI847" s="2"/>
      <c r="AJ847" s="2"/>
      <c r="AK847" s="2"/>
      <c r="AL847" s="2"/>
      <c r="AM847" s="2"/>
      <c r="AN847" s="2"/>
      <c r="AO847" s="9"/>
      <c r="AP847" s="9"/>
      <c r="AQ847" s="9"/>
      <c r="AR847" s="9"/>
    </row>
    <row r="848">
      <c r="A848" s="585"/>
      <c r="B848" s="585"/>
      <c r="C848" s="585"/>
      <c r="D848" s="585"/>
      <c r="E848" s="585"/>
      <c r="F848" s="585"/>
      <c r="G848" s="585"/>
      <c r="H848" s="585"/>
      <c r="I848" s="585"/>
      <c r="J848" s="585"/>
      <c r="K848" s="585"/>
      <c r="L848" s="585"/>
      <c r="M848" s="585"/>
      <c r="N848" s="585"/>
      <c r="O848" s="585"/>
      <c r="P848" s="585"/>
      <c r="Q848" s="585"/>
      <c r="R848" s="585"/>
      <c r="S848" s="585"/>
      <c r="T848" s="585"/>
      <c r="U848" s="585"/>
      <c r="V848" s="224"/>
      <c r="W848" s="224"/>
      <c r="X848" s="224"/>
      <c r="Y848" s="224"/>
      <c r="Z848" s="868"/>
      <c r="AA848" s="865"/>
      <c r="AB848" s="2"/>
      <c r="AC848" s="2"/>
      <c r="AD848" s="2"/>
      <c r="AE848" s="2"/>
      <c r="AF848" s="2"/>
      <c r="AG848" s="2"/>
      <c r="AH848" s="2"/>
      <c r="AI848" s="2"/>
      <c r="AJ848" s="2"/>
      <c r="AK848" s="2"/>
      <c r="AL848" s="2"/>
      <c r="AM848" s="2"/>
      <c r="AN848" s="2"/>
      <c r="AO848" s="9"/>
      <c r="AP848" s="9"/>
      <c r="AQ848" s="9"/>
      <c r="AR848" s="9"/>
    </row>
    <row r="849">
      <c r="A849" s="585"/>
      <c r="B849" s="585"/>
      <c r="C849" s="585"/>
      <c r="D849" s="585"/>
      <c r="E849" s="585"/>
      <c r="F849" s="585"/>
      <c r="G849" s="585"/>
      <c r="H849" s="585"/>
      <c r="I849" s="585"/>
      <c r="J849" s="585"/>
      <c r="K849" s="585"/>
      <c r="L849" s="585"/>
      <c r="M849" s="585"/>
      <c r="N849" s="585"/>
      <c r="O849" s="585"/>
      <c r="P849" s="585"/>
      <c r="Q849" s="585"/>
      <c r="R849" s="585"/>
      <c r="S849" s="585"/>
      <c r="T849" s="585"/>
      <c r="U849" s="585"/>
      <c r="V849" s="224"/>
      <c r="W849" s="224"/>
      <c r="X849" s="224"/>
      <c r="Y849" s="224"/>
      <c r="Z849" s="868"/>
      <c r="AA849" s="865"/>
      <c r="AB849" s="2"/>
      <c r="AC849" s="2"/>
      <c r="AD849" s="2"/>
      <c r="AE849" s="2"/>
      <c r="AF849" s="2"/>
      <c r="AG849" s="2"/>
      <c r="AH849" s="2"/>
      <c r="AI849" s="2"/>
      <c r="AJ849" s="2"/>
      <c r="AK849" s="2"/>
      <c r="AL849" s="2"/>
      <c r="AM849" s="2"/>
      <c r="AN849" s="2"/>
      <c r="AO849" s="9"/>
      <c r="AP849" s="9"/>
      <c r="AQ849" s="9"/>
      <c r="AR849" s="9"/>
    </row>
    <row r="850">
      <c r="A850" s="585"/>
      <c r="B850" s="585"/>
      <c r="C850" s="585"/>
      <c r="D850" s="585"/>
      <c r="E850" s="585"/>
      <c r="F850" s="585"/>
      <c r="G850" s="585"/>
      <c r="H850" s="585"/>
      <c r="I850" s="585"/>
      <c r="J850" s="585"/>
      <c r="K850" s="585"/>
      <c r="L850" s="585"/>
      <c r="M850" s="585"/>
      <c r="N850" s="585"/>
      <c r="O850" s="585"/>
      <c r="P850" s="585"/>
      <c r="Q850" s="585"/>
      <c r="R850" s="585"/>
      <c r="S850" s="585"/>
      <c r="T850" s="585"/>
      <c r="U850" s="585"/>
      <c r="V850" s="224"/>
      <c r="W850" s="224"/>
      <c r="X850" s="224"/>
      <c r="Y850" s="224"/>
      <c r="Z850" s="868"/>
      <c r="AA850" s="865"/>
      <c r="AB850" s="2"/>
      <c r="AC850" s="2"/>
      <c r="AD850" s="2"/>
      <c r="AE850" s="2"/>
      <c r="AF850" s="2"/>
      <c r="AG850" s="2"/>
      <c r="AH850" s="2"/>
      <c r="AI850" s="2"/>
      <c r="AJ850" s="2"/>
      <c r="AK850" s="2"/>
      <c r="AL850" s="2"/>
      <c r="AM850" s="2"/>
      <c r="AN850" s="2"/>
      <c r="AO850" s="9"/>
      <c r="AP850" s="9"/>
      <c r="AQ850" s="9"/>
      <c r="AR850" s="9"/>
    </row>
    <row r="851">
      <c r="A851" s="585"/>
      <c r="B851" s="585"/>
      <c r="C851" s="585"/>
      <c r="D851" s="585"/>
      <c r="E851" s="585"/>
      <c r="F851" s="585"/>
      <c r="G851" s="585"/>
      <c r="H851" s="585"/>
      <c r="I851" s="585"/>
      <c r="J851" s="585"/>
      <c r="K851" s="585"/>
      <c r="L851" s="585"/>
      <c r="M851" s="585"/>
      <c r="N851" s="585"/>
      <c r="O851" s="585"/>
      <c r="P851" s="585"/>
      <c r="Q851" s="585"/>
      <c r="R851" s="585"/>
      <c r="S851" s="585"/>
      <c r="T851" s="585"/>
      <c r="U851" s="585"/>
      <c r="V851" s="224"/>
      <c r="W851" s="224"/>
      <c r="X851" s="224"/>
      <c r="Y851" s="224"/>
      <c r="Z851" s="868"/>
      <c r="AA851" s="865"/>
      <c r="AB851" s="2"/>
      <c r="AC851" s="2"/>
      <c r="AD851" s="2"/>
      <c r="AE851" s="2"/>
      <c r="AF851" s="2"/>
      <c r="AG851" s="2"/>
      <c r="AH851" s="2"/>
      <c r="AI851" s="2"/>
      <c r="AJ851" s="2"/>
      <c r="AK851" s="2"/>
      <c r="AL851" s="2"/>
      <c r="AM851" s="2"/>
      <c r="AN851" s="2"/>
      <c r="AO851" s="9"/>
      <c r="AP851" s="9"/>
      <c r="AQ851" s="9"/>
      <c r="AR851" s="9"/>
    </row>
    <row r="852">
      <c r="A852" s="585"/>
      <c r="B852" s="585"/>
      <c r="C852" s="585"/>
      <c r="D852" s="585"/>
      <c r="E852" s="585"/>
      <c r="F852" s="585"/>
      <c r="G852" s="585"/>
      <c r="H852" s="585"/>
      <c r="I852" s="585"/>
      <c r="J852" s="585"/>
      <c r="K852" s="585"/>
      <c r="L852" s="585"/>
      <c r="M852" s="585"/>
      <c r="N852" s="585"/>
      <c r="O852" s="585"/>
      <c r="P852" s="585"/>
      <c r="Q852" s="585"/>
      <c r="R852" s="585"/>
      <c r="S852" s="585"/>
      <c r="T852" s="585"/>
      <c r="U852" s="585"/>
      <c r="V852" s="224"/>
      <c r="W852" s="224"/>
      <c r="X852" s="224"/>
      <c r="Y852" s="224"/>
      <c r="Z852" s="868"/>
      <c r="AA852" s="865"/>
      <c r="AB852" s="2"/>
      <c r="AC852" s="2"/>
      <c r="AD852" s="2"/>
      <c r="AE852" s="2"/>
      <c r="AF852" s="2"/>
      <c r="AG852" s="2"/>
      <c r="AH852" s="2"/>
      <c r="AI852" s="2"/>
      <c r="AJ852" s="2"/>
      <c r="AK852" s="2"/>
      <c r="AL852" s="2"/>
      <c r="AM852" s="2"/>
      <c r="AN852" s="2"/>
      <c r="AO852" s="9"/>
      <c r="AP852" s="9"/>
      <c r="AQ852" s="9"/>
      <c r="AR852" s="9"/>
    </row>
    <row r="853">
      <c r="A853" s="585"/>
      <c r="B853" s="585"/>
      <c r="C853" s="585"/>
      <c r="D853" s="585"/>
      <c r="E853" s="585"/>
      <c r="F853" s="585"/>
      <c r="G853" s="585"/>
      <c r="H853" s="585"/>
      <c r="I853" s="585"/>
      <c r="J853" s="585"/>
      <c r="K853" s="585"/>
      <c r="L853" s="585"/>
      <c r="M853" s="585"/>
      <c r="N853" s="585"/>
      <c r="O853" s="585"/>
      <c r="P853" s="585"/>
      <c r="Q853" s="585"/>
      <c r="R853" s="585"/>
      <c r="S853" s="585"/>
      <c r="T853" s="585"/>
      <c r="U853" s="585"/>
      <c r="V853" s="224"/>
      <c r="W853" s="224"/>
      <c r="X853" s="224"/>
      <c r="Y853" s="224"/>
      <c r="Z853" s="868"/>
      <c r="AA853" s="865"/>
      <c r="AB853" s="2"/>
      <c r="AC853" s="2"/>
      <c r="AD853" s="2"/>
      <c r="AE853" s="2"/>
      <c r="AF853" s="2"/>
      <c r="AG853" s="2"/>
      <c r="AH853" s="2"/>
      <c r="AI853" s="2"/>
      <c r="AJ853" s="2"/>
      <c r="AK853" s="2"/>
      <c r="AL853" s="2"/>
      <c r="AM853" s="2"/>
      <c r="AN853" s="2"/>
      <c r="AO853" s="9"/>
      <c r="AP853" s="9"/>
      <c r="AQ853" s="9"/>
      <c r="AR853" s="9"/>
    </row>
    <row r="854">
      <c r="A854" s="585"/>
      <c r="B854" s="585"/>
      <c r="C854" s="585"/>
      <c r="D854" s="585"/>
      <c r="E854" s="585"/>
      <c r="F854" s="585"/>
      <c r="G854" s="585"/>
      <c r="H854" s="585"/>
      <c r="I854" s="585"/>
      <c r="J854" s="585"/>
      <c r="K854" s="585"/>
      <c r="L854" s="585"/>
      <c r="M854" s="585"/>
      <c r="N854" s="585"/>
      <c r="O854" s="585"/>
      <c r="P854" s="585"/>
      <c r="Q854" s="585"/>
      <c r="R854" s="585"/>
      <c r="S854" s="585"/>
      <c r="T854" s="585"/>
      <c r="U854" s="585"/>
      <c r="V854" s="224"/>
      <c r="W854" s="224"/>
      <c r="X854" s="224"/>
      <c r="Y854" s="224"/>
      <c r="Z854" s="868"/>
      <c r="AA854" s="865"/>
      <c r="AB854" s="2"/>
      <c r="AC854" s="2"/>
      <c r="AD854" s="2"/>
      <c r="AE854" s="2"/>
      <c r="AF854" s="2"/>
      <c r="AG854" s="2"/>
      <c r="AH854" s="2"/>
      <c r="AI854" s="2"/>
      <c r="AJ854" s="2"/>
      <c r="AK854" s="2"/>
      <c r="AL854" s="2"/>
      <c r="AM854" s="2"/>
      <c r="AN854" s="2"/>
      <c r="AO854" s="9"/>
      <c r="AP854" s="9"/>
      <c r="AQ854" s="9"/>
      <c r="AR854" s="9"/>
    </row>
    <row r="855">
      <c r="A855" s="585"/>
      <c r="B855" s="585"/>
      <c r="C855" s="585"/>
      <c r="D855" s="585"/>
      <c r="E855" s="585"/>
      <c r="F855" s="585"/>
      <c r="G855" s="585"/>
      <c r="H855" s="585"/>
      <c r="I855" s="585"/>
      <c r="J855" s="585"/>
      <c r="K855" s="585"/>
      <c r="L855" s="585"/>
      <c r="M855" s="585"/>
      <c r="N855" s="585"/>
      <c r="O855" s="585"/>
      <c r="P855" s="585"/>
      <c r="Q855" s="585"/>
      <c r="R855" s="585"/>
      <c r="S855" s="585"/>
      <c r="T855" s="585"/>
      <c r="U855" s="585"/>
      <c r="V855" s="224"/>
      <c r="W855" s="224"/>
      <c r="X855" s="224"/>
      <c r="Y855" s="224"/>
      <c r="Z855" s="868"/>
      <c r="AA855" s="865"/>
      <c r="AB855" s="2"/>
      <c r="AC855" s="2"/>
      <c r="AD855" s="2"/>
      <c r="AE855" s="2"/>
      <c r="AF855" s="2"/>
      <c r="AG855" s="2"/>
      <c r="AH855" s="2"/>
      <c r="AI855" s="2"/>
      <c r="AJ855" s="2"/>
      <c r="AK855" s="2"/>
      <c r="AL855" s="2"/>
      <c r="AM855" s="2"/>
      <c r="AN855" s="2"/>
      <c r="AO855" s="9"/>
      <c r="AP855" s="9"/>
      <c r="AQ855" s="9"/>
      <c r="AR855" s="9"/>
    </row>
    <row r="856">
      <c r="A856" s="585"/>
      <c r="B856" s="585"/>
      <c r="C856" s="585"/>
      <c r="D856" s="585"/>
      <c r="E856" s="585"/>
      <c r="F856" s="585"/>
      <c r="G856" s="585"/>
      <c r="H856" s="585"/>
      <c r="I856" s="585"/>
      <c r="J856" s="585"/>
      <c r="K856" s="585"/>
      <c r="L856" s="585"/>
      <c r="M856" s="585"/>
      <c r="N856" s="585"/>
      <c r="O856" s="585"/>
      <c r="P856" s="585"/>
      <c r="Q856" s="585"/>
      <c r="R856" s="585"/>
      <c r="S856" s="585"/>
      <c r="T856" s="585"/>
      <c r="U856" s="585"/>
      <c r="V856" s="224"/>
      <c r="W856" s="224"/>
      <c r="X856" s="224"/>
      <c r="Y856" s="224"/>
      <c r="Z856" s="868"/>
      <c r="AA856" s="865"/>
      <c r="AB856" s="2"/>
      <c r="AC856" s="2"/>
      <c r="AD856" s="2"/>
      <c r="AE856" s="2"/>
      <c r="AF856" s="2"/>
      <c r="AG856" s="2"/>
      <c r="AH856" s="2"/>
      <c r="AI856" s="2"/>
      <c r="AJ856" s="2"/>
      <c r="AK856" s="2"/>
      <c r="AL856" s="2"/>
      <c r="AM856" s="2"/>
      <c r="AN856" s="2"/>
      <c r="AO856" s="9"/>
      <c r="AP856" s="9"/>
      <c r="AQ856" s="9"/>
      <c r="AR856" s="9"/>
    </row>
    <row r="857">
      <c r="A857" s="585"/>
      <c r="B857" s="585"/>
      <c r="C857" s="585"/>
      <c r="D857" s="585"/>
      <c r="E857" s="585"/>
      <c r="F857" s="585"/>
      <c r="G857" s="585"/>
      <c r="H857" s="585"/>
      <c r="I857" s="585"/>
      <c r="J857" s="585"/>
      <c r="K857" s="585"/>
      <c r="L857" s="585"/>
      <c r="M857" s="585"/>
      <c r="N857" s="585"/>
      <c r="O857" s="585"/>
      <c r="P857" s="585"/>
      <c r="Q857" s="585"/>
      <c r="R857" s="585"/>
      <c r="S857" s="585"/>
      <c r="T857" s="585"/>
      <c r="U857" s="585"/>
      <c r="V857" s="224"/>
      <c r="W857" s="224"/>
      <c r="X857" s="224"/>
      <c r="Y857" s="224"/>
      <c r="Z857" s="868"/>
      <c r="AA857" s="865"/>
      <c r="AB857" s="2"/>
      <c r="AC857" s="2"/>
      <c r="AD857" s="2"/>
      <c r="AE857" s="2"/>
      <c r="AF857" s="2"/>
      <c r="AG857" s="2"/>
      <c r="AH857" s="2"/>
      <c r="AI857" s="2"/>
      <c r="AJ857" s="2"/>
      <c r="AK857" s="2"/>
      <c r="AL857" s="2"/>
      <c r="AM857" s="2"/>
      <c r="AN857" s="2"/>
      <c r="AO857" s="9"/>
      <c r="AP857" s="9"/>
      <c r="AQ857" s="9"/>
      <c r="AR857" s="9"/>
    </row>
    <row r="858">
      <c r="A858" s="585"/>
      <c r="B858" s="585"/>
      <c r="C858" s="585"/>
      <c r="D858" s="585"/>
      <c r="E858" s="585"/>
      <c r="F858" s="585"/>
      <c r="G858" s="585"/>
      <c r="H858" s="585"/>
      <c r="I858" s="585"/>
      <c r="J858" s="585"/>
      <c r="K858" s="585"/>
      <c r="L858" s="585"/>
      <c r="M858" s="585"/>
      <c r="N858" s="585"/>
      <c r="O858" s="585"/>
      <c r="P858" s="585"/>
      <c r="Q858" s="585"/>
      <c r="R858" s="585"/>
      <c r="S858" s="585"/>
      <c r="T858" s="585"/>
      <c r="U858" s="585"/>
      <c r="V858" s="224"/>
      <c r="W858" s="224"/>
      <c r="X858" s="224"/>
      <c r="Y858" s="224"/>
      <c r="Z858" s="868"/>
      <c r="AA858" s="865"/>
      <c r="AB858" s="2"/>
      <c r="AC858" s="2"/>
      <c r="AD858" s="2"/>
      <c r="AE858" s="2"/>
      <c r="AF858" s="2"/>
      <c r="AG858" s="2"/>
      <c r="AH858" s="2"/>
      <c r="AI858" s="2"/>
      <c r="AJ858" s="2"/>
      <c r="AK858" s="2"/>
      <c r="AL858" s="2"/>
      <c r="AM858" s="2"/>
      <c r="AN858" s="2"/>
      <c r="AO858" s="9"/>
      <c r="AP858" s="9"/>
      <c r="AQ858" s="9"/>
      <c r="AR858" s="9"/>
    </row>
    <row r="859">
      <c r="A859" s="585"/>
      <c r="B859" s="585"/>
      <c r="C859" s="585"/>
      <c r="D859" s="585"/>
      <c r="E859" s="585"/>
      <c r="F859" s="585"/>
      <c r="G859" s="585"/>
      <c r="H859" s="585"/>
      <c r="I859" s="585"/>
      <c r="J859" s="585"/>
      <c r="K859" s="585"/>
      <c r="L859" s="585"/>
      <c r="M859" s="585"/>
      <c r="N859" s="585"/>
      <c r="O859" s="585"/>
      <c r="P859" s="585"/>
      <c r="Q859" s="585"/>
      <c r="R859" s="585"/>
      <c r="S859" s="585"/>
      <c r="T859" s="585"/>
      <c r="U859" s="585"/>
      <c r="V859" s="224"/>
      <c r="W859" s="224"/>
      <c r="X859" s="224"/>
      <c r="Y859" s="224"/>
      <c r="Z859" s="868"/>
      <c r="AA859" s="865"/>
      <c r="AB859" s="2"/>
      <c r="AC859" s="2"/>
      <c r="AD859" s="2"/>
      <c r="AE859" s="2"/>
      <c r="AF859" s="2"/>
      <c r="AG859" s="2"/>
      <c r="AH859" s="2"/>
      <c r="AI859" s="2"/>
      <c r="AJ859" s="2"/>
      <c r="AK859" s="2"/>
      <c r="AL859" s="2"/>
      <c r="AM859" s="2"/>
      <c r="AN859" s="2"/>
      <c r="AO859" s="9"/>
      <c r="AP859" s="9"/>
      <c r="AQ859" s="9"/>
      <c r="AR859" s="9"/>
    </row>
    <row r="860">
      <c r="A860" s="585"/>
      <c r="B860" s="585"/>
      <c r="C860" s="585"/>
      <c r="D860" s="585"/>
      <c r="E860" s="585"/>
      <c r="F860" s="585"/>
      <c r="G860" s="585"/>
      <c r="H860" s="585"/>
      <c r="I860" s="585"/>
      <c r="J860" s="585"/>
      <c r="K860" s="585"/>
      <c r="L860" s="585"/>
      <c r="M860" s="585"/>
      <c r="N860" s="585"/>
      <c r="O860" s="585"/>
      <c r="P860" s="585"/>
      <c r="Q860" s="585"/>
      <c r="R860" s="585"/>
      <c r="S860" s="585"/>
      <c r="T860" s="585"/>
      <c r="U860" s="585"/>
      <c r="V860" s="224"/>
      <c r="W860" s="224"/>
      <c r="X860" s="224"/>
      <c r="Y860" s="224"/>
      <c r="Z860" s="868"/>
      <c r="AA860" s="865"/>
      <c r="AB860" s="2"/>
      <c r="AC860" s="2"/>
      <c r="AD860" s="2"/>
      <c r="AE860" s="2"/>
      <c r="AF860" s="2"/>
      <c r="AG860" s="2"/>
      <c r="AH860" s="2"/>
      <c r="AI860" s="2"/>
      <c r="AJ860" s="2"/>
      <c r="AK860" s="2"/>
      <c r="AL860" s="2"/>
      <c r="AM860" s="2"/>
      <c r="AN860" s="2"/>
      <c r="AO860" s="9"/>
      <c r="AP860" s="9"/>
      <c r="AQ860" s="9"/>
      <c r="AR860" s="9"/>
    </row>
    <row r="861">
      <c r="A861" s="585"/>
      <c r="B861" s="585"/>
      <c r="C861" s="585"/>
      <c r="D861" s="585"/>
      <c r="E861" s="585"/>
      <c r="F861" s="585"/>
      <c r="G861" s="585"/>
      <c r="H861" s="585"/>
      <c r="I861" s="585"/>
      <c r="J861" s="585"/>
      <c r="K861" s="585"/>
      <c r="L861" s="585"/>
      <c r="M861" s="585"/>
      <c r="N861" s="585"/>
      <c r="O861" s="585"/>
      <c r="P861" s="585"/>
      <c r="Q861" s="585"/>
      <c r="R861" s="585"/>
      <c r="S861" s="585"/>
      <c r="T861" s="585"/>
      <c r="U861" s="585"/>
      <c r="V861" s="224"/>
      <c r="W861" s="224"/>
      <c r="X861" s="224"/>
      <c r="Y861" s="224"/>
      <c r="Z861" s="868"/>
      <c r="AA861" s="865"/>
      <c r="AB861" s="2"/>
      <c r="AC861" s="2"/>
      <c r="AD861" s="2"/>
      <c r="AE861" s="2"/>
      <c r="AF861" s="2"/>
      <c r="AG861" s="2"/>
      <c r="AH861" s="2"/>
      <c r="AI861" s="2"/>
      <c r="AJ861" s="2"/>
      <c r="AK861" s="2"/>
      <c r="AL861" s="2"/>
      <c r="AM861" s="2"/>
      <c r="AN861" s="2"/>
      <c r="AO861" s="9"/>
      <c r="AP861" s="9"/>
      <c r="AQ861" s="9"/>
      <c r="AR861" s="9"/>
    </row>
    <row r="862">
      <c r="A862" s="585"/>
      <c r="B862" s="585"/>
      <c r="C862" s="585"/>
      <c r="D862" s="585"/>
      <c r="E862" s="585"/>
      <c r="F862" s="585"/>
      <c r="G862" s="585"/>
      <c r="H862" s="585"/>
      <c r="I862" s="585"/>
      <c r="J862" s="585"/>
      <c r="K862" s="585"/>
      <c r="L862" s="585"/>
      <c r="M862" s="585"/>
      <c r="N862" s="585"/>
      <c r="O862" s="585"/>
      <c r="P862" s="585"/>
      <c r="Q862" s="585"/>
      <c r="R862" s="585"/>
      <c r="S862" s="585"/>
      <c r="T862" s="585"/>
      <c r="U862" s="585"/>
      <c r="V862" s="224"/>
      <c r="W862" s="224"/>
      <c r="X862" s="224"/>
      <c r="Y862" s="224"/>
      <c r="Z862" s="868"/>
      <c r="AA862" s="865"/>
      <c r="AB862" s="2"/>
      <c r="AC862" s="2"/>
      <c r="AD862" s="2"/>
      <c r="AE862" s="2"/>
      <c r="AF862" s="2"/>
      <c r="AG862" s="2"/>
      <c r="AH862" s="2"/>
      <c r="AI862" s="2"/>
      <c r="AJ862" s="2"/>
      <c r="AK862" s="2"/>
      <c r="AL862" s="2"/>
      <c r="AM862" s="2"/>
      <c r="AN862" s="2"/>
      <c r="AO862" s="9"/>
      <c r="AP862" s="9"/>
      <c r="AQ862" s="9"/>
      <c r="AR862" s="9"/>
    </row>
    <row r="863">
      <c r="A863" s="585"/>
      <c r="B863" s="585"/>
      <c r="C863" s="585"/>
      <c r="D863" s="585"/>
      <c r="E863" s="585"/>
      <c r="F863" s="585"/>
      <c r="G863" s="585"/>
      <c r="H863" s="585"/>
      <c r="I863" s="585"/>
      <c r="J863" s="585"/>
      <c r="K863" s="585"/>
      <c r="L863" s="585"/>
      <c r="M863" s="585"/>
      <c r="N863" s="585"/>
      <c r="O863" s="585"/>
      <c r="P863" s="585"/>
      <c r="Q863" s="585"/>
      <c r="R863" s="585"/>
      <c r="S863" s="585"/>
      <c r="T863" s="585"/>
      <c r="U863" s="585"/>
      <c r="V863" s="224"/>
      <c r="W863" s="224"/>
      <c r="X863" s="224"/>
      <c r="Y863" s="224"/>
      <c r="Z863" s="868"/>
      <c r="AA863" s="865"/>
      <c r="AB863" s="2"/>
      <c r="AC863" s="2"/>
      <c r="AD863" s="2"/>
      <c r="AE863" s="2"/>
      <c r="AF863" s="2"/>
      <c r="AG863" s="2"/>
      <c r="AH863" s="2"/>
      <c r="AI863" s="2"/>
      <c r="AJ863" s="2"/>
      <c r="AK863" s="2"/>
      <c r="AL863" s="2"/>
      <c r="AM863" s="2"/>
      <c r="AN863" s="2"/>
      <c r="AO863" s="9"/>
      <c r="AP863" s="9"/>
      <c r="AQ863" s="9"/>
      <c r="AR863" s="9"/>
    </row>
    <row r="864">
      <c r="A864" s="585"/>
      <c r="B864" s="585"/>
      <c r="C864" s="585"/>
      <c r="D864" s="585"/>
      <c r="E864" s="585"/>
      <c r="F864" s="585"/>
      <c r="G864" s="585"/>
      <c r="H864" s="585"/>
      <c r="I864" s="585"/>
      <c r="J864" s="585"/>
      <c r="K864" s="585"/>
      <c r="L864" s="585"/>
      <c r="M864" s="585"/>
      <c r="N864" s="585"/>
      <c r="O864" s="585"/>
      <c r="P864" s="585"/>
      <c r="Q864" s="585"/>
      <c r="R864" s="585"/>
      <c r="S864" s="585"/>
      <c r="T864" s="585"/>
      <c r="U864" s="585"/>
      <c r="V864" s="224"/>
      <c r="W864" s="224"/>
      <c r="X864" s="224"/>
      <c r="Y864" s="224"/>
      <c r="Z864" s="868"/>
      <c r="AA864" s="865"/>
      <c r="AB864" s="2"/>
      <c r="AC864" s="2"/>
      <c r="AD864" s="2"/>
      <c r="AE864" s="2"/>
      <c r="AF864" s="2"/>
      <c r="AG864" s="2"/>
      <c r="AH864" s="2"/>
      <c r="AI864" s="2"/>
      <c r="AJ864" s="2"/>
      <c r="AK864" s="2"/>
      <c r="AL864" s="2"/>
      <c r="AM864" s="2"/>
      <c r="AN864" s="2"/>
      <c r="AO864" s="9"/>
      <c r="AP864" s="9"/>
      <c r="AQ864" s="9"/>
      <c r="AR864" s="9"/>
    </row>
    <row r="865">
      <c r="A865" s="585"/>
      <c r="B865" s="585"/>
      <c r="C865" s="585"/>
      <c r="D865" s="585"/>
      <c r="E865" s="585"/>
      <c r="F865" s="585"/>
      <c r="G865" s="585"/>
      <c r="H865" s="585"/>
      <c r="I865" s="585"/>
      <c r="J865" s="585"/>
      <c r="K865" s="585"/>
      <c r="L865" s="585"/>
      <c r="M865" s="585"/>
      <c r="N865" s="585"/>
      <c r="O865" s="585"/>
      <c r="P865" s="585"/>
      <c r="Q865" s="585"/>
      <c r="R865" s="585"/>
      <c r="S865" s="585"/>
      <c r="T865" s="585"/>
      <c r="U865" s="585"/>
      <c r="V865" s="224"/>
      <c r="W865" s="224"/>
      <c r="X865" s="224"/>
      <c r="Y865" s="224"/>
      <c r="Z865" s="868"/>
      <c r="AA865" s="865"/>
      <c r="AB865" s="2"/>
      <c r="AC865" s="2"/>
      <c r="AD865" s="2"/>
      <c r="AE865" s="2"/>
      <c r="AF865" s="2"/>
      <c r="AG865" s="2"/>
      <c r="AH865" s="2"/>
      <c r="AI865" s="2"/>
      <c r="AJ865" s="2"/>
      <c r="AK865" s="2"/>
      <c r="AL865" s="2"/>
      <c r="AM865" s="2"/>
      <c r="AN865" s="2"/>
      <c r="AO865" s="9"/>
      <c r="AP865" s="9"/>
      <c r="AQ865" s="9"/>
      <c r="AR865" s="9"/>
    </row>
    <row r="866">
      <c r="A866" s="585"/>
      <c r="B866" s="585"/>
      <c r="C866" s="585"/>
      <c r="D866" s="585"/>
      <c r="E866" s="585"/>
      <c r="F866" s="585"/>
      <c r="G866" s="585"/>
      <c r="H866" s="585"/>
      <c r="I866" s="585"/>
      <c r="J866" s="585"/>
      <c r="K866" s="585"/>
      <c r="L866" s="585"/>
      <c r="M866" s="585"/>
      <c r="N866" s="585"/>
      <c r="O866" s="585"/>
      <c r="P866" s="585"/>
      <c r="Q866" s="585"/>
      <c r="R866" s="585"/>
      <c r="S866" s="585"/>
      <c r="T866" s="585"/>
      <c r="U866" s="585"/>
      <c r="V866" s="224"/>
      <c r="W866" s="224"/>
      <c r="X866" s="224"/>
      <c r="Y866" s="224"/>
      <c r="Z866" s="868"/>
      <c r="AA866" s="865"/>
      <c r="AB866" s="2"/>
      <c r="AC866" s="2"/>
      <c r="AD866" s="2"/>
      <c r="AE866" s="2"/>
      <c r="AF866" s="2"/>
      <c r="AG866" s="2"/>
      <c r="AH866" s="2"/>
      <c r="AI866" s="2"/>
      <c r="AJ866" s="2"/>
      <c r="AK866" s="2"/>
      <c r="AL866" s="2"/>
      <c r="AM866" s="2"/>
      <c r="AN866" s="2"/>
      <c r="AO866" s="9"/>
      <c r="AP866" s="9"/>
      <c r="AQ866" s="9"/>
      <c r="AR866" s="9"/>
    </row>
    <row r="867">
      <c r="A867" s="585"/>
      <c r="B867" s="585"/>
      <c r="C867" s="585"/>
      <c r="D867" s="585"/>
      <c r="E867" s="585"/>
      <c r="F867" s="585"/>
      <c r="G867" s="585"/>
      <c r="H867" s="585"/>
      <c r="I867" s="585"/>
      <c r="J867" s="585"/>
      <c r="K867" s="585"/>
      <c r="L867" s="585"/>
      <c r="M867" s="585"/>
      <c r="N867" s="585"/>
      <c r="O867" s="585"/>
      <c r="P867" s="585"/>
      <c r="Q867" s="585"/>
      <c r="R867" s="585"/>
      <c r="S867" s="585"/>
      <c r="T867" s="585"/>
      <c r="U867" s="585"/>
      <c r="V867" s="224"/>
      <c r="W867" s="224"/>
      <c r="X867" s="224"/>
      <c r="Y867" s="224"/>
      <c r="Z867" s="868"/>
      <c r="AA867" s="865"/>
      <c r="AB867" s="2"/>
      <c r="AC867" s="2"/>
      <c r="AD867" s="2"/>
      <c r="AE867" s="2"/>
      <c r="AF867" s="2"/>
      <c r="AG867" s="2"/>
      <c r="AH867" s="2"/>
      <c r="AI867" s="2"/>
      <c r="AJ867" s="2"/>
      <c r="AK867" s="2"/>
      <c r="AL867" s="2"/>
      <c r="AM867" s="2"/>
      <c r="AN867" s="2"/>
      <c r="AO867" s="9"/>
      <c r="AP867" s="9"/>
      <c r="AQ867" s="9"/>
      <c r="AR867" s="9"/>
    </row>
    <row r="868">
      <c r="A868" s="585"/>
      <c r="B868" s="585"/>
      <c r="C868" s="585"/>
      <c r="D868" s="585"/>
      <c r="E868" s="585"/>
      <c r="F868" s="585"/>
      <c r="G868" s="585"/>
      <c r="H868" s="585"/>
      <c r="I868" s="585"/>
      <c r="J868" s="585"/>
      <c r="K868" s="585"/>
      <c r="L868" s="585"/>
      <c r="M868" s="585"/>
      <c r="N868" s="585"/>
      <c r="O868" s="585"/>
      <c r="P868" s="585"/>
      <c r="Q868" s="585"/>
      <c r="R868" s="585"/>
      <c r="S868" s="585"/>
      <c r="T868" s="585"/>
      <c r="U868" s="585"/>
      <c r="V868" s="224"/>
      <c r="W868" s="224"/>
      <c r="X868" s="224"/>
      <c r="Y868" s="224"/>
      <c r="Z868" s="868"/>
      <c r="AA868" s="865"/>
      <c r="AB868" s="2"/>
      <c r="AC868" s="2"/>
      <c r="AD868" s="2"/>
      <c r="AE868" s="2"/>
      <c r="AF868" s="2"/>
      <c r="AG868" s="2"/>
      <c r="AH868" s="2"/>
      <c r="AI868" s="2"/>
      <c r="AJ868" s="2"/>
      <c r="AK868" s="2"/>
      <c r="AL868" s="2"/>
      <c r="AM868" s="2"/>
      <c r="AN868" s="2"/>
      <c r="AO868" s="9"/>
      <c r="AP868" s="9"/>
      <c r="AQ868" s="9"/>
      <c r="AR868" s="9"/>
    </row>
    <row r="869">
      <c r="A869" s="585"/>
      <c r="B869" s="585"/>
      <c r="C869" s="585"/>
      <c r="D869" s="585"/>
      <c r="E869" s="585"/>
      <c r="F869" s="585"/>
      <c r="G869" s="585"/>
      <c r="H869" s="585"/>
      <c r="I869" s="585"/>
      <c r="J869" s="585"/>
      <c r="K869" s="585"/>
      <c r="L869" s="585"/>
      <c r="M869" s="585"/>
      <c r="N869" s="585"/>
      <c r="O869" s="585"/>
      <c r="P869" s="585"/>
      <c r="Q869" s="585"/>
      <c r="R869" s="585"/>
      <c r="S869" s="585"/>
      <c r="T869" s="585"/>
      <c r="U869" s="585"/>
      <c r="V869" s="224"/>
      <c r="W869" s="224"/>
      <c r="X869" s="224"/>
      <c r="Y869" s="224"/>
      <c r="Z869" s="868"/>
      <c r="AA869" s="865"/>
      <c r="AB869" s="2"/>
      <c r="AC869" s="2"/>
      <c r="AD869" s="2"/>
      <c r="AE869" s="2"/>
      <c r="AF869" s="2"/>
      <c r="AG869" s="2"/>
      <c r="AH869" s="2"/>
      <c r="AI869" s="2"/>
      <c r="AJ869" s="2"/>
      <c r="AK869" s="2"/>
      <c r="AL869" s="2"/>
      <c r="AM869" s="2"/>
      <c r="AN869" s="2"/>
      <c r="AO869" s="9"/>
      <c r="AP869" s="9"/>
      <c r="AQ869" s="9"/>
      <c r="AR869" s="9"/>
    </row>
    <row r="870">
      <c r="A870" s="585"/>
      <c r="B870" s="585"/>
      <c r="C870" s="585"/>
      <c r="D870" s="585"/>
      <c r="E870" s="585"/>
      <c r="F870" s="585"/>
      <c r="G870" s="585"/>
      <c r="H870" s="585"/>
      <c r="I870" s="585"/>
      <c r="J870" s="585"/>
      <c r="K870" s="585"/>
      <c r="L870" s="585"/>
      <c r="M870" s="585"/>
      <c r="N870" s="585"/>
      <c r="O870" s="585"/>
      <c r="P870" s="585"/>
      <c r="Q870" s="585"/>
      <c r="R870" s="585"/>
      <c r="S870" s="585"/>
      <c r="T870" s="585"/>
      <c r="U870" s="585"/>
      <c r="V870" s="224"/>
      <c r="W870" s="224"/>
      <c r="X870" s="224"/>
      <c r="Y870" s="224"/>
      <c r="Z870" s="868"/>
      <c r="AA870" s="865"/>
      <c r="AB870" s="2"/>
      <c r="AC870" s="2"/>
      <c r="AD870" s="2"/>
      <c r="AE870" s="2"/>
      <c r="AF870" s="2"/>
      <c r="AG870" s="2"/>
      <c r="AH870" s="2"/>
      <c r="AI870" s="2"/>
      <c r="AJ870" s="2"/>
      <c r="AK870" s="2"/>
      <c r="AL870" s="2"/>
      <c r="AM870" s="2"/>
      <c r="AN870" s="2"/>
      <c r="AO870" s="9"/>
      <c r="AP870" s="9"/>
      <c r="AQ870" s="9"/>
      <c r="AR870" s="9"/>
    </row>
    <row r="871">
      <c r="A871" s="585"/>
      <c r="B871" s="585"/>
      <c r="C871" s="585"/>
      <c r="D871" s="585"/>
      <c r="E871" s="585"/>
      <c r="F871" s="585"/>
      <c r="G871" s="585"/>
      <c r="H871" s="585"/>
      <c r="I871" s="585"/>
      <c r="J871" s="585"/>
      <c r="K871" s="585"/>
      <c r="L871" s="585"/>
      <c r="M871" s="585"/>
      <c r="N871" s="585"/>
      <c r="O871" s="585"/>
      <c r="P871" s="585"/>
      <c r="Q871" s="585"/>
      <c r="R871" s="585"/>
      <c r="S871" s="585"/>
      <c r="T871" s="585"/>
      <c r="U871" s="585"/>
      <c r="V871" s="224"/>
      <c r="W871" s="224"/>
      <c r="X871" s="224"/>
      <c r="Y871" s="224"/>
      <c r="Z871" s="868"/>
      <c r="AA871" s="865"/>
      <c r="AB871" s="2"/>
      <c r="AC871" s="2"/>
      <c r="AD871" s="2"/>
      <c r="AE871" s="2"/>
      <c r="AF871" s="2"/>
      <c r="AG871" s="2"/>
      <c r="AH871" s="2"/>
      <c r="AI871" s="2"/>
      <c r="AJ871" s="2"/>
      <c r="AK871" s="2"/>
      <c r="AL871" s="2"/>
      <c r="AM871" s="2"/>
      <c r="AN871" s="2"/>
      <c r="AO871" s="9"/>
      <c r="AP871" s="9"/>
      <c r="AQ871" s="9"/>
      <c r="AR871" s="9"/>
    </row>
    <row r="872">
      <c r="A872" s="585"/>
      <c r="B872" s="585"/>
      <c r="C872" s="585"/>
      <c r="D872" s="585"/>
      <c r="E872" s="585"/>
      <c r="F872" s="585"/>
      <c r="G872" s="585"/>
      <c r="H872" s="585"/>
      <c r="I872" s="585"/>
      <c r="J872" s="585"/>
      <c r="K872" s="585"/>
      <c r="L872" s="585"/>
      <c r="M872" s="585"/>
      <c r="N872" s="585"/>
      <c r="O872" s="585"/>
      <c r="P872" s="585"/>
      <c r="Q872" s="585"/>
      <c r="R872" s="585"/>
      <c r="S872" s="585"/>
      <c r="T872" s="585"/>
      <c r="U872" s="585"/>
      <c r="V872" s="224"/>
      <c r="W872" s="224"/>
      <c r="X872" s="224"/>
      <c r="Y872" s="224"/>
      <c r="Z872" s="868"/>
      <c r="AA872" s="865"/>
      <c r="AB872" s="2"/>
      <c r="AC872" s="2"/>
      <c r="AD872" s="2"/>
      <c r="AE872" s="2"/>
      <c r="AF872" s="2"/>
      <c r="AG872" s="2"/>
      <c r="AH872" s="2"/>
      <c r="AI872" s="2"/>
      <c r="AJ872" s="2"/>
      <c r="AK872" s="2"/>
      <c r="AL872" s="2"/>
      <c r="AM872" s="2"/>
      <c r="AN872" s="2"/>
      <c r="AO872" s="9"/>
      <c r="AP872" s="9"/>
      <c r="AQ872" s="9"/>
      <c r="AR872" s="9"/>
    </row>
    <row r="873">
      <c r="A873" s="585"/>
      <c r="B873" s="585"/>
      <c r="C873" s="585"/>
      <c r="D873" s="585"/>
      <c r="E873" s="585"/>
      <c r="F873" s="585"/>
      <c r="G873" s="585"/>
      <c r="H873" s="585"/>
      <c r="I873" s="585"/>
      <c r="J873" s="585"/>
      <c r="K873" s="585"/>
      <c r="L873" s="585"/>
      <c r="M873" s="585"/>
      <c r="N873" s="585"/>
      <c r="O873" s="585"/>
      <c r="P873" s="585"/>
      <c r="Q873" s="585"/>
      <c r="R873" s="585"/>
      <c r="S873" s="585"/>
      <c r="T873" s="585"/>
      <c r="U873" s="585"/>
      <c r="V873" s="224"/>
      <c r="W873" s="224"/>
      <c r="X873" s="224"/>
      <c r="Y873" s="224"/>
      <c r="Z873" s="868"/>
      <c r="AA873" s="865"/>
      <c r="AB873" s="2"/>
      <c r="AC873" s="2"/>
      <c r="AD873" s="2"/>
      <c r="AE873" s="2"/>
      <c r="AF873" s="2"/>
      <c r="AG873" s="2"/>
      <c r="AH873" s="2"/>
      <c r="AI873" s="2"/>
      <c r="AJ873" s="2"/>
      <c r="AK873" s="2"/>
      <c r="AL873" s="2"/>
      <c r="AM873" s="2"/>
      <c r="AN873" s="2"/>
      <c r="AO873" s="9"/>
      <c r="AP873" s="9"/>
      <c r="AQ873" s="9"/>
      <c r="AR873" s="9"/>
    </row>
    <row r="874">
      <c r="A874" s="585"/>
      <c r="B874" s="585"/>
      <c r="C874" s="585"/>
      <c r="D874" s="585"/>
      <c r="E874" s="585"/>
      <c r="F874" s="585"/>
      <c r="G874" s="585"/>
      <c r="H874" s="585"/>
      <c r="I874" s="585"/>
      <c r="J874" s="585"/>
      <c r="K874" s="585"/>
      <c r="L874" s="585"/>
      <c r="M874" s="585"/>
      <c r="N874" s="585"/>
      <c r="O874" s="585"/>
      <c r="P874" s="585"/>
      <c r="Q874" s="585"/>
      <c r="R874" s="585"/>
      <c r="S874" s="585"/>
      <c r="T874" s="585"/>
      <c r="U874" s="585"/>
      <c r="V874" s="224"/>
      <c r="W874" s="224"/>
      <c r="X874" s="224"/>
      <c r="Y874" s="224"/>
      <c r="Z874" s="868"/>
      <c r="AA874" s="865"/>
      <c r="AB874" s="2"/>
      <c r="AC874" s="2"/>
      <c r="AD874" s="2"/>
      <c r="AE874" s="2"/>
      <c r="AF874" s="2"/>
      <c r="AG874" s="2"/>
      <c r="AH874" s="2"/>
      <c r="AI874" s="2"/>
      <c r="AJ874" s="2"/>
      <c r="AK874" s="2"/>
      <c r="AL874" s="2"/>
      <c r="AM874" s="2"/>
      <c r="AN874" s="2"/>
      <c r="AO874" s="9"/>
      <c r="AP874" s="9"/>
      <c r="AQ874" s="9"/>
      <c r="AR874" s="9"/>
    </row>
    <row r="875">
      <c r="A875" s="585"/>
      <c r="B875" s="585"/>
      <c r="C875" s="585"/>
      <c r="D875" s="585"/>
      <c r="E875" s="585"/>
      <c r="F875" s="585"/>
      <c r="G875" s="585"/>
      <c r="H875" s="585"/>
      <c r="I875" s="585"/>
      <c r="J875" s="585"/>
      <c r="K875" s="585"/>
      <c r="L875" s="585"/>
      <c r="M875" s="585"/>
      <c r="N875" s="585"/>
      <c r="O875" s="585"/>
      <c r="P875" s="585"/>
      <c r="Q875" s="585"/>
      <c r="R875" s="585"/>
      <c r="S875" s="585"/>
      <c r="T875" s="585"/>
      <c r="U875" s="585"/>
      <c r="V875" s="224"/>
      <c r="W875" s="224"/>
      <c r="X875" s="224"/>
      <c r="Y875" s="224"/>
      <c r="Z875" s="868"/>
      <c r="AA875" s="865"/>
      <c r="AB875" s="2"/>
      <c r="AC875" s="2"/>
      <c r="AD875" s="2"/>
      <c r="AE875" s="2"/>
      <c r="AF875" s="2"/>
      <c r="AG875" s="2"/>
      <c r="AH875" s="2"/>
      <c r="AI875" s="2"/>
      <c r="AJ875" s="2"/>
      <c r="AK875" s="2"/>
      <c r="AL875" s="2"/>
      <c r="AM875" s="2"/>
      <c r="AN875" s="2"/>
      <c r="AO875" s="9"/>
      <c r="AP875" s="9"/>
      <c r="AQ875" s="9"/>
      <c r="AR875" s="9"/>
    </row>
    <row r="876">
      <c r="A876" s="585"/>
      <c r="B876" s="585"/>
      <c r="C876" s="585"/>
      <c r="D876" s="585"/>
      <c r="E876" s="585"/>
      <c r="F876" s="585"/>
      <c r="G876" s="585"/>
      <c r="H876" s="585"/>
      <c r="I876" s="585"/>
      <c r="J876" s="585"/>
      <c r="K876" s="585"/>
      <c r="L876" s="585"/>
      <c r="M876" s="585"/>
      <c r="N876" s="585"/>
      <c r="O876" s="585"/>
      <c r="P876" s="585"/>
      <c r="Q876" s="585"/>
      <c r="R876" s="585"/>
      <c r="S876" s="585"/>
      <c r="T876" s="585"/>
      <c r="U876" s="585"/>
      <c r="V876" s="224"/>
      <c r="W876" s="224"/>
      <c r="X876" s="224"/>
      <c r="Y876" s="224"/>
      <c r="Z876" s="868"/>
      <c r="AA876" s="865"/>
      <c r="AB876" s="2"/>
      <c r="AC876" s="2"/>
      <c r="AD876" s="2"/>
      <c r="AE876" s="2"/>
      <c r="AF876" s="2"/>
      <c r="AG876" s="2"/>
      <c r="AH876" s="2"/>
      <c r="AI876" s="2"/>
      <c r="AJ876" s="2"/>
      <c r="AK876" s="2"/>
      <c r="AL876" s="2"/>
      <c r="AM876" s="2"/>
      <c r="AN876" s="2"/>
      <c r="AO876" s="9"/>
      <c r="AP876" s="9"/>
      <c r="AQ876" s="9"/>
      <c r="AR876" s="9"/>
    </row>
    <row r="877">
      <c r="A877" s="585"/>
      <c r="B877" s="585"/>
      <c r="C877" s="585"/>
      <c r="D877" s="585"/>
      <c r="E877" s="585"/>
      <c r="F877" s="585"/>
      <c r="G877" s="585"/>
      <c r="H877" s="585"/>
      <c r="I877" s="585"/>
      <c r="J877" s="585"/>
      <c r="K877" s="585"/>
      <c r="L877" s="585"/>
      <c r="M877" s="585"/>
      <c r="N877" s="585"/>
      <c r="O877" s="585"/>
      <c r="P877" s="585"/>
      <c r="Q877" s="585"/>
      <c r="R877" s="585"/>
      <c r="S877" s="585"/>
      <c r="T877" s="585"/>
      <c r="U877" s="585"/>
      <c r="V877" s="224"/>
      <c r="W877" s="224"/>
      <c r="X877" s="224"/>
      <c r="Y877" s="224"/>
      <c r="Z877" s="868"/>
      <c r="AA877" s="865"/>
      <c r="AB877" s="2"/>
      <c r="AC877" s="2"/>
      <c r="AD877" s="2"/>
      <c r="AE877" s="2"/>
      <c r="AF877" s="2"/>
      <c r="AG877" s="2"/>
      <c r="AH877" s="2"/>
      <c r="AI877" s="2"/>
      <c r="AJ877" s="2"/>
      <c r="AK877" s="2"/>
      <c r="AL877" s="2"/>
      <c r="AM877" s="2"/>
      <c r="AN877" s="2"/>
      <c r="AO877" s="9"/>
      <c r="AP877" s="9"/>
      <c r="AQ877" s="9"/>
      <c r="AR877" s="9"/>
    </row>
    <row r="878">
      <c r="A878" s="585"/>
      <c r="B878" s="585"/>
      <c r="C878" s="585"/>
      <c r="D878" s="585"/>
      <c r="E878" s="585"/>
      <c r="F878" s="585"/>
      <c r="G878" s="585"/>
      <c r="H878" s="585"/>
      <c r="I878" s="585"/>
      <c r="J878" s="585"/>
      <c r="K878" s="585"/>
      <c r="L878" s="585"/>
      <c r="M878" s="585"/>
      <c r="N878" s="585"/>
      <c r="O878" s="585"/>
      <c r="P878" s="585"/>
      <c r="Q878" s="585"/>
      <c r="R878" s="585"/>
      <c r="S878" s="585"/>
      <c r="T878" s="585"/>
      <c r="U878" s="585"/>
      <c r="V878" s="224"/>
      <c r="W878" s="224"/>
      <c r="X878" s="224"/>
      <c r="Y878" s="224"/>
      <c r="Z878" s="868"/>
      <c r="AA878" s="865"/>
      <c r="AB878" s="2"/>
      <c r="AC878" s="2"/>
      <c r="AD878" s="2"/>
      <c r="AE878" s="2"/>
      <c r="AF878" s="2"/>
      <c r="AG878" s="2"/>
      <c r="AH878" s="2"/>
      <c r="AI878" s="2"/>
      <c r="AJ878" s="2"/>
      <c r="AK878" s="2"/>
      <c r="AL878" s="2"/>
      <c r="AM878" s="2"/>
      <c r="AN878" s="2"/>
      <c r="AO878" s="9"/>
      <c r="AP878" s="9"/>
      <c r="AQ878" s="9"/>
      <c r="AR878" s="9"/>
    </row>
    <row r="879">
      <c r="A879" s="585"/>
      <c r="B879" s="585"/>
      <c r="C879" s="585"/>
      <c r="D879" s="585"/>
      <c r="E879" s="585"/>
      <c r="F879" s="585"/>
      <c r="G879" s="585"/>
      <c r="H879" s="585"/>
      <c r="I879" s="585"/>
      <c r="J879" s="585"/>
      <c r="K879" s="585"/>
      <c r="L879" s="585"/>
      <c r="M879" s="585"/>
      <c r="N879" s="585"/>
      <c r="O879" s="585"/>
      <c r="P879" s="585"/>
      <c r="Q879" s="585"/>
      <c r="R879" s="585"/>
      <c r="S879" s="585"/>
      <c r="T879" s="585"/>
      <c r="U879" s="585"/>
      <c r="V879" s="224"/>
      <c r="W879" s="224"/>
      <c r="X879" s="224"/>
      <c r="Y879" s="224"/>
      <c r="Z879" s="868"/>
      <c r="AA879" s="865"/>
      <c r="AB879" s="2"/>
      <c r="AC879" s="2"/>
      <c r="AD879" s="2"/>
      <c r="AE879" s="2"/>
      <c r="AF879" s="2"/>
      <c r="AG879" s="2"/>
      <c r="AH879" s="2"/>
      <c r="AI879" s="2"/>
      <c r="AJ879" s="2"/>
      <c r="AK879" s="2"/>
      <c r="AL879" s="2"/>
      <c r="AM879" s="2"/>
      <c r="AN879" s="2"/>
      <c r="AO879" s="9"/>
      <c r="AP879" s="9"/>
      <c r="AQ879" s="9"/>
      <c r="AR879" s="9"/>
    </row>
    <row r="880">
      <c r="A880" s="585"/>
      <c r="B880" s="585"/>
      <c r="C880" s="585"/>
      <c r="D880" s="585"/>
      <c r="E880" s="585"/>
      <c r="F880" s="585"/>
      <c r="G880" s="585"/>
      <c r="H880" s="585"/>
      <c r="I880" s="585"/>
      <c r="J880" s="585"/>
      <c r="K880" s="585"/>
      <c r="L880" s="585"/>
      <c r="M880" s="585"/>
      <c r="N880" s="585"/>
      <c r="O880" s="585"/>
      <c r="P880" s="585"/>
      <c r="Q880" s="585"/>
      <c r="R880" s="585"/>
      <c r="S880" s="585"/>
      <c r="T880" s="585"/>
      <c r="U880" s="585"/>
      <c r="V880" s="224"/>
      <c r="W880" s="224"/>
      <c r="X880" s="224"/>
      <c r="Y880" s="224"/>
      <c r="Z880" s="868"/>
      <c r="AA880" s="865"/>
      <c r="AB880" s="2"/>
      <c r="AC880" s="2"/>
      <c r="AD880" s="2"/>
      <c r="AE880" s="2"/>
      <c r="AF880" s="2"/>
      <c r="AG880" s="2"/>
      <c r="AH880" s="2"/>
      <c r="AI880" s="2"/>
      <c r="AJ880" s="2"/>
      <c r="AK880" s="2"/>
      <c r="AL880" s="2"/>
      <c r="AM880" s="2"/>
      <c r="AN880" s="2"/>
      <c r="AO880" s="9"/>
      <c r="AP880" s="9"/>
      <c r="AQ880" s="9"/>
      <c r="AR880" s="9"/>
    </row>
    <row r="881">
      <c r="A881" s="585"/>
      <c r="B881" s="585"/>
      <c r="C881" s="585"/>
      <c r="D881" s="585"/>
      <c r="E881" s="585"/>
      <c r="F881" s="585"/>
      <c r="G881" s="585"/>
      <c r="H881" s="585"/>
      <c r="I881" s="585"/>
      <c r="J881" s="585"/>
      <c r="K881" s="585"/>
      <c r="L881" s="585"/>
      <c r="M881" s="585"/>
      <c r="N881" s="585"/>
      <c r="O881" s="585"/>
      <c r="P881" s="585"/>
      <c r="Q881" s="585"/>
      <c r="R881" s="585"/>
      <c r="S881" s="585"/>
      <c r="T881" s="585"/>
      <c r="U881" s="585"/>
      <c r="V881" s="224"/>
      <c r="W881" s="224"/>
      <c r="X881" s="224"/>
      <c r="Y881" s="224"/>
      <c r="Z881" s="868"/>
      <c r="AA881" s="865"/>
      <c r="AB881" s="2"/>
      <c r="AC881" s="2"/>
      <c r="AD881" s="2"/>
      <c r="AE881" s="2"/>
      <c r="AF881" s="2"/>
      <c r="AG881" s="2"/>
      <c r="AH881" s="2"/>
      <c r="AI881" s="2"/>
      <c r="AJ881" s="2"/>
      <c r="AK881" s="2"/>
      <c r="AL881" s="2"/>
      <c r="AM881" s="2"/>
      <c r="AN881" s="2"/>
      <c r="AO881" s="9"/>
      <c r="AP881" s="9"/>
      <c r="AQ881" s="9"/>
      <c r="AR881" s="9"/>
    </row>
    <row r="882">
      <c r="A882" s="585"/>
      <c r="B882" s="585"/>
      <c r="C882" s="585"/>
      <c r="D882" s="585"/>
      <c r="E882" s="585"/>
      <c r="F882" s="585"/>
      <c r="G882" s="585"/>
      <c r="H882" s="585"/>
      <c r="I882" s="585"/>
      <c r="J882" s="585"/>
      <c r="K882" s="585"/>
      <c r="L882" s="585"/>
      <c r="M882" s="585"/>
      <c r="N882" s="585"/>
      <c r="O882" s="585"/>
      <c r="P882" s="585"/>
      <c r="Q882" s="585"/>
      <c r="R882" s="585"/>
      <c r="S882" s="585"/>
      <c r="T882" s="585"/>
      <c r="U882" s="585"/>
      <c r="V882" s="224"/>
      <c r="W882" s="224"/>
      <c r="X882" s="224"/>
      <c r="Y882" s="224"/>
      <c r="Z882" s="868"/>
      <c r="AA882" s="865"/>
      <c r="AB882" s="2"/>
      <c r="AC882" s="2"/>
      <c r="AD882" s="2"/>
      <c r="AE882" s="2"/>
      <c r="AF882" s="2"/>
      <c r="AG882" s="2"/>
      <c r="AH882" s="2"/>
      <c r="AI882" s="2"/>
      <c r="AJ882" s="2"/>
      <c r="AK882" s="2"/>
      <c r="AL882" s="2"/>
      <c r="AM882" s="2"/>
      <c r="AN882" s="2"/>
      <c r="AO882" s="9"/>
      <c r="AP882" s="9"/>
      <c r="AQ882" s="9"/>
      <c r="AR882" s="9"/>
    </row>
    <row r="883">
      <c r="A883" s="585"/>
      <c r="B883" s="585"/>
      <c r="C883" s="585"/>
      <c r="D883" s="585"/>
      <c r="E883" s="585"/>
      <c r="F883" s="585"/>
      <c r="G883" s="585"/>
      <c r="H883" s="585"/>
      <c r="I883" s="585"/>
      <c r="J883" s="585"/>
      <c r="K883" s="585"/>
      <c r="L883" s="585"/>
      <c r="M883" s="585"/>
      <c r="N883" s="585"/>
      <c r="O883" s="585"/>
      <c r="P883" s="585"/>
      <c r="Q883" s="585"/>
      <c r="R883" s="585"/>
      <c r="S883" s="585"/>
      <c r="T883" s="585"/>
      <c r="U883" s="585"/>
      <c r="V883" s="224"/>
      <c r="W883" s="224"/>
      <c r="X883" s="224"/>
      <c r="Y883" s="224"/>
      <c r="Z883" s="868"/>
      <c r="AA883" s="865"/>
      <c r="AB883" s="2"/>
      <c r="AC883" s="2"/>
      <c r="AD883" s="2"/>
      <c r="AE883" s="2"/>
      <c r="AF883" s="2"/>
      <c r="AG883" s="2"/>
      <c r="AH883" s="2"/>
      <c r="AI883" s="2"/>
      <c r="AJ883" s="2"/>
      <c r="AK883" s="2"/>
      <c r="AL883" s="2"/>
      <c r="AM883" s="2"/>
      <c r="AN883" s="2"/>
      <c r="AO883" s="9"/>
      <c r="AP883" s="9"/>
      <c r="AQ883" s="9"/>
      <c r="AR883" s="9"/>
    </row>
    <row r="884">
      <c r="A884" s="585"/>
      <c r="B884" s="585"/>
      <c r="C884" s="585"/>
      <c r="D884" s="585"/>
      <c r="E884" s="585"/>
      <c r="F884" s="585"/>
      <c r="G884" s="585"/>
      <c r="H884" s="585"/>
      <c r="I884" s="585"/>
      <c r="J884" s="585"/>
      <c r="K884" s="585"/>
      <c r="L884" s="585"/>
      <c r="M884" s="585"/>
      <c r="N884" s="585"/>
      <c r="O884" s="585"/>
      <c r="P884" s="585"/>
      <c r="Q884" s="585"/>
      <c r="R884" s="585"/>
      <c r="S884" s="585"/>
      <c r="T884" s="585"/>
      <c r="U884" s="585"/>
      <c r="V884" s="224"/>
      <c r="W884" s="224"/>
      <c r="X884" s="224"/>
      <c r="Y884" s="224"/>
      <c r="Z884" s="868"/>
      <c r="AA884" s="865"/>
      <c r="AB884" s="2"/>
      <c r="AC884" s="2"/>
      <c r="AD884" s="2"/>
      <c r="AE884" s="2"/>
      <c r="AF884" s="2"/>
      <c r="AG884" s="2"/>
      <c r="AH884" s="2"/>
      <c r="AI884" s="2"/>
      <c r="AJ884" s="2"/>
      <c r="AK884" s="2"/>
      <c r="AL884" s="2"/>
      <c r="AM884" s="2"/>
      <c r="AN884" s="2"/>
      <c r="AO884" s="9"/>
      <c r="AP884" s="9"/>
      <c r="AQ884" s="9"/>
      <c r="AR884" s="9"/>
    </row>
    <row r="885">
      <c r="A885" s="585"/>
      <c r="B885" s="585"/>
      <c r="C885" s="585"/>
      <c r="D885" s="585"/>
      <c r="E885" s="585"/>
      <c r="F885" s="585"/>
      <c r="G885" s="585"/>
      <c r="H885" s="585"/>
      <c r="I885" s="585"/>
      <c r="J885" s="585"/>
      <c r="K885" s="585"/>
      <c r="L885" s="585"/>
      <c r="M885" s="585"/>
      <c r="N885" s="585"/>
      <c r="O885" s="585"/>
      <c r="P885" s="585"/>
      <c r="Q885" s="585"/>
      <c r="R885" s="585"/>
      <c r="S885" s="585"/>
      <c r="T885" s="585"/>
      <c r="U885" s="585"/>
      <c r="V885" s="224"/>
      <c r="W885" s="224"/>
      <c r="X885" s="224"/>
      <c r="Y885" s="224"/>
      <c r="Z885" s="868"/>
      <c r="AA885" s="865"/>
      <c r="AB885" s="2"/>
      <c r="AC885" s="2"/>
      <c r="AD885" s="2"/>
      <c r="AE885" s="2"/>
      <c r="AF885" s="2"/>
      <c r="AG885" s="2"/>
      <c r="AH885" s="2"/>
      <c r="AI885" s="2"/>
      <c r="AJ885" s="2"/>
      <c r="AK885" s="2"/>
      <c r="AL885" s="2"/>
      <c r="AM885" s="2"/>
      <c r="AN885" s="2"/>
      <c r="AO885" s="9"/>
      <c r="AP885" s="9"/>
      <c r="AQ885" s="9"/>
      <c r="AR885" s="9"/>
    </row>
    <row r="886">
      <c r="A886" s="585"/>
      <c r="B886" s="585"/>
      <c r="C886" s="585"/>
      <c r="D886" s="585"/>
      <c r="E886" s="585"/>
      <c r="F886" s="585"/>
      <c r="G886" s="585"/>
      <c r="H886" s="585"/>
      <c r="I886" s="585"/>
      <c r="J886" s="585"/>
      <c r="K886" s="585"/>
      <c r="L886" s="585"/>
      <c r="M886" s="585"/>
      <c r="N886" s="585"/>
      <c r="O886" s="585"/>
      <c r="P886" s="585"/>
      <c r="Q886" s="585"/>
      <c r="R886" s="585"/>
      <c r="S886" s="585"/>
      <c r="T886" s="585"/>
      <c r="U886" s="585"/>
      <c r="V886" s="224"/>
      <c r="W886" s="224"/>
      <c r="X886" s="224"/>
      <c r="Y886" s="224"/>
      <c r="Z886" s="868"/>
      <c r="AA886" s="865"/>
      <c r="AB886" s="2"/>
      <c r="AC886" s="2"/>
      <c r="AD886" s="2"/>
      <c r="AE886" s="2"/>
      <c r="AF886" s="2"/>
      <c r="AG886" s="2"/>
      <c r="AH886" s="2"/>
      <c r="AI886" s="2"/>
      <c r="AJ886" s="2"/>
      <c r="AK886" s="2"/>
      <c r="AL886" s="2"/>
      <c r="AM886" s="2"/>
      <c r="AN886" s="2"/>
      <c r="AO886" s="9"/>
      <c r="AP886" s="9"/>
      <c r="AQ886" s="9"/>
      <c r="AR886" s="9"/>
    </row>
    <row r="887">
      <c r="A887" s="585"/>
      <c r="B887" s="585"/>
      <c r="C887" s="585"/>
      <c r="D887" s="585"/>
      <c r="E887" s="585"/>
      <c r="F887" s="585"/>
      <c r="G887" s="585"/>
      <c r="H887" s="585"/>
      <c r="I887" s="585"/>
      <c r="J887" s="585"/>
      <c r="K887" s="585"/>
      <c r="L887" s="585"/>
      <c r="M887" s="585"/>
      <c r="N887" s="585"/>
      <c r="O887" s="585"/>
      <c r="P887" s="585"/>
      <c r="Q887" s="585"/>
      <c r="R887" s="585"/>
      <c r="S887" s="585"/>
      <c r="T887" s="585"/>
      <c r="U887" s="585"/>
      <c r="V887" s="224"/>
      <c r="W887" s="224"/>
      <c r="X887" s="224"/>
      <c r="Y887" s="224"/>
      <c r="Z887" s="868"/>
      <c r="AA887" s="865"/>
      <c r="AB887" s="2"/>
      <c r="AC887" s="2"/>
      <c r="AD887" s="2"/>
      <c r="AE887" s="2"/>
      <c r="AF887" s="2"/>
      <c r="AG887" s="2"/>
      <c r="AH887" s="2"/>
      <c r="AI887" s="2"/>
      <c r="AJ887" s="2"/>
      <c r="AK887" s="2"/>
      <c r="AL887" s="2"/>
      <c r="AM887" s="2"/>
      <c r="AN887" s="2"/>
      <c r="AO887" s="9"/>
      <c r="AP887" s="9"/>
      <c r="AQ887" s="9"/>
      <c r="AR887" s="9"/>
    </row>
    <row r="888">
      <c r="A888" s="585"/>
      <c r="B888" s="585"/>
      <c r="C888" s="585"/>
      <c r="D888" s="585"/>
      <c r="E888" s="585"/>
      <c r="F888" s="585"/>
      <c r="G888" s="585"/>
      <c r="H888" s="585"/>
      <c r="I888" s="585"/>
      <c r="J888" s="585"/>
      <c r="K888" s="585"/>
      <c r="L888" s="585"/>
      <c r="M888" s="585"/>
      <c r="N888" s="585"/>
      <c r="O888" s="585"/>
      <c r="P888" s="585"/>
      <c r="Q888" s="585"/>
      <c r="R888" s="585"/>
      <c r="S888" s="585"/>
      <c r="T888" s="585"/>
      <c r="U888" s="585"/>
      <c r="V888" s="224"/>
      <c r="W888" s="224"/>
      <c r="X888" s="224"/>
      <c r="Y888" s="224"/>
      <c r="Z888" s="868"/>
      <c r="AA888" s="865"/>
      <c r="AB888" s="2"/>
      <c r="AC888" s="2"/>
      <c r="AD888" s="2"/>
      <c r="AE888" s="2"/>
      <c r="AF888" s="2"/>
      <c r="AG888" s="2"/>
      <c r="AH888" s="2"/>
      <c r="AI888" s="2"/>
      <c r="AJ888" s="2"/>
      <c r="AK888" s="2"/>
      <c r="AL888" s="2"/>
      <c r="AM888" s="2"/>
      <c r="AN888" s="2"/>
      <c r="AO888" s="9"/>
      <c r="AP888" s="9"/>
      <c r="AQ888" s="9"/>
      <c r="AR888" s="9"/>
    </row>
    <row r="889">
      <c r="A889" s="585"/>
      <c r="B889" s="585"/>
      <c r="C889" s="585"/>
      <c r="D889" s="585"/>
      <c r="E889" s="585"/>
      <c r="F889" s="585"/>
      <c r="G889" s="585"/>
      <c r="H889" s="585"/>
      <c r="I889" s="585"/>
      <c r="J889" s="585"/>
      <c r="K889" s="585"/>
      <c r="L889" s="585"/>
      <c r="M889" s="585"/>
      <c r="N889" s="585"/>
      <c r="O889" s="585"/>
      <c r="P889" s="585"/>
      <c r="Q889" s="585"/>
      <c r="R889" s="585"/>
      <c r="S889" s="585"/>
      <c r="T889" s="585"/>
      <c r="U889" s="585"/>
      <c r="V889" s="224"/>
      <c r="W889" s="224"/>
      <c r="X889" s="224"/>
      <c r="Y889" s="224"/>
      <c r="Z889" s="868"/>
      <c r="AA889" s="865"/>
      <c r="AB889" s="2"/>
      <c r="AC889" s="2"/>
      <c r="AD889" s="2"/>
      <c r="AE889" s="2"/>
      <c r="AF889" s="2"/>
      <c r="AG889" s="2"/>
      <c r="AH889" s="2"/>
      <c r="AI889" s="2"/>
      <c r="AJ889" s="2"/>
      <c r="AK889" s="2"/>
      <c r="AL889" s="2"/>
      <c r="AM889" s="2"/>
      <c r="AN889" s="2"/>
      <c r="AO889" s="9"/>
      <c r="AP889" s="9"/>
      <c r="AQ889" s="9"/>
      <c r="AR889" s="9"/>
    </row>
    <row r="890">
      <c r="A890" s="585"/>
      <c r="B890" s="585"/>
      <c r="C890" s="585"/>
      <c r="D890" s="585"/>
      <c r="E890" s="585"/>
      <c r="F890" s="585"/>
      <c r="G890" s="585"/>
      <c r="H890" s="585"/>
      <c r="I890" s="585"/>
      <c r="J890" s="585"/>
      <c r="K890" s="585"/>
      <c r="L890" s="585"/>
      <c r="M890" s="585"/>
      <c r="N890" s="585"/>
      <c r="O890" s="585"/>
      <c r="P890" s="585"/>
      <c r="Q890" s="585"/>
      <c r="R890" s="585"/>
      <c r="S890" s="585"/>
      <c r="T890" s="585"/>
      <c r="U890" s="585"/>
      <c r="V890" s="224"/>
      <c r="W890" s="224"/>
      <c r="X890" s="224"/>
      <c r="Y890" s="224"/>
      <c r="Z890" s="868"/>
      <c r="AA890" s="865"/>
      <c r="AB890" s="2"/>
      <c r="AC890" s="2"/>
      <c r="AD890" s="2"/>
      <c r="AE890" s="2"/>
      <c r="AF890" s="2"/>
      <c r="AG890" s="2"/>
      <c r="AH890" s="2"/>
      <c r="AI890" s="2"/>
      <c r="AJ890" s="2"/>
      <c r="AK890" s="2"/>
      <c r="AL890" s="2"/>
      <c r="AM890" s="2"/>
      <c r="AN890" s="2"/>
      <c r="AO890" s="9"/>
      <c r="AP890" s="9"/>
      <c r="AQ890" s="9"/>
      <c r="AR890" s="9"/>
    </row>
    <row r="891">
      <c r="A891" s="585"/>
      <c r="B891" s="585"/>
      <c r="C891" s="585"/>
      <c r="D891" s="585"/>
      <c r="E891" s="585"/>
      <c r="F891" s="585"/>
      <c r="G891" s="585"/>
      <c r="H891" s="585"/>
      <c r="I891" s="585"/>
      <c r="J891" s="585"/>
      <c r="K891" s="585"/>
      <c r="L891" s="585"/>
      <c r="M891" s="585"/>
      <c r="N891" s="585"/>
      <c r="O891" s="585"/>
      <c r="P891" s="585"/>
      <c r="Q891" s="585"/>
      <c r="R891" s="585"/>
      <c r="S891" s="585"/>
      <c r="T891" s="585"/>
      <c r="U891" s="585"/>
      <c r="V891" s="224"/>
      <c r="W891" s="224"/>
      <c r="X891" s="224"/>
      <c r="Y891" s="224"/>
      <c r="Z891" s="868"/>
      <c r="AA891" s="865"/>
      <c r="AB891" s="2"/>
      <c r="AC891" s="2"/>
      <c r="AD891" s="2"/>
      <c r="AE891" s="2"/>
      <c r="AF891" s="2"/>
      <c r="AG891" s="2"/>
      <c r="AH891" s="2"/>
      <c r="AI891" s="2"/>
      <c r="AJ891" s="2"/>
      <c r="AK891" s="2"/>
      <c r="AL891" s="2"/>
      <c r="AM891" s="2"/>
      <c r="AN891" s="2"/>
      <c r="AO891" s="9"/>
      <c r="AP891" s="9"/>
      <c r="AQ891" s="9"/>
      <c r="AR891" s="9"/>
    </row>
    <row r="892">
      <c r="A892" s="585"/>
      <c r="B892" s="585"/>
      <c r="C892" s="585"/>
      <c r="D892" s="585"/>
      <c r="E892" s="585"/>
      <c r="F892" s="585"/>
      <c r="G892" s="585"/>
      <c r="H892" s="585"/>
      <c r="I892" s="585"/>
      <c r="J892" s="585"/>
      <c r="K892" s="585"/>
      <c r="L892" s="585"/>
      <c r="M892" s="585"/>
      <c r="N892" s="585"/>
      <c r="O892" s="585"/>
      <c r="P892" s="585"/>
      <c r="Q892" s="585"/>
      <c r="R892" s="585"/>
      <c r="S892" s="585"/>
      <c r="T892" s="585"/>
      <c r="U892" s="585"/>
      <c r="V892" s="224"/>
      <c r="W892" s="224"/>
      <c r="X892" s="224"/>
      <c r="Y892" s="224"/>
      <c r="Z892" s="868"/>
      <c r="AA892" s="865"/>
      <c r="AB892" s="2"/>
      <c r="AC892" s="2"/>
      <c r="AD892" s="2"/>
      <c r="AE892" s="2"/>
      <c r="AF892" s="2"/>
      <c r="AG892" s="2"/>
      <c r="AH892" s="2"/>
      <c r="AI892" s="2"/>
      <c r="AJ892" s="2"/>
      <c r="AK892" s="2"/>
      <c r="AL892" s="2"/>
      <c r="AM892" s="2"/>
      <c r="AN892" s="2"/>
      <c r="AO892" s="9"/>
      <c r="AP892" s="9"/>
      <c r="AQ892" s="9"/>
      <c r="AR892" s="9"/>
    </row>
    <row r="893">
      <c r="A893" s="585"/>
      <c r="B893" s="585"/>
      <c r="C893" s="585"/>
      <c r="D893" s="585"/>
      <c r="E893" s="585"/>
      <c r="F893" s="585"/>
      <c r="G893" s="585"/>
      <c r="H893" s="585"/>
      <c r="I893" s="585"/>
      <c r="J893" s="585"/>
      <c r="K893" s="585"/>
      <c r="L893" s="585"/>
      <c r="M893" s="585"/>
      <c r="N893" s="585"/>
      <c r="O893" s="585"/>
      <c r="P893" s="585"/>
      <c r="Q893" s="585"/>
      <c r="R893" s="585"/>
      <c r="S893" s="585"/>
      <c r="T893" s="585"/>
      <c r="U893" s="585"/>
      <c r="V893" s="224"/>
      <c r="W893" s="224"/>
      <c r="X893" s="224"/>
      <c r="Y893" s="224"/>
      <c r="Z893" s="868"/>
      <c r="AA893" s="865"/>
      <c r="AB893" s="2"/>
      <c r="AC893" s="2"/>
      <c r="AD893" s="2"/>
      <c r="AE893" s="2"/>
      <c r="AF893" s="2"/>
      <c r="AG893" s="2"/>
      <c r="AH893" s="2"/>
      <c r="AI893" s="2"/>
      <c r="AJ893" s="2"/>
      <c r="AK893" s="2"/>
      <c r="AL893" s="2"/>
      <c r="AM893" s="2"/>
      <c r="AN893" s="2"/>
      <c r="AO893" s="9"/>
      <c r="AP893" s="9"/>
      <c r="AQ893" s="9"/>
      <c r="AR893" s="9"/>
    </row>
    <row r="894">
      <c r="A894" s="585"/>
      <c r="B894" s="585"/>
      <c r="C894" s="585"/>
      <c r="D894" s="585"/>
      <c r="E894" s="585"/>
      <c r="F894" s="585"/>
      <c r="G894" s="585"/>
      <c r="H894" s="585"/>
      <c r="I894" s="585"/>
      <c r="J894" s="585"/>
      <c r="K894" s="585"/>
      <c r="L894" s="585"/>
      <c r="M894" s="585"/>
      <c r="N894" s="585"/>
      <c r="O894" s="585"/>
      <c r="P894" s="585"/>
      <c r="Q894" s="585"/>
      <c r="R894" s="585"/>
      <c r="S894" s="585"/>
      <c r="T894" s="585"/>
      <c r="U894" s="585"/>
      <c r="V894" s="224"/>
      <c r="W894" s="224"/>
      <c r="X894" s="224"/>
      <c r="Y894" s="224"/>
      <c r="Z894" s="868"/>
      <c r="AA894" s="865"/>
      <c r="AB894" s="2"/>
      <c r="AC894" s="2"/>
      <c r="AD894" s="2"/>
      <c r="AE894" s="2"/>
      <c r="AF894" s="2"/>
      <c r="AG894" s="2"/>
      <c r="AH894" s="2"/>
      <c r="AI894" s="2"/>
      <c r="AJ894" s="2"/>
      <c r="AK894" s="2"/>
      <c r="AL894" s="2"/>
      <c r="AM894" s="2"/>
      <c r="AN894" s="2"/>
      <c r="AO894" s="9"/>
      <c r="AP894" s="9"/>
      <c r="AQ894" s="9"/>
      <c r="AR894" s="9"/>
    </row>
    <row r="895">
      <c r="A895" s="585"/>
      <c r="B895" s="585"/>
      <c r="C895" s="585"/>
      <c r="D895" s="585"/>
      <c r="E895" s="585"/>
      <c r="F895" s="585"/>
      <c r="G895" s="585"/>
      <c r="H895" s="585"/>
      <c r="I895" s="585"/>
      <c r="J895" s="585"/>
      <c r="K895" s="585"/>
      <c r="L895" s="585"/>
      <c r="M895" s="585"/>
      <c r="N895" s="585"/>
      <c r="O895" s="585"/>
      <c r="P895" s="585"/>
      <c r="Q895" s="585"/>
      <c r="R895" s="585"/>
      <c r="S895" s="585"/>
      <c r="T895" s="585"/>
      <c r="U895" s="585"/>
      <c r="V895" s="224"/>
      <c r="W895" s="224"/>
      <c r="X895" s="224"/>
      <c r="Y895" s="224"/>
      <c r="Z895" s="868"/>
      <c r="AA895" s="865"/>
      <c r="AB895" s="2"/>
      <c r="AC895" s="2"/>
      <c r="AD895" s="2"/>
      <c r="AE895" s="2"/>
      <c r="AF895" s="2"/>
      <c r="AG895" s="2"/>
      <c r="AH895" s="2"/>
      <c r="AI895" s="2"/>
      <c r="AJ895" s="2"/>
      <c r="AK895" s="2"/>
      <c r="AL895" s="2"/>
      <c r="AM895" s="2"/>
      <c r="AN895" s="2"/>
      <c r="AO895" s="9"/>
      <c r="AP895" s="9"/>
      <c r="AQ895" s="9"/>
      <c r="AR895" s="9"/>
    </row>
    <row r="896">
      <c r="A896" s="585"/>
      <c r="B896" s="585"/>
      <c r="C896" s="585"/>
      <c r="D896" s="585"/>
      <c r="E896" s="585"/>
      <c r="F896" s="585"/>
      <c r="G896" s="585"/>
      <c r="H896" s="585"/>
      <c r="I896" s="585"/>
      <c r="J896" s="585"/>
      <c r="K896" s="585"/>
      <c r="L896" s="585"/>
      <c r="M896" s="585"/>
      <c r="N896" s="585"/>
      <c r="O896" s="585"/>
      <c r="P896" s="585"/>
      <c r="Q896" s="585"/>
      <c r="R896" s="585"/>
      <c r="S896" s="585"/>
      <c r="T896" s="585"/>
      <c r="U896" s="585"/>
      <c r="V896" s="224"/>
      <c r="W896" s="224"/>
      <c r="X896" s="224"/>
      <c r="Y896" s="224"/>
      <c r="Z896" s="868"/>
      <c r="AA896" s="865"/>
      <c r="AB896" s="2"/>
      <c r="AC896" s="2"/>
      <c r="AD896" s="2"/>
      <c r="AE896" s="2"/>
      <c r="AF896" s="2"/>
      <c r="AG896" s="2"/>
      <c r="AH896" s="2"/>
      <c r="AI896" s="2"/>
      <c r="AJ896" s="2"/>
      <c r="AK896" s="2"/>
      <c r="AL896" s="2"/>
      <c r="AM896" s="2"/>
      <c r="AN896" s="2"/>
      <c r="AO896" s="9"/>
      <c r="AP896" s="9"/>
      <c r="AQ896" s="9"/>
      <c r="AR896" s="9"/>
    </row>
    <row r="897">
      <c r="A897" s="585"/>
      <c r="B897" s="585"/>
      <c r="C897" s="585"/>
      <c r="D897" s="585"/>
      <c r="E897" s="585"/>
      <c r="F897" s="585"/>
      <c r="G897" s="585"/>
      <c r="H897" s="585"/>
      <c r="I897" s="585"/>
      <c r="J897" s="585"/>
      <c r="K897" s="585"/>
      <c r="L897" s="585"/>
      <c r="M897" s="585"/>
      <c r="N897" s="585"/>
      <c r="O897" s="585"/>
      <c r="P897" s="585"/>
      <c r="Q897" s="585"/>
      <c r="R897" s="585"/>
      <c r="S897" s="585"/>
      <c r="T897" s="585"/>
      <c r="U897" s="585"/>
      <c r="V897" s="224"/>
      <c r="W897" s="224"/>
      <c r="X897" s="224"/>
      <c r="Y897" s="224"/>
      <c r="Z897" s="868"/>
      <c r="AA897" s="865"/>
      <c r="AB897" s="2"/>
      <c r="AC897" s="2"/>
      <c r="AD897" s="2"/>
      <c r="AE897" s="2"/>
      <c r="AF897" s="2"/>
      <c r="AG897" s="2"/>
      <c r="AH897" s="2"/>
      <c r="AI897" s="2"/>
      <c r="AJ897" s="2"/>
      <c r="AK897" s="2"/>
      <c r="AL897" s="2"/>
      <c r="AM897" s="2"/>
      <c r="AN897" s="2"/>
      <c r="AO897" s="9"/>
      <c r="AP897" s="9"/>
      <c r="AQ897" s="9"/>
      <c r="AR897" s="9"/>
    </row>
    <row r="898">
      <c r="A898" s="585"/>
      <c r="B898" s="585"/>
      <c r="C898" s="585"/>
      <c r="D898" s="585"/>
      <c r="E898" s="585"/>
      <c r="F898" s="585"/>
      <c r="G898" s="585"/>
      <c r="H898" s="585"/>
      <c r="I898" s="585"/>
      <c r="J898" s="585"/>
      <c r="K898" s="585"/>
      <c r="L898" s="585"/>
      <c r="M898" s="585"/>
      <c r="N898" s="585"/>
      <c r="O898" s="585"/>
      <c r="P898" s="585"/>
      <c r="Q898" s="585"/>
      <c r="R898" s="585"/>
      <c r="S898" s="585"/>
      <c r="T898" s="585"/>
      <c r="U898" s="585"/>
      <c r="V898" s="224"/>
      <c r="W898" s="224"/>
      <c r="X898" s="224"/>
      <c r="Y898" s="224"/>
      <c r="Z898" s="868"/>
      <c r="AA898" s="865"/>
      <c r="AB898" s="2"/>
      <c r="AC898" s="2"/>
      <c r="AD898" s="2"/>
      <c r="AE898" s="2"/>
      <c r="AF898" s="2"/>
      <c r="AG898" s="2"/>
      <c r="AH898" s="2"/>
      <c r="AI898" s="2"/>
      <c r="AJ898" s="2"/>
      <c r="AK898" s="2"/>
      <c r="AL898" s="2"/>
      <c r="AM898" s="2"/>
      <c r="AN898" s="2"/>
      <c r="AO898" s="9"/>
      <c r="AP898" s="9"/>
      <c r="AQ898" s="9"/>
      <c r="AR898" s="9"/>
    </row>
    <row r="899">
      <c r="A899" s="585"/>
      <c r="B899" s="585"/>
      <c r="C899" s="585"/>
      <c r="D899" s="585"/>
      <c r="E899" s="585"/>
      <c r="F899" s="585"/>
      <c r="G899" s="585"/>
      <c r="H899" s="585"/>
      <c r="I899" s="585"/>
      <c r="J899" s="585"/>
      <c r="K899" s="585"/>
      <c r="L899" s="585"/>
      <c r="M899" s="585"/>
      <c r="N899" s="585"/>
      <c r="O899" s="585"/>
      <c r="P899" s="585"/>
      <c r="Q899" s="585"/>
      <c r="R899" s="585"/>
      <c r="S899" s="585"/>
      <c r="T899" s="585"/>
      <c r="U899" s="585"/>
      <c r="V899" s="224"/>
      <c r="W899" s="224"/>
      <c r="X899" s="224"/>
      <c r="Y899" s="224"/>
      <c r="Z899" s="868"/>
      <c r="AA899" s="865"/>
      <c r="AB899" s="2"/>
      <c r="AC899" s="2"/>
      <c r="AD899" s="2"/>
      <c r="AE899" s="2"/>
      <c r="AF899" s="2"/>
      <c r="AG899" s="2"/>
      <c r="AH899" s="2"/>
      <c r="AI899" s="2"/>
      <c r="AJ899" s="2"/>
      <c r="AK899" s="2"/>
      <c r="AL899" s="2"/>
      <c r="AM899" s="2"/>
      <c r="AN899" s="2"/>
      <c r="AO899" s="9"/>
      <c r="AP899" s="9"/>
      <c r="AQ899" s="9"/>
      <c r="AR899" s="9"/>
    </row>
    <row r="900">
      <c r="A900" s="585"/>
      <c r="B900" s="585"/>
      <c r="C900" s="585"/>
      <c r="D900" s="585"/>
      <c r="E900" s="585"/>
      <c r="F900" s="585"/>
      <c r="G900" s="585"/>
      <c r="H900" s="585"/>
      <c r="I900" s="585"/>
      <c r="J900" s="585"/>
      <c r="K900" s="585"/>
      <c r="L900" s="585"/>
      <c r="M900" s="585"/>
      <c r="N900" s="585"/>
      <c r="O900" s="585"/>
      <c r="P900" s="585"/>
      <c r="Q900" s="585"/>
      <c r="R900" s="585"/>
      <c r="S900" s="585"/>
      <c r="T900" s="585"/>
      <c r="U900" s="585"/>
      <c r="V900" s="224"/>
      <c r="W900" s="224"/>
      <c r="X900" s="224"/>
      <c r="Y900" s="224"/>
      <c r="Z900" s="868"/>
      <c r="AA900" s="865"/>
      <c r="AB900" s="2"/>
      <c r="AC900" s="2"/>
      <c r="AD900" s="2"/>
      <c r="AE900" s="2"/>
      <c r="AF900" s="2"/>
      <c r="AG900" s="2"/>
      <c r="AH900" s="2"/>
      <c r="AI900" s="2"/>
      <c r="AJ900" s="2"/>
      <c r="AK900" s="2"/>
      <c r="AL900" s="2"/>
      <c r="AM900" s="2"/>
      <c r="AN900" s="2"/>
      <c r="AO900" s="9"/>
      <c r="AP900" s="9"/>
      <c r="AQ900" s="9"/>
      <c r="AR900" s="9"/>
    </row>
    <row r="901">
      <c r="A901" s="585"/>
      <c r="B901" s="585"/>
      <c r="C901" s="585"/>
      <c r="D901" s="585"/>
      <c r="E901" s="585"/>
      <c r="F901" s="585"/>
      <c r="G901" s="585"/>
      <c r="H901" s="585"/>
      <c r="I901" s="585"/>
      <c r="J901" s="585"/>
      <c r="K901" s="585"/>
      <c r="L901" s="585"/>
      <c r="M901" s="585"/>
      <c r="N901" s="585"/>
      <c r="O901" s="585"/>
      <c r="P901" s="585"/>
      <c r="Q901" s="585"/>
      <c r="R901" s="585"/>
      <c r="S901" s="585"/>
      <c r="T901" s="585"/>
      <c r="U901" s="585"/>
      <c r="V901" s="224"/>
      <c r="W901" s="224"/>
      <c r="X901" s="224"/>
      <c r="Y901" s="224"/>
      <c r="Z901" s="868"/>
      <c r="AA901" s="865"/>
      <c r="AB901" s="2"/>
      <c r="AC901" s="2"/>
      <c r="AD901" s="2"/>
      <c r="AE901" s="2"/>
      <c r="AF901" s="2"/>
      <c r="AG901" s="2"/>
      <c r="AH901" s="2"/>
      <c r="AI901" s="2"/>
      <c r="AJ901" s="2"/>
      <c r="AK901" s="2"/>
      <c r="AL901" s="2"/>
      <c r="AM901" s="2"/>
      <c r="AN901" s="2"/>
      <c r="AO901" s="9"/>
      <c r="AP901" s="9"/>
      <c r="AQ901" s="9"/>
      <c r="AR901" s="9"/>
    </row>
    <row r="902">
      <c r="A902" s="585"/>
      <c r="B902" s="585"/>
      <c r="C902" s="585"/>
      <c r="D902" s="585"/>
      <c r="E902" s="585"/>
      <c r="F902" s="585"/>
      <c r="G902" s="585"/>
      <c r="H902" s="585"/>
      <c r="I902" s="585"/>
      <c r="J902" s="585"/>
      <c r="K902" s="585"/>
      <c r="L902" s="585"/>
      <c r="M902" s="585"/>
      <c r="N902" s="585"/>
      <c r="O902" s="585"/>
      <c r="P902" s="585"/>
      <c r="Q902" s="585"/>
      <c r="R902" s="585"/>
      <c r="S902" s="585"/>
      <c r="T902" s="585"/>
      <c r="U902" s="585"/>
      <c r="V902" s="224"/>
      <c r="W902" s="224"/>
      <c r="X902" s="224"/>
      <c r="Y902" s="224"/>
      <c r="Z902" s="868"/>
      <c r="AA902" s="865"/>
      <c r="AB902" s="2"/>
      <c r="AC902" s="2"/>
      <c r="AD902" s="2"/>
      <c r="AE902" s="2"/>
      <c r="AF902" s="2"/>
      <c r="AG902" s="2"/>
      <c r="AH902" s="2"/>
      <c r="AI902" s="2"/>
      <c r="AJ902" s="2"/>
      <c r="AK902" s="2"/>
      <c r="AL902" s="2"/>
      <c r="AM902" s="2"/>
      <c r="AN902" s="2"/>
      <c r="AO902" s="9"/>
      <c r="AP902" s="9"/>
      <c r="AQ902" s="9"/>
      <c r="AR902" s="9"/>
    </row>
    <row r="903">
      <c r="A903" s="585"/>
      <c r="B903" s="585"/>
      <c r="C903" s="585"/>
      <c r="D903" s="585"/>
      <c r="E903" s="585"/>
      <c r="F903" s="585"/>
      <c r="G903" s="585"/>
      <c r="H903" s="585"/>
      <c r="I903" s="585"/>
      <c r="J903" s="585"/>
      <c r="K903" s="585"/>
      <c r="L903" s="585"/>
      <c r="M903" s="585"/>
      <c r="N903" s="585"/>
      <c r="O903" s="585"/>
      <c r="P903" s="585"/>
      <c r="Q903" s="585"/>
      <c r="R903" s="585"/>
      <c r="S903" s="585"/>
      <c r="T903" s="585"/>
      <c r="U903" s="585"/>
      <c r="V903" s="224"/>
      <c r="W903" s="224"/>
      <c r="X903" s="224"/>
      <c r="Y903" s="224"/>
      <c r="Z903" s="868"/>
      <c r="AA903" s="865"/>
      <c r="AB903" s="2"/>
      <c r="AC903" s="2"/>
      <c r="AD903" s="2"/>
      <c r="AE903" s="2"/>
      <c r="AF903" s="2"/>
      <c r="AG903" s="2"/>
      <c r="AH903" s="2"/>
      <c r="AI903" s="2"/>
      <c r="AJ903" s="2"/>
      <c r="AK903" s="2"/>
      <c r="AL903" s="2"/>
      <c r="AM903" s="2"/>
      <c r="AN903" s="2"/>
      <c r="AO903" s="9"/>
      <c r="AP903" s="9"/>
      <c r="AQ903" s="9"/>
      <c r="AR903" s="9"/>
    </row>
    <row r="904">
      <c r="A904" s="585"/>
      <c r="B904" s="585"/>
      <c r="C904" s="585"/>
      <c r="D904" s="585"/>
      <c r="E904" s="585"/>
      <c r="F904" s="585"/>
      <c r="G904" s="585"/>
      <c r="H904" s="585"/>
      <c r="I904" s="585"/>
      <c r="J904" s="585"/>
      <c r="K904" s="585"/>
      <c r="L904" s="585"/>
      <c r="M904" s="585"/>
      <c r="N904" s="585"/>
      <c r="O904" s="585"/>
      <c r="P904" s="585"/>
      <c r="Q904" s="585"/>
      <c r="R904" s="585"/>
      <c r="S904" s="585"/>
      <c r="T904" s="585"/>
      <c r="U904" s="585"/>
      <c r="V904" s="224"/>
      <c r="W904" s="224"/>
      <c r="X904" s="224"/>
      <c r="Y904" s="224"/>
      <c r="Z904" s="868"/>
      <c r="AA904" s="865"/>
      <c r="AB904" s="2"/>
      <c r="AC904" s="2"/>
      <c r="AD904" s="2"/>
      <c r="AE904" s="2"/>
      <c r="AF904" s="2"/>
      <c r="AG904" s="2"/>
      <c r="AH904" s="2"/>
      <c r="AI904" s="2"/>
      <c r="AJ904" s="2"/>
      <c r="AK904" s="2"/>
      <c r="AL904" s="2"/>
      <c r="AM904" s="2"/>
      <c r="AN904" s="2"/>
      <c r="AO904" s="9"/>
      <c r="AP904" s="9"/>
      <c r="AQ904" s="9"/>
      <c r="AR904" s="9"/>
    </row>
    <row r="905">
      <c r="A905" s="585"/>
      <c r="B905" s="585"/>
      <c r="C905" s="585"/>
      <c r="D905" s="585"/>
      <c r="E905" s="585"/>
      <c r="F905" s="585"/>
      <c r="G905" s="585"/>
      <c r="H905" s="585"/>
      <c r="I905" s="585"/>
      <c r="J905" s="585"/>
      <c r="K905" s="585"/>
      <c r="L905" s="585"/>
      <c r="M905" s="585"/>
      <c r="N905" s="585"/>
      <c r="O905" s="585"/>
      <c r="P905" s="585"/>
      <c r="Q905" s="585"/>
      <c r="R905" s="585"/>
      <c r="S905" s="585"/>
      <c r="T905" s="585"/>
      <c r="U905" s="585"/>
      <c r="V905" s="224"/>
      <c r="W905" s="224"/>
      <c r="X905" s="224"/>
      <c r="Y905" s="224"/>
      <c r="Z905" s="868"/>
      <c r="AA905" s="865"/>
      <c r="AB905" s="2"/>
      <c r="AC905" s="2"/>
      <c r="AD905" s="2"/>
      <c r="AE905" s="2"/>
      <c r="AF905" s="2"/>
      <c r="AG905" s="2"/>
      <c r="AH905" s="2"/>
      <c r="AI905" s="2"/>
      <c r="AJ905" s="2"/>
      <c r="AK905" s="2"/>
      <c r="AL905" s="2"/>
      <c r="AM905" s="2"/>
      <c r="AN905" s="2"/>
      <c r="AO905" s="9"/>
      <c r="AP905" s="9"/>
      <c r="AQ905" s="9"/>
      <c r="AR905" s="9"/>
    </row>
    <row r="906">
      <c r="A906" s="585"/>
      <c r="B906" s="585"/>
      <c r="C906" s="585"/>
      <c r="D906" s="585"/>
      <c r="E906" s="585"/>
      <c r="F906" s="585"/>
      <c r="G906" s="585"/>
      <c r="H906" s="585"/>
      <c r="I906" s="585"/>
      <c r="J906" s="585"/>
      <c r="K906" s="585"/>
      <c r="L906" s="585"/>
      <c r="M906" s="585"/>
      <c r="N906" s="585"/>
      <c r="O906" s="585"/>
      <c r="P906" s="585"/>
      <c r="Q906" s="585"/>
      <c r="R906" s="585"/>
      <c r="S906" s="585"/>
      <c r="T906" s="585"/>
      <c r="U906" s="585"/>
      <c r="V906" s="224"/>
      <c r="W906" s="224"/>
      <c r="X906" s="224"/>
      <c r="Y906" s="224"/>
      <c r="Z906" s="868"/>
      <c r="AA906" s="865"/>
      <c r="AB906" s="2"/>
      <c r="AC906" s="2"/>
      <c r="AD906" s="2"/>
      <c r="AE906" s="2"/>
      <c r="AF906" s="2"/>
      <c r="AG906" s="2"/>
      <c r="AH906" s="2"/>
      <c r="AI906" s="2"/>
      <c r="AJ906" s="2"/>
      <c r="AK906" s="2"/>
      <c r="AL906" s="2"/>
      <c r="AM906" s="2"/>
      <c r="AN906" s="2"/>
      <c r="AO906" s="9"/>
      <c r="AP906" s="9"/>
      <c r="AQ906" s="9"/>
      <c r="AR906" s="9"/>
    </row>
    <row r="907">
      <c r="A907" s="585"/>
      <c r="B907" s="585"/>
      <c r="C907" s="585"/>
      <c r="D907" s="585"/>
      <c r="E907" s="585"/>
      <c r="F907" s="585"/>
      <c r="G907" s="585"/>
      <c r="H907" s="585"/>
      <c r="I907" s="585"/>
      <c r="J907" s="585"/>
      <c r="K907" s="585"/>
      <c r="L907" s="585"/>
      <c r="M907" s="585"/>
      <c r="N907" s="585"/>
      <c r="O907" s="585"/>
      <c r="P907" s="585"/>
      <c r="Q907" s="585"/>
      <c r="R907" s="585"/>
      <c r="S907" s="585"/>
      <c r="T907" s="585"/>
      <c r="U907" s="585"/>
      <c r="V907" s="224"/>
      <c r="W907" s="224"/>
      <c r="X907" s="224"/>
      <c r="Y907" s="224"/>
      <c r="Z907" s="868"/>
      <c r="AA907" s="865"/>
      <c r="AB907" s="2"/>
      <c r="AC907" s="2"/>
      <c r="AD907" s="2"/>
      <c r="AE907" s="2"/>
      <c r="AF907" s="2"/>
      <c r="AG907" s="2"/>
      <c r="AH907" s="2"/>
      <c r="AI907" s="2"/>
      <c r="AJ907" s="2"/>
      <c r="AK907" s="2"/>
      <c r="AL907" s="2"/>
      <c r="AM907" s="2"/>
      <c r="AN907" s="2"/>
      <c r="AO907" s="9"/>
      <c r="AP907" s="9"/>
      <c r="AQ907" s="9"/>
      <c r="AR907" s="9"/>
    </row>
    <row r="908">
      <c r="A908" s="585"/>
      <c r="B908" s="585"/>
      <c r="C908" s="585"/>
      <c r="D908" s="585"/>
      <c r="E908" s="585"/>
      <c r="F908" s="585"/>
      <c r="G908" s="585"/>
      <c r="H908" s="585"/>
      <c r="I908" s="585"/>
      <c r="J908" s="585"/>
      <c r="K908" s="585"/>
      <c r="L908" s="585"/>
      <c r="M908" s="585"/>
      <c r="N908" s="585"/>
      <c r="O908" s="585"/>
      <c r="P908" s="585"/>
      <c r="Q908" s="585"/>
      <c r="R908" s="585"/>
      <c r="S908" s="585"/>
      <c r="T908" s="585"/>
      <c r="U908" s="585"/>
      <c r="V908" s="224"/>
      <c r="W908" s="224"/>
      <c r="X908" s="224"/>
      <c r="Y908" s="224"/>
      <c r="Z908" s="868"/>
      <c r="AA908" s="865"/>
      <c r="AB908" s="2"/>
      <c r="AC908" s="2"/>
      <c r="AD908" s="2"/>
      <c r="AE908" s="2"/>
      <c r="AF908" s="2"/>
      <c r="AG908" s="2"/>
      <c r="AH908" s="2"/>
      <c r="AI908" s="2"/>
      <c r="AJ908" s="2"/>
      <c r="AK908" s="2"/>
      <c r="AL908" s="2"/>
      <c r="AM908" s="2"/>
      <c r="AN908" s="2"/>
      <c r="AO908" s="9"/>
      <c r="AP908" s="9"/>
      <c r="AQ908" s="9"/>
      <c r="AR908" s="9"/>
    </row>
    <row r="909">
      <c r="A909" s="585"/>
      <c r="B909" s="585"/>
      <c r="C909" s="585"/>
      <c r="D909" s="585"/>
      <c r="E909" s="585"/>
      <c r="F909" s="585"/>
      <c r="G909" s="585"/>
      <c r="H909" s="585"/>
      <c r="I909" s="585"/>
      <c r="J909" s="585"/>
      <c r="K909" s="585"/>
      <c r="L909" s="585"/>
      <c r="M909" s="585"/>
      <c r="N909" s="585"/>
      <c r="O909" s="585"/>
      <c r="P909" s="585"/>
      <c r="Q909" s="585"/>
      <c r="R909" s="585"/>
      <c r="S909" s="585"/>
      <c r="T909" s="585"/>
      <c r="U909" s="585"/>
      <c r="V909" s="224"/>
      <c r="W909" s="224"/>
      <c r="X909" s="224"/>
      <c r="Y909" s="224"/>
      <c r="Z909" s="868"/>
      <c r="AA909" s="865"/>
      <c r="AB909" s="2"/>
      <c r="AC909" s="2"/>
      <c r="AD909" s="2"/>
      <c r="AE909" s="2"/>
      <c r="AF909" s="2"/>
      <c r="AG909" s="2"/>
      <c r="AH909" s="2"/>
      <c r="AI909" s="2"/>
      <c r="AJ909" s="2"/>
      <c r="AK909" s="2"/>
      <c r="AL909" s="2"/>
      <c r="AM909" s="2"/>
      <c r="AN909" s="2"/>
      <c r="AO909" s="9"/>
      <c r="AP909" s="9"/>
      <c r="AQ909" s="9"/>
      <c r="AR909" s="9"/>
    </row>
    <row r="910">
      <c r="A910" s="585"/>
      <c r="B910" s="585"/>
      <c r="C910" s="585"/>
      <c r="D910" s="585"/>
      <c r="E910" s="585"/>
      <c r="F910" s="585"/>
      <c r="G910" s="585"/>
      <c r="H910" s="585"/>
      <c r="I910" s="585"/>
      <c r="J910" s="585"/>
      <c r="K910" s="585"/>
      <c r="L910" s="585"/>
      <c r="M910" s="585"/>
      <c r="N910" s="585"/>
      <c r="O910" s="585"/>
      <c r="P910" s="585"/>
      <c r="Q910" s="585"/>
      <c r="R910" s="585"/>
      <c r="S910" s="585"/>
      <c r="T910" s="585"/>
      <c r="U910" s="585"/>
      <c r="V910" s="224"/>
      <c r="W910" s="224"/>
      <c r="X910" s="224"/>
      <c r="Y910" s="224"/>
      <c r="Z910" s="868"/>
      <c r="AA910" s="865"/>
      <c r="AB910" s="2"/>
      <c r="AC910" s="2"/>
      <c r="AD910" s="2"/>
      <c r="AE910" s="2"/>
      <c r="AF910" s="2"/>
      <c r="AG910" s="2"/>
      <c r="AH910" s="2"/>
      <c r="AI910" s="2"/>
      <c r="AJ910" s="2"/>
      <c r="AK910" s="2"/>
      <c r="AL910" s="2"/>
      <c r="AM910" s="2"/>
      <c r="AN910" s="2"/>
      <c r="AO910" s="9"/>
      <c r="AP910" s="9"/>
      <c r="AQ910" s="9"/>
      <c r="AR910" s="9"/>
    </row>
    <row r="911">
      <c r="A911" s="585"/>
      <c r="B911" s="585"/>
      <c r="C911" s="585"/>
      <c r="D911" s="585"/>
      <c r="E911" s="585"/>
      <c r="F911" s="585"/>
      <c r="G911" s="585"/>
      <c r="H911" s="585"/>
      <c r="I911" s="585"/>
      <c r="J911" s="585"/>
      <c r="K911" s="585"/>
      <c r="L911" s="585"/>
      <c r="M911" s="585"/>
      <c r="N911" s="585"/>
      <c r="O911" s="585"/>
      <c r="P911" s="585"/>
      <c r="Q911" s="585"/>
      <c r="R911" s="585"/>
      <c r="S911" s="585"/>
      <c r="T911" s="585"/>
      <c r="U911" s="585"/>
      <c r="V911" s="224"/>
      <c r="W911" s="224"/>
      <c r="X911" s="224"/>
      <c r="Y911" s="224"/>
      <c r="Z911" s="868"/>
      <c r="AA911" s="865"/>
      <c r="AB911" s="2"/>
      <c r="AC911" s="2"/>
      <c r="AD911" s="2"/>
      <c r="AE911" s="2"/>
      <c r="AF911" s="2"/>
      <c r="AG911" s="2"/>
      <c r="AH911" s="2"/>
      <c r="AI911" s="2"/>
      <c r="AJ911" s="2"/>
      <c r="AK911" s="2"/>
      <c r="AL911" s="2"/>
      <c r="AM911" s="2"/>
      <c r="AN911" s="2"/>
      <c r="AO911" s="9"/>
      <c r="AP911" s="9"/>
      <c r="AQ911" s="9"/>
      <c r="AR911" s="9"/>
    </row>
    <row r="912">
      <c r="A912" s="585"/>
      <c r="B912" s="585"/>
      <c r="C912" s="585"/>
      <c r="D912" s="585"/>
      <c r="E912" s="585"/>
      <c r="F912" s="585"/>
      <c r="G912" s="585"/>
      <c r="H912" s="585"/>
      <c r="I912" s="585"/>
      <c r="J912" s="585"/>
      <c r="K912" s="585"/>
      <c r="L912" s="585"/>
      <c r="M912" s="585"/>
      <c r="N912" s="585"/>
      <c r="O912" s="585"/>
      <c r="P912" s="585"/>
      <c r="Q912" s="585"/>
      <c r="R912" s="585"/>
      <c r="S912" s="585"/>
      <c r="T912" s="585"/>
      <c r="U912" s="585"/>
      <c r="V912" s="224"/>
      <c r="W912" s="224"/>
      <c r="X912" s="224"/>
      <c r="Y912" s="224"/>
      <c r="Z912" s="868"/>
      <c r="AA912" s="865"/>
      <c r="AB912" s="2"/>
      <c r="AC912" s="2"/>
      <c r="AD912" s="2"/>
      <c r="AE912" s="2"/>
      <c r="AF912" s="2"/>
      <c r="AG912" s="2"/>
      <c r="AH912" s="2"/>
      <c r="AI912" s="2"/>
      <c r="AJ912" s="2"/>
      <c r="AK912" s="2"/>
      <c r="AL912" s="2"/>
      <c r="AM912" s="2"/>
      <c r="AN912" s="2"/>
      <c r="AO912" s="9"/>
      <c r="AP912" s="9"/>
      <c r="AQ912" s="9"/>
      <c r="AR912" s="9"/>
    </row>
    <row r="913">
      <c r="A913" s="585"/>
      <c r="B913" s="585"/>
      <c r="C913" s="585"/>
      <c r="D913" s="585"/>
      <c r="E913" s="585"/>
      <c r="F913" s="585"/>
      <c r="G913" s="585"/>
      <c r="H913" s="585"/>
      <c r="I913" s="585"/>
      <c r="J913" s="585"/>
      <c r="K913" s="585"/>
      <c r="L913" s="585"/>
      <c r="M913" s="585"/>
      <c r="N913" s="585"/>
      <c r="O913" s="585"/>
      <c r="P913" s="585"/>
      <c r="Q913" s="585"/>
      <c r="R913" s="585"/>
      <c r="S913" s="585"/>
      <c r="T913" s="585"/>
      <c r="U913" s="585"/>
      <c r="V913" s="224"/>
      <c r="W913" s="224"/>
      <c r="X913" s="224"/>
      <c r="Y913" s="224"/>
      <c r="Z913" s="868"/>
      <c r="AA913" s="865"/>
      <c r="AB913" s="2"/>
      <c r="AC913" s="2"/>
      <c r="AD913" s="2"/>
      <c r="AE913" s="2"/>
      <c r="AF913" s="2"/>
      <c r="AG913" s="2"/>
      <c r="AH913" s="2"/>
      <c r="AI913" s="2"/>
      <c r="AJ913" s="2"/>
      <c r="AK913" s="2"/>
      <c r="AL913" s="2"/>
      <c r="AM913" s="2"/>
      <c r="AN913" s="2"/>
      <c r="AO913" s="9"/>
      <c r="AP913" s="9"/>
      <c r="AQ913" s="9"/>
      <c r="AR913" s="9"/>
    </row>
    <row r="914">
      <c r="A914" s="585"/>
      <c r="B914" s="585"/>
      <c r="C914" s="585"/>
      <c r="D914" s="585"/>
      <c r="E914" s="585"/>
      <c r="F914" s="585"/>
      <c r="G914" s="585"/>
      <c r="H914" s="585"/>
      <c r="I914" s="585"/>
      <c r="J914" s="585"/>
      <c r="K914" s="585"/>
      <c r="L914" s="585"/>
      <c r="M914" s="585"/>
      <c r="N914" s="585"/>
      <c r="O914" s="585"/>
      <c r="P914" s="585"/>
      <c r="Q914" s="585"/>
      <c r="R914" s="585"/>
      <c r="S914" s="585"/>
      <c r="T914" s="585"/>
      <c r="U914" s="585"/>
      <c r="V914" s="224"/>
      <c r="W914" s="224"/>
      <c r="X914" s="224"/>
      <c r="Y914" s="224"/>
      <c r="Z914" s="868"/>
      <c r="AA914" s="865"/>
      <c r="AB914" s="2"/>
      <c r="AC914" s="2"/>
      <c r="AD914" s="2"/>
      <c r="AE914" s="2"/>
      <c r="AF914" s="2"/>
      <c r="AG914" s="2"/>
      <c r="AH914" s="2"/>
      <c r="AI914" s="2"/>
      <c r="AJ914" s="2"/>
      <c r="AK914" s="2"/>
      <c r="AL914" s="2"/>
      <c r="AM914" s="2"/>
      <c r="AN914" s="2"/>
      <c r="AO914" s="9"/>
      <c r="AP914" s="9"/>
      <c r="AQ914" s="9"/>
      <c r="AR914" s="9"/>
    </row>
    <row r="915">
      <c r="A915" s="585"/>
      <c r="B915" s="585"/>
      <c r="C915" s="585"/>
      <c r="D915" s="585"/>
      <c r="E915" s="585"/>
      <c r="F915" s="585"/>
      <c r="G915" s="585"/>
      <c r="H915" s="585"/>
      <c r="I915" s="585"/>
      <c r="J915" s="585"/>
      <c r="K915" s="585"/>
      <c r="L915" s="585"/>
      <c r="M915" s="585"/>
      <c r="N915" s="585"/>
      <c r="O915" s="585"/>
      <c r="P915" s="585"/>
      <c r="Q915" s="585"/>
      <c r="R915" s="585"/>
      <c r="S915" s="585"/>
      <c r="T915" s="585"/>
      <c r="U915" s="585"/>
      <c r="V915" s="224"/>
      <c r="W915" s="224"/>
      <c r="X915" s="224"/>
      <c r="Y915" s="224"/>
      <c r="Z915" s="868"/>
      <c r="AA915" s="865"/>
      <c r="AB915" s="2"/>
      <c r="AC915" s="2"/>
      <c r="AD915" s="2"/>
      <c r="AE915" s="2"/>
      <c r="AF915" s="2"/>
      <c r="AG915" s="2"/>
      <c r="AH915" s="2"/>
      <c r="AI915" s="2"/>
      <c r="AJ915" s="2"/>
      <c r="AK915" s="2"/>
      <c r="AL915" s="2"/>
      <c r="AM915" s="2"/>
      <c r="AN915" s="2"/>
      <c r="AO915" s="9"/>
      <c r="AP915" s="9"/>
      <c r="AQ915" s="9"/>
      <c r="AR915" s="9"/>
    </row>
    <row r="916">
      <c r="A916" s="585"/>
      <c r="B916" s="585"/>
      <c r="C916" s="585"/>
      <c r="D916" s="585"/>
      <c r="E916" s="585"/>
      <c r="F916" s="585"/>
      <c r="G916" s="585"/>
      <c r="H916" s="585"/>
      <c r="I916" s="585"/>
      <c r="J916" s="585"/>
      <c r="K916" s="585"/>
      <c r="L916" s="585"/>
      <c r="M916" s="585"/>
      <c r="N916" s="585"/>
      <c r="O916" s="585"/>
      <c r="P916" s="585"/>
      <c r="Q916" s="585"/>
      <c r="R916" s="585"/>
      <c r="S916" s="585"/>
      <c r="T916" s="585"/>
      <c r="U916" s="585"/>
      <c r="V916" s="224"/>
      <c r="W916" s="224"/>
      <c r="X916" s="224"/>
      <c r="Y916" s="224"/>
      <c r="Z916" s="868"/>
      <c r="AA916" s="865"/>
      <c r="AB916" s="2"/>
      <c r="AC916" s="2"/>
      <c r="AD916" s="2"/>
      <c r="AE916" s="2"/>
      <c r="AF916" s="2"/>
      <c r="AG916" s="2"/>
      <c r="AH916" s="2"/>
      <c r="AI916" s="2"/>
      <c r="AJ916" s="2"/>
      <c r="AK916" s="2"/>
      <c r="AL916" s="2"/>
      <c r="AM916" s="2"/>
      <c r="AN916" s="2"/>
      <c r="AO916" s="9"/>
      <c r="AP916" s="9"/>
      <c r="AQ916" s="9"/>
      <c r="AR916" s="9"/>
    </row>
    <row r="917">
      <c r="A917" s="585"/>
      <c r="B917" s="585"/>
      <c r="C917" s="585"/>
      <c r="D917" s="585"/>
      <c r="E917" s="585"/>
      <c r="F917" s="585"/>
      <c r="G917" s="585"/>
      <c r="H917" s="585"/>
      <c r="I917" s="585"/>
      <c r="J917" s="585"/>
      <c r="K917" s="585"/>
      <c r="L917" s="585"/>
      <c r="M917" s="585"/>
      <c r="N917" s="585"/>
      <c r="O917" s="585"/>
      <c r="P917" s="585"/>
      <c r="Q917" s="585"/>
      <c r="R917" s="585"/>
      <c r="S917" s="585"/>
      <c r="T917" s="585"/>
      <c r="U917" s="585"/>
      <c r="V917" s="224"/>
      <c r="W917" s="224"/>
      <c r="X917" s="224"/>
      <c r="Y917" s="224"/>
      <c r="Z917" s="868"/>
      <c r="AA917" s="865"/>
      <c r="AB917" s="2"/>
      <c r="AC917" s="2"/>
      <c r="AD917" s="2"/>
      <c r="AE917" s="2"/>
      <c r="AF917" s="2"/>
      <c r="AG917" s="2"/>
      <c r="AH917" s="2"/>
      <c r="AI917" s="2"/>
      <c r="AJ917" s="2"/>
      <c r="AK917" s="2"/>
      <c r="AL917" s="2"/>
      <c r="AM917" s="2"/>
      <c r="AN917" s="2"/>
      <c r="AO917" s="9"/>
      <c r="AP917" s="9"/>
      <c r="AQ917" s="9"/>
      <c r="AR917" s="9"/>
    </row>
    <row r="918">
      <c r="A918" s="585"/>
      <c r="B918" s="585"/>
      <c r="C918" s="585"/>
      <c r="D918" s="585"/>
      <c r="E918" s="585"/>
      <c r="F918" s="585"/>
      <c r="G918" s="585"/>
      <c r="H918" s="585"/>
      <c r="I918" s="585"/>
      <c r="J918" s="585"/>
      <c r="K918" s="585"/>
      <c r="L918" s="585"/>
      <c r="M918" s="585"/>
      <c r="N918" s="585"/>
      <c r="O918" s="585"/>
      <c r="P918" s="585"/>
      <c r="Q918" s="585"/>
      <c r="R918" s="585"/>
      <c r="S918" s="585"/>
      <c r="T918" s="585"/>
      <c r="U918" s="585"/>
      <c r="V918" s="224"/>
      <c r="W918" s="224"/>
      <c r="X918" s="224"/>
      <c r="Y918" s="224"/>
      <c r="Z918" s="868"/>
      <c r="AA918" s="865"/>
      <c r="AB918" s="2"/>
      <c r="AC918" s="2"/>
      <c r="AD918" s="2"/>
      <c r="AE918" s="2"/>
      <c r="AF918" s="2"/>
      <c r="AG918" s="2"/>
      <c r="AH918" s="2"/>
      <c r="AI918" s="2"/>
      <c r="AJ918" s="2"/>
      <c r="AK918" s="2"/>
      <c r="AL918" s="2"/>
      <c r="AM918" s="2"/>
      <c r="AN918" s="2"/>
      <c r="AO918" s="9"/>
      <c r="AP918" s="9"/>
      <c r="AQ918" s="9"/>
      <c r="AR918" s="9"/>
    </row>
    <row r="919">
      <c r="A919" s="585"/>
      <c r="B919" s="585"/>
      <c r="C919" s="585"/>
      <c r="D919" s="585"/>
      <c r="E919" s="585"/>
      <c r="F919" s="585"/>
      <c r="G919" s="585"/>
      <c r="H919" s="585"/>
      <c r="I919" s="585"/>
      <c r="J919" s="585"/>
      <c r="K919" s="585"/>
      <c r="L919" s="585"/>
      <c r="M919" s="585"/>
      <c r="N919" s="585"/>
      <c r="O919" s="585"/>
      <c r="P919" s="585"/>
      <c r="Q919" s="585"/>
      <c r="R919" s="585"/>
      <c r="S919" s="585"/>
      <c r="T919" s="585"/>
      <c r="U919" s="585"/>
      <c r="V919" s="224"/>
      <c r="W919" s="224"/>
      <c r="X919" s="224"/>
      <c r="Y919" s="224"/>
      <c r="Z919" s="868"/>
      <c r="AA919" s="865"/>
      <c r="AB919" s="2"/>
      <c r="AC919" s="2"/>
      <c r="AD919" s="2"/>
      <c r="AE919" s="2"/>
      <c r="AF919" s="2"/>
      <c r="AG919" s="2"/>
      <c r="AH919" s="2"/>
      <c r="AI919" s="2"/>
      <c r="AJ919" s="2"/>
      <c r="AK919" s="2"/>
      <c r="AL919" s="2"/>
      <c r="AM919" s="2"/>
      <c r="AN919" s="2"/>
      <c r="AO919" s="9"/>
      <c r="AP919" s="9"/>
      <c r="AQ919" s="9"/>
      <c r="AR919" s="9"/>
    </row>
    <row r="920">
      <c r="A920" s="585"/>
      <c r="B920" s="585"/>
      <c r="C920" s="585"/>
      <c r="D920" s="585"/>
      <c r="E920" s="585"/>
      <c r="F920" s="585"/>
      <c r="G920" s="585"/>
      <c r="H920" s="585"/>
      <c r="I920" s="585"/>
      <c r="J920" s="585"/>
      <c r="K920" s="585"/>
      <c r="L920" s="585"/>
      <c r="M920" s="585"/>
      <c r="N920" s="585"/>
      <c r="O920" s="585"/>
      <c r="P920" s="585"/>
      <c r="Q920" s="585"/>
      <c r="R920" s="585"/>
      <c r="S920" s="585"/>
      <c r="T920" s="585"/>
      <c r="U920" s="585"/>
      <c r="V920" s="224"/>
      <c r="W920" s="224"/>
      <c r="X920" s="224"/>
      <c r="Y920" s="224"/>
      <c r="Z920" s="868"/>
      <c r="AA920" s="865"/>
      <c r="AB920" s="2"/>
      <c r="AC920" s="2"/>
      <c r="AD920" s="2"/>
      <c r="AE920" s="2"/>
      <c r="AF920" s="2"/>
      <c r="AG920" s="2"/>
      <c r="AH920" s="2"/>
      <c r="AI920" s="2"/>
      <c r="AJ920" s="2"/>
      <c r="AK920" s="2"/>
      <c r="AL920" s="2"/>
      <c r="AM920" s="2"/>
      <c r="AN920" s="2"/>
      <c r="AO920" s="9"/>
      <c r="AP920" s="9"/>
      <c r="AQ920" s="9"/>
      <c r="AR920" s="9"/>
    </row>
    <row r="921">
      <c r="A921" s="585"/>
      <c r="B921" s="585"/>
      <c r="C921" s="585"/>
      <c r="D921" s="585"/>
      <c r="E921" s="585"/>
      <c r="F921" s="585"/>
      <c r="G921" s="585"/>
      <c r="H921" s="585"/>
      <c r="I921" s="585"/>
      <c r="J921" s="585"/>
      <c r="K921" s="585"/>
      <c r="L921" s="585"/>
      <c r="M921" s="585"/>
      <c r="N921" s="585"/>
      <c r="O921" s="585"/>
      <c r="P921" s="585"/>
      <c r="Q921" s="585"/>
      <c r="R921" s="585"/>
      <c r="S921" s="585"/>
      <c r="T921" s="585"/>
      <c r="U921" s="585"/>
      <c r="V921" s="224"/>
      <c r="W921" s="224"/>
      <c r="X921" s="224"/>
      <c r="Y921" s="224"/>
      <c r="Z921" s="868"/>
      <c r="AA921" s="865"/>
      <c r="AB921" s="2"/>
      <c r="AC921" s="2"/>
      <c r="AD921" s="2"/>
      <c r="AE921" s="2"/>
      <c r="AF921" s="2"/>
      <c r="AG921" s="2"/>
      <c r="AH921" s="2"/>
      <c r="AI921" s="2"/>
      <c r="AJ921" s="2"/>
      <c r="AK921" s="2"/>
      <c r="AL921" s="2"/>
      <c r="AM921" s="2"/>
      <c r="AN921" s="2"/>
      <c r="AO921" s="9"/>
      <c r="AP921" s="9"/>
      <c r="AQ921" s="9"/>
      <c r="AR921" s="9"/>
    </row>
    <row r="922">
      <c r="A922" s="585"/>
      <c r="B922" s="585"/>
      <c r="C922" s="585"/>
      <c r="D922" s="585"/>
      <c r="E922" s="585"/>
      <c r="F922" s="585"/>
      <c r="G922" s="585"/>
      <c r="H922" s="585"/>
      <c r="I922" s="585"/>
      <c r="J922" s="585"/>
      <c r="K922" s="585"/>
      <c r="L922" s="585"/>
      <c r="M922" s="585"/>
      <c r="N922" s="585"/>
      <c r="O922" s="585"/>
      <c r="P922" s="585"/>
      <c r="Q922" s="585"/>
      <c r="R922" s="585"/>
      <c r="S922" s="585"/>
      <c r="T922" s="585"/>
      <c r="U922" s="585"/>
      <c r="V922" s="224"/>
      <c r="W922" s="224"/>
      <c r="X922" s="224"/>
      <c r="Y922" s="224"/>
      <c r="Z922" s="868"/>
      <c r="AA922" s="865"/>
      <c r="AB922" s="2"/>
      <c r="AC922" s="2"/>
      <c r="AD922" s="2"/>
      <c r="AE922" s="2"/>
      <c r="AF922" s="2"/>
      <c r="AG922" s="2"/>
      <c r="AH922" s="2"/>
      <c r="AI922" s="2"/>
      <c r="AJ922" s="2"/>
      <c r="AK922" s="2"/>
      <c r="AL922" s="2"/>
      <c r="AM922" s="2"/>
      <c r="AN922" s="2"/>
      <c r="AO922" s="9"/>
      <c r="AP922" s="9"/>
      <c r="AQ922" s="9"/>
      <c r="AR922" s="9"/>
    </row>
    <row r="923">
      <c r="A923" s="585"/>
      <c r="B923" s="585"/>
      <c r="C923" s="585"/>
      <c r="D923" s="585"/>
      <c r="E923" s="585"/>
      <c r="F923" s="585"/>
      <c r="G923" s="585"/>
      <c r="H923" s="585"/>
      <c r="I923" s="585"/>
      <c r="J923" s="585"/>
      <c r="K923" s="585"/>
      <c r="L923" s="585"/>
      <c r="M923" s="585"/>
      <c r="N923" s="585"/>
      <c r="O923" s="585"/>
      <c r="P923" s="585"/>
      <c r="Q923" s="585"/>
      <c r="R923" s="585"/>
      <c r="S923" s="585"/>
      <c r="T923" s="585"/>
      <c r="U923" s="585"/>
      <c r="V923" s="224"/>
      <c r="W923" s="224"/>
      <c r="X923" s="224"/>
      <c r="Y923" s="224"/>
      <c r="Z923" s="868"/>
      <c r="AA923" s="865"/>
      <c r="AB923" s="2"/>
      <c r="AC923" s="2"/>
      <c r="AD923" s="2"/>
      <c r="AE923" s="2"/>
      <c r="AF923" s="2"/>
      <c r="AG923" s="2"/>
      <c r="AH923" s="2"/>
      <c r="AI923" s="2"/>
      <c r="AJ923" s="2"/>
      <c r="AK923" s="2"/>
      <c r="AL923" s="2"/>
      <c r="AM923" s="2"/>
      <c r="AN923" s="2"/>
      <c r="AO923" s="9"/>
      <c r="AP923" s="9"/>
      <c r="AQ923" s="9"/>
      <c r="AR923" s="9"/>
    </row>
    <row r="924">
      <c r="A924" s="585"/>
      <c r="B924" s="585"/>
      <c r="C924" s="585"/>
      <c r="D924" s="585"/>
      <c r="E924" s="585"/>
      <c r="F924" s="585"/>
      <c r="G924" s="585"/>
      <c r="H924" s="585"/>
      <c r="I924" s="585"/>
      <c r="J924" s="585"/>
      <c r="K924" s="585"/>
      <c r="L924" s="585"/>
      <c r="M924" s="585"/>
      <c r="N924" s="585"/>
      <c r="O924" s="585"/>
      <c r="P924" s="585"/>
      <c r="Q924" s="585"/>
      <c r="R924" s="585"/>
      <c r="S924" s="585"/>
      <c r="T924" s="585"/>
      <c r="U924" s="585"/>
      <c r="V924" s="224"/>
      <c r="W924" s="224"/>
      <c r="X924" s="224"/>
      <c r="Y924" s="224"/>
      <c r="Z924" s="868"/>
      <c r="AA924" s="865"/>
      <c r="AB924" s="2"/>
      <c r="AC924" s="2"/>
      <c r="AD924" s="2"/>
      <c r="AE924" s="2"/>
      <c r="AF924" s="2"/>
      <c r="AG924" s="2"/>
      <c r="AH924" s="2"/>
      <c r="AI924" s="2"/>
      <c r="AJ924" s="2"/>
      <c r="AK924" s="2"/>
      <c r="AL924" s="2"/>
      <c r="AM924" s="2"/>
      <c r="AN924" s="2"/>
      <c r="AO924" s="9"/>
      <c r="AP924" s="9"/>
      <c r="AQ924" s="9"/>
      <c r="AR924" s="9"/>
    </row>
    <row r="925">
      <c r="A925" s="585"/>
      <c r="B925" s="585"/>
      <c r="C925" s="585"/>
      <c r="D925" s="585"/>
      <c r="E925" s="585"/>
      <c r="F925" s="585"/>
      <c r="G925" s="585"/>
      <c r="H925" s="585"/>
      <c r="I925" s="585"/>
      <c r="J925" s="585"/>
      <c r="K925" s="585"/>
      <c r="L925" s="585"/>
      <c r="M925" s="585"/>
      <c r="N925" s="585"/>
      <c r="O925" s="585"/>
      <c r="P925" s="585"/>
      <c r="Q925" s="585"/>
      <c r="R925" s="585"/>
      <c r="S925" s="585"/>
      <c r="T925" s="585"/>
      <c r="U925" s="585"/>
      <c r="V925" s="224"/>
      <c r="W925" s="224"/>
      <c r="X925" s="224"/>
      <c r="Y925" s="224"/>
      <c r="Z925" s="868"/>
      <c r="AA925" s="865"/>
      <c r="AB925" s="2"/>
      <c r="AC925" s="2"/>
      <c r="AD925" s="2"/>
      <c r="AE925" s="2"/>
      <c r="AF925" s="2"/>
      <c r="AG925" s="2"/>
      <c r="AH925" s="2"/>
      <c r="AI925" s="2"/>
      <c r="AJ925" s="2"/>
      <c r="AK925" s="2"/>
      <c r="AL925" s="2"/>
      <c r="AM925" s="2"/>
      <c r="AN925" s="2"/>
      <c r="AO925" s="9"/>
      <c r="AP925" s="9"/>
      <c r="AQ925" s="9"/>
      <c r="AR925" s="9"/>
    </row>
    <row r="926">
      <c r="A926" s="585"/>
      <c r="B926" s="585"/>
      <c r="C926" s="585"/>
      <c r="D926" s="585"/>
      <c r="E926" s="585"/>
      <c r="F926" s="585"/>
      <c r="G926" s="585"/>
      <c r="H926" s="585"/>
      <c r="I926" s="585"/>
      <c r="J926" s="585"/>
      <c r="K926" s="585"/>
      <c r="L926" s="585"/>
      <c r="M926" s="585"/>
      <c r="N926" s="585"/>
      <c r="O926" s="585"/>
      <c r="P926" s="585"/>
      <c r="Q926" s="585"/>
      <c r="R926" s="585"/>
      <c r="S926" s="585"/>
      <c r="T926" s="585"/>
      <c r="U926" s="585"/>
      <c r="V926" s="224"/>
      <c r="W926" s="224"/>
      <c r="X926" s="224"/>
      <c r="Y926" s="224"/>
      <c r="Z926" s="868"/>
      <c r="AA926" s="865"/>
      <c r="AB926" s="2"/>
      <c r="AC926" s="2"/>
      <c r="AD926" s="2"/>
      <c r="AE926" s="2"/>
      <c r="AF926" s="2"/>
      <c r="AG926" s="2"/>
      <c r="AH926" s="2"/>
      <c r="AI926" s="2"/>
      <c r="AJ926" s="2"/>
      <c r="AK926" s="2"/>
      <c r="AL926" s="2"/>
      <c r="AM926" s="2"/>
      <c r="AN926" s="2"/>
      <c r="AO926" s="9"/>
      <c r="AP926" s="9"/>
      <c r="AQ926" s="9"/>
      <c r="AR926" s="9"/>
    </row>
    <row r="927">
      <c r="A927" s="585"/>
      <c r="B927" s="585"/>
      <c r="C927" s="585"/>
      <c r="D927" s="585"/>
      <c r="E927" s="585"/>
      <c r="F927" s="585"/>
      <c r="G927" s="585"/>
      <c r="H927" s="585"/>
      <c r="I927" s="585"/>
      <c r="J927" s="585"/>
      <c r="K927" s="585"/>
      <c r="L927" s="585"/>
      <c r="M927" s="585"/>
      <c r="N927" s="585"/>
      <c r="O927" s="585"/>
      <c r="P927" s="585"/>
      <c r="Q927" s="585"/>
      <c r="R927" s="585"/>
      <c r="S927" s="585"/>
      <c r="T927" s="585"/>
      <c r="U927" s="585"/>
      <c r="V927" s="224"/>
      <c r="W927" s="224"/>
      <c r="X927" s="224"/>
      <c r="Y927" s="224"/>
      <c r="Z927" s="868"/>
      <c r="AA927" s="865"/>
      <c r="AB927" s="2"/>
      <c r="AC927" s="2"/>
      <c r="AD927" s="2"/>
      <c r="AE927" s="2"/>
      <c r="AF927" s="2"/>
      <c r="AG927" s="2"/>
      <c r="AH927" s="2"/>
      <c r="AI927" s="2"/>
      <c r="AJ927" s="2"/>
      <c r="AK927" s="2"/>
      <c r="AL927" s="2"/>
      <c r="AM927" s="2"/>
      <c r="AN927" s="2"/>
      <c r="AO927" s="9"/>
      <c r="AP927" s="9"/>
      <c r="AQ927" s="9"/>
      <c r="AR927" s="9"/>
    </row>
    <row r="928">
      <c r="A928" s="585"/>
      <c r="B928" s="585"/>
      <c r="C928" s="585"/>
      <c r="D928" s="585"/>
      <c r="E928" s="585"/>
      <c r="F928" s="585"/>
      <c r="G928" s="585"/>
      <c r="H928" s="585"/>
      <c r="I928" s="585"/>
      <c r="J928" s="585"/>
      <c r="K928" s="585"/>
      <c r="L928" s="585"/>
      <c r="M928" s="585"/>
      <c r="N928" s="585"/>
      <c r="O928" s="585"/>
      <c r="P928" s="585"/>
      <c r="Q928" s="585"/>
      <c r="R928" s="585"/>
      <c r="S928" s="585"/>
      <c r="T928" s="585"/>
      <c r="U928" s="585"/>
      <c r="V928" s="224"/>
      <c r="W928" s="224"/>
      <c r="X928" s="224"/>
      <c r="Y928" s="224"/>
      <c r="Z928" s="868"/>
      <c r="AA928" s="865"/>
      <c r="AB928" s="2"/>
      <c r="AC928" s="2"/>
      <c r="AD928" s="2"/>
      <c r="AE928" s="2"/>
      <c r="AF928" s="2"/>
      <c r="AG928" s="2"/>
      <c r="AH928" s="2"/>
      <c r="AI928" s="2"/>
      <c r="AJ928" s="2"/>
      <c r="AK928" s="2"/>
      <c r="AL928" s="2"/>
      <c r="AM928" s="2"/>
      <c r="AN928" s="2"/>
      <c r="AO928" s="9"/>
      <c r="AP928" s="9"/>
      <c r="AQ928" s="9"/>
      <c r="AR928" s="9"/>
    </row>
    <row r="929">
      <c r="A929" s="585"/>
      <c r="B929" s="585"/>
      <c r="C929" s="585"/>
      <c r="D929" s="585"/>
      <c r="E929" s="585"/>
      <c r="F929" s="585"/>
      <c r="G929" s="585"/>
      <c r="H929" s="585"/>
      <c r="I929" s="585"/>
      <c r="J929" s="585"/>
      <c r="K929" s="585"/>
      <c r="L929" s="585"/>
      <c r="M929" s="585"/>
      <c r="N929" s="585"/>
      <c r="O929" s="585"/>
      <c r="P929" s="585"/>
      <c r="Q929" s="585"/>
      <c r="R929" s="585"/>
      <c r="S929" s="585"/>
      <c r="T929" s="585"/>
      <c r="U929" s="585"/>
      <c r="V929" s="224"/>
      <c r="W929" s="224"/>
      <c r="X929" s="224"/>
      <c r="Y929" s="224"/>
      <c r="Z929" s="868"/>
      <c r="AA929" s="865"/>
      <c r="AB929" s="2"/>
      <c r="AC929" s="2"/>
      <c r="AD929" s="2"/>
      <c r="AE929" s="2"/>
      <c r="AF929" s="2"/>
      <c r="AG929" s="2"/>
      <c r="AH929" s="2"/>
      <c r="AI929" s="2"/>
      <c r="AJ929" s="2"/>
      <c r="AK929" s="2"/>
      <c r="AL929" s="2"/>
      <c r="AM929" s="2"/>
      <c r="AN929" s="2"/>
      <c r="AO929" s="9"/>
      <c r="AP929" s="9"/>
      <c r="AQ929" s="9"/>
      <c r="AR929" s="9"/>
    </row>
    <row r="930">
      <c r="A930" s="585"/>
      <c r="B930" s="585"/>
      <c r="C930" s="585"/>
      <c r="D930" s="585"/>
      <c r="E930" s="585"/>
      <c r="F930" s="585"/>
      <c r="G930" s="585"/>
      <c r="H930" s="585"/>
      <c r="I930" s="585"/>
      <c r="J930" s="585"/>
      <c r="K930" s="585"/>
      <c r="L930" s="585"/>
      <c r="M930" s="585"/>
      <c r="N930" s="585"/>
      <c r="O930" s="585"/>
      <c r="P930" s="585"/>
      <c r="Q930" s="585"/>
      <c r="R930" s="585"/>
      <c r="S930" s="585"/>
      <c r="T930" s="585"/>
      <c r="U930" s="585"/>
      <c r="V930" s="224"/>
      <c r="W930" s="224"/>
      <c r="X930" s="224"/>
      <c r="Y930" s="224"/>
      <c r="Z930" s="868"/>
      <c r="AA930" s="865"/>
      <c r="AB930" s="2"/>
      <c r="AC930" s="2"/>
      <c r="AD930" s="2"/>
      <c r="AE930" s="2"/>
      <c r="AF930" s="2"/>
      <c r="AG930" s="2"/>
      <c r="AH930" s="2"/>
      <c r="AI930" s="2"/>
      <c r="AJ930" s="2"/>
      <c r="AK930" s="2"/>
      <c r="AL930" s="2"/>
      <c r="AM930" s="2"/>
      <c r="AN930" s="2"/>
      <c r="AO930" s="9"/>
      <c r="AP930" s="9"/>
      <c r="AQ930" s="9"/>
      <c r="AR930" s="9"/>
    </row>
    <row r="931">
      <c r="A931" s="585"/>
      <c r="B931" s="585"/>
      <c r="C931" s="585"/>
      <c r="D931" s="585"/>
      <c r="E931" s="585"/>
      <c r="F931" s="585"/>
      <c r="G931" s="585"/>
      <c r="H931" s="585"/>
      <c r="I931" s="585"/>
      <c r="J931" s="585"/>
      <c r="K931" s="585"/>
      <c r="L931" s="585"/>
      <c r="M931" s="585"/>
      <c r="N931" s="585"/>
      <c r="O931" s="585"/>
      <c r="P931" s="585"/>
      <c r="Q931" s="585"/>
      <c r="R931" s="585"/>
      <c r="S931" s="585"/>
      <c r="T931" s="585"/>
      <c r="U931" s="585"/>
      <c r="V931" s="224"/>
      <c r="W931" s="224"/>
      <c r="X931" s="224"/>
      <c r="Y931" s="224"/>
      <c r="Z931" s="868"/>
      <c r="AA931" s="865"/>
      <c r="AB931" s="2"/>
      <c r="AC931" s="2"/>
      <c r="AD931" s="2"/>
      <c r="AE931" s="2"/>
      <c r="AF931" s="2"/>
      <c r="AG931" s="2"/>
      <c r="AH931" s="2"/>
      <c r="AI931" s="2"/>
      <c r="AJ931" s="2"/>
      <c r="AK931" s="2"/>
      <c r="AL931" s="2"/>
      <c r="AM931" s="2"/>
      <c r="AN931" s="2"/>
      <c r="AO931" s="9"/>
      <c r="AP931" s="9"/>
      <c r="AQ931" s="9"/>
      <c r="AR931" s="9"/>
    </row>
    <row r="932">
      <c r="A932" s="585"/>
      <c r="B932" s="585"/>
      <c r="C932" s="585"/>
      <c r="D932" s="585"/>
      <c r="E932" s="585"/>
      <c r="F932" s="585"/>
      <c r="G932" s="585"/>
      <c r="H932" s="585"/>
      <c r="I932" s="585"/>
      <c r="J932" s="585"/>
      <c r="K932" s="585"/>
      <c r="L932" s="585"/>
      <c r="M932" s="585"/>
      <c r="N932" s="585"/>
      <c r="O932" s="585"/>
      <c r="P932" s="585"/>
      <c r="Q932" s="585"/>
      <c r="R932" s="585"/>
      <c r="S932" s="585"/>
      <c r="T932" s="585"/>
      <c r="U932" s="585"/>
      <c r="V932" s="224"/>
      <c r="W932" s="224"/>
      <c r="X932" s="224"/>
      <c r="Y932" s="224"/>
      <c r="Z932" s="868"/>
      <c r="AA932" s="865"/>
      <c r="AB932" s="2"/>
      <c r="AC932" s="2"/>
      <c r="AD932" s="2"/>
      <c r="AE932" s="2"/>
      <c r="AF932" s="2"/>
      <c r="AG932" s="2"/>
      <c r="AH932" s="2"/>
      <c r="AI932" s="2"/>
      <c r="AJ932" s="2"/>
      <c r="AK932" s="2"/>
      <c r="AL932" s="2"/>
      <c r="AM932" s="2"/>
      <c r="AN932" s="2"/>
      <c r="AO932" s="9"/>
      <c r="AP932" s="9"/>
      <c r="AQ932" s="9"/>
      <c r="AR932" s="9"/>
    </row>
    <row r="933">
      <c r="A933" s="585"/>
      <c r="B933" s="585"/>
      <c r="C933" s="585"/>
      <c r="D933" s="585"/>
      <c r="E933" s="585"/>
      <c r="F933" s="585"/>
      <c r="G933" s="585"/>
      <c r="H933" s="585"/>
      <c r="I933" s="585"/>
      <c r="J933" s="585"/>
      <c r="K933" s="585"/>
      <c r="L933" s="585"/>
      <c r="M933" s="585"/>
      <c r="N933" s="585"/>
      <c r="O933" s="585"/>
      <c r="P933" s="585"/>
      <c r="Q933" s="585"/>
      <c r="R933" s="585"/>
      <c r="S933" s="585"/>
      <c r="T933" s="585"/>
      <c r="U933" s="585"/>
      <c r="V933" s="224"/>
      <c r="W933" s="224"/>
      <c r="X933" s="224"/>
      <c r="Y933" s="224"/>
      <c r="Z933" s="868"/>
      <c r="AA933" s="865"/>
      <c r="AB933" s="2"/>
      <c r="AC933" s="2"/>
      <c r="AD933" s="2"/>
      <c r="AE933" s="2"/>
      <c r="AF933" s="2"/>
      <c r="AG933" s="2"/>
      <c r="AH933" s="2"/>
      <c r="AI933" s="2"/>
      <c r="AJ933" s="2"/>
      <c r="AK933" s="2"/>
      <c r="AL933" s="2"/>
      <c r="AM933" s="2"/>
      <c r="AN933" s="2"/>
      <c r="AO933" s="9"/>
      <c r="AP933" s="9"/>
      <c r="AQ933" s="9"/>
      <c r="AR933" s="9"/>
    </row>
    <row r="934">
      <c r="A934" s="585"/>
      <c r="B934" s="585"/>
      <c r="C934" s="585"/>
      <c r="D934" s="585"/>
      <c r="E934" s="585"/>
      <c r="F934" s="585"/>
      <c r="G934" s="585"/>
      <c r="H934" s="585"/>
      <c r="I934" s="585"/>
      <c r="J934" s="585"/>
      <c r="K934" s="585"/>
      <c r="L934" s="585"/>
      <c r="M934" s="585"/>
      <c r="N934" s="585"/>
      <c r="O934" s="585"/>
      <c r="P934" s="585"/>
      <c r="Q934" s="585"/>
      <c r="R934" s="585"/>
      <c r="S934" s="585"/>
      <c r="T934" s="585"/>
      <c r="U934" s="585"/>
      <c r="V934" s="224"/>
      <c r="W934" s="224"/>
      <c r="X934" s="224"/>
      <c r="Y934" s="224"/>
      <c r="Z934" s="868"/>
      <c r="AA934" s="865"/>
      <c r="AB934" s="2"/>
      <c r="AC934" s="2"/>
      <c r="AD934" s="2"/>
      <c r="AE934" s="2"/>
      <c r="AF934" s="2"/>
      <c r="AG934" s="2"/>
      <c r="AH934" s="2"/>
      <c r="AI934" s="2"/>
      <c r="AJ934" s="2"/>
      <c r="AK934" s="2"/>
      <c r="AL934" s="2"/>
      <c r="AM934" s="2"/>
      <c r="AN934" s="2"/>
      <c r="AO934" s="9"/>
      <c r="AP934" s="9"/>
      <c r="AQ934" s="9"/>
      <c r="AR934" s="9"/>
    </row>
    <row r="935">
      <c r="A935" s="585"/>
      <c r="B935" s="585"/>
      <c r="C935" s="585"/>
      <c r="D935" s="585"/>
      <c r="E935" s="585"/>
      <c r="F935" s="585"/>
      <c r="G935" s="585"/>
      <c r="H935" s="585"/>
      <c r="I935" s="585"/>
      <c r="J935" s="585"/>
      <c r="K935" s="585"/>
      <c r="L935" s="585"/>
      <c r="M935" s="585"/>
      <c r="N935" s="585"/>
      <c r="O935" s="585"/>
      <c r="P935" s="585"/>
      <c r="Q935" s="585"/>
      <c r="R935" s="585"/>
      <c r="S935" s="585"/>
      <c r="T935" s="585"/>
      <c r="U935" s="585"/>
      <c r="V935" s="224"/>
      <c r="W935" s="224"/>
      <c r="X935" s="224"/>
      <c r="Y935" s="224"/>
      <c r="Z935" s="868"/>
      <c r="AA935" s="865"/>
      <c r="AB935" s="2"/>
      <c r="AC935" s="2"/>
      <c r="AD935" s="2"/>
      <c r="AE935" s="2"/>
      <c r="AF935" s="2"/>
      <c r="AG935" s="2"/>
      <c r="AH935" s="2"/>
      <c r="AI935" s="2"/>
      <c r="AJ935" s="2"/>
      <c r="AK935" s="2"/>
      <c r="AL935" s="2"/>
      <c r="AM935" s="2"/>
      <c r="AN935" s="2"/>
      <c r="AO935" s="9"/>
      <c r="AP935" s="9"/>
      <c r="AQ935" s="9"/>
      <c r="AR935" s="9"/>
    </row>
    <row r="936">
      <c r="A936" s="585"/>
      <c r="B936" s="585"/>
      <c r="C936" s="585"/>
      <c r="D936" s="585"/>
      <c r="E936" s="585"/>
      <c r="F936" s="585"/>
      <c r="G936" s="585"/>
      <c r="H936" s="585"/>
      <c r="I936" s="585"/>
      <c r="J936" s="585"/>
      <c r="K936" s="585"/>
      <c r="L936" s="585"/>
      <c r="M936" s="585"/>
      <c r="N936" s="585"/>
      <c r="O936" s="585"/>
      <c r="P936" s="585"/>
      <c r="Q936" s="585"/>
      <c r="R936" s="585"/>
      <c r="S936" s="585"/>
      <c r="T936" s="585"/>
      <c r="U936" s="585"/>
      <c r="V936" s="224"/>
      <c r="W936" s="224"/>
      <c r="X936" s="224"/>
      <c r="Y936" s="224"/>
      <c r="Z936" s="868"/>
      <c r="AA936" s="865"/>
      <c r="AB936" s="2"/>
      <c r="AC936" s="2"/>
      <c r="AD936" s="2"/>
      <c r="AE936" s="2"/>
      <c r="AF936" s="2"/>
      <c r="AG936" s="2"/>
      <c r="AH936" s="2"/>
      <c r="AI936" s="2"/>
      <c r="AJ936" s="2"/>
      <c r="AK936" s="2"/>
      <c r="AL936" s="2"/>
      <c r="AM936" s="2"/>
      <c r="AN936" s="2"/>
      <c r="AO936" s="9"/>
      <c r="AP936" s="9"/>
      <c r="AQ936" s="9"/>
      <c r="AR936" s="9"/>
    </row>
    <row r="937">
      <c r="A937" s="585"/>
      <c r="B937" s="585"/>
      <c r="C937" s="585"/>
      <c r="D937" s="585"/>
      <c r="E937" s="585"/>
      <c r="F937" s="585"/>
      <c r="G937" s="585"/>
      <c r="H937" s="585"/>
      <c r="I937" s="585"/>
      <c r="J937" s="585"/>
      <c r="K937" s="585"/>
      <c r="L937" s="585"/>
      <c r="M937" s="585"/>
      <c r="N937" s="585"/>
      <c r="O937" s="585"/>
      <c r="P937" s="585"/>
      <c r="Q937" s="585"/>
      <c r="R937" s="585"/>
      <c r="S937" s="585"/>
      <c r="T937" s="585"/>
      <c r="U937" s="585"/>
      <c r="V937" s="224"/>
      <c r="W937" s="224"/>
      <c r="X937" s="224"/>
      <c r="Y937" s="224"/>
      <c r="Z937" s="868"/>
      <c r="AA937" s="865"/>
      <c r="AB937" s="2"/>
      <c r="AC937" s="2"/>
      <c r="AD937" s="2"/>
      <c r="AE937" s="2"/>
      <c r="AF937" s="2"/>
      <c r="AG937" s="2"/>
      <c r="AH937" s="2"/>
      <c r="AI937" s="2"/>
      <c r="AJ937" s="2"/>
      <c r="AK937" s="2"/>
      <c r="AL937" s="2"/>
      <c r="AM937" s="2"/>
      <c r="AN937" s="2"/>
      <c r="AO937" s="9"/>
      <c r="AP937" s="9"/>
      <c r="AQ937" s="9"/>
      <c r="AR937" s="9"/>
    </row>
    <row r="938">
      <c r="A938" s="585"/>
      <c r="B938" s="585"/>
      <c r="C938" s="585"/>
      <c r="D938" s="585"/>
      <c r="E938" s="585"/>
      <c r="F938" s="585"/>
      <c r="G938" s="585"/>
      <c r="H938" s="585"/>
      <c r="I938" s="585"/>
      <c r="J938" s="585"/>
      <c r="K938" s="585"/>
      <c r="L938" s="585"/>
      <c r="M938" s="585"/>
      <c r="N938" s="585"/>
      <c r="O938" s="585"/>
      <c r="P938" s="585"/>
      <c r="Q938" s="585"/>
      <c r="R938" s="585"/>
      <c r="S938" s="585"/>
      <c r="T938" s="585"/>
      <c r="U938" s="585"/>
      <c r="V938" s="224"/>
      <c r="W938" s="224"/>
      <c r="X938" s="224"/>
      <c r="Y938" s="224"/>
      <c r="Z938" s="868"/>
      <c r="AA938" s="865"/>
      <c r="AB938" s="2"/>
      <c r="AC938" s="2"/>
      <c r="AD938" s="2"/>
      <c r="AE938" s="2"/>
      <c r="AF938" s="2"/>
      <c r="AG938" s="2"/>
      <c r="AH938" s="2"/>
      <c r="AI938" s="2"/>
      <c r="AJ938" s="2"/>
      <c r="AK938" s="2"/>
      <c r="AL938" s="2"/>
      <c r="AM938" s="2"/>
      <c r="AN938" s="2"/>
      <c r="AO938" s="9"/>
      <c r="AP938" s="9"/>
      <c r="AQ938" s="9"/>
      <c r="AR938" s="9"/>
    </row>
    <row r="939">
      <c r="A939" s="585"/>
      <c r="B939" s="585"/>
      <c r="C939" s="585"/>
      <c r="D939" s="585"/>
      <c r="E939" s="585"/>
      <c r="F939" s="585"/>
      <c r="G939" s="585"/>
      <c r="H939" s="585"/>
      <c r="I939" s="585"/>
      <c r="J939" s="585"/>
      <c r="K939" s="585"/>
      <c r="L939" s="585"/>
      <c r="M939" s="585"/>
      <c r="N939" s="585"/>
      <c r="O939" s="585"/>
      <c r="P939" s="585"/>
      <c r="Q939" s="585"/>
      <c r="R939" s="585"/>
      <c r="S939" s="585"/>
      <c r="T939" s="585"/>
      <c r="U939" s="585"/>
      <c r="V939" s="224"/>
      <c r="W939" s="224"/>
      <c r="X939" s="224"/>
      <c r="Y939" s="224"/>
      <c r="Z939" s="868"/>
      <c r="AA939" s="865"/>
      <c r="AB939" s="2"/>
      <c r="AC939" s="2"/>
      <c r="AD939" s="2"/>
      <c r="AE939" s="2"/>
      <c r="AF939" s="2"/>
      <c r="AG939" s="2"/>
      <c r="AH939" s="2"/>
      <c r="AI939" s="2"/>
      <c r="AJ939" s="2"/>
      <c r="AK939" s="2"/>
      <c r="AL939" s="2"/>
      <c r="AM939" s="2"/>
      <c r="AN939" s="2"/>
      <c r="AO939" s="9"/>
      <c r="AP939" s="9"/>
      <c r="AQ939" s="9"/>
      <c r="AR939" s="9"/>
    </row>
    <row r="940">
      <c r="A940" s="585"/>
      <c r="B940" s="585"/>
      <c r="C940" s="585"/>
      <c r="D940" s="585"/>
      <c r="E940" s="585"/>
      <c r="F940" s="585"/>
      <c r="G940" s="585"/>
      <c r="H940" s="585"/>
      <c r="I940" s="585"/>
      <c r="J940" s="585"/>
      <c r="K940" s="585"/>
      <c r="L940" s="585"/>
      <c r="M940" s="585"/>
      <c r="N940" s="585"/>
      <c r="O940" s="585"/>
      <c r="P940" s="585"/>
      <c r="Q940" s="585"/>
      <c r="R940" s="585"/>
      <c r="S940" s="585"/>
      <c r="T940" s="585"/>
      <c r="U940" s="585"/>
      <c r="V940" s="224"/>
      <c r="W940" s="224"/>
      <c r="X940" s="224"/>
      <c r="Y940" s="224"/>
      <c r="Z940" s="868"/>
      <c r="AA940" s="865"/>
      <c r="AB940" s="2"/>
      <c r="AC940" s="2"/>
      <c r="AD940" s="2"/>
      <c r="AE940" s="2"/>
      <c r="AF940" s="2"/>
      <c r="AG940" s="2"/>
      <c r="AH940" s="2"/>
      <c r="AI940" s="2"/>
      <c r="AJ940" s="2"/>
      <c r="AK940" s="2"/>
      <c r="AL940" s="2"/>
      <c r="AM940" s="2"/>
      <c r="AN940" s="2"/>
      <c r="AO940" s="9"/>
      <c r="AP940" s="9"/>
      <c r="AQ940" s="9"/>
      <c r="AR940" s="9"/>
    </row>
    <row r="941">
      <c r="A941" s="585"/>
      <c r="B941" s="585"/>
      <c r="C941" s="585"/>
      <c r="D941" s="585"/>
      <c r="E941" s="585"/>
      <c r="F941" s="585"/>
      <c r="G941" s="585"/>
      <c r="H941" s="585"/>
      <c r="I941" s="585"/>
      <c r="J941" s="585"/>
      <c r="K941" s="585"/>
      <c r="L941" s="585"/>
      <c r="M941" s="585"/>
      <c r="N941" s="585"/>
      <c r="O941" s="585"/>
      <c r="P941" s="585"/>
      <c r="Q941" s="585"/>
      <c r="R941" s="585"/>
      <c r="S941" s="585"/>
      <c r="T941" s="585"/>
      <c r="U941" s="585"/>
      <c r="V941" s="224"/>
      <c r="W941" s="224"/>
      <c r="X941" s="224"/>
      <c r="Y941" s="224"/>
      <c r="Z941" s="868"/>
      <c r="AA941" s="865"/>
      <c r="AB941" s="2"/>
      <c r="AC941" s="2"/>
      <c r="AD941" s="2"/>
      <c r="AE941" s="2"/>
      <c r="AF941" s="2"/>
      <c r="AG941" s="2"/>
      <c r="AH941" s="2"/>
      <c r="AI941" s="2"/>
      <c r="AJ941" s="2"/>
      <c r="AK941" s="2"/>
      <c r="AL941" s="2"/>
      <c r="AM941" s="2"/>
      <c r="AN941" s="2"/>
      <c r="AO941" s="9"/>
      <c r="AP941" s="9"/>
      <c r="AQ941" s="9"/>
      <c r="AR941" s="9"/>
    </row>
    <row r="942">
      <c r="A942" s="585"/>
      <c r="B942" s="585"/>
      <c r="C942" s="585"/>
      <c r="D942" s="585"/>
      <c r="E942" s="585"/>
      <c r="F942" s="585"/>
      <c r="G942" s="585"/>
      <c r="H942" s="585"/>
      <c r="I942" s="585"/>
      <c r="J942" s="585"/>
      <c r="K942" s="585"/>
      <c r="L942" s="585"/>
      <c r="M942" s="585"/>
      <c r="N942" s="585"/>
      <c r="O942" s="585"/>
      <c r="P942" s="585"/>
      <c r="Q942" s="585"/>
      <c r="R942" s="585"/>
      <c r="S942" s="585"/>
      <c r="T942" s="585"/>
      <c r="U942" s="585"/>
      <c r="V942" s="224"/>
      <c r="W942" s="224"/>
      <c r="X942" s="224"/>
      <c r="Y942" s="224"/>
      <c r="Z942" s="868"/>
      <c r="AA942" s="865"/>
      <c r="AB942" s="2"/>
      <c r="AC942" s="2"/>
      <c r="AD942" s="2"/>
      <c r="AE942" s="2"/>
      <c r="AF942" s="2"/>
      <c r="AG942" s="2"/>
      <c r="AH942" s="2"/>
      <c r="AI942" s="2"/>
      <c r="AJ942" s="2"/>
      <c r="AK942" s="2"/>
      <c r="AL942" s="2"/>
      <c r="AM942" s="2"/>
      <c r="AN942" s="2"/>
      <c r="AO942" s="9"/>
      <c r="AP942" s="9"/>
      <c r="AQ942" s="9"/>
      <c r="AR942" s="9"/>
    </row>
    <row r="943">
      <c r="A943" s="585"/>
      <c r="B943" s="585"/>
      <c r="C943" s="585"/>
      <c r="D943" s="585"/>
      <c r="E943" s="585"/>
      <c r="F943" s="585"/>
      <c r="G943" s="585"/>
      <c r="H943" s="585"/>
      <c r="I943" s="585"/>
      <c r="J943" s="585"/>
      <c r="K943" s="585"/>
      <c r="L943" s="585"/>
      <c r="M943" s="585"/>
      <c r="N943" s="585"/>
      <c r="O943" s="585"/>
      <c r="P943" s="585"/>
      <c r="Q943" s="585"/>
      <c r="R943" s="585"/>
      <c r="S943" s="585"/>
      <c r="T943" s="585"/>
      <c r="U943" s="585"/>
      <c r="V943" s="224"/>
      <c r="W943" s="224"/>
      <c r="X943" s="224"/>
      <c r="Y943" s="224"/>
      <c r="Z943" s="868"/>
      <c r="AA943" s="865"/>
      <c r="AB943" s="2"/>
      <c r="AC943" s="2"/>
      <c r="AD943" s="2"/>
      <c r="AE943" s="2"/>
      <c r="AF943" s="2"/>
      <c r="AG943" s="2"/>
      <c r="AH943" s="2"/>
      <c r="AI943" s="2"/>
      <c r="AJ943" s="2"/>
      <c r="AK943" s="2"/>
      <c r="AL943" s="2"/>
      <c r="AM943" s="2"/>
      <c r="AN943" s="2"/>
      <c r="AO943" s="9"/>
      <c r="AP943" s="9"/>
      <c r="AQ943" s="9"/>
      <c r="AR943" s="9"/>
    </row>
    <row r="944">
      <c r="A944" s="585"/>
      <c r="B944" s="585"/>
      <c r="C944" s="585"/>
      <c r="D944" s="585"/>
      <c r="E944" s="585"/>
      <c r="F944" s="585"/>
      <c r="G944" s="585"/>
      <c r="H944" s="585"/>
      <c r="I944" s="585"/>
      <c r="J944" s="585"/>
      <c r="K944" s="585"/>
      <c r="L944" s="585"/>
      <c r="M944" s="585"/>
      <c r="N944" s="585"/>
      <c r="O944" s="585"/>
      <c r="P944" s="585"/>
      <c r="Q944" s="585"/>
      <c r="R944" s="585"/>
      <c r="S944" s="585"/>
      <c r="T944" s="585"/>
      <c r="U944" s="585"/>
      <c r="V944" s="224"/>
      <c r="W944" s="224"/>
      <c r="X944" s="224"/>
      <c r="Y944" s="224"/>
      <c r="Z944" s="868"/>
      <c r="AA944" s="865"/>
      <c r="AB944" s="2"/>
      <c r="AC944" s="2"/>
      <c r="AD944" s="2"/>
      <c r="AE944" s="2"/>
      <c r="AF944" s="2"/>
      <c r="AG944" s="2"/>
      <c r="AH944" s="2"/>
      <c r="AI944" s="2"/>
      <c r="AJ944" s="2"/>
      <c r="AK944" s="2"/>
      <c r="AL944" s="2"/>
      <c r="AM944" s="2"/>
      <c r="AN944" s="2"/>
      <c r="AO944" s="9"/>
      <c r="AP944" s="9"/>
      <c r="AQ944" s="9"/>
      <c r="AR944" s="9"/>
    </row>
    <row r="945">
      <c r="A945" s="585"/>
      <c r="B945" s="585"/>
      <c r="C945" s="585"/>
      <c r="D945" s="585"/>
      <c r="E945" s="585"/>
      <c r="F945" s="585"/>
      <c r="G945" s="585"/>
      <c r="H945" s="585"/>
      <c r="I945" s="585"/>
      <c r="J945" s="585"/>
      <c r="K945" s="585"/>
      <c r="L945" s="585"/>
      <c r="M945" s="585"/>
      <c r="N945" s="585"/>
      <c r="O945" s="585"/>
      <c r="P945" s="585"/>
      <c r="Q945" s="585"/>
      <c r="R945" s="585"/>
      <c r="S945" s="585"/>
      <c r="T945" s="585"/>
      <c r="U945" s="585"/>
      <c r="V945" s="224"/>
      <c r="W945" s="224"/>
      <c r="X945" s="224"/>
      <c r="Y945" s="224"/>
      <c r="Z945" s="868"/>
      <c r="AA945" s="865"/>
      <c r="AB945" s="2"/>
      <c r="AC945" s="2"/>
      <c r="AD945" s="2"/>
      <c r="AE945" s="2"/>
      <c r="AF945" s="2"/>
      <c r="AG945" s="2"/>
      <c r="AH945" s="2"/>
      <c r="AI945" s="2"/>
      <c r="AJ945" s="2"/>
      <c r="AK945" s="2"/>
      <c r="AL945" s="2"/>
      <c r="AM945" s="2"/>
      <c r="AN945" s="2"/>
      <c r="AO945" s="9"/>
      <c r="AP945" s="9"/>
      <c r="AQ945" s="9"/>
      <c r="AR945" s="9"/>
    </row>
    <row r="946">
      <c r="A946" s="585"/>
      <c r="B946" s="585"/>
      <c r="C946" s="585"/>
      <c r="D946" s="585"/>
      <c r="E946" s="585"/>
      <c r="F946" s="585"/>
      <c r="G946" s="585"/>
      <c r="H946" s="585"/>
      <c r="I946" s="585"/>
      <c r="J946" s="585"/>
      <c r="K946" s="585"/>
      <c r="L946" s="585"/>
      <c r="M946" s="585"/>
      <c r="N946" s="585"/>
      <c r="O946" s="585"/>
      <c r="P946" s="585"/>
      <c r="Q946" s="585"/>
      <c r="R946" s="585"/>
      <c r="S946" s="585"/>
      <c r="T946" s="585"/>
      <c r="U946" s="585"/>
      <c r="V946" s="224"/>
      <c r="W946" s="224"/>
      <c r="X946" s="224"/>
      <c r="Y946" s="224"/>
      <c r="Z946" s="868"/>
      <c r="AA946" s="865"/>
      <c r="AB946" s="2"/>
      <c r="AC946" s="2"/>
      <c r="AD946" s="2"/>
      <c r="AE946" s="2"/>
      <c r="AF946" s="2"/>
      <c r="AG946" s="2"/>
      <c r="AH946" s="2"/>
      <c r="AI946" s="2"/>
      <c r="AJ946" s="2"/>
      <c r="AK946" s="2"/>
      <c r="AL946" s="2"/>
      <c r="AM946" s="2"/>
      <c r="AN946" s="2"/>
      <c r="AO946" s="9"/>
      <c r="AP946" s="9"/>
      <c r="AQ946" s="9"/>
      <c r="AR946" s="9"/>
    </row>
    <row r="947">
      <c r="A947" s="585"/>
      <c r="B947" s="585"/>
      <c r="C947" s="585"/>
      <c r="D947" s="585"/>
      <c r="E947" s="585"/>
      <c r="F947" s="585"/>
      <c r="G947" s="585"/>
      <c r="H947" s="585"/>
      <c r="I947" s="585"/>
      <c r="J947" s="585"/>
      <c r="K947" s="585"/>
      <c r="L947" s="585"/>
      <c r="M947" s="585"/>
      <c r="N947" s="585"/>
      <c r="O947" s="585"/>
      <c r="P947" s="585"/>
      <c r="Q947" s="585"/>
      <c r="R947" s="585"/>
      <c r="S947" s="585"/>
      <c r="T947" s="585"/>
      <c r="U947" s="585"/>
      <c r="V947" s="224"/>
      <c r="W947" s="224"/>
      <c r="X947" s="224"/>
      <c r="Y947" s="224"/>
      <c r="Z947" s="868"/>
      <c r="AA947" s="865"/>
      <c r="AB947" s="2"/>
      <c r="AC947" s="2"/>
      <c r="AD947" s="2"/>
      <c r="AE947" s="2"/>
      <c r="AF947" s="2"/>
      <c r="AG947" s="2"/>
      <c r="AH947" s="2"/>
      <c r="AI947" s="2"/>
      <c r="AJ947" s="2"/>
      <c r="AK947" s="2"/>
      <c r="AL947" s="2"/>
      <c r="AM947" s="2"/>
      <c r="AN947" s="2"/>
      <c r="AO947" s="9"/>
      <c r="AP947" s="9"/>
      <c r="AQ947" s="9"/>
      <c r="AR947" s="9"/>
    </row>
    <row r="948">
      <c r="A948" s="585"/>
      <c r="B948" s="585"/>
      <c r="C948" s="585"/>
      <c r="D948" s="585"/>
      <c r="E948" s="585"/>
      <c r="F948" s="585"/>
      <c r="G948" s="585"/>
      <c r="H948" s="585"/>
      <c r="I948" s="585"/>
      <c r="J948" s="585"/>
      <c r="K948" s="585"/>
      <c r="L948" s="585"/>
      <c r="M948" s="585"/>
      <c r="N948" s="585"/>
      <c r="O948" s="585"/>
      <c r="P948" s="585"/>
      <c r="Q948" s="585"/>
      <c r="R948" s="585"/>
      <c r="S948" s="585"/>
      <c r="T948" s="585"/>
      <c r="U948" s="585"/>
      <c r="V948" s="224"/>
      <c r="W948" s="224"/>
      <c r="X948" s="224"/>
      <c r="Y948" s="224"/>
      <c r="Z948" s="868"/>
      <c r="AA948" s="865"/>
      <c r="AB948" s="2"/>
      <c r="AC948" s="2"/>
      <c r="AD948" s="2"/>
      <c r="AE948" s="2"/>
      <c r="AF948" s="2"/>
      <c r="AG948" s="2"/>
      <c r="AH948" s="2"/>
      <c r="AI948" s="2"/>
      <c r="AJ948" s="2"/>
      <c r="AK948" s="2"/>
      <c r="AL948" s="2"/>
      <c r="AM948" s="2"/>
      <c r="AN948" s="2"/>
      <c r="AO948" s="9"/>
      <c r="AP948" s="9"/>
      <c r="AQ948" s="9"/>
      <c r="AR948" s="9"/>
    </row>
    <row r="949">
      <c r="A949" s="585"/>
      <c r="B949" s="585"/>
      <c r="C949" s="585"/>
      <c r="D949" s="585"/>
      <c r="E949" s="585"/>
      <c r="F949" s="585"/>
      <c r="G949" s="585"/>
      <c r="H949" s="585"/>
      <c r="I949" s="585"/>
      <c r="J949" s="585"/>
      <c r="K949" s="585"/>
      <c r="L949" s="585"/>
      <c r="M949" s="585"/>
      <c r="N949" s="585"/>
      <c r="O949" s="585"/>
      <c r="P949" s="585"/>
      <c r="Q949" s="585"/>
      <c r="R949" s="585"/>
      <c r="S949" s="585"/>
      <c r="T949" s="585"/>
      <c r="U949" s="585"/>
      <c r="V949" s="224"/>
      <c r="W949" s="224"/>
      <c r="X949" s="224"/>
      <c r="Y949" s="224"/>
      <c r="Z949" s="868"/>
      <c r="AA949" s="865"/>
      <c r="AB949" s="2"/>
      <c r="AC949" s="2"/>
      <c r="AD949" s="2"/>
      <c r="AE949" s="2"/>
      <c r="AF949" s="2"/>
      <c r="AG949" s="2"/>
      <c r="AH949" s="2"/>
      <c r="AI949" s="2"/>
      <c r="AJ949" s="2"/>
      <c r="AK949" s="2"/>
      <c r="AL949" s="2"/>
      <c r="AM949" s="2"/>
      <c r="AN949" s="2"/>
      <c r="AO949" s="9"/>
      <c r="AP949" s="9"/>
      <c r="AQ949" s="9"/>
      <c r="AR949" s="9"/>
    </row>
    <row r="950">
      <c r="A950" s="585"/>
      <c r="B950" s="585"/>
      <c r="C950" s="585"/>
      <c r="D950" s="585"/>
      <c r="E950" s="585"/>
      <c r="F950" s="585"/>
      <c r="G950" s="585"/>
      <c r="H950" s="585"/>
      <c r="I950" s="585"/>
      <c r="J950" s="585"/>
      <c r="K950" s="585"/>
      <c r="L950" s="585"/>
      <c r="M950" s="585"/>
      <c r="N950" s="585"/>
      <c r="O950" s="585"/>
      <c r="P950" s="585"/>
      <c r="Q950" s="585"/>
      <c r="R950" s="585"/>
      <c r="S950" s="585"/>
      <c r="T950" s="585"/>
      <c r="U950" s="585"/>
      <c r="V950" s="224"/>
      <c r="W950" s="224"/>
      <c r="X950" s="224"/>
      <c r="Y950" s="224"/>
      <c r="Z950" s="868"/>
      <c r="AA950" s="865"/>
      <c r="AB950" s="2"/>
      <c r="AC950" s="2"/>
      <c r="AD950" s="2"/>
      <c r="AE950" s="2"/>
      <c r="AF950" s="2"/>
      <c r="AG950" s="2"/>
      <c r="AH950" s="2"/>
      <c r="AI950" s="2"/>
      <c r="AJ950" s="2"/>
      <c r="AK950" s="2"/>
      <c r="AL950" s="2"/>
      <c r="AM950" s="2"/>
      <c r="AN950" s="2"/>
      <c r="AO950" s="9"/>
      <c r="AP950" s="9"/>
      <c r="AQ950" s="9"/>
      <c r="AR950" s="9"/>
    </row>
    <row r="951">
      <c r="A951" s="585"/>
      <c r="B951" s="585"/>
      <c r="C951" s="585"/>
      <c r="D951" s="585"/>
      <c r="E951" s="585"/>
      <c r="F951" s="585"/>
      <c r="G951" s="585"/>
      <c r="H951" s="585"/>
      <c r="I951" s="585"/>
      <c r="J951" s="585"/>
      <c r="K951" s="585"/>
      <c r="L951" s="585"/>
      <c r="M951" s="585"/>
      <c r="N951" s="585"/>
      <c r="O951" s="585"/>
      <c r="P951" s="585"/>
      <c r="Q951" s="585"/>
      <c r="R951" s="585"/>
      <c r="S951" s="585"/>
      <c r="T951" s="585"/>
      <c r="U951" s="585"/>
      <c r="V951" s="224"/>
      <c r="W951" s="224"/>
      <c r="X951" s="224"/>
      <c r="Y951" s="224"/>
      <c r="Z951" s="868"/>
      <c r="AA951" s="865"/>
      <c r="AB951" s="2"/>
      <c r="AC951" s="2"/>
      <c r="AD951" s="2"/>
      <c r="AE951" s="2"/>
      <c r="AF951" s="2"/>
      <c r="AG951" s="2"/>
      <c r="AH951" s="2"/>
      <c r="AI951" s="2"/>
      <c r="AJ951" s="2"/>
      <c r="AK951" s="2"/>
      <c r="AL951" s="2"/>
      <c r="AM951" s="2"/>
      <c r="AN951" s="2"/>
      <c r="AO951" s="9"/>
      <c r="AP951" s="9"/>
      <c r="AQ951" s="9"/>
      <c r="AR951" s="9"/>
    </row>
    <row r="952">
      <c r="A952" s="585"/>
      <c r="B952" s="585"/>
      <c r="C952" s="585"/>
      <c r="D952" s="585"/>
      <c r="E952" s="585"/>
      <c r="F952" s="585"/>
      <c r="G952" s="585"/>
      <c r="H952" s="585"/>
      <c r="I952" s="585"/>
      <c r="J952" s="585"/>
      <c r="K952" s="585"/>
      <c r="L952" s="585"/>
      <c r="M952" s="585"/>
      <c r="N952" s="585"/>
      <c r="O952" s="585"/>
      <c r="P952" s="585"/>
      <c r="Q952" s="585"/>
      <c r="R952" s="585"/>
      <c r="S952" s="585"/>
      <c r="T952" s="585"/>
      <c r="U952" s="585"/>
      <c r="V952" s="224"/>
      <c r="W952" s="224"/>
      <c r="X952" s="224"/>
      <c r="Y952" s="224"/>
      <c r="Z952" s="868"/>
      <c r="AA952" s="865"/>
      <c r="AB952" s="2"/>
      <c r="AC952" s="2"/>
      <c r="AD952" s="2"/>
      <c r="AE952" s="2"/>
      <c r="AF952" s="2"/>
      <c r="AG952" s="2"/>
      <c r="AH952" s="2"/>
      <c r="AI952" s="2"/>
      <c r="AJ952" s="2"/>
      <c r="AK952" s="2"/>
      <c r="AL952" s="2"/>
      <c r="AM952" s="2"/>
      <c r="AN952" s="2"/>
      <c r="AO952" s="9"/>
      <c r="AP952" s="9"/>
      <c r="AQ952" s="9"/>
      <c r="AR952" s="9"/>
    </row>
    <row r="953">
      <c r="A953" s="585"/>
      <c r="B953" s="585"/>
      <c r="C953" s="585"/>
      <c r="D953" s="585"/>
      <c r="E953" s="585"/>
      <c r="F953" s="585"/>
      <c r="G953" s="585"/>
      <c r="H953" s="585"/>
      <c r="I953" s="585"/>
      <c r="J953" s="585"/>
      <c r="K953" s="585"/>
      <c r="L953" s="585"/>
      <c r="M953" s="585"/>
      <c r="N953" s="585"/>
      <c r="O953" s="585"/>
      <c r="P953" s="585"/>
      <c r="Q953" s="585"/>
      <c r="R953" s="585"/>
      <c r="S953" s="585"/>
      <c r="T953" s="585"/>
      <c r="U953" s="585"/>
      <c r="V953" s="224"/>
      <c r="W953" s="224"/>
      <c r="X953" s="224"/>
      <c r="Y953" s="224"/>
      <c r="Z953" s="868"/>
      <c r="AA953" s="865"/>
      <c r="AB953" s="2"/>
      <c r="AC953" s="2"/>
      <c r="AD953" s="2"/>
      <c r="AE953" s="2"/>
      <c r="AF953" s="2"/>
      <c r="AG953" s="2"/>
      <c r="AH953" s="2"/>
      <c r="AI953" s="2"/>
      <c r="AJ953" s="2"/>
      <c r="AK953" s="2"/>
      <c r="AL953" s="2"/>
      <c r="AM953" s="2"/>
      <c r="AN953" s="2"/>
      <c r="AO953" s="9"/>
      <c r="AP953" s="9"/>
      <c r="AQ953" s="9"/>
      <c r="AR953" s="9"/>
    </row>
    <row r="954">
      <c r="A954" s="585"/>
      <c r="B954" s="585"/>
      <c r="C954" s="585"/>
      <c r="D954" s="585"/>
      <c r="E954" s="585"/>
      <c r="F954" s="585"/>
      <c r="G954" s="585"/>
      <c r="H954" s="585"/>
      <c r="I954" s="585"/>
      <c r="J954" s="585"/>
      <c r="K954" s="585"/>
      <c r="L954" s="585"/>
      <c r="M954" s="585"/>
      <c r="N954" s="585"/>
      <c r="O954" s="585"/>
      <c r="P954" s="585"/>
      <c r="Q954" s="585"/>
      <c r="R954" s="585"/>
      <c r="S954" s="585"/>
      <c r="T954" s="585"/>
      <c r="U954" s="585"/>
      <c r="V954" s="224"/>
      <c r="W954" s="224"/>
      <c r="X954" s="224"/>
      <c r="Y954" s="224"/>
      <c r="Z954" s="868"/>
      <c r="AA954" s="865"/>
      <c r="AB954" s="2"/>
      <c r="AC954" s="2"/>
      <c r="AD954" s="2"/>
      <c r="AE954" s="2"/>
      <c r="AF954" s="2"/>
      <c r="AG954" s="2"/>
      <c r="AH954" s="2"/>
      <c r="AI954" s="2"/>
      <c r="AJ954" s="2"/>
      <c r="AK954" s="2"/>
      <c r="AL954" s="2"/>
      <c r="AM954" s="2"/>
      <c r="AN954" s="2"/>
      <c r="AO954" s="9"/>
      <c r="AP954" s="9"/>
      <c r="AQ954" s="9"/>
      <c r="AR954" s="9"/>
    </row>
    <row r="955">
      <c r="A955" s="585"/>
      <c r="B955" s="585"/>
      <c r="C955" s="585"/>
      <c r="D955" s="585"/>
      <c r="E955" s="585"/>
      <c r="F955" s="585"/>
      <c r="G955" s="585"/>
      <c r="H955" s="585"/>
      <c r="I955" s="585"/>
      <c r="J955" s="585"/>
      <c r="K955" s="585"/>
      <c r="L955" s="585"/>
      <c r="M955" s="585"/>
      <c r="N955" s="585"/>
      <c r="O955" s="585"/>
      <c r="P955" s="585"/>
      <c r="Q955" s="585"/>
      <c r="R955" s="585"/>
      <c r="S955" s="585"/>
      <c r="T955" s="585"/>
      <c r="U955" s="585"/>
      <c r="V955" s="224"/>
      <c r="W955" s="224"/>
      <c r="X955" s="224"/>
      <c r="Y955" s="224"/>
      <c r="Z955" s="868"/>
      <c r="AA955" s="865"/>
      <c r="AB955" s="2"/>
      <c r="AC955" s="2"/>
      <c r="AD955" s="2"/>
      <c r="AE955" s="2"/>
      <c r="AF955" s="2"/>
      <c r="AG955" s="2"/>
      <c r="AH955" s="2"/>
      <c r="AI955" s="2"/>
      <c r="AJ955" s="2"/>
      <c r="AK955" s="2"/>
      <c r="AL955" s="2"/>
      <c r="AM955" s="2"/>
      <c r="AN955" s="2"/>
      <c r="AO955" s="9"/>
      <c r="AP955" s="9"/>
      <c r="AQ955" s="9"/>
      <c r="AR955" s="9"/>
    </row>
    <row r="956">
      <c r="A956" s="585"/>
      <c r="B956" s="585"/>
      <c r="C956" s="585"/>
      <c r="D956" s="585"/>
      <c r="E956" s="585"/>
      <c r="F956" s="585"/>
      <c r="G956" s="585"/>
      <c r="H956" s="585"/>
      <c r="I956" s="585"/>
      <c r="J956" s="585"/>
      <c r="K956" s="585"/>
      <c r="L956" s="585"/>
      <c r="M956" s="585"/>
      <c r="N956" s="585"/>
      <c r="O956" s="585"/>
      <c r="P956" s="585"/>
      <c r="Q956" s="585"/>
      <c r="R956" s="585"/>
      <c r="S956" s="585"/>
      <c r="T956" s="585"/>
      <c r="U956" s="585"/>
      <c r="V956" s="224"/>
      <c r="W956" s="224"/>
      <c r="X956" s="224"/>
      <c r="Y956" s="224"/>
      <c r="Z956" s="868"/>
      <c r="AA956" s="865"/>
      <c r="AB956" s="2"/>
      <c r="AC956" s="2"/>
      <c r="AD956" s="2"/>
      <c r="AE956" s="2"/>
      <c r="AF956" s="2"/>
      <c r="AG956" s="2"/>
      <c r="AH956" s="2"/>
      <c r="AI956" s="2"/>
      <c r="AJ956" s="2"/>
      <c r="AK956" s="2"/>
      <c r="AL956" s="2"/>
      <c r="AM956" s="2"/>
      <c r="AN956" s="2"/>
      <c r="AO956" s="9"/>
      <c r="AP956" s="9"/>
      <c r="AQ956" s="9"/>
      <c r="AR956" s="9"/>
    </row>
    <row r="957">
      <c r="A957" s="585"/>
      <c r="B957" s="585"/>
      <c r="C957" s="585"/>
      <c r="D957" s="585"/>
      <c r="E957" s="585"/>
      <c r="F957" s="585"/>
      <c r="G957" s="585"/>
      <c r="H957" s="585"/>
      <c r="I957" s="585"/>
      <c r="J957" s="585"/>
      <c r="K957" s="585"/>
      <c r="L957" s="585"/>
      <c r="M957" s="585"/>
      <c r="N957" s="585"/>
      <c r="O957" s="585"/>
      <c r="P957" s="585"/>
      <c r="Q957" s="585"/>
      <c r="R957" s="585"/>
      <c r="S957" s="585"/>
      <c r="T957" s="585"/>
      <c r="U957" s="585"/>
      <c r="V957" s="224"/>
      <c r="W957" s="224"/>
      <c r="X957" s="224"/>
      <c r="Y957" s="224"/>
      <c r="Z957" s="868"/>
      <c r="AA957" s="865"/>
      <c r="AB957" s="2"/>
      <c r="AC957" s="2"/>
      <c r="AD957" s="2"/>
      <c r="AE957" s="2"/>
      <c r="AF957" s="2"/>
      <c r="AG957" s="2"/>
      <c r="AH957" s="2"/>
      <c r="AI957" s="2"/>
      <c r="AJ957" s="2"/>
      <c r="AK957" s="2"/>
      <c r="AL957" s="2"/>
      <c r="AM957" s="2"/>
      <c r="AN957" s="2"/>
      <c r="AO957" s="9"/>
      <c r="AP957" s="9"/>
      <c r="AQ957" s="9"/>
      <c r="AR957" s="9"/>
    </row>
    <row r="958">
      <c r="A958" s="585"/>
      <c r="B958" s="585"/>
      <c r="C958" s="585"/>
      <c r="D958" s="585"/>
      <c r="E958" s="585"/>
      <c r="F958" s="585"/>
      <c r="G958" s="585"/>
      <c r="H958" s="585"/>
      <c r="I958" s="585"/>
      <c r="J958" s="585"/>
      <c r="K958" s="585"/>
      <c r="L958" s="585"/>
      <c r="M958" s="585"/>
      <c r="N958" s="585"/>
      <c r="O958" s="585"/>
      <c r="P958" s="585"/>
      <c r="Q958" s="585"/>
      <c r="R958" s="585"/>
      <c r="S958" s="585"/>
      <c r="T958" s="585"/>
      <c r="U958" s="585"/>
      <c r="V958" s="224"/>
      <c r="W958" s="224"/>
      <c r="X958" s="224"/>
      <c r="Y958" s="224"/>
      <c r="Z958" s="868"/>
      <c r="AA958" s="865"/>
      <c r="AB958" s="2"/>
      <c r="AC958" s="2"/>
      <c r="AD958" s="2"/>
      <c r="AE958" s="2"/>
      <c r="AF958" s="2"/>
      <c r="AG958" s="2"/>
      <c r="AH958" s="2"/>
      <c r="AI958" s="2"/>
      <c r="AJ958" s="2"/>
      <c r="AK958" s="2"/>
      <c r="AL958" s="2"/>
      <c r="AM958" s="2"/>
      <c r="AN958" s="2"/>
      <c r="AO958" s="9"/>
      <c r="AP958" s="9"/>
      <c r="AQ958" s="9"/>
      <c r="AR958" s="9"/>
    </row>
    <row r="959">
      <c r="A959" s="585"/>
      <c r="B959" s="585"/>
      <c r="C959" s="585"/>
      <c r="D959" s="585"/>
      <c r="E959" s="585"/>
      <c r="F959" s="585"/>
      <c r="G959" s="585"/>
      <c r="H959" s="585"/>
      <c r="I959" s="585"/>
      <c r="J959" s="585"/>
      <c r="K959" s="585"/>
      <c r="L959" s="585"/>
      <c r="M959" s="585"/>
      <c r="N959" s="585"/>
      <c r="O959" s="585"/>
      <c r="P959" s="585"/>
      <c r="Q959" s="585"/>
      <c r="R959" s="585"/>
      <c r="S959" s="585"/>
      <c r="T959" s="585"/>
      <c r="U959" s="585"/>
      <c r="V959" s="224"/>
      <c r="W959" s="224"/>
      <c r="X959" s="224"/>
      <c r="Y959" s="224"/>
      <c r="Z959" s="868"/>
      <c r="AA959" s="865"/>
      <c r="AB959" s="2"/>
      <c r="AC959" s="2"/>
      <c r="AD959" s="2"/>
      <c r="AE959" s="2"/>
      <c r="AF959" s="2"/>
      <c r="AG959" s="2"/>
      <c r="AH959" s="2"/>
      <c r="AI959" s="2"/>
      <c r="AJ959" s="2"/>
      <c r="AK959" s="2"/>
      <c r="AL959" s="2"/>
      <c r="AM959" s="2"/>
      <c r="AN959" s="2"/>
      <c r="AO959" s="9"/>
      <c r="AP959" s="9"/>
      <c r="AQ959" s="9"/>
      <c r="AR959" s="9"/>
    </row>
    <row r="960">
      <c r="A960" s="585"/>
      <c r="B960" s="585"/>
      <c r="C960" s="585"/>
      <c r="D960" s="585"/>
      <c r="E960" s="585"/>
      <c r="F960" s="585"/>
      <c r="G960" s="585"/>
      <c r="H960" s="585"/>
      <c r="I960" s="585"/>
      <c r="J960" s="585"/>
      <c r="K960" s="585"/>
      <c r="L960" s="585"/>
      <c r="M960" s="585"/>
      <c r="N960" s="585"/>
      <c r="O960" s="585"/>
      <c r="P960" s="585"/>
      <c r="Q960" s="585"/>
      <c r="R960" s="585"/>
      <c r="S960" s="585"/>
      <c r="T960" s="585"/>
      <c r="U960" s="585"/>
      <c r="V960" s="224"/>
      <c r="W960" s="224"/>
      <c r="X960" s="224"/>
      <c r="Y960" s="224"/>
      <c r="Z960" s="868"/>
      <c r="AA960" s="865"/>
      <c r="AB960" s="2"/>
      <c r="AC960" s="2"/>
      <c r="AD960" s="2"/>
      <c r="AE960" s="2"/>
      <c r="AF960" s="2"/>
      <c r="AG960" s="2"/>
      <c r="AH960" s="2"/>
      <c r="AI960" s="2"/>
      <c r="AJ960" s="2"/>
      <c r="AK960" s="2"/>
      <c r="AL960" s="2"/>
      <c r="AM960" s="2"/>
      <c r="AN960" s="2"/>
      <c r="AO960" s="9"/>
      <c r="AP960" s="9"/>
      <c r="AQ960" s="9"/>
      <c r="AR960" s="9"/>
    </row>
    <row r="961">
      <c r="A961" s="585"/>
      <c r="B961" s="585"/>
      <c r="C961" s="585"/>
      <c r="D961" s="585"/>
      <c r="E961" s="585"/>
      <c r="F961" s="585"/>
      <c r="G961" s="585"/>
      <c r="H961" s="585"/>
      <c r="I961" s="585"/>
      <c r="J961" s="585"/>
      <c r="K961" s="585"/>
      <c r="L961" s="585"/>
      <c r="M961" s="585"/>
      <c r="N961" s="585"/>
      <c r="O961" s="585"/>
      <c r="P961" s="585"/>
      <c r="Q961" s="585"/>
      <c r="R961" s="585"/>
      <c r="S961" s="585"/>
      <c r="T961" s="585"/>
      <c r="U961" s="585"/>
      <c r="V961" s="224"/>
      <c r="W961" s="224"/>
      <c r="X961" s="224"/>
      <c r="Y961" s="224"/>
      <c r="Z961" s="868"/>
      <c r="AA961" s="865"/>
      <c r="AB961" s="2"/>
      <c r="AC961" s="2"/>
      <c r="AD961" s="2"/>
      <c r="AE961" s="2"/>
      <c r="AF961" s="2"/>
      <c r="AG961" s="2"/>
      <c r="AH961" s="2"/>
      <c r="AI961" s="2"/>
      <c r="AJ961" s="2"/>
      <c r="AK961" s="2"/>
      <c r="AL961" s="2"/>
      <c r="AM961" s="2"/>
      <c r="AN961" s="2"/>
      <c r="AO961" s="9"/>
      <c r="AP961" s="9"/>
      <c r="AQ961" s="9"/>
      <c r="AR961" s="9"/>
    </row>
    <row r="962">
      <c r="A962" s="585"/>
      <c r="B962" s="585"/>
      <c r="C962" s="585"/>
      <c r="D962" s="585"/>
      <c r="E962" s="585"/>
      <c r="F962" s="585"/>
      <c r="G962" s="585"/>
      <c r="H962" s="585"/>
      <c r="I962" s="585"/>
      <c r="J962" s="585"/>
      <c r="K962" s="585"/>
      <c r="L962" s="585"/>
      <c r="M962" s="585"/>
      <c r="N962" s="585"/>
      <c r="O962" s="585"/>
      <c r="P962" s="585"/>
      <c r="Q962" s="585"/>
      <c r="R962" s="585"/>
      <c r="S962" s="585"/>
      <c r="T962" s="585"/>
      <c r="U962" s="585"/>
      <c r="V962" s="224"/>
      <c r="W962" s="224"/>
      <c r="X962" s="224"/>
      <c r="Y962" s="224"/>
      <c r="Z962" s="868"/>
      <c r="AA962" s="865"/>
      <c r="AB962" s="2"/>
      <c r="AC962" s="2"/>
      <c r="AD962" s="2"/>
      <c r="AE962" s="2"/>
      <c r="AF962" s="2"/>
      <c r="AG962" s="2"/>
      <c r="AH962" s="2"/>
      <c r="AI962" s="2"/>
      <c r="AJ962" s="2"/>
      <c r="AK962" s="2"/>
      <c r="AL962" s="2"/>
      <c r="AM962" s="2"/>
      <c r="AN962" s="2"/>
      <c r="AO962" s="9"/>
      <c r="AP962" s="9"/>
      <c r="AQ962" s="9"/>
      <c r="AR962" s="9"/>
    </row>
    <row r="963">
      <c r="A963" s="585"/>
      <c r="B963" s="585"/>
      <c r="C963" s="585"/>
      <c r="D963" s="585"/>
      <c r="E963" s="585"/>
      <c r="F963" s="585"/>
      <c r="G963" s="585"/>
      <c r="H963" s="585"/>
      <c r="I963" s="585"/>
      <c r="J963" s="585"/>
      <c r="K963" s="585"/>
      <c r="L963" s="585"/>
      <c r="M963" s="585"/>
      <c r="N963" s="585"/>
      <c r="O963" s="585"/>
      <c r="P963" s="585"/>
      <c r="Q963" s="585"/>
      <c r="R963" s="585"/>
      <c r="S963" s="585"/>
      <c r="T963" s="585"/>
      <c r="U963" s="585"/>
      <c r="V963" s="224"/>
      <c r="W963" s="224"/>
      <c r="X963" s="224"/>
      <c r="Y963" s="224"/>
      <c r="Z963" s="868"/>
      <c r="AA963" s="865"/>
      <c r="AB963" s="2"/>
      <c r="AC963" s="2"/>
      <c r="AD963" s="2"/>
      <c r="AE963" s="2"/>
      <c r="AF963" s="2"/>
      <c r="AG963" s="2"/>
      <c r="AH963" s="2"/>
      <c r="AI963" s="2"/>
      <c r="AJ963" s="2"/>
      <c r="AK963" s="2"/>
      <c r="AL963" s="2"/>
      <c r="AM963" s="2"/>
      <c r="AN963" s="2"/>
      <c r="AO963" s="9"/>
      <c r="AP963" s="9"/>
      <c r="AQ963" s="9"/>
      <c r="AR963" s="9"/>
    </row>
    <row r="964">
      <c r="A964" s="585"/>
      <c r="B964" s="585"/>
      <c r="C964" s="585"/>
      <c r="D964" s="585"/>
      <c r="E964" s="585"/>
      <c r="F964" s="585"/>
      <c r="G964" s="585"/>
      <c r="H964" s="585"/>
      <c r="I964" s="585"/>
      <c r="J964" s="585"/>
      <c r="K964" s="585"/>
      <c r="L964" s="585"/>
      <c r="M964" s="585"/>
      <c r="N964" s="585"/>
      <c r="O964" s="585"/>
      <c r="P964" s="585"/>
      <c r="Q964" s="585"/>
      <c r="R964" s="585"/>
      <c r="S964" s="585"/>
      <c r="T964" s="585"/>
      <c r="U964" s="585"/>
      <c r="V964" s="224"/>
      <c r="W964" s="224"/>
      <c r="X964" s="224"/>
      <c r="Y964" s="224"/>
      <c r="Z964" s="868"/>
      <c r="AA964" s="865"/>
      <c r="AB964" s="2"/>
      <c r="AC964" s="2"/>
      <c r="AD964" s="2"/>
      <c r="AE964" s="2"/>
      <c r="AF964" s="2"/>
      <c r="AG964" s="2"/>
      <c r="AH964" s="2"/>
      <c r="AI964" s="2"/>
      <c r="AJ964" s="2"/>
      <c r="AK964" s="2"/>
      <c r="AL964" s="2"/>
      <c r="AM964" s="2"/>
      <c r="AN964" s="2"/>
      <c r="AO964" s="9"/>
      <c r="AP964" s="9"/>
      <c r="AQ964" s="9"/>
      <c r="AR964" s="9"/>
    </row>
    <row r="965">
      <c r="A965" s="585"/>
      <c r="B965" s="585"/>
      <c r="C965" s="585"/>
      <c r="D965" s="585"/>
      <c r="E965" s="585"/>
      <c r="F965" s="585"/>
      <c r="G965" s="585"/>
      <c r="H965" s="585"/>
      <c r="I965" s="585"/>
      <c r="J965" s="585"/>
      <c r="K965" s="585"/>
      <c r="L965" s="585"/>
      <c r="M965" s="585"/>
      <c r="N965" s="585"/>
      <c r="O965" s="585"/>
      <c r="P965" s="585"/>
      <c r="Q965" s="585"/>
      <c r="R965" s="585"/>
      <c r="S965" s="585"/>
      <c r="T965" s="585"/>
      <c r="U965" s="585"/>
      <c r="V965" s="224"/>
      <c r="W965" s="224"/>
      <c r="X965" s="224"/>
      <c r="Y965" s="224"/>
      <c r="Z965" s="868"/>
      <c r="AA965" s="865"/>
      <c r="AB965" s="2"/>
      <c r="AC965" s="2"/>
      <c r="AD965" s="2"/>
      <c r="AE965" s="2"/>
      <c r="AF965" s="2"/>
      <c r="AG965" s="2"/>
      <c r="AH965" s="2"/>
      <c r="AI965" s="2"/>
      <c r="AJ965" s="2"/>
      <c r="AK965" s="2"/>
      <c r="AL965" s="2"/>
      <c r="AM965" s="2"/>
      <c r="AN965" s="2"/>
      <c r="AO965" s="9"/>
      <c r="AP965" s="9"/>
      <c r="AQ965" s="9"/>
      <c r="AR965" s="9"/>
    </row>
    <row r="966">
      <c r="A966" s="585"/>
      <c r="B966" s="585"/>
      <c r="C966" s="585"/>
      <c r="D966" s="585"/>
      <c r="E966" s="585"/>
      <c r="F966" s="585"/>
      <c r="G966" s="585"/>
      <c r="H966" s="585"/>
      <c r="I966" s="585"/>
      <c r="J966" s="585"/>
      <c r="K966" s="585"/>
      <c r="L966" s="585"/>
      <c r="M966" s="585"/>
      <c r="N966" s="585"/>
      <c r="O966" s="585"/>
      <c r="P966" s="585"/>
      <c r="Q966" s="585"/>
      <c r="R966" s="585"/>
      <c r="S966" s="585"/>
      <c r="T966" s="585"/>
      <c r="U966" s="585"/>
      <c r="V966" s="224"/>
      <c r="W966" s="224"/>
      <c r="X966" s="224"/>
      <c r="Y966" s="224"/>
      <c r="Z966" s="868"/>
      <c r="AA966" s="865"/>
      <c r="AB966" s="2"/>
      <c r="AC966" s="2"/>
      <c r="AD966" s="2"/>
      <c r="AE966" s="2"/>
      <c r="AF966" s="2"/>
      <c r="AG966" s="2"/>
      <c r="AH966" s="2"/>
      <c r="AI966" s="2"/>
      <c r="AJ966" s="2"/>
      <c r="AK966" s="2"/>
      <c r="AL966" s="2"/>
      <c r="AM966" s="2"/>
      <c r="AN966" s="2"/>
      <c r="AO966" s="9"/>
      <c r="AP966" s="9"/>
      <c r="AQ966" s="9"/>
      <c r="AR966" s="9"/>
    </row>
    <row r="967">
      <c r="A967" s="585"/>
      <c r="B967" s="585"/>
      <c r="C967" s="585"/>
      <c r="D967" s="585"/>
      <c r="E967" s="585"/>
      <c r="F967" s="585"/>
      <c r="G967" s="585"/>
      <c r="H967" s="585"/>
      <c r="I967" s="585"/>
      <c r="J967" s="585"/>
      <c r="K967" s="585"/>
      <c r="L967" s="585"/>
      <c r="M967" s="585"/>
      <c r="N967" s="585"/>
      <c r="O967" s="585"/>
      <c r="P967" s="585"/>
      <c r="Q967" s="585"/>
      <c r="R967" s="585"/>
      <c r="S967" s="585"/>
      <c r="T967" s="585"/>
      <c r="U967" s="585"/>
      <c r="V967" s="224"/>
      <c r="W967" s="224"/>
      <c r="X967" s="224"/>
      <c r="Y967" s="224"/>
      <c r="Z967" s="868"/>
      <c r="AA967" s="865"/>
      <c r="AB967" s="2"/>
      <c r="AC967" s="2"/>
      <c r="AD967" s="2"/>
      <c r="AE967" s="2"/>
      <c r="AF967" s="2"/>
      <c r="AG967" s="2"/>
      <c r="AH967" s="2"/>
      <c r="AI967" s="2"/>
      <c r="AJ967" s="2"/>
      <c r="AK967" s="2"/>
      <c r="AL967" s="2"/>
      <c r="AM967" s="2"/>
      <c r="AN967" s="2"/>
      <c r="AO967" s="9"/>
      <c r="AP967" s="9"/>
      <c r="AQ967" s="9"/>
      <c r="AR967" s="9"/>
    </row>
    <row r="968">
      <c r="A968" s="585"/>
      <c r="B968" s="585"/>
      <c r="C968" s="585"/>
      <c r="D968" s="585"/>
      <c r="E968" s="585"/>
      <c r="F968" s="585"/>
      <c r="G968" s="585"/>
      <c r="H968" s="585"/>
      <c r="I968" s="585"/>
      <c r="J968" s="585"/>
      <c r="K968" s="585"/>
      <c r="L968" s="585"/>
      <c r="M968" s="585"/>
      <c r="N968" s="585"/>
      <c r="O968" s="585"/>
      <c r="P968" s="585"/>
      <c r="Q968" s="585"/>
      <c r="R968" s="585"/>
      <c r="S968" s="585"/>
      <c r="T968" s="585"/>
      <c r="U968" s="585"/>
      <c r="V968" s="224"/>
      <c r="W968" s="224"/>
      <c r="X968" s="224"/>
      <c r="Y968" s="224"/>
      <c r="Z968" s="868"/>
      <c r="AA968" s="865"/>
      <c r="AB968" s="2"/>
      <c r="AC968" s="2"/>
      <c r="AD968" s="2"/>
      <c r="AE968" s="2"/>
      <c r="AF968" s="2"/>
      <c r="AG968" s="2"/>
      <c r="AH968" s="2"/>
      <c r="AI968" s="2"/>
      <c r="AJ968" s="2"/>
      <c r="AK968" s="2"/>
      <c r="AL968" s="2"/>
      <c r="AM968" s="2"/>
      <c r="AN968" s="2"/>
      <c r="AO968" s="9"/>
      <c r="AP968" s="9"/>
      <c r="AQ968" s="9"/>
      <c r="AR968" s="9"/>
    </row>
    <row r="969">
      <c r="A969" s="585"/>
      <c r="B969" s="585"/>
      <c r="C969" s="585"/>
      <c r="D969" s="585"/>
      <c r="E969" s="585"/>
      <c r="F969" s="585"/>
      <c r="G969" s="585"/>
      <c r="H969" s="585"/>
      <c r="I969" s="585"/>
      <c r="J969" s="585"/>
      <c r="K969" s="585"/>
      <c r="L969" s="585"/>
      <c r="M969" s="585"/>
      <c r="N969" s="585"/>
      <c r="O969" s="585"/>
      <c r="P969" s="585"/>
      <c r="Q969" s="585"/>
      <c r="R969" s="585"/>
      <c r="S969" s="585"/>
      <c r="T969" s="585"/>
      <c r="U969" s="585"/>
      <c r="V969" s="224"/>
      <c r="W969" s="224"/>
      <c r="X969" s="224"/>
      <c r="Y969" s="224"/>
      <c r="Z969" s="868"/>
      <c r="AA969" s="865"/>
      <c r="AB969" s="2"/>
      <c r="AC969" s="2"/>
      <c r="AD969" s="2"/>
      <c r="AE969" s="2"/>
      <c r="AF969" s="2"/>
      <c r="AG969" s="2"/>
      <c r="AH969" s="2"/>
      <c r="AI969" s="2"/>
      <c r="AJ969" s="2"/>
      <c r="AK969" s="2"/>
      <c r="AL969" s="2"/>
      <c r="AM969" s="2"/>
      <c r="AN969" s="2"/>
      <c r="AO969" s="9"/>
      <c r="AP969" s="9"/>
      <c r="AQ969" s="9"/>
      <c r="AR969" s="9"/>
    </row>
    <row r="970">
      <c r="A970" s="585"/>
      <c r="B970" s="585"/>
      <c r="C970" s="585"/>
      <c r="D970" s="585"/>
      <c r="E970" s="585"/>
      <c r="F970" s="585"/>
      <c r="G970" s="585"/>
      <c r="H970" s="585"/>
      <c r="I970" s="585"/>
      <c r="J970" s="585"/>
      <c r="K970" s="585"/>
      <c r="L970" s="585"/>
      <c r="M970" s="585"/>
      <c r="N970" s="585"/>
      <c r="O970" s="585"/>
      <c r="P970" s="585"/>
      <c r="Q970" s="585"/>
      <c r="R970" s="585"/>
      <c r="S970" s="585"/>
      <c r="T970" s="585"/>
      <c r="U970" s="585"/>
      <c r="V970" s="224"/>
      <c r="W970" s="224"/>
      <c r="X970" s="224"/>
      <c r="Y970" s="224"/>
      <c r="Z970" s="868"/>
      <c r="AA970" s="865"/>
      <c r="AB970" s="2"/>
      <c r="AC970" s="2"/>
      <c r="AD970" s="2"/>
      <c r="AE970" s="2"/>
      <c r="AF970" s="2"/>
      <c r="AG970" s="2"/>
      <c r="AH970" s="2"/>
      <c r="AI970" s="2"/>
      <c r="AJ970" s="2"/>
      <c r="AK970" s="2"/>
      <c r="AL970" s="2"/>
      <c r="AM970" s="2"/>
      <c r="AN970" s="2"/>
      <c r="AO970" s="9"/>
      <c r="AP970" s="9"/>
      <c r="AQ970" s="9"/>
      <c r="AR970" s="9"/>
    </row>
    <row r="971">
      <c r="A971" s="585"/>
      <c r="B971" s="585"/>
      <c r="C971" s="585"/>
      <c r="D971" s="585"/>
      <c r="E971" s="585"/>
      <c r="F971" s="585"/>
      <c r="G971" s="585"/>
      <c r="H971" s="585"/>
      <c r="I971" s="585"/>
      <c r="J971" s="585"/>
      <c r="K971" s="585"/>
      <c r="L971" s="585"/>
      <c r="M971" s="585"/>
      <c r="N971" s="585"/>
      <c r="O971" s="585"/>
      <c r="P971" s="585"/>
      <c r="Q971" s="585"/>
      <c r="R971" s="585"/>
      <c r="S971" s="585"/>
      <c r="T971" s="585"/>
      <c r="U971" s="585"/>
      <c r="V971" s="224"/>
      <c r="W971" s="224"/>
      <c r="X971" s="224"/>
      <c r="Y971" s="224"/>
      <c r="Z971" s="868"/>
      <c r="AA971" s="865"/>
      <c r="AB971" s="2"/>
      <c r="AC971" s="2"/>
      <c r="AD971" s="2"/>
      <c r="AE971" s="2"/>
      <c r="AF971" s="2"/>
      <c r="AG971" s="2"/>
      <c r="AH971" s="2"/>
      <c r="AI971" s="2"/>
      <c r="AJ971" s="2"/>
      <c r="AK971" s="2"/>
      <c r="AL971" s="2"/>
      <c r="AM971" s="2"/>
      <c r="AN971" s="2"/>
      <c r="AO971" s="9"/>
      <c r="AP971" s="9"/>
      <c r="AQ971" s="9"/>
      <c r="AR971" s="9"/>
    </row>
    <row r="972">
      <c r="A972" s="585"/>
      <c r="B972" s="585"/>
      <c r="C972" s="585"/>
      <c r="D972" s="585"/>
      <c r="E972" s="585"/>
      <c r="F972" s="585"/>
      <c r="G972" s="585"/>
      <c r="H972" s="585"/>
      <c r="I972" s="585"/>
      <c r="J972" s="585"/>
      <c r="K972" s="585"/>
      <c r="L972" s="585"/>
      <c r="M972" s="585"/>
      <c r="N972" s="585"/>
      <c r="O972" s="585"/>
      <c r="P972" s="585"/>
      <c r="Q972" s="585"/>
      <c r="R972" s="585"/>
      <c r="S972" s="585"/>
      <c r="T972" s="585"/>
      <c r="U972" s="585"/>
      <c r="V972" s="224"/>
      <c r="W972" s="224"/>
      <c r="X972" s="224"/>
      <c r="Y972" s="224"/>
      <c r="Z972" s="868"/>
      <c r="AA972" s="865"/>
      <c r="AB972" s="2"/>
      <c r="AC972" s="2"/>
      <c r="AD972" s="2"/>
      <c r="AE972" s="2"/>
      <c r="AF972" s="2"/>
      <c r="AG972" s="2"/>
      <c r="AH972" s="2"/>
      <c r="AI972" s="2"/>
      <c r="AJ972" s="2"/>
      <c r="AK972" s="2"/>
      <c r="AL972" s="2"/>
      <c r="AM972" s="2"/>
      <c r="AN972" s="2"/>
      <c r="AO972" s="9"/>
      <c r="AP972" s="9"/>
      <c r="AQ972" s="9"/>
      <c r="AR972" s="9"/>
    </row>
    <row r="973">
      <c r="A973" s="585"/>
      <c r="B973" s="585"/>
      <c r="C973" s="585"/>
      <c r="D973" s="585"/>
      <c r="E973" s="585"/>
      <c r="F973" s="585"/>
      <c r="G973" s="585"/>
      <c r="H973" s="585"/>
      <c r="I973" s="585"/>
      <c r="J973" s="585"/>
      <c r="K973" s="585"/>
      <c r="L973" s="585"/>
      <c r="M973" s="585"/>
      <c r="N973" s="585"/>
      <c r="O973" s="585"/>
      <c r="P973" s="585"/>
      <c r="Q973" s="585"/>
      <c r="R973" s="585"/>
      <c r="S973" s="585"/>
      <c r="T973" s="585"/>
      <c r="U973" s="585"/>
      <c r="V973" s="224"/>
      <c r="W973" s="224"/>
      <c r="X973" s="224"/>
      <c r="Y973" s="224"/>
      <c r="Z973" s="868"/>
      <c r="AA973" s="865"/>
      <c r="AB973" s="2"/>
      <c r="AC973" s="2"/>
      <c r="AD973" s="2"/>
      <c r="AE973" s="2"/>
      <c r="AF973" s="2"/>
      <c r="AG973" s="2"/>
      <c r="AH973" s="2"/>
      <c r="AI973" s="2"/>
      <c r="AJ973" s="2"/>
      <c r="AK973" s="2"/>
      <c r="AL973" s="2"/>
      <c r="AM973" s="2"/>
      <c r="AN973" s="2"/>
      <c r="AO973" s="9"/>
      <c r="AP973" s="9"/>
      <c r="AQ973" s="9"/>
      <c r="AR973" s="9"/>
    </row>
    <row r="974">
      <c r="A974" s="585"/>
      <c r="B974" s="585"/>
      <c r="C974" s="585"/>
      <c r="D974" s="585"/>
      <c r="E974" s="585"/>
      <c r="F974" s="585"/>
      <c r="G974" s="585"/>
      <c r="H974" s="585"/>
      <c r="I974" s="585"/>
      <c r="J974" s="585"/>
      <c r="K974" s="585"/>
      <c r="L974" s="585"/>
      <c r="M974" s="585"/>
      <c r="N974" s="585"/>
      <c r="O974" s="585"/>
      <c r="P974" s="585"/>
      <c r="Q974" s="585"/>
      <c r="R974" s="585"/>
      <c r="S974" s="585"/>
      <c r="T974" s="585"/>
      <c r="U974" s="585"/>
      <c r="V974" s="224"/>
      <c r="W974" s="224"/>
      <c r="X974" s="224"/>
      <c r="Y974" s="224"/>
      <c r="Z974" s="868"/>
      <c r="AA974" s="865"/>
      <c r="AB974" s="2"/>
      <c r="AC974" s="2"/>
      <c r="AD974" s="2"/>
      <c r="AE974" s="2"/>
      <c r="AF974" s="2"/>
      <c r="AG974" s="2"/>
      <c r="AH974" s="2"/>
      <c r="AI974" s="2"/>
      <c r="AJ974" s="2"/>
      <c r="AK974" s="2"/>
      <c r="AL974" s="2"/>
      <c r="AM974" s="2"/>
      <c r="AN974" s="2"/>
      <c r="AO974" s="9"/>
      <c r="AP974" s="9"/>
      <c r="AQ974" s="9"/>
      <c r="AR974" s="9"/>
    </row>
    <row r="975">
      <c r="A975" s="585"/>
      <c r="B975" s="585"/>
      <c r="C975" s="585"/>
      <c r="D975" s="585"/>
      <c r="E975" s="585"/>
      <c r="F975" s="585"/>
      <c r="G975" s="585"/>
      <c r="H975" s="585"/>
      <c r="I975" s="585"/>
      <c r="J975" s="585"/>
      <c r="K975" s="585"/>
      <c r="L975" s="585"/>
      <c r="M975" s="585"/>
      <c r="N975" s="585"/>
      <c r="O975" s="585"/>
      <c r="P975" s="585"/>
      <c r="Q975" s="585"/>
      <c r="R975" s="585"/>
      <c r="S975" s="585"/>
      <c r="T975" s="585"/>
      <c r="U975" s="585"/>
      <c r="V975" s="224"/>
      <c r="W975" s="224"/>
      <c r="X975" s="224"/>
      <c r="Y975" s="224"/>
      <c r="Z975" s="868"/>
      <c r="AA975" s="865"/>
      <c r="AB975" s="2"/>
      <c r="AC975" s="2"/>
      <c r="AD975" s="2"/>
      <c r="AE975" s="2"/>
      <c r="AF975" s="2"/>
      <c r="AG975" s="2"/>
      <c r="AH975" s="2"/>
      <c r="AI975" s="2"/>
      <c r="AJ975" s="2"/>
      <c r="AK975" s="2"/>
      <c r="AL975" s="2"/>
      <c r="AM975" s="2"/>
      <c r="AN975" s="2"/>
      <c r="AO975" s="9"/>
      <c r="AP975" s="9"/>
      <c r="AQ975" s="9"/>
      <c r="AR975" s="9"/>
    </row>
    <row r="976">
      <c r="A976" s="585"/>
      <c r="B976" s="585"/>
      <c r="C976" s="585"/>
      <c r="D976" s="585"/>
      <c r="E976" s="585"/>
      <c r="F976" s="585"/>
      <c r="G976" s="585"/>
      <c r="H976" s="585"/>
      <c r="I976" s="585"/>
      <c r="J976" s="585"/>
      <c r="K976" s="585"/>
      <c r="L976" s="585"/>
      <c r="M976" s="585"/>
      <c r="N976" s="585"/>
      <c r="O976" s="585"/>
      <c r="P976" s="585"/>
      <c r="Q976" s="585"/>
      <c r="R976" s="585"/>
      <c r="S976" s="585"/>
      <c r="T976" s="585"/>
      <c r="U976" s="585"/>
      <c r="V976" s="224"/>
      <c r="W976" s="224"/>
      <c r="X976" s="224"/>
      <c r="Y976" s="224"/>
      <c r="Z976" s="868"/>
      <c r="AA976" s="865"/>
      <c r="AB976" s="2"/>
      <c r="AC976" s="2"/>
      <c r="AD976" s="2"/>
      <c r="AE976" s="2"/>
      <c r="AF976" s="2"/>
      <c r="AG976" s="2"/>
      <c r="AH976" s="2"/>
      <c r="AI976" s="2"/>
      <c r="AJ976" s="2"/>
      <c r="AK976" s="2"/>
      <c r="AL976" s="2"/>
      <c r="AM976" s="2"/>
      <c r="AN976" s="2"/>
      <c r="AO976" s="9"/>
      <c r="AP976" s="9"/>
      <c r="AQ976" s="9"/>
      <c r="AR976" s="9"/>
    </row>
    <row r="977">
      <c r="A977" s="585"/>
      <c r="B977" s="585"/>
      <c r="C977" s="585"/>
      <c r="D977" s="585"/>
      <c r="E977" s="585"/>
      <c r="F977" s="585"/>
      <c r="G977" s="585"/>
      <c r="H977" s="585"/>
      <c r="I977" s="585"/>
      <c r="J977" s="585"/>
      <c r="K977" s="585"/>
      <c r="L977" s="585"/>
      <c r="M977" s="585"/>
      <c r="N977" s="585"/>
      <c r="O977" s="585"/>
      <c r="P977" s="585"/>
      <c r="Q977" s="585"/>
      <c r="R977" s="585"/>
      <c r="S977" s="585"/>
      <c r="T977" s="585"/>
      <c r="U977" s="585"/>
      <c r="V977" s="224"/>
      <c r="W977" s="224"/>
      <c r="X977" s="224"/>
      <c r="Y977" s="224"/>
      <c r="Z977" s="868"/>
      <c r="AA977" s="865"/>
      <c r="AB977" s="2"/>
      <c r="AC977" s="2"/>
      <c r="AD977" s="2"/>
      <c r="AE977" s="2"/>
      <c r="AF977" s="2"/>
      <c r="AG977" s="2"/>
      <c r="AH977" s="2"/>
      <c r="AI977" s="2"/>
      <c r="AJ977" s="2"/>
      <c r="AK977" s="2"/>
      <c r="AL977" s="2"/>
      <c r="AM977" s="2"/>
      <c r="AN977" s="2"/>
      <c r="AO977" s="9"/>
      <c r="AP977" s="9"/>
      <c r="AQ977" s="9"/>
      <c r="AR977" s="9"/>
    </row>
    <row r="978">
      <c r="A978" s="585"/>
      <c r="B978" s="585"/>
      <c r="C978" s="585"/>
      <c r="D978" s="585"/>
      <c r="E978" s="585"/>
      <c r="F978" s="585"/>
      <c r="G978" s="585"/>
      <c r="H978" s="585"/>
      <c r="I978" s="585"/>
      <c r="J978" s="585"/>
      <c r="K978" s="585"/>
      <c r="L978" s="585"/>
      <c r="M978" s="585"/>
      <c r="N978" s="585"/>
      <c r="O978" s="585"/>
      <c r="P978" s="585"/>
      <c r="Q978" s="585"/>
      <c r="R978" s="585"/>
      <c r="S978" s="585"/>
      <c r="T978" s="585"/>
      <c r="U978" s="585"/>
      <c r="V978" s="224"/>
      <c r="W978" s="224"/>
      <c r="X978" s="224"/>
      <c r="Y978" s="224"/>
      <c r="Z978" s="868"/>
      <c r="AA978" s="865"/>
      <c r="AB978" s="2"/>
      <c r="AC978" s="2"/>
      <c r="AD978" s="2"/>
      <c r="AE978" s="2"/>
      <c r="AF978" s="2"/>
      <c r="AG978" s="2"/>
      <c r="AH978" s="2"/>
      <c r="AI978" s="2"/>
      <c r="AJ978" s="2"/>
      <c r="AK978" s="2"/>
      <c r="AL978" s="2"/>
      <c r="AM978" s="2"/>
      <c r="AN978" s="2"/>
      <c r="AO978" s="9"/>
      <c r="AP978" s="9"/>
      <c r="AQ978" s="9"/>
      <c r="AR978" s="9"/>
    </row>
    <row r="979">
      <c r="A979" s="585"/>
      <c r="B979" s="585"/>
      <c r="C979" s="585"/>
      <c r="D979" s="585"/>
      <c r="E979" s="585"/>
      <c r="F979" s="585"/>
      <c r="G979" s="585"/>
      <c r="H979" s="585"/>
      <c r="I979" s="585"/>
      <c r="J979" s="585"/>
      <c r="K979" s="585"/>
      <c r="L979" s="585"/>
      <c r="M979" s="585"/>
      <c r="N979" s="585"/>
      <c r="O979" s="585"/>
      <c r="P979" s="585"/>
      <c r="Q979" s="585"/>
      <c r="R979" s="585"/>
      <c r="S979" s="585"/>
      <c r="T979" s="585"/>
      <c r="U979" s="585"/>
      <c r="V979" s="224"/>
      <c r="W979" s="224"/>
      <c r="X979" s="224"/>
      <c r="Y979" s="224"/>
      <c r="Z979" s="868"/>
      <c r="AA979" s="865"/>
      <c r="AB979" s="2"/>
      <c r="AC979" s="2"/>
      <c r="AD979" s="2"/>
      <c r="AE979" s="2"/>
      <c r="AF979" s="2"/>
      <c r="AG979" s="2"/>
      <c r="AH979" s="2"/>
      <c r="AI979" s="2"/>
      <c r="AJ979" s="2"/>
      <c r="AK979" s="2"/>
      <c r="AL979" s="2"/>
      <c r="AM979" s="2"/>
      <c r="AN979" s="2"/>
      <c r="AO979" s="9"/>
      <c r="AP979" s="9"/>
      <c r="AQ979" s="9"/>
      <c r="AR979" s="9"/>
    </row>
    <row r="980">
      <c r="A980" s="585"/>
      <c r="B980" s="585"/>
      <c r="C980" s="585"/>
      <c r="D980" s="585"/>
      <c r="E980" s="585"/>
      <c r="F980" s="585"/>
      <c r="G980" s="585"/>
      <c r="H980" s="585"/>
      <c r="I980" s="585"/>
      <c r="J980" s="585"/>
      <c r="K980" s="585"/>
      <c r="L980" s="585"/>
      <c r="M980" s="585"/>
      <c r="N980" s="585"/>
      <c r="O980" s="585"/>
      <c r="P980" s="585"/>
      <c r="Q980" s="585"/>
      <c r="R980" s="585"/>
      <c r="S980" s="585"/>
      <c r="T980" s="585"/>
      <c r="U980" s="585"/>
      <c r="V980" s="224"/>
      <c r="W980" s="224"/>
      <c r="X980" s="224"/>
      <c r="Y980" s="224"/>
      <c r="Z980" s="868"/>
      <c r="AA980" s="865"/>
      <c r="AB980" s="2"/>
      <c r="AC980" s="2"/>
      <c r="AD980" s="2"/>
      <c r="AE980" s="2"/>
      <c r="AF980" s="2"/>
      <c r="AG980" s="2"/>
      <c r="AH980" s="2"/>
      <c r="AI980" s="2"/>
      <c r="AJ980" s="2"/>
      <c r="AK980" s="2"/>
      <c r="AL980" s="2"/>
      <c r="AM980" s="2"/>
      <c r="AN980" s="2"/>
      <c r="AO980" s="9"/>
      <c r="AP980" s="9"/>
      <c r="AQ980" s="9"/>
      <c r="AR980" s="9"/>
    </row>
    <row r="981">
      <c r="A981" s="585"/>
      <c r="B981" s="585"/>
      <c r="C981" s="585"/>
      <c r="D981" s="585"/>
      <c r="E981" s="585"/>
      <c r="F981" s="585"/>
      <c r="G981" s="585"/>
      <c r="H981" s="585"/>
      <c r="I981" s="585"/>
      <c r="J981" s="585"/>
      <c r="K981" s="585"/>
      <c r="L981" s="585"/>
      <c r="M981" s="585"/>
      <c r="N981" s="585"/>
      <c r="O981" s="585"/>
      <c r="P981" s="585"/>
      <c r="Q981" s="585"/>
      <c r="R981" s="585"/>
      <c r="S981" s="585"/>
      <c r="T981" s="585"/>
      <c r="U981" s="585"/>
      <c r="V981" s="224"/>
      <c r="W981" s="224"/>
      <c r="X981" s="224"/>
      <c r="Y981" s="224"/>
      <c r="Z981" s="868"/>
      <c r="AA981" s="865"/>
      <c r="AB981" s="2"/>
      <c r="AC981" s="2"/>
      <c r="AD981" s="2"/>
      <c r="AE981" s="2"/>
      <c r="AF981" s="2"/>
      <c r="AG981" s="2"/>
      <c r="AH981" s="2"/>
      <c r="AI981" s="2"/>
      <c r="AJ981" s="2"/>
      <c r="AK981" s="2"/>
      <c r="AL981" s="2"/>
      <c r="AM981" s="2"/>
      <c r="AN981" s="2"/>
      <c r="AO981" s="9"/>
      <c r="AP981" s="9"/>
      <c r="AQ981" s="9"/>
      <c r="AR981" s="9"/>
    </row>
    <row r="982">
      <c r="A982" s="585"/>
      <c r="B982" s="585"/>
      <c r="C982" s="585"/>
      <c r="D982" s="585"/>
      <c r="E982" s="585"/>
      <c r="F982" s="585"/>
      <c r="G982" s="585"/>
      <c r="H982" s="585"/>
      <c r="I982" s="585"/>
      <c r="J982" s="585"/>
      <c r="K982" s="585"/>
      <c r="L982" s="585"/>
      <c r="M982" s="585"/>
      <c r="N982" s="585"/>
      <c r="O982" s="585"/>
      <c r="P982" s="585"/>
      <c r="Q982" s="585"/>
      <c r="R982" s="585"/>
      <c r="S982" s="585"/>
      <c r="T982" s="585"/>
      <c r="U982" s="585"/>
      <c r="V982" s="224"/>
      <c r="W982" s="224"/>
      <c r="X982" s="224"/>
      <c r="Y982" s="224"/>
      <c r="Z982" s="868"/>
      <c r="AA982" s="865"/>
      <c r="AB982" s="2"/>
      <c r="AC982" s="2"/>
      <c r="AD982" s="2"/>
      <c r="AE982" s="2"/>
      <c r="AF982" s="2"/>
      <c r="AG982" s="2"/>
      <c r="AH982" s="2"/>
      <c r="AI982" s="2"/>
      <c r="AJ982" s="2"/>
      <c r="AK982" s="2"/>
      <c r="AL982" s="2"/>
      <c r="AM982" s="2"/>
      <c r="AN982" s="2"/>
      <c r="AO982" s="9"/>
      <c r="AP982" s="9"/>
      <c r="AQ982" s="9"/>
      <c r="AR982" s="9"/>
    </row>
    <row r="983">
      <c r="A983" s="585"/>
      <c r="B983" s="585"/>
      <c r="C983" s="585"/>
      <c r="D983" s="585"/>
      <c r="E983" s="585"/>
      <c r="F983" s="585"/>
      <c r="G983" s="585"/>
      <c r="H983" s="585"/>
      <c r="I983" s="585"/>
      <c r="J983" s="585"/>
      <c r="K983" s="585"/>
      <c r="L983" s="585"/>
      <c r="M983" s="585"/>
      <c r="N983" s="585"/>
      <c r="O983" s="585"/>
      <c r="P983" s="585"/>
      <c r="Q983" s="585"/>
      <c r="R983" s="585"/>
      <c r="S983" s="585"/>
      <c r="T983" s="585"/>
      <c r="U983" s="585"/>
      <c r="V983" s="224"/>
      <c r="W983" s="224"/>
      <c r="X983" s="224"/>
      <c r="Y983" s="224"/>
      <c r="Z983" s="868"/>
      <c r="AA983" s="865"/>
      <c r="AB983" s="2"/>
      <c r="AC983" s="2"/>
      <c r="AD983" s="2"/>
      <c r="AE983" s="2"/>
      <c r="AF983" s="2"/>
      <c r="AG983" s="2"/>
      <c r="AH983" s="2"/>
      <c r="AI983" s="2"/>
      <c r="AJ983" s="2"/>
      <c r="AK983" s="2"/>
      <c r="AL983" s="2"/>
      <c r="AM983" s="2"/>
      <c r="AN983" s="2"/>
      <c r="AO983" s="9"/>
      <c r="AP983" s="9"/>
      <c r="AQ983" s="9"/>
      <c r="AR983" s="9"/>
    </row>
    <row r="984">
      <c r="A984" s="585"/>
      <c r="B984" s="585"/>
      <c r="C984" s="585"/>
      <c r="D984" s="585"/>
      <c r="E984" s="585"/>
      <c r="F984" s="585"/>
      <c r="G984" s="585"/>
      <c r="H984" s="585"/>
      <c r="I984" s="585"/>
      <c r="J984" s="585"/>
      <c r="K984" s="585"/>
      <c r="L984" s="585"/>
      <c r="M984" s="585"/>
      <c r="N984" s="585"/>
      <c r="O984" s="585"/>
      <c r="P984" s="585"/>
      <c r="Q984" s="585"/>
      <c r="R984" s="585"/>
      <c r="S984" s="585"/>
      <c r="T984" s="585"/>
      <c r="U984" s="585"/>
      <c r="V984" s="224"/>
      <c r="W984" s="224"/>
      <c r="X984" s="224"/>
      <c r="Y984" s="224"/>
      <c r="Z984" s="868"/>
      <c r="AA984" s="865"/>
      <c r="AB984" s="2"/>
      <c r="AC984" s="2"/>
      <c r="AD984" s="2"/>
      <c r="AE984" s="2"/>
      <c r="AF984" s="2"/>
      <c r="AG984" s="2"/>
      <c r="AH984" s="2"/>
      <c r="AI984" s="2"/>
      <c r="AJ984" s="2"/>
      <c r="AK984" s="2"/>
      <c r="AL984" s="2"/>
      <c r="AM984" s="2"/>
      <c r="AN984" s="2"/>
      <c r="AO984" s="9"/>
      <c r="AP984" s="9"/>
      <c r="AQ984" s="9"/>
      <c r="AR984" s="9"/>
    </row>
    <row r="985">
      <c r="A985" s="585"/>
      <c r="B985" s="585"/>
      <c r="C985" s="585"/>
      <c r="D985" s="585"/>
      <c r="E985" s="585"/>
      <c r="F985" s="585"/>
      <c r="G985" s="585"/>
      <c r="H985" s="585"/>
      <c r="I985" s="585"/>
      <c r="J985" s="585"/>
      <c r="K985" s="585"/>
      <c r="L985" s="585"/>
      <c r="M985" s="585"/>
      <c r="N985" s="585"/>
      <c r="O985" s="585"/>
      <c r="P985" s="585"/>
      <c r="Q985" s="585"/>
      <c r="R985" s="585"/>
      <c r="S985" s="585"/>
      <c r="T985" s="585"/>
      <c r="U985" s="585"/>
      <c r="V985" s="224"/>
      <c r="W985" s="224"/>
      <c r="X985" s="224"/>
      <c r="Y985" s="224"/>
      <c r="Z985" s="868"/>
      <c r="AA985" s="865"/>
      <c r="AB985" s="2"/>
      <c r="AC985" s="2"/>
      <c r="AD985" s="2"/>
      <c r="AE985" s="2"/>
      <c r="AF985" s="2"/>
      <c r="AG985" s="2"/>
      <c r="AH985" s="2"/>
      <c r="AI985" s="2"/>
      <c r="AJ985" s="2"/>
      <c r="AK985" s="2"/>
      <c r="AL985" s="2"/>
      <c r="AM985" s="2"/>
      <c r="AN985" s="2"/>
      <c r="AO985" s="9"/>
      <c r="AP985" s="9"/>
      <c r="AQ985" s="9"/>
      <c r="AR985" s="9"/>
    </row>
    <row r="986">
      <c r="A986" s="585"/>
      <c r="B986" s="585"/>
      <c r="C986" s="585"/>
      <c r="D986" s="585"/>
      <c r="E986" s="585"/>
      <c r="F986" s="585"/>
      <c r="G986" s="585"/>
      <c r="H986" s="585"/>
      <c r="I986" s="585"/>
      <c r="J986" s="585"/>
      <c r="K986" s="585"/>
      <c r="L986" s="585"/>
      <c r="M986" s="585"/>
      <c r="N986" s="585"/>
      <c r="O986" s="585"/>
      <c r="P986" s="585"/>
      <c r="Q986" s="585"/>
      <c r="R986" s="585"/>
      <c r="S986" s="585"/>
      <c r="T986" s="585"/>
      <c r="U986" s="585"/>
      <c r="V986" s="224"/>
      <c r="W986" s="224"/>
      <c r="X986" s="224"/>
      <c r="Y986" s="224"/>
      <c r="Z986" s="868"/>
      <c r="AA986" s="865"/>
      <c r="AB986" s="2"/>
      <c r="AC986" s="2"/>
      <c r="AD986" s="2"/>
      <c r="AE986" s="2"/>
      <c r="AF986" s="2"/>
      <c r="AG986" s="2"/>
      <c r="AH986" s="2"/>
      <c r="AI986" s="2"/>
      <c r="AJ986" s="2"/>
      <c r="AK986" s="2"/>
      <c r="AL986" s="2"/>
      <c r="AM986" s="2"/>
      <c r="AN986" s="2"/>
      <c r="AO986" s="9"/>
      <c r="AP986" s="9"/>
      <c r="AQ986" s="9"/>
      <c r="AR986" s="9"/>
    </row>
    <row r="987">
      <c r="A987" s="585"/>
      <c r="B987" s="585"/>
      <c r="C987" s="585"/>
      <c r="D987" s="585"/>
      <c r="E987" s="585"/>
      <c r="F987" s="585"/>
      <c r="G987" s="585"/>
      <c r="H987" s="585"/>
      <c r="I987" s="585"/>
      <c r="J987" s="585"/>
      <c r="K987" s="585"/>
      <c r="L987" s="585"/>
      <c r="M987" s="585"/>
      <c r="N987" s="585"/>
      <c r="O987" s="585"/>
      <c r="P987" s="585"/>
      <c r="Q987" s="585"/>
      <c r="R987" s="585"/>
      <c r="S987" s="585"/>
      <c r="T987" s="585"/>
      <c r="U987" s="585"/>
      <c r="V987" s="224"/>
      <c r="W987" s="224"/>
      <c r="X987" s="224"/>
      <c r="Y987" s="224"/>
      <c r="Z987" s="868"/>
      <c r="AA987" s="865"/>
      <c r="AB987" s="2"/>
      <c r="AC987" s="2"/>
      <c r="AD987" s="2"/>
      <c r="AE987" s="2"/>
      <c r="AF987" s="2"/>
      <c r="AG987" s="2"/>
      <c r="AH987" s="2"/>
      <c r="AI987" s="2"/>
      <c r="AJ987" s="2"/>
      <c r="AK987" s="2"/>
      <c r="AL987" s="2"/>
      <c r="AM987" s="2"/>
      <c r="AN987" s="2"/>
      <c r="AO987" s="9"/>
      <c r="AP987" s="9"/>
      <c r="AQ987" s="9"/>
      <c r="AR987" s="9"/>
    </row>
    <row r="988">
      <c r="A988" s="585"/>
      <c r="B988" s="585"/>
      <c r="C988" s="585"/>
      <c r="D988" s="585"/>
      <c r="E988" s="585"/>
      <c r="F988" s="585"/>
      <c r="G988" s="585"/>
      <c r="H988" s="585"/>
      <c r="I988" s="585"/>
      <c r="J988" s="585"/>
      <c r="K988" s="585"/>
      <c r="L988" s="585"/>
      <c r="M988" s="585"/>
      <c r="N988" s="585"/>
      <c r="O988" s="585"/>
      <c r="P988" s="585"/>
      <c r="Q988" s="585"/>
      <c r="R988" s="585"/>
      <c r="S988" s="585"/>
      <c r="T988" s="585"/>
      <c r="U988" s="585"/>
      <c r="V988" s="224"/>
      <c r="W988" s="224"/>
      <c r="X988" s="224"/>
      <c r="Y988" s="224"/>
      <c r="Z988" s="868"/>
      <c r="AA988" s="865"/>
      <c r="AB988" s="2"/>
      <c r="AC988" s="2"/>
      <c r="AD988" s="2"/>
      <c r="AE988" s="2"/>
      <c r="AF988" s="2"/>
      <c r="AG988" s="2"/>
      <c r="AH988" s="2"/>
      <c r="AI988" s="2"/>
      <c r="AJ988" s="2"/>
      <c r="AK988" s="2"/>
      <c r="AL988" s="2"/>
      <c r="AM988" s="2"/>
      <c r="AN988" s="2"/>
      <c r="AO988" s="9"/>
      <c r="AP988" s="9"/>
      <c r="AQ988" s="9"/>
      <c r="AR988" s="9"/>
    </row>
    <row r="989">
      <c r="A989" s="585"/>
      <c r="B989" s="585"/>
      <c r="C989" s="585"/>
      <c r="D989" s="585"/>
      <c r="E989" s="585"/>
      <c r="F989" s="585"/>
      <c r="G989" s="585"/>
      <c r="H989" s="585"/>
      <c r="I989" s="585"/>
      <c r="J989" s="585"/>
      <c r="K989" s="585"/>
      <c r="L989" s="585"/>
      <c r="M989" s="585"/>
      <c r="N989" s="585"/>
      <c r="O989" s="585"/>
      <c r="P989" s="585"/>
      <c r="Q989" s="585"/>
      <c r="R989" s="585"/>
      <c r="S989" s="585"/>
      <c r="T989" s="585"/>
      <c r="U989" s="585"/>
      <c r="V989" s="224"/>
      <c r="W989" s="224"/>
      <c r="X989" s="224"/>
      <c r="Y989" s="224"/>
      <c r="Z989" s="868"/>
      <c r="AA989" s="865"/>
      <c r="AB989" s="2"/>
      <c r="AC989" s="2"/>
      <c r="AD989" s="2"/>
      <c r="AE989" s="2"/>
      <c r="AF989" s="2"/>
      <c r="AG989" s="2"/>
      <c r="AH989" s="2"/>
      <c r="AI989" s="2"/>
      <c r="AJ989" s="2"/>
      <c r="AK989" s="2"/>
      <c r="AL989" s="2"/>
      <c r="AM989" s="2"/>
      <c r="AN989" s="2"/>
      <c r="AO989" s="9"/>
      <c r="AP989" s="9"/>
      <c r="AQ989" s="9"/>
      <c r="AR989" s="9"/>
    </row>
    <row r="990">
      <c r="A990" s="585"/>
      <c r="B990" s="585"/>
      <c r="C990" s="585"/>
      <c r="D990" s="585"/>
      <c r="E990" s="585"/>
      <c r="F990" s="585"/>
      <c r="G990" s="585"/>
      <c r="H990" s="585"/>
      <c r="I990" s="585"/>
      <c r="J990" s="585"/>
      <c r="K990" s="585"/>
      <c r="L990" s="585"/>
      <c r="M990" s="585"/>
      <c r="N990" s="585"/>
      <c r="O990" s="585"/>
      <c r="P990" s="585"/>
      <c r="Q990" s="585"/>
      <c r="R990" s="585"/>
      <c r="S990" s="585"/>
      <c r="T990" s="585"/>
      <c r="U990" s="585"/>
      <c r="V990" s="224"/>
      <c r="W990" s="224"/>
      <c r="X990" s="224"/>
      <c r="Y990" s="224"/>
      <c r="Z990" s="868"/>
      <c r="AA990" s="865"/>
      <c r="AB990" s="2"/>
      <c r="AC990" s="2"/>
      <c r="AD990" s="2"/>
      <c r="AE990" s="2"/>
      <c r="AF990" s="2"/>
      <c r="AG990" s="2"/>
      <c r="AH990" s="2"/>
      <c r="AI990" s="2"/>
      <c r="AJ990" s="2"/>
      <c r="AK990" s="2"/>
      <c r="AL990" s="2"/>
      <c r="AM990" s="2"/>
      <c r="AN990" s="2"/>
      <c r="AO990" s="9"/>
      <c r="AP990" s="9"/>
      <c r="AQ990" s="9"/>
      <c r="AR990" s="9"/>
    </row>
    <row r="991">
      <c r="A991" s="585"/>
      <c r="B991" s="585"/>
      <c r="C991" s="585"/>
      <c r="D991" s="585"/>
      <c r="E991" s="585"/>
      <c r="F991" s="585"/>
      <c r="G991" s="585"/>
      <c r="H991" s="585"/>
      <c r="I991" s="585"/>
      <c r="J991" s="585"/>
      <c r="K991" s="585"/>
      <c r="L991" s="585"/>
      <c r="M991" s="585"/>
      <c r="N991" s="585"/>
      <c r="O991" s="585"/>
      <c r="P991" s="585"/>
      <c r="Q991" s="585"/>
      <c r="R991" s="585"/>
      <c r="S991" s="585"/>
      <c r="T991" s="585"/>
      <c r="U991" s="585"/>
      <c r="V991" s="224"/>
      <c r="W991" s="224"/>
      <c r="X991" s="224"/>
      <c r="Y991" s="224"/>
      <c r="Z991" s="868"/>
      <c r="AA991" s="865"/>
      <c r="AB991" s="2"/>
      <c r="AC991" s="2"/>
      <c r="AD991" s="2"/>
      <c r="AE991" s="2"/>
      <c r="AF991" s="2"/>
      <c r="AG991" s="2"/>
      <c r="AH991" s="2"/>
      <c r="AI991" s="2"/>
      <c r="AJ991" s="2"/>
      <c r="AK991" s="2"/>
      <c r="AL991" s="2"/>
      <c r="AM991" s="2"/>
      <c r="AN991" s="2"/>
      <c r="AO991" s="9"/>
      <c r="AP991" s="9"/>
      <c r="AQ991" s="9"/>
      <c r="AR991" s="9"/>
    </row>
    <row r="992">
      <c r="A992" s="585"/>
      <c r="B992" s="585"/>
      <c r="C992" s="585"/>
      <c r="D992" s="585"/>
      <c r="E992" s="585"/>
      <c r="F992" s="585"/>
      <c r="G992" s="585"/>
      <c r="H992" s="585"/>
      <c r="I992" s="585"/>
      <c r="J992" s="585"/>
      <c r="K992" s="585"/>
      <c r="L992" s="585"/>
      <c r="M992" s="585"/>
      <c r="N992" s="585"/>
      <c r="O992" s="585"/>
      <c r="P992" s="585"/>
      <c r="Q992" s="585"/>
      <c r="R992" s="585"/>
      <c r="S992" s="585"/>
      <c r="T992" s="585"/>
      <c r="U992" s="585"/>
      <c r="V992" s="224"/>
      <c r="W992" s="224"/>
      <c r="X992" s="224"/>
      <c r="Y992" s="224"/>
      <c r="Z992" s="868"/>
      <c r="AA992" s="865"/>
      <c r="AB992" s="2"/>
      <c r="AC992" s="2"/>
      <c r="AD992" s="2"/>
      <c r="AE992" s="2"/>
      <c r="AF992" s="2"/>
      <c r="AG992" s="2"/>
      <c r="AH992" s="2"/>
      <c r="AI992" s="2"/>
      <c r="AJ992" s="2"/>
      <c r="AK992" s="2"/>
      <c r="AL992" s="2"/>
      <c r="AM992" s="2"/>
      <c r="AN992" s="2"/>
      <c r="AO992" s="9"/>
      <c r="AP992" s="9"/>
      <c r="AQ992" s="9"/>
      <c r="AR992" s="9"/>
    </row>
    <row r="993">
      <c r="A993" s="585"/>
      <c r="B993" s="585"/>
      <c r="C993" s="585"/>
      <c r="D993" s="585"/>
      <c r="E993" s="585"/>
      <c r="F993" s="585"/>
      <c r="G993" s="585"/>
      <c r="H993" s="585"/>
      <c r="I993" s="585"/>
      <c r="J993" s="585"/>
      <c r="K993" s="585"/>
      <c r="L993" s="585"/>
      <c r="M993" s="585"/>
      <c r="N993" s="585"/>
      <c r="O993" s="585"/>
      <c r="P993" s="585"/>
      <c r="Q993" s="585"/>
      <c r="R993" s="585"/>
      <c r="S993" s="585"/>
      <c r="T993" s="585"/>
      <c r="U993" s="585"/>
      <c r="V993" s="224"/>
      <c r="W993" s="224"/>
      <c r="X993" s="224"/>
      <c r="Y993" s="224"/>
      <c r="Z993" s="868"/>
      <c r="AA993" s="865"/>
      <c r="AB993" s="2"/>
      <c r="AC993" s="2"/>
      <c r="AD993" s="2"/>
      <c r="AE993" s="2"/>
      <c r="AF993" s="2"/>
      <c r="AG993" s="2"/>
      <c r="AH993" s="2"/>
      <c r="AI993" s="2"/>
      <c r="AJ993" s="2"/>
      <c r="AK993" s="2"/>
      <c r="AL993" s="2"/>
      <c r="AM993" s="2"/>
      <c r="AN993" s="2"/>
      <c r="AO993" s="9"/>
      <c r="AP993" s="9"/>
      <c r="AQ993" s="9"/>
      <c r="AR993" s="9"/>
    </row>
    <row r="994">
      <c r="A994" s="585"/>
      <c r="B994" s="585"/>
      <c r="C994" s="585"/>
      <c r="D994" s="585"/>
      <c r="E994" s="585"/>
      <c r="F994" s="585"/>
      <c r="G994" s="585"/>
      <c r="H994" s="585"/>
      <c r="I994" s="585"/>
      <c r="J994" s="585"/>
      <c r="K994" s="585"/>
      <c r="L994" s="585"/>
      <c r="M994" s="585"/>
      <c r="N994" s="585"/>
      <c r="O994" s="585"/>
      <c r="P994" s="585"/>
      <c r="Q994" s="585"/>
      <c r="R994" s="585"/>
      <c r="S994" s="585"/>
      <c r="T994" s="585"/>
      <c r="U994" s="585"/>
      <c r="V994" s="224"/>
      <c r="W994" s="224"/>
      <c r="X994" s="224"/>
      <c r="Y994" s="224"/>
      <c r="Z994" s="868"/>
      <c r="AA994" s="865"/>
      <c r="AB994" s="2"/>
      <c r="AC994" s="2"/>
      <c r="AD994" s="2"/>
      <c r="AE994" s="2"/>
      <c r="AF994" s="2"/>
      <c r="AG994" s="2"/>
      <c r="AH994" s="2"/>
      <c r="AI994" s="2"/>
      <c r="AJ994" s="2"/>
      <c r="AK994" s="2"/>
      <c r="AL994" s="2"/>
      <c r="AM994" s="2"/>
      <c r="AN994" s="2"/>
      <c r="AO994" s="9"/>
      <c r="AP994" s="9"/>
      <c r="AQ994" s="9"/>
      <c r="AR994" s="9"/>
    </row>
    <row r="995">
      <c r="A995" s="585"/>
      <c r="B995" s="585"/>
      <c r="C995" s="585"/>
      <c r="D995" s="585"/>
      <c r="E995" s="585"/>
      <c r="F995" s="585"/>
      <c r="G995" s="585"/>
      <c r="H995" s="585"/>
      <c r="I995" s="585"/>
      <c r="J995" s="585"/>
      <c r="K995" s="585"/>
      <c r="L995" s="585"/>
      <c r="M995" s="585"/>
      <c r="N995" s="585"/>
      <c r="O995" s="585"/>
      <c r="P995" s="585"/>
      <c r="Q995" s="585"/>
      <c r="R995" s="585"/>
      <c r="S995" s="585"/>
      <c r="T995" s="585"/>
      <c r="U995" s="585"/>
      <c r="V995" s="224"/>
      <c r="W995" s="224"/>
      <c r="X995" s="224"/>
      <c r="Y995" s="224"/>
      <c r="Z995" s="868"/>
      <c r="AA995" s="865"/>
      <c r="AB995" s="2"/>
      <c r="AC995" s="2"/>
      <c r="AD995" s="2"/>
      <c r="AE995" s="2"/>
      <c r="AF995" s="2"/>
      <c r="AG995" s="2"/>
      <c r="AH995" s="2"/>
      <c r="AI995" s="2"/>
      <c r="AJ995" s="2"/>
      <c r="AK995" s="2"/>
      <c r="AL995" s="2"/>
      <c r="AM995" s="2"/>
      <c r="AN995" s="2"/>
      <c r="AO995" s="9"/>
      <c r="AP995" s="9"/>
      <c r="AQ995" s="9"/>
      <c r="AR995" s="9"/>
    </row>
    <row r="996">
      <c r="A996" s="585"/>
      <c r="B996" s="585"/>
      <c r="C996" s="585"/>
      <c r="D996" s="585"/>
      <c r="E996" s="585"/>
      <c r="F996" s="585"/>
      <c r="G996" s="585"/>
      <c r="H996" s="585"/>
      <c r="I996" s="585"/>
      <c r="J996" s="585"/>
      <c r="K996" s="585"/>
      <c r="L996" s="585"/>
      <c r="M996" s="585"/>
      <c r="N996" s="585"/>
      <c r="O996" s="585"/>
      <c r="P996" s="585"/>
      <c r="Q996" s="585"/>
      <c r="R996" s="585"/>
      <c r="S996" s="585"/>
      <c r="T996" s="585"/>
      <c r="U996" s="585"/>
      <c r="V996" s="224"/>
      <c r="W996" s="224"/>
      <c r="X996" s="224"/>
      <c r="Y996" s="224"/>
      <c r="Z996" s="868"/>
      <c r="AA996" s="865"/>
      <c r="AB996" s="2"/>
      <c r="AC996" s="2"/>
      <c r="AD996" s="2"/>
      <c r="AE996" s="2"/>
      <c r="AF996" s="2"/>
      <c r="AG996" s="2"/>
      <c r="AH996" s="2"/>
      <c r="AI996" s="2"/>
      <c r="AJ996" s="2"/>
      <c r="AK996" s="2"/>
      <c r="AL996" s="2"/>
      <c r="AM996" s="2"/>
      <c r="AN996" s="2"/>
      <c r="AO996" s="9"/>
      <c r="AP996" s="9"/>
      <c r="AQ996" s="9"/>
      <c r="AR996" s="9"/>
    </row>
    <row r="997">
      <c r="A997" s="585"/>
      <c r="B997" s="585"/>
      <c r="C997" s="585"/>
      <c r="D997" s="585"/>
      <c r="E997" s="585"/>
      <c r="F997" s="585"/>
      <c r="G997" s="585"/>
      <c r="H997" s="585"/>
      <c r="I997" s="585"/>
      <c r="J997" s="585"/>
      <c r="K997" s="585"/>
      <c r="L997" s="585"/>
      <c r="M997" s="585"/>
      <c r="N997" s="585"/>
      <c r="O997" s="585"/>
      <c r="P997" s="585"/>
      <c r="Q997" s="585"/>
      <c r="R997" s="585"/>
      <c r="S997" s="585"/>
      <c r="T997" s="585"/>
      <c r="U997" s="585"/>
      <c r="V997" s="224"/>
      <c r="W997" s="224"/>
      <c r="X997" s="224"/>
      <c r="Y997" s="224"/>
      <c r="Z997" s="868"/>
      <c r="AA997" s="865"/>
      <c r="AB997" s="2"/>
      <c r="AC997" s="2"/>
      <c r="AD997" s="2"/>
      <c r="AE997" s="2"/>
      <c r="AF997" s="2"/>
      <c r="AG997" s="2"/>
      <c r="AH997" s="2"/>
      <c r="AI997" s="2"/>
      <c r="AJ997" s="2"/>
      <c r="AK997" s="2"/>
      <c r="AL997" s="2"/>
      <c r="AM997" s="2"/>
      <c r="AN997" s="2"/>
      <c r="AO997" s="9"/>
      <c r="AP997" s="9"/>
      <c r="AQ997" s="9"/>
      <c r="AR997" s="9"/>
    </row>
    <row r="998">
      <c r="A998" s="585"/>
      <c r="B998" s="585"/>
      <c r="C998" s="585"/>
      <c r="D998" s="585"/>
      <c r="E998" s="585"/>
      <c r="F998" s="585"/>
      <c r="G998" s="585"/>
      <c r="H998" s="585"/>
      <c r="I998" s="585"/>
      <c r="J998" s="585"/>
      <c r="K998" s="585"/>
      <c r="L998" s="585"/>
      <c r="M998" s="585"/>
      <c r="N998" s="585"/>
      <c r="O998" s="585"/>
      <c r="P998" s="585"/>
      <c r="Q998" s="585"/>
      <c r="R998" s="585"/>
      <c r="S998" s="585"/>
      <c r="T998" s="585"/>
      <c r="U998" s="585"/>
      <c r="V998" s="224"/>
      <c r="W998" s="224"/>
      <c r="X998" s="224"/>
      <c r="Y998" s="224"/>
      <c r="Z998" s="868"/>
      <c r="AA998" s="865"/>
      <c r="AB998" s="2"/>
      <c r="AC998" s="2"/>
      <c r="AD998" s="2"/>
      <c r="AE998" s="2"/>
      <c r="AF998" s="2"/>
      <c r="AG998" s="2"/>
      <c r="AH998" s="2"/>
      <c r="AI998" s="2"/>
      <c r="AJ998" s="2"/>
      <c r="AK998" s="2"/>
      <c r="AL998" s="2"/>
      <c r="AM998" s="2"/>
      <c r="AN998" s="2"/>
      <c r="AO998" s="9"/>
      <c r="AP998" s="9"/>
      <c r="AQ998" s="9"/>
      <c r="AR998" s="9"/>
    </row>
    <row r="999">
      <c r="A999" s="585"/>
      <c r="B999" s="585"/>
      <c r="C999" s="585"/>
      <c r="D999" s="585"/>
      <c r="E999" s="585"/>
      <c r="F999" s="585"/>
      <c r="G999" s="585"/>
      <c r="H999" s="585"/>
      <c r="I999" s="585"/>
      <c r="J999" s="585"/>
      <c r="K999" s="585"/>
      <c r="L999" s="585"/>
      <c r="M999" s="585"/>
      <c r="N999" s="585"/>
      <c r="O999" s="585"/>
      <c r="P999" s="585"/>
      <c r="Q999" s="585"/>
      <c r="R999" s="585"/>
      <c r="S999" s="585"/>
      <c r="T999" s="585"/>
      <c r="U999" s="585"/>
      <c r="V999" s="224"/>
      <c r="W999" s="224"/>
      <c r="X999" s="224"/>
      <c r="Y999" s="224"/>
      <c r="Z999" s="868"/>
      <c r="AA999" s="865"/>
      <c r="AB999" s="2"/>
      <c r="AC999" s="2"/>
      <c r="AD999" s="2"/>
      <c r="AE999" s="2"/>
      <c r="AF999" s="2"/>
      <c r="AG999" s="2"/>
      <c r="AH999" s="2"/>
      <c r="AI999" s="2"/>
      <c r="AJ999" s="2"/>
      <c r="AK999" s="2"/>
      <c r="AL999" s="2"/>
      <c r="AM999" s="2"/>
      <c r="AN999" s="2"/>
      <c r="AO999" s="9"/>
      <c r="AP999" s="9"/>
      <c r="AQ999" s="9"/>
      <c r="AR999" s="9"/>
    </row>
    <row r="1000">
      <c r="A1000" s="585"/>
      <c r="B1000" s="585"/>
      <c r="C1000" s="585"/>
      <c r="D1000" s="585"/>
      <c r="E1000" s="585"/>
      <c r="F1000" s="585"/>
      <c r="G1000" s="585"/>
      <c r="H1000" s="585"/>
      <c r="I1000" s="585"/>
      <c r="J1000" s="585"/>
      <c r="K1000" s="585"/>
      <c r="L1000" s="585"/>
      <c r="M1000" s="585"/>
      <c r="N1000" s="585"/>
      <c r="O1000" s="585"/>
      <c r="P1000" s="585"/>
      <c r="Q1000" s="585"/>
      <c r="R1000" s="585"/>
      <c r="S1000" s="585"/>
      <c r="T1000" s="585"/>
      <c r="U1000" s="585"/>
      <c r="V1000" s="224"/>
      <c r="W1000" s="224"/>
      <c r="X1000" s="224"/>
      <c r="Y1000" s="224"/>
      <c r="Z1000" s="868"/>
      <c r="AA1000" s="865"/>
      <c r="AB1000" s="2"/>
      <c r="AC1000" s="2"/>
      <c r="AD1000" s="2"/>
      <c r="AE1000" s="2"/>
      <c r="AF1000" s="2"/>
      <c r="AG1000" s="2"/>
      <c r="AH1000" s="2"/>
      <c r="AI1000" s="2"/>
      <c r="AJ1000" s="2"/>
      <c r="AK1000" s="2"/>
      <c r="AL1000" s="2"/>
      <c r="AM1000" s="2"/>
      <c r="AN1000" s="2"/>
      <c r="AO1000" s="9"/>
      <c r="AP1000" s="9"/>
      <c r="AQ1000" s="9"/>
      <c r="AR1000" s="9"/>
    </row>
    <row r="1001">
      <c r="A1001" s="585"/>
      <c r="B1001" s="585"/>
      <c r="C1001" s="585"/>
      <c r="D1001" s="585"/>
      <c r="E1001" s="585"/>
      <c r="F1001" s="585"/>
      <c r="G1001" s="585"/>
      <c r="H1001" s="585"/>
      <c r="I1001" s="585"/>
      <c r="J1001" s="585"/>
      <c r="K1001" s="585"/>
      <c r="L1001" s="585"/>
      <c r="M1001" s="585"/>
      <c r="N1001" s="585"/>
      <c r="O1001" s="585"/>
      <c r="P1001" s="585"/>
      <c r="Q1001" s="585"/>
      <c r="R1001" s="585"/>
      <c r="S1001" s="585"/>
      <c r="T1001" s="585"/>
      <c r="U1001" s="585"/>
      <c r="V1001" s="224"/>
      <c r="W1001" s="224"/>
      <c r="X1001" s="224"/>
      <c r="Y1001" s="224"/>
      <c r="Z1001" s="868"/>
      <c r="AA1001" s="865"/>
      <c r="AB1001" s="2"/>
      <c r="AC1001" s="2"/>
      <c r="AD1001" s="2"/>
      <c r="AE1001" s="2"/>
      <c r="AF1001" s="2"/>
      <c r="AG1001" s="2"/>
      <c r="AH1001" s="2"/>
      <c r="AI1001" s="2"/>
      <c r="AJ1001" s="2"/>
      <c r="AK1001" s="2"/>
      <c r="AL1001" s="2"/>
      <c r="AM1001" s="2"/>
      <c r="AN1001" s="2"/>
      <c r="AO1001" s="9"/>
      <c r="AP1001" s="9"/>
      <c r="AQ1001" s="9"/>
      <c r="AR1001" s="9"/>
    </row>
    <row r="1002">
      <c r="A1002" s="585"/>
      <c r="B1002" s="585"/>
      <c r="C1002" s="585"/>
      <c r="D1002" s="585"/>
      <c r="E1002" s="585"/>
      <c r="F1002" s="585"/>
      <c r="G1002" s="585"/>
      <c r="H1002" s="585"/>
      <c r="I1002" s="585"/>
      <c r="J1002" s="585"/>
      <c r="K1002" s="585"/>
      <c r="L1002" s="585"/>
      <c r="M1002" s="585"/>
      <c r="N1002" s="585"/>
      <c r="O1002" s="585"/>
      <c r="P1002" s="585"/>
      <c r="Q1002" s="585"/>
      <c r="R1002" s="585"/>
      <c r="S1002" s="585"/>
      <c r="T1002" s="585"/>
      <c r="U1002" s="585"/>
      <c r="V1002" s="224"/>
      <c r="W1002" s="224"/>
      <c r="X1002" s="224"/>
      <c r="Y1002" s="224"/>
      <c r="Z1002" s="868"/>
      <c r="AA1002" s="865"/>
      <c r="AB1002" s="2"/>
      <c r="AC1002" s="2"/>
      <c r="AD1002" s="2"/>
      <c r="AE1002" s="2"/>
      <c r="AF1002" s="2"/>
      <c r="AG1002" s="2"/>
      <c r="AH1002" s="2"/>
      <c r="AI1002" s="2"/>
      <c r="AJ1002" s="2"/>
      <c r="AK1002" s="2"/>
      <c r="AL1002" s="2"/>
      <c r="AM1002" s="2"/>
      <c r="AN1002" s="2"/>
      <c r="AO1002" s="9"/>
      <c r="AP1002" s="9"/>
      <c r="AQ1002" s="9"/>
      <c r="AR1002" s="9"/>
    </row>
    <row r="1003">
      <c r="A1003" s="585"/>
      <c r="B1003" s="585"/>
      <c r="C1003" s="585"/>
      <c r="D1003" s="585"/>
      <c r="E1003" s="585"/>
      <c r="F1003" s="585"/>
      <c r="G1003" s="585"/>
      <c r="H1003" s="585"/>
      <c r="I1003" s="585"/>
      <c r="J1003" s="585"/>
      <c r="K1003" s="585"/>
      <c r="L1003" s="585"/>
      <c r="M1003" s="585"/>
      <c r="N1003" s="585"/>
      <c r="O1003" s="585"/>
      <c r="P1003" s="585"/>
      <c r="Q1003" s="585"/>
      <c r="R1003" s="585"/>
      <c r="S1003" s="585"/>
      <c r="T1003" s="585"/>
      <c r="U1003" s="585"/>
      <c r="V1003" s="224"/>
      <c r="W1003" s="224"/>
      <c r="X1003" s="224"/>
      <c r="Y1003" s="224"/>
      <c r="Z1003" s="868"/>
      <c r="AA1003" s="865"/>
      <c r="AB1003" s="2"/>
      <c r="AC1003" s="2"/>
      <c r="AD1003" s="2"/>
      <c r="AE1003" s="2"/>
      <c r="AF1003" s="2"/>
      <c r="AG1003" s="2"/>
      <c r="AH1003" s="2"/>
      <c r="AI1003" s="2"/>
      <c r="AJ1003" s="2"/>
      <c r="AK1003" s="2"/>
      <c r="AL1003" s="2"/>
      <c r="AM1003" s="2"/>
      <c r="AN1003" s="2"/>
      <c r="AO1003" s="9"/>
      <c r="AP1003" s="9"/>
      <c r="AQ1003" s="9"/>
      <c r="AR1003" s="9"/>
    </row>
    <row r="1004">
      <c r="A1004" s="585"/>
      <c r="B1004" s="585"/>
      <c r="C1004" s="585"/>
      <c r="D1004" s="585"/>
      <c r="E1004" s="585"/>
      <c r="F1004" s="585"/>
      <c r="G1004" s="585"/>
      <c r="H1004" s="585"/>
      <c r="I1004" s="585"/>
      <c r="J1004" s="585"/>
      <c r="K1004" s="585"/>
      <c r="L1004" s="585"/>
      <c r="M1004" s="585"/>
      <c r="N1004" s="585"/>
      <c r="O1004" s="585"/>
      <c r="P1004" s="585"/>
      <c r="Q1004" s="585"/>
      <c r="R1004" s="585"/>
      <c r="S1004" s="585"/>
      <c r="T1004" s="585"/>
      <c r="U1004" s="585"/>
      <c r="V1004" s="224"/>
      <c r="W1004" s="224"/>
      <c r="X1004" s="224"/>
      <c r="Y1004" s="224"/>
      <c r="Z1004" s="868"/>
      <c r="AA1004" s="865"/>
      <c r="AB1004" s="2"/>
      <c r="AC1004" s="2"/>
      <c r="AD1004" s="2"/>
      <c r="AE1004" s="2"/>
      <c r="AF1004" s="2"/>
      <c r="AG1004" s="2"/>
      <c r="AH1004" s="2"/>
      <c r="AI1004" s="2"/>
      <c r="AJ1004" s="2"/>
      <c r="AK1004" s="2"/>
      <c r="AL1004" s="2"/>
      <c r="AM1004" s="2"/>
      <c r="AN1004" s="2"/>
      <c r="AO1004" s="9"/>
      <c r="AP1004" s="9"/>
      <c r="AQ1004" s="9"/>
      <c r="AR1004" s="9"/>
    </row>
    <row r="1005">
      <c r="A1005" s="585"/>
      <c r="B1005" s="585"/>
      <c r="C1005" s="585"/>
      <c r="D1005" s="585"/>
      <c r="E1005" s="585"/>
      <c r="F1005" s="585"/>
      <c r="G1005" s="585"/>
      <c r="H1005" s="585"/>
      <c r="I1005" s="585"/>
      <c r="J1005" s="585"/>
      <c r="K1005" s="585"/>
      <c r="L1005" s="585"/>
      <c r="M1005" s="585"/>
      <c r="N1005" s="585"/>
      <c r="O1005" s="585"/>
      <c r="P1005" s="585"/>
      <c r="Q1005" s="585"/>
      <c r="R1005" s="585"/>
      <c r="S1005" s="585"/>
      <c r="T1005" s="585"/>
      <c r="U1005" s="585"/>
      <c r="V1005" s="224"/>
      <c r="W1005" s="224"/>
      <c r="X1005" s="224"/>
      <c r="Y1005" s="224"/>
      <c r="Z1005" s="868"/>
      <c r="AA1005" s="865"/>
      <c r="AB1005" s="2"/>
      <c r="AC1005" s="2"/>
      <c r="AD1005" s="2"/>
      <c r="AE1005" s="2"/>
      <c r="AF1005" s="2"/>
      <c r="AG1005" s="2"/>
      <c r="AH1005" s="2"/>
      <c r="AI1005" s="2"/>
      <c r="AJ1005" s="2"/>
      <c r="AK1005" s="2"/>
      <c r="AL1005" s="2"/>
      <c r="AM1005" s="2"/>
      <c r="AN1005" s="2"/>
      <c r="AO1005" s="9"/>
      <c r="AP1005" s="9"/>
      <c r="AQ1005" s="9"/>
      <c r="AR1005" s="9"/>
    </row>
    <row r="1006">
      <c r="A1006" s="585"/>
      <c r="B1006" s="585"/>
      <c r="C1006" s="585"/>
      <c r="D1006" s="585"/>
      <c r="E1006" s="585"/>
      <c r="F1006" s="585"/>
      <c r="G1006" s="585"/>
      <c r="H1006" s="585"/>
      <c r="I1006" s="585"/>
      <c r="J1006" s="585"/>
      <c r="K1006" s="585"/>
      <c r="L1006" s="585"/>
      <c r="M1006" s="585"/>
      <c r="N1006" s="585"/>
      <c r="O1006" s="585"/>
      <c r="P1006" s="585"/>
      <c r="Q1006" s="585"/>
      <c r="R1006" s="585"/>
      <c r="S1006" s="585"/>
      <c r="T1006" s="585"/>
      <c r="U1006" s="585"/>
      <c r="V1006" s="224"/>
      <c r="W1006" s="224"/>
      <c r="X1006" s="224"/>
      <c r="Y1006" s="224"/>
      <c r="Z1006" s="868"/>
      <c r="AA1006" s="865"/>
      <c r="AB1006" s="2"/>
      <c r="AC1006" s="2"/>
      <c r="AD1006" s="2"/>
      <c r="AE1006" s="2"/>
      <c r="AF1006" s="2"/>
      <c r="AG1006" s="2"/>
      <c r="AH1006" s="2"/>
      <c r="AI1006" s="2"/>
      <c r="AJ1006" s="2"/>
      <c r="AK1006" s="2"/>
      <c r="AL1006" s="2"/>
      <c r="AM1006" s="2"/>
      <c r="AN1006" s="2"/>
      <c r="AO1006" s="9"/>
      <c r="AP1006" s="9"/>
      <c r="AQ1006" s="9"/>
      <c r="AR1006" s="9"/>
    </row>
    <row r="1007">
      <c r="A1007" s="585"/>
      <c r="B1007" s="585"/>
      <c r="C1007" s="585"/>
      <c r="D1007" s="585"/>
      <c r="E1007" s="585"/>
      <c r="F1007" s="585"/>
      <c r="G1007" s="585"/>
      <c r="H1007" s="585"/>
      <c r="I1007" s="585"/>
      <c r="J1007" s="585"/>
      <c r="K1007" s="585"/>
      <c r="L1007" s="585"/>
      <c r="M1007" s="585"/>
      <c r="N1007" s="585"/>
      <c r="O1007" s="585"/>
      <c r="P1007" s="585"/>
      <c r="Q1007" s="585"/>
      <c r="R1007" s="585"/>
      <c r="S1007" s="585"/>
      <c r="T1007" s="585"/>
      <c r="U1007" s="585"/>
      <c r="V1007" s="224"/>
      <c r="W1007" s="224"/>
      <c r="X1007" s="224"/>
      <c r="Y1007" s="224"/>
      <c r="Z1007" s="868"/>
      <c r="AA1007" s="865"/>
      <c r="AB1007" s="2"/>
      <c r="AC1007" s="2"/>
      <c r="AD1007" s="2"/>
      <c r="AE1007" s="2"/>
      <c r="AF1007" s="2"/>
      <c r="AG1007" s="2"/>
      <c r="AH1007" s="2"/>
      <c r="AI1007" s="2"/>
      <c r="AJ1007" s="2"/>
      <c r="AK1007" s="2"/>
      <c r="AL1007" s="2"/>
      <c r="AM1007" s="2"/>
      <c r="AN1007" s="2"/>
      <c r="AO1007" s="9"/>
      <c r="AP1007" s="9"/>
      <c r="AQ1007" s="9"/>
      <c r="AR1007" s="9"/>
    </row>
    <row r="1008">
      <c r="A1008" s="585"/>
      <c r="B1008" s="585"/>
      <c r="C1008" s="585"/>
      <c r="D1008" s="585"/>
      <c r="E1008" s="585"/>
      <c r="F1008" s="585"/>
      <c r="G1008" s="585"/>
      <c r="H1008" s="585"/>
      <c r="I1008" s="585"/>
      <c r="J1008" s="585"/>
      <c r="K1008" s="585"/>
      <c r="L1008" s="585"/>
      <c r="M1008" s="585"/>
      <c r="N1008" s="585"/>
      <c r="O1008" s="585"/>
      <c r="P1008" s="585"/>
      <c r="Q1008" s="585"/>
      <c r="R1008" s="585"/>
      <c r="S1008" s="585"/>
      <c r="T1008" s="585"/>
      <c r="U1008" s="585"/>
      <c r="V1008" s="224"/>
      <c r="W1008" s="224"/>
      <c r="X1008" s="224"/>
      <c r="Y1008" s="224"/>
      <c r="Z1008" s="868"/>
      <c r="AA1008" s="865"/>
      <c r="AB1008" s="2"/>
      <c r="AC1008" s="2"/>
      <c r="AD1008" s="2"/>
      <c r="AE1008" s="2"/>
      <c r="AF1008" s="2"/>
      <c r="AG1008" s="2"/>
      <c r="AH1008" s="2"/>
      <c r="AI1008" s="2"/>
      <c r="AJ1008" s="2"/>
      <c r="AK1008" s="2"/>
      <c r="AL1008" s="2"/>
      <c r="AM1008" s="2"/>
      <c r="AN1008" s="2"/>
      <c r="AO1008" s="9"/>
      <c r="AP1008" s="9"/>
      <c r="AQ1008" s="9"/>
      <c r="AR1008" s="9"/>
    </row>
    <row r="1009">
      <c r="A1009" s="585"/>
      <c r="B1009" s="585"/>
      <c r="C1009" s="585"/>
      <c r="D1009" s="585"/>
      <c r="E1009" s="585"/>
      <c r="F1009" s="585"/>
      <c r="G1009" s="585"/>
      <c r="H1009" s="585"/>
      <c r="I1009" s="585"/>
      <c r="J1009" s="585"/>
      <c r="K1009" s="585"/>
      <c r="L1009" s="585"/>
      <c r="M1009" s="585"/>
      <c r="N1009" s="585"/>
      <c r="O1009" s="585"/>
      <c r="P1009" s="585"/>
      <c r="Q1009" s="585"/>
      <c r="R1009" s="585"/>
      <c r="S1009" s="585"/>
      <c r="T1009" s="585"/>
      <c r="U1009" s="585"/>
      <c r="V1009" s="224"/>
      <c r="W1009" s="224"/>
      <c r="X1009" s="224"/>
      <c r="Y1009" s="224"/>
      <c r="Z1009" s="868"/>
      <c r="AA1009" s="865"/>
      <c r="AB1009" s="2"/>
      <c r="AC1009" s="2"/>
      <c r="AD1009" s="2"/>
      <c r="AE1009" s="2"/>
      <c r="AF1009" s="2"/>
      <c r="AG1009" s="2"/>
      <c r="AH1009" s="2"/>
      <c r="AI1009" s="2"/>
      <c r="AJ1009" s="2"/>
      <c r="AK1009" s="2"/>
      <c r="AL1009" s="2"/>
      <c r="AM1009" s="2"/>
      <c r="AN1009" s="2"/>
      <c r="AO1009" s="9"/>
      <c r="AP1009" s="9"/>
      <c r="AQ1009" s="9"/>
      <c r="AR1009" s="9"/>
    </row>
    <row r="1010">
      <c r="A1010" s="585"/>
      <c r="B1010" s="585"/>
      <c r="C1010" s="585"/>
      <c r="D1010" s="585"/>
      <c r="E1010" s="585"/>
      <c r="F1010" s="585"/>
      <c r="G1010" s="585"/>
      <c r="H1010" s="585"/>
      <c r="I1010" s="585"/>
      <c r="J1010" s="585"/>
      <c r="K1010" s="585"/>
      <c r="L1010" s="585"/>
      <c r="M1010" s="585"/>
      <c r="N1010" s="585"/>
      <c r="O1010" s="585"/>
      <c r="P1010" s="585"/>
      <c r="Q1010" s="585"/>
      <c r="R1010" s="585"/>
      <c r="S1010" s="585"/>
      <c r="T1010" s="585"/>
      <c r="U1010" s="585"/>
      <c r="V1010" s="224"/>
      <c r="W1010" s="224"/>
      <c r="X1010" s="224"/>
      <c r="Y1010" s="224"/>
      <c r="Z1010" s="868"/>
      <c r="AA1010" s="865"/>
      <c r="AB1010" s="2"/>
      <c r="AC1010" s="2"/>
      <c r="AD1010" s="2"/>
      <c r="AE1010" s="2"/>
      <c r="AF1010" s="2"/>
      <c r="AG1010" s="2"/>
      <c r="AH1010" s="2"/>
      <c r="AI1010" s="2"/>
      <c r="AJ1010" s="2"/>
      <c r="AK1010" s="2"/>
      <c r="AL1010" s="2"/>
      <c r="AM1010" s="2"/>
      <c r="AN1010" s="2"/>
      <c r="AO1010" s="9"/>
      <c r="AP1010" s="9"/>
      <c r="AQ1010" s="9"/>
      <c r="AR1010" s="9"/>
    </row>
    <row r="1011">
      <c r="A1011" s="585"/>
      <c r="B1011" s="585"/>
      <c r="C1011" s="585"/>
      <c r="D1011" s="585"/>
      <c r="E1011" s="585"/>
      <c r="F1011" s="585"/>
      <c r="G1011" s="585"/>
      <c r="H1011" s="585"/>
      <c r="I1011" s="585"/>
      <c r="J1011" s="585"/>
      <c r="K1011" s="585"/>
      <c r="L1011" s="585"/>
      <c r="M1011" s="585"/>
      <c r="N1011" s="585"/>
      <c r="O1011" s="585"/>
      <c r="P1011" s="585"/>
      <c r="Q1011" s="585"/>
      <c r="R1011" s="585"/>
      <c r="S1011" s="585"/>
      <c r="T1011" s="585"/>
      <c r="U1011" s="585"/>
      <c r="V1011" s="224"/>
      <c r="W1011" s="224"/>
      <c r="X1011" s="224"/>
      <c r="Y1011" s="224"/>
      <c r="Z1011" s="868"/>
      <c r="AA1011" s="865"/>
      <c r="AB1011" s="2"/>
      <c r="AC1011" s="2"/>
      <c r="AD1011" s="2"/>
      <c r="AE1011" s="2"/>
      <c r="AF1011" s="2"/>
      <c r="AG1011" s="2"/>
      <c r="AH1011" s="2"/>
      <c r="AI1011" s="2"/>
      <c r="AJ1011" s="2"/>
      <c r="AK1011" s="2"/>
      <c r="AL1011" s="2"/>
      <c r="AM1011" s="2"/>
      <c r="AN1011" s="2"/>
      <c r="AO1011" s="9"/>
      <c r="AP1011" s="9"/>
      <c r="AQ1011" s="9"/>
      <c r="AR1011" s="9"/>
    </row>
    <row r="1012">
      <c r="A1012" s="585"/>
      <c r="B1012" s="585"/>
      <c r="C1012" s="585"/>
      <c r="D1012" s="585"/>
      <c r="E1012" s="585"/>
      <c r="F1012" s="585"/>
      <c r="G1012" s="585"/>
      <c r="H1012" s="585"/>
      <c r="I1012" s="585"/>
      <c r="J1012" s="585"/>
      <c r="K1012" s="585"/>
      <c r="L1012" s="585"/>
      <c r="M1012" s="585"/>
      <c r="N1012" s="585"/>
      <c r="O1012" s="585"/>
      <c r="P1012" s="585"/>
      <c r="Q1012" s="585"/>
      <c r="R1012" s="585"/>
      <c r="S1012" s="585"/>
      <c r="T1012" s="585"/>
      <c r="U1012" s="585"/>
      <c r="V1012" s="224"/>
      <c r="W1012" s="224"/>
      <c r="X1012" s="224"/>
      <c r="Y1012" s="224"/>
      <c r="Z1012" s="868"/>
      <c r="AA1012" s="865"/>
      <c r="AB1012" s="2"/>
      <c r="AC1012" s="2"/>
      <c r="AD1012" s="2"/>
      <c r="AE1012" s="2"/>
      <c r="AF1012" s="2"/>
      <c r="AG1012" s="2"/>
      <c r="AH1012" s="2"/>
      <c r="AI1012" s="2"/>
      <c r="AJ1012" s="2"/>
      <c r="AK1012" s="2"/>
      <c r="AL1012" s="2"/>
      <c r="AM1012" s="2"/>
      <c r="AN1012" s="2"/>
      <c r="AO1012" s="9"/>
      <c r="AP1012" s="9"/>
      <c r="AQ1012" s="9"/>
      <c r="AR1012" s="9"/>
    </row>
    <row r="1013">
      <c r="A1013" s="585"/>
      <c r="B1013" s="585"/>
      <c r="C1013" s="585"/>
      <c r="D1013" s="585"/>
      <c r="E1013" s="585"/>
      <c r="F1013" s="585"/>
      <c r="G1013" s="585"/>
      <c r="H1013" s="585"/>
      <c r="I1013" s="585"/>
      <c r="J1013" s="585"/>
      <c r="K1013" s="585"/>
      <c r="L1013" s="585"/>
      <c r="M1013" s="585"/>
      <c r="N1013" s="585"/>
      <c r="O1013" s="585"/>
      <c r="P1013" s="585"/>
      <c r="Q1013" s="585"/>
      <c r="R1013" s="585"/>
      <c r="S1013" s="585"/>
      <c r="T1013" s="585"/>
      <c r="U1013" s="585"/>
      <c r="V1013" s="224"/>
      <c r="W1013" s="224"/>
      <c r="X1013" s="224"/>
      <c r="Y1013" s="224"/>
      <c r="Z1013" s="868"/>
      <c r="AA1013" s="865"/>
      <c r="AB1013" s="2"/>
      <c r="AC1013" s="2"/>
      <c r="AD1013" s="2"/>
      <c r="AE1013" s="2"/>
      <c r="AF1013" s="2"/>
      <c r="AG1013" s="2"/>
      <c r="AH1013" s="2"/>
      <c r="AI1013" s="2"/>
      <c r="AJ1013" s="2"/>
      <c r="AK1013" s="2"/>
      <c r="AL1013" s="2"/>
      <c r="AM1013" s="2"/>
      <c r="AN1013" s="2"/>
      <c r="AO1013" s="9"/>
      <c r="AP1013" s="9"/>
      <c r="AQ1013" s="9"/>
      <c r="AR1013" s="9"/>
    </row>
    <row r="1014">
      <c r="A1014" s="585"/>
      <c r="B1014" s="585"/>
      <c r="C1014" s="585"/>
      <c r="D1014" s="585"/>
      <c r="E1014" s="585"/>
      <c r="F1014" s="585"/>
      <c r="G1014" s="585"/>
      <c r="H1014" s="585"/>
      <c r="I1014" s="585"/>
      <c r="J1014" s="585"/>
      <c r="K1014" s="585"/>
      <c r="L1014" s="585"/>
      <c r="M1014" s="585"/>
      <c r="N1014" s="585"/>
      <c r="O1014" s="585"/>
      <c r="P1014" s="585"/>
      <c r="Q1014" s="585"/>
      <c r="R1014" s="585"/>
      <c r="S1014" s="585"/>
      <c r="T1014" s="585"/>
      <c r="U1014" s="585"/>
      <c r="V1014" s="224"/>
      <c r="W1014" s="224"/>
      <c r="X1014" s="224"/>
      <c r="Y1014" s="224"/>
      <c r="Z1014" s="868"/>
      <c r="AA1014" s="865"/>
      <c r="AB1014" s="2"/>
      <c r="AC1014" s="2"/>
      <c r="AD1014" s="2"/>
      <c r="AE1014" s="2"/>
      <c r="AF1014" s="2"/>
      <c r="AG1014" s="2"/>
      <c r="AH1014" s="2"/>
      <c r="AI1014" s="2"/>
      <c r="AJ1014" s="2"/>
      <c r="AK1014" s="2"/>
      <c r="AL1014" s="2"/>
      <c r="AM1014" s="2"/>
      <c r="AN1014" s="2"/>
      <c r="AO1014" s="9"/>
      <c r="AP1014" s="9"/>
      <c r="AQ1014" s="9"/>
      <c r="AR1014" s="9"/>
    </row>
    <row r="1015">
      <c r="A1015" s="585"/>
      <c r="B1015" s="585"/>
      <c r="C1015" s="585"/>
      <c r="D1015" s="585"/>
      <c r="E1015" s="585"/>
      <c r="F1015" s="585"/>
      <c r="G1015" s="585"/>
      <c r="H1015" s="585"/>
      <c r="I1015" s="585"/>
      <c r="J1015" s="585"/>
      <c r="K1015" s="585"/>
      <c r="L1015" s="585"/>
      <c r="M1015" s="585"/>
      <c r="N1015" s="585"/>
      <c r="O1015" s="585"/>
      <c r="P1015" s="585"/>
      <c r="Q1015" s="585"/>
      <c r="R1015" s="585"/>
      <c r="S1015" s="585"/>
      <c r="T1015" s="585"/>
      <c r="U1015" s="585"/>
      <c r="V1015" s="224"/>
      <c r="W1015" s="224"/>
      <c r="X1015" s="224"/>
      <c r="Y1015" s="224"/>
      <c r="Z1015" s="868"/>
      <c r="AA1015" s="865"/>
      <c r="AB1015" s="2"/>
      <c r="AC1015" s="2"/>
      <c r="AD1015" s="2"/>
      <c r="AE1015" s="2"/>
      <c r="AF1015" s="2"/>
      <c r="AG1015" s="2"/>
      <c r="AH1015" s="2"/>
      <c r="AI1015" s="2"/>
      <c r="AJ1015" s="2"/>
      <c r="AK1015" s="2"/>
      <c r="AL1015" s="2"/>
      <c r="AM1015" s="2"/>
      <c r="AN1015" s="2"/>
      <c r="AO1015" s="9"/>
      <c r="AP1015" s="9"/>
      <c r="AQ1015" s="9"/>
      <c r="AR1015" s="9"/>
    </row>
    <row r="1016">
      <c r="A1016" s="585"/>
      <c r="B1016" s="585"/>
      <c r="C1016" s="585"/>
      <c r="D1016" s="585"/>
      <c r="E1016" s="585"/>
      <c r="F1016" s="585"/>
      <c r="G1016" s="585"/>
      <c r="H1016" s="585"/>
      <c r="I1016" s="585"/>
      <c r="J1016" s="585"/>
      <c r="K1016" s="585"/>
      <c r="L1016" s="585"/>
      <c r="M1016" s="585"/>
      <c r="N1016" s="585"/>
      <c r="O1016" s="585"/>
      <c r="P1016" s="585"/>
      <c r="Q1016" s="585"/>
      <c r="R1016" s="585"/>
      <c r="S1016" s="585"/>
      <c r="T1016" s="585"/>
      <c r="U1016" s="585"/>
      <c r="V1016" s="224"/>
      <c r="W1016" s="224"/>
      <c r="X1016" s="224"/>
      <c r="Y1016" s="224"/>
      <c r="Z1016" s="868"/>
      <c r="AA1016" s="865"/>
      <c r="AB1016" s="2"/>
      <c r="AC1016" s="2"/>
      <c r="AD1016" s="2"/>
      <c r="AE1016" s="2"/>
      <c r="AF1016" s="2"/>
      <c r="AG1016" s="2"/>
      <c r="AH1016" s="2"/>
      <c r="AI1016" s="2"/>
      <c r="AJ1016" s="2"/>
      <c r="AK1016" s="2"/>
      <c r="AL1016" s="2"/>
      <c r="AM1016" s="2"/>
      <c r="AN1016" s="2"/>
      <c r="AO1016" s="9"/>
      <c r="AP1016" s="9"/>
      <c r="AQ1016" s="9"/>
      <c r="AR1016" s="9"/>
    </row>
    <row r="1017">
      <c r="A1017" s="585"/>
      <c r="B1017" s="585"/>
      <c r="C1017" s="585"/>
      <c r="D1017" s="585"/>
      <c r="E1017" s="585"/>
      <c r="F1017" s="585"/>
      <c r="G1017" s="585"/>
      <c r="H1017" s="585"/>
      <c r="I1017" s="585"/>
      <c r="J1017" s="585"/>
      <c r="K1017" s="585"/>
      <c r="L1017" s="585"/>
      <c r="M1017" s="585"/>
      <c r="N1017" s="585"/>
      <c r="O1017" s="585"/>
      <c r="P1017" s="585"/>
      <c r="Q1017" s="585"/>
      <c r="R1017" s="585"/>
      <c r="S1017" s="585"/>
      <c r="T1017" s="585"/>
      <c r="U1017" s="585"/>
      <c r="V1017" s="224"/>
      <c r="W1017" s="224"/>
      <c r="X1017" s="224"/>
      <c r="Y1017" s="224"/>
      <c r="Z1017" s="868"/>
      <c r="AA1017" s="865"/>
      <c r="AB1017" s="2"/>
      <c r="AC1017" s="2"/>
      <c r="AD1017" s="2"/>
      <c r="AE1017" s="2"/>
      <c r="AF1017" s="2"/>
      <c r="AG1017" s="2"/>
      <c r="AH1017" s="2"/>
      <c r="AI1017" s="2"/>
      <c r="AJ1017" s="2"/>
      <c r="AK1017" s="2"/>
      <c r="AL1017" s="2"/>
      <c r="AM1017" s="2"/>
      <c r="AN1017" s="2"/>
      <c r="AO1017" s="9"/>
      <c r="AP1017" s="9"/>
      <c r="AQ1017" s="9"/>
      <c r="AR1017" s="9"/>
    </row>
    <row r="1018">
      <c r="A1018" s="585"/>
      <c r="B1018" s="585"/>
      <c r="C1018" s="585"/>
      <c r="D1018" s="585"/>
      <c r="E1018" s="585"/>
      <c r="F1018" s="585"/>
      <c r="G1018" s="585"/>
      <c r="H1018" s="585"/>
      <c r="I1018" s="585"/>
      <c r="J1018" s="585"/>
      <c r="K1018" s="585"/>
      <c r="L1018" s="585"/>
      <c r="M1018" s="585"/>
      <c r="N1018" s="585"/>
      <c r="O1018" s="585"/>
      <c r="P1018" s="585"/>
      <c r="Q1018" s="585"/>
      <c r="R1018" s="585"/>
      <c r="S1018" s="585"/>
      <c r="T1018" s="585"/>
      <c r="U1018" s="585"/>
      <c r="V1018" s="224"/>
      <c r="W1018" s="224"/>
      <c r="X1018" s="224"/>
      <c r="Y1018" s="224"/>
      <c r="Z1018" s="868"/>
      <c r="AA1018" s="865"/>
      <c r="AB1018" s="2"/>
      <c r="AC1018" s="2"/>
      <c r="AD1018" s="2"/>
      <c r="AE1018" s="2"/>
      <c r="AF1018" s="2"/>
      <c r="AG1018" s="2"/>
      <c r="AH1018" s="2"/>
      <c r="AI1018" s="2"/>
      <c r="AJ1018" s="2"/>
      <c r="AK1018" s="2"/>
      <c r="AL1018" s="2"/>
      <c r="AM1018" s="2"/>
      <c r="AN1018" s="2"/>
      <c r="AO1018" s="9"/>
      <c r="AP1018" s="9"/>
      <c r="AQ1018" s="9"/>
      <c r="AR1018" s="9"/>
    </row>
    <row r="1019">
      <c r="A1019" s="585"/>
      <c r="B1019" s="585"/>
      <c r="C1019" s="585"/>
      <c r="D1019" s="585"/>
      <c r="E1019" s="585"/>
      <c r="F1019" s="585"/>
      <c r="G1019" s="585"/>
      <c r="H1019" s="585"/>
      <c r="I1019" s="585"/>
      <c r="J1019" s="585"/>
      <c r="K1019" s="585"/>
      <c r="L1019" s="585"/>
      <c r="M1019" s="585"/>
      <c r="N1019" s="585"/>
      <c r="O1019" s="585"/>
      <c r="P1019" s="585"/>
      <c r="Q1019" s="585"/>
      <c r="R1019" s="585"/>
      <c r="S1019" s="585"/>
      <c r="T1019" s="585"/>
      <c r="U1019" s="585"/>
      <c r="V1019" s="224"/>
      <c r="W1019" s="224"/>
      <c r="X1019" s="224"/>
      <c r="Y1019" s="224"/>
      <c r="Z1019" s="868"/>
      <c r="AA1019" s="865"/>
      <c r="AB1019" s="2"/>
      <c r="AC1019" s="2"/>
      <c r="AD1019" s="2"/>
      <c r="AE1019" s="2"/>
      <c r="AF1019" s="2"/>
      <c r="AG1019" s="2"/>
      <c r="AH1019" s="2"/>
      <c r="AI1019" s="2"/>
      <c r="AJ1019" s="2"/>
      <c r="AK1019" s="2"/>
      <c r="AL1019" s="2"/>
      <c r="AM1019" s="2"/>
      <c r="AN1019" s="2"/>
      <c r="AO1019" s="9"/>
      <c r="AP1019" s="9"/>
      <c r="AQ1019" s="9"/>
      <c r="AR1019" s="9"/>
    </row>
    <row r="1020">
      <c r="A1020" s="585"/>
      <c r="B1020" s="585"/>
      <c r="C1020" s="585"/>
      <c r="D1020" s="585"/>
      <c r="E1020" s="585"/>
      <c r="F1020" s="585"/>
      <c r="G1020" s="585"/>
      <c r="H1020" s="585"/>
      <c r="I1020" s="585"/>
      <c r="J1020" s="585"/>
      <c r="K1020" s="585"/>
      <c r="L1020" s="585"/>
      <c r="M1020" s="585"/>
      <c r="N1020" s="585"/>
      <c r="O1020" s="585"/>
      <c r="P1020" s="585"/>
      <c r="Q1020" s="585"/>
      <c r="R1020" s="585"/>
      <c r="S1020" s="585"/>
      <c r="T1020" s="585"/>
      <c r="U1020" s="585"/>
      <c r="V1020" s="224"/>
      <c r="W1020" s="224"/>
      <c r="X1020" s="224"/>
      <c r="Y1020" s="224"/>
      <c r="Z1020" s="868"/>
      <c r="AA1020" s="865"/>
      <c r="AB1020" s="2"/>
      <c r="AC1020" s="2"/>
      <c r="AD1020" s="2"/>
      <c r="AE1020" s="2"/>
      <c r="AF1020" s="2"/>
      <c r="AG1020" s="2"/>
      <c r="AH1020" s="2"/>
      <c r="AI1020" s="2"/>
      <c r="AJ1020" s="2"/>
      <c r="AK1020" s="2"/>
      <c r="AL1020" s="2"/>
      <c r="AM1020" s="2"/>
      <c r="AN1020" s="2"/>
      <c r="AO1020" s="9"/>
      <c r="AP1020" s="9"/>
      <c r="AQ1020" s="9"/>
      <c r="AR1020" s="9"/>
    </row>
    <row r="1021">
      <c r="A1021" s="585"/>
      <c r="B1021" s="585"/>
      <c r="C1021" s="585"/>
      <c r="D1021" s="585"/>
      <c r="E1021" s="585"/>
      <c r="F1021" s="585"/>
      <c r="G1021" s="585"/>
      <c r="H1021" s="585"/>
      <c r="I1021" s="585"/>
      <c r="J1021" s="585"/>
      <c r="K1021" s="585"/>
      <c r="L1021" s="585"/>
      <c r="M1021" s="585"/>
      <c r="N1021" s="585"/>
      <c r="O1021" s="585"/>
      <c r="P1021" s="585"/>
      <c r="Q1021" s="585"/>
      <c r="R1021" s="585"/>
      <c r="S1021" s="585"/>
      <c r="T1021" s="585"/>
      <c r="U1021" s="585"/>
      <c r="V1021" s="224"/>
      <c r="W1021" s="224"/>
      <c r="X1021" s="224"/>
      <c r="Y1021" s="224"/>
      <c r="Z1021" s="868"/>
      <c r="AA1021" s="865"/>
      <c r="AB1021" s="2"/>
      <c r="AC1021" s="2"/>
      <c r="AD1021" s="2"/>
      <c r="AE1021" s="2"/>
      <c r="AF1021" s="2"/>
      <c r="AG1021" s="2"/>
      <c r="AH1021" s="2"/>
      <c r="AI1021" s="2"/>
      <c r="AJ1021" s="2"/>
      <c r="AK1021" s="2"/>
      <c r="AL1021" s="2"/>
      <c r="AM1021" s="2"/>
      <c r="AN1021" s="2"/>
      <c r="AO1021" s="9"/>
      <c r="AP1021" s="9"/>
      <c r="AQ1021" s="9"/>
      <c r="AR1021" s="9"/>
    </row>
    <row r="1022">
      <c r="A1022" s="585"/>
      <c r="B1022" s="585"/>
      <c r="C1022" s="585"/>
      <c r="D1022" s="585"/>
      <c r="E1022" s="585"/>
      <c r="F1022" s="585"/>
      <c r="G1022" s="585"/>
      <c r="H1022" s="585"/>
      <c r="I1022" s="585"/>
      <c r="J1022" s="585"/>
      <c r="K1022" s="585"/>
      <c r="L1022" s="585"/>
      <c r="M1022" s="585"/>
      <c r="N1022" s="585"/>
      <c r="O1022" s="585"/>
      <c r="P1022" s="585"/>
      <c r="Q1022" s="585"/>
      <c r="R1022" s="585"/>
      <c r="S1022" s="585"/>
      <c r="T1022" s="585"/>
      <c r="U1022" s="585"/>
      <c r="V1022" s="224"/>
      <c r="W1022" s="224"/>
      <c r="X1022" s="224"/>
      <c r="Y1022" s="224"/>
      <c r="Z1022" s="868"/>
      <c r="AA1022" s="865"/>
      <c r="AB1022" s="2"/>
      <c r="AC1022" s="2"/>
      <c r="AD1022" s="2"/>
      <c r="AE1022" s="2"/>
      <c r="AF1022" s="2"/>
      <c r="AG1022" s="2"/>
      <c r="AH1022" s="2"/>
      <c r="AI1022" s="2"/>
      <c r="AJ1022" s="2"/>
      <c r="AK1022" s="2"/>
      <c r="AL1022" s="2"/>
      <c r="AM1022" s="2"/>
      <c r="AN1022" s="2"/>
      <c r="AO1022" s="9"/>
      <c r="AP1022" s="9"/>
      <c r="AQ1022" s="9"/>
      <c r="AR1022" s="9"/>
    </row>
    <row r="1023">
      <c r="A1023" s="585"/>
      <c r="B1023" s="585"/>
      <c r="C1023" s="585"/>
      <c r="D1023" s="585"/>
      <c r="E1023" s="585"/>
      <c r="F1023" s="585"/>
      <c r="G1023" s="585"/>
      <c r="H1023" s="585"/>
      <c r="I1023" s="585"/>
      <c r="J1023" s="585"/>
      <c r="K1023" s="585"/>
      <c r="L1023" s="585"/>
      <c r="M1023" s="585"/>
      <c r="N1023" s="585"/>
      <c r="O1023" s="585"/>
      <c r="P1023" s="585"/>
      <c r="Q1023" s="585"/>
      <c r="R1023" s="585"/>
      <c r="S1023" s="585"/>
      <c r="T1023" s="585"/>
      <c r="U1023" s="585"/>
      <c r="V1023" s="224"/>
      <c r="W1023" s="224"/>
      <c r="X1023" s="224"/>
      <c r="Y1023" s="224"/>
      <c r="Z1023" s="868"/>
      <c r="AA1023" s="865"/>
      <c r="AB1023" s="2"/>
      <c r="AC1023" s="2"/>
      <c r="AD1023" s="2"/>
      <c r="AE1023" s="2"/>
      <c r="AF1023" s="2"/>
      <c r="AG1023" s="2"/>
      <c r="AH1023" s="2"/>
      <c r="AI1023" s="2"/>
      <c r="AJ1023" s="2"/>
      <c r="AK1023" s="2"/>
      <c r="AL1023" s="2"/>
      <c r="AM1023" s="2"/>
      <c r="AN1023" s="2"/>
      <c r="AO1023" s="9"/>
      <c r="AP1023" s="9"/>
      <c r="AQ1023" s="9"/>
      <c r="AR1023" s="9"/>
    </row>
    <row r="1024">
      <c r="A1024" s="585"/>
      <c r="B1024" s="585"/>
      <c r="C1024" s="585"/>
      <c r="D1024" s="585"/>
      <c r="E1024" s="585"/>
      <c r="F1024" s="585"/>
      <c r="G1024" s="585"/>
      <c r="H1024" s="585"/>
      <c r="I1024" s="585"/>
      <c r="J1024" s="585"/>
      <c r="K1024" s="585"/>
      <c r="L1024" s="585"/>
      <c r="M1024" s="585"/>
      <c r="N1024" s="585"/>
      <c r="O1024" s="585"/>
      <c r="P1024" s="585"/>
      <c r="Q1024" s="585"/>
      <c r="R1024" s="585"/>
      <c r="S1024" s="585"/>
      <c r="T1024" s="585"/>
      <c r="U1024" s="585"/>
      <c r="V1024" s="224"/>
      <c r="W1024" s="224"/>
      <c r="X1024" s="224"/>
      <c r="Y1024" s="224"/>
      <c r="Z1024" s="868"/>
      <c r="AA1024" s="865"/>
      <c r="AB1024" s="2"/>
      <c r="AC1024" s="2"/>
      <c r="AD1024" s="2"/>
      <c r="AE1024" s="2"/>
      <c r="AF1024" s="2"/>
      <c r="AG1024" s="2"/>
      <c r="AH1024" s="2"/>
      <c r="AI1024" s="2"/>
      <c r="AJ1024" s="2"/>
      <c r="AK1024" s="2"/>
      <c r="AL1024" s="2"/>
      <c r="AM1024" s="2"/>
      <c r="AN1024" s="2"/>
      <c r="AO1024" s="9"/>
      <c r="AP1024" s="9"/>
      <c r="AQ1024" s="9"/>
      <c r="AR1024" s="9"/>
    </row>
    <row r="1025">
      <c r="A1025" s="585"/>
      <c r="B1025" s="585"/>
      <c r="C1025" s="585"/>
      <c r="D1025" s="585"/>
      <c r="E1025" s="585"/>
      <c r="F1025" s="585"/>
      <c r="G1025" s="585"/>
      <c r="H1025" s="585"/>
      <c r="I1025" s="585"/>
      <c r="J1025" s="585"/>
      <c r="K1025" s="585"/>
      <c r="L1025" s="585"/>
      <c r="M1025" s="585"/>
      <c r="N1025" s="585"/>
      <c r="O1025" s="585"/>
      <c r="P1025" s="585"/>
      <c r="Q1025" s="585"/>
      <c r="R1025" s="585"/>
      <c r="S1025" s="585"/>
      <c r="T1025" s="585"/>
      <c r="U1025" s="585"/>
      <c r="V1025" s="224"/>
      <c r="W1025" s="224"/>
      <c r="X1025" s="224"/>
      <c r="Y1025" s="224"/>
      <c r="Z1025" s="868"/>
      <c r="AA1025" s="865"/>
      <c r="AB1025" s="2"/>
      <c r="AC1025" s="2"/>
      <c r="AD1025" s="2"/>
      <c r="AE1025" s="2"/>
      <c r="AF1025" s="2"/>
      <c r="AG1025" s="2"/>
      <c r="AH1025" s="2"/>
      <c r="AI1025" s="2"/>
      <c r="AJ1025" s="2"/>
      <c r="AK1025" s="2"/>
      <c r="AL1025" s="2"/>
      <c r="AM1025" s="2"/>
      <c r="AN1025" s="2"/>
      <c r="AO1025" s="9"/>
      <c r="AP1025" s="9"/>
      <c r="AQ1025" s="9"/>
      <c r="AR1025" s="9"/>
    </row>
    <row r="1026">
      <c r="A1026" s="585"/>
      <c r="B1026" s="585"/>
      <c r="C1026" s="585"/>
      <c r="D1026" s="585"/>
      <c r="E1026" s="585"/>
      <c r="F1026" s="585"/>
      <c r="G1026" s="585"/>
      <c r="H1026" s="585"/>
      <c r="I1026" s="585"/>
      <c r="J1026" s="585"/>
      <c r="K1026" s="585"/>
      <c r="L1026" s="585"/>
      <c r="M1026" s="585"/>
      <c r="N1026" s="585"/>
      <c r="O1026" s="585"/>
      <c r="P1026" s="585"/>
      <c r="Q1026" s="585"/>
      <c r="R1026" s="585"/>
      <c r="S1026" s="585"/>
      <c r="T1026" s="585"/>
      <c r="U1026" s="585"/>
      <c r="V1026" s="224"/>
      <c r="W1026" s="224"/>
      <c r="X1026" s="224"/>
      <c r="Y1026" s="224"/>
      <c r="Z1026" s="868"/>
      <c r="AA1026" s="865"/>
      <c r="AB1026" s="2"/>
      <c r="AC1026" s="2"/>
      <c r="AD1026" s="2"/>
      <c r="AE1026" s="2"/>
      <c r="AF1026" s="2"/>
      <c r="AG1026" s="2"/>
      <c r="AH1026" s="2"/>
      <c r="AI1026" s="2"/>
      <c r="AJ1026" s="2"/>
      <c r="AK1026" s="2"/>
      <c r="AL1026" s="2"/>
      <c r="AM1026" s="2"/>
      <c r="AN1026" s="2"/>
      <c r="AO1026" s="9"/>
      <c r="AP1026" s="9"/>
      <c r="AQ1026" s="9"/>
      <c r="AR1026" s="9"/>
    </row>
    <row r="1027">
      <c r="A1027" s="585"/>
      <c r="B1027" s="585"/>
      <c r="C1027" s="585"/>
      <c r="D1027" s="585"/>
      <c r="E1027" s="585"/>
      <c r="F1027" s="585"/>
      <c r="G1027" s="585"/>
      <c r="H1027" s="585"/>
      <c r="I1027" s="585"/>
      <c r="J1027" s="585"/>
      <c r="K1027" s="585"/>
      <c r="L1027" s="585"/>
      <c r="M1027" s="585"/>
      <c r="N1027" s="585"/>
      <c r="O1027" s="585"/>
      <c r="P1027" s="585"/>
      <c r="Q1027" s="585"/>
      <c r="R1027" s="585"/>
      <c r="S1027" s="585"/>
      <c r="T1027" s="585"/>
      <c r="U1027" s="585"/>
      <c r="V1027" s="224"/>
      <c r="W1027" s="224"/>
      <c r="X1027" s="224"/>
      <c r="Y1027" s="224"/>
      <c r="Z1027" s="868"/>
      <c r="AA1027" s="865"/>
      <c r="AB1027" s="2"/>
      <c r="AC1027" s="2"/>
      <c r="AD1027" s="2"/>
      <c r="AE1027" s="2"/>
      <c r="AF1027" s="2"/>
      <c r="AG1027" s="2"/>
      <c r="AH1027" s="2"/>
      <c r="AI1027" s="2"/>
      <c r="AJ1027" s="2"/>
      <c r="AK1027" s="2"/>
      <c r="AL1027" s="2"/>
      <c r="AM1027" s="2"/>
      <c r="AN1027" s="2"/>
      <c r="AO1027" s="9"/>
      <c r="AP1027" s="9"/>
      <c r="AQ1027" s="9"/>
      <c r="AR1027" s="9"/>
    </row>
    <row r="1028">
      <c r="A1028" s="585"/>
      <c r="B1028" s="585"/>
      <c r="C1028" s="585"/>
      <c r="D1028" s="585"/>
      <c r="E1028" s="585"/>
      <c r="F1028" s="585"/>
      <c r="G1028" s="585"/>
      <c r="H1028" s="585"/>
      <c r="I1028" s="585"/>
      <c r="J1028" s="585"/>
      <c r="K1028" s="585"/>
      <c r="L1028" s="585"/>
      <c r="M1028" s="585"/>
      <c r="N1028" s="585"/>
      <c r="O1028" s="585"/>
      <c r="P1028" s="585"/>
      <c r="Q1028" s="585"/>
      <c r="R1028" s="585"/>
      <c r="S1028" s="585"/>
      <c r="T1028" s="585"/>
      <c r="U1028" s="585"/>
      <c r="V1028" s="224"/>
      <c r="W1028" s="224"/>
      <c r="X1028" s="224"/>
      <c r="Y1028" s="224"/>
      <c r="Z1028" s="868"/>
      <c r="AA1028" s="865"/>
      <c r="AB1028" s="2"/>
      <c r="AC1028" s="2"/>
      <c r="AD1028" s="2"/>
      <c r="AE1028" s="2"/>
      <c r="AF1028" s="2"/>
      <c r="AG1028" s="2"/>
      <c r="AH1028" s="2"/>
      <c r="AI1028" s="2"/>
      <c r="AJ1028" s="2"/>
      <c r="AK1028" s="2"/>
      <c r="AL1028" s="2"/>
      <c r="AM1028" s="2"/>
      <c r="AN1028" s="2"/>
      <c r="AO1028" s="9"/>
      <c r="AP1028" s="9"/>
      <c r="AQ1028" s="9"/>
      <c r="AR1028" s="9"/>
    </row>
    <row r="1029">
      <c r="A1029" s="585"/>
      <c r="B1029" s="585"/>
      <c r="C1029" s="585"/>
      <c r="D1029" s="585"/>
      <c r="E1029" s="585"/>
      <c r="F1029" s="585"/>
      <c r="G1029" s="585"/>
      <c r="H1029" s="585"/>
      <c r="I1029" s="585"/>
      <c r="J1029" s="585"/>
      <c r="K1029" s="585"/>
      <c r="L1029" s="585"/>
      <c r="M1029" s="585"/>
      <c r="N1029" s="585"/>
      <c r="O1029" s="585"/>
      <c r="P1029" s="585"/>
      <c r="Q1029" s="585"/>
      <c r="R1029" s="585"/>
      <c r="S1029" s="585"/>
      <c r="T1029" s="585"/>
      <c r="U1029" s="585"/>
      <c r="V1029" s="224"/>
      <c r="W1029" s="224"/>
      <c r="X1029" s="224"/>
      <c r="Y1029" s="224"/>
      <c r="Z1029" s="868"/>
      <c r="AA1029" s="865"/>
      <c r="AB1029" s="2"/>
      <c r="AC1029" s="2"/>
      <c r="AD1029" s="2"/>
      <c r="AE1029" s="2"/>
      <c r="AF1029" s="2"/>
      <c r="AG1029" s="2"/>
      <c r="AH1029" s="2"/>
      <c r="AI1029" s="2"/>
      <c r="AJ1029" s="2"/>
      <c r="AK1029" s="2"/>
      <c r="AL1029" s="2"/>
      <c r="AM1029" s="2"/>
      <c r="AN1029" s="2"/>
      <c r="AO1029" s="9"/>
      <c r="AP1029" s="9"/>
      <c r="AQ1029" s="9"/>
      <c r="AR1029" s="9"/>
    </row>
    <row r="1030">
      <c r="A1030" s="585"/>
      <c r="B1030" s="585"/>
      <c r="C1030" s="585"/>
      <c r="D1030" s="585"/>
      <c r="E1030" s="585"/>
      <c r="F1030" s="585"/>
      <c r="G1030" s="585"/>
      <c r="H1030" s="585"/>
      <c r="I1030" s="585"/>
      <c r="J1030" s="585"/>
      <c r="K1030" s="585"/>
      <c r="L1030" s="585"/>
      <c r="M1030" s="585"/>
      <c r="N1030" s="585"/>
      <c r="O1030" s="585"/>
      <c r="P1030" s="585"/>
      <c r="Q1030" s="585"/>
      <c r="R1030" s="585"/>
      <c r="S1030" s="585"/>
      <c r="T1030" s="585"/>
      <c r="U1030" s="585"/>
      <c r="V1030" s="224"/>
      <c r="W1030" s="224"/>
      <c r="X1030" s="224"/>
      <c r="Y1030" s="224"/>
      <c r="Z1030" s="868"/>
      <c r="AA1030" s="865"/>
      <c r="AB1030" s="2"/>
      <c r="AC1030" s="2"/>
      <c r="AD1030" s="2"/>
      <c r="AE1030" s="2"/>
      <c r="AF1030" s="2"/>
      <c r="AG1030" s="2"/>
      <c r="AH1030" s="2"/>
      <c r="AI1030" s="2"/>
      <c r="AJ1030" s="2"/>
      <c r="AK1030" s="2"/>
      <c r="AL1030" s="2"/>
      <c r="AM1030" s="2"/>
      <c r="AN1030" s="2"/>
      <c r="AO1030" s="9"/>
      <c r="AP1030" s="9"/>
      <c r="AQ1030" s="9"/>
      <c r="AR1030" s="9"/>
    </row>
    <row r="1031">
      <c r="A1031" s="585"/>
      <c r="B1031" s="585"/>
      <c r="C1031" s="585"/>
      <c r="D1031" s="585"/>
      <c r="E1031" s="585"/>
      <c r="F1031" s="585"/>
      <c r="G1031" s="585"/>
      <c r="H1031" s="585"/>
      <c r="I1031" s="585"/>
      <c r="J1031" s="585"/>
      <c r="K1031" s="585"/>
      <c r="L1031" s="585"/>
      <c r="M1031" s="585"/>
      <c r="N1031" s="585"/>
      <c r="O1031" s="585"/>
      <c r="P1031" s="585"/>
      <c r="Q1031" s="585"/>
      <c r="R1031" s="585"/>
      <c r="S1031" s="585"/>
      <c r="T1031" s="585"/>
      <c r="U1031" s="585"/>
      <c r="V1031" s="224"/>
      <c r="W1031" s="224"/>
      <c r="X1031" s="224"/>
      <c r="Y1031" s="224"/>
      <c r="Z1031" s="868"/>
      <c r="AA1031" s="865"/>
      <c r="AB1031" s="2"/>
      <c r="AC1031" s="2"/>
      <c r="AD1031" s="2"/>
      <c r="AE1031" s="2"/>
      <c r="AF1031" s="2"/>
      <c r="AG1031" s="2"/>
      <c r="AH1031" s="2"/>
      <c r="AI1031" s="2"/>
      <c r="AJ1031" s="2"/>
      <c r="AK1031" s="2"/>
      <c r="AL1031" s="2"/>
      <c r="AM1031" s="2"/>
      <c r="AN1031" s="2"/>
      <c r="AO1031" s="9"/>
      <c r="AP1031" s="9"/>
      <c r="AQ1031" s="9"/>
      <c r="AR1031" s="9"/>
    </row>
    <row r="1032">
      <c r="A1032" s="585"/>
      <c r="B1032" s="585"/>
      <c r="C1032" s="585"/>
      <c r="D1032" s="585"/>
      <c r="E1032" s="585"/>
      <c r="F1032" s="585"/>
      <c r="G1032" s="585"/>
      <c r="H1032" s="585"/>
      <c r="I1032" s="585"/>
      <c r="J1032" s="585"/>
      <c r="K1032" s="585"/>
      <c r="L1032" s="585"/>
      <c r="M1032" s="585"/>
      <c r="N1032" s="585"/>
      <c r="O1032" s="585"/>
      <c r="P1032" s="585"/>
      <c r="Q1032" s="585"/>
      <c r="R1032" s="585"/>
      <c r="S1032" s="585"/>
      <c r="T1032" s="585"/>
      <c r="U1032" s="585"/>
      <c r="V1032" s="224"/>
      <c r="W1032" s="224"/>
      <c r="X1032" s="224"/>
      <c r="Y1032" s="224"/>
      <c r="Z1032" s="868"/>
      <c r="AA1032" s="865"/>
      <c r="AB1032" s="2"/>
      <c r="AC1032" s="2"/>
      <c r="AD1032" s="2"/>
      <c r="AE1032" s="2"/>
      <c r="AF1032" s="2"/>
      <c r="AG1032" s="2"/>
      <c r="AH1032" s="2"/>
      <c r="AI1032" s="2"/>
      <c r="AJ1032" s="2"/>
      <c r="AK1032" s="2"/>
      <c r="AL1032" s="2"/>
      <c r="AM1032" s="2"/>
      <c r="AN1032" s="2"/>
      <c r="AO1032" s="9"/>
      <c r="AP1032" s="9"/>
      <c r="AQ1032" s="9"/>
      <c r="AR1032" s="9"/>
    </row>
    <row r="1033">
      <c r="A1033" s="585"/>
      <c r="B1033" s="585"/>
      <c r="C1033" s="585"/>
      <c r="D1033" s="585"/>
      <c r="E1033" s="585"/>
      <c r="F1033" s="585"/>
      <c r="G1033" s="585"/>
      <c r="H1033" s="585"/>
      <c r="I1033" s="585"/>
      <c r="J1033" s="585"/>
      <c r="K1033" s="585"/>
      <c r="L1033" s="585"/>
      <c r="M1033" s="585"/>
      <c r="N1033" s="585"/>
      <c r="O1033" s="585"/>
      <c r="P1033" s="585"/>
      <c r="Q1033" s="585"/>
      <c r="R1033" s="585"/>
      <c r="S1033" s="585"/>
      <c r="T1033" s="585"/>
      <c r="U1033" s="585"/>
      <c r="V1033" s="224"/>
      <c r="W1033" s="224"/>
      <c r="X1033" s="224"/>
      <c r="Y1033" s="224"/>
      <c r="Z1033" s="868"/>
      <c r="AA1033" s="865"/>
      <c r="AB1033" s="2"/>
      <c r="AC1033" s="2"/>
      <c r="AD1033" s="2"/>
      <c r="AE1033" s="2"/>
      <c r="AF1033" s="2"/>
      <c r="AG1033" s="2"/>
      <c r="AH1033" s="2"/>
      <c r="AI1033" s="2"/>
      <c r="AJ1033" s="2"/>
      <c r="AK1033" s="2"/>
      <c r="AL1033" s="2"/>
      <c r="AM1033" s="2"/>
      <c r="AN1033" s="2"/>
      <c r="AO1033" s="9"/>
      <c r="AP1033" s="9"/>
      <c r="AQ1033" s="9"/>
      <c r="AR1033" s="9"/>
    </row>
    <row r="1034">
      <c r="A1034" s="585"/>
      <c r="B1034" s="585"/>
      <c r="C1034" s="585"/>
      <c r="D1034" s="585"/>
      <c r="E1034" s="585"/>
      <c r="F1034" s="585"/>
      <c r="G1034" s="585"/>
      <c r="H1034" s="585"/>
      <c r="I1034" s="585"/>
      <c r="J1034" s="585"/>
      <c r="K1034" s="585"/>
      <c r="L1034" s="585"/>
      <c r="M1034" s="585"/>
      <c r="N1034" s="585"/>
      <c r="O1034" s="585"/>
      <c r="P1034" s="585"/>
      <c r="Q1034" s="585"/>
      <c r="R1034" s="585"/>
      <c r="S1034" s="585"/>
      <c r="T1034" s="585"/>
      <c r="U1034" s="585"/>
      <c r="V1034" s="224"/>
      <c r="W1034" s="224"/>
      <c r="X1034" s="224"/>
      <c r="Y1034" s="224"/>
      <c r="Z1034" s="868"/>
      <c r="AA1034" s="865"/>
      <c r="AB1034" s="2"/>
      <c r="AC1034" s="2"/>
      <c r="AD1034" s="2"/>
      <c r="AE1034" s="2"/>
      <c r="AF1034" s="2"/>
      <c r="AG1034" s="2"/>
      <c r="AH1034" s="2"/>
      <c r="AI1034" s="2"/>
      <c r="AJ1034" s="2"/>
      <c r="AK1034" s="2"/>
      <c r="AL1034" s="2"/>
      <c r="AM1034" s="2"/>
      <c r="AN1034" s="2"/>
      <c r="AO1034" s="9"/>
      <c r="AP1034" s="9"/>
      <c r="AQ1034" s="9"/>
      <c r="AR1034" s="9"/>
    </row>
    <row r="1035">
      <c r="A1035" s="585"/>
      <c r="B1035" s="585"/>
      <c r="C1035" s="585"/>
      <c r="D1035" s="585"/>
      <c r="E1035" s="585"/>
      <c r="F1035" s="585"/>
      <c r="G1035" s="585"/>
      <c r="H1035" s="585"/>
      <c r="I1035" s="585"/>
      <c r="J1035" s="585"/>
      <c r="K1035" s="585"/>
      <c r="L1035" s="585"/>
      <c r="M1035" s="585"/>
      <c r="N1035" s="585"/>
      <c r="O1035" s="585"/>
      <c r="P1035" s="585"/>
      <c r="Q1035" s="585"/>
      <c r="R1035" s="585"/>
      <c r="S1035" s="585"/>
      <c r="T1035" s="585"/>
      <c r="U1035" s="585"/>
      <c r="V1035" s="224"/>
      <c r="W1035" s="224"/>
      <c r="X1035" s="224"/>
      <c r="Y1035" s="224"/>
      <c r="Z1035" s="868"/>
      <c r="AA1035" s="865"/>
      <c r="AB1035" s="2"/>
      <c r="AC1035" s="2"/>
      <c r="AD1035" s="2"/>
      <c r="AE1035" s="2"/>
      <c r="AF1035" s="2"/>
      <c r="AG1035" s="2"/>
      <c r="AH1035" s="2"/>
      <c r="AI1035" s="2"/>
      <c r="AJ1035" s="2"/>
      <c r="AK1035" s="2"/>
      <c r="AL1035" s="2"/>
      <c r="AM1035" s="2"/>
      <c r="AN1035" s="2"/>
      <c r="AO1035" s="9"/>
      <c r="AP1035" s="9"/>
      <c r="AQ1035" s="9"/>
      <c r="AR1035" s="9"/>
    </row>
    <row r="1036">
      <c r="A1036" s="585"/>
      <c r="B1036" s="585"/>
      <c r="C1036" s="585"/>
      <c r="D1036" s="585"/>
      <c r="E1036" s="585"/>
      <c r="F1036" s="585"/>
      <c r="G1036" s="585"/>
      <c r="H1036" s="585"/>
      <c r="I1036" s="585"/>
      <c r="J1036" s="585"/>
      <c r="K1036" s="585"/>
      <c r="L1036" s="585"/>
      <c r="M1036" s="585"/>
      <c r="N1036" s="585"/>
      <c r="O1036" s="585"/>
      <c r="P1036" s="585"/>
      <c r="Q1036" s="585"/>
      <c r="R1036" s="585"/>
      <c r="S1036" s="585"/>
      <c r="T1036" s="585"/>
      <c r="U1036" s="585"/>
      <c r="V1036" s="224"/>
      <c r="W1036" s="224"/>
      <c r="X1036" s="224"/>
      <c r="Y1036" s="224"/>
      <c r="Z1036" s="868"/>
      <c r="AA1036" s="865"/>
      <c r="AB1036" s="2"/>
      <c r="AC1036" s="2"/>
      <c r="AD1036" s="2"/>
      <c r="AE1036" s="2"/>
      <c r="AF1036" s="2"/>
      <c r="AG1036" s="2"/>
      <c r="AH1036" s="2"/>
      <c r="AI1036" s="2"/>
      <c r="AJ1036" s="2"/>
      <c r="AK1036" s="2"/>
      <c r="AL1036" s="2"/>
      <c r="AM1036" s="2"/>
      <c r="AN1036" s="2"/>
      <c r="AO1036" s="9"/>
      <c r="AP1036" s="9"/>
      <c r="AQ1036" s="9"/>
      <c r="AR1036" s="9"/>
    </row>
    <row r="1037">
      <c r="A1037" s="585"/>
      <c r="B1037" s="585"/>
      <c r="C1037" s="585"/>
      <c r="D1037" s="585"/>
      <c r="E1037" s="585"/>
      <c r="F1037" s="585"/>
      <c r="G1037" s="585"/>
      <c r="H1037" s="585"/>
      <c r="I1037" s="585"/>
      <c r="J1037" s="585"/>
      <c r="K1037" s="585"/>
      <c r="L1037" s="585"/>
      <c r="M1037" s="585"/>
      <c r="N1037" s="585"/>
      <c r="O1037" s="585"/>
      <c r="P1037" s="585"/>
      <c r="Q1037" s="585"/>
      <c r="R1037" s="585"/>
      <c r="S1037" s="585"/>
      <c r="T1037" s="585"/>
      <c r="U1037" s="585"/>
      <c r="V1037" s="224"/>
      <c r="W1037" s="224"/>
      <c r="X1037" s="224"/>
      <c r="Y1037" s="224"/>
      <c r="Z1037" s="868"/>
      <c r="AA1037" s="865"/>
      <c r="AB1037" s="2"/>
      <c r="AC1037" s="2"/>
      <c r="AD1037" s="2"/>
      <c r="AE1037" s="2"/>
      <c r="AF1037" s="2"/>
      <c r="AG1037" s="2"/>
      <c r="AH1037" s="2"/>
      <c r="AI1037" s="2"/>
      <c r="AJ1037" s="2"/>
      <c r="AK1037" s="2"/>
      <c r="AL1037" s="2"/>
      <c r="AM1037" s="2"/>
      <c r="AN1037" s="2"/>
      <c r="AO1037" s="9"/>
      <c r="AP1037" s="9"/>
      <c r="AQ1037" s="9"/>
      <c r="AR1037" s="9"/>
    </row>
    <row r="1038">
      <c r="A1038" s="585"/>
      <c r="B1038" s="585"/>
      <c r="C1038" s="585"/>
      <c r="D1038" s="585"/>
      <c r="E1038" s="585"/>
      <c r="F1038" s="585"/>
      <c r="G1038" s="585"/>
      <c r="H1038" s="585"/>
      <c r="I1038" s="585"/>
      <c r="J1038" s="585"/>
      <c r="K1038" s="585"/>
      <c r="L1038" s="585"/>
      <c r="M1038" s="585"/>
      <c r="N1038" s="585"/>
      <c r="O1038" s="585"/>
      <c r="P1038" s="585"/>
      <c r="Q1038" s="585"/>
      <c r="R1038" s="585"/>
      <c r="S1038" s="585"/>
      <c r="T1038" s="585"/>
      <c r="U1038" s="585"/>
      <c r="V1038" s="224"/>
      <c r="W1038" s="224"/>
      <c r="X1038" s="224"/>
      <c r="Y1038" s="224"/>
      <c r="Z1038" s="868"/>
      <c r="AA1038" s="865"/>
      <c r="AB1038" s="2"/>
      <c r="AC1038" s="2"/>
      <c r="AD1038" s="2"/>
      <c r="AE1038" s="2"/>
      <c r="AF1038" s="2"/>
      <c r="AG1038" s="2"/>
      <c r="AH1038" s="2"/>
      <c r="AI1038" s="2"/>
      <c r="AJ1038" s="2"/>
      <c r="AK1038" s="2"/>
      <c r="AL1038" s="2"/>
      <c r="AM1038" s="2"/>
      <c r="AN1038" s="2"/>
      <c r="AO1038" s="9"/>
      <c r="AP1038" s="9"/>
      <c r="AQ1038" s="9"/>
      <c r="AR1038" s="9"/>
    </row>
    <row r="1039">
      <c r="A1039" s="585"/>
      <c r="B1039" s="585"/>
      <c r="C1039" s="585"/>
      <c r="D1039" s="585"/>
      <c r="E1039" s="585"/>
      <c r="F1039" s="585"/>
      <c r="G1039" s="585"/>
      <c r="H1039" s="585"/>
      <c r="I1039" s="585"/>
      <c r="J1039" s="585"/>
      <c r="K1039" s="585"/>
      <c r="L1039" s="585"/>
      <c r="M1039" s="585"/>
      <c r="N1039" s="585"/>
      <c r="O1039" s="585"/>
      <c r="P1039" s="585"/>
      <c r="Q1039" s="585"/>
      <c r="R1039" s="585"/>
      <c r="S1039" s="585"/>
      <c r="T1039" s="585"/>
      <c r="U1039" s="585"/>
      <c r="V1039" s="224"/>
      <c r="W1039" s="224"/>
      <c r="X1039" s="224"/>
      <c r="Y1039" s="224"/>
      <c r="Z1039" s="868"/>
      <c r="AA1039" s="865"/>
      <c r="AB1039" s="2"/>
      <c r="AC1039" s="2"/>
      <c r="AD1039" s="2"/>
      <c r="AE1039" s="2"/>
      <c r="AF1039" s="2"/>
      <c r="AG1039" s="2"/>
      <c r="AH1039" s="2"/>
      <c r="AI1039" s="2"/>
      <c r="AJ1039" s="2"/>
      <c r="AK1039" s="2"/>
      <c r="AL1039" s="2"/>
      <c r="AM1039" s="2"/>
      <c r="AN1039" s="2"/>
      <c r="AO1039" s="9"/>
      <c r="AP1039" s="9"/>
      <c r="AQ1039" s="9"/>
      <c r="AR1039" s="9"/>
    </row>
    <row r="1040">
      <c r="A1040" s="585"/>
      <c r="B1040" s="585"/>
      <c r="C1040" s="585"/>
      <c r="D1040" s="585"/>
      <c r="E1040" s="585"/>
      <c r="F1040" s="585"/>
      <c r="G1040" s="585"/>
      <c r="H1040" s="585"/>
      <c r="I1040" s="585"/>
      <c r="J1040" s="585"/>
      <c r="K1040" s="585"/>
      <c r="L1040" s="585"/>
      <c r="M1040" s="585"/>
      <c r="N1040" s="585"/>
      <c r="O1040" s="585"/>
      <c r="P1040" s="585"/>
      <c r="Q1040" s="585"/>
      <c r="R1040" s="585"/>
      <c r="S1040" s="585"/>
      <c r="T1040" s="585"/>
      <c r="U1040" s="585"/>
      <c r="V1040" s="224"/>
      <c r="W1040" s="224"/>
      <c r="X1040" s="224"/>
      <c r="Y1040" s="224"/>
      <c r="Z1040" s="868"/>
      <c r="AA1040" s="865"/>
      <c r="AB1040" s="2"/>
      <c r="AC1040" s="2"/>
      <c r="AD1040" s="2"/>
      <c r="AE1040" s="2"/>
      <c r="AF1040" s="2"/>
      <c r="AG1040" s="2"/>
      <c r="AH1040" s="2"/>
      <c r="AI1040" s="2"/>
      <c r="AJ1040" s="2"/>
      <c r="AK1040" s="2"/>
      <c r="AL1040" s="2"/>
      <c r="AM1040" s="2"/>
      <c r="AN1040" s="2"/>
      <c r="AO1040" s="9"/>
      <c r="AP1040" s="9"/>
      <c r="AQ1040" s="9"/>
      <c r="AR1040" s="9"/>
    </row>
    <row r="1041">
      <c r="A1041" s="585"/>
      <c r="B1041" s="585"/>
      <c r="C1041" s="585"/>
      <c r="D1041" s="585"/>
      <c r="E1041" s="585"/>
      <c r="F1041" s="585"/>
      <c r="G1041" s="585"/>
      <c r="H1041" s="585"/>
      <c r="I1041" s="585"/>
      <c r="J1041" s="585"/>
      <c r="K1041" s="585"/>
      <c r="L1041" s="585"/>
      <c r="M1041" s="585"/>
      <c r="N1041" s="585"/>
      <c r="O1041" s="585"/>
      <c r="P1041" s="585"/>
      <c r="Q1041" s="585"/>
      <c r="R1041" s="585"/>
      <c r="S1041" s="585"/>
      <c r="T1041" s="585"/>
      <c r="U1041" s="585"/>
      <c r="V1041" s="224"/>
      <c r="W1041" s="224"/>
      <c r="X1041" s="224"/>
      <c r="Y1041" s="224"/>
      <c r="Z1041" s="868"/>
      <c r="AA1041" s="865"/>
      <c r="AB1041" s="2"/>
      <c r="AC1041" s="2"/>
      <c r="AD1041" s="2"/>
      <c r="AE1041" s="2"/>
      <c r="AF1041" s="2"/>
      <c r="AG1041" s="2"/>
      <c r="AH1041" s="2"/>
      <c r="AI1041" s="2"/>
      <c r="AJ1041" s="2"/>
      <c r="AK1041" s="2"/>
      <c r="AL1041" s="2"/>
      <c r="AM1041" s="2"/>
      <c r="AN1041" s="2"/>
      <c r="AO1041" s="9"/>
      <c r="AP1041" s="9"/>
      <c r="AQ1041" s="9"/>
      <c r="AR1041" s="9"/>
    </row>
    <row r="1042">
      <c r="A1042" s="585"/>
      <c r="B1042" s="585"/>
      <c r="C1042" s="585"/>
      <c r="D1042" s="585"/>
      <c r="E1042" s="585"/>
      <c r="F1042" s="585"/>
      <c r="G1042" s="585"/>
      <c r="H1042" s="585"/>
      <c r="I1042" s="585"/>
      <c r="J1042" s="585"/>
      <c r="K1042" s="585"/>
      <c r="L1042" s="585"/>
      <c r="M1042" s="585"/>
      <c r="N1042" s="585"/>
      <c r="O1042" s="585"/>
      <c r="P1042" s="585"/>
      <c r="Q1042" s="585"/>
      <c r="R1042" s="585"/>
      <c r="S1042" s="585"/>
      <c r="T1042" s="585"/>
      <c r="U1042" s="585"/>
      <c r="V1042" s="224"/>
      <c r="W1042" s="224"/>
      <c r="X1042" s="224"/>
      <c r="Y1042" s="224"/>
      <c r="Z1042" s="868"/>
      <c r="AA1042" s="865"/>
      <c r="AB1042" s="2"/>
      <c r="AC1042" s="2"/>
      <c r="AD1042" s="2"/>
      <c r="AE1042" s="2"/>
      <c r="AF1042" s="2"/>
      <c r="AG1042" s="2"/>
      <c r="AH1042" s="2"/>
      <c r="AI1042" s="2"/>
      <c r="AJ1042" s="2"/>
      <c r="AK1042" s="2"/>
      <c r="AL1042" s="2"/>
      <c r="AM1042" s="2"/>
      <c r="AN1042" s="2"/>
      <c r="AO1042" s="9"/>
      <c r="AP1042" s="9"/>
      <c r="AQ1042" s="9"/>
      <c r="AR1042" s="9"/>
    </row>
    <row r="1043">
      <c r="A1043" s="585"/>
      <c r="B1043" s="585"/>
      <c r="C1043" s="585"/>
      <c r="D1043" s="585"/>
      <c r="E1043" s="585"/>
      <c r="F1043" s="585"/>
      <c r="G1043" s="585"/>
      <c r="H1043" s="585"/>
      <c r="I1043" s="585"/>
      <c r="J1043" s="585"/>
      <c r="K1043" s="585"/>
      <c r="L1043" s="585"/>
      <c r="M1043" s="585"/>
      <c r="N1043" s="585"/>
      <c r="O1043" s="585"/>
      <c r="P1043" s="585"/>
      <c r="Q1043" s="585"/>
      <c r="R1043" s="585"/>
      <c r="S1043" s="585"/>
      <c r="T1043" s="585"/>
      <c r="U1043" s="585"/>
      <c r="V1043" s="224"/>
      <c r="W1043" s="224"/>
      <c r="X1043" s="224"/>
      <c r="Y1043" s="224"/>
      <c r="Z1043" s="868"/>
      <c r="AA1043" s="865"/>
      <c r="AB1043" s="2"/>
      <c r="AC1043" s="2"/>
      <c r="AD1043" s="2"/>
      <c r="AE1043" s="2"/>
      <c r="AF1043" s="2"/>
      <c r="AG1043" s="2"/>
      <c r="AH1043" s="2"/>
      <c r="AI1043" s="2"/>
      <c r="AJ1043" s="2"/>
      <c r="AK1043" s="2"/>
      <c r="AL1043" s="2"/>
      <c r="AM1043" s="2"/>
      <c r="AN1043" s="2"/>
      <c r="AO1043" s="9"/>
      <c r="AP1043" s="9"/>
      <c r="AQ1043" s="9"/>
      <c r="AR1043" s="9"/>
    </row>
    <row r="1044">
      <c r="A1044" s="585"/>
      <c r="B1044" s="585"/>
      <c r="C1044" s="585"/>
      <c r="D1044" s="585"/>
      <c r="E1044" s="585"/>
      <c r="F1044" s="585"/>
      <c r="G1044" s="585"/>
      <c r="H1044" s="585"/>
      <c r="I1044" s="585"/>
      <c r="J1044" s="585"/>
      <c r="K1044" s="585"/>
      <c r="L1044" s="585"/>
      <c r="M1044" s="585"/>
      <c r="N1044" s="585"/>
      <c r="O1044" s="585"/>
      <c r="P1044" s="585"/>
      <c r="Q1044" s="585"/>
      <c r="R1044" s="585"/>
      <c r="S1044" s="585"/>
      <c r="T1044" s="585"/>
      <c r="U1044" s="585"/>
      <c r="V1044" s="224"/>
      <c r="W1044" s="224"/>
      <c r="X1044" s="224"/>
      <c r="Y1044" s="224"/>
      <c r="Z1044" s="868"/>
      <c r="AA1044" s="865"/>
      <c r="AB1044" s="2"/>
      <c r="AC1044" s="2"/>
      <c r="AD1044" s="2"/>
      <c r="AE1044" s="2"/>
      <c r="AF1044" s="2"/>
      <c r="AG1044" s="2"/>
      <c r="AH1044" s="2"/>
      <c r="AI1044" s="2"/>
      <c r="AJ1044" s="2"/>
      <c r="AK1044" s="2"/>
      <c r="AL1044" s="2"/>
      <c r="AM1044" s="2"/>
      <c r="AN1044" s="2"/>
      <c r="AO1044" s="9"/>
      <c r="AP1044" s="9"/>
      <c r="AQ1044" s="9"/>
      <c r="AR1044" s="9"/>
    </row>
    <row r="1045">
      <c r="A1045" s="585"/>
      <c r="B1045" s="585"/>
      <c r="C1045" s="585"/>
      <c r="D1045" s="585"/>
      <c r="E1045" s="585"/>
      <c r="F1045" s="585"/>
      <c r="G1045" s="585"/>
      <c r="H1045" s="585"/>
      <c r="I1045" s="585"/>
      <c r="J1045" s="585"/>
      <c r="K1045" s="585"/>
      <c r="L1045" s="585"/>
      <c r="M1045" s="585"/>
      <c r="N1045" s="585"/>
      <c r="O1045" s="585"/>
      <c r="P1045" s="585"/>
      <c r="Q1045" s="585"/>
      <c r="R1045" s="585"/>
      <c r="S1045" s="585"/>
      <c r="T1045" s="585"/>
      <c r="U1045" s="585"/>
      <c r="V1045" s="224"/>
      <c r="W1045" s="224"/>
      <c r="X1045" s="224"/>
      <c r="Y1045" s="224"/>
      <c r="Z1045" s="868"/>
      <c r="AA1045" s="865"/>
      <c r="AB1045" s="2"/>
      <c r="AC1045" s="2"/>
      <c r="AD1045" s="2"/>
      <c r="AE1045" s="2"/>
      <c r="AF1045" s="2"/>
      <c r="AG1045" s="2"/>
      <c r="AH1045" s="2"/>
      <c r="AI1045" s="2"/>
      <c r="AJ1045" s="2"/>
      <c r="AK1045" s="2"/>
      <c r="AL1045" s="2"/>
      <c r="AM1045" s="2"/>
      <c r="AN1045" s="2"/>
      <c r="AO1045" s="9"/>
      <c r="AP1045" s="9"/>
      <c r="AQ1045" s="9"/>
      <c r="AR1045" s="9"/>
    </row>
    <row r="1046">
      <c r="A1046" s="585"/>
      <c r="B1046" s="585"/>
      <c r="C1046" s="585"/>
      <c r="D1046" s="585"/>
      <c r="E1046" s="585"/>
      <c r="F1046" s="585"/>
      <c r="G1046" s="585"/>
      <c r="H1046" s="585"/>
      <c r="I1046" s="585"/>
      <c r="J1046" s="585"/>
      <c r="K1046" s="585"/>
      <c r="L1046" s="585"/>
      <c r="M1046" s="585"/>
      <c r="N1046" s="585"/>
      <c r="O1046" s="585"/>
      <c r="P1046" s="585"/>
      <c r="Q1046" s="585"/>
      <c r="R1046" s="585"/>
      <c r="S1046" s="585"/>
      <c r="T1046" s="585"/>
      <c r="U1046" s="585"/>
      <c r="V1046" s="224"/>
      <c r="W1046" s="224"/>
      <c r="X1046" s="224"/>
      <c r="Y1046" s="224"/>
      <c r="Z1046" s="868"/>
      <c r="AA1046" s="865"/>
      <c r="AB1046" s="2"/>
      <c r="AC1046" s="2"/>
      <c r="AD1046" s="2"/>
      <c r="AE1046" s="2"/>
      <c r="AF1046" s="2"/>
      <c r="AG1046" s="2"/>
      <c r="AH1046" s="2"/>
      <c r="AI1046" s="2"/>
      <c r="AJ1046" s="2"/>
      <c r="AK1046" s="2"/>
      <c r="AL1046" s="2"/>
      <c r="AM1046" s="2"/>
      <c r="AN1046" s="2"/>
      <c r="AO1046" s="9"/>
      <c r="AP1046" s="9"/>
      <c r="AQ1046" s="9"/>
      <c r="AR1046" s="9"/>
    </row>
    <row r="1047">
      <c r="A1047" s="585"/>
      <c r="B1047" s="585"/>
      <c r="C1047" s="585"/>
      <c r="D1047" s="585"/>
      <c r="E1047" s="585"/>
      <c r="F1047" s="585"/>
      <c r="G1047" s="585"/>
      <c r="H1047" s="585"/>
      <c r="I1047" s="585"/>
      <c r="J1047" s="585"/>
      <c r="K1047" s="585"/>
      <c r="L1047" s="585"/>
      <c r="M1047" s="585"/>
      <c r="N1047" s="585"/>
      <c r="O1047" s="585"/>
      <c r="P1047" s="585"/>
      <c r="Q1047" s="585"/>
      <c r="R1047" s="585"/>
      <c r="S1047" s="585"/>
      <c r="T1047" s="585"/>
      <c r="U1047" s="585"/>
      <c r="V1047" s="224"/>
      <c r="W1047" s="224"/>
      <c r="X1047" s="224"/>
      <c r="Y1047" s="224"/>
      <c r="Z1047" s="868"/>
      <c r="AA1047" s="865"/>
      <c r="AB1047" s="2"/>
      <c r="AC1047" s="2"/>
      <c r="AD1047" s="2"/>
      <c r="AE1047" s="2"/>
      <c r="AF1047" s="2"/>
      <c r="AG1047" s="2"/>
      <c r="AH1047" s="2"/>
      <c r="AI1047" s="2"/>
      <c r="AJ1047" s="2"/>
      <c r="AK1047" s="2"/>
      <c r="AL1047" s="2"/>
      <c r="AM1047" s="2"/>
      <c r="AN1047" s="2"/>
      <c r="AO1047" s="9"/>
      <c r="AP1047" s="9"/>
      <c r="AQ1047" s="9"/>
      <c r="AR1047" s="9"/>
    </row>
    <row r="1048">
      <c r="A1048" s="585"/>
      <c r="B1048" s="585"/>
      <c r="C1048" s="585"/>
      <c r="D1048" s="585"/>
      <c r="E1048" s="585"/>
      <c r="F1048" s="585"/>
      <c r="G1048" s="585"/>
      <c r="H1048" s="585"/>
      <c r="I1048" s="585"/>
      <c r="J1048" s="585"/>
      <c r="K1048" s="585"/>
      <c r="L1048" s="585"/>
      <c r="M1048" s="585"/>
      <c r="N1048" s="585"/>
      <c r="O1048" s="585"/>
      <c r="P1048" s="585"/>
      <c r="Q1048" s="585"/>
      <c r="R1048" s="585"/>
      <c r="S1048" s="585"/>
      <c r="T1048" s="585"/>
      <c r="U1048" s="585"/>
      <c r="V1048" s="224"/>
      <c r="W1048" s="224"/>
      <c r="X1048" s="224"/>
      <c r="Y1048" s="224"/>
      <c r="Z1048" s="868"/>
      <c r="AA1048" s="865"/>
      <c r="AB1048" s="2"/>
      <c r="AC1048" s="2"/>
      <c r="AD1048" s="2"/>
      <c r="AE1048" s="2"/>
      <c r="AF1048" s="2"/>
      <c r="AG1048" s="2"/>
      <c r="AH1048" s="2"/>
      <c r="AI1048" s="2"/>
      <c r="AJ1048" s="2"/>
      <c r="AK1048" s="2"/>
      <c r="AL1048" s="2"/>
      <c r="AM1048" s="2"/>
      <c r="AN1048" s="2"/>
      <c r="AO1048" s="9"/>
      <c r="AP1048" s="9"/>
      <c r="AQ1048" s="9"/>
      <c r="AR1048" s="9"/>
    </row>
    <row r="1049">
      <c r="A1049" s="585"/>
      <c r="B1049" s="585"/>
      <c r="C1049" s="585"/>
      <c r="D1049" s="585"/>
      <c r="E1049" s="585"/>
      <c r="F1049" s="585"/>
      <c r="G1049" s="585"/>
      <c r="H1049" s="585"/>
      <c r="I1049" s="585"/>
      <c r="J1049" s="585"/>
      <c r="K1049" s="585"/>
      <c r="L1049" s="585"/>
      <c r="M1049" s="585"/>
      <c r="N1049" s="585"/>
      <c r="O1049" s="585"/>
      <c r="P1049" s="585"/>
      <c r="Q1049" s="585"/>
      <c r="R1049" s="585"/>
      <c r="S1049" s="585"/>
      <c r="T1049" s="585"/>
      <c r="U1049" s="585"/>
      <c r="V1049" s="224"/>
      <c r="W1049" s="224"/>
      <c r="X1049" s="224"/>
      <c r="Y1049" s="224"/>
      <c r="Z1049" s="868"/>
      <c r="AA1049" s="865"/>
      <c r="AB1049" s="2"/>
      <c r="AC1049" s="2"/>
      <c r="AD1049" s="2"/>
      <c r="AE1049" s="2"/>
      <c r="AF1049" s="2"/>
      <c r="AG1049" s="2"/>
      <c r="AH1049" s="2"/>
      <c r="AI1049" s="2"/>
      <c r="AJ1049" s="2"/>
      <c r="AK1049" s="2"/>
      <c r="AL1049" s="2"/>
      <c r="AM1049" s="2"/>
      <c r="AN1049" s="2"/>
      <c r="AO1049" s="9"/>
      <c r="AP1049" s="9"/>
      <c r="AQ1049" s="9"/>
      <c r="AR1049" s="9"/>
    </row>
    <row r="1050">
      <c r="A1050" s="585"/>
      <c r="B1050" s="585"/>
      <c r="C1050" s="585"/>
      <c r="D1050" s="585"/>
      <c r="E1050" s="585"/>
      <c r="F1050" s="585"/>
      <c r="G1050" s="585"/>
      <c r="H1050" s="585"/>
      <c r="I1050" s="585"/>
      <c r="J1050" s="585"/>
      <c r="K1050" s="585"/>
      <c r="L1050" s="585"/>
      <c r="M1050" s="585"/>
      <c r="N1050" s="585"/>
      <c r="O1050" s="585"/>
      <c r="P1050" s="585"/>
      <c r="Q1050" s="585"/>
      <c r="R1050" s="585"/>
      <c r="S1050" s="585"/>
      <c r="T1050" s="585"/>
      <c r="U1050" s="585"/>
      <c r="V1050" s="224"/>
      <c r="W1050" s="224"/>
      <c r="X1050" s="224"/>
      <c r="Y1050" s="224"/>
      <c r="Z1050" s="868"/>
      <c r="AA1050" s="865"/>
      <c r="AB1050" s="2"/>
      <c r="AC1050" s="2"/>
      <c r="AD1050" s="2"/>
      <c r="AE1050" s="2"/>
      <c r="AF1050" s="2"/>
      <c r="AG1050" s="2"/>
      <c r="AH1050" s="2"/>
      <c r="AI1050" s="2"/>
      <c r="AJ1050" s="2"/>
      <c r="AK1050" s="2"/>
      <c r="AL1050" s="2"/>
      <c r="AM1050" s="2"/>
      <c r="AN1050" s="2"/>
      <c r="AO1050" s="9"/>
      <c r="AP1050" s="9"/>
      <c r="AQ1050" s="9"/>
      <c r="AR1050" s="9"/>
    </row>
    <row r="1051">
      <c r="A1051" s="585"/>
      <c r="B1051" s="585"/>
      <c r="C1051" s="585"/>
      <c r="D1051" s="585"/>
      <c r="E1051" s="585"/>
      <c r="F1051" s="585"/>
      <c r="G1051" s="585"/>
      <c r="H1051" s="585"/>
      <c r="I1051" s="585"/>
      <c r="J1051" s="585"/>
      <c r="K1051" s="585"/>
      <c r="L1051" s="585"/>
      <c r="M1051" s="585"/>
      <c r="N1051" s="585"/>
      <c r="O1051" s="585"/>
      <c r="P1051" s="585"/>
      <c r="Q1051" s="585"/>
      <c r="R1051" s="585"/>
      <c r="S1051" s="585"/>
      <c r="T1051" s="585"/>
      <c r="U1051" s="585"/>
      <c r="V1051" s="224"/>
      <c r="W1051" s="224"/>
      <c r="X1051" s="224"/>
      <c r="Y1051" s="224"/>
      <c r="Z1051" s="868"/>
      <c r="AA1051" s="865"/>
      <c r="AB1051" s="2"/>
      <c r="AC1051" s="2"/>
      <c r="AD1051" s="2"/>
      <c r="AE1051" s="2"/>
      <c r="AF1051" s="2"/>
      <c r="AG1051" s="2"/>
      <c r="AH1051" s="2"/>
      <c r="AI1051" s="2"/>
      <c r="AJ1051" s="2"/>
      <c r="AK1051" s="2"/>
      <c r="AL1051" s="2"/>
      <c r="AM1051" s="2"/>
      <c r="AN1051" s="2"/>
      <c r="AO1051" s="9"/>
      <c r="AP1051" s="9"/>
      <c r="AQ1051" s="9"/>
      <c r="AR1051" s="9"/>
    </row>
    <row r="1052">
      <c r="A1052" s="585"/>
      <c r="B1052" s="585"/>
      <c r="C1052" s="585"/>
      <c r="D1052" s="585"/>
      <c r="E1052" s="585"/>
      <c r="F1052" s="585"/>
      <c r="G1052" s="585"/>
      <c r="H1052" s="585"/>
      <c r="I1052" s="585"/>
      <c r="J1052" s="585"/>
      <c r="K1052" s="585"/>
      <c r="L1052" s="585"/>
      <c r="M1052" s="585"/>
      <c r="N1052" s="585"/>
      <c r="O1052" s="585"/>
      <c r="P1052" s="585"/>
      <c r="Q1052" s="585"/>
      <c r="R1052" s="585"/>
      <c r="S1052" s="585"/>
      <c r="T1052" s="585"/>
      <c r="U1052" s="585"/>
      <c r="V1052" s="224"/>
      <c r="W1052" s="224"/>
      <c r="X1052" s="224"/>
      <c r="Y1052" s="224"/>
      <c r="Z1052" s="868"/>
      <c r="AA1052" s="865"/>
      <c r="AB1052" s="2"/>
      <c r="AC1052" s="2"/>
      <c r="AD1052" s="2"/>
      <c r="AE1052" s="2"/>
      <c r="AF1052" s="2"/>
      <c r="AG1052" s="2"/>
      <c r="AH1052" s="2"/>
      <c r="AI1052" s="2"/>
      <c r="AJ1052" s="2"/>
      <c r="AK1052" s="2"/>
      <c r="AL1052" s="2"/>
      <c r="AM1052" s="2"/>
      <c r="AN1052" s="2"/>
      <c r="AO1052" s="9"/>
      <c r="AP1052" s="9"/>
      <c r="AQ1052" s="9"/>
      <c r="AR1052" s="9"/>
    </row>
    <row r="1053">
      <c r="A1053" s="585"/>
      <c r="B1053" s="585"/>
      <c r="C1053" s="585"/>
      <c r="D1053" s="585"/>
      <c r="E1053" s="585"/>
      <c r="F1053" s="585"/>
      <c r="G1053" s="585"/>
      <c r="H1053" s="585"/>
      <c r="I1053" s="585"/>
      <c r="J1053" s="585"/>
      <c r="K1053" s="585"/>
      <c r="L1053" s="585"/>
      <c r="M1053" s="585"/>
      <c r="N1053" s="585"/>
      <c r="O1053" s="585"/>
      <c r="P1053" s="585"/>
      <c r="Q1053" s="585"/>
      <c r="R1053" s="585"/>
      <c r="S1053" s="585"/>
      <c r="T1053" s="585"/>
      <c r="U1053" s="585"/>
      <c r="V1053" s="224"/>
      <c r="W1053" s="224"/>
      <c r="X1053" s="224"/>
      <c r="Y1053" s="224"/>
      <c r="Z1053" s="868"/>
      <c r="AA1053" s="865"/>
      <c r="AB1053" s="2"/>
      <c r="AC1053" s="2"/>
      <c r="AD1053" s="2"/>
      <c r="AE1053" s="2"/>
      <c r="AF1053" s="2"/>
      <c r="AG1053" s="2"/>
      <c r="AH1053" s="2"/>
      <c r="AI1053" s="2"/>
      <c r="AJ1053" s="2"/>
      <c r="AK1053" s="2"/>
      <c r="AL1053" s="2"/>
      <c r="AM1053" s="2"/>
      <c r="AN1053" s="2"/>
      <c r="AO1053" s="9"/>
      <c r="AP1053" s="9"/>
      <c r="AQ1053" s="9"/>
      <c r="AR1053" s="9"/>
    </row>
    <row r="1054">
      <c r="A1054" s="585"/>
      <c r="B1054" s="585"/>
      <c r="C1054" s="585"/>
      <c r="D1054" s="585"/>
      <c r="E1054" s="585"/>
      <c r="F1054" s="585"/>
      <c r="G1054" s="585"/>
      <c r="H1054" s="585"/>
      <c r="I1054" s="585"/>
      <c r="J1054" s="585"/>
      <c r="K1054" s="585"/>
      <c r="L1054" s="585"/>
      <c r="M1054" s="585"/>
      <c r="N1054" s="585"/>
      <c r="O1054" s="585"/>
      <c r="P1054" s="585"/>
      <c r="Q1054" s="585"/>
      <c r="R1054" s="585"/>
      <c r="S1054" s="585"/>
      <c r="T1054" s="585"/>
      <c r="U1054" s="585"/>
      <c r="V1054" s="224"/>
      <c r="W1054" s="224"/>
      <c r="X1054" s="224"/>
      <c r="Y1054" s="224"/>
      <c r="Z1054" s="868"/>
      <c r="AA1054" s="865"/>
      <c r="AB1054" s="2"/>
      <c r="AC1054" s="2"/>
      <c r="AD1054" s="2"/>
      <c r="AE1054" s="2"/>
      <c r="AF1054" s="2"/>
      <c r="AG1054" s="2"/>
      <c r="AH1054" s="2"/>
      <c r="AI1054" s="2"/>
      <c r="AJ1054" s="2"/>
      <c r="AK1054" s="2"/>
      <c r="AL1054" s="2"/>
      <c r="AM1054" s="2"/>
      <c r="AN1054" s="2"/>
      <c r="AO1054" s="9"/>
      <c r="AP1054" s="9"/>
      <c r="AQ1054" s="9"/>
      <c r="AR1054" s="9"/>
    </row>
    <row r="1055">
      <c r="A1055" s="585"/>
      <c r="B1055" s="585"/>
      <c r="C1055" s="585"/>
      <c r="D1055" s="585"/>
      <c r="E1055" s="585"/>
      <c r="F1055" s="585"/>
      <c r="G1055" s="585"/>
      <c r="H1055" s="585"/>
      <c r="I1055" s="585"/>
      <c r="J1055" s="585"/>
      <c r="K1055" s="585"/>
      <c r="L1055" s="585"/>
      <c r="M1055" s="585"/>
      <c r="N1055" s="585"/>
      <c r="O1055" s="585"/>
      <c r="P1055" s="585"/>
      <c r="Q1055" s="585"/>
      <c r="R1055" s="585"/>
      <c r="S1055" s="585"/>
      <c r="T1055" s="585"/>
      <c r="U1055" s="585"/>
      <c r="V1055" s="224"/>
      <c r="W1055" s="224"/>
      <c r="X1055" s="224"/>
      <c r="Y1055" s="224"/>
      <c r="Z1055" s="868"/>
      <c r="AA1055" s="865"/>
      <c r="AB1055" s="2"/>
      <c r="AC1055" s="2"/>
      <c r="AD1055" s="2"/>
      <c r="AE1055" s="2"/>
      <c r="AF1055" s="2"/>
      <c r="AG1055" s="2"/>
      <c r="AH1055" s="2"/>
      <c r="AI1055" s="2"/>
      <c r="AJ1055" s="2"/>
      <c r="AK1055" s="2"/>
      <c r="AL1055" s="2"/>
      <c r="AM1055" s="2"/>
      <c r="AN1055" s="2"/>
      <c r="AO1055" s="9"/>
      <c r="AP1055" s="9"/>
      <c r="AQ1055" s="9"/>
      <c r="AR1055" s="9"/>
    </row>
    <row r="1056">
      <c r="A1056" s="585"/>
      <c r="B1056" s="585"/>
      <c r="C1056" s="585"/>
      <c r="D1056" s="585"/>
      <c r="E1056" s="585"/>
      <c r="F1056" s="585"/>
      <c r="G1056" s="585"/>
      <c r="H1056" s="585"/>
      <c r="I1056" s="585"/>
      <c r="J1056" s="585"/>
      <c r="K1056" s="585"/>
      <c r="L1056" s="585"/>
      <c r="M1056" s="585"/>
      <c r="N1056" s="585"/>
      <c r="O1056" s="585"/>
      <c r="P1056" s="585"/>
      <c r="Q1056" s="585"/>
      <c r="R1056" s="585"/>
      <c r="S1056" s="585"/>
      <c r="T1056" s="585"/>
      <c r="U1056" s="585"/>
      <c r="V1056" s="224"/>
      <c r="W1056" s="224"/>
      <c r="X1056" s="224"/>
      <c r="Y1056" s="224"/>
      <c r="Z1056" s="868"/>
      <c r="AA1056" s="865"/>
      <c r="AB1056" s="2"/>
      <c r="AC1056" s="2"/>
      <c r="AD1056" s="2"/>
      <c r="AE1056" s="2"/>
      <c r="AF1056" s="2"/>
      <c r="AG1056" s="2"/>
      <c r="AH1056" s="2"/>
      <c r="AI1056" s="2"/>
      <c r="AJ1056" s="2"/>
      <c r="AK1056" s="2"/>
      <c r="AL1056" s="2"/>
      <c r="AM1056" s="2"/>
      <c r="AN1056" s="2"/>
      <c r="AO1056" s="9"/>
      <c r="AP1056" s="9"/>
      <c r="AQ1056" s="9"/>
      <c r="AR1056" s="9"/>
    </row>
    <row r="1057">
      <c r="A1057" s="585"/>
      <c r="B1057" s="585"/>
      <c r="C1057" s="585"/>
      <c r="D1057" s="585"/>
      <c r="E1057" s="585"/>
      <c r="F1057" s="585"/>
      <c r="G1057" s="585"/>
      <c r="H1057" s="585"/>
      <c r="I1057" s="585"/>
      <c r="J1057" s="585"/>
      <c r="K1057" s="585"/>
      <c r="L1057" s="585"/>
      <c r="M1057" s="585"/>
      <c r="N1057" s="585"/>
      <c r="O1057" s="585"/>
      <c r="P1057" s="585"/>
      <c r="Q1057" s="585"/>
      <c r="R1057" s="585"/>
      <c r="S1057" s="585"/>
      <c r="T1057" s="585"/>
      <c r="U1057" s="585"/>
      <c r="V1057" s="224"/>
      <c r="W1057" s="224"/>
      <c r="X1057" s="224"/>
      <c r="Y1057" s="224"/>
      <c r="Z1057" s="868"/>
      <c r="AA1057" s="865"/>
      <c r="AB1057" s="2"/>
      <c r="AC1057" s="2"/>
      <c r="AD1057" s="2"/>
      <c r="AE1057" s="2"/>
      <c r="AF1057" s="2"/>
      <c r="AG1057" s="2"/>
      <c r="AH1057" s="2"/>
      <c r="AI1057" s="2"/>
      <c r="AJ1057" s="2"/>
      <c r="AK1057" s="2"/>
      <c r="AL1057" s="2"/>
      <c r="AM1057" s="2"/>
      <c r="AN1057" s="2"/>
      <c r="AO1057" s="9"/>
      <c r="AP1057" s="9"/>
      <c r="AQ1057" s="9"/>
      <c r="AR1057" s="9"/>
    </row>
    <row r="1058">
      <c r="A1058" s="585"/>
      <c r="B1058" s="585"/>
      <c r="C1058" s="585"/>
      <c r="D1058" s="585"/>
      <c r="E1058" s="585"/>
      <c r="F1058" s="585"/>
      <c r="G1058" s="585"/>
      <c r="H1058" s="585"/>
      <c r="I1058" s="585"/>
      <c r="J1058" s="585"/>
      <c r="K1058" s="585"/>
      <c r="L1058" s="585"/>
      <c r="M1058" s="585"/>
      <c r="N1058" s="585"/>
      <c r="O1058" s="585"/>
      <c r="P1058" s="585"/>
      <c r="Q1058" s="585"/>
      <c r="R1058" s="585"/>
      <c r="S1058" s="585"/>
      <c r="T1058" s="585"/>
      <c r="U1058" s="585"/>
      <c r="V1058" s="224"/>
      <c r="W1058" s="224"/>
      <c r="X1058" s="224"/>
      <c r="Y1058" s="224"/>
      <c r="Z1058" s="868"/>
      <c r="AA1058" s="865"/>
      <c r="AB1058" s="2"/>
      <c r="AC1058" s="2"/>
      <c r="AD1058" s="2"/>
      <c r="AE1058" s="2"/>
      <c r="AF1058" s="2"/>
      <c r="AG1058" s="2"/>
      <c r="AH1058" s="2"/>
      <c r="AI1058" s="2"/>
      <c r="AJ1058" s="2"/>
      <c r="AK1058" s="2"/>
      <c r="AL1058" s="2"/>
      <c r="AM1058" s="2"/>
      <c r="AN1058" s="2"/>
      <c r="AO1058" s="9"/>
      <c r="AP1058" s="9"/>
      <c r="AQ1058" s="9"/>
      <c r="AR1058" s="9"/>
    </row>
    <row r="1059">
      <c r="A1059" s="585"/>
      <c r="B1059" s="585"/>
      <c r="C1059" s="585"/>
      <c r="D1059" s="585"/>
      <c r="E1059" s="585"/>
      <c r="F1059" s="585"/>
      <c r="G1059" s="585"/>
      <c r="H1059" s="585"/>
      <c r="I1059" s="585"/>
      <c r="J1059" s="585"/>
      <c r="K1059" s="585"/>
      <c r="L1059" s="585"/>
      <c r="M1059" s="585"/>
      <c r="N1059" s="585"/>
      <c r="O1059" s="585"/>
      <c r="P1059" s="585"/>
      <c r="Q1059" s="585"/>
      <c r="R1059" s="585"/>
      <c r="S1059" s="585"/>
      <c r="T1059" s="585"/>
      <c r="U1059" s="585"/>
      <c r="V1059" s="224"/>
      <c r="W1059" s="224"/>
      <c r="X1059" s="224"/>
      <c r="Y1059" s="224"/>
      <c r="Z1059" s="868"/>
      <c r="AA1059" s="865"/>
      <c r="AB1059" s="2"/>
      <c r="AC1059" s="2"/>
      <c r="AD1059" s="2"/>
      <c r="AE1059" s="2"/>
      <c r="AF1059" s="2"/>
      <c r="AG1059" s="2"/>
      <c r="AH1059" s="2"/>
      <c r="AI1059" s="2"/>
      <c r="AJ1059" s="2"/>
      <c r="AK1059" s="2"/>
      <c r="AL1059" s="2"/>
      <c r="AM1059" s="2"/>
      <c r="AN1059" s="2"/>
      <c r="AO1059" s="9"/>
      <c r="AP1059" s="9"/>
      <c r="AQ1059" s="9"/>
      <c r="AR1059" s="9"/>
    </row>
    <row r="1060">
      <c r="A1060" s="585"/>
      <c r="B1060" s="585"/>
      <c r="C1060" s="585"/>
      <c r="D1060" s="585"/>
      <c r="E1060" s="585"/>
      <c r="F1060" s="585"/>
      <c r="G1060" s="585"/>
      <c r="H1060" s="585"/>
      <c r="I1060" s="585"/>
      <c r="J1060" s="585"/>
      <c r="K1060" s="585"/>
      <c r="L1060" s="585"/>
      <c r="M1060" s="585"/>
      <c r="N1060" s="585"/>
      <c r="O1060" s="585"/>
      <c r="P1060" s="585"/>
      <c r="Q1060" s="585"/>
      <c r="R1060" s="585"/>
      <c r="S1060" s="585"/>
      <c r="T1060" s="585"/>
      <c r="U1060" s="585"/>
      <c r="V1060" s="224"/>
      <c r="W1060" s="224"/>
      <c r="X1060" s="224"/>
      <c r="Y1060" s="224"/>
      <c r="Z1060" s="868"/>
      <c r="AA1060" s="865"/>
      <c r="AB1060" s="2"/>
      <c r="AC1060" s="2"/>
      <c r="AD1060" s="2"/>
      <c r="AE1060" s="2"/>
      <c r="AF1060" s="2"/>
      <c r="AG1060" s="2"/>
      <c r="AH1060" s="2"/>
      <c r="AI1060" s="2"/>
      <c r="AJ1060" s="2"/>
      <c r="AK1060" s="2"/>
      <c r="AL1060" s="2"/>
      <c r="AM1060" s="2"/>
      <c r="AN1060" s="2"/>
      <c r="AO1060" s="9"/>
      <c r="AP1060" s="9"/>
      <c r="AQ1060" s="9"/>
      <c r="AR1060" s="9"/>
    </row>
  </sheetData>
  <mergeCells count="425">
    <mergeCell ref="X49:X50"/>
    <mergeCell ref="X51:X52"/>
    <mergeCell ref="R49:R50"/>
    <mergeCell ref="S49:S50"/>
    <mergeCell ref="T49:T50"/>
    <mergeCell ref="U49:U50"/>
    <mergeCell ref="Y49:Y50"/>
    <mergeCell ref="R51:R52"/>
    <mergeCell ref="U51:U52"/>
    <mergeCell ref="Y51:Y52"/>
    <mergeCell ref="S51:S52"/>
    <mergeCell ref="T51:T52"/>
    <mergeCell ref="S57:S58"/>
    <mergeCell ref="T57:T58"/>
    <mergeCell ref="U57:U58"/>
    <mergeCell ref="X57:X58"/>
    <mergeCell ref="Y57:Y58"/>
    <mergeCell ref="R57:R58"/>
    <mergeCell ref="S59:S60"/>
    <mergeCell ref="T59:T60"/>
    <mergeCell ref="U59:U60"/>
    <mergeCell ref="X59:X60"/>
    <mergeCell ref="Y59:Y60"/>
    <mergeCell ref="Z59:Z60"/>
    <mergeCell ref="Z61:Z62"/>
    <mergeCell ref="R24:R25"/>
    <mergeCell ref="S24:S25"/>
    <mergeCell ref="T24:T25"/>
    <mergeCell ref="U24:U25"/>
    <mergeCell ref="Y24:Y25"/>
    <mergeCell ref="R26:R27"/>
    <mergeCell ref="U26:U27"/>
    <mergeCell ref="Y26:Y27"/>
    <mergeCell ref="S32:S33"/>
    <mergeCell ref="T32:T33"/>
    <mergeCell ref="S26:S27"/>
    <mergeCell ref="T26:T27"/>
    <mergeCell ref="R30:R31"/>
    <mergeCell ref="S30:S31"/>
    <mergeCell ref="T30:T31"/>
    <mergeCell ref="U30:U31"/>
    <mergeCell ref="U32:U33"/>
    <mergeCell ref="T36:T37"/>
    <mergeCell ref="U36:U37"/>
    <mergeCell ref="R32:R33"/>
    <mergeCell ref="R34:R35"/>
    <mergeCell ref="S34:S35"/>
    <mergeCell ref="T34:T35"/>
    <mergeCell ref="U34:U35"/>
    <mergeCell ref="R36:R37"/>
    <mergeCell ref="S36:S37"/>
    <mergeCell ref="T44:T45"/>
    <mergeCell ref="U44:U45"/>
    <mergeCell ref="X44:X45"/>
    <mergeCell ref="Y44:Y45"/>
    <mergeCell ref="R59:R60"/>
    <mergeCell ref="R61:R62"/>
    <mergeCell ref="S61:S62"/>
    <mergeCell ref="T61:T62"/>
    <mergeCell ref="U61:U62"/>
    <mergeCell ref="X61:X62"/>
    <mergeCell ref="Y61:Y62"/>
    <mergeCell ref="R66:R69"/>
    <mergeCell ref="S68:S69"/>
    <mergeCell ref="T68:T69"/>
    <mergeCell ref="U68:U69"/>
    <mergeCell ref="S70:S71"/>
    <mergeCell ref="T70:T71"/>
    <mergeCell ref="U70:U71"/>
    <mergeCell ref="S79:S80"/>
    <mergeCell ref="T79:T80"/>
    <mergeCell ref="T81:T82"/>
    <mergeCell ref="U81:U82"/>
    <mergeCell ref="T83:T84"/>
    <mergeCell ref="U83:U84"/>
    <mergeCell ref="T86:T87"/>
    <mergeCell ref="U86:U87"/>
    <mergeCell ref="R77:R84"/>
    <mergeCell ref="S81:S82"/>
    <mergeCell ref="S83:S84"/>
    <mergeCell ref="R86:R87"/>
    <mergeCell ref="S86:S87"/>
    <mergeCell ref="Q88:Q89"/>
    <mergeCell ref="R70:R71"/>
    <mergeCell ref="R72:R73"/>
    <mergeCell ref="S72:S73"/>
    <mergeCell ref="T72:T73"/>
    <mergeCell ref="U72:U73"/>
    <mergeCell ref="R74:R75"/>
    <mergeCell ref="U79:U80"/>
    <mergeCell ref="S66:S67"/>
    <mergeCell ref="T66:T67"/>
    <mergeCell ref="R63:R64"/>
    <mergeCell ref="S63:S64"/>
    <mergeCell ref="T63:T64"/>
    <mergeCell ref="U63:U64"/>
    <mergeCell ref="Y63:Y64"/>
    <mergeCell ref="U66:U67"/>
    <mergeCell ref="Y66:Y67"/>
    <mergeCell ref="X72:X73"/>
    <mergeCell ref="Y72:Y73"/>
    <mergeCell ref="Z72:Z73"/>
    <mergeCell ref="X63:X64"/>
    <mergeCell ref="X66:X67"/>
    <mergeCell ref="X68:X69"/>
    <mergeCell ref="Y68:Y69"/>
    <mergeCell ref="X70:X71"/>
    <mergeCell ref="Y70:Y71"/>
    <mergeCell ref="Z70:Z71"/>
    <mergeCell ref="T74:T75"/>
    <mergeCell ref="U74:U75"/>
    <mergeCell ref="X74:X75"/>
    <mergeCell ref="Y74:Y75"/>
    <mergeCell ref="Z74:Z75"/>
    <mergeCell ref="S74:S75"/>
    <mergeCell ref="S77:S78"/>
    <mergeCell ref="X81:X82"/>
    <mergeCell ref="X83:X84"/>
    <mergeCell ref="Y83:Y84"/>
    <mergeCell ref="X86:X87"/>
    <mergeCell ref="Y86:Y87"/>
    <mergeCell ref="AK103:AL103"/>
    <mergeCell ref="T77:T78"/>
    <mergeCell ref="U77:U78"/>
    <mergeCell ref="X77:X78"/>
    <mergeCell ref="Y77:Y78"/>
    <mergeCell ref="X79:X80"/>
    <mergeCell ref="Y79:Y80"/>
    <mergeCell ref="Y81:Y82"/>
    <mergeCell ref="E7:E8"/>
    <mergeCell ref="E9:E10"/>
    <mergeCell ref="AC17:AJ17"/>
    <mergeCell ref="AC18:AF18"/>
    <mergeCell ref="AG18:AJ18"/>
    <mergeCell ref="T19:T21"/>
    <mergeCell ref="U19:U21"/>
    <mergeCell ref="A5:A6"/>
    <mergeCell ref="B5:B6"/>
    <mergeCell ref="E5:E6"/>
    <mergeCell ref="A7:A8"/>
    <mergeCell ref="B7:B8"/>
    <mergeCell ref="A9:A10"/>
    <mergeCell ref="B9:B10"/>
    <mergeCell ref="U22:U23"/>
    <mergeCell ref="X22:X23"/>
    <mergeCell ref="Y22:Y23"/>
    <mergeCell ref="A20:B21"/>
    <mergeCell ref="B22:B23"/>
    <mergeCell ref="C22:C23"/>
    <mergeCell ref="D22:D23"/>
    <mergeCell ref="E22:E23"/>
    <mergeCell ref="F22:F23"/>
    <mergeCell ref="G22:G23"/>
    <mergeCell ref="S19:S21"/>
    <mergeCell ref="M20:M21"/>
    <mergeCell ref="N20:N21"/>
    <mergeCell ref="Q20:Q21"/>
    <mergeCell ref="R22:R23"/>
    <mergeCell ref="S22:S23"/>
    <mergeCell ref="T22:T23"/>
    <mergeCell ref="A22:A23"/>
    <mergeCell ref="B24:B25"/>
    <mergeCell ref="C24:C25"/>
    <mergeCell ref="D24:D25"/>
    <mergeCell ref="E24:E25"/>
    <mergeCell ref="F24:F25"/>
    <mergeCell ref="G24:G25"/>
    <mergeCell ref="G28:G29"/>
    <mergeCell ref="R28:R29"/>
    <mergeCell ref="S28:S29"/>
    <mergeCell ref="T28:T29"/>
    <mergeCell ref="U28:U29"/>
    <mergeCell ref="X28:X29"/>
    <mergeCell ref="Y28:Y29"/>
    <mergeCell ref="Y36:Y37"/>
    <mergeCell ref="X38:X39"/>
    <mergeCell ref="Y38:Y39"/>
    <mergeCell ref="X24:X25"/>
    <mergeCell ref="X26:X27"/>
    <mergeCell ref="X30:X31"/>
    <mergeCell ref="Y30:Y31"/>
    <mergeCell ref="X32:X33"/>
    <mergeCell ref="Y32:Y33"/>
    <mergeCell ref="Y34:Y35"/>
    <mergeCell ref="A38:A39"/>
    <mergeCell ref="B38:B39"/>
    <mergeCell ref="C38:C39"/>
    <mergeCell ref="D38:D39"/>
    <mergeCell ref="E38:E39"/>
    <mergeCell ref="F38:F39"/>
    <mergeCell ref="G38:G39"/>
    <mergeCell ref="M46:M47"/>
    <mergeCell ref="N46:N47"/>
    <mergeCell ref="Q46:Q47"/>
    <mergeCell ref="A40:A41"/>
    <mergeCell ref="B40:B41"/>
    <mergeCell ref="C40:C41"/>
    <mergeCell ref="D40:D41"/>
    <mergeCell ref="E40:E41"/>
    <mergeCell ref="F40:F41"/>
    <mergeCell ref="G40:G41"/>
    <mergeCell ref="X42:X43"/>
    <mergeCell ref="Y42:Y43"/>
    <mergeCell ref="Z42:Z43"/>
    <mergeCell ref="Z44:Z45"/>
    <mergeCell ref="X53:X54"/>
    <mergeCell ref="Y53:Y54"/>
    <mergeCell ref="X55:X56"/>
    <mergeCell ref="Y55:Y56"/>
    <mergeCell ref="X34:X35"/>
    <mergeCell ref="X36:X37"/>
    <mergeCell ref="Z36:Z37"/>
    <mergeCell ref="Z38:Z39"/>
    <mergeCell ref="X40:X41"/>
    <mergeCell ref="Y40:Y41"/>
    <mergeCell ref="Z40:Z41"/>
    <mergeCell ref="A42:A43"/>
    <mergeCell ref="B42:B43"/>
    <mergeCell ref="C42:C43"/>
    <mergeCell ref="D42:D43"/>
    <mergeCell ref="E42:E43"/>
    <mergeCell ref="F42:F43"/>
    <mergeCell ref="G42:G43"/>
    <mergeCell ref="B44:B45"/>
    <mergeCell ref="C44:C45"/>
    <mergeCell ref="D44:D45"/>
    <mergeCell ref="E44:E45"/>
    <mergeCell ref="F44:F45"/>
    <mergeCell ref="G44:G45"/>
    <mergeCell ref="A46:B47"/>
    <mergeCell ref="R38:R39"/>
    <mergeCell ref="S38:S39"/>
    <mergeCell ref="T38:T39"/>
    <mergeCell ref="U38:U39"/>
    <mergeCell ref="S40:S41"/>
    <mergeCell ref="T40:T41"/>
    <mergeCell ref="U40:U41"/>
    <mergeCell ref="R53:R54"/>
    <mergeCell ref="S53:S54"/>
    <mergeCell ref="T53:T54"/>
    <mergeCell ref="U53:U54"/>
    <mergeCell ref="R55:R56"/>
    <mergeCell ref="S55:S56"/>
    <mergeCell ref="T55:T56"/>
    <mergeCell ref="U55:U56"/>
    <mergeCell ref="R40:R41"/>
    <mergeCell ref="R42:R43"/>
    <mergeCell ref="S42:S43"/>
    <mergeCell ref="T42:T43"/>
    <mergeCell ref="U42:U43"/>
    <mergeCell ref="R44:R45"/>
    <mergeCell ref="S44:S45"/>
    <mergeCell ref="A51:A52"/>
    <mergeCell ref="B53:B54"/>
    <mergeCell ref="C53:C54"/>
    <mergeCell ref="D53:D54"/>
    <mergeCell ref="E53:E54"/>
    <mergeCell ref="F53:F54"/>
    <mergeCell ref="G53:G54"/>
    <mergeCell ref="A53:A54"/>
    <mergeCell ref="B55:B56"/>
    <mergeCell ref="C55:C56"/>
    <mergeCell ref="D55:D56"/>
    <mergeCell ref="E55:E56"/>
    <mergeCell ref="F55:F56"/>
    <mergeCell ref="G55:G56"/>
    <mergeCell ref="A44:A45"/>
    <mergeCell ref="B49:B50"/>
    <mergeCell ref="C49:C50"/>
    <mergeCell ref="D49:D50"/>
    <mergeCell ref="E49:E50"/>
    <mergeCell ref="F49:F50"/>
    <mergeCell ref="G49:G50"/>
    <mergeCell ref="A49:A50"/>
    <mergeCell ref="B51:B52"/>
    <mergeCell ref="C51:C52"/>
    <mergeCell ref="D51:D52"/>
    <mergeCell ref="E51:E52"/>
    <mergeCell ref="F51:F52"/>
    <mergeCell ref="G51:G52"/>
    <mergeCell ref="A24:A25"/>
    <mergeCell ref="B26:B27"/>
    <mergeCell ref="C26:C27"/>
    <mergeCell ref="D26:D27"/>
    <mergeCell ref="E26:E27"/>
    <mergeCell ref="F26:F27"/>
    <mergeCell ref="G26:G27"/>
    <mergeCell ref="A26:A27"/>
    <mergeCell ref="A28:A29"/>
    <mergeCell ref="B28:B29"/>
    <mergeCell ref="C28:C29"/>
    <mergeCell ref="D28:D29"/>
    <mergeCell ref="E28:E29"/>
    <mergeCell ref="F28:F29"/>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86:B87"/>
    <mergeCell ref="A88:B89"/>
    <mergeCell ref="C101:H101"/>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 ref="A63:A64"/>
    <mergeCell ref="B66:B67"/>
    <mergeCell ref="C66:C67"/>
    <mergeCell ref="D66:D67"/>
    <mergeCell ref="E66:E67"/>
    <mergeCell ref="F66:F67"/>
    <mergeCell ref="G66:G67"/>
    <mergeCell ref="A66:A67"/>
    <mergeCell ref="B68:B69"/>
    <mergeCell ref="C68:C69"/>
    <mergeCell ref="D68:D69"/>
    <mergeCell ref="E68:E69"/>
    <mergeCell ref="F68:F69"/>
    <mergeCell ref="G68:G69"/>
    <mergeCell ref="A68:A69"/>
    <mergeCell ref="B70:B71"/>
    <mergeCell ref="C70:C71"/>
    <mergeCell ref="D70:D71"/>
    <mergeCell ref="E70:E71"/>
    <mergeCell ref="F70:F71"/>
    <mergeCell ref="G70:G71"/>
    <mergeCell ref="A70:A71"/>
    <mergeCell ref="B72:B73"/>
    <mergeCell ref="C72:C73"/>
    <mergeCell ref="D72:D73"/>
    <mergeCell ref="E72:E73"/>
    <mergeCell ref="F72:F73"/>
    <mergeCell ref="G72:G73"/>
    <mergeCell ref="A72:A73"/>
    <mergeCell ref="B74:B75"/>
    <mergeCell ref="C74:C75"/>
    <mergeCell ref="D74:D75"/>
    <mergeCell ref="E74:E75"/>
    <mergeCell ref="F74:F75"/>
    <mergeCell ref="G74:G75"/>
    <mergeCell ref="A74:A75"/>
    <mergeCell ref="B77:B78"/>
    <mergeCell ref="C77:C78"/>
    <mergeCell ref="D77:D78"/>
    <mergeCell ref="E77:E78"/>
    <mergeCell ref="F77:F78"/>
    <mergeCell ref="G77:G78"/>
    <mergeCell ref="A77:A78"/>
    <mergeCell ref="B79:B80"/>
    <mergeCell ref="C79:C80"/>
    <mergeCell ref="D79:D80"/>
    <mergeCell ref="E79:E80"/>
    <mergeCell ref="F79:F80"/>
    <mergeCell ref="G79:G80"/>
    <mergeCell ref="A79:A80"/>
    <mergeCell ref="B81:B82"/>
    <mergeCell ref="C81:C82"/>
    <mergeCell ref="D81:D82"/>
    <mergeCell ref="E81:E82"/>
    <mergeCell ref="F81:F82"/>
    <mergeCell ref="G81:G82"/>
    <mergeCell ref="A81:A82"/>
    <mergeCell ref="B83:B84"/>
    <mergeCell ref="C83:C84"/>
    <mergeCell ref="D83:D84"/>
    <mergeCell ref="E83:E84"/>
    <mergeCell ref="F83:F84"/>
    <mergeCell ref="G83:G84"/>
    <mergeCell ref="M88:M89"/>
    <mergeCell ref="N88:N89"/>
    <mergeCell ref="A83:A84"/>
    <mergeCell ref="A86:A87"/>
    <mergeCell ref="C86:C87"/>
    <mergeCell ref="D86:D87"/>
    <mergeCell ref="E86:E87"/>
    <mergeCell ref="F86:F87"/>
    <mergeCell ref="G86:G87"/>
  </mergeCells>
  <conditionalFormatting sqref="D22:D35 D46:D82 D85:D87">
    <cfRule type="expression" dxfId="0" priority="1">
      <formula>#REF!=TRUE</formula>
    </cfRule>
  </conditionalFormatting>
  <conditionalFormatting sqref="D22:D35 D46:D82 D85:D87">
    <cfRule type="expression" dxfId="1" priority="2">
      <formula>#REF!=TRUE</formula>
    </cfRule>
  </conditionalFormatting>
  <conditionalFormatting sqref="D22:D23 D55:D58 D65:D67 D70:D76 D81:D82 D85 D91:D92 D96 D100">
    <cfRule type="expression" dxfId="0" priority="3">
      <formula>AG22=TRUE</formula>
    </cfRule>
  </conditionalFormatting>
  <conditionalFormatting sqref="D22:D23 D55:D58 D65:D67 D70:D76 D81:D82 D85 D91:D92 D96 D100">
    <cfRule type="expression" dxfId="1" priority="4">
      <formula>P22=TRUE</formula>
    </cfRule>
  </conditionalFormatting>
  <dataValidations>
    <dataValidation type="list" allowBlank="1" showErrorMessage="1" sqref="G22 G24 G26 G28 G30 G32 G34 G36 G38 G40 G42 G44 G48:G49 G51 G53 G55 G57 G59 G61 G63 G66 G68 G70 G72 G74 G77 G79 G81 G83 G85:G86 G90:G99">
      <formula1>"Hồ Chí Minh,Đồng Nai,Bình Dương,Hải Dương,Hà Nội ,Hải Phòng,Sóc Trăng,Cần Thơ,Mass,Đồng Tháp"</formula1>
    </dataValidation>
    <dataValidation type="list" allowBlank="1" showErrorMessage="1" sqref="U22 U24 U26 U28 U30 U32 U34 U36 U38 U40 U42 U44 U48:U49 U51 U53 U55 U57 U59 U61 U63 U65:U66 U68 U70 U72 U74 U76:U77 U79 U81 U83 U85:U86 U90:U99">
      <formula1>"Confirm,Không phù hợp,Đề xuất thêm"</formula1>
    </dataValidation>
    <dataValidation type="list" allowBlank="1" showErrorMessage="1" sqref="X22 X24 X26 X28 X30 X32 X34 X36 X38 X40 X42 X44 X48:X49 X51 X53 X55 X57 X59 X61 X63 X65:X66 X68 X70 X72 X74 X76:X77 X79 X81 X83 X85:X86 X90:X101">
      <formula1>"Ký Cá Nhân,Ký Công ty (VAT 8%),Ký HKD (6-7%),Chưa phản hồi"</formula1>
    </dataValidation>
    <dataValidation type="list" allowBlank="1" showErrorMessage="1" sqref="E22 E24 E26 E28 E30 E32 E34 E36 E38 E40 E42 E44 E48:E49 E51 E53 E55 E57 E59 E61 E63 E66 E68 E70 E72 E74 E77 E79 E81 E83 E85:E86 E90:E99">
      <formula1>"Nano,Macro,Micro"</formula1>
    </dataValidation>
    <dataValidation type="list" allowBlank="1" showErrorMessage="1" sqref="C22 C24 C26 C28 C30 C32 C34 C36 C38 C40 C42 C44 C48:C49 C51 C53 C55 C57 C59 C61 C63 C66 C68 C70 C72 C74 C77 C79 C81 C83 C85:C86 C90:C99">
      <formula1>"Tiktok,Facebook,Instagram,TikTok &amp; Facebook"</formula1>
    </dataValidation>
    <dataValidation type="list" allowBlank="1" showErrorMessage="1" sqref="Y22 Y24 Y26 Y28 Y30 Y32 Y34 Y36 Y38 Y40 Y42 Y44 Y48:Y49 Y51 Y53 Y55 Y57 Y59 Y61 Y63 Y65:Y66 Y68 Y70 Y72 Y74 Y76:Y77 Y79 Y81 Y83 Y85:Y86 Y90:Y101">
      <formula1>"Thanh Toán sau 100%, 30 ngày,Thanh Toán sau 100%, 14 ngày,Thanh toán 50/50, 14 ngày,Thanh toán 50/50, 30 ngày,Thanh toán trước 100%,Thanh toán 50/50, 7 ngày,Chưa phản hồi,Thanh toán 30/70, 14 ngày"</formula1>
    </dataValidation>
  </dataValidations>
  <hyperlinks>
    <hyperlink r:id="rId1" ref="F22"/>
    <hyperlink r:id="rId2" ref="H22"/>
    <hyperlink r:id="rId3" location="gid=1826739190" ref="Z22"/>
    <hyperlink r:id="rId4" ref="F24"/>
    <hyperlink r:id="rId5" ref="H24"/>
    <hyperlink r:id="rId6" ref="F26"/>
    <hyperlink r:id="rId7" ref="H26"/>
    <hyperlink r:id="rId8" location="gid=0" ref="Z26"/>
    <hyperlink r:id="rId9" ref="F28"/>
    <hyperlink r:id="rId10" ref="H28"/>
    <hyperlink r:id="rId11" ref="F30"/>
    <hyperlink r:id="rId12" ref="H30"/>
    <hyperlink r:id="rId13" ref="F32"/>
    <hyperlink r:id="rId14" ref="H32"/>
    <hyperlink r:id="rId15" ref="S32"/>
    <hyperlink r:id="rId16" location="gid=0" ref="Z32"/>
    <hyperlink r:id="rId17" ref="F34"/>
    <hyperlink r:id="rId18" ref="H34"/>
    <hyperlink r:id="rId19" location="gid=1826739190" ref="Z34"/>
    <hyperlink r:id="rId20" ref="F36"/>
    <hyperlink r:id="rId21" ref="H36"/>
    <hyperlink r:id="rId22" location="gid=86066825" ref="Z36"/>
    <hyperlink r:id="rId23" ref="F38"/>
    <hyperlink r:id="rId24" ref="H38"/>
    <hyperlink r:id="rId25" ref="F40"/>
    <hyperlink r:id="rId26" ref="H40"/>
    <hyperlink r:id="rId27" ref="F42"/>
    <hyperlink r:id="rId28" ref="H42"/>
    <hyperlink r:id="rId29" ref="F44"/>
    <hyperlink r:id="rId30" ref="H44"/>
    <hyperlink r:id="rId31" ref="F49"/>
    <hyperlink r:id="rId32" ref="H49"/>
    <hyperlink r:id="rId33" location="gid=1826739190" ref="Z49"/>
    <hyperlink r:id="rId34" ref="F51"/>
    <hyperlink r:id="rId35" ref="H51"/>
    <hyperlink r:id="rId36" location="gid=1826739190" ref="Z51"/>
    <hyperlink r:id="rId37" ref="F53"/>
    <hyperlink r:id="rId38" ref="H53"/>
    <hyperlink r:id="rId39" location="gid=1826739190" ref="Z53"/>
    <hyperlink r:id="rId40" ref="F55"/>
    <hyperlink r:id="rId41" ref="H55"/>
    <hyperlink r:id="rId42" location="gid=1826739190" ref="Z55"/>
    <hyperlink r:id="rId43" ref="F57"/>
    <hyperlink r:id="rId44" ref="H57"/>
    <hyperlink r:id="rId45" location="gid=1826739190" ref="Z57"/>
    <hyperlink r:id="rId46" ref="F59"/>
    <hyperlink r:id="rId47" ref="H59"/>
    <hyperlink r:id="rId48" location="gid=86066825" ref="Z59"/>
    <hyperlink r:id="rId49" ref="F61"/>
    <hyperlink r:id="rId50" ref="H61"/>
    <hyperlink r:id="rId51" ref="F63"/>
    <hyperlink r:id="rId52" ref="H63"/>
    <hyperlink r:id="rId53" location="gid=1826739190" ref="Z63"/>
    <hyperlink r:id="rId54" ref="F66"/>
    <hyperlink r:id="rId55" ref="H66"/>
    <hyperlink r:id="rId56" location="gid=317397432" ref="Z66"/>
    <hyperlink r:id="rId57" location="gid=317397432" ref="Z67"/>
    <hyperlink r:id="rId58" ref="F68"/>
    <hyperlink r:id="rId59" ref="H68"/>
    <hyperlink r:id="rId60" location="gid=317397432" ref="Z68"/>
    <hyperlink r:id="rId61" location="gid=317397432" ref="Z69"/>
    <hyperlink r:id="rId62" ref="F70"/>
    <hyperlink r:id="rId63" ref="H70"/>
    <hyperlink r:id="rId64" location="gid=86066825" ref="Z70"/>
    <hyperlink r:id="rId65" ref="F72"/>
    <hyperlink r:id="rId66" ref="H72"/>
    <hyperlink r:id="rId67" location="gid=86066825" ref="Z72"/>
    <hyperlink r:id="rId68" ref="F74"/>
    <hyperlink r:id="rId69" ref="H74"/>
    <hyperlink r:id="rId70" location="gid=86066825" ref="Z74"/>
    <hyperlink r:id="rId71" ref="F77"/>
    <hyperlink r:id="rId72" ref="H77"/>
    <hyperlink r:id="rId73" location="gid=317397432" ref="Z77"/>
    <hyperlink r:id="rId74" location="gid=317397432" ref="Z78"/>
    <hyperlink r:id="rId75" ref="F79"/>
    <hyperlink r:id="rId76" ref="H79"/>
    <hyperlink r:id="rId77" location="gid=317397432" ref="Z79"/>
    <hyperlink r:id="rId78" location="gid=317397432" ref="Z80"/>
    <hyperlink r:id="rId79" ref="F81"/>
    <hyperlink r:id="rId80" ref="H81"/>
    <hyperlink r:id="rId81" location="gid=317397432" ref="Z81"/>
    <hyperlink r:id="rId82" location="gid=317397432" ref="Z82"/>
    <hyperlink r:id="rId83" ref="F83"/>
    <hyperlink r:id="rId84" ref="H83"/>
    <hyperlink r:id="rId85" location="gid=317397432" ref="Z83"/>
    <hyperlink r:id="rId86" location="gid=317397432" ref="Z84"/>
    <hyperlink r:id="rId87" ref="F86"/>
    <hyperlink r:id="rId88" ref="H86"/>
    <hyperlink r:id="rId89" location="gid=317397432" ref="Z86"/>
    <hyperlink r:id="rId90" location="gid=317397432" ref="Z87"/>
    <hyperlink r:id="rId91" ref="F90"/>
    <hyperlink r:id="rId92" location="gid=1537112938" ref="Z90"/>
    <hyperlink r:id="rId93" ref="F91"/>
    <hyperlink r:id="rId94" location="gid=1537112938" ref="Z91"/>
    <hyperlink r:id="rId95" ref="F92"/>
    <hyperlink r:id="rId96" location="gid=1537112938" ref="Z92"/>
    <hyperlink r:id="rId97" ref="F93"/>
    <hyperlink r:id="rId98" location="gid=1537112938" ref="Z93"/>
    <hyperlink r:id="rId99" ref="F94"/>
    <hyperlink r:id="rId100" location="gid=1537112938" ref="Z94"/>
    <hyperlink r:id="rId101" ref="F95"/>
    <hyperlink r:id="rId102" location="gid=1537112938" ref="Z95"/>
    <hyperlink r:id="rId103" ref="F96"/>
    <hyperlink r:id="rId104" ref="F97"/>
    <hyperlink r:id="rId105" location="gid=1537112938" ref="Z97"/>
    <hyperlink r:id="rId106" ref="F98"/>
    <hyperlink r:id="rId107" ref="F99"/>
    <hyperlink r:id="rId108" location="gid=1537112938" ref="Z99"/>
  </hyperlinks>
  <drawing r:id="rId10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3" width="13.25"/>
  </cols>
  <sheetData>
    <row r="1" outlineLevel="1">
      <c r="A1" s="1" t="s">
        <v>2409</v>
      </c>
      <c r="B1" s="2"/>
      <c r="C1" s="2"/>
      <c r="D1" s="3"/>
      <c r="E1" s="2"/>
      <c r="F1" s="4"/>
      <c r="G1" s="2"/>
      <c r="H1" s="2"/>
      <c r="I1" s="2"/>
      <c r="J1" s="2"/>
      <c r="K1" s="5"/>
      <c r="L1" s="6"/>
      <c r="M1" s="6"/>
      <c r="N1" s="6"/>
      <c r="O1" s="6"/>
      <c r="P1" s="6"/>
      <c r="Q1" s="6"/>
      <c r="R1" s="7"/>
      <c r="S1" s="8"/>
      <c r="T1" s="8"/>
      <c r="U1" s="8"/>
      <c r="V1" s="8"/>
      <c r="W1" s="8"/>
    </row>
    <row r="2" outlineLevel="1">
      <c r="A2" s="10"/>
      <c r="B2" s="11"/>
      <c r="C2" s="11"/>
      <c r="D2" s="11"/>
      <c r="E2" s="2"/>
      <c r="F2" s="4"/>
      <c r="G2" s="2"/>
      <c r="H2" s="2"/>
      <c r="I2" s="2"/>
      <c r="J2" s="2"/>
      <c r="K2" s="5"/>
      <c r="L2" s="6"/>
      <c r="M2" s="6"/>
      <c r="N2" s="6"/>
      <c r="O2" s="6"/>
      <c r="P2" s="6"/>
      <c r="Q2" s="6"/>
      <c r="R2" s="7"/>
      <c r="S2" s="8"/>
      <c r="T2" s="8"/>
      <c r="U2" s="8"/>
      <c r="V2" s="8"/>
      <c r="W2" s="8"/>
    </row>
    <row r="3" ht="27.0" customHeight="1" outlineLevel="1">
      <c r="A3" s="12" t="s">
        <v>1</v>
      </c>
      <c r="B3" s="13" t="s">
        <v>2</v>
      </c>
      <c r="C3" s="14" t="s">
        <v>3</v>
      </c>
      <c r="D3" s="14" t="s">
        <v>4</v>
      </c>
      <c r="E3" s="15" t="s">
        <v>5</v>
      </c>
      <c r="J3" s="6"/>
      <c r="K3" s="2"/>
      <c r="L3" s="5"/>
      <c r="M3" s="6"/>
      <c r="N3" s="6"/>
      <c r="O3" s="6"/>
      <c r="P3" s="6"/>
      <c r="Q3" s="6"/>
      <c r="R3" s="6"/>
      <c r="S3" s="7"/>
      <c r="T3" s="7"/>
      <c r="U3" s="7"/>
      <c r="V3" s="7"/>
      <c r="W3" s="7"/>
    </row>
    <row r="4" ht="27.0" customHeight="1" outlineLevel="1">
      <c r="A4" s="17"/>
      <c r="B4" s="18"/>
      <c r="C4" s="19" t="s">
        <v>6</v>
      </c>
      <c r="D4" s="20">
        <f>sum(D5,D7,D9:D10)</f>
        <v>37</v>
      </c>
      <c r="E4" s="20">
        <f>Sum(E5:E11)</f>
        <v>616000000</v>
      </c>
      <c r="J4" s="2"/>
      <c r="K4" s="2"/>
      <c r="L4" s="5"/>
      <c r="M4" s="6"/>
      <c r="N4" s="6"/>
      <c r="O4" s="6"/>
      <c r="P4" s="6"/>
      <c r="Q4" s="6"/>
      <c r="R4" s="6"/>
      <c r="S4" s="7"/>
      <c r="T4" s="7"/>
      <c r="U4" s="7"/>
      <c r="V4" s="7"/>
      <c r="W4" s="7"/>
    </row>
    <row r="5" ht="27.0" customHeight="1" outlineLevel="1">
      <c r="A5" s="675">
        <v>1.0</v>
      </c>
      <c r="B5" s="22" t="str">
        <f>A20</f>
        <v>FOODY REVIEWER</v>
      </c>
      <c r="C5" s="23" t="s">
        <v>7</v>
      </c>
      <c r="D5" s="24">
        <f t="shared" ref="D5:D6" si="1">K20</f>
        <v>9</v>
      </c>
      <c r="E5" s="25">
        <f>Q20</f>
        <v>217000000</v>
      </c>
      <c r="J5" s="2"/>
      <c r="K5" s="2"/>
      <c r="L5" s="5"/>
      <c r="M5" s="6"/>
      <c r="N5" s="6"/>
      <c r="O5" s="6"/>
      <c r="P5" s="6"/>
      <c r="Q5" s="6"/>
      <c r="R5" s="6"/>
      <c r="S5" s="7"/>
      <c r="T5" s="7"/>
      <c r="U5" s="7"/>
      <c r="V5" s="7"/>
      <c r="W5" s="7"/>
    </row>
    <row r="6" ht="27.0" customHeight="1" outlineLevel="1">
      <c r="A6" s="26"/>
      <c r="B6" s="26"/>
      <c r="C6" s="23" t="s">
        <v>8</v>
      </c>
      <c r="D6" s="24">
        <f t="shared" si="1"/>
        <v>9</v>
      </c>
      <c r="E6" s="26"/>
      <c r="J6" s="2"/>
      <c r="K6" s="2"/>
      <c r="L6" s="5"/>
      <c r="M6" s="6"/>
      <c r="N6" s="6"/>
      <c r="O6" s="6"/>
      <c r="P6" s="6"/>
      <c r="Q6" s="6"/>
      <c r="R6" s="6"/>
      <c r="S6" s="7"/>
      <c r="T6" s="7"/>
      <c r="U6" s="7"/>
      <c r="V6" s="7"/>
      <c r="W6" s="7"/>
    </row>
    <row r="7" ht="27.0" customHeight="1" outlineLevel="1">
      <c r="A7" s="676">
        <v>2.0</v>
      </c>
      <c r="B7" s="22" t="str">
        <f>A46</f>
        <v>FOODY UGC</v>
      </c>
      <c r="C7" s="23" t="s">
        <v>7</v>
      </c>
      <c r="D7" s="24">
        <f t="shared" ref="D7:D8" si="2">K46</f>
        <v>18</v>
      </c>
      <c r="E7" s="25">
        <f>Q46</f>
        <v>163000000</v>
      </c>
      <c r="J7" s="2"/>
      <c r="K7" s="2"/>
      <c r="L7" s="5"/>
      <c r="M7" s="6"/>
      <c r="N7" s="6"/>
      <c r="O7" s="6"/>
      <c r="P7" s="6"/>
      <c r="Q7" s="6"/>
      <c r="R7" s="6"/>
      <c r="S7" s="7"/>
      <c r="T7" s="7"/>
      <c r="U7" s="7"/>
      <c r="V7" s="7"/>
      <c r="W7" s="7"/>
    </row>
    <row r="8" ht="27.0" customHeight="1" outlineLevel="1">
      <c r="A8" s="26"/>
      <c r="B8" s="26"/>
      <c r="C8" s="23" t="s">
        <v>8</v>
      </c>
      <c r="D8" s="28">
        <f t="shared" si="2"/>
        <v>18</v>
      </c>
      <c r="E8" s="26"/>
      <c r="J8" s="2"/>
      <c r="K8" s="2"/>
      <c r="L8" s="5"/>
      <c r="M8" s="6"/>
      <c r="N8" s="6"/>
      <c r="O8" s="6"/>
      <c r="P8" s="6"/>
      <c r="Q8" s="6"/>
      <c r="R8" s="6"/>
      <c r="S8" s="7"/>
      <c r="T8" s="7"/>
      <c r="U8" s="7"/>
      <c r="V8" s="7"/>
      <c r="W8" s="7"/>
    </row>
    <row r="9" ht="27.0" customHeight="1" outlineLevel="1">
      <c r="A9" s="676">
        <v>3.0</v>
      </c>
      <c r="B9" s="22" t="str">
        <f>A88</f>
        <v>FOODY COMMUNITY</v>
      </c>
      <c r="C9" s="23" t="s">
        <v>9</v>
      </c>
      <c r="D9" s="28">
        <f>K89</f>
        <v>5</v>
      </c>
      <c r="E9" s="25">
        <f>Q88</f>
        <v>216000000</v>
      </c>
      <c r="J9" s="2"/>
      <c r="K9" s="2"/>
      <c r="L9" s="5"/>
      <c r="M9" s="6"/>
      <c r="N9" s="6"/>
      <c r="O9" s="6"/>
      <c r="P9" s="6"/>
      <c r="Q9" s="6"/>
      <c r="R9" s="6"/>
      <c r="S9" s="7"/>
      <c r="T9" s="7"/>
      <c r="U9" s="7"/>
      <c r="V9" s="7"/>
      <c r="W9" s="7"/>
    </row>
    <row r="10" ht="27.0" customHeight="1" outlineLevel="1">
      <c r="A10" s="26"/>
      <c r="B10" s="26"/>
      <c r="C10" s="29" t="s">
        <v>10</v>
      </c>
      <c r="D10" s="28">
        <f>K88</f>
        <v>5</v>
      </c>
      <c r="E10" s="26"/>
      <c r="J10" s="2"/>
      <c r="K10" s="2"/>
      <c r="L10" s="5"/>
      <c r="M10" s="6"/>
      <c r="N10" s="6"/>
      <c r="O10" s="6"/>
      <c r="P10" s="6"/>
      <c r="Q10" s="6"/>
      <c r="R10" s="6"/>
      <c r="S10" s="7"/>
      <c r="T10" s="7"/>
      <c r="U10" s="7"/>
      <c r="V10" s="7"/>
      <c r="W10" s="7"/>
    </row>
    <row r="11" ht="27.0" customHeight="1" outlineLevel="1">
      <c r="A11" s="677">
        <v>4.0</v>
      </c>
      <c r="B11" s="31" t="str">
        <f>A100</f>
        <v>SEEDING PACKAGE</v>
      </c>
      <c r="C11" s="29" t="s">
        <v>11</v>
      </c>
      <c r="D11" s="28">
        <f>K101</f>
        <v>2000</v>
      </c>
      <c r="E11" s="32">
        <f>Q100</f>
        <v>20000000</v>
      </c>
      <c r="J11" s="2"/>
      <c r="K11" s="2"/>
      <c r="L11" s="5"/>
      <c r="M11" s="6"/>
      <c r="N11" s="6"/>
      <c r="O11" s="6"/>
      <c r="P11" s="6"/>
      <c r="Q11" s="6"/>
      <c r="R11" s="6"/>
      <c r="S11" s="7"/>
      <c r="T11" s="7"/>
      <c r="U11" s="7"/>
      <c r="V11" s="7"/>
      <c r="W11" s="7"/>
    </row>
    <row r="12" ht="27.0" customHeight="1" outlineLevel="1">
      <c r="A12" s="33"/>
      <c r="B12" s="34" t="s">
        <v>12</v>
      </c>
      <c r="C12" s="35"/>
      <c r="D12" s="35"/>
      <c r="E12" s="36">
        <f>E4</f>
        <v>616000000</v>
      </c>
      <c r="K12" s="2"/>
      <c r="L12" s="5"/>
      <c r="M12" s="6"/>
      <c r="N12" s="6"/>
      <c r="O12" s="6"/>
      <c r="P12" s="6"/>
      <c r="Q12" s="6"/>
      <c r="R12" s="681"/>
      <c r="S12" s="7"/>
      <c r="T12" s="7"/>
      <c r="U12" s="7"/>
      <c r="V12" s="7"/>
      <c r="W12" s="7"/>
    </row>
    <row r="13" ht="27.0" customHeight="1" outlineLevel="1">
      <c r="A13" s="38"/>
      <c r="B13" s="34" t="s">
        <v>13</v>
      </c>
      <c r="C13" s="39"/>
      <c r="D13" s="40">
        <v>0.12</v>
      </c>
      <c r="E13" s="41">
        <f>E12*D13</f>
        <v>73920000</v>
      </c>
      <c r="J13" s="42"/>
      <c r="K13" s="42"/>
      <c r="L13" s="43"/>
      <c r="M13" s="43"/>
      <c r="N13" s="43"/>
      <c r="O13" s="43"/>
      <c r="P13" s="43"/>
      <c r="Q13" s="43"/>
      <c r="R13" s="7"/>
      <c r="S13" s="8"/>
      <c r="T13" s="8"/>
      <c r="U13" s="8"/>
      <c r="V13" s="8"/>
      <c r="W13" s="8"/>
    </row>
    <row r="14" ht="27.0" customHeight="1" outlineLevel="1">
      <c r="A14" s="38"/>
      <c r="B14" s="34" t="s">
        <v>14</v>
      </c>
      <c r="C14" s="39"/>
      <c r="D14" s="39"/>
      <c r="E14" s="41">
        <f>sum(E12:E13)</f>
        <v>689920000</v>
      </c>
      <c r="J14" s="42"/>
      <c r="K14" s="42"/>
      <c r="L14" s="43"/>
      <c r="M14" s="43"/>
      <c r="N14" s="43"/>
      <c r="O14" s="43"/>
      <c r="P14" s="43"/>
      <c r="Q14" s="43"/>
      <c r="R14" s="7"/>
      <c r="S14" s="8"/>
      <c r="T14" s="8"/>
      <c r="U14" s="8"/>
      <c r="V14" s="8"/>
      <c r="W14" s="8"/>
    </row>
    <row r="15" ht="27.0" customHeight="1" outlineLevel="1">
      <c r="A15" s="38"/>
      <c r="B15" s="34" t="s">
        <v>15</v>
      </c>
      <c r="C15" s="39"/>
      <c r="D15" s="39"/>
      <c r="E15" s="41">
        <f>E14*1.08</f>
        <v>745113600</v>
      </c>
      <c r="J15" s="42"/>
      <c r="K15" s="42"/>
      <c r="L15" s="43"/>
      <c r="M15" s="43"/>
      <c r="N15" s="43"/>
      <c r="O15" s="43"/>
      <c r="P15" s="43"/>
      <c r="Q15" s="43"/>
      <c r="R15" s="7"/>
      <c r="S15" s="8"/>
      <c r="T15" s="8"/>
      <c r="U15" s="8"/>
      <c r="V15" s="8"/>
      <c r="W15" s="8"/>
    </row>
    <row r="16" outlineLevel="1">
      <c r="A16" s="38"/>
      <c r="B16" s="44"/>
      <c r="C16" s="42"/>
      <c r="D16" s="42"/>
      <c r="E16" s="42"/>
      <c r="J16" s="42"/>
      <c r="K16" s="42"/>
      <c r="L16" s="43"/>
      <c r="M16" s="43"/>
      <c r="N16" s="43"/>
      <c r="O16" s="43"/>
      <c r="P16" s="43"/>
      <c r="Q16" s="43"/>
      <c r="R16" s="7"/>
      <c r="S16" s="8"/>
      <c r="T16" s="8"/>
      <c r="U16" s="8"/>
      <c r="V16" s="8"/>
      <c r="W16" s="8"/>
    </row>
    <row r="17" outlineLevel="1">
      <c r="R17" s="892"/>
      <c r="S17" s="8"/>
      <c r="T17" s="8"/>
      <c r="U17" s="8"/>
      <c r="V17" s="8"/>
      <c r="W17" s="8"/>
    </row>
    <row r="18" ht="44.25" customHeight="1" outlineLevel="1">
      <c r="A18" s="43"/>
      <c r="B18" s="43"/>
      <c r="C18" s="43"/>
      <c r="D18" s="43"/>
      <c r="E18" s="43"/>
      <c r="G18" s="43"/>
      <c r="H18" s="43"/>
      <c r="K18" s="43"/>
      <c r="L18" s="43"/>
      <c r="M18" s="43"/>
      <c r="N18" s="43"/>
      <c r="O18" s="43"/>
      <c r="P18" s="43"/>
      <c r="Q18" s="43"/>
      <c r="R18" s="690"/>
      <c r="S18" s="47"/>
      <c r="T18" s="47"/>
      <c r="U18" s="47"/>
      <c r="V18" s="47"/>
      <c r="W18" s="47"/>
    </row>
    <row r="19" ht="30.75" customHeight="1">
      <c r="A19" s="1194" t="s">
        <v>16</v>
      </c>
      <c r="B19" s="1195" t="s">
        <v>17</v>
      </c>
      <c r="C19" s="1195" t="s">
        <v>18</v>
      </c>
      <c r="D19" s="1196" t="s">
        <v>19</v>
      </c>
      <c r="E19" s="1197" t="s">
        <v>20</v>
      </c>
      <c r="F19" s="1198" t="s">
        <v>21</v>
      </c>
      <c r="G19" s="1195" t="s">
        <v>22</v>
      </c>
      <c r="H19" s="1195" t="s">
        <v>23</v>
      </c>
      <c r="I19" s="1195" t="s">
        <v>24</v>
      </c>
      <c r="J19" s="1195" t="s">
        <v>3</v>
      </c>
      <c r="K19" s="1195" t="s">
        <v>4</v>
      </c>
      <c r="L19" s="1195" t="s">
        <v>25</v>
      </c>
      <c r="M19" s="1196" t="s">
        <v>26</v>
      </c>
      <c r="N19" s="1195" t="s">
        <v>27</v>
      </c>
      <c r="O19" s="1195" t="s">
        <v>28</v>
      </c>
      <c r="P19" s="1195" t="s">
        <v>29</v>
      </c>
      <c r="Q19" s="1195" t="s">
        <v>30</v>
      </c>
      <c r="R19" s="1195" t="s">
        <v>31</v>
      </c>
      <c r="S19" s="1199" t="s">
        <v>32</v>
      </c>
      <c r="T19" s="1199" t="s">
        <v>33</v>
      </c>
      <c r="U19" s="1199" t="s">
        <v>34</v>
      </c>
      <c r="V19" s="54"/>
      <c r="W19" s="54"/>
    </row>
    <row r="20" ht="30.0" customHeight="1">
      <c r="A20" s="1200" t="s">
        <v>35</v>
      </c>
      <c r="B20" s="56"/>
      <c r="C20" s="1201"/>
      <c r="D20" s="1202"/>
      <c r="E20" s="1203"/>
      <c r="F20" s="1203"/>
      <c r="G20" s="1203"/>
      <c r="H20" s="1203"/>
      <c r="I20" s="1203"/>
      <c r="J20" s="1204" t="s">
        <v>7</v>
      </c>
      <c r="K20" s="1204">
        <f>SUMIFS(K22:K45,J22:J45,"Video Post")</f>
        <v>9</v>
      </c>
      <c r="L20" s="1205"/>
      <c r="M20" s="1206">
        <f t="shared" ref="M20:N20" si="3">sumif($I$22:$I$45,"TRUE",M22:M45)</f>
        <v>710000</v>
      </c>
      <c r="N20" s="1206">
        <f t="shared" si="3"/>
        <v>28700</v>
      </c>
      <c r="O20" s="1205"/>
      <c r="P20" s="1205"/>
      <c r="Q20" s="1206">
        <f>sum(Q22:Q45)</f>
        <v>217000000</v>
      </c>
      <c r="R20" s="1203"/>
      <c r="S20" s="68"/>
      <c r="T20" s="68"/>
      <c r="U20" s="68"/>
      <c r="V20" s="69"/>
      <c r="W20" s="69"/>
    </row>
    <row r="21" ht="30.0" customHeight="1">
      <c r="A21" s="70"/>
      <c r="B21" s="71"/>
      <c r="C21" s="1201"/>
      <c r="D21" s="1202"/>
      <c r="E21" s="1203"/>
      <c r="F21" s="1203"/>
      <c r="G21" s="1203"/>
      <c r="H21" s="1203"/>
      <c r="I21" s="1203"/>
      <c r="J21" s="1204" t="s">
        <v>8</v>
      </c>
      <c r="K21" s="1204">
        <f>SUMIFS(K22:K45,J22:J45,"Tháng")</f>
        <v>9</v>
      </c>
      <c r="L21" s="1205"/>
      <c r="M21" s="72"/>
      <c r="N21" s="72"/>
      <c r="O21" s="1205"/>
      <c r="P21" s="1205"/>
      <c r="Q21" s="72"/>
      <c r="R21" s="1203"/>
      <c r="S21" s="72"/>
      <c r="T21" s="72"/>
      <c r="U21" s="72"/>
      <c r="V21" s="69"/>
      <c r="W21" s="69"/>
    </row>
    <row r="22" ht="59.25" customHeight="1" outlineLevel="1">
      <c r="A22" s="1207" t="s">
        <v>36</v>
      </c>
      <c r="B22" s="1208" t="s">
        <v>37</v>
      </c>
      <c r="C22" s="103" t="s">
        <v>38</v>
      </c>
      <c r="D22" s="1209" t="s">
        <v>39</v>
      </c>
      <c r="E22" s="105" t="s">
        <v>40</v>
      </c>
      <c r="F22" s="1210" t="s">
        <v>21</v>
      </c>
      <c r="G22" s="104" t="s">
        <v>41</v>
      </c>
      <c r="H22" s="1211" t="s">
        <v>2410</v>
      </c>
      <c r="I22" s="1212" t="b">
        <v>1</v>
      </c>
      <c r="J22" s="109" t="s">
        <v>7</v>
      </c>
      <c r="K22" s="109">
        <f t="shared" ref="K22:K45" si="4">if(I22=True,1,if(I22=False,0))</f>
        <v>1</v>
      </c>
      <c r="L22" s="113">
        <v>1.6E7</v>
      </c>
      <c r="M22" s="113">
        <v>50000.0</v>
      </c>
      <c r="N22" s="113">
        <v>3000.0</v>
      </c>
      <c r="O22" s="113">
        <f t="shared" ref="O22:O32" si="5">IFERROR(Q22/M22,"-")</f>
        <v>320</v>
      </c>
      <c r="P22" s="113">
        <f t="shared" ref="P22:P32" si="6">IFERROR(Q22/N22,"-")</f>
        <v>5333.333333</v>
      </c>
      <c r="Q22" s="113">
        <f t="shared" ref="Q22:Q45" si="7">iferror(L22*K22,"-")</f>
        <v>16000000</v>
      </c>
      <c r="R22" s="1213" t="s">
        <v>2411</v>
      </c>
      <c r="S22" s="1214" t="s">
        <v>44</v>
      </c>
      <c r="T22" s="115"/>
      <c r="U22" s="105" t="s">
        <v>45</v>
      </c>
      <c r="V22" s="87"/>
      <c r="W22" s="87"/>
    </row>
    <row r="23" ht="59.25" customHeight="1" outlineLevel="1">
      <c r="A23" s="72"/>
      <c r="B23" s="72"/>
      <c r="C23" s="72"/>
      <c r="D23" s="72"/>
      <c r="E23" s="72"/>
      <c r="F23" s="72"/>
      <c r="G23" s="72"/>
      <c r="H23" s="1215" t="s">
        <v>2412</v>
      </c>
      <c r="I23" s="1212" t="b">
        <v>1</v>
      </c>
      <c r="J23" s="109" t="s">
        <v>47</v>
      </c>
      <c r="K23" s="109">
        <f t="shared" si="4"/>
        <v>1</v>
      </c>
      <c r="L23" s="113">
        <v>8000000.0</v>
      </c>
      <c r="M23" s="113">
        <v>0.0</v>
      </c>
      <c r="N23" s="113">
        <v>0.0</v>
      </c>
      <c r="O23" s="113" t="str">
        <f t="shared" si="5"/>
        <v>-</v>
      </c>
      <c r="P23" s="113" t="str">
        <f t="shared" si="6"/>
        <v>-</v>
      </c>
      <c r="Q23" s="113">
        <f t="shared" si="7"/>
        <v>8000000</v>
      </c>
      <c r="R23" s="72"/>
      <c r="S23" s="72"/>
      <c r="T23" s="72"/>
      <c r="U23" s="72"/>
      <c r="V23" s="87"/>
      <c r="W23" s="87"/>
    </row>
    <row r="24" ht="59.25" customHeight="1" outlineLevel="1">
      <c r="A24" s="1207" t="s">
        <v>36</v>
      </c>
      <c r="B24" s="1216" t="s">
        <v>48</v>
      </c>
      <c r="C24" s="103" t="s">
        <v>38</v>
      </c>
      <c r="D24" s="1209" t="s">
        <v>49</v>
      </c>
      <c r="E24" s="105" t="s">
        <v>40</v>
      </c>
      <c r="F24" s="1210" t="s">
        <v>21</v>
      </c>
      <c r="G24" s="104" t="s">
        <v>50</v>
      </c>
      <c r="H24" s="1211" t="s">
        <v>2413</v>
      </c>
      <c r="I24" s="1212" t="b">
        <v>1</v>
      </c>
      <c r="J24" s="109" t="s">
        <v>7</v>
      </c>
      <c r="K24" s="109">
        <f t="shared" si="4"/>
        <v>1</v>
      </c>
      <c r="L24" s="113">
        <v>1.2E7</v>
      </c>
      <c r="M24" s="113">
        <v>100000.0</v>
      </c>
      <c r="N24" s="113">
        <v>3000.0</v>
      </c>
      <c r="O24" s="113">
        <f t="shared" si="5"/>
        <v>120</v>
      </c>
      <c r="P24" s="113">
        <f t="shared" si="6"/>
        <v>4000</v>
      </c>
      <c r="Q24" s="113">
        <f t="shared" si="7"/>
        <v>12000000</v>
      </c>
      <c r="R24" s="1213" t="s">
        <v>2414</v>
      </c>
      <c r="S24" s="1214" t="s">
        <v>53</v>
      </c>
      <c r="T24" s="115"/>
      <c r="U24" s="105" t="s">
        <v>45</v>
      </c>
      <c r="V24" s="87"/>
      <c r="W24" s="87"/>
    </row>
    <row r="25" ht="59.25" customHeight="1" outlineLevel="1">
      <c r="A25" s="72"/>
      <c r="B25" s="72"/>
      <c r="C25" s="72"/>
      <c r="D25" s="72"/>
      <c r="E25" s="72"/>
      <c r="F25" s="72"/>
      <c r="G25" s="72"/>
      <c r="H25" s="1215" t="s">
        <v>2415</v>
      </c>
      <c r="I25" s="1212" t="b">
        <v>1</v>
      </c>
      <c r="J25" s="109" t="s">
        <v>47</v>
      </c>
      <c r="K25" s="109">
        <f t="shared" si="4"/>
        <v>1</v>
      </c>
      <c r="L25" s="113">
        <v>6000000.0</v>
      </c>
      <c r="M25" s="113">
        <v>0.0</v>
      </c>
      <c r="N25" s="113">
        <v>0.0</v>
      </c>
      <c r="O25" s="113" t="str">
        <f t="shared" si="5"/>
        <v>-</v>
      </c>
      <c r="P25" s="113" t="str">
        <f t="shared" si="6"/>
        <v>-</v>
      </c>
      <c r="Q25" s="113">
        <f t="shared" si="7"/>
        <v>6000000</v>
      </c>
      <c r="R25" s="72"/>
      <c r="S25" s="72"/>
      <c r="T25" s="72"/>
      <c r="U25" s="72"/>
      <c r="V25" s="9"/>
      <c r="W25" s="9"/>
    </row>
    <row r="26" ht="59.25" customHeight="1" outlineLevel="1">
      <c r="A26" s="1207" t="s">
        <v>36</v>
      </c>
      <c r="B26" s="1216" t="s">
        <v>55</v>
      </c>
      <c r="C26" s="103" t="s">
        <v>38</v>
      </c>
      <c r="D26" s="1209" t="s">
        <v>56</v>
      </c>
      <c r="E26" s="105" t="s">
        <v>40</v>
      </c>
      <c r="F26" s="1210" t="s">
        <v>21</v>
      </c>
      <c r="G26" s="104" t="s">
        <v>50</v>
      </c>
      <c r="H26" s="1211" t="s">
        <v>2416</v>
      </c>
      <c r="I26" s="1212" t="b">
        <v>1</v>
      </c>
      <c r="J26" s="109" t="s">
        <v>7</v>
      </c>
      <c r="K26" s="109">
        <f t="shared" si="4"/>
        <v>1</v>
      </c>
      <c r="L26" s="113">
        <v>2.0E7</v>
      </c>
      <c r="M26" s="113">
        <v>130000.0</v>
      </c>
      <c r="N26" s="113">
        <v>4000.0</v>
      </c>
      <c r="O26" s="113">
        <f t="shared" si="5"/>
        <v>153.8461538</v>
      </c>
      <c r="P26" s="113">
        <f t="shared" si="6"/>
        <v>5000</v>
      </c>
      <c r="Q26" s="113">
        <f t="shared" si="7"/>
        <v>20000000</v>
      </c>
      <c r="R26" s="1213" t="s">
        <v>2417</v>
      </c>
      <c r="S26" s="1214" t="s">
        <v>59</v>
      </c>
      <c r="T26" s="115"/>
      <c r="U26" s="105" t="s">
        <v>45</v>
      </c>
      <c r="V26" s="87"/>
      <c r="W26" s="87"/>
    </row>
    <row r="27" ht="59.25" customHeight="1" outlineLevel="1">
      <c r="A27" s="72"/>
      <c r="B27" s="72"/>
      <c r="C27" s="72"/>
      <c r="D27" s="72"/>
      <c r="E27" s="72"/>
      <c r="F27" s="72"/>
      <c r="G27" s="72"/>
      <c r="H27" s="1215" t="s">
        <v>2418</v>
      </c>
      <c r="I27" s="1212" t="b">
        <v>1</v>
      </c>
      <c r="J27" s="109" t="s">
        <v>47</v>
      </c>
      <c r="K27" s="109">
        <f t="shared" si="4"/>
        <v>1</v>
      </c>
      <c r="L27" s="113">
        <v>1.3E7</v>
      </c>
      <c r="M27" s="113">
        <v>0.0</v>
      </c>
      <c r="N27" s="113">
        <v>0.0</v>
      </c>
      <c r="O27" s="113" t="str">
        <f t="shared" si="5"/>
        <v>-</v>
      </c>
      <c r="P27" s="113" t="str">
        <f t="shared" si="6"/>
        <v>-</v>
      </c>
      <c r="Q27" s="113">
        <f t="shared" si="7"/>
        <v>13000000</v>
      </c>
      <c r="R27" s="72"/>
      <c r="S27" s="72"/>
      <c r="T27" s="72"/>
      <c r="U27" s="72"/>
      <c r="V27" s="9"/>
      <c r="W27" s="9"/>
    </row>
    <row r="28" ht="59.25" customHeight="1" outlineLevel="1">
      <c r="A28" s="1207" t="s">
        <v>36</v>
      </c>
      <c r="B28" s="1216" t="s">
        <v>61</v>
      </c>
      <c r="C28" s="103" t="s">
        <v>38</v>
      </c>
      <c r="D28" s="1209" t="s">
        <v>62</v>
      </c>
      <c r="E28" s="105" t="s">
        <v>40</v>
      </c>
      <c r="F28" s="1210" t="s">
        <v>21</v>
      </c>
      <c r="G28" s="104" t="s">
        <v>50</v>
      </c>
      <c r="H28" s="1211" t="s">
        <v>2419</v>
      </c>
      <c r="I28" s="1212" t="b">
        <v>1</v>
      </c>
      <c r="J28" s="109" t="s">
        <v>7</v>
      </c>
      <c r="K28" s="109">
        <f t="shared" si="4"/>
        <v>1</v>
      </c>
      <c r="L28" s="113">
        <v>8000000.0</v>
      </c>
      <c r="M28" s="113">
        <v>30000.0</v>
      </c>
      <c r="N28" s="113">
        <v>1200.0</v>
      </c>
      <c r="O28" s="113">
        <f t="shared" si="5"/>
        <v>266.6666667</v>
      </c>
      <c r="P28" s="113">
        <f t="shared" si="6"/>
        <v>6666.666667</v>
      </c>
      <c r="Q28" s="113">
        <f t="shared" si="7"/>
        <v>8000000</v>
      </c>
      <c r="R28" s="1213" t="s">
        <v>2420</v>
      </c>
      <c r="S28" s="1214" t="s">
        <v>65</v>
      </c>
      <c r="T28" s="115"/>
      <c r="U28" s="105" t="s">
        <v>45</v>
      </c>
      <c r="V28" s="87"/>
      <c r="W28" s="87"/>
    </row>
    <row r="29" ht="59.25" customHeight="1" outlineLevel="1">
      <c r="A29" s="72"/>
      <c r="B29" s="72"/>
      <c r="C29" s="72"/>
      <c r="D29" s="72"/>
      <c r="E29" s="72"/>
      <c r="F29" s="72"/>
      <c r="G29" s="72"/>
      <c r="H29" s="1215" t="s">
        <v>2421</v>
      </c>
      <c r="I29" s="1212" t="b">
        <v>1</v>
      </c>
      <c r="J29" s="109" t="s">
        <v>47</v>
      </c>
      <c r="K29" s="109">
        <f t="shared" si="4"/>
        <v>1</v>
      </c>
      <c r="L29" s="113">
        <v>4000000.0</v>
      </c>
      <c r="M29" s="113">
        <v>0.0</v>
      </c>
      <c r="N29" s="113">
        <v>0.0</v>
      </c>
      <c r="O29" s="113" t="str">
        <f t="shared" si="5"/>
        <v>-</v>
      </c>
      <c r="P29" s="113" t="str">
        <f t="shared" si="6"/>
        <v>-</v>
      </c>
      <c r="Q29" s="113">
        <f t="shared" si="7"/>
        <v>4000000</v>
      </c>
      <c r="R29" s="72"/>
      <c r="S29" s="72"/>
      <c r="T29" s="72"/>
      <c r="U29" s="72"/>
      <c r="V29" s="9"/>
      <c r="W29" s="9"/>
    </row>
    <row r="30" ht="59.25" customHeight="1" outlineLevel="1">
      <c r="A30" s="1207" t="s">
        <v>36</v>
      </c>
      <c r="B30" s="1216" t="s">
        <v>67</v>
      </c>
      <c r="C30" s="103" t="s">
        <v>38</v>
      </c>
      <c r="D30" s="1209" t="s">
        <v>68</v>
      </c>
      <c r="E30" s="105" t="s">
        <v>40</v>
      </c>
      <c r="F30" s="1210" t="s">
        <v>21</v>
      </c>
      <c r="G30" s="104" t="s">
        <v>50</v>
      </c>
      <c r="H30" s="1211" t="s">
        <v>2422</v>
      </c>
      <c r="I30" s="1212" t="b">
        <v>1</v>
      </c>
      <c r="J30" s="109" t="s">
        <v>7</v>
      </c>
      <c r="K30" s="109">
        <f t="shared" si="4"/>
        <v>1</v>
      </c>
      <c r="L30" s="113">
        <v>1.0E7</v>
      </c>
      <c r="M30" s="113">
        <v>50000.0</v>
      </c>
      <c r="N30" s="113">
        <v>3000.0</v>
      </c>
      <c r="O30" s="113">
        <f t="shared" si="5"/>
        <v>200</v>
      </c>
      <c r="P30" s="113">
        <f t="shared" si="6"/>
        <v>3333.333333</v>
      </c>
      <c r="Q30" s="113">
        <f t="shared" si="7"/>
        <v>10000000</v>
      </c>
      <c r="R30" s="1213" t="s">
        <v>2423</v>
      </c>
      <c r="S30" s="1214" t="s">
        <v>71</v>
      </c>
      <c r="T30" s="115"/>
      <c r="U30" s="105" t="s">
        <v>45</v>
      </c>
      <c r="V30" s="87"/>
      <c r="W30" s="87"/>
    </row>
    <row r="31" ht="59.25" customHeight="1" outlineLevel="1">
      <c r="A31" s="72"/>
      <c r="B31" s="72"/>
      <c r="C31" s="72"/>
      <c r="D31" s="72"/>
      <c r="E31" s="72"/>
      <c r="F31" s="72"/>
      <c r="G31" s="72"/>
      <c r="H31" s="1215" t="s">
        <v>2424</v>
      </c>
      <c r="I31" s="1212" t="b">
        <v>1</v>
      </c>
      <c r="J31" s="109" t="s">
        <v>47</v>
      </c>
      <c r="K31" s="109">
        <f t="shared" si="4"/>
        <v>1</v>
      </c>
      <c r="L31" s="113">
        <v>5000000.0</v>
      </c>
      <c r="M31" s="113">
        <v>0.0</v>
      </c>
      <c r="N31" s="113">
        <v>0.0</v>
      </c>
      <c r="O31" s="113" t="str">
        <f t="shared" si="5"/>
        <v>-</v>
      </c>
      <c r="P31" s="113" t="str">
        <f t="shared" si="6"/>
        <v>-</v>
      </c>
      <c r="Q31" s="113">
        <f t="shared" si="7"/>
        <v>5000000</v>
      </c>
      <c r="R31" s="72"/>
      <c r="S31" s="72"/>
      <c r="T31" s="72"/>
      <c r="U31" s="72"/>
      <c r="V31" s="9"/>
      <c r="W31" s="9"/>
    </row>
    <row r="32" ht="59.25" customHeight="1" outlineLevel="1">
      <c r="A32" s="1207" t="s">
        <v>73</v>
      </c>
      <c r="B32" s="1217" t="s">
        <v>74</v>
      </c>
      <c r="C32" s="103" t="s">
        <v>38</v>
      </c>
      <c r="D32" s="1209" t="s">
        <v>75</v>
      </c>
      <c r="E32" s="105" t="s">
        <v>40</v>
      </c>
      <c r="F32" s="1210" t="s">
        <v>21</v>
      </c>
      <c r="G32" s="104" t="s">
        <v>50</v>
      </c>
      <c r="H32" s="1211" t="s">
        <v>2425</v>
      </c>
      <c r="I32" s="1212" t="b">
        <v>1</v>
      </c>
      <c r="J32" s="109" t="s">
        <v>7</v>
      </c>
      <c r="K32" s="109">
        <f t="shared" si="4"/>
        <v>1</v>
      </c>
      <c r="L32" s="113">
        <v>3.0E7</v>
      </c>
      <c r="M32" s="113">
        <v>120000.0</v>
      </c>
      <c r="N32" s="113">
        <v>4500.0</v>
      </c>
      <c r="O32" s="113">
        <f t="shared" si="5"/>
        <v>250</v>
      </c>
      <c r="P32" s="113">
        <f t="shared" si="6"/>
        <v>6666.666667</v>
      </c>
      <c r="Q32" s="113">
        <f t="shared" si="7"/>
        <v>30000000</v>
      </c>
      <c r="R32" s="1213" t="s">
        <v>2426</v>
      </c>
      <c r="S32" s="1218" t="s">
        <v>78</v>
      </c>
      <c r="T32" s="1214" t="s">
        <v>79</v>
      </c>
      <c r="U32" s="105" t="s">
        <v>45</v>
      </c>
      <c r="V32" s="9"/>
      <c r="W32" s="9"/>
    </row>
    <row r="33" ht="59.25" customHeight="1" outlineLevel="1">
      <c r="A33" s="72"/>
      <c r="B33" s="72"/>
      <c r="C33" s="72"/>
      <c r="D33" s="72"/>
      <c r="E33" s="72"/>
      <c r="F33" s="72"/>
      <c r="G33" s="72"/>
      <c r="H33" s="1215" t="s">
        <v>2427</v>
      </c>
      <c r="I33" s="1212" t="b">
        <v>1</v>
      </c>
      <c r="J33" s="109" t="s">
        <v>47</v>
      </c>
      <c r="K33" s="109">
        <f t="shared" si="4"/>
        <v>1</v>
      </c>
      <c r="L33" s="113">
        <v>1.7E7</v>
      </c>
      <c r="M33" s="113">
        <v>0.0</v>
      </c>
      <c r="N33" s="113">
        <v>0.0</v>
      </c>
      <c r="O33" s="113" t="s">
        <v>81</v>
      </c>
      <c r="P33" s="113" t="s">
        <v>81</v>
      </c>
      <c r="Q33" s="113">
        <f t="shared" si="7"/>
        <v>17000000</v>
      </c>
      <c r="R33" s="72"/>
      <c r="S33" s="72"/>
      <c r="T33" s="72"/>
      <c r="U33" s="72"/>
      <c r="V33" s="9"/>
      <c r="W33" s="9"/>
    </row>
    <row r="34" ht="59.25" customHeight="1" outlineLevel="1">
      <c r="A34" s="1207" t="s">
        <v>73</v>
      </c>
      <c r="B34" s="1217" t="s">
        <v>89</v>
      </c>
      <c r="C34" s="103" t="s">
        <v>38</v>
      </c>
      <c r="D34" s="1209" t="s">
        <v>90</v>
      </c>
      <c r="E34" s="105" t="s">
        <v>40</v>
      </c>
      <c r="F34" s="1210" t="s">
        <v>21</v>
      </c>
      <c r="G34" s="104" t="s">
        <v>50</v>
      </c>
      <c r="H34" s="1211" t="s">
        <v>2428</v>
      </c>
      <c r="I34" s="1212" t="b">
        <v>1</v>
      </c>
      <c r="J34" s="109" t="s">
        <v>7</v>
      </c>
      <c r="K34" s="109">
        <f t="shared" si="4"/>
        <v>1</v>
      </c>
      <c r="L34" s="113">
        <v>1.7E7</v>
      </c>
      <c r="M34" s="113">
        <v>100000.0</v>
      </c>
      <c r="N34" s="113">
        <v>4000.0</v>
      </c>
      <c r="O34" s="113">
        <f t="shared" ref="O34:O45" si="8">IFERROR(Q34/M34,"-")</f>
        <v>170</v>
      </c>
      <c r="P34" s="113">
        <f t="shared" ref="P34:P45" si="9">IFERROR(Q34/N34,"-")</f>
        <v>4250</v>
      </c>
      <c r="Q34" s="113">
        <f t="shared" si="7"/>
        <v>17000000</v>
      </c>
      <c r="R34" s="1213" t="s">
        <v>2429</v>
      </c>
      <c r="S34" s="1214" t="s">
        <v>93</v>
      </c>
      <c r="T34" s="1214" t="s">
        <v>79</v>
      </c>
      <c r="U34" s="105" t="s">
        <v>45</v>
      </c>
      <c r="V34" s="9"/>
      <c r="W34" s="9"/>
    </row>
    <row r="35" ht="59.25" customHeight="1" outlineLevel="1">
      <c r="A35" s="72"/>
      <c r="B35" s="72"/>
      <c r="C35" s="72"/>
      <c r="D35" s="72"/>
      <c r="E35" s="72"/>
      <c r="F35" s="72"/>
      <c r="G35" s="72"/>
      <c r="H35" s="1215" t="s">
        <v>2430</v>
      </c>
      <c r="I35" s="1212" t="b">
        <v>1</v>
      </c>
      <c r="J35" s="109" t="s">
        <v>47</v>
      </c>
      <c r="K35" s="109">
        <f t="shared" si="4"/>
        <v>1</v>
      </c>
      <c r="L35" s="113">
        <v>7000000.0</v>
      </c>
      <c r="M35" s="113">
        <v>0.0</v>
      </c>
      <c r="N35" s="113">
        <v>0.0</v>
      </c>
      <c r="O35" s="113" t="str">
        <f t="shared" si="8"/>
        <v>-</v>
      </c>
      <c r="P35" s="113" t="str">
        <f t="shared" si="9"/>
        <v>-</v>
      </c>
      <c r="Q35" s="113">
        <f t="shared" si="7"/>
        <v>7000000</v>
      </c>
      <c r="R35" s="72"/>
      <c r="S35" s="72"/>
      <c r="T35" s="72"/>
      <c r="U35" s="72"/>
      <c r="V35" s="9"/>
      <c r="W35" s="9"/>
    </row>
    <row r="36" ht="59.25" customHeight="1" outlineLevel="1">
      <c r="A36" s="1207" t="s">
        <v>109</v>
      </c>
      <c r="B36" s="102" t="s">
        <v>110</v>
      </c>
      <c r="C36" s="103" t="s">
        <v>38</v>
      </c>
      <c r="D36" s="104" t="s">
        <v>111</v>
      </c>
      <c r="E36" s="105" t="s">
        <v>40</v>
      </c>
      <c r="F36" s="106" t="s">
        <v>112</v>
      </c>
      <c r="G36" s="104" t="s">
        <v>105</v>
      </c>
      <c r="H36" s="1211" t="s">
        <v>2431</v>
      </c>
      <c r="I36" s="1219" t="b">
        <v>1</v>
      </c>
      <c r="J36" s="109" t="s">
        <v>7</v>
      </c>
      <c r="K36" s="110">
        <f t="shared" si="4"/>
        <v>1</v>
      </c>
      <c r="L36" s="113">
        <v>1.9E7</v>
      </c>
      <c r="M36" s="112">
        <v>65000.0</v>
      </c>
      <c r="N36" s="112">
        <v>3000.0</v>
      </c>
      <c r="O36" s="112">
        <f t="shared" si="8"/>
        <v>292.3076923</v>
      </c>
      <c r="P36" s="112">
        <f t="shared" si="9"/>
        <v>6333.333333</v>
      </c>
      <c r="Q36" s="113">
        <f t="shared" si="7"/>
        <v>19000000</v>
      </c>
      <c r="R36" s="1213" t="s">
        <v>2432</v>
      </c>
      <c r="S36" s="115"/>
      <c r="T36" s="115"/>
      <c r="U36" s="105" t="s">
        <v>45</v>
      </c>
      <c r="V36" s="9"/>
      <c r="W36" s="9"/>
    </row>
    <row r="37" ht="59.25" customHeight="1" outlineLevel="1">
      <c r="A37" s="72"/>
      <c r="B37" s="72"/>
      <c r="C37" s="72"/>
      <c r="D37" s="72"/>
      <c r="E37" s="72"/>
      <c r="F37" s="72"/>
      <c r="G37" s="72"/>
      <c r="H37" s="1215" t="s">
        <v>2433</v>
      </c>
      <c r="I37" s="1219" t="b">
        <v>1</v>
      </c>
      <c r="J37" s="110" t="s">
        <v>47</v>
      </c>
      <c r="K37" s="110">
        <f t="shared" si="4"/>
        <v>1</v>
      </c>
      <c r="L37" s="113">
        <v>6000000.0</v>
      </c>
      <c r="M37" s="112">
        <v>0.0</v>
      </c>
      <c r="N37" s="112">
        <v>0.0</v>
      </c>
      <c r="O37" s="112" t="str">
        <f t="shared" si="8"/>
        <v>-</v>
      </c>
      <c r="P37" s="112" t="str">
        <f t="shared" si="9"/>
        <v>-</v>
      </c>
      <c r="Q37" s="113">
        <f t="shared" si="7"/>
        <v>6000000</v>
      </c>
      <c r="R37" s="72"/>
      <c r="S37" s="72"/>
      <c r="T37" s="72"/>
      <c r="U37" s="72"/>
      <c r="V37" s="9"/>
      <c r="W37" s="9"/>
    </row>
    <row r="38" ht="59.25" customHeight="1" outlineLevel="1">
      <c r="A38" s="101" t="s">
        <v>101</v>
      </c>
      <c r="B38" s="102" t="s">
        <v>2304</v>
      </c>
      <c r="C38" s="103" t="s">
        <v>38</v>
      </c>
      <c r="D38" s="104" t="s">
        <v>2305</v>
      </c>
      <c r="E38" s="105" t="s">
        <v>40</v>
      </c>
      <c r="F38" s="106" t="s">
        <v>2306</v>
      </c>
      <c r="G38" s="104" t="s">
        <v>105</v>
      </c>
      <c r="H38" s="107" t="s">
        <v>2434</v>
      </c>
      <c r="I38" s="108" t="b">
        <v>1</v>
      </c>
      <c r="J38" s="109" t="s">
        <v>7</v>
      </c>
      <c r="K38" s="110">
        <f t="shared" si="4"/>
        <v>1</v>
      </c>
      <c r="L38" s="111">
        <v>1.5E7</v>
      </c>
      <c r="M38" s="112">
        <v>65000.0</v>
      </c>
      <c r="N38" s="112">
        <v>3000.0</v>
      </c>
      <c r="O38" s="112">
        <f t="shared" si="8"/>
        <v>230.7692308</v>
      </c>
      <c r="P38" s="112">
        <f t="shared" si="9"/>
        <v>5000</v>
      </c>
      <c r="Q38" s="113">
        <f t="shared" si="7"/>
        <v>15000000</v>
      </c>
      <c r="R38" s="114" t="s">
        <v>2435</v>
      </c>
      <c r="S38" s="115"/>
      <c r="T38" s="115"/>
      <c r="U38" s="1220" t="s">
        <v>122</v>
      </c>
      <c r="V38" s="9"/>
      <c r="W38" s="9"/>
    </row>
    <row r="39" ht="59.25" customHeight="1" outlineLevel="1">
      <c r="A39" s="72"/>
      <c r="B39" s="72"/>
      <c r="C39" s="72"/>
      <c r="D39" s="72"/>
      <c r="E39" s="72"/>
      <c r="F39" s="72"/>
      <c r="G39" s="72"/>
      <c r="H39" s="107" t="s">
        <v>2436</v>
      </c>
      <c r="I39" s="108" t="b">
        <v>1</v>
      </c>
      <c r="J39" s="110" t="s">
        <v>47</v>
      </c>
      <c r="K39" s="110">
        <f t="shared" si="4"/>
        <v>1</v>
      </c>
      <c r="L39" s="111">
        <v>4000000.0</v>
      </c>
      <c r="M39" s="112">
        <v>0.0</v>
      </c>
      <c r="N39" s="112">
        <v>0.0</v>
      </c>
      <c r="O39" s="112" t="str">
        <f t="shared" si="8"/>
        <v>-</v>
      </c>
      <c r="P39" s="112" t="str">
        <f t="shared" si="9"/>
        <v>-</v>
      </c>
      <c r="Q39" s="113">
        <f t="shared" si="7"/>
        <v>4000000</v>
      </c>
      <c r="R39" s="72"/>
      <c r="S39" s="72"/>
      <c r="T39" s="72"/>
      <c r="U39" s="72"/>
      <c r="V39" s="9"/>
      <c r="W39" s="9"/>
    </row>
    <row r="40" ht="59.25" customHeight="1" outlineLevel="1">
      <c r="A40" s="101" t="s">
        <v>101</v>
      </c>
      <c r="B40" s="102" t="s">
        <v>2310</v>
      </c>
      <c r="C40" s="103" t="s">
        <v>38</v>
      </c>
      <c r="D40" s="104" t="s">
        <v>2311</v>
      </c>
      <c r="E40" s="105" t="s">
        <v>40</v>
      </c>
      <c r="F40" s="106" t="s">
        <v>2312</v>
      </c>
      <c r="G40" s="104" t="s">
        <v>105</v>
      </c>
      <c r="H40" s="107" t="s">
        <v>2437</v>
      </c>
      <c r="I40" s="108" t="b">
        <v>0</v>
      </c>
      <c r="J40" s="109" t="s">
        <v>7</v>
      </c>
      <c r="K40" s="110">
        <f t="shared" si="4"/>
        <v>0</v>
      </c>
      <c r="L40" s="111">
        <v>1.5E7</v>
      </c>
      <c r="M40" s="112">
        <v>65000.0</v>
      </c>
      <c r="N40" s="112">
        <v>3000.0</v>
      </c>
      <c r="O40" s="112">
        <f t="shared" si="8"/>
        <v>0</v>
      </c>
      <c r="P40" s="112">
        <f t="shared" si="9"/>
        <v>0</v>
      </c>
      <c r="Q40" s="113">
        <f t="shared" si="7"/>
        <v>0</v>
      </c>
      <c r="R40" s="114" t="s">
        <v>2438</v>
      </c>
      <c r="S40" s="115"/>
      <c r="T40" s="115"/>
      <c r="U40" s="1220" t="s">
        <v>122</v>
      </c>
      <c r="V40" s="9"/>
      <c r="W40" s="9"/>
    </row>
    <row r="41" ht="59.25" customHeight="1" outlineLevel="1">
      <c r="A41" s="72"/>
      <c r="B41" s="72"/>
      <c r="C41" s="72"/>
      <c r="D41" s="72"/>
      <c r="E41" s="72"/>
      <c r="F41" s="72"/>
      <c r="G41" s="72"/>
      <c r="H41" s="107" t="s">
        <v>2439</v>
      </c>
      <c r="I41" s="108" t="b">
        <v>0</v>
      </c>
      <c r="J41" s="110" t="s">
        <v>47</v>
      </c>
      <c r="K41" s="110">
        <f t="shared" si="4"/>
        <v>0</v>
      </c>
      <c r="L41" s="111">
        <v>4000000.0</v>
      </c>
      <c r="M41" s="112">
        <v>0.0</v>
      </c>
      <c r="N41" s="112">
        <v>0.0</v>
      </c>
      <c r="O41" s="112" t="str">
        <f t="shared" si="8"/>
        <v>-</v>
      </c>
      <c r="P41" s="112" t="str">
        <f t="shared" si="9"/>
        <v>-</v>
      </c>
      <c r="Q41" s="113">
        <f t="shared" si="7"/>
        <v>0</v>
      </c>
      <c r="R41" s="72"/>
      <c r="S41" s="72"/>
      <c r="T41" s="72"/>
      <c r="U41" s="72"/>
      <c r="V41" s="9"/>
      <c r="W41" s="9"/>
    </row>
    <row r="42" ht="59.25" customHeight="1" outlineLevel="1">
      <c r="A42" s="101" t="s">
        <v>101</v>
      </c>
      <c r="B42" s="102" t="s">
        <v>2316</v>
      </c>
      <c r="C42" s="103" t="s">
        <v>38</v>
      </c>
      <c r="D42" s="104" t="s">
        <v>2317</v>
      </c>
      <c r="E42" s="105" t="s">
        <v>40</v>
      </c>
      <c r="F42" s="106" t="s">
        <v>2318</v>
      </c>
      <c r="G42" s="104" t="s">
        <v>105</v>
      </c>
      <c r="H42" s="107" t="s">
        <v>2440</v>
      </c>
      <c r="I42" s="108" t="b">
        <v>0</v>
      </c>
      <c r="J42" s="109" t="s">
        <v>7</v>
      </c>
      <c r="K42" s="110">
        <f t="shared" si="4"/>
        <v>0</v>
      </c>
      <c r="L42" s="111">
        <v>1.5E7</v>
      </c>
      <c r="M42" s="112">
        <v>65000.0</v>
      </c>
      <c r="N42" s="112">
        <v>3000.0</v>
      </c>
      <c r="O42" s="112">
        <f t="shared" si="8"/>
        <v>0</v>
      </c>
      <c r="P42" s="112">
        <f t="shared" si="9"/>
        <v>0</v>
      </c>
      <c r="Q42" s="113">
        <f t="shared" si="7"/>
        <v>0</v>
      </c>
      <c r="R42" s="114" t="s">
        <v>2441</v>
      </c>
      <c r="S42" s="115"/>
      <c r="T42" s="115"/>
      <c r="U42" s="1220" t="s">
        <v>122</v>
      </c>
      <c r="V42" s="9"/>
      <c r="W42" s="9"/>
    </row>
    <row r="43" ht="59.25" customHeight="1" outlineLevel="1">
      <c r="A43" s="72"/>
      <c r="B43" s="72"/>
      <c r="C43" s="72"/>
      <c r="D43" s="72"/>
      <c r="E43" s="72"/>
      <c r="F43" s="72"/>
      <c r="G43" s="72"/>
      <c r="H43" s="107" t="s">
        <v>2442</v>
      </c>
      <c r="I43" s="108" t="b">
        <v>0</v>
      </c>
      <c r="J43" s="110" t="s">
        <v>47</v>
      </c>
      <c r="K43" s="110">
        <f t="shared" si="4"/>
        <v>0</v>
      </c>
      <c r="L43" s="111">
        <v>4000000.0</v>
      </c>
      <c r="M43" s="112">
        <v>0.0</v>
      </c>
      <c r="N43" s="112">
        <v>0.0</v>
      </c>
      <c r="O43" s="112" t="str">
        <f t="shared" si="8"/>
        <v>-</v>
      </c>
      <c r="P43" s="112" t="str">
        <f t="shared" si="9"/>
        <v>-</v>
      </c>
      <c r="Q43" s="113">
        <f t="shared" si="7"/>
        <v>0</v>
      </c>
      <c r="R43" s="72"/>
      <c r="S43" s="72"/>
      <c r="T43" s="72"/>
      <c r="U43" s="72"/>
      <c r="V43" s="9"/>
      <c r="W43" s="9"/>
    </row>
    <row r="44" ht="59.25" customHeight="1" outlineLevel="1">
      <c r="A44" s="101" t="s">
        <v>101</v>
      </c>
      <c r="B44" s="102" t="s">
        <v>102</v>
      </c>
      <c r="C44" s="103" t="s">
        <v>38</v>
      </c>
      <c r="D44" s="104" t="s">
        <v>103</v>
      </c>
      <c r="E44" s="105" t="s">
        <v>40</v>
      </c>
      <c r="F44" s="106" t="s">
        <v>104</v>
      </c>
      <c r="G44" s="104" t="s">
        <v>105</v>
      </c>
      <c r="H44" s="107" t="s">
        <v>2443</v>
      </c>
      <c r="I44" s="108" t="b">
        <v>0</v>
      </c>
      <c r="J44" s="109" t="s">
        <v>7</v>
      </c>
      <c r="K44" s="110">
        <f t="shared" si="4"/>
        <v>0</v>
      </c>
      <c r="L44" s="111">
        <v>1.5E7</v>
      </c>
      <c r="M44" s="112">
        <v>65000.0</v>
      </c>
      <c r="N44" s="112">
        <v>3000.0</v>
      </c>
      <c r="O44" s="112">
        <f t="shared" si="8"/>
        <v>0</v>
      </c>
      <c r="P44" s="112">
        <f t="shared" si="9"/>
        <v>0</v>
      </c>
      <c r="Q44" s="113">
        <f t="shared" si="7"/>
        <v>0</v>
      </c>
      <c r="R44" s="114" t="s">
        <v>2444</v>
      </c>
      <c r="S44" s="115"/>
      <c r="T44" s="115"/>
      <c r="U44" s="1220" t="s">
        <v>122</v>
      </c>
      <c r="V44" s="9"/>
      <c r="W44" s="9"/>
    </row>
    <row r="45" ht="59.25" customHeight="1" outlineLevel="1">
      <c r="A45" s="72"/>
      <c r="B45" s="72"/>
      <c r="C45" s="72"/>
      <c r="D45" s="72"/>
      <c r="E45" s="72"/>
      <c r="F45" s="72"/>
      <c r="G45" s="72"/>
      <c r="H45" s="107" t="s">
        <v>2445</v>
      </c>
      <c r="I45" s="108" t="b">
        <v>0</v>
      </c>
      <c r="J45" s="110" t="s">
        <v>47</v>
      </c>
      <c r="K45" s="110">
        <f t="shared" si="4"/>
        <v>0</v>
      </c>
      <c r="L45" s="111">
        <v>4000000.0</v>
      </c>
      <c r="M45" s="112">
        <v>0.0</v>
      </c>
      <c r="N45" s="112">
        <v>0.0</v>
      </c>
      <c r="O45" s="112" t="str">
        <f t="shared" si="8"/>
        <v>-</v>
      </c>
      <c r="P45" s="112" t="str">
        <f t="shared" si="9"/>
        <v>-</v>
      </c>
      <c r="Q45" s="113">
        <f t="shared" si="7"/>
        <v>0</v>
      </c>
      <c r="R45" s="72"/>
      <c r="S45" s="72"/>
      <c r="T45" s="72"/>
      <c r="U45" s="72"/>
      <c r="V45" s="9"/>
      <c r="W45" s="9"/>
    </row>
    <row r="46" ht="30.0" customHeight="1">
      <c r="A46" s="1200" t="s">
        <v>134</v>
      </c>
      <c r="B46" s="56"/>
      <c r="C46" s="1201"/>
      <c r="D46" s="1202"/>
      <c r="E46" s="1203"/>
      <c r="F46" s="1203"/>
      <c r="G46" s="1203"/>
      <c r="H46" s="1203"/>
      <c r="I46" s="1203"/>
      <c r="J46" s="1204" t="s">
        <v>7</v>
      </c>
      <c r="K46" s="1204">
        <f>SUMIFS(K49:K87,J49:J87,"Video Post")</f>
        <v>18</v>
      </c>
      <c r="L46" s="1205"/>
      <c r="M46" s="1206">
        <f t="shared" ref="M46:N46" si="10">sumif($I$49:$I$87,"TRUE",M49:M87)</f>
        <v>516500</v>
      </c>
      <c r="N46" s="1206">
        <f t="shared" si="10"/>
        <v>30000</v>
      </c>
      <c r="O46" s="1205"/>
      <c r="P46" s="1205"/>
      <c r="Q46" s="1206">
        <f>sum(Q49:Q87)</f>
        <v>163000000</v>
      </c>
      <c r="R46" s="1221"/>
      <c r="S46" s="1221"/>
      <c r="T46" s="1221"/>
      <c r="U46" s="1221"/>
      <c r="V46" s="69"/>
      <c r="W46" s="69"/>
    </row>
    <row r="47" ht="30.0" customHeight="1">
      <c r="A47" s="70"/>
      <c r="B47" s="71"/>
      <c r="C47" s="1201"/>
      <c r="D47" s="1202"/>
      <c r="E47" s="1203"/>
      <c r="F47" s="1203"/>
      <c r="G47" s="1203"/>
      <c r="H47" s="1203"/>
      <c r="I47" s="1203"/>
      <c r="J47" s="1204" t="s">
        <v>8</v>
      </c>
      <c r="K47" s="1204">
        <f>SUMIFS(K49:K87,J49:J87,"Tháng")</f>
        <v>18</v>
      </c>
      <c r="L47" s="1205"/>
      <c r="M47" s="72"/>
      <c r="N47" s="72"/>
      <c r="O47" s="1205"/>
      <c r="P47" s="1205"/>
      <c r="Q47" s="72"/>
      <c r="R47" s="1221"/>
      <c r="S47" s="1221"/>
      <c r="T47" s="1221"/>
      <c r="U47" s="1221"/>
      <c r="V47" s="69"/>
      <c r="W47" s="69"/>
    </row>
    <row r="48" outlineLevel="1">
      <c r="A48" s="1222" t="s">
        <v>135</v>
      </c>
      <c r="B48" s="1223" t="s">
        <v>136</v>
      </c>
      <c r="C48" s="1224"/>
      <c r="D48" s="1225"/>
      <c r="E48" s="1224"/>
      <c r="F48" s="1226"/>
      <c r="G48" s="1226"/>
      <c r="H48" s="1226"/>
      <c r="I48" s="1227" t="b">
        <v>0</v>
      </c>
      <c r="J48" s="1228"/>
      <c r="K48" s="1228"/>
      <c r="L48" s="1228"/>
      <c r="M48" s="1228"/>
      <c r="N48" s="1228"/>
      <c r="O48" s="1228"/>
      <c r="P48" s="1228"/>
      <c r="Q48" s="1228"/>
      <c r="R48" s="1226"/>
      <c r="S48" s="1228"/>
      <c r="T48" s="1228"/>
      <c r="U48" s="1224"/>
      <c r="V48" s="146"/>
      <c r="W48" s="146"/>
    </row>
    <row r="49" ht="43.5" customHeight="1" outlineLevel="1">
      <c r="A49" s="1207" t="s">
        <v>45</v>
      </c>
      <c r="B49" s="1229" t="s">
        <v>137</v>
      </c>
      <c r="C49" s="103" t="s">
        <v>38</v>
      </c>
      <c r="D49" s="1209" t="s">
        <v>138</v>
      </c>
      <c r="E49" s="105" t="s">
        <v>40</v>
      </c>
      <c r="F49" s="1210" t="s">
        <v>139</v>
      </c>
      <c r="G49" s="104" t="s">
        <v>50</v>
      </c>
      <c r="H49" s="1211" t="s">
        <v>2446</v>
      </c>
      <c r="I49" s="1212" t="b">
        <v>1</v>
      </c>
      <c r="J49" s="109" t="s">
        <v>7</v>
      </c>
      <c r="K49" s="109">
        <f t="shared" ref="K49:K64" si="11">if(I49=True,1,if(I49=False,0))</f>
        <v>1</v>
      </c>
      <c r="L49" s="113">
        <v>6000000.0</v>
      </c>
      <c r="M49" s="113">
        <v>30000.0</v>
      </c>
      <c r="N49" s="113">
        <v>2000.0</v>
      </c>
      <c r="O49" s="113">
        <f>IFERROR(Q49/M49,"-")</f>
        <v>200</v>
      </c>
      <c r="P49" s="113">
        <f>IFERROR(Q49/N49,"-")</f>
        <v>3000</v>
      </c>
      <c r="Q49" s="113">
        <f t="shared" ref="Q49:Q64" si="12">iferror(L49*K49,"-")</f>
        <v>6000000</v>
      </c>
      <c r="R49" s="1213" t="s">
        <v>2447</v>
      </c>
      <c r="S49" s="1214" t="s">
        <v>142</v>
      </c>
      <c r="T49" s="115"/>
      <c r="U49" s="105" t="s">
        <v>45</v>
      </c>
      <c r="V49" s="9"/>
      <c r="W49" s="9"/>
    </row>
    <row r="50" ht="43.5" customHeight="1" outlineLevel="1">
      <c r="A50" s="72"/>
      <c r="B50" s="72"/>
      <c r="C50" s="72"/>
      <c r="D50" s="72"/>
      <c r="E50" s="72"/>
      <c r="F50" s="72"/>
      <c r="G50" s="72"/>
      <c r="H50" s="1215" t="s">
        <v>2448</v>
      </c>
      <c r="I50" s="1212" t="b">
        <v>1</v>
      </c>
      <c r="J50" s="109" t="s">
        <v>47</v>
      </c>
      <c r="K50" s="109">
        <f t="shared" si="11"/>
        <v>1</v>
      </c>
      <c r="L50" s="113">
        <v>2000000.0</v>
      </c>
      <c r="M50" s="113">
        <v>0.0</v>
      </c>
      <c r="N50" s="113">
        <v>0.0</v>
      </c>
      <c r="O50" s="113" t="s">
        <v>81</v>
      </c>
      <c r="P50" s="113" t="s">
        <v>81</v>
      </c>
      <c r="Q50" s="113">
        <f t="shared" si="12"/>
        <v>2000000</v>
      </c>
      <c r="R50" s="72"/>
      <c r="S50" s="72"/>
      <c r="T50" s="72"/>
      <c r="U50" s="72"/>
      <c r="V50" s="9"/>
      <c r="W50" s="9"/>
    </row>
    <row r="51" ht="43.5" customHeight="1" outlineLevel="1">
      <c r="A51" s="1207" t="s">
        <v>45</v>
      </c>
      <c r="B51" s="1216" t="s">
        <v>144</v>
      </c>
      <c r="C51" s="103" t="s">
        <v>38</v>
      </c>
      <c r="D51" s="1209" t="s">
        <v>145</v>
      </c>
      <c r="E51" s="105" t="s">
        <v>146</v>
      </c>
      <c r="F51" s="1210" t="s">
        <v>139</v>
      </c>
      <c r="G51" s="104" t="s">
        <v>50</v>
      </c>
      <c r="H51" s="1211" t="s">
        <v>2449</v>
      </c>
      <c r="I51" s="1212" t="b">
        <v>1</v>
      </c>
      <c r="J51" s="109" t="s">
        <v>7</v>
      </c>
      <c r="K51" s="109">
        <f t="shared" si="11"/>
        <v>1</v>
      </c>
      <c r="L51" s="113">
        <v>5000000.0</v>
      </c>
      <c r="M51" s="113">
        <v>20000.0</v>
      </c>
      <c r="N51" s="113">
        <v>1500.0</v>
      </c>
      <c r="O51" s="113">
        <f t="shared" ref="O51:O64" si="13">IFERROR(Q51/M51,"-")</f>
        <v>250</v>
      </c>
      <c r="P51" s="113">
        <f t="shared" ref="P51:P64" si="14">IFERROR(Q51/N51,"-")</f>
        <v>3333.333333</v>
      </c>
      <c r="Q51" s="113">
        <f t="shared" si="12"/>
        <v>5000000</v>
      </c>
      <c r="R51" s="1213" t="s">
        <v>2450</v>
      </c>
      <c r="S51" s="1214" t="s">
        <v>149</v>
      </c>
      <c r="T51" s="115"/>
      <c r="U51" s="105" t="s">
        <v>45</v>
      </c>
      <c r="V51" s="87"/>
      <c r="W51" s="87"/>
    </row>
    <row r="52" ht="43.5" customHeight="1" outlineLevel="1">
      <c r="A52" s="72"/>
      <c r="B52" s="72"/>
      <c r="C52" s="72"/>
      <c r="D52" s="72"/>
      <c r="E52" s="72"/>
      <c r="F52" s="72"/>
      <c r="G52" s="72"/>
      <c r="H52" s="1215" t="s">
        <v>2451</v>
      </c>
      <c r="I52" s="1212" t="b">
        <v>1</v>
      </c>
      <c r="J52" s="109" t="s">
        <v>47</v>
      </c>
      <c r="K52" s="109">
        <f t="shared" si="11"/>
        <v>1</v>
      </c>
      <c r="L52" s="113">
        <v>2000000.0</v>
      </c>
      <c r="M52" s="113">
        <v>0.0</v>
      </c>
      <c r="N52" s="113">
        <v>0.0</v>
      </c>
      <c r="O52" s="113" t="str">
        <f t="shared" si="13"/>
        <v>-</v>
      </c>
      <c r="P52" s="113" t="str">
        <f t="shared" si="14"/>
        <v>-</v>
      </c>
      <c r="Q52" s="113">
        <f t="shared" si="12"/>
        <v>2000000</v>
      </c>
      <c r="R52" s="72"/>
      <c r="S52" s="72"/>
      <c r="T52" s="72"/>
      <c r="U52" s="72"/>
      <c r="V52" s="9"/>
      <c r="W52" s="9"/>
    </row>
    <row r="53" ht="43.5" customHeight="1" outlineLevel="1">
      <c r="A53" s="1207" t="s">
        <v>45</v>
      </c>
      <c r="B53" s="1229" t="s">
        <v>151</v>
      </c>
      <c r="C53" s="103" t="s">
        <v>38</v>
      </c>
      <c r="D53" s="1209" t="s">
        <v>152</v>
      </c>
      <c r="E53" s="105" t="s">
        <v>146</v>
      </c>
      <c r="F53" s="1210" t="s">
        <v>139</v>
      </c>
      <c r="G53" s="104" t="s">
        <v>50</v>
      </c>
      <c r="H53" s="1211" t="s">
        <v>2452</v>
      </c>
      <c r="I53" s="1212" t="b">
        <v>1</v>
      </c>
      <c r="J53" s="109" t="s">
        <v>7</v>
      </c>
      <c r="K53" s="109">
        <f t="shared" si="11"/>
        <v>1</v>
      </c>
      <c r="L53" s="113">
        <v>3000000.0</v>
      </c>
      <c r="M53" s="113">
        <v>20000.0</v>
      </c>
      <c r="N53" s="113">
        <v>1500.0</v>
      </c>
      <c r="O53" s="113">
        <f t="shared" si="13"/>
        <v>150</v>
      </c>
      <c r="P53" s="113">
        <f t="shared" si="14"/>
        <v>2000</v>
      </c>
      <c r="Q53" s="113">
        <f t="shared" si="12"/>
        <v>3000000</v>
      </c>
      <c r="R53" s="1213" t="s">
        <v>2453</v>
      </c>
      <c r="S53" s="1214" t="s">
        <v>155</v>
      </c>
      <c r="T53" s="115"/>
      <c r="U53" s="105" t="s">
        <v>45</v>
      </c>
      <c r="V53" s="9"/>
      <c r="W53" s="9"/>
    </row>
    <row r="54" ht="43.5" customHeight="1" outlineLevel="1">
      <c r="A54" s="72"/>
      <c r="B54" s="72"/>
      <c r="C54" s="72"/>
      <c r="D54" s="72"/>
      <c r="E54" s="72"/>
      <c r="F54" s="72"/>
      <c r="G54" s="72"/>
      <c r="H54" s="1215" t="s">
        <v>2454</v>
      </c>
      <c r="I54" s="1212" t="b">
        <v>1</v>
      </c>
      <c r="J54" s="109" t="s">
        <v>47</v>
      </c>
      <c r="K54" s="109">
        <f t="shared" si="11"/>
        <v>1</v>
      </c>
      <c r="L54" s="113">
        <v>2000000.0</v>
      </c>
      <c r="M54" s="113">
        <v>0.0</v>
      </c>
      <c r="N54" s="113">
        <v>0.0</v>
      </c>
      <c r="O54" s="113" t="str">
        <f t="shared" si="13"/>
        <v>-</v>
      </c>
      <c r="P54" s="113" t="str">
        <f t="shared" si="14"/>
        <v>-</v>
      </c>
      <c r="Q54" s="113">
        <f t="shared" si="12"/>
        <v>2000000</v>
      </c>
      <c r="R54" s="72"/>
      <c r="S54" s="72"/>
      <c r="T54" s="72"/>
      <c r="U54" s="72"/>
      <c r="V54" s="9"/>
      <c r="W54" s="9"/>
    </row>
    <row r="55" ht="43.5" customHeight="1" outlineLevel="1">
      <c r="A55" s="1207" t="s">
        <v>73</v>
      </c>
      <c r="B55" s="1230" t="s">
        <v>163</v>
      </c>
      <c r="C55" s="103" t="s">
        <v>38</v>
      </c>
      <c r="D55" s="1209" t="s">
        <v>164</v>
      </c>
      <c r="E55" s="105" t="s">
        <v>146</v>
      </c>
      <c r="F55" s="1210" t="s">
        <v>21</v>
      </c>
      <c r="G55" s="104" t="s">
        <v>50</v>
      </c>
      <c r="H55" s="1211" t="s">
        <v>2455</v>
      </c>
      <c r="I55" s="1212" t="b">
        <v>1</v>
      </c>
      <c r="J55" s="109" t="s">
        <v>7</v>
      </c>
      <c r="K55" s="109">
        <f t="shared" si="11"/>
        <v>1</v>
      </c>
      <c r="L55" s="113">
        <v>5000000.0</v>
      </c>
      <c r="M55" s="113">
        <v>20000.0</v>
      </c>
      <c r="N55" s="113">
        <v>1500.0</v>
      </c>
      <c r="O55" s="113">
        <f t="shared" si="13"/>
        <v>250</v>
      </c>
      <c r="P55" s="113">
        <f t="shared" si="14"/>
        <v>3333.333333</v>
      </c>
      <c r="Q55" s="113">
        <f t="shared" si="12"/>
        <v>5000000</v>
      </c>
      <c r="R55" s="1213" t="s">
        <v>2456</v>
      </c>
      <c r="S55" s="1214" t="s">
        <v>167</v>
      </c>
      <c r="T55" s="115"/>
      <c r="U55" s="105" t="s">
        <v>45</v>
      </c>
      <c r="V55" s="87"/>
      <c r="W55" s="87"/>
    </row>
    <row r="56" ht="43.5" customHeight="1" outlineLevel="1">
      <c r="A56" s="72"/>
      <c r="B56" s="72"/>
      <c r="C56" s="72"/>
      <c r="D56" s="72"/>
      <c r="E56" s="72"/>
      <c r="F56" s="72"/>
      <c r="G56" s="72"/>
      <c r="H56" s="1215" t="s">
        <v>2457</v>
      </c>
      <c r="I56" s="1212" t="b">
        <v>1</v>
      </c>
      <c r="J56" s="109" t="s">
        <v>47</v>
      </c>
      <c r="K56" s="109">
        <f t="shared" si="11"/>
        <v>1</v>
      </c>
      <c r="L56" s="113">
        <v>3000000.0</v>
      </c>
      <c r="M56" s="113">
        <v>0.0</v>
      </c>
      <c r="N56" s="113">
        <v>0.0</v>
      </c>
      <c r="O56" s="113" t="str">
        <f t="shared" si="13"/>
        <v>-</v>
      </c>
      <c r="P56" s="113" t="str">
        <f t="shared" si="14"/>
        <v>-</v>
      </c>
      <c r="Q56" s="113">
        <f t="shared" si="12"/>
        <v>3000000</v>
      </c>
      <c r="R56" s="72"/>
      <c r="S56" s="72"/>
      <c r="T56" s="72"/>
      <c r="U56" s="72"/>
      <c r="V56" s="9"/>
      <c r="W56" s="9"/>
    </row>
    <row r="57" ht="43.5" customHeight="1" outlineLevel="1">
      <c r="A57" s="1207" t="s">
        <v>73</v>
      </c>
      <c r="B57" s="1217" t="s">
        <v>169</v>
      </c>
      <c r="C57" s="103" t="s">
        <v>38</v>
      </c>
      <c r="D57" s="1209">
        <v>6489.0</v>
      </c>
      <c r="E57" s="105" t="s">
        <v>146</v>
      </c>
      <c r="F57" s="1210" t="s">
        <v>139</v>
      </c>
      <c r="G57" s="104" t="s">
        <v>50</v>
      </c>
      <c r="H57" s="1211" t="s">
        <v>2458</v>
      </c>
      <c r="I57" s="1212" t="b">
        <v>1</v>
      </c>
      <c r="J57" s="109" t="s">
        <v>7</v>
      </c>
      <c r="K57" s="109">
        <f t="shared" si="11"/>
        <v>1</v>
      </c>
      <c r="L57" s="113">
        <v>3000000.0</v>
      </c>
      <c r="M57" s="113">
        <v>15000.0</v>
      </c>
      <c r="N57" s="113">
        <v>1000.0</v>
      </c>
      <c r="O57" s="113">
        <f t="shared" si="13"/>
        <v>200</v>
      </c>
      <c r="P57" s="113">
        <f t="shared" si="14"/>
        <v>3000</v>
      </c>
      <c r="Q57" s="113">
        <f t="shared" si="12"/>
        <v>3000000</v>
      </c>
      <c r="R57" s="1213" t="s">
        <v>2459</v>
      </c>
      <c r="S57" s="1214" t="s">
        <v>172</v>
      </c>
      <c r="T57" s="1214" t="s">
        <v>79</v>
      </c>
      <c r="U57" s="105" t="s">
        <v>45</v>
      </c>
      <c r="V57" s="9"/>
      <c r="W57" s="9"/>
    </row>
    <row r="58" ht="43.5" customHeight="1" outlineLevel="1">
      <c r="A58" s="72"/>
      <c r="B58" s="72"/>
      <c r="C58" s="72"/>
      <c r="D58" s="72"/>
      <c r="E58" s="72"/>
      <c r="F58" s="72"/>
      <c r="G58" s="72"/>
      <c r="H58" s="1215" t="s">
        <v>2460</v>
      </c>
      <c r="I58" s="1212" t="b">
        <v>1</v>
      </c>
      <c r="J58" s="109" t="s">
        <v>47</v>
      </c>
      <c r="K58" s="109">
        <f t="shared" si="11"/>
        <v>1</v>
      </c>
      <c r="L58" s="113">
        <v>2000000.0</v>
      </c>
      <c r="M58" s="113">
        <v>0.0</v>
      </c>
      <c r="N58" s="113">
        <v>0.0</v>
      </c>
      <c r="O58" s="113" t="str">
        <f t="shared" si="13"/>
        <v>-</v>
      </c>
      <c r="P58" s="113" t="str">
        <f t="shared" si="14"/>
        <v>-</v>
      </c>
      <c r="Q58" s="113">
        <f t="shared" si="12"/>
        <v>2000000</v>
      </c>
      <c r="R58" s="72"/>
      <c r="S58" s="72"/>
      <c r="T58" s="72"/>
      <c r="U58" s="72"/>
      <c r="V58" s="9"/>
      <c r="W58" s="9"/>
    </row>
    <row r="59" ht="43.5" customHeight="1" outlineLevel="1">
      <c r="A59" s="1207" t="s">
        <v>109</v>
      </c>
      <c r="B59" s="1231" t="s">
        <v>174</v>
      </c>
      <c r="C59" s="103" t="s">
        <v>38</v>
      </c>
      <c r="D59" s="1209" t="s">
        <v>175</v>
      </c>
      <c r="E59" s="105" t="s">
        <v>146</v>
      </c>
      <c r="F59" s="1210" t="s">
        <v>176</v>
      </c>
      <c r="G59" s="104" t="s">
        <v>50</v>
      </c>
      <c r="H59" s="1211" t="s">
        <v>2461</v>
      </c>
      <c r="I59" s="1219" t="b">
        <v>1</v>
      </c>
      <c r="J59" s="109" t="s">
        <v>7</v>
      </c>
      <c r="K59" s="109">
        <f t="shared" si="11"/>
        <v>1</v>
      </c>
      <c r="L59" s="113">
        <v>1.1E7</v>
      </c>
      <c r="M59" s="113">
        <v>46000.0</v>
      </c>
      <c r="N59" s="113">
        <v>2000.0</v>
      </c>
      <c r="O59" s="113">
        <f t="shared" si="13"/>
        <v>239.1304348</v>
      </c>
      <c r="P59" s="113">
        <f t="shared" si="14"/>
        <v>5500</v>
      </c>
      <c r="Q59" s="113">
        <f t="shared" si="12"/>
        <v>11000000</v>
      </c>
      <c r="R59" s="1213" t="s">
        <v>2462</v>
      </c>
      <c r="S59" s="115"/>
      <c r="T59" s="115"/>
      <c r="U59" s="105" t="s">
        <v>45</v>
      </c>
      <c r="V59" s="87"/>
      <c r="W59" s="87"/>
    </row>
    <row r="60" ht="43.5" customHeight="1" outlineLevel="1">
      <c r="A60" s="72"/>
      <c r="B60" s="72"/>
      <c r="C60" s="72"/>
      <c r="D60" s="72"/>
      <c r="E60" s="72"/>
      <c r="F60" s="72"/>
      <c r="G60" s="72"/>
      <c r="H60" s="1215" t="s">
        <v>2463</v>
      </c>
      <c r="I60" s="1219" t="b">
        <v>1</v>
      </c>
      <c r="J60" s="109" t="s">
        <v>47</v>
      </c>
      <c r="K60" s="109">
        <f t="shared" si="11"/>
        <v>1</v>
      </c>
      <c r="L60" s="113">
        <v>2000000.0</v>
      </c>
      <c r="M60" s="113">
        <v>0.0</v>
      </c>
      <c r="N60" s="113">
        <v>0.0</v>
      </c>
      <c r="O60" s="113" t="str">
        <f t="shared" si="13"/>
        <v>-</v>
      </c>
      <c r="P60" s="113" t="str">
        <f t="shared" si="14"/>
        <v>-</v>
      </c>
      <c r="Q60" s="113">
        <f t="shared" si="12"/>
        <v>2000000</v>
      </c>
      <c r="R60" s="72"/>
      <c r="S60" s="72"/>
      <c r="T60" s="72"/>
      <c r="U60" s="72"/>
      <c r="V60" s="9"/>
      <c r="W60" s="9"/>
    </row>
    <row r="61" ht="43.5" customHeight="1" outlineLevel="1">
      <c r="A61" s="1207" t="s">
        <v>109</v>
      </c>
      <c r="B61" s="1232" t="s">
        <v>180</v>
      </c>
      <c r="C61" s="103" t="s">
        <v>38</v>
      </c>
      <c r="D61" s="1209" t="s">
        <v>181</v>
      </c>
      <c r="E61" s="105" t="s">
        <v>146</v>
      </c>
      <c r="F61" s="1210" t="s">
        <v>182</v>
      </c>
      <c r="G61" s="104" t="s">
        <v>50</v>
      </c>
      <c r="H61" s="1211" t="s">
        <v>2464</v>
      </c>
      <c r="I61" s="1219" t="b">
        <v>1</v>
      </c>
      <c r="J61" s="109" t="s">
        <v>7</v>
      </c>
      <c r="K61" s="109">
        <f t="shared" si="11"/>
        <v>1</v>
      </c>
      <c r="L61" s="113">
        <v>1.0E7</v>
      </c>
      <c r="M61" s="113">
        <v>40500.0</v>
      </c>
      <c r="N61" s="113">
        <v>2000.0</v>
      </c>
      <c r="O61" s="113">
        <f t="shared" si="13"/>
        <v>246.9135802</v>
      </c>
      <c r="P61" s="113">
        <f t="shared" si="14"/>
        <v>5000</v>
      </c>
      <c r="Q61" s="113">
        <f t="shared" si="12"/>
        <v>10000000</v>
      </c>
      <c r="R61" s="1213" t="s">
        <v>2465</v>
      </c>
      <c r="S61" s="115"/>
      <c r="T61" s="115"/>
      <c r="U61" s="105" t="s">
        <v>45</v>
      </c>
      <c r="V61" s="9"/>
      <c r="W61" s="9"/>
    </row>
    <row r="62" ht="43.5" customHeight="1" outlineLevel="1">
      <c r="A62" s="72"/>
      <c r="B62" s="72"/>
      <c r="C62" s="72"/>
      <c r="D62" s="72"/>
      <c r="E62" s="72"/>
      <c r="F62" s="72"/>
      <c r="G62" s="72"/>
      <c r="H62" s="1215" t="s">
        <v>2466</v>
      </c>
      <c r="I62" s="1219" t="b">
        <v>1</v>
      </c>
      <c r="J62" s="109" t="s">
        <v>47</v>
      </c>
      <c r="K62" s="109">
        <f t="shared" si="11"/>
        <v>1</v>
      </c>
      <c r="L62" s="113">
        <v>3000000.0</v>
      </c>
      <c r="M62" s="113">
        <v>0.0</v>
      </c>
      <c r="N62" s="113">
        <v>0.0</v>
      </c>
      <c r="O62" s="113" t="str">
        <f t="shared" si="13"/>
        <v>-</v>
      </c>
      <c r="P62" s="113" t="str">
        <f t="shared" si="14"/>
        <v>-</v>
      </c>
      <c r="Q62" s="113">
        <f t="shared" si="12"/>
        <v>3000000</v>
      </c>
      <c r="R62" s="72"/>
      <c r="S62" s="72"/>
      <c r="T62" s="72"/>
      <c r="U62" s="72"/>
      <c r="V62" s="9"/>
      <c r="W62" s="9"/>
    </row>
    <row r="63" ht="43.5" customHeight="1" outlineLevel="1">
      <c r="A63" s="1207" t="s">
        <v>186</v>
      </c>
      <c r="B63" s="1233" t="s">
        <v>187</v>
      </c>
      <c r="C63" s="103" t="s">
        <v>38</v>
      </c>
      <c r="D63" s="1209" t="s">
        <v>188</v>
      </c>
      <c r="E63" s="105" t="s">
        <v>146</v>
      </c>
      <c r="F63" s="1210" t="s">
        <v>139</v>
      </c>
      <c r="G63" s="104" t="s">
        <v>50</v>
      </c>
      <c r="H63" s="1211" t="s">
        <v>2467</v>
      </c>
      <c r="I63" s="1212" t="b">
        <v>1</v>
      </c>
      <c r="J63" s="109" t="s">
        <v>7</v>
      </c>
      <c r="K63" s="109">
        <f t="shared" si="11"/>
        <v>1</v>
      </c>
      <c r="L63" s="113">
        <v>1.2E7</v>
      </c>
      <c r="M63" s="113">
        <v>60000.0</v>
      </c>
      <c r="N63" s="113">
        <v>3000.0</v>
      </c>
      <c r="O63" s="113">
        <f t="shared" si="13"/>
        <v>200</v>
      </c>
      <c r="P63" s="113">
        <f t="shared" si="14"/>
        <v>4000</v>
      </c>
      <c r="Q63" s="113">
        <f t="shared" si="12"/>
        <v>12000000</v>
      </c>
      <c r="R63" s="1213" t="s">
        <v>2468</v>
      </c>
      <c r="S63" s="115"/>
      <c r="T63" s="115"/>
      <c r="U63" s="105" t="s">
        <v>45</v>
      </c>
      <c r="V63" s="87"/>
      <c r="W63" s="87"/>
    </row>
    <row r="64" ht="43.5" customHeight="1" outlineLevel="1">
      <c r="A64" s="72"/>
      <c r="B64" s="72"/>
      <c r="C64" s="72"/>
      <c r="D64" s="72"/>
      <c r="E64" s="72"/>
      <c r="F64" s="72"/>
      <c r="G64" s="72"/>
      <c r="H64" s="1215" t="s">
        <v>2469</v>
      </c>
      <c r="I64" s="1212" t="b">
        <v>1</v>
      </c>
      <c r="J64" s="109" t="s">
        <v>47</v>
      </c>
      <c r="K64" s="109">
        <f t="shared" si="11"/>
        <v>1</v>
      </c>
      <c r="L64" s="113">
        <v>8000000.0</v>
      </c>
      <c r="M64" s="113">
        <v>0.0</v>
      </c>
      <c r="N64" s="113">
        <v>0.0</v>
      </c>
      <c r="O64" s="113" t="str">
        <f t="shared" si="13"/>
        <v>-</v>
      </c>
      <c r="P64" s="113" t="str">
        <f t="shared" si="14"/>
        <v>-</v>
      </c>
      <c r="Q64" s="113">
        <f t="shared" si="12"/>
        <v>8000000</v>
      </c>
      <c r="R64" s="72"/>
      <c r="S64" s="72"/>
      <c r="T64" s="72"/>
      <c r="U64" s="72"/>
      <c r="V64" s="9"/>
      <c r="W64" s="9"/>
    </row>
    <row r="65" outlineLevel="1">
      <c r="A65" s="1222" t="s">
        <v>202</v>
      </c>
      <c r="B65" s="1223" t="s">
        <v>203</v>
      </c>
      <c r="C65" s="1226"/>
      <c r="D65" s="1225"/>
      <c r="E65" s="1226"/>
      <c r="F65" s="1226"/>
      <c r="G65" s="1226"/>
      <c r="H65" s="1226"/>
      <c r="I65" s="1226"/>
      <c r="J65" s="1228"/>
      <c r="K65" s="1228"/>
      <c r="L65" s="1228"/>
      <c r="M65" s="1228"/>
      <c r="N65" s="1228"/>
      <c r="O65" s="1228"/>
      <c r="P65" s="1228"/>
      <c r="Q65" s="1228"/>
      <c r="R65" s="1226"/>
      <c r="S65" s="1228"/>
      <c r="T65" s="1228"/>
      <c r="U65" s="1224"/>
      <c r="V65" s="146"/>
      <c r="W65" s="146"/>
    </row>
    <row r="66" ht="42.0" customHeight="1" outlineLevel="1">
      <c r="A66" s="1207" t="s">
        <v>101</v>
      </c>
      <c r="B66" s="1229" t="s">
        <v>204</v>
      </c>
      <c r="C66" s="103" t="s">
        <v>38</v>
      </c>
      <c r="D66" s="1209" t="s">
        <v>205</v>
      </c>
      <c r="E66" s="105" t="s">
        <v>146</v>
      </c>
      <c r="F66" s="1210" t="s">
        <v>206</v>
      </c>
      <c r="G66" s="104" t="s">
        <v>105</v>
      </c>
      <c r="H66" s="1211" t="s">
        <v>2470</v>
      </c>
      <c r="I66" s="1212" t="b">
        <v>1</v>
      </c>
      <c r="J66" s="109" t="s">
        <v>7</v>
      </c>
      <c r="K66" s="109">
        <f t="shared" ref="K66:K75" si="15">if(I66=True,1,if(I66=False,0))</f>
        <v>1</v>
      </c>
      <c r="L66" s="113">
        <v>4000000.0</v>
      </c>
      <c r="M66" s="113">
        <v>20000.0</v>
      </c>
      <c r="N66" s="113">
        <v>1500.0</v>
      </c>
      <c r="O66" s="113">
        <f t="shared" ref="O66:O75" si="16">IFERROR(Q66/M66,"-")</f>
        <v>200</v>
      </c>
      <c r="P66" s="113">
        <f t="shared" ref="P66:P75" si="17">IFERROR(Q66/N66,"-")</f>
        <v>2666.666667</v>
      </c>
      <c r="Q66" s="113">
        <f t="shared" ref="Q66:Q75" si="18">iferror(L66*K66,"-")</f>
        <v>4000000</v>
      </c>
      <c r="R66" s="1213" t="s">
        <v>2471</v>
      </c>
      <c r="S66" s="1214" t="s">
        <v>209</v>
      </c>
      <c r="T66" s="115"/>
      <c r="U66" s="105" t="s">
        <v>45</v>
      </c>
      <c r="V66" s="9"/>
      <c r="W66" s="9"/>
    </row>
    <row r="67" ht="42.0" customHeight="1" outlineLevel="1">
      <c r="A67" s="72"/>
      <c r="B67" s="72"/>
      <c r="C67" s="72"/>
      <c r="D67" s="72"/>
      <c r="E67" s="72"/>
      <c r="F67" s="72"/>
      <c r="G67" s="72"/>
      <c r="H67" s="1215" t="s">
        <v>2472</v>
      </c>
      <c r="I67" s="1212" t="b">
        <v>1</v>
      </c>
      <c r="J67" s="109" t="s">
        <v>47</v>
      </c>
      <c r="K67" s="109">
        <f t="shared" si="15"/>
        <v>1</v>
      </c>
      <c r="L67" s="113">
        <v>2000000.0</v>
      </c>
      <c r="M67" s="113">
        <v>0.0</v>
      </c>
      <c r="N67" s="113">
        <v>0.0</v>
      </c>
      <c r="O67" s="113" t="str">
        <f t="shared" si="16"/>
        <v>-</v>
      </c>
      <c r="P67" s="113" t="str">
        <f t="shared" si="17"/>
        <v>-</v>
      </c>
      <c r="Q67" s="113">
        <f t="shared" si="18"/>
        <v>2000000</v>
      </c>
      <c r="R67" s="68"/>
      <c r="S67" s="72"/>
      <c r="T67" s="72"/>
      <c r="U67" s="72"/>
      <c r="V67" s="9"/>
      <c r="W67" s="9"/>
    </row>
    <row r="68" ht="42.0" customHeight="1" outlineLevel="1">
      <c r="A68" s="1207" t="s">
        <v>101</v>
      </c>
      <c r="B68" s="1216" t="s">
        <v>211</v>
      </c>
      <c r="C68" s="103" t="s">
        <v>38</v>
      </c>
      <c r="D68" s="1209">
        <v>45000.0</v>
      </c>
      <c r="E68" s="105" t="s">
        <v>146</v>
      </c>
      <c r="F68" s="1210" t="s">
        <v>212</v>
      </c>
      <c r="G68" s="104" t="s">
        <v>213</v>
      </c>
      <c r="H68" s="1211" t="s">
        <v>2473</v>
      </c>
      <c r="I68" s="1212" t="b">
        <v>1</v>
      </c>
      <c r="J68" s="109" t="s">
        <v>7</v>
      </c>
      <c r="K68" s="109">
        <f t="shared" si="15"/>
        <v>1</v>
      </c>
      <c r="L68" s="113">
        <v>5000000.0</v>
      </c>
      <c r="M68" s="113">
        <v>20000.0</v>
      </c>
      <c r="N68" s="113">
        <v>1500.0</v>
      </c>
      <c r="O68" s="113">
        <f t="shared" si="16"/>
        <v>250</v>
      </c>
      <c r="P68" s="113">
        <f t="shared" si="17"/>
        <v>3333.333333</v>
      </c>
      <c r="Q68" s="113">
        <f t="shared" si="18"/>
        <v>5000000</v>
      </c>
      <c r="R68" s="68"/>
      <c r="S68" s="1214" t="s">
        <v>215</v>
      </c>
      <c r="T68" s="115"/>
      <c r="U68" s="105" t="s">
        <v>45</v>
      </c>
      <c r="V68" s="9"/>
      <c r="W68" s="9"/>
    </row>
    <row r="69" ht="42.0" customHeight="1" outlineLevel="1">
      <c r="A69" s="72"/>
      <c r="B69" s="72"/>
      <c r="C69" s="72"/>
      <c r="D69" s="72"/>
      <c r="E69" s="72"/>
      <c r="F69" s="72"/>
      <c r="G69" s="72"/>
      <c r="H69" s="1215" t="s">
        <v>2474</v>
      </c>
      <c r="I69" s="1212" t="b">
        <v>1</v>
      </c>
      <c r="J69" s="109" t="s">
        <v>47</v>
      </c>
      <c r="K69" s="109">
        <f t="shared" si="15"/>
        <v>1</v>
      </c>
      <c r="L69" s="113">
        <v>2000000.0</v>
      </c>
      <c r="M69" s="113">
        <v>0.0</v>
      </c>
      <c r="N69" s="113">
        <v>0.0</v>
      </c>
      <c r="O69" s="113" t="str">
        <f t="shared" si="16"/>
        <v>-</v>
      </c>
      <c r="P69" s="113" t="str">
        <f t="shared" si="17"/>
        <v>-</v>
      </c>
      <c r="Q69" s="113">
        <f t="shared" si="18"/>
        <v>2000000</v>
      </c>
      <c r="R69" s="68"/>
      <c r="S69" s="72"/>
      <c r="T69" s="72"/>
      <c r="U69" s="72"/>
      <c r="V69" s="87"/>
      <c r="W69" s="87"/>
    </row>
    <row r="70" ht="42.0" customHeight="1" outlineLevel="1">
      <c r="A70" s="1207" t="s">
        <v>109</v>
      </c>
      <c r="B70" s="1231" t="s">
        <v>242</v>
      </c>
      <c r="C70" s="103" t="s">
        <v>38</v>
      </c>
      <c r="D70" s="1209" t="s">
        <v>243</v>
      </c>
      <c r="E70" s="105" t="s">
        <v>146</v>
      </c>
      <c r="F70" s="1210" t="s">
        <v>244</v>
      </c>
      <c r="G70" s="104" t="s">
        <v>105</v>
      </c>
      <c r="H70" s="1211" t="s">
        <v>2475</v>
      </c>
      <c r="I70" s="1219" t="b">
        <v>1</v>
      </c>
      <c r="J70" s="109" t="s">
        <v>7</v>
      </c>
      <c r="K70" s="109">
        <f t="shared" si="15"/>
        <v>1</v>
      </c>
      <c r="L70" s="113">
        <v>1.0E7</v>
      </c>
      <c r="M70" s="113">
        <v>35000.0</v>
      </c>
      <c r="N70" s="113">
        <v>1500.0</v>
      </c>
      <c r="O70" s="113">
        <f t="shared" si="16"/>
        <v>285.7142857</v>
      </c>
      <c r="P70" s="113">
        <f t="shared" si="17"/>
        <v>6666.666667</v>
      </c>
      <c r="Q70" s="113">
        <f t="shared" si="18"/>
        <v>10000000</v>
      </c>
      <c r="R70" s="1213" t="s">
        <v>2476</v>
      </c>
      <c r="S70" s="115"/>
      <c r="T70" s="115"/>
      <c r="U70" s="105" t="s">
        <v>45</v>
      </c>
      <c r="V70" s="9"/>
      <c r="W70" s="9"/>
    </row>
    <row r="71" ht="42.0" customHeight="1" outlineLevel="1">
      <c r="A71" s="72"/>
      <c r="B71" s="72"/>
      <c r="C71" s="72"/>
      <c r="D71" s="72"/>
      <c r="E71" s="72"/>
      <c r="F71" s="72"/>
      <c r="G71" s="72"/>
      <c r="H71" s="1215" t="s">
        <v>2477</v>
      </c>
      <c r="I71" s="1219" t="b">
        <v>1</v>
      </c>
      <c r="J71" s="109" t="s">
        <v>47</v>
      </c>
      <c r="K71" s="109">
        <f t="shared" si="15"/>
        <v>1</v>
      </c>
      <c r="L71" s="113">
        <v>2000000.0</v>
      </c>
      <c r="M71" s="113">
        <v>0.0</v>
      </c>
      <c r="N71" s="113">
        <v>0.0</v>
      </c>
      <c r="O71" s="113" t="str">
        <f t="shared" si="16"/>
        <v>-</v>
      </c>
      <c r="P71" s="113" t="str">
        <f t="shared" si="17"/>
        <v>-</v>
      </c>
      <c r="Q71" s="113">
        <f t="shared" si="18"/>
        <v>2000000</v>
      </c>
      <c r="R71" s="72"/>
      <c r="S71" s="72"/>
      <c r="T71" s="72"/>
      <c r="U71" s="72"/>
      <c r="V71" s="87"/>
      <c r="W71" s="87"/>
    </row>
    <row r="72" ht="42.0" customHeight="1" outlineLevel="1">
      <c r="A72" s="1207" t="s">
        <v>109</v>
      </c>
      <c r="B72" s="1231" t="s">
        <v>248</v>
      </c>
      <c r="C72" s="103" t="s">
        <v>38</v>
      </c>
      <c r="D72" s="1209" t="s">
        <v>249</v>
      </c>
      <c r="E72" s="105" t="s">
        <v>146</v>
      </c>
      <c r="F72" s="1210" t="s">
        <v>250</v>
      </c>
      <c r="G72" s="104" t="s">
        <v>105</v>
      </c>
      <c r="H72" s="1211" t="s">
        <v>2478</v>
      </c>
      <c r="I72" s="1219" t="b">
        <v>1</v>
      </c>
      <c r="J72" s="109" t="s">
        <v>7</v>
      </c>
      <c r="K72" s="109">
        <f t="shared" si="15"/>
        <v>1</v>
      </c>
      <c r="L72" s="113">
        <v>7000000.0</v>
      </c>
      <c r="M72" s="113">
        <v>25000.0</v>
      </c>
      <c r="N72" s="113">
        <v>1500.0</v>
      </c>
      <c r="O72" s="113">
        <f t="shared" si="16"/>
        <v>280</v>
      </c>
      <c r="P72" s="113">
        <f t="shared" si="17"/>
        <v>4666.666667</v>
      </c>
      <c r="Q72" s="113">
        <f t="shared" si="18"/>
        <v>7000000</v>
      </c>
      <c r="R72" s="1213" t="s">
        <v>2479</v>
      </c>
      <c r="S72" s="115"/>
      <c r="T72" s="115"/>
      <c r="U72" s="105" t="s">
        <v>45</v>
      </c>
      <c r="V72" s="9"/>
      <c r="W72" s="9"/>
    </row>
    <row r="73" ht="42.0" customHeight="1" outlineLevel="1">
      <c r="A73" s="72"/>
      <c r="B73" s="72"/>
      <c r="C73" s="72"/>
      <c r="D73" s="72"/>
      <c r="E73" s="72"/>
      <c r="F73" s="72"/>
      <c r="G73" s="72"/>
      <c r="H73" s="1215" t="s">
        <v>2480</v>
      </c>
      <c r="I73" s="1219" t="b">
        <v>1</v>
      </c>
      <c r="J73" s="109" t="s">
        <v>47</v>
      </c>
      <c r="K73" s="109">
        <f t="shared" si="15"/>
        <v>1</v>
      </c>
      <c r="L73" s="113">
        <v>3000000.0</v>
      </c>
      <c r="M73" s="113">
        <v>0.0</v>
      </c>
      <c r="N73" s="113">
        <v>0.0</v>
      </c>
      <c r="O73" s="113" t="str">
        <f t="shared" si="16"/>
        <v>-</v>
      </c>
      <c r="P73" s="113" t="str">
        <f t="shared" si="17"/>
        <v>-</v>
      </c>
      <c r="Q73" s="113">
        <f t="shared" si="18"/>
        <v>3000000</v>
      </c>
      <c r="R73" s="72"/>
      <c r="S73" s="72"/>
      <c r="T73" s="72"/>
      <c r="U73" s="72"/>
      <c r="V73" s="9"/>
      <c r="W73" s="9"/>
    </row>
    <row r="74" ht="42.0" customHeight="1" outlineLevel="1">
      <c r="A74" s="1207" t="s">
        <v>109</v>
      </c>
      <c r="B74" s="1231" t="s">
        <v>254</v>
      </c>
      <c r="C74" s="103" t="s">
        <v>38</v>
      </c>
      <c r="D74" s="1209" t="s">
        <v>255</v>
      </c>
      <c r="E74" s="105" t="s">
        <v>146</v>
      </c>
      <c r="F74" s="1210" t="s">
        <v>256</v>
      </c>
      <c r="G74" s="104" t="s">
        <v>105</v>
      </c>
      <c r="H74" s="1211" t="s">
        <v>2481</v>
      </c>
      <c r="I74" s="1219" t="b">
        <v>1</v>
      </c>
      <c r="J74" s="109" t="s">
        <v>7</v>
      </c>
      <c r="K74" s="109">
        <f t="shared" si="15"/>
        <v>1</v>
      </c>
      <c r="L74" s="113">
        <v>9000000.0</v>
      </c>
      <c r="M74" s="113">
        <v>30000.0</v>
      </c>
      <c r="N74" s="113">
        <v>1500.0</v>
      </c>
      <c r="O74" s="113">
        <f t="shared" si="16"/>
        <v>300</v>
      </c>
      <c r="P74" s="113">
        <f t="shared" si="17"/>
        <v>6000</v>
      </c>
      <c r="Q74" s="113">
        <f t="shared" si="18"/>
        <v>9000000</v>
      </c>
      <c r="R74" s="1213" t="s">
        <v>2482</v>
      </c>
      <c r="S74" s="115"/>
      <c r="T74" s="115"/>
      <c r="U74" s="105" t="s">
        <v>45</v>
      </c>
      <c r="V74" s="9"/>
      <c r="W74" s="9"/>
    </row>
    <row r="75" ht="42.0" customHeight="1" outlineLevel="1">
      <c r="A75" s="72"/>
      <c r="B75" s="72"/>
      <c r="C75" s="72"/>
      <c r="D75" s="72"/>
      <c r="E75" s="72"/>
      <c r="F75" s="72"/>
      <c r="G75" s="72"/>
      <c r="H75" s="1215" t="s">
        <v>2483</v>
      </c>
      <c r="I75" s="1219" t="b">
        <v>1</v>
      </c>
      <c r="J75" s="109" t="s">
        <v>47</v>
      </c>
      <c r="K75" s="109">
        <f t="shared" si="15"/>
        <v>1</v>
      </c>
      <c r="L75" s="113">
        <v>3000000.0</v>
      </c>
      <c r="M75" s="113">
        <v>0.0</v>
      </c>
      <c r="N75" s="113">
        <v>0.0</v>
      </c>
      <c r="O75" s="113" t="str">
        <f t="shared" si="16"/>
        <v>-</v>
      </c>
      <c r="P75" s="113" t="str">
        <f t="shared" si="17"/>
        <v>-</v>
      </c>
      <c r="Q75" s="113">
        <f t="shared" si="18"/>
        <v>3000000</v>
      </c>
      <c r="R75" s="72"/>
      <c r="S75" s="72"/>
      <c r="T75" s="72"/>
      <c r="U75" s="72"/>
      <c r="V75" s="9"/>
      <c r="W75" s="9"/>
    </row>
    <row r="76" outlineLevel="1">
      <c r="A76" s="1222" t="s">
        <v>270</v>
      </c>
      <c r="B76" s="1223" t="s">
        <v>271</v>
      </c>
      <c r="C76" s="1226"/>
      <c r="D76" s="1225"/>
      <c r="E76" s="1226"/>
      <c r="F76" s="1226"/>
      <c r="G76" s="1226"/>
      <c r="H76" s="1226"/>
      <c r="I76" s="1227" t="b">
        <v>0</v>
      </c>
      <c r="J76" s="1228"/>
      <c r="K76" s="1228"/>
      <c r="L76" s="1228"/>
      <c r="M76" s="1228"/>
      <c r="N76" s="1228"/>
      <c r="O76" s="1228"/>
      <c r="P76" s="1228"/>
      <c r="Q76" s="1228"/>
      <c r="R76" s="1226"/>
      <c r="S76" s="1228"/>
      <c r="T76" s="1228"/>
      <c r="U76" s="1224"/>
      <c r="V76" s="146"/>
      <c r="W76" s="146"/>
    </row>
    <row r="77" ht="42.75" customHeight="1" outlineLevel="1">
      <c r="A77" s="1207" t="s">
        <v>45</v>
      </c>
      <c r="B77" s="1229" t="s">
        <v>272</v>
      </c>
      <c r="C77" s="103" t="s">
        <v>38</v>
      </c>
      <c r="D77" s="1209" t="s">
        <v>273</v>
      </c>
      <c r="E77" s="105" t="s">
        <v>146</v>
      </c>
      <c r="F77" s="1210" t="s">
        <v>274</v>
      </c>
      <c r="G77" s="104" t="s">
        <v>275</v>
      </c>
      <c r="H77" s="1211" t="s">
        <v>2484</v>
      </c>
      <c r="I77" s="1212" t="b">
        <v>1</v>
      </c>
      <c r="J77" s="109" t="s">
        <v>7</v>
      </c>
      <c r="K77" s="109">
        <f t="shared" ref="K77:K84" si="19">if(I77=True,1,if(I77=False,0))</f>
        <v>1</v>
      </c>
      <c r="L77" s="113">
        <v>5000000.0</v>
      </c>
      <c r="M77" s="113">
        <v>40000.0</v>
      </c>
      <c r="N77" s="113">
        <v>2000.0</v>
      </c>
      <c r="O77" s="113">
        <f t="shared" ref="O77:O84" si="20">IFERROR(Q77/M77,"-")</f>
        <v>125</v>
      </c>
      <c r="P77" s="113">
        <f t="shared" ref="P77:P84" si="21">IFERROR(Q77/N77,"-")</f>
        <v>2500</v>
      </c>
      <c r="Q77" s="113">
        <f t="shared" ref="Q77:Q84" si="22">iferror(L77*K77,"-")</f>
        <v>5000000</v>
      </c>
      <c r="R77" s="1213" t="s">
        <v>2485</v>
      </c>
      <c r="S77" s="1214" t="s">
        <v>278</v>
      </c>
      <c r="T77" s="115"/>
      <c r="U77" s="105" t="s">
        <v>45</v>
      </c>
      <c r="V77" s="9"/>
      <c r="W77" s="9"/>
    </row>
    <row r="78" ht="42.75" customHeight="1" outlineLevel="1">
      <c r="A78" s="72"/>
      <c r="B78" s="72"/>
      <c r="C78" s="72"/>
      <c r="D78" s="72"/>
      <c r="E78" s="72"/>
      <c r="F78" s="72"/>
      <c r="G78" s="72"/>
      <c r="H78" s="1215" t="s">
        <v>2486</v>
      </c>
      <c r="I78" s="1212" t="b">
        <v>1</v>
      </c>
      <c r="J78" s="109" t="s">
        <v>47</v>
      </c>
      <c r="K78" s="109">
        <f t="shared" si="19"/>
        <v>1</v>
      </c>
      <c r="L78" s="113">
        <v>2000000.0</v>
      </c>
      <c r="M78" s="113">
        <v>0.0</v>
      </c>
      <c r="N78" s="113">
        <v>0.0</v>
      </c>
      <c r="O78" s="113" t="str">
        <f t="shared" si="20"/>
        <v>-</v>
      </c>
      <c r="P78" s="113" t="str">
        <f t="shared" si="21"/>
        <v>-</v>
      </c>
      <c r="Q78" s="113">
        <f t="shared" si="22"/>
        <v>2000000</v>
      </c>
      <c r="R78" s="68"/>
      <c r="S78" s="72"/>
      <c r="T78" s="72"/>
      <c r="U78" s="72"/>
      <c r="V78" s="9"/>
      <c r="W78" s="9"/>
    </row>
    <row r="79" ht="42.75" customHeight="1" outlineLevel="1">
      <c r="A79" s="1207" t="s">
        <v>73</v>
      </c>
      <c r="B79" s="1217" t="s">
        <v>280</v>
      </c>
      <c r="C79" s="103" t="s">
        <v>38</v>
      </c>
      <c r="D79" s="1209">
        <v>13600.0</v>
      </c>
      <c r="E79" s="105" t="s">
        <v>146</v>
      </c>
      <c r="F79" s="1210" t="s">
        <v>281</v>
      </c>
      <c r="G79" s="104" t="s">
        <v>41</v>
      </c>
      <c r="H79" s="1211" t="s">
        <v>2487</v>
      </c>
      <c r="I79" s="1212" t="b">
        <v>1</v>
      </c>
      <c r="J79" s="109" t="s">
        <v>7</v>
      </c>
      <c r="K79" s="109">
        <f t="shared" si="19"/>
        <v>1</v>
      </c>
      <c r="L79" s="113">
        <v>5000000.0</v>
      </c>
      <c r="M79" s="113">
        <v>25000.0</v>
      </c>
      <c r="N79" s="113">
        <v>1500.0</v>
      </c>
      <c r="O79" s="113">
        <f t="shared" si="20"/>
        <v>200</v>
      </c>
      <c r="P79" s="113">
        <f t="shared" si="21"/>
        <v>3333.333333</v>
      </c>
      <c r="Q79" s="113">
        <f t="shared" si="22"/>
        <v>5000000</v>
      </c>
      <c r="R79" s="68"/>
      <c r="S79" s="1214" t="s">
        <v>283</v>
      </c>
      <c r="T79" s="1214" t="s">
        <v>79</v>
      </c>
      <c r="U79" s="105" t="s">
        <v>45</v>
      </c>
      <c r="V79" s="9"/>
      <c r="W79" s="9"/>
    </row>
    <row r="80" ht="42.75" customHeight="1" outlineLevel="1">
      <c r="A80" s="72"/>
      <c r="B80" s="72"/>
      <c r="C80" s="72"/>
      <c r="D80" s="72"/>
      <c r="E80" s="72"/>
      <c r="F80" s="72"/>
      <c r="G80" s="72"/>
      <c r="H80" s="1215" t="s">
        <v>2488</v>
      </c>
      <c r="I80" s="1212" t="b">
        <v>1</v>
      </c>
      <c r="J80" s="109" t="s">
        <v>47</v>
      </c>
      <c r="K80" s="109">
        <f t="shared" si="19"/>
        <v>1</v>
      </c>
      <c r="L80" s="113">
        <v>2000000.0</v>
      </c>
      <c r="M80" s="113">
        <v>0.0</v>
      </c>
      <c r="N80" s="113">
        <v>0.0</v>
      </c>
      <c r="O80" s="113" t="str">
        <f t="shared" si="20"/>
        <v>-</v>
      </c>
      <c r="P80" s="113" t="str">
        <f t="shared" si="21"/>
        <v>-</v>
      </c>
      <c r="Q80" s="113">
        <f t="shared" si="22"/>
        <v>2000000</v>
      </c>
      <c r="R80" s="68"/>
      <c r="S80" s="72"/>
      <c r="T80" s="72"/>
      <c r="U80" s="72"/>
      <c r="V80" s="9"/>
      <c r="W80" s="9"/>
    </row>
    <row r="81" ht="42.75" customHeight="1" outlineLevel="1">
      <c r="A81" s="1207" t="s">
        <v>73</v>
      </c>
      <c r="B81" s="1230" t="s">
        <v>285</v>
      </c>
      <c r="C81" s="103" t="s">
        <v>38</v>
      </c>
      <c r="D81" s="1209" t="s">
        <v>286</v>
      </c>
      <c r="E81" s="105" t="s">
        <v>146</v>
      </c>
      <c r="F81" s="1210" t="s">
        <v>287</v>
      </c>
      <c r="G81" s="104" t="s">
        <v>275</v>
      </c>
      <c r="H81" s="1211" t="s">
        <v>2489</v>
      </c>
      <c r="I81" s="1212" t="b">
        <v>1</v>
      </c>
      <c r="J81" s="109" t="s">
        <v>7</v>
      </c>
      <c r="K81" s="109">
        <f t="shared" si="19"/>
        <v>1</v>
      </c>
      <c r="L81" s="113">
        <v>5000000.0</v>
      </c>
      <c r="M81" s="113">
        <v>20000.0</v>
      </c>
      <c r="N81" s="113">
        <v>1000.0</v>
      </c>
      <c r="O81" s="113">
        <f t="shared" si="20"/>
        <v>250</v>
      </c>
      <c r="P81" s="113">
        <f t="shared" si="21"/>
        <v>5000</v>
      </c>
      <c r="Q81" s="113">
        <f t="shared" si="22"/>
        <v>5000000</v>
      </c>
      <c r="R81" s="68"/>
      <c r="S81" s="1214" t="s">
        <v>289</v>
      </c>
      <c r="T81" s="1214" t="s">
        <v>79</v>
      </c>
      <c r="U81" s="105" t="s">
        <v>45</v>
      </c>
      <c r="V81" s="9"/>
      <c r="W81" s="9"/>
    </row>
    <row r="82" ht="42.75" customHeight="1" outlineLevel="1">
      <c r="A82" s="72"/>
      <c r="B82" s="72"/>
      <c r="C82" s="72"/>
      <c r="D82" s="72"/>
      <c r="E82" s="72"/>
      <c r="F82" s="72"/>
      <c r="G82" s="72"/>
      <c r="H82" s="1215" t="s">
        <v>2490</v>
      </c>
      <c r="I82" s="1212" t="b">
        <v>1</v>
      </c>
      <c r="J82" s="109" t="s">
        <v>47</v>
      </c>
      <c r="K82" s="109">
        <f t="shared" si="19"/>
        <v>1</v>
      </c>
      <c r="L82" s="113">
        <v>2000000.0</v>
      </c>
      <c r="M82" s="113">
        <v>0.0</v>
      </c>
      <c r="N82" s="113">
        <v>0.0</v>
      </c>
      <c r="O82" s="113" t="str">
        <f t="shared" si="20"/>
        <v>-</v>
      </c>
      <c r="P82" s="113" t="str">
        <f t="shared" si="21"/>
        <v>-</v>
      </c>
      <c r="Q82" s="113">
        <f t="shared" si="22"/>
        <v>2000000</v>
      </c>
      <c r="R82" s="68"/>
      <c r="S82" s="72"/>
      <c r="T82" s="72"/>
      <c r="U82" s="72"/>
      <c r="V82" s="9"/>
      <c r="W82" s="9"/>
    </row>
    <row r="83" ht="42.75" customHeight="1" outlineLevel="1">
      <c r="A83" s="1207" t="s">
        <v>101</v>
      </c>
      <c r="B83" s="1233" t="s">
        <v>291</v>
      </c>
      <c r="C83" s="103" t="s">
        <v>38</v>
      </c>
      <c r="D83" s="1234" t="s">
        <v>292</v>
      </c>
      <c r="E83" s="105" t="s">
        <v>146</v>
      </c>
      <c r="F83" s="1210" t="s">
        <v>293</v>
      </c>
      <c r="G83" s="104" t="s">
        <v>41</v>
      </c>
      <c r="H83" s="1211" t="s">
        <v>2491</v>
      </c>
      <c r="I83" s="1212" t="b">
        <v>1</v>
      </c>
      <c r="J83" s="109" t="s">
        <v>7</v>
      </c>
      <c r="K83" s="109">
        <f t="shared" si="19"/>
        <v>1</v>
      </c>
      <c r="L83" s="113">
        <v>5000000.0</v>
      </c>
      <c r="M83" s="113">
        <v>20000.0</v>
      </c>
      <c r="N83" s="113">
        <v>1500.0</v>
      </c>
      <c r="O83" s="113">
        <f t="shared" si="20"/>
        <v>250</v>
      </c>
      <c r="P83" s="113">
        <f t="shared" si="21"/>
        <v>3333.333333</v>
      </c>
      <c r="Q83" s="113">
        <f t="shared" si="22"/>
        <v>5000000</v>
      </c>
      <c r="R83" s="68"/>
      <c r="S83" s="115"/>
      <c r="T83" s="115"/>
      <c r="U83" s="105" t="s">
        <v>45</v>
      </c>
      <c r="V83" s="9"/>
      <c r="W83" s="9"/>
    </row>
    <row r="84" ht="42.75" customHeight="1" outlineLevel="1">
      <c r="A84" s="72"/>
      <c r="B84" s="72"/>
      <c r="C84" s="72"/>
      <c r="D84" s="72"/>
      <c r="E84" s="72"/>
      <c r="F84" s="72"/>
      <c r="G84" s="72"/>
      <c r="H84" s="1215" t="s">
        <v>2492</v>
      </c>
      <c r="I84" s="1212" t="b">
        <v>1</v>
      </c>
      <c r="J84" s="109" t="s">
        <v>47</v>
      </c>
      <c r="K84" s="109">
        <f t="shared" si="19"/>
        <v>1</v>
      </c>
      <c r="L84" s="113">
        <v>3000000.0</v>
      </c>
      <c r="M84" s="113">
        <v>0.0</v>
      </c>
      <c r="N84" s="113">
        <v>0.0</v>
      </c>
      <c r="O84" s="113" t="str">
        <f t="shared" si="20"/>
        <v>-</v>
      </c>
      <c r="P84" s="113" t="str">
        <f t="shared" si="21"/>
        <v>-</v>
      </c>
      <c r="Q84" s="113">
        <f t="shared" si="22"/>
        <v>3000000</v>
      </c>
      <c r="R84" s="72"/>
      <c r="S84" s="72"/>
      <c r="T84" s="72"/>
      <c r="U84" s="72"/>
      <c r="V84" s="87"/>
      <c r="W84" s="87"/>
    </row>
    <row r="85" ht="42.75" customHeight="1" outlineLevel="1">
      <c r="A85" s="1222" t="s">
        <v>296</v>
      </c>
      <c r="B85" s="1223" t="s">
        <v>297</v>
      </c>
      <c r="C85" s="1224"/>
      <c r="D85" s="1225"/>
      <c r="E85" s="1224"/>
      <c r="F85" s="1226"/>
      <c r="G85" s="1226"/>
      <c r="H85" s="1226"/>
      <c r="I85" s="1227" t="b">
        <v>0</v>
      </c>
      <c r="J85" s="1228"/>
      <c r="K85" s="1228"/>
      <c r="L85" s="1228"/>
      <c r="M85" s="1228"/>
      <c r="N85" s="1228"/>
      <c r="O85" s="1228"/>
      <c r="P85" s="1228"/>
      <c r="Q85" s="1228"/>
      <c r="R85" s="1226"/>
      <c r="S85" s="1228"/>
      <c r="T85" s="1228"/>
      <c r="U85" s="1224"/>
      <c r="V85" s="146"/>
      <c r="W85" s="146"/>
    </row>
    <row r="86" ht="42.75" customHeight="1" outlineLevel="1">
      <c r="A86" s="1207" t="s">
        <v>45</v>
      </c>
      <c r="B86" s="1229" t="s">
        <v>298</v>
      </c>
      <c r="C86" s="103" t="s">
        <v>38</v>
      </c>
      <c r="D86" s="1209">
        <v>270000.0</v>
      </c>
      <c r="E86" s="105" t="s">
        <v>40</v>
      </c>
      <c r="F86" s="1210" t="s">
        <v>299</v>
      </c>
      <c r="G86" s="104" t="s">
        <v>300</v>
      </c>
      <c r="H86" s="1211" t="s">
        <v>2493</v>
      </c>
      <c r="I86" s="1212" t="b">
        <v>1</v>
      </c>
      <c r="J86" s="109" t="s">
        <v>7</v>
      </c>
      <c r="K86" s="109">
        <f t="shared" ref="K86:K87" si="23">if(I86=True,1,if(I86=False,0))</f>
        <v>1</v>
      </c>
      <c r="L86" s="113">
        <v>6000000.0</v>
      </c>
      <c r="M86" s="113">
        <v>30000.0</v>
      </c>
      <c r="N86" s="113">
        <v>2000.0</v>
      </c>
      <c r="O86" s="113">
        <f>IFERROR(Q86/M86,"-")</f>
        <v>200</v>
      </c>
      <c r="P86" s="113">
        <f>IFERROR(Q86/N86,"-")</f>
        <v>3000</v>
      </c>
      <c r="Q86" s="113">
        <f t="shared" ref="Q86:Q87" si="24">iferror(L86*K86,"-")</f>
        <v>6000000</v>
      </c>
      <c r="R86" s="1213" t="s">
        <v>2494</v>
      </c>
      <c r="S86" s="1214" t="s">
        <v>303</v>
      </c>
      <c r="T86" s="115"/>
      <c r="U86" s="105" t="s">
        <v>45</v>
      </c>
      <c r="V86" s="9"/>
      <c r="W86" s="9"/>
    </row>
    <row r="87" ht="42.75" customHeight="1" outlineLevel="1">
      <c r="A87" s="72"/>
      <c r="B87" s="72"/>
      <c r="C87" s="72"/>
      <c r="D87" s="72"/>
      <c r="E87" s="72"/>
      <c r="F87" s="72"/>
      <c r="G87" s="72"/>
      <c r="H87" s="1215" t="s">
        <v>2495</v>
      </c>
      <c r="I87" s="1212" t="b">
        <v>1</v>
      </c>
      <c r="J87" s="109" t="s">
        <v>47</v>
      </c>
      <c r="K87" s="109">
        <f t="shared" si="23"/>
        <v>1</v>
      </c>
      <c r="L87" s="113">
        <v>2000000.0</v>
      </c>
      <c r="M87" s="113">
        <v>0.0</v>
      </c>
      <c r="N87" s="113">
        <v>0.0</v>
      </c>
      <c r="O87" s="113" t="s">
        <v>81</v>
      </c>
      <c r="P87" s="113" t="s">
        <v>81</v>
      </c>
      <c r="Q87" s="113">
        <f t="shared" si="24"/>
        <v>2000000</v>
      </c>
      <c r="R87" s="72"/>
      <c r="S87" s="72"/>
      <c r="T87" s="72"/>
      <c r="U87" s="72"/>
      <c r="V87" s="9"/>
      <c r="W87" s="9"/>
    </row>
    <row r="88" ht="34.5" customHeight="1">
      <c r="A88" s="1235" t="s">
        <v>318</v>
      </c>
      <c r="B88" s="56"/>
      <c r="C88" s="1203"/>
      <c r="D88" s="1203"/>
      <c r="E88" s="1203"/>
      <c r="F88" s="1203"/>
      <c r="G88" s="1203"/>
      <c r="H88" s="1203"/>
      <c r="I88" s="1203"/>
      <c r="J88" s="1204" t="s">
        <v>10</v>
      </c>
      <c r="K88" s="1204">
        <f>SUMIFS(K90:K99,J90:J99,"Photo Post")</f>
        <v>5</v>
      </c>
      <c r="L88" s="1205"/>
      <c r="M88" s="1206">
        <f t="shared" ref="M88:N88" si="25">sum(M90:M99)</f>
        <v>320000</v>
      </c>
      <c r="N88" s="1206">
        <f t="shared" si="25"/>
        <v>23500</v>
      </c>
      <c r="O88" s="1205"/>
      <c r="P88" s="1205"/>
      <c r="Q88" s="1206">
        <f>sum(Q90:Q99)</f>
        <v>216000000</v>
      </c>
      <c r="R88" s="1221"/>
      <c r="S88" s="1221"/>
      <c r="T88" s="1221"/>
      <c r="U88" s="1221"/>
      <c r="V88" s="69"/>
      <c r="W88" s="69"/>
    </row>
    <row r="89" ht="34.5" customHeight="1">
      <c r="A89" s="70"/>
      <c r="B89" s="71"/>
      <c r="C89" s="1203"/>
      <c r="D89" s="1203"/>
      <c r="E89" s="1203"/>
      <c r="F89" s="1203"/>
      <c r="G89" s="1203"/>
      <c r="H89" s="1203"/>
      <c r="I89" s="1203"/>
      <c r="J89" s="1204" t="s">
        <v>7</v>
      </c>
      <c r="K89" s="1204">
        <f>SUMIFS(K90:K99,J90:J99,"Video Post")</f>
        <v>5</v>
      </c>
      <c r="L89" s="1205"/>
      <c r="M89" s="72"/>
      <c r="N89" s="72"/>
      <c r="O89" s="1205"/>
      <c r="P89" s="1205"/>
      <c r="Q89" s="72"/>
      <c r="R89" s="1221"/>
      <c r="S89" s="1221"/>
      <c r="T89" s="1221"/>
      <c r="U89" s="1221"/>
      <c r="V89" s="69"/>
      <c r="W89" s="69"/>
    </row>
    <row r="90" ht="75.0" customHeight="1" outlineLevel="1">
      <c r="A90" s="1236" t="s">
        <v>45</v>
      </c>
      <c r="B90" s="1237" t="s">
        <v>319</v>
      </c>
      <c r="C90" s="1238" t="s">
        <v>320</v>
      </c>
      <c r="D90" s="1239" t="s">
        <v>321</v>
      </c>
      <c r="E90" s="1240" t="s">
        <v>118</v>
      </c>
      <c r="F90" s="1241" t="s">
        <v>21</v>
      </c>
      <c r="G90" s="1212" t="s">
        <v>322</v>
      </c>
      <c r="H90" s="1238" t="s">
        <v>323</v>
      </c>
      <c r="I90" s="1219" t="b">
        <v>1</v>
      </c>
      <c r="J90" s="110" t="s">
        <v>10</v>
      </c>
      <c r="K90" s="110">
        <f t="shared" ref="K90:K99" si="26">if(I90=True,1,if(I90=False,0))</f>
        <v>1</v>
      </c>
      <c r="L90" s="112">
        <v>3.2E7</v>
      </c>
      <c r="M90" s="112">
        <v>0.0</v>
      </c>
      <c r="N90" s="112">
        <v>3000.0</v>
      </c>
      <c r="O90" s="112" t="str">
        <f t="shared" ref="O90:O99" si="27">IFERROR(Q90/M90,"-")</f>
        <v>-</v>
      </c>
      <c r="P90" s="112">
        <f t="shared" ref="P90:P99" si="28">IFERROR(Q90/N90,"-")</f>
        <v>10666.66667</v>
      </c>
      <c r="Q90" s="112">
        <f t="shared" ref="Q90:Q99" si="29">iferror(L90*K90,"-")</f>
        <v>32000000</v>
      </c>
      <c r="R90" s="1238" t="s">
        <v>2496</v>
      </c>
      <c r="S90" s="1224"/>
      <c r="T90" s="1224"/>
      <c r="U90" s="1236" t="s">
        <v>45</v>
      </c>
      <c r="V90" s="168"/>
      <c r="W90" s="168"/>
    </row>
    <row r="91" ht="75.0" customHeight="1" outlineLevel="1">
      <c r="A91" s="1236" t="s">
        <v>45</v>
      </c>
      <c r="B91" s="1237" t="s">
        <v>325</v>
      </c>
      <c r="C91" s="1238" t="s">
        <v>320</v>
      </c>
      <c r="D91" s="1239" t="s">
        <v>326</v>
      </c>
      <c r="E91" s="1240" t="s">
        <v>118</v>
      </c>
      <c r="F91" s="1241" t="s">
        <v>139</v>
      </c>
      <c r="G91" s="1212" t="s">
        <v>322</v>
      </c>
      <c r="H91" s="1238" t="s">
        <v>323</v>
      </c>
      <c r="I91" s="1219" t="b">
        <v>1</v>
      </c>
      <c r="J91" s="110" t="s">
        <v>10</v>
      </c>
      <c r="K91" s="110">
        <f t="shared" si="26"/>
        <v>1</v>
      </c>
      <c r="L91" s="112">
        <v>2.6E7</v>
      </c>
      <c r="M91" s="112">
        <v>0.0</v>
      </c>
      <c r="N91" s="112">
        <v>3000.0</v>
      </c>
      <c r="O91" s="112" t="str">
        <f t="shared" si="27"/>
        <v>-</v>
      </c>
      <c r="P91" s="112">
        <f t="shared" si="28"/>
        <v>8666.666667</v>
      </c>
      <c r="Q91" s="112">
        <f t="shared" si="29"/>
        <v>26000000</v>
      </c>
      <c r="R91" s="1238" t="s">
        <v>2497</v>
      </c>
      <c r="S91" s="1242"/>
      <c r="T91" s="1242"/>
      <c r="U91" s="1236" t="s">
        <v>45</v>
      </c>
      <c r="V91" s="170"/>
      <c r="W91" s="170"/>
    </row>
    <row r="92" ht="75.0" customHeight="1" outlineLevel="1">
      <c r="A92" s="1236" t="s">
        <v>45</v>
      </c>
      <c r="B92" s="1237" t="s">
        <v>328</v>
      </c>
      <c r="C92" s="1238" t="s">
        <v>320</v>
      </c>
      <c r="D92" s="1239" t="s">
        <v>329</v>
      </c>
      <c r="E92" s="1240" t="s">
        <v>118</v>
      </c>
      <c r="F92" s="1241" t="s">
        <v>21</v>
      </c>
      <c r="G92" s="1212" t="s">
        <v>322</v>
      </c>
      <c r="H92" s="1238" t="s">
        <v>323</v>
      </c>
      <c r="I92" s="1219" t="b">
        <v>1</v>
      </c>
      <c r="J92" s="110" t="s">
        <v>10</v>
      </c>
      <c r="K92" s="110">
        <f t="shared" si="26"/>
        <v>1</v>
      </c>
      <c r="L92" s="112">
        <v>2.6E7</v>
      </c>
      <c r="M92" s="112">
        <v>0.0</v>
      </c>
      <c r="N92" s="112">
        <v>3000.0</v>
      </c>
      <c r="O92" s="112" t="str">
        <f t="shared" si="27"/>
        <v>-</v>
      </c>
      <c r="P92" s="112">
        <f t="shared" si="28"/>
        <v>8666.666667</v>
      </c>
      <c r="Q92" s="112">
        <f t="shared" si="29"/>
        <v>26000000</v>
      </c>
      <c r="R92" s="1238" t="s">
        <v>2498</v>
      </c>
      <c r="S92" s="1242"/>
      <c r="T92" s="1242"/>
      <c r="U92" s="1236" t="s">
        <v>45</v>
      </c>
      <c r="V92" s="170"/>
      <c r="W92" s="170"/>
    </row>
    <row r="93" ht="75.0" customHeight="1" outlineLevel="1">
      <c r="A93" s="1236" t="s">
        <v>45</v>
      </c>
      <c r="B93" s="1237" t="s">
        <v>331</v>
      </c>
      <c r="C93" s="1238" t="s">
        <v>320</v>
      </c>
      <c r="D93" s="1239" t="s">
        <v>332</v>
      </c>
      <c r="E93" s="1240" t="s">
        <v>40</v>
      </c>
      <c r="F93" s="1241" t="s">
        <v>21</v>
      </c>
      <c r="G93" s="1212" t="s">
        <v>50</v>
      </c>
      <c r="H93" s="1238" t="s">
        <v>323</v>
      </c>
      <c r="I93" s="1219" t="b">
        <v>1</v>
      </c>
      <c r="J93" s="110" t="s">
        <v>10</v>
      </c>
      <c r="K93" s="110">
        <f t="shared" si="26"/>
        <v>1</v>
      </c>
      <c r="L93" s="112">
        <v>2.5E7</v>
      </c>
      <c r="M93" s="112">
        <v>0.0</v>
      </c>
      <c r="N93" s="112">
        <v>3000.0</v>
      </c>
      <c r="O93" s="112" t="str">
        <f t="shared" si="27"/>
        <v>-</v>
      </c>
      <c r="P93" s="112">
        <f t="shared" si="28"/>
        <v>8333.333333</v>
      </c>
      <c r="Q93" s="112">
        <f t="shared" si="29"/>
        <v>25000000</v>
      </c>
      <c r="R93" s="1238" t="s">
        <v>2499</v>
      </c>
      <c r="S93" s="1242"/>
      <c r="T93" s="1242"/>
      <c r="U93" s="1236" t="s">
        <v>45</v>
      </c>
      <c r="V93" s="170"/>
      <c r="W93" s="170"/>
    </row>
    <row r="94" ht="75.0" customHeight="1" outlineLevel="1">
      <c r="A94" s="1236" t="s">
        <v>45</v>
      </c>
      <c r="B94" s="1237" t="s">
        <v>334</v>
      </c>
      <c r="C94" s="1238" t="s">
        <v>320</v>
      </c>
      <c r="D94" s="1239" t="s">
        <v>335</v>
      </c>
      <c r="E94" s="1240" t="s">
        <v>40</v>
      </c>
      <c r="F94" s="1241" t="s">
        <v>21</v>
      </c>
      <c r="G94" s="1212" t="s">
        <v>322</v>
      </c>
      <c r="H94" s="1238" t="s">
        <v>336</v>
      </c>
      <c r="I94" s="1219" t="b">
        <v>1</v>
      </c>
      <c r="J94" s="110" t="s">
        <v>10</v>
      </c>
      <c r="K94" s="110">
        <f t="shared" si="26"/>
        <v>1</v>
      </c>
      <c r="L94" s="112">
        <v>1.7E7</v>
      </c>
      <c r="M94" s="112">
        <v>0.0</v>
      </c>
      <c r="N94" s="112">
        <v>3000.0</v>
      </c>
      <c r="O94" s="112" t="str">
        <f t="shared" si="27"/>
        <v>-</v>
      </c>
      <c r="P94" s="112">
        <f t="shared" si="28"/>
        <v>5666.666667</v>
      </c>
      <c r="Q94" s="112">
        <f t="shared" si="29"/>
        <v>17000000</v>
      </c>
      <c r="R94" s="1238" t="s">
        <v>2500</v>
      </c>
      <c r="S94" s="1242"/>
      <c r="T94" s="1242"/>
      <c r="U94" s="1236" t="s">
        <v>45</v>
      </c>
      <c r="V94" s="170"/>
      <c r="W94" s="170"/>
    </row>
    <row r="95" ht="75.0" customHeight="1" outlineLevel="1">
      <c r="A95" s="1236" t="s">
        <v>45</v>
      </c>
      <c r="B95" s="1237" t="s">
        <v>338</v>
      </c>
      <c r="C95" s="1238" t="s">
        <v>38</v>
      </c>
      <c r="D95" s="1239" t="s">
        <v>339</v>
      </c>
      <c r="E95" s="1240" t="s">
        <v>118</v>
      </c>
      <c r="F95" s="1241" t="s">
        <v>21</v>
      </c>
      <c r="G95" s="1212" t="s">
        <v>105</v>
      </c>
      <c r="H95" s="1238" t="s">
        <v>340</v>
      </c>
      <c r="I95" s="1219" t="b">
        <v>1</v>
      </c>
      <c r="J95" s="110" t="s">
        <v>7</v>
      </c>
      <c r="K95" s="110">
        <f t="shared" si="26"/>
        <v>1</v>
      </c>
      <c r="L95" s="112">
        <v>2.5E7</v>
      </c>
      <c r="M95" s="112">
        <v>80000.0</v>
      </c>
      <c r="N95" s="112">
        <v>2000.0</v>
      </c>
      <c r="O95" s="112">
        <f t="shared" si="27"/>
        <v>312.5</v>
      </c>
      <c r="P95" s="112">
        <f t="shared" si="28"/>
        <v>12500</v>
      </c>
      <c r="Q95" s="112">
        <f t="shared" si="29"/>
        <v>25000000</v>
      </c>
      <c r="R95" s="1238" t="s">
        <v>2501</v>
      </c>
      <c r="S95" s="1242"/>
      <c r="T95" s="1242"/>
      <c r="U95" s="1236" t="s">
        <v>45</v>
      </c>
      <c r="V95" s="170"/>
      <c r="W95" s="170"/>
    </row>
    <row r="96" ht="75.0" customHeight="1" outlineLevel="1">
      <c r="A96" s="1236" t="s">
        <v>45</v>
      </c>
      <c r="B96" s="1237" t="s">
        <v>342</v>
      </c>
      <c r="C96" s="1238" t="s">
        <v>38</v>
      </c>
      <c r="D96" s="1239" t="s">
        <v>343</v>
      </c>
      <c r="E96" s="1240" t="s">
        <v>40</v>
      </c>
      <c r="F96" s="1241" t="s">
        <v>21</v>
      </c>
      <c r="G96" s="1212" t="s">
        <v>50</v>
      </c>
      <c r="H96" s="1238" t="s">
        <v>340</v>
      </c>
      <c r="I96" s="1219" t="b">
        <v>1</v>
      </c>
      <c r="J96" s="110" t="s">
        <v>7</v>
      </c>
      <c r="K96" s="110">
        <f t="shared" si="26"/>
        <v>1</v>
      </c>
      <c r="L96" s="112">
        <v>1.5E7</v>
      </c>
      <c r="M96" s="112">
        <v>30000.0</v>
      </c>
      <c r="N96" s="112">
        <v>1500.0</v>
      </c>
      <c r="O96" s="112">
        <f t="shared" si="27"/>
        <v>500</v>
      </c>
      <c r="P96" s="112">
        <f t="shared" si="28"/>
        <v>10000</v>
      </c>
      <c r="Q96" s="112">
        <f t="shared" si="29"/>
        <v>15000000</v>
      </c>
      <c r="R96" s="1238" t="s">
        <v>2502</v>
      </c>
      <c r="S96" s="1242"/>
      <c r="T96" s="1242"/>
      <c r="U96" s="1236" t="s">
        <v>45</v>
      </c>
      <c r="V96" s="170"/>
      <c r="W96" s="170"/>
    </row>
    <row r="97" ht="75.0" customHeight="1" outlineLevel="1">
      <c r="A97" s="1236" t="s">
        <v>45</v>
      </c>
      <c r="B97" s="1237" t="s">
        <v>345</v>
      </c>
      <c r="C97" s="1238" t="s">
        <v>38</v>
      </c>
      <c r="D97" s="1239" t="s">
        <v>346</v>
      </c>
      <c r="E97" s="1240" t="s">
        <v>40</v>
      </c>
      <c r="F97" s="1241" t="s">
        <v>21</v>
      </c>
      <c r="G97" s="1212" t="s">
        <v>322</v>
      </c>
      <c r="H97" s="1238" t="s">
        <v>340</v>
      </c>
      <c r="I97" s="1219" t="b">
        <v>1</v>
      </c>
      <c r="J97" s="110" t="s">
        <v>7</v>
      </c>
      <c r="K97" s="110">
        <f t="shared" si="26"/>
        <v>1</v>
      </c>
      <c r="L97" s="112">
        <v>1.8E7</v>
      </c>
      <c r="M97" s="112">
        <v>80000.0</v>
      </c>
      <c r="N97" s="112">
        <v>1500.0</v>
      </c>
      <c r="O97" s="112">
        <f t="shared" si="27"/>
        <v>225</v>
      </c>
      <c r="P97" s="112">
        <f t="shared" si="28"/>
        <v>12000</v>
      </c>
      <c r="Q97" s="112">
        <f t="shared" si="29"/>
        <v>18000000</v>
      </c>
      <c r="R97" s="1238" t="s">
        <v>2503</v>
      </c>
      <c r="S97" s="1242"/>
      <c r="T97" s="1242"/>
      <c r="U97" s="1236" t="s">
        <v>45</v>
      </c>
      <c r="V97" s="170"/>
      <c r="W97" s="170"/>
    </row>
    <row r="98" ht="75.0" customHeight="1" outlineLevel="1">
      <c r="A98" s="1236" t="s">
        <v>45</v>
      </c>
      <c r="B98" s="1237" t="s">
        <v>348</v>
      </c>
      <c r="C98" s="1238" t="s">
        <v>38</v>
      </c>
      <c r="D98" s="1239" t="s">
        <v>349</v>
      </c>
      <c r="E98" s="1240" t="s">
        <v>40</v>
      </c>
      <c r="F98" s="1241" t="s">
        <v>21</v>
      </c>
      <c r="G98" s="1212" t="s">
        <v>50</v>
      </c>
      <c r="H98" s="1238" t="s">
        <v>340</v>
      </c>
      <c r="I98" s="1219" t="b">
        <v>1</v>
      </c>
      <c r="J98" s="110" t="s">
        <v>7</v>
      </c>
      <c r="K98" s="110">
        <f t="shared" si="26"/>
        <v>1</v>
      </c>
      <c r="L98" s="112">
        <v>1.2E7</v>
      </c>
      <c r="M98" s="112">
        <v>50000.0</v>
      </c>
      <c r="N98" s="112">
        <v>1500.0</v>
      </c>
      <c r="O98" s="112">
        <f t="shared" si="27"/>
        <v>240</v>
      </c>
      <c r="P98" s="112">
        <f t="shared" si="28"/>
        <v>8000</v>
      </c>
      <c r="Q98" s="112">
        <f t="shared" si="29"/>
        <v>12000000</v>
      </c>
      <c r="R98" s="1238" t="s">
        <v>2504</v>
      </c>
      <c r="S98" s="1242"/>
      <c r="T98" s="1242"/>
      <c r="U98" s="1236" t="s">
        <v>45</v>
      </c>
      <c r="V98" s="170"/>
      <c r="W98" s="170"/>
    </row>
    <row r="99" ht="75.0" customHeight="1" outlineLevel="1">
      <c r="A99" s="1236" t="s">
        <v>45</v>
      </c>
      <c r="B99" s="1237" t="s">
        <v>351</v>
      </c>
      <c r="C99" s="1238" t="s">
        <v>38</v>
      </c>
      <c r="D99" s="1239" t="s">
        <v>352</v>
      </c>
      <c r="E99" s="1240" t="s">
        <v>40</v>
      </c>
      <c r="F99" s="1241" t="s">
        <v>21</v>
      </c>
      <c r="G99" s="1212" t="s">
        <v>105</v>
      </c>
      <c r="H99" s="1238" t="s">
        <v>340</v>
      </c>
      <c r="I99" s="1219" t="b">
        <v>1</v>
      </c>
      <c r="J99" s="110" t="s">
        <v>7</v>
      </c>
      <c r="K99" s="110">
        <f t="shared" si="26"/>
        <v>1</v>
      </c>
      <c r="L99" s="112">
        <v>2.0E7</v>
      </c>
      <c r="M99" s="112">
        <v>80000.0</v>
      </c>
      <c r="N99" s="112">
        <v>2000.0</v>
      </c>
      <c r="O99" s="112">
        <f t="shared" si="27"/>
        <v>250</v>
      </c>
      <c r="P99" s="112">
        <f t="shared" si="28"/>
        <v>10000</v>
      </c>
      <c r="Q99" s="112">
        <f t="shared" si="29"/>
        <v>20000000</v>
      </c>
      <c r="R99" s="1238" t="s">
        <v>2505</v>
      </c>
      <c r="S99" s="1224"/>
      <c r="T99" s="1224"/>
      <c r="U99" s="1236" t="s">
        <v>45</v>
      </c>
      <c r="V99" s="168"/>
      <c r="W99" s="168"/>
    </row>
    <row r="100" ht="54.0" customHeight="1">
      <c r="A100" s="1243" t="s">
        <v>354</v>
      </c>
      <c r="B100" s="1244"/>
      <c r="C100" s="1245"/>
      <c r="D100" s="1246"/>
      <c r="E100" s="1245"/>
      <c r="F100" s="1245"/>
      <c r="G100" s="1245"/>
      <c r="H100" s="1245"/>
      <c r="I100" s="1245"/>
      <c r="J100" s="1247"/>
      <c r="K100" s="1247"/>
      <c r="L100" s="1247"/>
      <c r="M100" s="1247"/>
      <c r="N100" s="1248">
        <f>K101</f>
        <v>2000</v>
      </c>
      <c r="O100" s="1247"/>
      <c r="P100" s="1247"/>
      <c r="Q100" s="1248">
        <f>Q101</f>
        <v>20000000</v>
      </c>
      <c r="R100" s="1249"/>
      <c r="S100" s="1250"/>
      <c r="T100" s="1250"/>
      <c r="U100" s="1250"/>
      <c r="V100" s="181"/>
      <c r="W100" s="181"/>
    </row>
    <row r="101" ht="67.5" customHeight="1" outlineLevel="1">
      <c r="A101" s="1273">
        <v>1.0</v>
      </c>
      <c r="B101" s="1274" t="s">
        <v>355</v>
      </c>
      <c r="C101" s="1275" t="s">
        <v>356</v>
      </c>
      <c r="D101" s="185"/>
      <c r="E101" s="185"/>
      <c r="F101" s="185"/>
      <c r="G101" s="185"/>
      <c r="H101" s="186"/>
      <c r="I101" s="1276" t="b">
        <v>1</v>
      </c>
      <c r="J101" s="1277" t="s">
        <v>11</v>
      </c>
      <c r="K101" s="1277">
        <v>2000.0</v>
      </c>
      <c r="L101" s="1277">
        <v>10000.0</v>
      </c>
      <c r="M101" s="1278"/>
      <c r="N101" s="1279">
        <f>L101</f>
        <v>10000</v>
      </c>
      <c r="O101" s="1278"/>
      <c r="P101" s="1278"/>
      <c r="Q101" s="1280">
        <f>iferror(L101*K101,"-")</f>
        <v>20000000</v>
      </c>
      <c r="R101" s="1281"/>
      <c r="S101" s="1250"/>
      <c r="T101" s="1250"/>
      <c r="U101" s="1250"/>
      <c r="V101" s="181"/>
      <c r="W101" s="181"/>
    </row>
    <row r="102" ht="23.25" customHeight="1">
      <c r="A102" s="1251"/>
      <c r="B102" s="1252"/>
      <c r="C102" s="1252"/>
      <c r="D102" s="1252"/>
      <c r="E102" s="1252"/>
      <c r="F102" s="1252"/>
      <c r="G102" s="1252"/>
      <c r="H102" s="1252"/>
      <c r="I102" s="1253" t="s">
        <v>357</v>
      </c>
      <c r="J102" s="1252"/>
      <c r="K102" s="1252"/>
      <c r="L102" s="1252"/>
      <c r="M102" s="1254">
        <f t="shared" ref="M102:N102" si="30">sum(M100,M88,M46,M20)</f>
        <v>1546500</v>
      </c>
      <c r="N102" s="1254">
        <f t="shared" si="30"/>
        <v>84200</v>
      </c>
      <c r="O102" s="1255"/>
      <c r="P102" s="1255"/>
      <c r="Q102" s="1254">
        <f>sum(Q100,Q88,Q46,Q20)</f>
        <v>616000000</v>
      </c>
      <c r="R102" s="1256"/>
      <c r="S102" s="606"/>
      <c r="T102" s="606"/>
      <c r="U102" s="606"/>
      <c r="V102" s="8"/>
      <c r="W102" s="8"/>
    </row>
    <row r="103" ht="25.5" customHeight="1">
      <c r="A103" s="1251"/>
      <c r="B103" s="1252"/>
      <c r="C103" s="1252"/>
      <c r="D103" s="1252"/>
      <c r="E103" s="1252"/>
      <c r="F103" s="1252"/>
      <c r="G103" s="1252"/>
      <c r="H103" s="1252"/>
      <c r="I103" s="1253" t="s">
        <v>358</v>
      </c>
      <c r="J103" s="1252"/>
      <c r="K103" s="1252"/>
      <c r="L103" s="1252"/>
      <c r="M103" s="1252"/>
      <c r="N103" s="1252"/>
      <c r="O103" s="1252"/>
      <c r="P103" s="1257">
        <v>0.12</v>
      </c>
      <c r="Q103" s="1254">
        <f>Q102*P103</f>
        <v>73920000</v>
      </c>
      <c r="R103" s="1256"/>
      <c r="S103" s="606"/>
      <c r="T103" s="606"/>
      <c r="U103" s="606"/>
      <c r="V103" s="8"/>
      <c r="W103" s="8"/>
    </row>
    <row r="104" ht="25.5" customHeight="1">
      <c r="A104" s="1258"/>
      <c r="B104" s="1259"/>
      <c r="C104" s="1259"/>
      <c r="D104" s="1259"/>
      <c r="E104" s="1259"/>
      <c r="F104" s="1259"/>
      <c r="G104" s="1259"/>
      <c r="H104" s="1259"/>
      <c r="I104" s="1260" t="s">
        <v>359</v>
      </c>
      <c r="J104" s="1259"/>
      <c r="K104" s="1259"/>
      <c r="L104" s="1259"/>
      <c r="M104" s="1259"/>
      <c r="N104" s="1259"/>
      <c r="O104" s="1259"/>
      <c r="P104" s="1261"/>
      <c r="Q104" s="1262">
        <f>SUM(Q102:Q103)</f>
        <v>689920000</v>
      </c>
      <c r="R104" s="1263"/>
      <c r="S104" s="606"/>
      <c r="T104" s="606"/>
      <c r="U104" s="606"/>
      <c r="V104" s="8"/>
      <c r="W104" s="8"/>
    </row>
    <row r="105" ht="25.5" customHeight="1">
      <c r="A105" s="1264"/>
      <c r="B105" s="1265"/>
      <c r="C105" s="1265"/>
      <c r="D105" s="1265"/>
      <c r="E105" s="1265"/>
      <c r="F105" s="1265"/>
      <c r="G105" s="1265"/>
      <c r="H105" s="1265"/>
      <c r="I105" s="1266" t="s">
        <v>360</v>
      </c>
      <c r="J105" s="1265"/>
      <c r="K105" s="1265"/>
      <c r="L105" s="1265"/>
      <c r="M105" s="1265"/>
      <c r="N105" s="1265"/>
      <c r="O105" s="1265"/>
      <c r="P105" s="1267"/>
      <c r="Q105" s="1268">
        <f>Q104*1.08</f>
        <v>745113600</v>
      </c>
      <c r="R105" s="1269"/>
      <c r="S105" s="606"/>
      <c r="T105" s="606"/>
      <c r="U105" s="606"/>
      <c r="V105" s="8"/>
      <c r="W105" s="8"/>
    </row>
    <row r="106" ht="25.5" customHeight="1">
      <c r="A106" s="586"/>
      <c r="B106" s="586"/>
      <c r="C106" s="586"/>
      <c r="D106" s="586"/>
      <c r="E106" s="586"/>
      <c r="F106" s="586"/>
      <c r="G106" s="586"/>
      <c r="H106" s="586"/>
      <c r="I106" s="586"/>
      <c r="J106" s="586"/>
      <c r="K106" s="586"/>
      <c r="L106" s="586"/>
      <c r="M106" s="586"/>
      <c r="N106" s="586"/>
      <c r="O106" s="586"/>
      <c r="P106" s="586"/>
      <c r="Q106" s="586"/>
      <c r="R106" s="586"/>
      <c r="S106" s="606"/>
      <c r="T106" s="606"/>
      <c r="U106" s="606"/>
      <c r="V106" s="8"/>
      <c r="W106" s="8"/>
    </row>
    <row r="107" ht="25.5" customHeight="1">
      <c r="A107" s="1270"/>
      <c r="B107" s="1270"/>
      <c r="C107" s="1270"/>
      <c r="D107" s="1271"/>
      <c r="E107" s="1270"/>
      <c r="F107" s="1270"/>
      <c r="G107" s="1270"/>
      <c r="H107" s="1270"/>
      <c r="I107" s="1270"/>
      <c r="J107" s="1272"/>
      <c r="K107" s="1272"/>
      <c r="L107" s="1272"/>
      <c r="M107" s="1272"/>
      <c r="N107" s="1272"/>
      <c r="O107" s="1272"/>
      <c r="P107" s="1272"/>
      <c r="Q107" s="1272"/>
      <c r="R107" s="1270"/>
      <c r="S107" s="606"/>
      <c r="T107" s="606"/>
      <c r="U107" s="606"/>
      <c r="V107" s="8"/>
      <c r="W107" s="8"/>
    </row>
    <row r="108" ht="29.25" customHeight="1">
      <c r="A108" s="585"/>
      <c r="B108" s="585"/>
      <c r="C108" s="585"/>
      <c r="D108" s="585"/>
      <c r="E108" s="585"/>
      <c r="F108" s="585"/>
      <c r="G108" s="585"/>
      <c r="H108" s="585"/>
      <c r="I108" s="585"/>
      <c r="J108" s="585"/>
      <c r="K108" s="585"/>
      <c r="L108" s="585"/>
      <c r="M108" s="585"/>
      <c r="N108" s="585"/>
      <c r="O108" s="585"/>
      <c r="P108" s="585"/>
      <c r="Q108" s="585"/>
      <c r="R108" s="585"/>
      <c r="S108" s="585"/>
      <c r="T108" s="585"/>
      <c r="U108" s="585"/>
      <c r="V108" s="224"/>
      <c r="W108" s="224"/>
    </row>
    <row r="109">
      <c r="A109" s="585"/>
      <c r="B109" s="585"/>
      <c r="C109" s="585"/>
      <c r="D109" s="585"/>
      <c r="E109" s="585"/>
      <c r="F109" s="585"/>
      <c r="G109" s="585"/>
      <c r="H109" s="585"/>
      <c r="I109" s="585"/>
      <c r="J109" s="585"/>
      <c r="K109" s="585"/>
      <c r="L109" s="585"/>
      <c r="M109" s="585"/>
      <c r="N109" s="585"/>
      <c r="O109" s="585"/>
      <c r="P109" s="585"/>
      <c r="Q109" s="585"/>
      <c r="R109" s="585"/>
      <c r="S109" s="585"/>
      <c r="T109" s="585"/>
      <c r="U109" s="585"/>
      <c r="V109" s="224"/>
      <c r="W109" s="224"/>
    </row>
    <row r="110">
      <c r="A110" s="585"/>
      <c r="B110" s="585"/>
      <c r="C110" s="1250"/>
      <c r="D110" s="585"/>
      <c r="E110" s="585"/>
      <c r="F110" s="585"/>
      <c r="G110" s="585"/>
      <c r="H110" s="585"/>
      <c r="I110" s="585"/>
      <c r="J110" s="585"/>
      <c r="K110" s="585"/>
      <c r="L110" s="585"/>
      <c r="M110" s="585"/>
      <c r="N110" s="585"/>
      <c r="O110" s="585"/>
      <c r="P110" s="585"/>
      <c r="Q110" s="585"/>
      <c r="R110" s="585"/>
      <c r="S110" s="585"/>
      <c r="T110" s="585"/>
      <c r="U110" s="585"/>
      <c r="V110" s="224"/>
      <c r="W110" s="224"/>
    </row>
    <row r="111">
      <c r="A111" s="585"/>
      <c r="B111" s="585"/>
      <c r="C111" s="585"/>
      <c r="D111" s="585"/>
      <c r="E111" s="585"/>
      <c r="F111" s="585"/>
      <c r="G111" s="585"/>
      <c r="H111" s="585"/>
      <c r="I111" s="585"/>
      <c r="J111" s="585"/>
      <c r="K111" s="585"/>
      <c r="L111" s="585"/>
      <c r="M111" s="585"/>
      <c r="N111" s="585"/>
      <c r="O111" s="585"/>
      <c r="P111" s="585"/>
      <c r="Q111" s="585"/>
      <c r="R111" s="585"/>
      <c r="S111" s="585"/>
      <c r="T111" s="585"/>
      <c r="U111" s="585"/>
      <c r="V111" s="224"/>
      <c r="W111" s="224"/>
    </row>
    <row r="112">
      <c r="A112" s="585"/>
      <c r="B112" s="585"/>
      <c r="C112" s="585"/>
      <c r="D112" s="585"/>
      <c r="E112" s="585"/>
      <c r="F112" s="585"/>
      <c r="G112" s="585"/>
      <c r="H112" s="585"/>
      <c r="I112" s="585"/>
      <c r="J112" s="585"/>
      <c r="K112" s="585"/>
      <c r="L112" s="585"/>
      <c r="M112" s="585"/>
      <c r="N112" s="585"/>
      <c r="O112" s="585"/>
      <c r="P112" s="585"/>
      <c r="Q112" s="585"/>
      <c r="R112" s="585"/>
      <c r="S112" s="585"/>
      <c r="T112" s="585"/>
      <c r="U112" s="585"/>
      <c r="V112" s="224"/>
      <c r="W112" s="224"/>
    </row>
    <row r="113">
      <c r="A113" s="585"/>
      <c r="B113" s="585"/>
      <c r="C113" s="585"/>
      <c r="D113" s="585"/>
      <c r="E113" s="585"/>
      <c r="F113" s="585"/>
      <c r="G113" s="585"/>
      <c r="H113" s="585"/>
      <c r="I113" s="585"/>
      <c r="J113" s="585"/>
      <c r="K113" s="585"/>
      <c r="L113" s="585"/>
      <c r="M113" s="585"/>
      <c r="N113" s="585"/>
      <c r="O113" s="585"/>
      <c r="P113" s="585"/>
      <c r="Q113" s="585"/>
      <c r="R113" s="585"/>
      <c r="S113" s="585"/>
      <c r="T113" s="585"/>
      <c r="U113" s="585"/>
      <c r="V113" s="224"/>
      <c r="W113" s="224"/>
    </row>
    <row r="114">
      <c r="A114" s="585"/>
      <c r="B114" s="585"/>
      <c r="C114" s="585"/>
      <c r="D114" s="585"/>
      <c r="E114" s="585"/>
      <c r="F114" s="585"/>
      <c r="G114" s="585"/>
      <c r="H114" s="585"/>
      <c r="I114" s="585"/>
      <c r="J114" s="585"/>
      <c r="K114" s="585"/>
      <c r="L114" s="585"/>
      <c r="M114" s="585"/>
      <c r="N114" s="585"/>
      <c r="O114" s="585"/>
      <c r="P114" s="585"/>
      <c r="Q114" s="585"/>
      <c r="R114" s="585"/>
      <c r="S114" s="585"/>
      <c r="T114" s="585"/>
      <c r="U114" s="585"/>
      <c r="V114" s="224"/>
      <c r="W114" s="224"/>
    </row>
    <row r="115">
      <c r="A115" s="585"/>
      <c r="B115" s="585"/>
      <c r="C115" s="585"/>
      <c r="D115" s="585"/>
      <c r="E115" s="585"/>
      <c r="F115" s="585"/>
      <c r="G115" s="585"/>
      <c r="H115" s="585"/>
      <c r="I115" s="585"/>
      <c r="J115" s="585"/>
      <c r="K115" s="585"/>
      <c r="L115" s="585"/>
      <c r="M115" s="585"/>
      <c r="N115" s="585"/>
      <c r="O115" s="585"/>
      <c r="P115" s="585"/>
      <c r="Q115" s="585"/>
      <c r="R115" s="585"/>
      <c r="S115" s="585"/>
      <c r="T115" s="585"/>
      <c r="U115" s="585"/>
      <c r="V115" s="224"/>
      <c r="W115" s="224"/>
    </row>
    <row r="116">
      <c r="A116" s="585"/>
      <c r="B116" s="585"/>
      <c r="C116" s="585"/>
      <c r="D116" s="585"/>
      <c r="E116" s="585"/>
      <c r="F116" s="585"/>
      <c r="G116" s="585"/>
      <c r="H116" s="585"/>
      <c r="I116" s="585"/>
      <c r="J116" s="585"/>
      <c r="K116" s="585"/>
      <c r="L116" s="585"/>
      <c r="M116" s="585"/>
      <c r="N116" s="585"/>
      <c r="O116" s="585"/>
      <c r="P116" s="585"/>
      <c r="Q116" s="585"/>
      <c r="R116" s="585"/>
      <c r="S116" s="585"/>
      <c r="T116" s="585"/>
      <c r="U116" s="585"/>
      <c r="V116" s="224"/>
      <c r="W116" s="224"/>
    </row>
    <row r="117">
      <c r="A117" s="585"/>
      <c r="B117" s="585"/>
      <c r="C117" s="585"/>
      <c r="D117" s="585"/>
      <c r="E117" s="585"/>
      <c r="F117" s="585"/>
      <c r="G117" s="585"/>
      <c r="H117" s="585"/>
      <c r="I117" s="585"/>
      <c r="J117" s="585"/>
      <c r="K117" s="585"/>
      <c r="L117" s="585"/>
      <c r="M117" s="585"/>
      <c r="N117" s="585"/>
      <c r="O117" s="585"/>
      <c r="P117" s="585"/>
      <c r="Q117" s="585"/>
      <c r="R117" s="585"/>
      <c r="S117" s="585"/>
      <c r="T117" s="585"/>
      <c r="U117" s="585"/>
      <c r="V117" s="224"/>
      <c r="W117" s="224"/>
    </row>
    <row r="118">
      <c r="A118" s="585"/>
      <c r="B118" s="585"/>
      <c r="C118" s="585"/>
      <c r="D118" s="585"/>
      <c r="E118" s="585"/>
      <c r="F118" s="585"/>
      <c r="G118" s="585"/>
      <c r="H118" s="585"/>
      <c r="I118" s="585"/>
      <c r="J118" s="585"/>
      <c r="K118" s="585"/>
      <c r="L118" s="585"/>
      <c r="M118" s="585"/>
      <c r="N118" s="585"/>
      <c r="O118" s="585"/>
      <c r="P118" s="585"/>
      <c r="Q118" s="585"/>
      <c r="R118" s="585"/>
      <c r="S118" s="585"/>
      <c r="T118" s="585"/>
      <c r="U118" s="585"/>
      <c r="V118" s="224"/>
      <c r="W118" s="224"/>
    </row>
    <row r="119">
      <c r="A119" s="585"/>
      <c r="B119" s="585"/>
      <c r="C119" s="585"/>
      <c r="D119" s="585"/>
      <c r="E119" s="585"/>
      <c r="F119" s="585"/>
      <c r="G119" s="585"/>
      <c r="H119" s="585"/>
      <c r="I119" s="585"/>
      <c r="J119" s="585"/>
      <c r="K119" s="585"/>
      <c r="L119" s="585"/>
      <c r="M119" s="585"/>
      <c r="N119" s="585"/>
      <c r="O119" s="585"/>
      <c r="P119" s="585"/>
      <c r="Q119" s="585"/>
      <c r="R119" s="585"/>
      <c r="S119" s="585"/>
      <c r="T119" s="585"/>
      <c r="U119" s="585"/>
      <c r="V119" s="224"/>
      <c r="W119" s="224"/>
    </row>
    <row r="120">
      <c r="A120" s="585"/>
      <c r="B120" s="585"/>
      <c r="C120" s="585"/>
      <c r="D120" s="585"/>
      <c r="E120" s="585"/>
      <c r="F120" s="585"/>
      <c r="G120" s="585"/>
      <c r="H120" s="585"/>
      <c r="I120" s="585"/>
      <c r="J120" s="585"/>
      <c r="K120" s="585"/>
      <c r="L120" s="585"/>
      <c r="M120" s="585"/>
      <c r="N120" s="585"/>
      <c r="O120" s="585"/>
      <c r="P120" s="585"/>
      <c r="Q120" s="585"/>
      <c r="R120" s="585"/>
      <c r="S120" s="585"/>
      <c r="T120" s="585"/>
      <c r="U120" s="585"/>
      <c r="V120" s="224"/>
      <c r="W120" s="224"/>
    </row>
    <row r="121">
      <c r="A121" s="585"/>
      <c r="B121" s="585"/>
      <c r="C121" s="585"/>
      <c r="D121" s="585"/>
      <c r="E121" s="585"/>
      <c r="F121" s="585"/>
      <c r="G121" s="585"/>
      <c r="H121" s="585"/>
      <c r="I121" s="585"/>
      <c r="J121" s="585"/>
      <c r="K121" s="585"/>
      <c r="L121" s="585"/>
      <c r="M121" s="585"/>
      <c r="N121" s="585"/>
      <c r="O121" s="585"/>
      <c r="P121" s="585"/>
      <c r="Q121" s="585"/>
      <c r="R121" s="585"/>
      <c r="S121" s="585"/>
      <c r="T121" s="585"/>
      <c r="U121" s="585"/>
      <c r="V121" s="224"/>
      <c r="W121" s="224"/>
    </row>
    <row r="122">
      <c r="A122" s="585"/>
      <c r="B122" s="585"/>
      <c r="C122" s="585"/>
      <c r="D122" s="585"/>
      <c r="E122" s="585"/>
      <c r="F122" s="585"/>
      <c r="G122" s="585"/>
      <c r="H122" s="585"/>
      <c r="I122" s="585"/>
      <c r="J122" s="585"/>
      <c r="K122" s="585"/>
      <c r="L122" s="585"/>
      <c r="M122" s="585"/>
      <c r="N122" s="585"/>
      <c r="O122" s="585"/>
      <c r="P122" s="585"/>
      <c r="Q122" s="585"/>
      <c r="R122" s="585"/>
      <c r="S122" s="585"/>
      <c r="T122" s="585"/>
      <c r="U122" s="585"/>
      <c r="V122" s="224"/>
      <c r="W122" s="224"/>
    </row>
    <row r="123">
      <c r="A123" s="585"/>
      <c r="B123" s="585"/>
      <c r="C123" s="585"/>
      <c r="D123" s="585"/>
      <c r="E123" s="585"/>
      <c r="F123" s="585"/>
      <c r="G123" s="585"/>
      <c r="H123" s="585"/>
      <c r="I123" s="585"/>
      <c r="J123" s="585"/>
      <c r="K123" s="585"/>
      <c r="L123" s="585"/>
      <c r="M123" s="585"/>
      <c r="N123" s="585"/>
      <c r="O123" s="585"/>
      <c r="P123" s="585"/>
      <c r="Q123" s="585"/>
      <c r="R123" s="585"/>
      <c r="S123" s="585"/>
      <c r="T123" s="585"/>
      <c r="U123" s="585"/>
      <c r="V123" s="224"/>
      <c r="W123" s="224"/>
    </row>
    <row r="124">
      <c r="A124" s="585"/>
      <c r="B124" s="585"/>
      <c r="C124" s="585"/>
      <c r="D124" s="585"/>
      <c r="E124" s="585"/>
      <c r="F124" s="585"/>
      <c r="G124" s="585"/>
      <c r="H124" s="585"/>
      <c r="I124" s="585"/>
      <c r="J124" s="585"/>
      <c r="K124" s="585"/>
      <c r="L124" s="585"/>
      <c r="M124" s="585"/>
      <c r="N124" s="585"/>
      <c r="O124" s="585"/>
      <c r="P124" s="585"/>
      <c r="Q124" s="585"/>
      <c r="R124" s="585"/>
      <c r="S124" s="585"/>
      <c r="T124" s="585"/>
      <c r="U124" s="585"/>
      <c r="V124" s="224"/>
      <c r="W124" s="224"/>
    </row>
    <row r="125">
      <c r="A125" s="585"/>
      <c r="B125" s="585"/>
      <c r="C125" s="585"/>
      <c r="D125" s="585"/>
      <c r="E125" s="585"/>
      <c r="F125" s="585"/>
      <c r="G125" s="585"/>
      <c r="H125" s="585"/>
      <c r="I125" s="585"/>
      <c r="J125" s="585"/>
      <c r="K125" s="585"/>
      <c r="L125" s="585"/>
      <c r="M125" s="585"/>
      <c r="N125" s="585"/>
      <c r="O125" s="585"/>
      <c r="P125" s="585"/>
      <c r="Q125" s="585"/>
      <c r="R125" s="585"/>
      <c r="S125" s="585"/>
      <c r="T125" s="585"/>
      <c r="U125" s="585"/>
      <c r="V125" s="224"/>
      <c r="W125" s="224"/>
    </row>
    <row r="126">
      <c r="A126" s="585"/>
      <c r="B126" s="585"/>
      <c r="C126" s="585"/>
      <c r="D126" s="585"/>
      <c r="E126" s="585"/>
      <c r="F126" s="585"/>
      <c r="G126" s="585"/>
      <c r="H126" s="585"/>
      <c r="I126" s="585"/>
      <c r="J126" s="585"/>
      <c r="K126" s="585"/>
      <c r="L126" s="585"/>
      <c r="M126" s="585"/>
      <c r="N126" s="585"/>
      <c r="O126" s="585"/>
      <c r="P126" s="585"/>
      <c r="Q126" s="585"/>
      <c r="R126" s="585"/>
      <c r="S126" s="585"/>
      <c r="T126" s="585"/>
      <c r="U126" s="585"/>
      <c r="V126" s="224"/>
      <c r="W126" s="224"/>
    </row>
    <row r="127">
      <c r="A127" s="585"/>
      <c r="B127" s="585"/>
      <c r="C127" s="585"/>
      <c r="D127" s="585"/>
      <c r="E127" s="585"/>
      <c r="F127" s="585"/>
      <c r="G127" s="585"/>
      <c r="H127" s="585"/>
      <c r="I127" s="585"/>
      <c r="J127" s="585"/>
      <c r="K127" s="585"/>
      <c r="L127" s="585"/>
      <c r="M127" s="585"/>
      <c r="N127" s="585"/>
      <c r="O127" s="585"/>
      <c r="P127" s="585"/>
      <c r="Q127" s="585"/>
      <c r="R127" s="585"/>
      <c r="S127" s="585"/>
      <c r="T127" s="585"/>
      <c r="U127" s="585"/>
      <c r="V127" s="224"/>
      <c r="W127" s="224"/>
    </row>
    <row r="128">
      <c r="A128" s="585"/>
      <c r="B128" s="585"/>
      <c r="C128" s="585"/>
      <c r="D128" s="585"/>
      <c r="E128" s="585"/>
      <c r="F128" s="585"/>
      <c r="G128" s="585"/>
      <c r="H128" s="585"/>
      <c r="I128" s="585"/>
      <c r="J128" s="585"/>
      <c r="K128" s="585"/>
      <c r="L128" s="585"/>
      <c r="M128" s="585"/>
      <c r="N128" s="585"/>
      <c r="O128" s="585"/>
      <c r="P128" s="585"/>
      <c r="Q128" s="585"/>
      <c r="R128" s="585"/>
      <c r="S128" s="585"/>
      <c r="T128" s="585"/>
      <c r="U128" s="585"/>
      <c r="V128" s="224"/>
      <c r="W128" s="224"/>
    </row>
    <row r="129">
      <c r="A129" s="585"/>
      <c r="B129" s="585"/>
      <c r="C129" s="585"/>
      <c r="D129" s="585"/>
      <c r="E129" s="585"/>
      <c r="F129" s="585"/>
      <c r="G129" s="585"/>
      <c r="H129" s="585"/>
      <c r="I129" s="585"/>
      <c r="J129" s="585"/>
      <c r="K129" s="585"/>
      <c r="L129" s="585"/>
      <c r="M129" s="585"/>
      <c r="N129" s="585"/>
      <c r="O129" s="585"/>
      <c r="P129" s="585"/>
      <c r="Q129" s="585"/>
      <c r="R129" s="585"/>
      <c r="S129" s="585"/>
      <c r="T129" s="585"/>
      <c r="U129" s="585"/>
      <c r="V129" s="224"/>
      <c r="W129" s="224"/>
    </row>
    <row r="130">
      <c r="A130" s="585"/>
      <c r="B130" s="585"/>
      <c r="C130" s="585"/>
      <c r="D130" s="585"/>
      <c r="E130" s="585"/>
      <c r="F130" s="585"/>
      <c r="G130" s="585"/>
      <c r="H130" s="585"/>
      <c r="I130" s="585"/>
      <c r="J130" s="585"/>
      <c r="K130" s="585"/>
      <c r="L130" s="585"/>
      <c r="M130" s="585"/>
      <c r="N130" s="585"/>
      <c r="O130" s="585"/>
      <c r="P130" s="585"/>
      <c r="Q130" s="585"/>
      <c r="R130" s="585"/>
      <c r="S130" s="585"/>
      <c r="T130" s="585"/>
      <c r="U130" s="585"/>
      <c r="V130" s="224"/>
      <c r="W130" s="224"/>
    </row>
    <row r="131">
      <c r="A131" s="585"/>
      <c r="B131" s="585"/>
      <c r="C131" s="585"/>
      <c r="D131" s="585"/>
      <c r="E131" s="585"/>
      <c r="F131" s="585"/>
      <c r="G131" s="585"/>
      <c r="H131" s="585"/>
      <c r="I131" s="585"/>
      <c r="J131" s="585"/>
      <c r="K131" s="585"/>
      <c r="L131" s="585"/>
      <c r="M131" s="585"/>
      <c r="N131" s="585"/>
      <c r="O131" s="585"/>
      <c r="P131" s="585"/>
      <c r="Q131" s="585"/>
      <c r="R131" s="585"/>
      <c r="S131" s="585"/>
      <c r="T131" s="585"/>
      <c r="U131" s="585"/>
      <c r="V131" s="224"/>
      <c r="W131" s="224"/>
    </row>
    <row r="132">
      <c r="A132" s="585"/>
      <c r="B132" s="585"/>
      <c r="C132" s="585"/>
      <c r="D132" s="585"/>
      <c r="E132" s="585"/>
      <c r="F132" s="585"/>
      <c r="G132" s="585"/>
      <c r="H132" s="585"/>
      <c r="I132" s="585"/>
      <c r="J132" s="585"/>
      <c r="K132" s="585"/>
      <c r="L132" s="585"/>
      <c r="M132" s="585"/>
      <c r="N132" s="585"/>
      <c r="O132" s="585"/>
      <c r="P132" s="585"/>
      <c r="Q132" s="585"/>
      <c r="R132" s="585"/>
      <c r="S132" s="585"/>
      <c r="T132" s="585"/>
      <c r="U132" s="585"/>
      <c r="V132" s="224"/>
      <c r="W132" s="224"/>
    </row>
    <row r="133">
      <c r="A133" s="585"/>
      <c r="B133" s="585"/>
      <c r="C133" s="585"/>
      <c r="D133" s="585"/>
      <c r="E133" s="585"/>
      <c r="F133" s="585"/>
      <c r="G133" s="585"/>
      <c r="H133" s="585"/>
      <c r="I133" s="585"/>
      <c r="J133" s="585"/>
      <c r="K133" s="585"/>
      <c r="L133" s="585"/>
      <c r="M133" s="585"/>
      <c r="N133" s="585"/>
      <c r="O133" s="585"/>
      <c r="P133" s="585"/>
      <c r="Q133" s="585"/>
      <c r="R133" s="585"/>
      <c r="S133" s="585"/>
      <c r="T133" s="585"/>
      <c r="U133" s="585"/>
      <c r="V133" s="224"/>
      <c r="W133" s="224"/>
    </row>
    <row r="134">
      <c r="A134" s="585"/>
      <c r="B134" s="585"/>
      <c r="C134" s="585"/>
      <c r="D134" s="585"/>
      <c r="E134" s="585"/>
      <c r="F134" s="585"/>
      <c r="G134" s="585"/>
      <c r="H134" s="585"/>
      <c r="I134" s="585"/>
      <c r="J134" s="585"/>
      <c r="K134" s="585"/>
      <c r="L134" s="585"/>
      <c r="M134" s="585"/>
      <c r="N134" s="585"/>
      <c r="O134" s="585"/>
      <c r="P134" s="585"/>
      <c r="Q134" s="585"/>
      <c r="R134" s="585"/>
      <c r="S134" s="585"/>
      <c r="T134" s="585"/>
      <c r="U134" s="585"/>
      <c r="V134" s="224"/>
      <c r="W134" s="224"/>
    </row>
    <row r="135">
      <c r="A135" s="585"/>
      <c r="B135" s="585"/>
      <c r="C135" s="585"/>
      <c r="D135" s="585"/>
      <c r="E135" s="585"/>
      <c r="F135" s="585"/>
      <c r="G135" s="585"/>
      <c r="H135" s="585"/>
      <c r="I135" s="585"/>
      <c r="J135" s="585"/>
      <c r="K135" s="585"/>
      <c r="L135" s="585"/>
      <c r="M135" s="585"/>
      <c r="N135" s="585"/>
      <c r="O135" s="585"/>
      <c r="P135" s="585"/>
      <c r="Q135" s="585"/>
      <c r="R135" s="585"/>
      <c r="S135" s="585"/>
      <c r="T135" s="585"/>
      <c r="U135" s="585"/>
      <c r="V135" s="224"/>
      <c r="W135" s="224"/>
    </row>
    <row r="136">
      <c r="A136" s="585"/>
      <c r="B136" s="585"/>
      <c r="C136" s="585"/>
      <c r="D136" s="585"/>
      <c r="E136" s="585"/>
      <c r="F136" s="585"/>
      <c r="G136" s="585"/>
      <c r="H136" s="585"/>
      <c r="I136" s="585"/>
      <c r="J136" s="585"/>
      <c r="K136" s="585"/>
      <c r="L136" s="585"/>
      <c r="M136" s="585"/>
      <c r="N136" s="585"/>
      <c r="O136" s="585"/>
      <c r="P136" s="585"/>
      <c r="Q136" s="585"/>
      <c r="R136" s="585"/>
      <c r="S136" s="585"/>
      <c r="T136" s="585"/>
      <c r="U136" s="585"/>
      <c r="V136" s="224"/>
      <c r="W136" s="224"/>
    </row>
    <row r="137">
      <c r="A137" s="585"/>
      <c r="B137" s="585"/>
      <c r="C137" s="585"/>
      <c r="D137" s="585"/>
      <c r="E137" s="585"/>
      <c r="F137" s="585"/>
      <c r="G137" s="585"/>
      <c r="H137" s="585"/>
      <c r="I137" s="585"/>
      <c r="J137" s="585"/>
      <c r="K137" s="585"/>
      <c r="L137" s="585"/>
      <c r="M137" s="585"/>
      <c r="N137" s="585"/>
      <c r="O137" s="585"/>
      <c r="P137" s="585"/>
      <c r="Q137" s="585"/>
      <c r="R137" s="585"/>
      <c r="S137" s="585"/>
      <c r="T137" s="585"/>
      <c r="U137" s="585"/>
      <c r="V137" s="224"/>
      <c r="W137" s="224"/>
    </row>
    <row r="138">
      <c r="A138" s="585"/>
      <c r="B138" s="585"/>
      <c r="C138" s="585"/>
      <c r="D138" s="585"/>
      <c r="E138" s="585"/>
      <c r="F138" s="585"/>
      <c r="G138" s="585"/>
      <c r="H138" s="585"/>
      <c r="I138" s="585"/>
      <c r="J138" s="585"/>
      <c r="K138" s="585"/>
      <c r="L138" s="585"/>
      <c r="M138" s="585"/>
      <c r="N138" s="585"/>
      <c r="O138" s="585"/>
      <c r="P138" s="585"/>
      <c r="Q138" s="585"/>
      <c r="R138" s="585"/>
      <c r="S138" s="1173"/>
      <c r="T138" s="1173"/>
      <c r="U138" s="1173"/>
      <c r="V138" s="226"/>
      <c r="W138" s="226"/>
    </row>
    <row r="139">
      <c r="A139" s="585"/>
      <c r="B139" s="585"/>
      <c r="C139" s="585"/>
      <c r="D139" s="585"/>
      <c r="E139" s="585"/>
      <c r="F139" s="585"/>
      <c r="G139" s="585"/>
      <c r="H139" s="585"/>
      <c r="I139" s="585"/>
      <c r="J139" s="585"/>
      <c r="K139" s="585"/>
      <c r="L139" s="585"/>
      <c r="M139" s="585"/>
      <c r="N139" s="585"/>
      <c r="O139" s="585"/>
      <c r="P139" s="585"/>
      <c r="Q139" s="585"/>
      <c r="R139" s="585"/>
      <c r="S139" s="585"/>
      <c r="T139" s="585"/>
      <c r="U139" s="585"/>
      <c r="V139" s="224"/>
      <c r="W139" s="224"/>
    </row>
    <row r="140">
      <c r="A140" s="585"/>
      <c r="B140" s="585"/>
      <c r="C140" s="585"/>
      <c r="D140" s="585"/>
      <c r="E140" s="585"/>
      <c r="F140" s="585"/>
      <c r="G140" s="585"/>
      <c r="H140" s="585"/>
      <c r="I140" s="585"/>
      <c r="J140" s="585"/>
      <c r="K140" s="585"/>
      <c r="L140" s="585"/>
      <c r="M140" s="585"/>
      <c r="N140" s="585"/>
      <c r="O140" s="585"/>
      <c r="P140" s="585"/>
      <c r="Q140" s="585"/>
      <c r="R140" s="585"/>
      <c r="S140" s="585"/>
      <c r="T140" s="585"/>
      <c r="U140" s="585"/>
      <c r="V140" s="224"/>
      <c r="W140" s="224"/>
    </row>
    <row r="141">
      <c r="A141" s="585"/>
      <c r="B141" s="585"/>
      <c r="C141" s="585"/>
      <c r="D141" s="585"/>
      <c r="E141" s="585"/>
      <c r="F141" s="585"/>
      <c r="G141" s="585"/>
      <c r="H141" s="585"/>
      <c r="I141" s="585"/>
      <c r="J141" s="585"/>
      <c r="K141" s="585"/>
      <c r="L141" s="585"/>
      <c r="M141" s="585"/>
      <c r="N141" s="585"/>
      <c r="O141" s="585"/>
      <c r="P141" s="585"/>
      <c r="Q141" s="585"/>
      <c r="R141" s="585"/>
      <c r="S141" s="585"/>
      <c r="T141" s="585"/>
      <c r="U141" s="585"/>
      <c r="V141" s="224"/>
      <c r="W141" s="224"/>
    </row>
    <row r="142">
      <c r="A142" s="585"/>
      <c r="B142" s="585"/>
      <c r="C142" s="585"/>
      <c r="D142" s="585"/>
      <c r="E142" s="585"/>
      <c r="F142" s="585"/>
      <c r="G142" s="585"/>
      <c r="H142" s="585"/>
      <c r="I142" s="585"/>
      <c r="J142" s="585"/>
      <c r="K142" s="585"/>
      <c r="L142" s="585"/>
      <c r="M142" s="585"/>
      <c r="N142" s="585"/>
      <c r="O142" s="585"/>
      <c r="P142" s="585"/>
      <c r="Q142" s="585"/>
      <c r="R142" s="585"/>
      <c r="S142" s="585"/>
      <c r="T142" s="585"/>
      <c r="U142" s="585"/>
      <c r="V142" s="224"/>
      <c r="W142" s="224"/>
    </row>
    <row r="143">
      <c r="A143" s="585"/>
      <c r="B143" s="585"/>
      <c r="C143" s="585"/>
      <c r="D143" s="585"/>
      <c r="E143" s="585"/>
      <c r="F143" s="585"/>
      <c r="G143" s="585"/>
      <c r="H143" s="585"/>
      <c r="I143" s="585"/>
      <c r="J143" s="585"/>
      <c r="K143" s="585"/>
      <c r="L143" s="585"/>
      <c r="M143" s="585"/>
      <c r="N143" s="585"/>
      <c r="O143" s="585"/>
      <c r="P143" s="585"/>
      <c r="Q143" s="585"/>
      <c r="R143" s="585"/>
      <c r="S143" s="585"/>
      <c r="T143" s="585"/>
      <c r="U143" s="585"/>
      <c r="V143" s="224"/>
      <c r="W143" s="224"/>
    </row>
    <row r="144">
      <c r="A144" s="585"/>
      <c r="B144" s="585"/>
      <c r="C144" s="585"/>
      <c r="D144" s="585"/>
      <c r="E144" s="585"/>
      <c r="F144" s="585"/>
      <c r="G144" s="585"/>
      <c r="H144" s="585"/>
      <c r="I144" s="585"/>
      <c r="J144" s="585"/>
      <c r="K144" s="585"/>
      <c r="L144" s="585"/>
      <c r="M144" s="585"/>
      <c r="N144" s="585"/>
      <c r="O144" s="585"/>
      <c r="P144" s="585"/>
      <c r="Q144" s="585"/>
      <c r="R144" s="585"/>
      <c r="S144" s="585"/>
      <c r="T144" s="585"/>
      <c r="U144" s="585"/>
      <c r="V144" s="224"/>
      <c r="W144" s="224"/>
    </row>
    <row r="145">
      <c r="A145" s="585"/>
      <c r="B145" s="585"/>
      <c r="C145" s="585"/>
      <c r="D145" s="585"/>
      <c r="E145" s="585"/>
      <c r="F145" s="585"/>
      <c r="G145" s="585"/>
      <c r="H145" s="585"/>
      <c r="I145" s="585"/>
      <c r="J145" s="585"/>
      <c r="K145" s="585"/>
      <c r="L145" s="585"/>
      <c r="M145" s="585"/>
      <c r="N145" s="585"/>
      <c r="O145" s="585"/>
      <c r="P145" s="585"/>
      <c r="Q145" s="585"/>
      <c r="R145" s="585"/>
      <c r="S145" s="585"/>
      <c r="T145" s="585"/>
      <c r="U145" s="585"/>
      <c r="V145" s="224"/>
      <c r="W145" s="224"/>
    </row>
    <row r="146">
      <c r="A146" s="585"/>
      <c r="B146" s="585"/>
      <c r="C146" s="585"/>
      <c r="D146" s="585"/>
      <c r="E146" s="585"/>
      <c r="F146" s="585"/>
      <c r="G146" s="585"/>
      <c r="H146" s="585"/>
      <c r="I146" s="585"/>
      <c r="J146" s="585"/>
      <c r="K146" s="585"/>
      <c r="L146" s="585"/>
      <c r="M146" s="585"/>
      <c r="N146" s="585"/>
      <c r="O146" s="585"/>
      <c r="P146" s="585"/>
      <c r="Q146" s="585"/>
      <c r="R146" s="585"/>
      <c r="S146" s="585"/>
      <c r="T146" s="585"/>
      <c r="U146" s="585"/>
      <c r="V146" s="224"/>
      <c r="W146" s="224"/>
    </row>
    <row r="147">
      <c r="A147" s="585"/>
      <c r="B147" s="585"/>
      <c r="C147" s="585"/>
      <c r="D147" s="585"/>
      <c r="E147" s="585"/>
      <c r="F147" s="585"/>
      <c r="G147" s="585"/>
      <c r="H147" s="585"/>
      <c r="I147" s="585"/>
      <c r="J147" s="585"/>
      <c r="K147" s="585"/>
      <c r="L147" s="585"/>
      <c r="M147" s="585"/>
      <c r="N147" s="585"/>
      <c r="O147" s="585"/>
      <c r="P147" s="585"/>
      <c r="Q147" s="585"/>
      <c r="R147" s="585"/>
      <c r="S147" s="585"/>
      <c r="T147" s="585"/>
      <c r="U147" s="585"/>
      <c r="V147" s="224"/>
      <c r="W147" s="224"/>
    </row>
    <row r="148">
      <c r="A148" s="585"/>
      <c r="B148" s="585"/>
      <c r="C148" s="585"/>
      <c r="D148" s="585"/>
      <c r="E148" s="585"/>
      <c r="F148" s="585"/>
      <c r="G148" s="585"/>
      <c r="H148" s="585"/>
      <c r="I148" s="585"/>
      <c r="J148" s="585"/>
      <c r="K148" s="585"/>
      <c r="L148" s="585"/>
      <c r="M148" s="585"/>
      <c r="N148" s="585"/>
      <c r="O148" s="585"/>
      <c r="P148" s="585"/>
      <c r="Q148" s="585"/>
      <c r="R148" s="585"/>
      <c r="S148" s="585"/>
      <c r="T148" s="585"/>
      <c r="U148" s="585"/>
      <c r="V148" s="224"/>
      <c r="W148" s="224"/>
    </row>
    <row r="149">
      <c r="A149" s="585"/>
      <c r="B149" s="585"/>
      <c r="C149" s="585"/>
      <c r="D149" s="585"/>
      <c r="E149" s="585"/>
      <c r="F149" s="585"/>
      <c r="G149" s="585"/>
      <c r="H149" s="585"/>
      <c r="I149" s="585"/>
      <c r="J149" s="585"/>
      <c r="K149" s="585"/>
      <c r="L149" s="585"/>
      <c r="M149" s="585"/>
      <c r="N149" s="585"/>
      <c r="O149" s="585"/>
      <c r="P149" s="585"/>
      <c r="Q149" s="585"/>
      <c r="R149" s="585"/>
      <c r="S149" s="585"/>
      <c r="T149" s="585"/>
      <c r="U149" s="585"/>
      <c r="V149" s="224"/>
      <c r="W149" s="224"/>
    </row>
    <row r="150">
      <c r="A150" s="585"/>
      <c r="B150" s="585"/>
      <c r="C150" s="585"/>
      <c r="D150" s="585"/>
      <c r="E150" s="585"/>
      <c r="F150" s="585"/>
      <c r="G150" s="585"/>
      <c r="H150" s="585"/>
      <c r="I150" s="585"/>
      <c r="J150" s="585"/>
      <c r="K150" s="585"/>
      <c r="L150" s="585"/>
      <c r="M150" s="585"/>
      <c r="N150" s="585"/>
      <c r="O150" s="585"/>
      <c r="P150" s="585"/>
      <c r="Q150" s="585"/>
      <c r="R150" s="585"/>
      <c r="S150" s="585"/>
      <c r="T150" s="585"/>
      <c r="U150" s="585"/>
      <c r="V150" s="224"/>
      <c r="W150" s="224"/>
    </row>
    <row r="151">
      <c r="A151" s="585"/>
      <c r="B151" s="585"/>
      <c r="C151" s="585"/>
      <c r="D151" s="585"/>
      <c r="E151" s="585"/>
      <c r="F151" s="585"/>
      <c r="G151" s="585"/>
      <c r="H151" s="585"/>
      <c r="I151" s="585"/>
      <c r="J151" s="585"/>
      <c r="K151" s="585"/>
      <c r="L151" s="585"/>
      <c r="M151" s="585"/>
      <c r="N151" s="585"/>
      <c r="O151" s="585"/>
      <c r="P151" s="585"/>
      <c r="Q151" s="585"/>
      <c r="R151" s="585"/>
      <c r="S151" s="585"/>
      <c r="T151" s="585"/>
      <c r="U151" s="585"/>
      <c r="V151" s="224"/>
      <c r="W151" s="224"/>
    </row>
    <row r="152">
      <c r="A152" s="585"/>
      <c r="B152" s="585"/>
      <c r="C152" s="585"/>
      <c r="D152" s="585"/>
      <c r="E152" s="585"/>
      <c r="F152" s="585"/>
      <c r="G152" s="585"/>
      <c r="H152" s="585"/>
      <c r="I152" s="585"/>
      <c r="J152" s="585"/>
      <c r="K152" s="585"/>
      <c r="L152" s="585"/>
      <c r="M152" s="585"/>
      <c r="N152" s="585"/>
      <c r="O152" s="585"/>
      <c r="P152" s="585"/>
      <c r="Q152" s="585"/>
      <c r="R152" s="585"/>
      <c r="S152" s="585"/>
      <c r="T152" s="585"/>
      <c r="U152" s="585"/>
      <c r="V152" s="224"/>
      <c r="W152" s="224"/>
    </row>
    <row r="153">
      <c r="A153" s="585"/>
      <c r="B153" s="585"/>
      <c r="C153" s="585"/>
      <c r="D153" s="585"/>
      <c r="E153" s="585"/>
      <c r="F153" s="585"/>
      <c r="G153" s="585"/>
      <c r="H153" s="585"/>
      <c r="I153" s="585"/>
      <c r="J153" s="585"/>
      <c r="K153" s="585"/>
      <c r="L153" s="585"/>
      <c r="M153" s="585"/>
      <c r="N153" s="585"/>
      <c r="O153" s="585"/>
      <c r="P153" s="585"/>
      <c r="Q153" s="585"/>
      <c r="R153" s="585"/>
      <c r="S153" s="585"/>
      <c r="T153" s="585"/>
      <c r="U153" s="585"/>
      <c r="V153" s="224"/>
      <c r="W153" s="224"/>
    </row>
    <row r="154">
      <c r="A154" s="585"/>
      <c r="B154" s="585"/>
      <c r="C154" s="585"/>
      <c r="D154" s="585"/>
      <c r="E154" s="585"/>
      <c r="F154" s="585"/>
      <c r="G154" s="585"/>
      <c r="H154" s="585"/>
      <c r="I154" s="585"/>
      <c r="J154" s="585"/>
      <c r="K154" s="585"/>
      <c r="L154" s="585"/>
      <c r="M154" s="585"/>
      <c r="N154" s="585"/>
      <c r="O154" s="585"/>
      <c r="P154" s="585"/>
      <c r="Q154" s="585"/>
      <c r="R154" s="585"/>
      <c r="S154" s="585"/>
      <c r="T154" s="585"/>
      <c r="U154" s="585"/>
      <c r="V154" s="224"/>
      <c r="W154" s="224"/>
    </row>
    <row r="155">
      <c r="A155" s="585"/>
      <c r="B155" s="585"/>
      <c r="C155" s="585"/>
      <c r="D155" s="585"/>
      <c r="E155" s="585"/>
      <c r="F155" s="585"/>
      <c r="G155" s="585"/>
      <c r="H155" s="585"/>
      <c r="I155" s="585"/>
      <c r="J155" s="585"/>
      <c r="K155" s="585"/>
      <c r="L155" s="585"/>
      <c r="M155" s="585"/>
      <c r="N155" s="585"/>
      <c r="O155" s="585"/>
      <c r="P155" s="585"/>
      <c r="Q155" s="585"/>
      <c r="R155" s="585"/>
      <c r="S155" s="585"/>
      <c r="T155" s="585"/>
      <c r="U155" s="585"/>
      <c r="V155" s="224"/>
      <c r="W155" s="224"/>
    </row>
    <row r="156">
      <c r="A156" s="585"/>
      <c r="B156" s="585"/>
      <c r="C156" s="585"/>
      <c r="D156" s="585"/>
      <c r="E156" s="585"/>
      <c r="F156" s="585"/>
      <c r="G156" s="585"/>
      <c r="H156" s="585"/>
      <c r="I156" s="585"/>
      <c r="J156" s="585"/>
      <c r="K156" s="585"/>
      <c r="L156" s="585"/>
      <c r="M156" s="585"/>
      <c r="N156" s="585"/>
      <c r="O156" s="585"/>
      <c r="P156" s="585"/>
      <c r="Q156" s="585"/>
      <c r="R156" s="585"/>
      <c r="S156" s="585"/>
      <c r="T156" s="585"/>
      <c r="U156" s="585"/>
      <c r="V156" s="224"/>
      <c r="W156" s="224"/>
    </row>
    <row r="157">
      <c r="A157" s="585"/>
      <c r="B157" s="585"/>
      <c r="C157" s="585"/>
      <c r="D157" s="585"/>
      <c r="E157" s="585"/>
      <c r="F157" s="585"/>
      <c r="G157" s="585"/>
      <c r="H157" s="585"/>
      <c r="I157" s="585"/>
      <c r="J157" s="585"/>
      <c r="K157" s="585"/>
      <c r="L157" s="585"/>
      <c r="M157" s="585"/>
      <c r="N157" s="585"/>
      <c r="O157" s="585"/>
      <c r="P157" s="585"/>
      <c r="Q157" s="585"/>
      <c r="R157" s="585"/>
      <c r="S157" s="585"/>
      <c r="T157" s="585"/>
      <c r="U157" s="585"/>
      <c r="V157" s="224"/>
      <c r="W157" s="224"/>
    </row>
    <row r="158">
      <c r="A158" s="585"/>
      <c r="B158" s="585"/>
      <c r="C158" s="585"/>
      <c r="D158" s="585"/>
      <c r="E158" s="585"/>
      <c r="F158" s="585"/>
      <c r="G158" s="585"/>
      <c r="H158" s="585"/>
      <c r="I158" s="585"/>
      <c r="J158" s="585"/>
      <c r="K158" s="585"/>
      <c r="L158" s="585"/>
      <c r="M158" s="585"/>
      <c r="N158" s="585"/>
      <c r="O158" s="585"/>
      <c r="P158" s="585"/>
      <c r="Q158" s="585"/>
      <c r="R158" s="585"/>
      <c r="S158" s="585"/>
      <c r="T158" s="585"/>
      <c r="U158" s="585"/>
      <c r="V158" s="224"/>
      <c r="W158" s="224"/>
    </row>
    <row r="159">
      <c r="A159" s="585"/>
      <c r="B159" s="585"/>
      <c r="C159" s="585"/>
      <c r="D159" s="585"/>
      <c r="E159" s="585"/>
      <c r="F159" s="585"/>
      <c r="G159" s="585"/>
      <c r="H159" s="585"/>
      <c r="I159" s="585"/>
      <c r="J159" s="585"/>
      <c r="K159" s="585"/>
      <c r="L159" s="585"/>
      <c r="M159" s="585"/>
      <c r="N159" s="585"/>
      <c r="O159" s="585"/>
      <c r="P159" s="585"/>
      <c r="Q159" s="585"/>
      <c r="R159" s="585"/>
      <c r="S159" s="585"/>
      <c r="T159" s="585"/>
      <c r="U159" s="585"/>
      <c r="V159" s="224"/>
      <c r="W159" s="224"/>
    </row>
    <row r="160">
      <c r="A160" s="585"/>
      <c r="B160" s="585"/>
      <c r="C160" s="585"/>
      <c r="D160" s="585"/>
      <c r="E160" s="585"/>
      <c r="F160" s="585"/>
      <c r="G160" s="585"/>
      <c r="H160" s="585"/>
      <c r="I160" s="585"/>
      <c r="J160" s="585"/>
      <c r="K160" s="585"/>
      <c r="L160" s="585"/>
      <c r="M160" s="585"/>
      <c r="N160" s="585"/>
      <c r="O160" s="585"/>
      <c r="P160" s="585"/>
      <c r="Q160" s="585"/>
      <c r="R160" s="585"/>
      <c r="S160" s="585"/>
      <c r="T160" s="585"/>
      <c r="U160" s="585"/>
      <c r="V160" s="224"/>
      <c r="W160" s="224"/>
    </row>
    <row r="161">
      <c r="A161" s="585"/>
      <c r="B161" s="585"/>
      <c r="C161" s="585"/>
      <c r="D161" s="585"/>
      <c r="E161" s="585"/>
      <c r="F161" s="585"/>
      <c r="G161" s="585"/>
      <c r="H161" s="585"/>
      <c r="I161" s="585"/>
      <c r="J161" s="585"/>
      <c r="K161" s="585"/>
      <c r="L161" s="585"/>
      <c r="M161" s="585"/>
      <c r="N161" s="585"/>
      <c r="O161" s="585"/>
      <c r="P161" s="585"/>
      <c r="Q161" s="585"/>
      <c r="R161" s="585"/>
      <c r="S161" s="585"/>
      <c r="T161" s="585"/>
      <c r="U161" s="585"/>
      <c r="V161" s="224"/>
      <c r="W161" s="224"/>
    </row>
    <row r="162">
      <c r="A162" s="585"/>
      <c r="B162" s="585"/>
      <c r="C162" s="585"/>
      <c r="D162" s="585"/>
      <c r="E162" s="585"/>
      <c r="F162" s="585"/>
      <c r="G162" s="585"/>
      <c r="H162" s="585"/>
      <c r="I162" s="585"/>
      <c r="J162" s="585"/>
      <c r="K162" s="585"/>
      <c r="L162" s="585"/>
      <c r="M162" s="585"/>
      <c r="N162" s="585"/>
      <c r="O162" s="585"/>
      <c r="P162" s="585"/>
      <c r="Q162" s="585"/>
      <c r="R162" s="585"/>
      <c r="S162" s="585"/>
      <c r="T162" s="585"/>
      <c r="U162" s="585"/>
      <c r="V162" s="224"/>
      <c r="W162" s="224"/>
    </row>
    <row r="163">
      <c r="A163" s="585"/>
      <c r="B163" s="585"/>
      <c r="C163" s="585"/>
      <c r="D163" s="585"/>
      <c r="E163" s="585"/>
      <c r="F163" s="585"/>
      <c r="G163" s="585"/>
      <c r="H163" s="585"/>
      <c r="I163" s="585"/>
      <c r="J163" s="585"/>
      <c r="K163" s="585"/>
      <c r="L163" s="585"/>
      <c r="M163" s="585"/>
      <c r="N163" s="585"/>
      <c r="O163" s="585"/>
      <c r="P163" s="585"/>
      <c r="Q163" s="585"/>
      <c r="R163" s="585"/>
      <c r="S163" s="585"/>
      <c r="T163" s="585"/>
      <c r="U163" s="585"/>
      <c r="V163" s="224"/>
      <c r="W163" s="224"/>
    </row>
    <row r="164">
      <c r="A164" s="585"/>
      <c r="B164" s="585"/>
      <c r="C164" s="585"/>
      <c r="D164" s="585"/>
      <c r="E164" s="585"/>
      <c r="F164" s="585"/>
      <c r="G164" s="585"/>
      <c r="H164" s="585"/>
      <c r="I164" s="585"/>
      <c r="J164" s="585"/>
      <c r="K164" s="585"/>
      <c r="L164" s="585"/>
      <c r="M164" s="585"/>
      <c r="N164" s="585"/>
      <c r="O164" s="585"/>
      <c r="P164" s="585"/>
      <c r="Q164" s="585"/>
      <c r="R164" s="585"/>
      <c r="S164" s="585"/>
      <c r="T164" s="585"/>
      <c r="U164" s="585"/>
      <c r="V164" s="224"/>
      <c r="W164" s="224"/>
    </row>
    <row r="165">
      <c r="A165" s="585"/>
      <c r="B165" s="585"/>
      <c r="C165" s="585"/>
      <c r="D165" s="585"/>
      <c r="E165" s="585"/>
      <c r="F165" s="585"/>
      <c r="G165" s="585"/>
      <c r="H165" s="585"/>
      <c r="I165" s="585"/>
      <c r="J165" s="585"/>
      <c r="K165" s="585"/>
      <c r="L165" s="585"/>
      <c r="M165" s="585"/>
      <c r="N165" s="585"/>
      <c r="O165" s="585"/>
      <c r="P165" s="585"/>
      <c r="Q165" s="585"/>
      <c r="R165" s="585"/>
      <c r="S165" s="585"/>
      <c r="T165" s="585"/>
      <c r="U165" s="585"/>
      <c r="V165" s="224"/>
      <c r="W165" s="224"/>
    </row>
    <row r="166">
      <c r="A166" s="585"/>
      <c r="B166" s="585"/>
      <c r="C166" s="585"/>
      <c r="D166" s="585"/>
      <c r="E166" s="585"/>
      <c r="F166" s="585"/>
      <c r="G166" s="585"/>
      <c r="H166" s="585"/>
      <c r="I166" s="585"/>
      <c r="J166" s="585"/>
      <c r="K166" s="585"/>
      <c r="L166" s="585"/>
      <c r="M166" s="585"/>
      <c r="N166" s="585"/>
      <c r="O166" s="585"/>
      <c r="P166" s="585"/>
      <c r="Q166" s="585"/>
      <c r="R166" s="585"/>
      <c r="S166" s="585"/>
      <c r="T166" s="585"/>
      <c r="U166" s="585"/>
      <c r="V166" s="224"/>
      <c r="W166" s="224"/>
    </row>
    <row r="167">
      <c r="A167" s="585"/>
      <c r="B167" s="585"/>
      <c r="C167" s="585"/>
      <c r="D167" s="585"/>
      <c r="E167" s="585"/>
      <c r="F167" s="585"/>
      <c r="G167" s="585"/>
      <c r="H167" s="585"/>
      <c r="I167" s="585"/>
      <c r="J167" s="585"/>
      <c r="K167" s="585"/>
      <c r="L167" s="585"/>
      <c r="M167" s="585"/>
      <c r="N167" s="585"/>
      <c r="O167" s="585"/>
      <c r="P167" s="585"/>
      <c r="Q167" s="585"/>
      <c r="R167" s="585"/>
      <c r="S167" s="585"/>
      <c r="T167" s="585"/>
      <c r="U167" s="585"/>
      <c r="V167" s="224"/>
      <c r="W167" s="224"/>
    </row>
    <row r="168">
      <c r="A168" s="585"/>
      <c r="B168" s="585"/>
      <c r="C168" s="585"/>
      <c r="D168" s="585"/>
      <c r="E168" s="585"/>
      <c r="F168" s="585"/>
      <c r="G168" s="585"/>
      <c r="H168" s="585"/>
      <c r="I168" s="585"/>
      <c r="J168" s="585"/>
      <c r="K168" s="585"/>
      <c r="L168" s="585"/>
      <c r="M168" s="585"/>
      <c r="N168" s="585"/>
      <c r="O168" s="585"/>
      <c r="P168" s="585"/>
      <c r="Q168" s="585"/>
      <c r="R168" s="585"/>
      <c r="S168" s="585"/>
      <c r="T168" s="585"/>
      <c r="U168" s="585"/>
      <c r="V168" s="224"/>
      <c r="W168" s="224"/>
    </row>
    <row r="169">
      <c r="A169" s="585"/>
      <c r="B169" s="585"/>
      <c r="C169" s="585"/>
      <c r="D169" s="585"/>
      <c r="E169" s="585"/>
      <c r="F169" s="585"/>
      <c r="G169" s="585"/>
      <c r="H169" s="585"/>
      <c r="I169" s="585"/>
      <c r="J169" s="585"/>
      <c r="K169" s="585"/>
      <c r="L169" s="585"/>
      <c r="M169" s="585"/>
      <c r="N169" s="585"/>
      <c r="O169" s="585"/>
      <c r="P169" s="585"/>
      <c r="Q169" s="585"/>
      <c r="R169" s="585"/>
      <c r="S169" s="585"/>
      <c r="T169" s="585"/>
      <c r="U169" s="585"/>
      <c r="V169" s="224"/>
      <c r="W169" s="224"/>
    </row>
    <row r="170">
      <c r="A170" s="585"/>
      <c r="B170" s="585"/>
      <c r="C170" s="585"/>
      <c r="D170" s="585"/>
      <c r="E170" s="585"/>
      <c r="F170" s="585"/>
      <c r="G170" s="585"/>
      <c r="H170" s="585"/>
      <c r="I170" s="585"/>
      <c r="J170" s="585"/>
      <c r="K170" s="585"/>
      <c r="L170" s="585"/>
      <c r="M170" s="585"/>
      <c r="N170" s="585"/>
      <c r="O170" s="585"/>
      <c r="P170" s="585"/>
      <c r="Q170" s="585"/>
      <c r="R170" s="585"/>
      <c r="S170" s="585"/>
      <c r="T170" s="585"/>
      <c r="U170" s="585"/>
      <c r="V170" s="224"/>
      <c r="W170" s="224"/>
    </row>
    <row r="171">
      <c r="A171" s="585"/>
      <c r="B171" s="585"/>
      <c r="C171" s="585"/>
      <c r="D171" s="585"/>
      <c r="E171" s="585"/>
      <c r="F171" s="585"/>
      <c r="G171" s="585"/>
      <c r="H171" s="585"/>
      <c r="I171" s="585"/>
      <c r="J171" s="585"/>
      <c r="K171" s="585"/>
      <c r="L171" s="585"/>
      <c r="M171" s="585"/>
      <c r="N171" s="585"/>
      <c r="O171" s="585"/>
      <c r="P171" s="585"/>
      <c r="Q171" s="585"/>
      <c r="R171" s="585"/>
      <c r="S171" s="585"/>
      <c r="T171" s="585"/>
      <c r="U171" s="585"/>
      <c r="V171" s="224"/>
      <c r="W171" s="224"/>
    </row>
    <row r="172">
      <c r="A172" s="585"/>
      <c r="B172" s="585"/>
      <c r="C172" s="585"/>
      <c r="D172" s="585"/>
      <c r="E172" s="585"/>
      <c r="F172" s="585"/>
      <c r="G172" s="585"/>
      <c r="H172" s="585"/>
      <c r="I172" s="585"/>
      <c r="J172" s="585"/>
      <c r="K172" s="585"/>
      <c r="L172" s="585"/>
      <c r="M172" s="585"/>
      <c r="N172" s="585"/>
      <c r="O172" s="585"/>
      <c r="P172" s="585"/>
      <c r="Q172" s="585"/>
      <c r="R172" s="585"/>
      <c r="S172" s="585"/>
      <c r="T172" s="585"/>
      <c r="U172" s="585"/>
      <c r="V172" s="224"/>
      <c r="W172" s="224"/>
    </row>
    <row r="173">
      <c r="A173" s="585"/>
      <c r="B173" s="585"/>
      <c r="C173" s="585"/>
      <c r="D173" s="585"/>
      <c r="E173" s="585"/>
      <c r="F173" s="585"/>
      <c r="G173" s="585"/>
      <c r="H173" s="585"/>
      <c r="I173" s="585"/>
      <c r="J173" s="585"/>
      <c r="K173" s="585"/>
      <c r="L173" s="585"/>
      <c r="M173" s="585"/>
      <c r="N173" s="585"/>
      <c r="O173" s="585"/>
      <c r="P173" s="585"/>
      <c r="Q173" s="585"/>
      <c r="R173" s="585"/>
      <c r="S173" s="585"/>
      <c r="T173" s="585"/>
      <c r="U173" s="585"/>
      <c r="V173" s="224"/>
      <c r="W173" s="224"/>
    </row>
    <row r="174">
      <c r="A174" s="585"/>
      <c r="B174" s="585"/>
      <c r="C174" s="585"/>
      <c r="D174" s="585"/>
      <c r="E174" s="585"/>
      <c r="F174" s="585"/>
      <c r="G174" s="585"/>
      <c r="H174" s="585"/>
      <c r="I174" s="585"/>
      <c r="J174" s="585"/>
      <c r="K174" s="585"/>
      <c r="L174" s="585"/>
      <c r="M174" s="585"/>
      <c r="N174" s="585"/>
      <c r="O174" s="585"/>
      <c r="P174" s="585"/>
      <c r="Q174" s="585"/>
      <c r="R174" s="585"/>
      <c r="S174" s="585"/>
      <c r="T174" s="585"/>
      <c r="U174" s="585"/>
      <c r="V174" s="224"/>
      <c r="W174" s="224"/>
    </row>
    <row r="175">
      <c r="A175" s="585"/>
      <c r="B175" s="585"/>
      <c r="C175" s="585"/>
      <c r="D175" s="585"/>
      <c r="E175" s="585"/>
      <c r="F175" s="585"/>
      <c r="G175" s="585"/>
      <c r="H175" s="585"/>
      <c r="I175" s="585"/>
      <c r="J175" s="585"/>
      <c r="K175" s="585"/>
      <c r="L175" s="585"/>
      <c r="M175" s="585"/>
      <c r="N175" s="585"/>
      <c r="O175" s="585"/>
      <c r="P175" s="585"/>
      <c r="Q175" s="585"/>
      <c r="R175" s="585"/>
      <c r="S175" s="585"/>
      <c r="T175" s="585"/>
      <c r="U175" s="585"/>
      <c r="V175" s="224"/>
      <c r="W175" s="224"/>
    </row>
    <row r="176">
      <c r="A176" s="585"/>
      <c r="B176" s="585"/>
      <c r="C176" s="585"/>
      <c r="D176" s="585"/>
      <c r="E176" s="585"/>
      <c r="F176" s="585"/>
      <c r="G176" s="585"/>
      <c r="H176" s="585"/>
      <c r="I176" s="585"/>
      <c r="J176" s="585"/>
      <c r="K176" s="585"/>
      <c r="L176" s="585"/>
      <c r="M176" s="585"/>
      <c r="N176" s="585"/>
      <c r="O176" s="585"/>
      <c r="P176" s="585"/>
      <c r="Q176" s="585"/>
      <c r="R176" s="585"/>
      <c r="S176" s="585"/>
      <c r="T176" s="585"/>
      <c r="U176" s="585"/>
      <c r="V176" s="224"/>
      <c r="W176" s="224"/>
    </row>
    <row r="177">
      <c r="A177" s="585"/>
      <c r="B177" s="585"/>
      <c r="C177" s="585"/>
      <c r="D177" s="585"/>
      <c r="E177" s="585"/>
      <c r="F177" s="585"/>
      <c r="G177" s="585"/>
      <c r="H177" s="585"/>
      <c r="I177" s="585"/>
      <c r="J177" s="585"/>
      <c r="K177" s="585"/>
      <c r="L177" s="585"/>
      <c r="M177" s="585"/>
      <c r="N177" s="585"/>
      <c r="O177" s="585"/>
      <c r="P177" s="585"/>
      <c r="Q177" s="585"/>
      <c r="R177" s="585"/>
      <c r="S177" s="585"/>
      <c r="T177" s="585"/>
      <c r="U177" s="585"/>
      <c r="V177" s="224"/>
      <c r="W177" s="224"/>
    </row>
    <row r="178">
      <c r="A178" s="585"/>
      <c r="B178" s="585"/>
      <c r="C178" s="585"/>
      <c r="D178" s="585"/>
      <c r="E178" s="585"/>
      <c r="F178" s="585"/>
      <c r="G178" s="585"/>
      <c r="H178" s="585"/>
      <c r="I178" s="585"/>
      <c r="J178" s="585"/>
      <c r="K178" s="585"/>
      <c r="L178" s="585"/>
      <c r="M178" s="585"/>
      <c r="N178" s="585"/>
      <c r="O178" s="585"/>
      <c r="P178" s="585"/>
      <c r="Q178" s="585"/>
      <c r="R178" s="585"/>
      <c r="S178" s="585"/>
      <c r="T178" s="585"/>
      <c r="U178" s="585"/>
      <c r="V178" s="224"/>
      <c r="W178" s="224"/>
    </row>
    <row r="179">
      <c r="A179" s="585"/>
      <c r="B179" s="585"/>
      <c r="C179" s="585"/>
      <c r="D179" s="585"/>
      <c r="E179" s="585"/>
      <c r="F179" s="585"/>
      <c r="G179" s="585"/>
      <c r="H179" s="585"/>
      <c r="I179" s="585"/>
      <c r="J179" s="585"/>
      <c r="K179" s="585"/>
      <c r="L179" s="585"/>
      <c r="M179" s="585"/>
      <c r="N179" s="585"/>
      <c r="O179" s="585"/>
      <c r="P179" s="585"/>
      <c r="Q179" s="585"/>
      <c r="R179" s="585"/>
      <c r="S179" s="585"/>
      <c r="T179" s="585"/>
      <c r="U179" s="585"/>
      <c r="V179" s="224"/>
      <c r="W179" s="224"/>
    </row>
    <row r="180">
      <c r="A180" s="585"/>
      <c r="B180" s="585"/>
      <c r="C180" s="585"/>
      <c r="D180" s="585"/>
      <c r="E180" s="585"/>
      <c r="F180" s="585"/>
      <c r="G180" s="585"/>
      <c r="H180" s="585"/>
      <c r="I180" s="585"/>
      <c r="J180" s="585"/>
      <c r="K180" s="585"/>
      <c r="L180" s="585"/>
      <c r="M180" s="585"/>
      <c r="N180" s="585"/>
      <c r="O180" s="585"/>
      <c r="P180" s="585"/>
      <c r="Q180" s="585"/>
      <c r="R180" s="585"/>
      <c r="S180" s="585"/>
      <c r="T180" s="585"/>
      <c r="U180" s="585"/>
      <c r="V180" s="224"/>
      <c r="W180" s="224"/>
    </row>
    <row r="181">
      <c r="A181" s="585"/>
      <c r="B181" s="585"/>
      <c r="C181" s="585"/>
      <c r="D181" s="585"/>
      <c r="E181" s="585"/>
      <c r="F181" s="585"/>
      <c r="G181" s="585"/>
      <c r="H181" s="585"/>
      <c r="I181" s="585"/>
      <c r="J181" s="585"/>
      <c r="K181" s="585"/>
      <c r="L181" s="585"/>
      <c r="M181" s="585"/>
      <c r="N181" s="585"/>
      <c r="O181" s="585"/>
      <c r="P181" s="585"/>
      <c r="Q181" s="585"/>
      <c r="R181" s="585"/>
      <c r="S181" s="585"/>
      <c r="T181" s="585"/>
      <c r="U181" s="585"/>
      <c r="V181" s="224"/>
      <c r="W181" s="224"/>
    </row>
    <row r="182">
      <c r="A182" s="585"/>
      <c r="B182" s="585"/>
      <c r="C182" s="585"/>
      <c r="D182" s="585"/>
      <c r="E182" s="585"/>
      <c r="F182" s="585"/>
      <c r="G182" s="585"/>
      <c r="H182" s="585"/>
      <c r="I182" s="585"/>
      <c r="J182" s="585"/>
      <c r="K182" s="585"/>
      <c r="L182" s="585"/>
      <c r="M182" s="585"/>
      <c r="N182" s="585"/>
      <c r="O182" s="585"/>
      <c r="P182" s="585"/>
      <c r="Q182" s="585"/>
      <c r="R182" s="585"/>
      <c r="S182" s="585"/>
      <c r="T182" s="585"/>
      <c r="U182" s="585"/>
      <c r="V182" s="224"/>
      <c r="W182" s="224"/>
    </row>
    <row r="183">
      <c r="A183" s="585"/>
      <c r="B183" s="585"/>
      <c r="C183" s="585"/>
      <c r="D183" s="585"/>
      <c r="E183" s="585"/>
      <c r="F183" s="585"/>
      <c r="G183" s="585"/>
      <c r="H183" s="585"/>
      <c r="I183" s="585"/>
      <c r="J183" s="585"/>
      <c r="K183" s="585"/>
      <c r="L183" s="585"/>
      <c r="M183" s="585"/>
      <c r="N183" s="585"/>
      <c r="O183" s="585"/>
      <c r="P183" s="585"/>
      <c r="Q183" s="585"/>
      <c r="R183" s="585"/>
      <c r="S183" s="585"/>
      <c r="T183" s="585"/>
      <c r="U183" s="585"/>
      <c r="V183" s="224"/>
      <c r="W183" s="224"/>
    </row>
    <row r="184">
      <c r="A184" s="585"/>
      <c r="B184" s="585"/>
      <c r="C184" s="585"/>
      <c r="D184" s="585"/>
      <c r="E184" s="585"/>
      <c r="F184" s="585"/>
      <c r="G184" s="585"/>
      <c r="H184" s="585"/>
      <c r="I184" s="585"/>
      <c r="J184" s="585"/>
      <c r="K184" s="585"/>
      <c r="L184" s="585"/>
      <c r="M184" s="585"/>
      <c r="N184" s="585"/>
      <c r="O184" s="585"/>
      <c r="P184" s="585"/>
      <c r="Q184" s="585"/>
      <c r="R184" s="585"/>
      <c r="S184" s="585"/>
      <c r="T184" s="585"/>
      <c r="U184" s="585"/>
      <c r="V184" s="224"/>
      <c r="W184" s="224"/>
    </row>
    <row r="185">
      <c r="A185" s="585"/>
      <c r="B185" s="585"/>
      <c r="C185" s="585"/>
      <c r="D185" s="585"/>
      <c r="E185" s="585"/>
      <c r="F185" s="585"/>
      <c r="G185" s="585"/>
      <c r="H185" s="585"/>
      <c r="I185" s="585"/>
      <c r="J185" s="585"/>
      <c r="K185" s="585"/>
      <c r="L185" s="585"/>
      <c r="M185" s="585"/>
      <c r="N185" s="585"/>
      <c r="O185" s="585"/>
      <c r="P185" s="585"/>
      <c r="Q185" s="585"/>
      <c r="R185" s="585"/>
      <c r="S185" s="585"/>
      <c r="T185" s="585"/>
      <c r="U185" s="585"/>
      <c r="V185" s="224"/>
      <c r="W185" s="224"/>
    </row>
    <row r="186">
      <c r="A186" s="585"/>
      <c r="B186" s="585"/>
      <c r="C186" s="585"/>
      <c r="D186" s="585"/>
      <c r="E186" s="585"/>
      <c r="F186" s="585"/>
      <c r="G186" s="585"/>
      <c r="H186" s="585"/>
      <c r="I186" s="585"/>
      <c r="J186" s="585"/>
      <c r="K186" s="585"/>
      <c r="L186" s="585"/>
      <c r="M186" s="585"/>
      <c r="N186" s="585"/>
      <c r="O186" s="585"/>
      <c r="P186" s="585"/>
      <c r="Q186" s="585"/>
      <c r="R186" s="585"/>
      <c r="S186" s="585"/>
      <c r="T186" s="585"/>
      <c r="U186" s="585"/>
      <c r="V186" s="224"/>
      <c r="W186" s="224"/>
    </row>
    <row r="187">
      <c r="A187" s="585"/>
      <c r="B187" s="585"/>
      <c r="C187" s="585"/>
      <c r="D187" s="585"/>
      <c r="E187" s="585"/>
      <c r="F187" s="585"/>
      <c r="G187" s="585"/>
      <c r="H187" s="585"/>
      <c r="I187" s="585"/>
      <c r="J187" s="585"/>
      <c r="K187" s="585"/>
      <c r="L187" s="585"/>
      <c r="M187" s="585"/>
      <c r="N187" s="585"/>
      <c r="O187" s="585"/>
      <c r="P187" s="585"/>
      <c r="Q187" s="585"/>
      <c r="R187" s="585"/>
      <c r="S187" s="585"/>
      <c r="T187" s="585"/>
      <c r="U187" s="585"/>
      <c r="V187" s="224"/>
      <c r="W187" s="224"/>
    </row>
    <row r="188">
      <c r="A188" s="585"/>
      <c r="B188" s="585"/>
      <c r="C188" s="585"/>
      <c r="D188" s="585"/>
      <c r="E188" s="585"/>
      <c r="F188" s="585"/>
      <c r="G188" s="585"/>
      <c r="H188" s="585"/>
      <c r="I188" s="585"/>
      <c r="J188" s="585"/>
      <c r="K188" s="585"/>
      <c r="L188" s="585"/>
      <c r="M188" s="585"/>
      <c r="N188" s="585"/>
      <c r="O188" s="585"/>
      <c r="P188" s="585"/>
      <c r="Q188" s="585"/>
      <c r="R188" s="585"/>
      <c r="S188" s="585"/>
      <c r="T188" s="585"/>
      <c r="U188" s="585"/>
      <c r="V188" s="224"/>
      <c r="W188" s="224"/>
    </row>
    <row r="189">
      <c r="A189" s="585"/>
      <c r="B189" s="585"/>
      <c r="C189" s="585"/>
      <c r="D189" s="585"/>
      <c r="E189" s="585"/>
      <c r="F189" s="585"/>
      <c r="G189" s="585"/>
      <c r="H189" s="585"/>
      <c r="I189" s="585"/>
      <c r="J189" s="585"/>
      <c r="K189" s="585"/>
      <c r="L189" s="585"/>
      <c r="M189" s="585"/>
      <c r="N189" s="585"/>
      <c r="O189" s="585"/>
      <c r="P189" s="585"/>
      <c r="Q189" s="585"/>
      <c r="R189" s="585"/>
      <c r="S189" s="585"/>
      <c r="T189" s="585"/>
      <c r="U189" s="585"/>
      <c r="V189" s="224"/>
      <c r="W189" s="224"/>
    </row>
    <row r="190">
      <c r="A190" s="585"/>
      <c r="B190" s="585"/>
      <c r="C190" s="585"/>
      <c r="D190" s="585"/>
      <c r="E190" s="585"/>
      <c r="F190" s="585"/>
      <c r="G190" s="585"/>
      <c r="H190" s="585"/>
      <c r="I190" s="585"/>
      <c r="J190" s="585"/>
      <c r="K190" s="585"/>
      <c r="L190" s="585"/>
      <c r="M190" s="585"/>
      <c r="N190" s="585"/>
      <c r="O190" s="585"/>
      <c r="P190" s="585"/>
      <c r="Q190" s="585"/>
      <c r="R190" s="585"/>
      <c r="S190" s="585"/>
      <c r="T190" s="585"/>
      <c r="U190" s="585"/>
      <c r="V190" s="224"/>
      <c r="W190" s="224"/>
    </row>
    <row r="191">
      <c r="A191" s="585"/>
      <c r="B191" s="585"/>
      <c r="C191" s="585"/>
      <c r="D191" s="585"/>
      <c r="E191" s="585"/>
      <c r="F191" s="585"/>
      <c r="G191" s="585"/>
      <c r="H191" s="585"/>
      <c r="I191" s="585"/>
      <c r="J191" s="585"/>
      <c r="K191" s="585"/>
      <c r="L191" s="585"/>
      <c r="M191" s="585"/>
      <c r="N191" s="585"/>
      <c r="O191" s="585"/>
      <c r="P191" s="585"/>
      <c r="Q191" s="585"/>
      <c r="R191" s="585"/>
      <c r="S191" s="585"/>
      <c r="T191" s="585"/>
      <c r="U191" s="585"/>
      <c r="V191" s="224"/>
      <c r="W191" s="224"/>
    </row>
    <row r="192">
      <c r="A192" s="585"/>
      <c r="B192" s="585"/>
      <c r="C192" s="585"/>
      <c r="D192" s="585"/>
      <c r="E192" s="585"/>
      <c r="F192" s="585"/>
      <c r="G192" s="585"/>
      <c r="H192" s="585"/>
      <c r="I192" s="585"/>
      <c r="J192" s="585"/>
      <c r="K192" s="585"/>
      <c r="L192" s="585"/>
      <c r="M192" s="585"/>
      <c r="N192" s="585"/>
      <c r="O192" s="585"/>
      <c r="P192" s="585"/>
      <c r="Q192" s="585"/>
      <c r="R192" s="585"/>
      <c r="S192" s="585"/>
      <c r="T192" s="585"/>
      <c r="U192" s="585"/>
      <c r="V192" s="224"/>
      <c r="W192" s="224"/>
    </row>
    <row r="193">
      <c r="A193" s="585"/>
      <c r="B193" s="585"/>
      <c r="C193" s="585"/>
      <c r="D193" s="585"/>
      <c r="E193" s="585"/>
      <c r="F193" s="585"/>
      <c r="G193" s="585"/>
      <c r="H193" s="585"/>
      <c r="I193" s="585"/>
      <c r="J193" s="585"/>
      <c r="K193" s="585"/>
      <c r="L193" s="585"/>
      <c r="M193" s="585"/>
      <c r="N193" s="585"/>
      <c r="O193" s="585"/>
      <c r="P193" s="585"/>
      <c r="Q193" s="585"/>
      <c r="R193" s="585"/>
      <c r="S193" s="585"/>
      <c r="T193" s="585"/>
      <c r="U193" s="585"/>
      <c r="V193" s="224"/>
      <c r="W193" s="224"/>
    </row>
    <row r="194">
      <c r="A194" s="585"/>
      <c r="B194" s="585"/>
      <c r="C194" s="585"/>
      <c r="D194" s="585"/>
      <c r="E194" s="585"/>
      <c r="F194" s="585"/>
      <c r="G194" s="585"/>
      <c r="H194" s="585"/>
      <c r="I194" s="585"/>
      <c r="J194" s="585"/>
      <c r="K194" s="585"/>
      <c r="L194" s="585"/>
      <c r="M194" s="585"/>
      <c r="N194" s="585"/>
      <c r="O194" s="585"/>
      <c r="P194" s="585"/>
      <c r="Q194" s="585"/>
      <c r="R194" s="585"/>
      <c r="S194" s="585"/>
      <c r="T194" s="585"/>
      <c r="U194" s="585"/>
      <c r="V194" s="224"/>
      <c r="W194" s="224"/>
    </row>
    <row r="195">
      <c r="A195" s="585"/>
      <c r="B195" s="585"/>
      <c r="C195" s="585"/>
      <c r="D195" s="585"/>
      <c r="E195" s="585"/>
      <c r="F195" s="585"/>
      <c r="G195" s="585"/>
      <c r="H195" s="585"/>
      <c r="I195" s="585"/>
      <c r="J195" s="585"/>
      <c r="K195" s="585"/>
      <c r="L195" s="585"/>
      <c r="M195" s="585"/>
      <c r="N195" s="585"/>
      <c r="O195" s="585"/>
      <c r="P195" s="585"/>
      <c r="Q195" s="585"/>
      <c r="R195" s="585"/>
      <c r="S195" s="585"/>
      <c r="T195" s="585"/>
      <c r="U195" s="585"/>
      <c r="V195" s="224"/>
      <c r="W195" s="224"/>
    </row>
    <row r="196">
      <c r="A196" s="585"/>
      <c r="B196" s="585"/>
      <c r="C196" s="585"/>
      <c r="D196" s="585"/>
      <c r="E196" s="585"/>
      <c r="F196" s="585"/>
      <c r="G196" s="585"/>
      <c r="H196" s="585"/>
      <c r="I196" s="585"/>
      <c r="J196" s="585"/>
      <c r="K196" s="585"/>
      <c r="L196" s="585"/>
      <c r="M196" s="585"/>
      <c r="N196" s="585"/>
      <c r="O196" s="585"/>
      <c r="P196" s="585"/>
      <c r="Q196" s="585"/>
      <c r="R196" s="585"/>
      <c r="S196" s="585"/>
      <c r="T196" s="585"/>
      <c r="U196" s="585"/>
      <c r="V196" s="224"/>
      <c r="W196" s="224"/>
    </row>
    <row r="197">
      <c r="A197" s="585"/>
      <c r="B197" s="585"/>
      <c r="C197" s="585"/>
      <c r="D197" s="585"/>
      <c r="E197" s="585"/>
      <c r="F197" s="585"/>
      <c r="G197" s="585"/>
      <c r="H197" s="585"/>
      <c r="I197" s="585"/>
      <c r="J197" s="585"/>
      <c r="K197" s="585"/>
      <c r="L197" s="585"/>
      <c r="M197" s="585"/>
      <c r="N197" s="585"/>
      <c r="O197" s="585"/>
      <c r="P197" s="585"/>
      <c r="Q197" s="585"/>
      <c r="R197" s="585"/>
      <c r="S197" s="585"/>
      <c r="T197" s="585"/>
      <c r="U197" s="585"/>
      <c r="V197" s="224"/>
      <c r="W197" s="224"/>
    </row>
    <row r="198">
      <c r="A198" s="585"/>
      <c r="B198" s="585"/>
      <c r="C198" s="585"/>
      <c r="D198" s="585"/>
      <c r="E198" s="585"/>
      <c r="F198" s="585"/>
      <c r="G198" s="585"/>
      <c r="H198" s="585"/>
      <c r="I198" s="585"/>
      <c r="J198" s="585"/>
      <c r="K198" s="585"/>
      <c r="L198" s="585"/>
      <c r="M198" s="585"/>
      <c r="N198" s="585"/>
      <c r="O198" s="585"/>
      <c r="P198" s="585"/>
      <c r="Q198" s="585"/>
      <c r="R198" s="585"/>
      <c r="S198" s="585"/>
      <c r="T198" s="585"/>
      <c r="U198" s="585"/>
      <c r="V198" s="224"/>
      <c r="W198" s="224"/>
    </row>
    <row r="199">
      <c r="A199" s="585"/>
      <c r="B199" s="585"/>
      <c r="C199" s="585"/>
      <c r="D199" s="585"/>
      <c r="E199" s="585"/>
      <c r="F199" s="585"/>
      <c r="G199" s="585"/>
      <c r="H199" s="585"/>
      <c r="I199" s="585"/>
      <c r="J199" s="585"/>
      <c r="K199" s="585"/>
      <c r="L199" s="585"/>
      <c r="M199" s="585"/>
      <c r="N199" s="585"/>
      <c r="O199" s="585"/>
      <c r="P199" s="585"/>
      <c r="Q199" s="585"/>
      <c r="R199" s="585"/>
      <c r="S199" s="585"/>
      <c r="T199" s="585"/>
      <c r="U199" s="585"/>
      <c r="V199" s="224"/>
      <c r="W199" s="224"/>
    </row>
    <row r="200">
      <c r="A200" s="585"/>
      <c r="B200" s="585"/>
      <c r="C200" s="585"/>
      <c r="D200" s="585"/>
      <c r="E200" s="585"/>
      <c r="F200" s="585"/>
      <c r="G200" s="585"/>
      <c r="H200" s="585"/>
      <c r="I200" s="585"/>
      <c r="J200" s="585"/>
      <c r="K200" s="585"/>
      <c r="L200" s="585"/>
      <c r="M200" s="585"/>
      <c r="N200" s="585"/>
      <c r="O200" s="585"/>
      <c r="P200" s="585"/>
      <c r="Q200" s="585"/>
      <c r="R200" s="585"/>
      <c r="S200" s="585"/>
      <c r="T200" s="585"/>
      <c r="U200" s="585"/>
      <c r="V200" s="224"/>
      <c r="W200" s="224"/>
    </row>
    <row r="201">
      <c r="A201" s="585"/>
      <c r="B201" s="585"/>
      <c r="C201" s="585"/>
      <c r="D201" s="585"/>
      <c r="E201" s="585"/>
      <c r="F201" s="585"/>
      <c r="G201" s="585"/>
      <c r="H201" s="585"/>
      <c r="I201" s="585"/>
      <c r="J201" s="585"/>
      <c r="K201" s="585"/>
      <c r="L201" s="585"/>
      <c r="M201" s="585"/>
      <c r="N201" s="585"/>
      <c r="O201" s="585"/>
      <c r="P201" s="585"/>
      <c r="Q201" s="585"/>
      <c r="R201" s="585"/>
      <c r="S201" s="585"/>
      <c r="T201" s="585"/>
      <c r="U201" s="585"/>
      <c r="V201" s="224"/>
      <c r="W201" s="224"/>
    </row>
    <row r="202">
      <c r="A202" s="585"/>
      <c r="B202" s="585"/>
      <c r="C202" s="585"/>
      <c r="D202" s="585"/>
      <c r="E202" s="585"/>
      <c r="F202" s="585"/>
      <c r="G202" s="585"/>
      <c r="H202" s="585"/>
      <c r="I202" s="585"/>
      <c r="J202" s="585"/>
      <c r="K202" s="585"/>
      <c r="L202" s="585"/>
      <c r="M202" s="585"/>
      <c r="N202" s="585"/>
      <c r="O202" s="585"/>
      <c r="P202" s="585"/>
      <c r="Q202" s="585"/>
      <c r="R202" s="585"/>
      <c r="S202" s="585"/>
      <c r="T202" s="585"/>
      <c r="U202" s="585"/>
      <c r="V202" s="224"/>
      <c r="W202" s="224"/>
    </row>
    <row r="203">
      <c r="A203" s="585"/>
      <c r="B203" s="585"/>
      <c r="C203" s="585"/>
      <c r="D203" s="585"/>
      <c r="E203" s="585"/>
      <c r="F203" s="585"/>
      <c r="G203" s="585"/>
      <c r="H203" s="585"/>
      <c r="I203" s="585"/>
      <c r="J203" s="585"/>
      <c r="K203" s="585"/>
      <c r="L203" s="585"/>
      <c r="M203" s="585"/>
      <c r="N203" s="585"/>
      <c r="O203" s="585"/>
      <c r="P203" s="585"/>
      <c r="Q203" s="585"/>
      <c r="R203" s="585"/>
      <c r="S203" s="585"/>
      <c r="T203" s="585"/>
      <c r="U203" s="585"/>
      <c r="V203" s="224"/>
      <c r="W203" s="224"/>
    </row>
    <row r="204">
      <c r="A204" s="585"/>
      <c r="B204" s="585"/>
      <c r="C204" s="585"/>
      <c r="D204" s="585"/>
      <c r="E204" s="585"/>
      <c r="F204" s="585"/>
      <c r="G204" s="585"/>
      <c r="H204" s="585"/>
      <c r="I204" s="585"/>
      <c r="J204" s="585"/>
      <c r="K204" s="585"/>
      <c r="L204" s="585"/>
      <c r="M204" s="585"/>
      <c r="N204" s="585"/>
      <c r="O204" s="585"/>
      <c r="P204" s="585"/>
      <c r="Q204" s="585"/>
      <c r="R204" s="585"/>
      <c r="S204" s="585"/>
      <c r="T204" s="585"/>
      <c r="U204" s="585"/>
      <c r="V204" s="224"/>
      <c r="W204" s="224"/>
    </row>
    <row r="205">
      <c r="A205" s="585"/>
      <c r="B205" s="585"/>
      <c r="C205" s="585"/>
      <c r="D205" s="585"/>
      <c r="E205" s="585"/>
      <c r="F205" s="585"/>
      <c r="G205" s="585"/>
      <c r="H205" s="585"/>
      <c r="I205" s="585"/>
      <c r="J205" s="585"/>
      <c r="K205" s="585"/>
      <c r="L205" s="585"/>
      <c r="M205" s="585"/>
      <c r="N205" s="585"/>
      <c r="O205" s="585"/>
      <c r="P205" s="585"/>
      <c r="Q205" s="585"/>
      <c r="R205" s="585"/>
      <c r="S205" s="585"/>
      <c r="T205" s="585"/>
      <c r="U205" s="585"/>
      <c r="V205" s="224"/>
      <c r="W205" s="224"/>
    </row>
    <row r="206">
      <c r="A206" s="585"/>
      <c r="B206" s="585"/>
      <c r="C206" s="585"/>
      <c r="D206" s="585"/>
      <c r="E206" s="585"/>
      <c r="F206" s="585"/>
      <c r="G206" s="585"/>
      <c r="H206" s="585"/>
      <c r="I206" s="585"/>
      <c r="J206" s="585"/>
      <c r="K206" s="585"/>
      <c r="L206" s="585"/>
      <c r="M206" s="585"/>
      <c r="N206" s="585"/>
      <c r="O206" s="585"/>
      <c r="P206" s="585"/>
      <c r="Q206" s="585"/>
      <c r="R206" s="585"/>
      <c r="S206" s="585"/>
      <c r="T206" s="585"/>
      <c r="U206" s="585"/>
      <c r="V206" s="224"/>
      <c r="W206" s="224"/>
    </row>
    <row r="207">
      <c r="A207" s="585"/>
      <c r="B207" s="585"/>
      <c r="C207" s="585"/>
      <c r="D207" s="585"/>
      <c r="E207" s="585"/>
      <c r="F207" s="585"/>
      <c r="G207" s="585"/>
      <c r="H207" s="585"/>
      <c r="I207" s="585"/>
      <c r="J207" s="585"/>
      <c r="K207" s="585"/>
      <c r="L207" s="585"/>
      <c r="M207" s="585"/>
      <c r="N207" s="585"/>
      <c r="O207" s="585"/>
      <c r="P207" s="585"/>
      <c r="Q207" s="585"/>
      <c r="R207" s="585"/>
      <c r="S207" s="585"/>
      <c r="T207" s="585"/>
      <c r="U207" s="585"/>
      <c r="V207" s="224"/>
      <c r="W207" s="224"/>
    </row>
    <row r="208">
      <c r="A208" s="585"/>
      <c r="B208" s="585"/>
      <c r="C208" s="585"/>
      <c r="D208" s="585"/>
      <c r="E208" s="585"/>
      <c r="F208" s="585"/>
      <c r="G208" s="585"/>
      <c r="H208" s="585"/>
      <c r="I208" s="585"/>
      <c r="J208" s="585"/>
      <c r="K208" s="585"/>
      <c r="L208" s="585"/>
      <c r="M208" s="585"/>
      <c r="N208" s="585"/>
      <c r="O208" s="585"/>
      <c r="P208" s="585"/>
      <c r="Q208" s="585"/>
      <c r="R208" s="585"/>
      <c r="S208" s="585"/>
      <c r="T208" s="585"/>
      <c r="U208" s="585"/>
      <c r="V208" s="224"/>
      <c r="W208" s="224"/>
    </row>
    <row r="209">
      <c r="A209" s="585"/>
      <c r="B209" s="585"/>
      <c r="C209" s="585"/>
      <c r="D209" s="585"/>
      <c r="E209" s="585"/>
      <c r="F209" s="585"/>
      <c r="G209" s="585"/>
      <c r="H209" s="585"/>
      <c r="I209" s="585"/>
      <c r="J209" s="585"/>
      <c r="K209" s="585"/>
      <c r="L209" s="585"/>
      <c r="M209" s="585"/>
      <c r="N209" s="585"/>
      <c r="O209" s="585"/>
      <c r="P209" s="585"/>
      <c r="Q209" s="585"/>
      <c r="R209" s="585"/>
      <c r="S209" s="585"/>
      <c r="T209" s="585"/>
      <c r="U209" s="585"/>
      <c r="V209" s="224"/>
      <c r="W209" s="224"/>
    </row>
    <row r="210">
      <c r="A210" s="585"/>
      <c r="B210" s="585"/>
      <c r="C210" s="585"/>
      <c r="D210" s="585"/>
      <c r="E210" s="585"/>
      <c r="F210" s="585"/>
      <c r="G210" s="585"/>
      <c r="H210" s="585"/>
      <c r="I210" s="585"/>
      <c r="J210" s="585"/>
      <c r="K210" s="585"/>
      <c r="L210" s="585"/>
      <c r="M210" s="585"/>
      <c r="N210" s="585"/>
      <c r="O210" s="585"/>
      <c r="P210" s="585"/>
      <c r="Q210" s="585"/>
      <c r="R210" s="585"/>
      <c r="S210" s="585"/>
      <c r="T210" s="585"/>
      <c r="U210" s="585"/>
      <c r="V210" s="224"/>
      <c r="W210" s="224"/>
    </row>
    <row r="211">
      <c r="A211" s="585"/>
      <c r="B211" s="585"/>
      <c r="C211" s="585"/>
      <c r="D211" s="585"/>
      <c r="E211" s="585"/>
      <c r="F211" s="585"/>
      <c r="G211" s="585"/>
      <c r="H211" s="585"/>
      <c r="I211" s="585"/>
      <c r="J211" s="585"/>
      <c r="K211" s="585"/>
      <c r="L211" s="585"/>
      <c r="M211" s="585"/>
      <c r="N211" s="585"/>
      <c r="O211" s="585"/>
      <c r="P211" s="585"/>
      <c r="Q211" s="585"/>
      <c r="R211" s="585"/>
      <c r="S211" s="585"/>
      <c r="T211" s="585"/>
      <c r="U211" s="585"/>
      <c r="V211" s="224"/>
      <c r="W211" s="224"/>
    </row>
    <row r="212">
      <c r="A212" s="585"/>
      <c r="B212" s="585"/>
      <c r="C212" s="585"/>
      <c r="D212" s="585"/>
      <c r="E212" s="585"/>
      <c r="F212" s="585"/>
      <c r="G212" s="585"/>
      <c r="H212" s="585"/>
      <c r="I212" s="585"/>
      <c r="J212" s="585"/>
      <c r="K212" s="585"/>
      <c r="L212" s="585"/>
      <c r="M212" s="585"/>
      <c r="N212" s="585"/>
      <c r="O212" s="585"/>
      <c r="P212" s="585"/>
      <c r="Q212" s="585"/>
      <c r="R212" s="585"/>
      <c r="S212" s="585"/>
      <c r="T212" s="585"/>
      <c r="U212" s="585"/>
      <c r="V212" s="224"/>
      <c r="W212" s="224"/>
    </row>
    <row r="213">
      <c r="A213" s="585"/>
      <c r="B213" s="585"/>
      <c r="C213" s="585"/>
      <c r="D213" s="585"/>
      <c r="E213" s="585"/>
      <c r="F213" s="585"/>
      <c r="G213" s="585"/>
      <c r="H213" s="585"/>
      <c r="I213" s="585"/>
      <c r="J213" s="585"/>
      <c r="K213" s="585"/>
      <c r="L213" s="585"/>
      <c r="M213" s="585"/>
      <c r="N213" s="585"/>
      <c r="O213" s="585"/>
      <c r="P213" s="585"/>
      <c r="Q213" s="585"/>
      <c r="R213" s="585"/>
      <c r="S213" s="585"/>
      <c r="T213" s="585"/>
      <c r="U213" s="585"/>
      <c r="V213" s="224"/>
      <c r="W213" s="224"/>
    </row>
    <row r="214">
      <c r="A214" s="585"/>
      <c r="B214" s="585"/>
      <c r="C214" s="585"/>
      <c r="D214" s="585"/>
      <c r="E214" s="585"/>
      <c r="F214" s="585"/>
      <c r="G214" s="585"/>
      <c r="H214" s="585"/>
      <c r="I214" s="585"/>
      <c r="J214" s="585"/>
      <c r="K214" s="585"/>
      <c r="L214" s="585"/>
      <c r="M214" s="585"/>
      <c r="N214" s="585"/>
      <c r="O214" s="585"/>
      <c r="P214" s="585"/>
      <c r="Q214" s="585"/>
      <c r="R214" s="585"/>
      <c r="S214" s="585"/>
      <c r="T214" s="585"/>
      <c r="U214" s="585"/>
      <c r="V214" s="224"/>
      <c r="W214" s="224"/>
    </row>
    <row r="215">
      <c r="A215" s="585"/>
      <c r="B215" s="585"/>
      <c r="C215" s="585"/>
      <c r="D215" s="585"/>
      <c r="E215" s="585"/>
      <c r="F215" s="585"/>
      <c r="G215" s="585"/>
      <c r="H215" s="585"/>
      <c r="I215" s="585"/>
      <c r="J215" s="585"/>
      <c r="K215" s="585"/>
      <c r="L215" s="585"/>
      <c r="M215" s="585"/>
      <c r="N215" s="585"/>
      <c r="O215" s="585"/>
      <c r="P215" s="585"/>
      <c r="Q215" s="585"/>
      <c r="R215" s="585"/>
      <c r="S215" s="585"/>
      <c r="T215" s="585"/>
      <c r="U215" s="585"/>
      <c r="V215" s="224"/>
      <c r="W215" s="224"/>
    </row>
    <row r="216">
      <c r="A216" s="585"/>
      <c r="B216" s="585"/>
      <c r="C216" s="585"/>
      <c r="D216" s="585"/>
      <c r="E216" s="585"/>
      <c r="F216" s="585"/>
      <c r="G216" s="585"/>
      <c r="H216" s="585"/>
      <c r="I216" s="585"/>
      <c r="J216" s="585"/>
      <c r="K216" s="585"/>
      <c r="L216" s="585"/>
      <c r="M216" s="585"/>
      <c r="N216" s="585"/>
      <c r="O216" s="585"/>
      <c r="P216" s="585"/>
      <c r="Q216" s="585"/>
      <c r="R216" s="585"/>
      <c r="S216" s="585"/>
      <c r="T216" s="585"/>
      <c r="U216" s="585"/>
      <c r="V216" s="224"/>
      <c r="W216" s="224"/>
    </row>
    <row r="217">
      <c r="A217" s="585"/>
      <c r="B217" s="585"/>
      <c r="C217" s="585"/>
      <c r="D217" s="585"/>
      <c r="E217" s="585"/>
      <c r="F217" s="585"/>
      <c r="G217" s="585"/>
      <c r="H217" s="585"/>
      <c r="I217" s="585"/>
      <c r="J217" s="585"/>
      <c r="K217" s="585"/>
      <c r="L217" s="585"/>
      <c r="M217" s="585"/>
      <c r="N217" s="585"/>
      <c r="O217" s="585"/>
      <c r="P217" s="585"/>
      <c r="Q217" s="585"/>
      <c r="R217" s="585"/>
      <c r="S217" s="585"/>
      <c r="T217" s="585"/>
      <c r="U217" s="585"/>
      <c r="V217" s="224"/>
      <c r="W217" s="224"/>
    </row>
    <row r="218">
      <c r="A218" s="585"/>
      <c r="B218" s="585"/>
      <c r="C218" s="585"/>
      <c r="D218" s="585"/>
      <c r="E218" s="585"/>
      <c r="F218" s="585"/>
      <c r="G218" s="585"/>
      <c r="H218" s="585"/>
      <c r="I218" s="585"/>
      <c r="J218" s="585"/>
      <c r="K218" s="585"/>
      <c r="L218" s="585"/>
      <c r="M218" s="585"/>
      <c r="N218" s="585"/>
      <c r="O218" s="585"/>
      <c r="P218" s="585"/>
      <c r="Q218" s="585"/>
      <c r="R218" s="585"/>
      <c r="S218" s="585"/>
      <c r="T218" s="585"/>
      <c r="U218" s="585"/>
      <c r="V218" s="224"/>
      <c r="W218" s="224"/>
    </row>
    <row r="219">
      <c r="A219" s="585"/>
      <c r="B219" s="585"/>
      <c r="C219" s="585"/>
      <c r="D219" s="585"/>
      <c r="E219" s="585"/>
      <c r="F219" s="585"/>
      <c r="G219" s="585"/>
      <c r="H219" s="585"/>
      <c r="I219" s="585"/>
      <c r="J219" s="585"/>
      <c r="K219" s="585"/>
      <c r="L219" s="585"/>
      <c r="M219" s="585"/>
      <c r="N219" s="585"/>
      <c r="O219" s="585"/>
      <c r="P219" s="585"/>
      <c r="Q219" s="585"/>
      <c r="R219" s="585"/>
      <c r="S219" s="585"/>
      <c r="T219" s="585"/>
      <c r="U219" s="585"/>
      <c r="V219" s="224"/>
      <c r="W219" s="224"/>
    </row>
    <row r="220">
      <c r="A220" s="585"/>
      <c r="B220" s="585"/>
      <c r="C220" s="585"/>
      <c r="D220" s="585"/>
      <c r="E220" s="585"/>
      <c r="F220" s="585"/>
      <c r="G220" s="585"/>
      <c r="H220" s="585"/>
      <c r="I220" s="585"/>
      <c r="J220" s="585"/>
      <c r="K220" s="585"/>
      <c r="L220" s="585"/>
      <c r="M220" s="585"/>
      <c r="N220" s="585"/>
      <c r="O220" s="585"/>
      <c r="P220" s="585"/>
      <c r="Q220" s="585"/>
      <c r="R220" s="585"/>
      <c r="S220" s="585"/>
      <c r="T220" s="585"/>
      <c r="U220" s="585"/>
      <c r="V220" s="224"/>
      <c r="W220" s="224"/>
    </row>
    <row r="221">
      <c r="A221" s="585"/>
      <c r="B221" s="585"/>
      <c r="C221" s="585"/>
      <c r="D221" s="585"/>
      <c r="E221" s="585"/>
      <c r="F221" s="585"/>
      <c r="G221" s="585"/>
      <c r="H221" s="585"/>
      <c r="I221" s="585"/>
      <c r="J221" s="585"/>
      <c r="K221" s="585"/>
      <c r="L221" s="585"/>
      <c r="M221" s="585"/>
      <c r="N221" s="585"/>
      <c r="O221" s="585"/>
      <c r="P221" s="585"/>
      <c r="Q221" s="585"/>
      <c r="R221" s="585"/>
      <c r="S221" s="585"/>
      <c r="T221" s="585"/>
      <c r="U221" s="585"/>
      <c r="V221" s="224"/>
      <c r="W221" s="224"/>
    </row>
    <row r="222">
      <c r="A222" s="585"/>
      <c r="B222" s="585"/>
      <c r="C222" s="585"/>
      <c r="D222" s="585"/>
      <c r="E222" s="585"/>
      <c r="F222" s="585"/>
      <c r="G222" s="585"/>
      <c r="H222" s="585"/>
      <c r="I222" s="585"/>
      <c r="J222" s="585"/>
      <c r="K222" s="585"/>
      <c r="L222" s="585"/>
      <c r="M222" s="585"/>
      <c r="N222" s="585"/>
      <c r="O222" s="585"/>
      <c r="P222" s="585"/>
      <c r="Q222" s="585"/>
      <c r="R222" s="585"/>
      <c r="S222" s="585"/>
      <c r="T222" s="585"/>
      <c r="U222" s="585"/>
      <c r="V222" s="224"/>
      <c r="W222" s="224"/>
    </row>
    <row r="223">
      <c r="A223" s="585"/>
      <c r="B223" s="585"/>
      <c r="C223" s="585"/>
      <c r="D223" s="585"/>
      <c r="E223" s="585"/>
      <c r="F223" s="585"/>
      <c r="G223" s="585"/>
      <c r="H223" s="585"/>
      <c r="I223" s="585"/>
      <c r="J223" s="585"/>
      <c r="K223" s="585"/>
      <c r="L223" s="585"/>
      <c r="M223" s="585"/>
      <c r="N223" s="585"/>
      <c r="O223" s="585"/>
      <c r="P223" s="585"/>
      <c r="Q223" s="585"/>
      <c r="R223" s="585"/>
      <c r="S223" s="585"/>
      <c r="T223" s="585"/>
      <c r="U223" s="585"/>
      <c r="V223" s="224"/>
      <c r="W223" s="224"/>
    </row>
    <row r="224">
      <c r="A224" s="585"/>
      <c r="B224" s="585"/>
      <c r="C224" s="585"/>
      <c r="D224" s="585"/>
      <c r="E224" s="585"/>
      <c r="F224" s="585"/>
      <c r="G224" s="585"/>
      <c r="H224" s="585"/>
      <c r="I224" s="585"/>
      <c r="J224" s="585"/>
      <c r="K224" s="585"/>
      <c r="L224" s="585"/>
      <c r="M224" s="585"/>
      <c r="N224" s="585"/>
      <c r="O224" s="585"/>
      <c r="P224" s="585"/>
      <c r="Q224" s="585"/>
      <c r="R224" s="585"/>
      <c r="S224" s="585"/>
      <c r="T224" s="585"/>
      <c r="U224" s="585"/>
      <c r="V224" s="224"/>
      <c r="W224" s="224"/>
    </row>
    <row r="225">
      <c r="A225" s="585"/>
      <c r="B225" s="585"/>
      <c r="C225" s="585"/>
      <c r="D225" s="585"/>
      <c r="E225" s="585"/>
      <c r="F225" s="585"/>
      <c r="G225" s="585"/>
      <c r="H225" s="585"/>
      <c r="I225" s="585"/>
      <c r="J225" s="585"/>
      <c r="K225" s="585"/>
      <c r="L225" s="585"/>
      <c r="M225" s="585"/>
      <c r="N225" s="585"/>
      <c r="O225" s="585"/>
      <c r="P225" s="585"/>
      <c r="Q225" s="585"/>
      <c r="R225" s="585"/>
      <c r="S225" s="585"/>
      <c r="T225" s="585"/>
      <c r="U225" s="585"/>
      <c r="V225" s="224"/>
      <c r="W225" s="224"/>
    </row>
    <row r="226">
      <c r="A226" s="585"/>
      <c r="B226" s="585"/>
      <c r="C226" s="585"/>
      <c r="D226" s="585"/>
      <c r="E226" s="585"/>
      <c r="F226" s="585"/>
      <c r="G226" s="585"/>
      <c r="H226" s="585"/>
      <c r="I226" s="585"/>
      <c r="J226" s="585"/>
      <c r="K226" s="585"/>
      <c r="L226" s="585"/>
      <c r="M226" s="585"/>
      <c r="N226" s="585"/>
      <c r="O226" s="585"/>
      <c r="P226" s="585"/>
      <c r="Q226" s="585"/>
      <c r="R226" s="585"/>
      <c r="S226" s="585"/>
      <c r="T226" s="585"/>
      <c r="U226" s="585"/>
      <c r="V226" s="224"/>
      <c r="W226" s="224"/>
    </row>
    <row r="227">
      <c r="A227" s="585"/>
      <c r="B227" s="585"/>
      <c r="C227" s="585"/>
      <c r="D227" s="585"/>
      <c r="E227" s="585"/>
      <c r="F227" s="585"/>
      <c r="G227" s="585"/>
      <c r="H227" s="585"/>
      <c r="I227" s="585"/>
      <c r="J227" s="585"/>
      <c r="K227" s="585"/>
      <c r="L227" s="585"/>
      <c r="M227" s="585"/>
      <c r="N227" s="585"/>
      <c r="O227" s="585"/>
      <c r="P227" s="585"/>
      <c r="Q227" s="585"/>
      <c r="R227" s="585"/>
      <c r="S227" s="585"/>
      <c r="T227" s="585"/>
      <c r="U227" s="585"/>
      <c r="V227" s="224"/>
      <c r="W227" s="224"/>
    </row>
    <row r="228">
      <c r="A228" s="585"/>
      <c r="B228" s="585"/>
      <c r="C228" s="585"/>
      <c r="D228" s="585"/>
      <c r="E228" s="585"/>
      <c r="F228" s="585"/>
      <c r="G228" s="585"/>
      <c r="H228" s="585"/>
      <c r="I228" s="585"/>
      <c r="J228" s="585"/>
      <c r="K228" s="585"/>
      <c r="L228" s="585"/>
      <c r="M228" s="585"/>
      <c r="N228" s="585"/>
      <c r="O228" s="585"/>
      <c r="P228" s="585"/>
      <c r="Q228" s="585"/>
      <c r="R228" s="585"/>
      <c r="S228" s="585"/>
      <c r="T228" s="585"/>
      <c r="U228" s="585"/>
      <c r="V228" s="224"/>
      <c r="W228" s="224"/>
    </row>
    <row r="229">
      <c r="A229" s="585"/>
      <c r="B229" s="585"/>
      <c r="C229" s="585"/>
      <c r="D229" s="585"/>
      <c r="E229" s="585"/>
      <c r="F229" s="585"/>
      <c r="G229" s="585"/>
      <c r="H229" s="585"/>
      <c r="I229" s="585"/>
      <c r="J229" s="585"/>
      <c r="K229" s="585"/>
      <c r="L229" s="585"/>
      <c r="M229" s="585"/>
      <c r="N229" s="585"/>
      <c r="O229" s="585"/>
      <c r="P229" s="585"/>
      <c r="Q229" s="585"/>
      <c r="R229" s="585"/>
      <c r="S229" s="585"/>
      <c r="T229" s="585"/>
      <c r="U229" s="585"/>
      <c r="V229" s="224"/>
      <c r="W229" s="224"/>
    </row>
    <row r="230">
      <c r="A230" s="585"/>
      <c r="B230" s="585"/>
      <c r="C230" s="585"/>
      <c r="D230" s="585"/>
      <c r="E230" s="585"/>
      <c r="F230" s="585"/>
      <c r="G230" s="585"/>
      <c r="H230" s="585"/>
      <c r="I230" s="585"/>
      <c r="J230" s="585"/>
      <c r="K230" s="585"/>
      <c r="L230" s="585"/>
      <c r="M230" s="585"/>
      <c r="N230" s="585"/>
      <c r="O230" s="585"/>
      <c r="P230" s="585"/>
      <c r="Q230" s="585"/>
      <c r="R230" s="585"/>
      <c r="S230" s="585"/>
      <c r="T230" s="585"/>
      <c r="U230" s="585"/>
      <c r="V230" s="224"/>
      <c r="W230" s="224"/>
    </row>
    <row r="231">
      <c r="A231" s="585"/>
      <c r="B231" s="585"/>
      <c r="C231" s="585"/>
      <c r="D231" s="585"/>
      <c r="E231" s="585"/>
      <c r="F231" s="585"/>
      <c r="G231" s="585"/>
      <c r="H231" s="585"/>
      <c r="I231" s="585"/>
      <c r="J231" s="585"/>
      <c r="K231" s="585"/>
      <c r="L231" s="585"/>
      <c r="M231" s="585"/>
      <c r="N231" s="585"/>
      <c r="O231" s="585"/>
      <c r="P231" s="585"/>
      <c r="Q231" s="585"/>
      <c r="R231" s="585"/>
      <c r="S231" s="585"/>
      <c r="T231" s="585"/>
      <c r="U231" s="585"/>
      <c r="V231" s="224"/>
      <c r="W231" s="224"/>
    </row>
    <row r="232">
      <c r="A232" s="585"/>
      <c r="B232" s="585"/>
      <c r="C232" s="585"/>
      <c r="D232" s="585"/>
      <c r="E232" s="585"/>
      <c r="F232" s="585"/>
      <c r="G232" s="585"/>
      <c r="H232" s="585"/>
      <c r="I232" s="585"/>
      <c r="J232" s="585"/>
      <c r="K232" s="585"/>
      <c r="L232" s="585"/>
      <c r="M232" s="585"/>
      <c r="N232" s="585"/>
      <c r="O232" s="585"/>
      <c r="P232" s="585"/>
      <c r="Q232" s="585"/>
      <c r="R232" s="585"/>
      <c r="S232" s="585"/>
      <c r="T232" s="585"/>
      <c r="U232" s="585"/>
      <c r="V232" s="224"/>
      <c r="W232" s="224"/>
    </row>
    <row r="233">
      <c r="A233" s="585"/>
      <c r="B233" s="585"/>
      <c r="C233" s="585"/>
      <c r="D233" s="585"/>
      <c r="E233" s="585"/>
      <c r="F233" s="585"/>
      <c r="G233" s="585"/>
      <c r="H233" s="585"/>
      <c r="I233" s="585"/>
      <c r="J233" s="585"/>
      <c r="K233" s="585"/>
      <c r="L233" s="585"/>
      <c r="M233" s="585"/>
      <c r="N233" s="585"/>
      <c r="O233" s="585"/>
      <c r="P233" s="585"/>
      <c r="Q233" s="585"/>
      <c r="R233" s="585"/>
      <c r="S233" s="585"/>
      <c r="T233" s="585"/>
      <c r="U233" s="585"/>
      <c r="V233" s="224"/>
      <c r="W233" s="224"/>
    </row>
    <row r="234">
      <c r="A234" s="585"/>
      <c r="B234" s="585"/>
      <c r="C234" s="585"/>
      <c r="D234" s="585"/>
      <c r="E234" s="585"/>
      <c r="F234" s="585"/>
      <c r="G234" s="585"/>
      <c r="H234" s="585"/>
      <c r="I234" s="585"/>
      <c r="J234" s="585"/>
      <c r="K234" s="585"/>
      <c r="L234" s="585"/>
      <c r="M234" s="585"/>
      <c r="N234" s="585"/>
      <c r="O234" s="585"/>
      <c r="P234" s="585"/>
      <c r="Q234" s="585"/>
      <c r="R234" s="585"/>
      <c r="S234" s="585"/>
      <c r="T234" s="585"/>
      <c r="U234" s="585"/>
      <c r="V234" s="224"/>
      <c r="W234" s="224"/>
    </row>
    <row r="235">
      <c r="A235" s="585"/>
      <c r="B235" s="585"/>
      <c r="C235" s="585"/>
      <c r="D235" s="585"/>
      <c r="E235" s="585"/>
      <c r="F235" s="585"/>
      <c r="G235" s="585"/>
      <c r="H235" s="585"/>
      <c r="I235" s="585"/>
      <c r="J235" s="585"/>
      <c r="K235" s="585"/>
      <c r="L235" s="585"/>
      <c r="M235" s="585"/>
      <c r="N235" s="585"/>
      <c r="O235" s="585"/>
      <c r="P235" s="585"/>
      <c r="Q235" s="585"/>
      <c r="R235" s="585"/>
      <c r="S235" s="585"/>
      <c r="T235" s="585"/>
      <c r="U235" s="585"/>
      <c r="V235" s="224"/>
      <c r="W235" s="224"/>
    </row>
    <row r="236">
      <c r="A236" s="585"/>
      <c r="B236" s="585"/>
      <c r="C236" s="585"/>
      <c r="D236" s="585"/>
      <c r="E236" s="585"/>
      <c r="F236" s="585"/>
      <c r="G236" s="585"/>
      <c r="H236" s="585"/>
      <c r="I236" s="585"/>
      <c r="J236" s="585"/>
      <c r="K236" s="585"/>
      <c r="L236" s="585"/>
      <c r="M236" s="585"/>
      <c r="N236" s="585"/>
      <c r="O236" s="585"/>
      <c r="P236" s="585"/>
      <c r="Q236" s="585"/>
      <c r="R236" s="585"/>
      <c r="S236" s="585"/>
      <c r="T236" s="585"/>
      <c r="U236" s="585"/>
      <c r="V236" s="224"/>
      <c r="W236" s="224"/>
    </row>
    <row r="237">
      <c r="A237" s="585"/>
      <c r="B237" s="585"/>
      <c r="C237" s="585"/>
      <c r="D237" s="585"/>
      <c r="E237" s="585"/>
      <c r="F237" s="585"/>
      <c r="G237" s="585"/>
      <c r="H237" s="585"/>
      <c r="I237" s="585"/>
      <c r="J237" s="585"/>
      <c r="K237" s="585"/>
      <c r="L237" s="585"/>
      <c r="M237" s="585"/>
      <c r="N237" s="585"/>
      <c r="O237" s="585"/>
      <c r="P237" s="585"/>
      <c r="Q237" s="585"/>
      <c r="R237" s="585"/>
      <c r="S237" s="585"/>
      <c r="T237" s="585"/>
      <c r="U237" s="585"/>
      <c r="V237" s="224"/>
      <c r="W237" s="224"/>
    </row>
    <row r="238">
      <c r="A238" s="585"/>
      <c r="B238" s="585"/>
      <c r="C238" s="585"/>
      <c r="D238" s="585"/>
      <c r="E238" s="585"/>
      <c r="F238" s="585"/>
      <c r="G238" s="585"/>
      <c r="H238" s="585"/>
      <c r="I238" s="585"/>
      <c r="J238" s="585"/>
      <c r="K238" s="585"/>
      <c r="L238" s="585"/>
      <c r="M238" s="585"/>
      <c r="N238" s="585"/>
      <c r="O238" s="585"/>
      <c r="P238" s="585"/>
      <c r="Q238" s="585"/>
      <c r="R238" s="585"/>
      <c r="S238" s="585"/>
      <c r="T238" s="585"/>
      <c r="U238" s="585"/>
      <c r="V238" s="224"/>
      <c r="W238" s="224"/>
    </row>
    <row r="239">
      <c r="A239" s="585"/>
      <c r="B239" s="585"/>
      <c r="C239" s="585"/>
      <c r="D239" s="585"/>
      <c r="E239" s="585"/>
      <c r="F239" s="585"/>
      <c r="G239" s="585"/>
      <c r="H239" s="585"/>
      <c r="I239" s="585"/>
      <c r="J239" s="585"/>
      <c r="K239" s="585"/>
      <c r="L239" s="585"/>
      <c r="M239" s="585"/>
      <c r="N239" s="585"/>
      <c r="O239" s="585"/>
      <c r="P239" s="585"/>
      <c r="Q239" s="585"/>
      <c r="R239" s="585"/>
      <c r="S239" s="585"/>
      <c r="T239" s="585"/>
      <c r="U239" s="585"/>
      <c r="V239" s="224"/>
      <c r="W239" s="224"/>
    </row>
    <row r="240">
      <c r="A240" s="585"/>
      <c r="B240" s="585"/>
      <c r="C240" s="585"/>
      <c r="D240" s="585"/>
      <c r="E240" s="585"/>
      <c r="F240" s="585"/>
      <c r="G240" s="585"/>
      <c r="H240" s="585"/>
      <c r="I240" s="585"/>
      <c r="J240" s="585"/>
      <c r="K240" s="585"/>
      <c r="L240" s="585"/>
      <c r="M240" s="585"/>
      <c r="N240" s="585"/>
      <c r="O240" s="585"/>
      <c r="P240" s="585"/>
      <c r="Q240" s="585"/>
      <c r="R240" s="585"/>
      <c r="S240" s="585"/>
      <c r="T240" s="585"/>
      <c r="U240" s="585"/>
      <c r="V240" s="224"/>
      <c r="W240" s="224"/>
    </row>
    <row r="241">
      <c r="A241" s="585"/>
      <c r="B241" s="585"/>
      <c r="C241" s="585"/>
      <c r="D241" s="585"/>
      <c r="E241" s="585"/>
      <c r="F241" s="585"/>
      <c r="G241" s="585"/>
      <c r="H241" s="585"/>
      <c r="I241" s="585"/>
      <c r="J241" s="585"/>
      <c r="K241" s="585"/>
      <c r="L241" s="585"/>
      <c r="M241" s="585"/>
      <c r="N241" s="585"/>
      <c r="O241" s="585"/>
      <c r="P241" s="585"/>
      <c r="Q241" s="585"/>
      <c r="R241" s="585"/>
      <c r="S241" s="585"/>
      <c r="T241" s="585"/>
      <c r="U241" s="585"/>
      <c r="V241" s="224"/>
      <c r="W241" s="224"/>
    </row>
    <row r="242">
      <c r="A242" s="585"/>
      <c r="B242" s="585"/>
      <c r="C242" s="585"/>
      <c r="D242" s="585"/>
      <c r="E242" s="585"/>
      <c r="F242" s="585"/>
      <c r="G242" s="585"/>
      <c r="H242" s="585"/>
      <c r="I242" s="585"/>
      <c r="J242" s="585"/>
      <c r="K242" s="585"/>
      <c r="L242" s="585"/>
      <c r="M242" s="585"/>
      <c r="N242" s="585"/>
      <c r="O242" s="585"/>
      <c r="P242" s="585"/>
      <c r="Q242" s="585"/>
      <c r="R242" s="585"/>
      <c r="S242" s="585"/>
      <c r="T242" s="585"/>
      <c r="U242" s="585"/>
      <c r="V242" s="224"/>
      <c r="W242" s="224"/>
    </row>
    <row r="243">
      <c r="A243" s="585"/>
      <c r="B243" s="585"/>
      <c r="C243" s="585"/>
      <c r="D243" s="585"/>
      <c r="E243" s="585"/>
      <c r="F243" s="585"/>
      <c r="G243" s="585"/>
      <c r="H243" s="585"/>
      <c r="I243" s="585"/>
      <c r="J243" s="585"/>
      <c r="K243" s="585"/>
      <c r="L243" s="585"/>
      <c r="M243" s="585"/>
      <c r="N243" s="585"/>
      <c r="O243" s="585"/>
      <c r="P243" s="585"/>
      <c r="Q243" s="585"/>
      <c r="R243" s="585"/>
      <c r="S243" s="585"/>
      <c r="T243" s="585"/>
      <c r="U243" s="585"/>
      <c r="V243" s="224"/>
      <c r="W243" s="224"/>
    </row>
    <row r="244">
      <c r="A244" s="585"/>
      <c r="B244" s="585"/>
      <c r="C244" s="585"/>
      <c r="D244" s="585"/>
      <c r="E244" s="585"/>
      <c r="F244" s="585"/>
      <c r="G244" s="585"/>
      <c r="H244" s="585"/>
      <c r="I244" s="585"/>
      <c r="J244" s="585"/>
      <c r="K244" s="585"/>
      <c r="L244" s="585"/>
      <c r="M244" s="585"/>
      <c r="N244" s="585"/>
      <c r="O244" s="585"/>
      <c r="P244" s="585"/>
      <c r="Q244" s="585"/>
      <c r="R244" s="585"/>
      <c r="S244" s="585"/>
      <c r="T244" s="585"/>
      <c r="U244" s="585"/>
      <c r="V244" s="224"/>
      <c r="W244" s="224"/>
    </row>
    <row r="245">
      <c r="A245" s="585"/>
      <c r="B245" s="585"/>
      <c r="C245" s="585"/>
      <c r="D245" s="585"/>
      <c r="E245" s="585"/>
      <c r="F245" s="585"/>
      <c r="G245" s="585"/>
      <c r="H245" s="585"/>
      <c r="I245" s="585"/>
      <c r="J245" s="585"/>
      <c r="K245" s="585"/>
      <c r="L245" s="585"/>
      <c r="M245" s="585"/>
      <c r="N245" s="585"/>
      <c r="O245" s="585"/>
      <c r="P245" s="585"/>
      <c r="Q245" s="585"/>
      <c r="R245" s="585"/>
      <c r="S245" s="585"/>
      <c r="T245" s="585"/>
      <c r="U245" s="585"/>
      <c r="V245" s="224"/>
      <c r="W245" s="224"/>
    </row>
    <row r="246">
      <c r="A246" s="585"/>
      <c r="B246" s="585"/>
      <c r="C246" s="585"/>
      <c r="D246" s="585"/>
      <c r="E246" s="585"/>
      <c r="F246" s="585"/>
      <c r="G246" s="585"/>
      <c r="H246" s="585"/>
      <c r="I246" s="585"/>
      <c r="J246" s="585"/>
      <c r="K246" s="585"/>
      <c r="L246" s="585"/>
      <c r="M246" s="585"/>
      <c r="N246" s="585"/>
      <c r="O246" s="585"/>
      <c r="P246" s="585"/>
      <c r="Q246" s="585"/>
      <c r="R246" s="585"/>
      <c r="S246" s="585"/>
      <c r="T246" s="585"/>
      <c r="U246" s="585"/>
      <c r="V246" s="224"/>
      <c r="W246" s="224"/>
    </row>
    <row r="247">
      <c r="A247" s="585"/>
      <c r="B247" s="585"/>
      <c r="C247" s="585"/>
      <c r="D247" s="585"/>
      <c r="E247" s="585"/>
      <c r="F247" s="585"/>
      <c r="G247" s="585"/>
      <c r="H247" s="585"/>
      <c r="I247" s="585"/>
      <c r="J247" s="585"/>
      <c r="K247" s="585"/>
      <c r="L247" s="585"/>
      <c r="M247" s="585"/>
      <c r="N247" s="585"/>
      <c r="O247" s="585"/>
      <c r="P247" s="585"/>
      <c r="Q247" s="585"/>
      <c r="R247" s="585"/>
      <c r="S247" s="585"/>
      <c r="T247" s="585"/>
      <c r="U247" s="585"/>
      <c r="V247" s="224"/>
      <c r="W247" s="224"/>
    </row>
    <row r="248">
      <c r="A248" s="585"/>
      <c r="B248" s="585"/>
      <c r="C248" s="585"/>
      <c r="D248" s="585"/>
      <c r="E248" s="585"/>
      <c r="F248" s="585"/>
      <c r="G248" s="585"/>
      <c r="H248" s="585"/>
      <c r="I248" s="585"/>
      <c r="J248" s="585"/>
      <c r="K248" s="585"/>
      <c r="L248" s="585"/>
      <c r="M248" s="585"/>
      <c r="N248" s="585"/>
      <c r="O248" s="585"/>
      <c r="P248" s="585"/>
      <c r="Q248" s="585"/>
      <c r="R248" s="585"/>
      <c r="S248" s="585"/>
      <c r="T248" s="585"/>
      <c r="U248" s="585"/>
      <c r="V248" s="224"/>
      <c r="W248" s="224"/>
    </row>
    <row r="249">
      <c r="A249" s="585"/>
      <c r="B249" s="585"/>
      <c r="C249" s="585"/>
      <c r="D249" s="585"/>
      <c r="E249" s="585"/>
      <c r="F249" s="585"/>
      <c r="G249" s="585"/>
      <c r="H249" s="585"/>
      <c r="I249" s="585"/>
      <c r="J249" s="585"/>
      <c r="K249" s="585"/>
      <c r="L249" s="585"/>
      <c r="M249" s="585"/>
      <c r="N249" s="585"/>
      <c r="O249" s="585"/>
      <c r="P249" s="585"/>
      <c r="Q249" s="585"/>
      <c r="R249" s="585"/>
      <c r="S249" s="585"/>
      <c r="T249" s="585"/>
      <c r="U249" s="585"/>
      <c r="V249" s="224"/>
      <c r="W249" s="224"/>
    </row>
    <row r="250">
      <c r="A250" s="585"/>
      <c r="B250" s="585"/>
      <c r="C250" s="585"/>
      <c r="D250" s="585"/>
      <c r="E250" s="585"/>
      <c r="F250" s="585"/>
      <c r="G250" s="585"/>
      <c r="H250" s="585"/>
      <c r="I250" s="585"/>
      <c r="J250" s="585"/>
      <c r="K250" s="585"/>
      <c r="L250" s="585"/>
      <c r="M250" s="585"/>
      <c r="N250" s="585"/>
      <c r="O250" s="585"/>
      <c r="P250" s="585"/>
      <c r="Q250" s="585"/>
      <c r="R250" s="585"/>
      <c r="S250" s="585"/>
      <c r="T250" s="585"/>
      <c r="U250" s="585"/>
      <c r="V250" s="224"/>
      <c r="W250" s="224"/>
    </row>
    <row r="251">
      <c r="A251" s="585"/>
      <c r="B251" s="585"/>
      <c r="C251" s="585"/>
      <c r="D251" s="585"/>
      <c r="E251" s="585"/>
      <c r="F251" s="585"/>
      <c r="G251" s="585"/>
      <c r="H251" s="585"/>
      <c r="I251" s="585"/>
      <c r="J251" s="585"/>
      <c r="K251" s="585"/>
      <c r="L251" s="585"/>
      <c r="M251" s="585"/>
      <c r="N251" s="585"/>
      <c r="O251" s="585"/>
      <c r="P251" s="585"/>
      <c r="Q251" s="585"/>
      <c r="R251" s="585"/>
      <c r="S251" s="585"/>
      <c r="T251" s="585"/>
      <c r="U251" s="585"/>
      <c r="V251" s="224"/>
      <c r="W251" s="224"/>
    </row>
    <row r="252">
      <c r="A252" s="585"/>
      <c r="B252" s="585"/>
      <c r="C252" s="585"/>
      <c r="D252" s="585"/>
      <c r="E252" s="585"/>
      <c r="F252" s="585"/>
      <c r="G252" s="585"/>
      <c r="H252" s="585"/>
      <c r="I252" s="585"/>
      <c r="J252" s="585"/>
      <c r="K252" s="585"/>
      <c r="L252" s="585"/>
      <c r="M252" s="585"/>
      <c r="N252" s="585"/>
      <c r="O252" s="585"/>
      <c r="P252" s="585"/>
      <c r="Q252" s="585"/>
      <c r="R252" s="585"/>
      <c r="S252" s="585"/>
      <c r="T252" s="585"/>
      <c r="U252" s="585"/>
      <c r="V252" s="224"/>
      <c r="W252" s="224"/>
    </row>
    <row r="253">
      <c r="A253" s="585"/>
      <c r="B253" s="585"/>
      <c r="C253" s="585"/>
      <c r="D253" s="585"/>
      <c r="E253" s="585"/>
      <c r="F253" s="585"/>
      <c r="G253" s="585"/>
      <c r="H253" s="585"/>
      <c r="I253" s="585"/>
      <c r="J253" s="585"/>
      <c r="K253" s="585"/>
      <c r="L253" s="585"/>
      <c r="M253" s="585"/>
      <c r="N253" s="585"/>
      <c r="O253" s="585"/>
      <c r="P253" s="585"/>
      <c r="Q253" s="585"/>
      <c r="R253" s="585"/>
      <c r="S253" s="585"/>
      <c r="T253" s="585"/>
      <c r="U253" s="585"/>
      <c r="V253" s="224"/>
      <c r="W253" s="224"/>
    </row>
    <row r="254">
      <c r="A254" s="585"/>
      <c r="B254" s="585"/>
      <c r="C254" s="585"/>
      <c r="D254" s="585"/>
      <c r="E254" s="585"/>
      <c r="F254" s="585"/>
      <c r="G254" s="585"/>
      <c r="H254" s="585"/>
      <c r="I254" s="585"/>
      <c r="J254" s="585"/>
      <c r="K254" s="585"/>
      <c r="L254" s="585"/>
      <c r="M254" s="585"/>
      <c r="N254" s="585"/>
      <c r="O254" s="585"/>
      <c r="P254" s="585"/>
      <c r="Q254" s="585"/>
      <c r="R254" s="585"/>
      <c r="S254" s="585"/>
      <c r="T254" s="585"/>
      <c r="U254" s="585"/>
      <c r="V254" s="224"/>
      <c r="W254" s="224"/>
    </row>
    <row r="255">
      <c r="A255" s="585"/>
      <c r="B255" s="585"/>
      <c r="C255" s="585"/>
      <c r="D255" s="585"/>
      <c r="E255" s="585"/>
      <c r="F255" s="585"/>
      <c r="G255" s="585"/>
      <c r="H255" s="585"/>
      <c r="I255" s="585"/>
      <c r="J255" s="585"/>
      <c r="K255" s="585"/>
      <c r="L255" s="585"/>
      <c r="M255" s="585"/>
      <c r="N255" s="585"/>
      <c r="O255" s="585"/>
      <c r="P255" s="585"/>
      <c r="Q255" s="585"/>
      <c r="R255" s="585"/>
      <c r="S255" s="585"/>
      <c r="T255" s="585"/>
      <c r="U255" s="585"/>
      <c r="V255" s="224"/>
      <c r="W255" s="224"/>
    </row>
    <row r="256">
      <c r="A256" s="585"/>
      <c r="B256" s="585"/>
      <c r="C256" s="585"/>
      <c r="D256" s="585"/>
      <c r="E256" s="585"/>
      <c r="F256" s="585"/>
      <c r="G256" s="585"/>
      <c r="H256" s="585"/>
      <c r="I256" s="585"/>
      <c r="J256" s="585"/>
      <c r="K256" s="585"/>
      <c r="L256" s="585"/>
      <c r="M256" s="585"/>
      <c r="N256" s="585"/>
      <c r="O256" s="585"/>
      <c r="P256" s="585"/>
      <c r="Q256" s="585"/>
      <c r="R256" s="585"/>
      <c r="S256" s="585"/>
      <c r="T256" s="585"/>
      <c r="U256" s="585"/>
      <c r="V256" s="224"/>
      <c r="W256" s="224"/>
    </row>
    <row r="257">
      <c r="A257" s="585"/>
      <c r="B257" s="585"/>
      <c r="C257" s="585"/>
      <c r="D257" s="585"/>
      <c r="E257" s="585"/>
      <c r="F257" s="585"/>
      <c r="G257" s="585"/>
      <c r="H257" s="585"/>
      <c r="I257" s="585"/>
      <c r="J257" s="585"/>
      <c r="K257" s="585"/>
      <c r="L257" s="585"/>
      <c r="M257" s="585"/>
      <c r="N257" s="585"/>
      <c r="O257" s="585"/>
      <c r="P257" s="585"/>
      <c r="Q257" s="585"/>
      <c r="R257" s="585"/>
      <c r="S257" s="585"/>
      <c r="T257" s="585"/>
      <c r="U257" s="585"/>
      <c r="V257" s="224"/>
      <c r="W257" s="224"/>
    </row>
    <row r="258">
      <c r="A258" s="585"/>
      <c r="B258" s="585"/>
      <c r="C258" s="585"/>
      <c r="D258" s="585"/>
      <c r="E258" s="585"/>
      <c r="F258" s="585"/>
      <c r="G258" s="585"/>
      <c r="H258" s="585"/>
      <c r="I258" s="585"/>
      <c r="J258" s="585"/>
      <c r="K258" s="585"/>
      <c r="L258" s="585"/>
      <c r="M258" s="585"/>
      <c r="N258" s="585"/>
      <c r="O258" s="585"/>
      <c r="P258" s="585"/>
      <c r="Q258" s="585"/>
      <c r="R258" s="585"/>
      <c r="S258" s="585"/>
      <c r="T258" s="585"/>
      <c r="U258" s="585"/>
      <c r="V258" s="224"/>
      <c r="W258" s="224"/>
    </row>
    <row r="259">
      <c r="A259" s="585"/>
      <c r="B259" s="585"/>
      <c r="C259" s="585"/>
      <c r="D259" s="585"/>
      <c r="E259" s="585"/>
      <c r="F259" s="585"/>
      <c r="G259" s="585"/>
      <c r="H259" s="585"/>
      <c r="I259" s="585"/>
      <c r="J259" s="585"/>
      <c r="K259" s="585"/>
      <c r="L259" s="585"/>
      <c r="M259" s="585"/>
      <c r="N259" s="585"/>
      <c r="O259" s="585"/>
      <c r="P259" s="585"/>
      <c r="Q259" s="585"/>
      <c r="R259" s="585"/>
      <c r="S259" s="585"/>
      <c r="T259" s="585"/>
      <c r="U259" s="585"/>
      <c r="V259" s="224"/>
      <c r="W259" s="224"/>
    </row>
    <row r="260">
      <c r="A260" s="585"/>
      <c r="B260" s="585"/>
      <c r="C260" s="585"/>
      <c r="D260" s="585"/>
      <c r="E260" s="585"/>
      <c r="F260" s="585"/>
      <c r="G260" s="585"/>
      <c r="H260" s="585"/>
      <c r="I260" s="585"/>
      <c r="J260" s="585"/>
      <c r="K260" s="585"/>
      <c r="L260" s="585"/>
      <c r="M260" s="585"/>
      <c r="N260" s="585"/>
      <c r="O260" s="585"/>
      <c r="P260" s="585"/>
      <c r="Q260" s="585"/>
      <c r="R260" s="585"/>
      <c r="S260" s="585"/>
      <c r="T260" s="585"/>
      <c r="U260" s="585"/>
      <c r="V260" s="224"/>
      <c r="W260" s="224"/>
    </row>
    <row r="261">
      <c r="A261" s="585"/>
      <c r="B261" s="585"/>
      <c r="C261" s="585"/>
      <c r="D261" s="585"/>
      <c r="E261" s="585"/>
      <c r="F261" s="585"/>
      <c r="G261" s="585"/>
      <c r="H261" s="585"/>
      <c r="I261" s="585"/>
      <c r="J261" s="585"/>
      <c r="K261" s="585"/>
      <c r="L261" s="585"/>
      <c r="M261" s="585"/>
      <c r="N261" s="585"/>
      <c r="O261" s="585"/>
      <c r="P261" s="585"/>
      <c r="Q261" s="585"/>
      <c r="R261" s="585"/>
      <c r="S261" s="585"/>
      <c r="T261" s="585"/>
      <c r="U261" s="585"/>
      <c r="V261" s="224"/>
      <c r="W261" s="224"/>
    </row>
    <row r="262">
      <c r="A262" s="585"/>
      <c r="B262" s="585"/>
      <c r="C262" s="585"/>
      <c r="D262" s="585"/>
      <c r="E262" s="585"/>
      <c r="F262" s="585"/>
      <c r="G262" s="585"/>
      <c r="H262" s="585"/>
      <c r="I262" s="585"/>
      <c r="J262" s="585"/>
      <c r="K262" s="585"/>
      <c r="L262" s="585"/>
      <c r="M262" s="585"/>
      <c r="N262" s="585"/>
      <c r="O262" s="585"/>
      <c r="P262" s="585"/>
      <c r="Q262" s="585"/>
      <c r="R262" s="585"/>
      <c r="S262" s="585"/>
      <c r="T262" s="585"/>
      <c r="U262" s="585"/>
      <c r="V262" s="224"/>
      <c r="W262" s="224"/>
    </row>
    <row r="263">
      <c r="A263" s="585"/>
      <c r="B263" s="585"/>
      <c r="C263" s="585"/>
      <c r="D263" s="585"/>
      <c r="E263" s="585"/>
      <c r="F263" s="585"/>
      <c r="G263" s="585"/>
      <c r="H263" s="585"/>
      <c r="I263" s="585"/>
      <c r="J263" s="585"/>
      <c r="K263" s="585"/>
      <c r="L263" s="585"/>
      <c r="M263" s="585"/>
      <c r="N263" s="585"/>
      <c r="O263" s="585"/>
      <c r="P263" s="585"/>
      <c r="Q263" s="585"/>
      <c r="R263" s="585"/>
      <c r="S263" s="585"/>
      <c r="T263" s="585"/>
      <c r="U263" s="585"/>
      <c r="V263" s="224"/>
      <c r="W263" s="224"/>
    </row>
    <row r="264">
      <c r="A264" s="585"/>
      <c r="B264" s="585"/>
      <c r="C264" s="585"/>
      <c r="D264" s="585"/>
      <c r="E264" s="585"/>
      <c r="F264" s="585"/>
      <c r="G264" s="585"/>
      <c r="H264" s="585"/>
      <c r="I264" s="585"/>
      <c r="J264" s="585"/>
      <c r="K264" s="585"/>
      <c r="L264" s="585"/>
      <c r="M264" s="585"/>
      <c r="N264" s="585"/>
      <c r="O264" s="585"/>
      <c r="P264" s="585"/>
      <c r="Q264" s="585"/>
      <c r="R264" s="585"/>
      <c r="S264" s="585"/>
      <c r="T264" s="585"/>
      <c r="U264" s="585"/>
      <c r="V264" s="224"/>
      <c r="W264" s="224"/>
    </row>
    <row r="265">
      <c r="A265" s="585"/>
      <c r="B265" s="585"/>
      <c r="C265" s="585"/>
      <c r="D265" s="585"/>
      <c r="E265" s="585"/>
      <c r="F265" s="585"/>
      <c r="G265" s="585"/>
      <c r="H265" s="585"/>
      <c r="I265" s="585"/>
      <c r="J265" s="585"/>
      <c r="K265" s="585"/>
      <c r="L265" s="585"/>
      <c r="M265" s="585"/>
      <c r="N265" s="585"/>
      <c r="O265" s="585"/>
      <c r="P265" s="585"/>
      <c r="Q265" s="585"/>
      <c r="R265" s="585"/>
      <c r="S265" s="585"/>
      <c r="T265" s="585"/>
      <c r="U265" s="585"/>
      <c r="V265" s="224"/>
      <c r="W265" s="224"/>
    </row>
    <row r="266">
      <c r="A266" s="585"/>
      <c r="B266" s="585"/>
      <c r="C266" s="585"/>
      <c r="D266" s="585"/>
      <c r="E266" s="585"/>
      <c r="F266" s="585"/>
      <c r="G266" s="585"/>
      <c r="H266" s="585"/>
      <c r="I266" s="585"/>
      <c r="J266" s="585"/>
      <c r="K266" s="585"/>
      <c r="L266" s="585"/>
      <c r="M266" s="585"/>
      <c r="N266" s="585"/>
      <c r="O266" s="585"/>
      <c r="P266" s="585"/>
      <c r="Q266" s="585"/>
      <c r="R266" s="585"/>
      <c r="S266" s="585"/>
      <c r="T266" s="585"/>
      <c r="U266" s="585"/>
      <c r="V266" s="224"/>
      <c r="W266" s="224"/>
    </row>
    <row r="267">
      <c r="A267" s="585"/>
      <c r="B267" s="585"/>
      <c r="C267" s="585"/>
      <c r="D267" s="585"/>
      <c r="E267" s="585"/>
      <c r="F267" s="585"/>
      <c r="G267" s="585"/>
      <c r="H267" s="585"/>
      <c r="I267" s="585"/>
      <c r="J267" s="585"/>
      <c r="K267" s="585"/>
      <c r="L267" s="585"/>
      <c r="M267" s="585"/>
      <c r="N267" s="585"/>
      <c r="O267" s="585"/>
      <c r="P267" s="585"/>
      <c r="Q267" s="585"/>
      <c r="R267" s="585"/>
      <c r="S267" s="585"/>
      <c r="T267" s="585"/>
      <c r="U267" s="585"/>
      <c r="V267" s="224"/>
      <c r="W267" s="224"/>
    </row>
    <row r="268">
      <c r="A268" s="585"/>
      <c r="B268" s="585"/>
      <c r="C268" s="585"/>
      <c r="D268" s="585"/>
      <c r="E268" s="585"/>
      <c r="F268" s="585"/>
      <c r="G268" s="585"/>
      <c r="H268" s="585"/>
      <c r="I268" s="585"/>
      <c r="J268" s="585"/>
      <c r="K268" s="585"/>
      <c r="L268" s="585"/>
      <c r="M268" s="585"/>
      <c r="N268" s="585"/>
      <c r="O268" s="585"/>
      <c r="P268" s="585"/>
      <c r="Q268" s="585"/>
      <c r="R268" s="585"/>
      <c r="S268" s="585"/>
      <c r="T268" s="585"/>
      <c r="U268" s="585"/>
      <c r="V268" s="224"/>
      <c r="W268" s="224"/>
    </row>
    <row r="269">
      <c r="A269" s="585"/>
      <c r="B269" s="585"/>
      <c r="C269" s="585"/>
      <c r="D269" s="585"/>
      <c r="E269" s="585"/>
      <c r="F269" s="585"/>
      <c r="G269" s="585"/>
      <c r="H269" s="585"/>
      <c r="I269" s="585"/>
      <c r="J269" s="585"/>
      <c r="K269" s="585"/>
      <c r="L269" s="585"/>
      <c r="M269" s="585"/>
      <c r="N269" s="585"/>
      <c r="O269" s="585"/>
      <c r="P269" s="585"/>
      <c r="Q269" s="585"/>
      <c r="R269" s="585"/>
      <c r="S269" s="585"/>
      <c r="T269" s="585"/>
      <c r="U269" s="585"/>
      <c r="V269" s="224"/>
      <c r="W269" s="224"/>
    </row>
    <row r="270">
      <c r="A270" s="585"/>
      <c r="B270" s="585"/>
      <c r="C270" s="585"/>
      <c r="D270" s="585"/>
      <c r="E270" s="585"/>
      <c r="F270" s="585"/>
      <c r="G270" s="585"/>
      <c r="H270" s="585"/>
      <c r="I270" s="585"/>
      <c r="J270" s="585"/>
      <c r="K270" s="585"/>
      <c r="L270" s="585"/>
      <c r="M270" s="585"/>
      <c r="N270" s="585"/>
      <c r="O270" s="585"/>
      <c r="P270" s="585"/>
      <c r="Q270" s="585"/>
      <c r="R270" s="585"/>
      <c r="S270" s="585"/>
      <c r="T270" s="585"/>
      <c r="U270" s="585"/>
      <c r="V270" s="224"/>
      <c r="W270" s="224"/>
    </row>
    <row r="271">
      <c r="A271" s="585"/>
      <c r="B271" s="585"/>
      <c r="C271" s="585"/>
      <c r="D271" s="585"/>
      <c r="E271" s="585"/>
      <c r="F271" s="585"/>
      <c r="G271" s="585"/>
      <c r="H271" s="585"/>
      <c r="I271" s="585"/>
      <c r="J271" s="585"/>
      <c r="K271" s="585"/>
      <c r="L271" s="585"/>
      <c r="M271" s="585"/>
      <c r="N271" s="585"/>
      <c r="O271" s="585"/>
      <c r="P271" s="585"/>
      <c r="Q271" s="585"/>
      <c r="R271" s="585"/>
      <c r="S271" s="585"/>
      <c r="T271" s="585"/>
      <c r="U271" s="585"/>
      <c r="V271" s="224"/>
      <c r="W271" s="224"/>
    </row>
    <row r="272">
      <c r="A272" s="585"/>
      <c r="B272" s="585"/>
      <c r="C272" s="585"/>
      <c r="D272" s="585"/>
      <c r="E272" s="585"/>
      <c r="F272" s="585"/>
      <c r="G272" s="585"/>
      <c r="H272" s="585"/>
      <c r="I272" s="585"/>
      <c r="J272" s="585"/>
      <c r="K272" s="585"/>
      <c r="L272" s="585"/>
      <c r="M272" s="585"/>
      <c r="N272" s="585"/>
      <c r="O272" s="585"/>
      <c r="P272" s="585"/>
      <c r="Q272" s="585"/>
      <c r="R272" s="585"/>
      <c r="S272" s="585"/>
      <c r="T272" s="585"/>
      <c r="U272" s="585"/>
      <c r="V272" s="224"/>
      <c r="W272" s="224"/>
    </row>
    <row r="273">
      <c r="A273" s="585"/>
      <c r="B273" s="585"/>
      <c r="C273" s="585"/>
      <c r="D273" s="585"/>
      <c r="E273" s="585"/>
      <c r="F273" s="585"/>
      <c r="G273" s="585"/>
      <c r="H273" s="585"/>
      <c r="I273" s="585"/>
      <c r="J273" s="585"/>
      <c r="K273" s="585"/>
      <c r="L273" s="585"/>
      <c r="M273" s="585"/>
      <c r="N273" s="585"/>
      <c r="O273" s="585"/>
      <c r="P273" s="585"/>
      <c r="Q273" s="585"/>
      <c r="R273" s="585"/>
      <c r="S273" s="585"/>
      <c r="T273" s="585"/>
      <c r="U273" s="585"/>
      <c r="V273" s="224"/>
      <c r="W273" s="224"/>
    </row>
    <row r="274">
      <c r="A274" s="585"/>
      <c r="B274" s="585"/>
      <c r="C274" s="585"/>
      <c r="D274" s="585"/>
      <c r="E274" s="585"/>
      <c r="F274" s="585"/>
      <c r="G274" s="585"/>
      <c r="H274" s="585"/>
      <c r="I274" s="585"/>
      <c r="J274" s="585"/>
      <c r="K274" s="585"/>
      <c r="L274" s="585"/>
      <c r="M274" s="585"/>
      <c r="N274" s="585"/>
      <c r="O274" s="585"/>
      <c r="P274" s="585"/>
      <c r="Q274" s="585"/>
      <c r="R274" s="585"/>
      <c r="S274" s="585"/>
      <c r="T274" s="585"/>
      <c r="U274" s="585"/>
      <c r="V274" s="224"/>
      <c r="W274" s="224"/>
    </row>
    <row r="275">
      <c r="A275" s="585"/>
      <c r="B275" s="585"/>
      <c r="C275" s="585"/>
      <c r="D275" s="585"/>
      <c r="E275" s="585"/>
      <c r="F275" s="585"/>
      <c r="G275" s="585"/>
      <c r="H275" s="585"/>
      <c r="I275" s="585"/>
      <c r="J275" s="585"/>
      <c r="K275" s="585"/>
      <c r="L275" s="585"/>
      <c r="M275" s="585"/>
      <c r="N275" s="585"/>
      <c r="O275" s="585"/>
      <c r="P275" s="585"/>
      <c r="Q275" s="585"/>
      <c r="R275" s="585"/>
      <c r="S275" s="585"/>
      <c r="T275" s="585"/>
      <c r="U275" s="585"/>
      <c r="V275" s="224"/>
      <c r="W275" s="224"/>
    </row>
    <row r="276">
      <c r="A276" s="585"/>
      <c r="B276" s="585"/>
      <c r="C276" s="585"/>
      <c r="D276" s="585"/>
      <c r="E276" s="585"/>
      <c r="F276" s="585"/>
      <c r="G276" s="585"/>
      <c r="H276" s="585"/>
      <c r="I276" s="585"/>
      <c r="J276" s="585"/>
      <c r="K276" s="585"/>
      <c r="L276" s="585"/>
      <c r="M276" s="585"/>
      <c r="N276" s="585"/>
      <c r="O276" s="585"/>
      <c r="P276" s="585"/>
      <c r="Q276" s="585"/>
      <c r="R276" s="585"/>
      <c r="S276" s="585"/>
      <c r="T276" s="585"/>
      <c r="U276" s="585"/>
      <c r="V276" s="224"/>
      <c r="W276" s="224"/>
    </row>
    <row r="277">
      <c r="A277" s="585"/>
      <c r="B277" s="585"/>
      <c r="C277" s="585"/>
      <c r="D277" s="585"/>
      <c r="E277" s="585"/>
      <c r="F277" s="585"/>
      <c r="G277" s="585"/>
      <c r="H277" s="585"/>
      <c r="I277" s="585"/>
      <c r="J277" s="585"/>
      <c r="K277" s="585"/>
      <c r="L277" s="585"/>
      <c r="M277" s="585"/>
      <c r="N277" s="585"/>
      <c r="O277" s="585"/>
      <c r="P277" s="585"/>
      <c r="Q277" s="585"/>
      <c r="R277" s="585"/>
      <c r="S277" s="585"/>
      <c r="T277" s="585"/>
      <c r="U277" s="585"/>
      <c r="V277" s="224"/>
      <c r="W277" s="224"/>
    </row>
    <row r="278">
      <c r="A278" s="585"/>
      <c r="B278" s="585"/>
      <c r="C278" s="585"/>
      <c r="D278" s="585"/>
      <c r="E278" s="585"/>
      <c r="F278" s="585"/>
      <c r="G278" s="585"/>
      <c r="H278" s="585"/>
      <c r="I278" s="585"/>
      <c r="J278" s="585"/>
      <c r="K278" s="585"/>
      <c r="L278" s="585"/>
      <c r="M278" s="585"/>
      <c r="N278" s="585"/>
      <c r="O278" s="585"/>
      <c r="P278" s="585"/>
      <c r="Q278" s="585"/>
      <c r="R278" s="585"/>
      <c r="S278" s="585"/>
      <c r="T278" s="585"/>
      <c r="U278" s="585"/>
      <c r="V278" s="224"/>
      <c r="W278" s="224"/>
    </row>
    <row r="279">
      <c r="A279" s="585"/>
      <c r="B279" s="585"/>
      <c r="C279" s="585"/>
      <c r="D279" s="585"/>
      <c r="E279" s="585"/>
      <c r="F279" s="585"/>
      <c r="G279" s="585"/>
      <c r="H279" s="585"/>
      <c r="I279" s="585"/>
      <c r="J279" s="585"/>
      <c r="K279" s="585"/>
      <c r="L279" s="585"/>
      <c r="M279" s="585"/>
      <c r="N279" s="585"/>
      <c r="O279" s="585"/>
      <c r="P279" s="585"/>
      <c r="Q279" s="585"/>
      <c r="R279" s="585"/>
      <c r="S279" s="585"/>
      <c r="T279" s="585"/>
      <c r="U279" s="585"/>
      <c r="V279" s="224"/>
      <c r="W279" s="224"/>
    </row>
    <row r="280">
      <c r="A280" s="585"/>
      <c r="B280" s="585"/>
      <c r="C280" s="585"/>
      <c r="D280" s="585"/>
      <c r="E280" s="585"/>
      <c r="F280" s="585"/>
      <c r="G280" s="585"/>
      <c r="H280" s="585"/>
      <c r="I280" s="585"/>
      <c r="J280" s="585"/>
      <c r="K280" s="585"/>
      <c r="L280" s="585"/>
      <c r="M280" s="585"/>
      <c r="N280" s="585"/>
      <c r="O280" s="585"/>
      <c r="P280" s="585"/>
      <c r="Q280" s="585"/>
      <c r="R280" s="585"/>
      <c r="S280" s="585"/>
      <c r="T280" s="585"/>
      <c r="U280" s="585"/>
      <c r="V280" s="224"/>
      <c r="W280" s="224"/>
    </row>
    <row r="281">
      <c r="A281" s="585"/>
      <c r="B281" s="585"/>
      <c r="C281" s="585"/>
      <c r="D281" s="585"/>
      <c r="E281" s="585"/>
      <c r="F281" s="585"/>
      <c r="G281" s="585"/>
      <c r="H281" s="585"/>
      <c r="I281" s="585"/>
      <c r="J281" s="585"/>
      <c r="K281" s="585"/>
      <c r="L281" s="585"/>
      <c r="M281" s="585"/>
      <c r="N281" s="585"/>
      <c r="O281" s="585"/>
      <c r="P281" s="585"/>
      <c r="Q281" s="585"/>
      <c r="R281" s="585"/>
      <c r="S281" s="585"/>
      <c r="T281" s="585"/>
      <c r="U281" s="585"/>
      <c r="V281" s="224"/>
      <c r="W281" s="224"/>
    </row>
    <row r="282">
      <c r="A282" s="585"/>
      <c r="B282" s="585"/>
      <c r="C282" s="585"/>
      <c r="D282" s="585"/>
      <c r="E282" s="585"/>
      <c r="F282" s="585"/>
      <c r="G282" s="585"/>
      <c r="H282" s="585"/>
      <c r="I282" s="585"/>
      <c r="J282" s="585"/>
      <c r="K282" s="585"/>
      <c r="L282" s="585"/>
      <c r="M282" s="585"/>
      <c r="N282" s="585"/>
      <c r="O282" s="585"/>
      <c r="P282" s="585"/>
      <c r="Q282" s="585"/>
      <c r="R282" s="585"/>
      <c r="S282" s="585"/>
      <c r="T282" s="585"/>
      <c r="U282" s="585"/>
      <c r="V282" s="224"/>
      <c r="W282" s="224"/>
    </row>
    <row r="283">
      <c r="A283" s="585"/>
      <c r="B283" s="585"/>
      <c r="C283" s="585"/>
      <c r="D283" s="585"/>
      <c r="E283" s="585"/>
      <c r="F283" s="585"/>
      <c r="G283" s="585"/>
      <c r="H283" s="585"/>
      <c r="I283" s="585"/>
      <c r="J283" s="585"/>
      <c r="K283" s="585"/>
      <c r="L283" s="585"/>
      <c r="M283" s="585"/>
      <c r="N283" s="585"/>
      <c r="O283" s="585"/>
      <c r="P283" s="585"/>
      <c r="Q283" s="585"/>
      <c r="R283" s="585"/>
      <c r="S283" s="585"/>
      <c r="T283" s="585"/>
      <c r="U283" s="585"/>
      <c r="V283" s="224"/>
      <c r="W283" s="224"/>
    </row>
    <row r="284">
      <c r="A284" s="585"/>
      <c r="B284" s="585"/>
      <c r="C284" s="585"/>
      <c r="D284" s="585"/>
      <c r="E284" s="585"/>
      <c r="F284" s="585"/>
      <c r="G284" s="585"/>
      <c r="H284" s="585"/>
      <c r="I284" s="585"/>
      <c r="J284" s="585"/>
      <c r="K284" s="585"/>
      <c r="L284" s="585"/>
      <c r="M284" s="585"/>
      <c r="N284" s="585"/>
      <c r="O284" s="585"/>
      <c r="P284" s="585"/>
      <c r="Q284" s="585"/>
      <c r="R284" s="585"/>
      <c r="S284" s="585"/>
      <c r="T284" s="585"/>
      <c r="U284" s="585"/>
      <c r="V284" s="224"/>
      <c r="W284" s="224"/>
    </row>
    <row r="285">
      <c r="A285" s="585"/>
      <c r="B285" s="585"/>
      <c r="C285" s="585"/>
      <c r="D285" s="585"/>
      <c r="E285" s="585"/>
      <c r="F285" s="585"/>
      <c r="G285" s="585"/>
      <c r="H285" s="585"/>
      <c r="I285" s="585"/>
      <c r="J285" s="585"/>
      <c r="K285" s="585"/>
      <c r="L285" s="585"/>
      <c r="M285" s="585"/>
      <c r="N285" s="585"/>
      <c r="O285" s="585"/>
      <c r="P285" s="585"/>
      <c r="Q285" s="585"/>
      <c r="R285" s="585"/>
      <c r="S285" s="585"/>
      <c r="T285" s="585"/>
      <c r="U285" s="585"/>
      <c r="V285" s="224"/>
      <c r="W285" s="224"/>
    </row>
    <row r="286">
      <c r="A286" s="585"/>
      <c r="B286" s="585"/>
      <c r="C286" s="585"/>
      <c r="D286" s="585"/>
      <c r="E286" s="585"/>
      <c r="F286" s="585"/>
      <c r="G286" s="585"/>
      <c r="H286" s="585"/>
      <c r="I286" s="585"/>
      <c r="J286" s="585"/>
      <c r="K286" s="585"/>
      <c r="L286" s="585"/>
      <c r="M286" s="585"/>
      <c r="N286" s="585"/>
      <c r="O286" s="585"/>
      <c r="P286" s="585"/>
      <c r="Q286" s="585"/>
      <c r="R286" s="585"/>
      <c r="S286" s="585"/>
      <c r="T286" s="585"/>
      <c r="U286" s="585"/>
      <c r="V286" s="224"/>
      <c r="W286" s="224"/>
    </row>
    <row r="287">
      <c r="A287" s="585"/>
      <c r="B287" s="585"/>
      <c r="C287" s="585"/>
      <c r="D287" s="585"/>
      <c r="E287" s="585"/>
      <c r="F287" s="585"/>
      <c r="G287" s="585"/>
      <c r="H287" s="585"/>
      <c r="I287" s="585"/>
      <c r="J287" s="585"/>
      <c r="K287" s="585"/>
      <c r="L287" s="585"/>
      <c r="M287" s="585"/>
      <c r="N287" s="585"/>
      <c r="O287" s="585"/>
      <c r="P287" s="585"/>
      <c r="Q287" s="585"/>
      <c r="R287" s="585"/>
      <c r="S287" s="585"/>
      <c r="T287" s="585"/>
      <c r="U287" s="585"/>
      <c r="V287" s="224"/>
      <c r="W287" s="224"/>
    </row>
    <row r="288">
      <c r="A288" s="585"/>
      <c r="B288" s="585"/>
      <c r="C288" s="585"/>
      <c r="D288" s="585"/>
      <c r="E288" s="585"/>
      <c r="F288" s="585"/>
      <c r="G288" s="585"/>
      <c r="H288" s="585"/>
      <c r="I288" s="585"/>
      <c r="J288" s="585"/>
      <c r="K288" s="585"/>
      <c r="L288" s="585"/>
      <c r="M288" s="585"/>
      <c r="N288" s="585"/>
      <c r="O288" s="585"/>
      <c r="P288" s="585"/>
      <c r="Q288" s="585"/>
      <c r="R288" s="585"/>
      <c r="S288" s="585"/>
      <c r="T288" s="585"/>
      <c r="U288" s="585"/>
      <c r="V288" s="224"/>
      <c r="W288" s="224"/>
    </row>
    <row r="289">
      <c r="A289" s="585"/>
      <c r="B289" s="585"/>
      <c r="C289" s="585"/>
      <c r="D289" s="585"/>
      <c r="E289" s="585"/>
      <c r="F289" s="585"/>
      <c r="G289" s="585"/>
      <c r="H289" s="585"/>
      <c r="I289" s="585"/>
      <c r="J289" s="585"/>
      <c r="K289" s="585"/>
      <c r="L289" s="585"/>
      <c r="M289" s="585"/>
      <c r="N289" s="585"/>
      <c r="O289" s="585"/>
      <c r="P289" s="585"/>
      <c r="Q289" s="585"/>
      <c r="R289" s="585"/>
      <c r="S289" s="585"/>
      <c r="T289" s="585"/>
      <c r="U289" s="585"/>
      <c r="V289" s="224"/>
      <c r="W289" s="224"/>
    </row>
    <row r="290">
      <c r="A290" s="585"/>
      <c r="B290" s="585"/>
      <c r="C290" s="585"/>
      <c r="D290" s="585"/>
      <c r="E290" s="585"/>
      <c r="F290" s="585"/>
      <c r="G290" s="585"/>
      <c r="H290" s="585"/>
      <c r="I290" s="585"/>
      <c r="J290" s="585"/>
      <c r="K290" s="585"/>
      <c r="L290" s="585"/>
      <c r="M290" s="585"/>
      <c r="N290" s="585"/>
      <c r="O290" s="585"/>
      <c r="P290" s="585"/>
      <c r="Q290" s="585"/>
      <c r="R290" s="585"/>
      <c r="S290" s="585"/>
      <c r="T290" s="585"/>
      <c r="U290" s="585"/>
      <c r="V290" s="224"/>
      <c r="W290" s="224"/>
    </row>
    <row r="291">
      <c r="A291" s="585"/>
      <c r="B291" s="585"/>
      <c r="C291" s="585"/>
      <c r="D291" s="585"/>
      <c r="E291" s="585"/>
      <c r="F291" s="585"/>
      <c r="G291" s="585"/>
      <c r="H291" s="585"/>
      <c r="I291" s="585"/>
      <c r="J291" s="585"/>
      <c r="K291" s="585"/>
      <c r="L291" s="585"/>
      <c r="M291" s="585"/>
      <c r="N291" s="585"/>
      <c r="O291" s="585"/>
      <c r="P291" s="585"/>
      <c r="Q291" s="585"/>
      <c r="R291" s="585"/>
      <c r="S291" s="585"/>
      <c r="T291" s="585"/>
      <c r="U291" s="585"/>
      <c r="V291" s="224"/>
      <c r="W291" s="224"/>
    </row>
    <row r="292">
      <c r="A292" s="585"/>
      <c r="B292" s="585"/>
      <c r="C292" s="585"/>
      <c r="D292" s="585"/>
      <c r="E292" s="585"/>
      <c r="F292" s="585"/>
      <c r="G292" s="585"/>
      <c r="H292" s="585"/>
      <c r="I292" s="585"/>
      <c r="J292" s="585"/>
      <c r="K292" s="585"/>
      <c r="L292" s="585"/>
      <c r="M292" s="585"/>
      <c r="N292" s="585"/>
      <c r="O292" s="585"/>
      <c r="P292" s="585"/>
      <c r="Q292" s="585"/>
      <c r="R292" s="585"/>
      <c r="S292" s="585"/>
      <c r="T292" s="585"/>
      <c r="U292" s="585"/>
      <c r="V292" s="224"/>
      <c r="W292" s="224"/>
    </row>
    <row r="293">
      <c r="A293" s="585"/>
      <c r="B293" s="585"/>
      <c r="C293" s="585"/>
      <c r="D293" s="585"/>
      <c r="E293" s="585"/>
      <c r="F293" s="585"/>
      <c r="G293" s="585"/>
      <c r="H293" s="585"/>
      <c r="I293" s="585"/>
      <c r="J293" s="585"/>
      <c r="K293" s="585"/>
      <c r="L293" s="585"/>
      <c r="M293" s="585"/>
      <c r="N293" s="585"/>
      <c r="O293" s="585"/>
      <c r="P293" s="585"/>
      <c r="Q293" s="585"/>
      <c r="R293" s="585"/>
      <c r="S293" s="585"/>
      <c r="T293" s="585"/>
      <c r="U293" s="585"/>
      <c r="V293" s="224"/>
      <c r="W293" s="224"/>
    </row>
    <row r="294">
      <c r="A294" s="585"/>
      <c r="B294" s="585"/>
      <c r="C294" s="585"/>
      <c r="D294" s="585"/>
      <c r="E294" s="585"/>
      <c r="F294" s="585"/>
      <c r="G294" s="585"/>
      <c r="H294" s="585"/>
      <c r="I294" s="585"/>
      <c r="J294" s="585"/>
      <c r="K294" s="585"/>
      <c r="L294" s="585"/>
      <c r="M294" s="585"/>
      <c r="N294" s="585"/>
      <c r="O294" s="585"/>
      <c r="P294" s="585"/>
      <c r="Q294" s="585"/>
      <c r="R294" s="585"/>
      <c r="S294" s="585"/>
      <c r="T294" s="585"/>
      <c r="U294" s="585"/>
      <c r="V294" s="224"/>
      <c r="W294" s="224"/>
    </row>
    <row r="295">
      <c r="A295" s="585"/>
      <c r="B295" s="585"/>
      <c r="C295" s="585"/>
      <c r="D295" s="585"/>
      <c r="E295" s="585"/>
      <c r="F295" s="585"/>
      <c r="G295" s="585"/>
      <c r="H295" s="585"/>
      <c r="I295" s="585"/>
      <c r="J295" s="585"/>
      <c r="K295" s="585"/>
      <c r="L295" s="585"/>
      <c r="M295" s="585"/>
      <c r="N295" s="585"/>
      <c r="O295" s="585"/>
      <c r="P295" s="585"/>
      <c r="Q295" s="585"/>
      <c r="R295" s="585"/>
      <c r="S295" s="585"/>
      <c r="T295" s="585"/>
      <c r="U295" s="585"/>
      <c r="V295" s="224"/>
      <c r="W295" s="224"/>
    </row>
    <row r="296">
      <c r="A296" s="585"/>
      <c r="B296" s="585"/>
      <c r="C296" s="585"/>
      <c r="D296" s="585"/>
      <c r="E296" s="585"/>
      <c r="F296" s="585"/>
      <c r="G296" s="585"/>
      <c r="H296" s="585"/>
      <c r="I296" s="585"/>
      <c r="J296" s="585"/>
      <c r="K296" s="585"/>
      <c r="L296" s="585"/>
      <c r="M296" s="585"/>
      <c r="N296" s="585"/>
      <c r="O296" s="585"/>
      <c r="P296" s="585"/>
      <c r="Q296" s="585"/>
      <c r="R296" s="585"/>
      <c r="S296" s="585"/>
      <c r="T296" s="585"/>
      <c r="U296" s="585"/>
      <c r="V296" s="224"/>
      <c r="W296" s="224"/>
    </row>
    <row r="297">
      <c r="A297" s="585"/>
      <c r="B297" s="585"/>
      <c r="C297" s="585"/>
      <c r="D297" s="585"/>
      <c r="E297" s="585"/>
      <c r="F297" s="585"/>
      <c r="G297" s="585"/>
      <c r="H297" s="585"/>
      <c r="I297" s="585"/>
      <c r="J297" s="585"/>
      <c r="K297" s="585"/>
      <c r="L297" s="585"/>
      <c r="M297" s="585"/>
      <c r="N297" s="585"/>
      <c r="O297" s="585"/>
      <c r="P297" s="585"/>
      <c r="Q297" s="585"/>
      <c r="R297" s="585"/>
      <c r="S297" s="585"/>
      <c r="T297" s="585"/>
      <c r="U297" s="585"/>
      <c r="V297" s="224"/>
      <c r="W297" s="224"/>
    </row>
    <row r="298">
      <c r="A298" s="585"/>
      <c r="B298" s="585"/>
      <c r="C298" s="585"/>
      <c r="D298" s="585"/>
      <c r="E298" s="585"/>
      <c r="F298" s="585"/>
      <c r="G298" s="585"/>
      <c r="H298" s="585"/>
      <c r="I298" s="585"/>
      <c r="J298" s="585"/>
      <c r="K298" s="585"/>
      <c r="L298" s="585"/>
      <c r="M298" s="585"/>
      <c r="N298" s="585"/>
      <c r="O298" s="585"/>
      <c r="P298" s="585"/>
      <c r="Q298" s="585"/>
      <c r="R298" s="585"/>
      <c r="S298" s="585"/>
      <c r="T298" s="585"/>
      <c r="U298" s="585"/>
      <c r="V298" s="224"/>
      <c r="W298" s="224"/>
    </row>
    <row r="299">
      <c r="A299" s="585"/>
      <c r="B299" s="585"/>
      <c r="C299" s="585"/>
      <c r="D299" s="585"/>
      <c r="E299" s="585"/>
      <c r="F299" s="585"/>
      <c r="G299" s="585"/>
      <c r="H299" s="585"/>
      <c r="I299" s="585"/>
      <c r="J299" s="585"/>
      <c r="K299" s="585"/>
      <c r="L299" s="585"/>
      <c r="M299" s="585"/>
      <c r="N299" s="585"/>
      <c r="O299" s="585"/>
      <c r="P299" s="585"/>
      <c r="Q299" s="585"/>
      <c r="R299" s="585"/>
      <c r="S299" s="585"/>
      <c r="T299" s="585"/>
      <c r="U299" s="585"/>
      <c r="V299" s="224"/>
      <c r="W299" s="224"/>
    </row>
    <row r="300">
      <c r="A300" s="585"/>
      <c r="B300" s="585"/>
      <c r="C300" s="585"/>
      <c r="D300" s="585"/>
      <c r="E300" s="585"/>
      <c r="F300" s="585"/>
      <c r="G300" s="585"/>
      <c r="H300" s="585"/>
      <c r="I300" s="585"/>
      <c r="J300" s="585"/>
      <c r="K300" s="585"/>
      <c r="L300" s="585"/>
      <c r="M300" s="585"/>
      <c r="N300" s="585"/>
      <c r="O300" s="585"/>
      <c r="P300" s="585"/>
      <c r="Q300" s="585"/>
      <c r="R300" s="585"/>
      <c r="S300" s="585"/>
      <c r="T300" s="585"/>
      <c r="U300" s="585"/>
      <c r="V300" s="224"/>
      <c r="W300" s="224"/>
    </row>
    <row r="301">
      <c r="A301" s="585"/>
      <c r="B301" s="585"/>
      <c r="C301" s="585"/>
      <c r="D301" s="585"/>
      <c r="E301" s="585"/>
      <c r="F301" s="585"/>
      <c r="G301" s="585"/>
      <c r="H301" s="585"/>
      <c r="I301" s="585"/>
      <c r="J301" s="585"/>
      <c r="K301" s="585"/>
      <c r="L301" s="585"/>
      <c r="M301" s="585"/>
      <c r="N301" s="585"/>
      <c r="O301" s="585"/>
      <c r="P301" s="585"/>
      <c r="Q301" s="585"/>
      <c r="R301" s="585"/>
      <c r="S301" s="585"/>
      <c r="T301" s="585"/>
      <c r="U301" s="585"/>
      <c r="V301" s="224"/>
      <c r="W301" s="224"/>
    </row>
    <row r="302">
      <c r="A302" s="585"/>
      <c r="B302" s="585"/>
      <c r="C302" s="585"/>
      <c r="D302" s="585"/>
      <c r="E302" s="585"/>
      <c r="F302" s="585"/>
      <c r="G302" s="585"/>
      <c r="H302" s="585"/>
      <c r="I302" s="585"/>
      <c r="J302" s="585"/>
      <c r="K302" s="585"/>
      <c r="L302" s="585"/>
      <c r="M302" s="585"/>
      <c r="N302" s="585"/>
      <c r="O302" s="585"/>
      <c r="P302" s="585"/>
      <c r="Q302" s="585"/>
      <c r="R302" s="585"/>
      <c r="S302" s="585"/>
      <c r="T302" s="585"/>
      <c r="U302" s="585"/>
      <c r="V302" s="224"/>
      <c r="W302" s="224"/>
    </row>
    <row r="303">
      <c r="A303" s="585"/>
      <c r="B303" s="585"/>
      <c r="C303" s="585"/>
      <c r="D303" s="585"/>
      <c r="E303" s="585"/>
      <c r="F303" s="585"/>
      <c r="G303" s="585"/>
      <c r="H303" s="585"/>
      <c r="I303" s="585"/>
      <c r="J303" s="585"/>
      <c r="K303" s="585"/>
      <c r="L303" s="585"/>
      <c r="M303" s="585"/>
      <c r="N303" s="585"/>
      <c r="O303" s="585"/>
      <c r="P303" s="585"/>
      <c r="Q303" s="585"/>
      <c r="R303" s="585"/>
      <c r="S303" s="585"/>
      <c r="T303" s="585"/>
      <c r="U303" s="585"/>
      <c r="V303" s="224"/>
      <c r="W303" s="224"/>
    </row>
    <row r="304">
      <c r="A304" s="585"/>
      <c r="B304" s="585"/>
      <c r="C304" s="585"/>
      <c r="D304" s="585"/>
      <c r="E304" s="585"/>
      <c r="F304" s="585"/>
      <c r="G304" s="585"/>
      <c r="H304" s="585"/>
      <c r="I304" s="585"/>
      <c r="J304" s="585"/>
      <c r="K304" s="585"/>
      <c r="L304" s="585"/>
      <c r="M304" s="585"/>
      <c r="N304" s="585"/>
      <c r="O304" s="585"/>
      <c r="P304" s="585"/>
      <c r="Q304" s="585"/>
      <c r="R304" s="585"/>
      <c r="S304" s="585"/>
      <c r="T304" s="585"/>
      <c r="U304" s="585"/>
      <c r="V304" s="224"/>
      <c r="W304" s="224"/>
    </row>
    <row r="305">
      <c r="A305" s="585"/>
      <c r="B305" s="585"/>
      <c r="C305" s="585"/>
      <c r="D305" s="585"/>
      <c r="E305" s="585"/>
      <c r="F305" s="585"/>
      <c r="G305" s="585"/>
      <c r="H305" s="585"/>
      <c r="I305" s="585"/>
      <c r="J305" s="585"/>
      <c r="K305" s="585"/>
      <c r="L305" s="585"/>
      <c r="M305" s="585"/>
      <c r="N305" s="585"/>
      <c r="O305" s="585"/>
      <c r="P305" s="585"/>
      <c r="Q305" s="585"/>
      <c r="R305" s="585"/>
      <c r="S305" s="585"/>
      <c r="T305" s="585"/>
      <c r="U305" s="585"/>
      <c r="V305" s="224"/>
      <c r="W305" s="224"/>
    </row>
    <row r="306">
      <c r="A306" s="585"/>
      <c r="B306" s="585"/>
      <c r="C306" s="585"/>
      <c r="D306" s="585"/>
      <c r="E306" s="585"/>
      <c r="F306" s="585"/>
      <c r="G306" s="585"/>
      <c r="H306" s="585"/>
      <c r="I306" s="585"/>
      <c r="J306" s="585"/>
      <c r="K306" s="585"/>
      <c r="L306" s="585"/>
      <c r="M306" s="585"/>
      <c r="N306" s="585"/>
      <c r="O306" s="585"/>
      <c r="P306" s="585"/>
      <c r="Q306" s="585"/>
      <c r="R306" s="585"/>
      <c r="S306" s="585"/>
      <c r="T306" s="585"/>
      <c r="U306" s="585"/>
      <c r="V306" s="224"/>
      <c r="W306" s="224"/>
    </row>
    <row r="307">
      <c r="A307" s="585"/>
      <c r="B307" s="585"/>
      <c r="C307" s="585"/>
      <c r="D307" s="585"/>
      <c r="E307" s="585"/>
      <c r="F307" s="585"/>
      <c r="G307" s="585"/>
      <c r="H307" s="585"/>
      <c r="I307" s="585"/>
      <c r="J307" s="585"/>
      <c r="K307" s="585"/>
      <c r="L307" s="585"/>
      <c r="M307" s="585"/>
      <c r="N307" s="585"/>
      <c r="O307" s="585"/>
      <c r="P307" s="585"/>
      <c r="Q307" s="585"/>
      <c r="R307" s="585"/>
      <c r="S307" s="585"/>
      <c r="T307" s="585"/>
      <c r="U307" s="585"/>
      <c r="V307" s="224"/>
      <c r="W307" s="224"/>
    </row>
    <row r="308">
      <c r="A308" s="585"/>
      <c r="B308" s="585"/>
      <c r="C308" s="585"/>
      <c r="D308" s="585"/>
      <c r="E308" s="585"/>
      <c r="F308" s="585"/>
      <c r="G308" s="585"/>
      <c r="H308" s="585"/>
      <c r="I308" s="585"/>
      <c r="J308" s="585"/>
      <c r="K308" s="585"/>
      <c r="L308" s="585"/>
      <c r="M308" s="585"/>
      <c r="N308" s="585"/>
      <c r="O308" s="585"/>
      <c r="P308" s="585"/>
      <c r="Q308" s="585"/>
      <c r="R308" s="585"/>
      <c r="S308" s="585"/>
      <c r="T308" s="585"/>
      <c r="U308" s="585"/>
      <c r="V308" s="224"/>
      <c r="W308" s="224"/>
    </row>
    <row r="309">
      <c r="A309" s="585"/>
      <c r="B309" s="585"/>
      <c r="C309" s="585"/>
      <c r="D309" s="585"/>
      <c r="E309" s="585"/>
      <c r="F309" s="585"/>
      <c r="G309" s="585"/>
      <c r="H309" s="585"/>
      <c r="I309" s="585"/>
      <c r="J309" s="585"/>
      <c r="K309" s="585"/>
      <c r="L309" s="585"/>
      <c r="M309" s="585"/>
      <c r="N309" s="585"/>
      <c r="O309" s="585"/>
      <c r="P309" s="585"/>
      <c r="Q309" s="585"/>
      <c r="R309" s="585"/>
      <c r="S309" s="585"/>
      <c r="T309" s="585"/>
      <c r="U309" s="585"/>
      <c r="V309" s="224"/>
      <c r="W309" s="224"/>
    </row>
    <row r="310">
      <c r="A310" s="585"/>
      <c r="B310" s="585"/>
      <c r="C310" s="585"/>
      <c r="D310" s="585"/>
      <c r="E310" s="585"/>
      <c r="F310" s="585"/>
      <c r="G310" s="585"/>
      <c r="H310" s="585"/>
      <c r="I310" s="585"/>
      <c r="J310" s="585"/>
      <c r="K310" s="585"/>
      <c r="L310" s="585"/>
      <c r="M310" s="585"/>
      <c r="N310" s="585"/>
      <c r="O310" s="585"/>
      <c r="P310" s="585"/>
      <c r="Q310" s="585"/>
      <c r="R310" s="585"/>
      <c r="S310" s="585"/>
      <c r="T310" s="585"/>
      <c r="U310" s="585"/>
      <c r="V310" s="224"/>
      <c r="W310" s="224"/>
    </row>
    <row r="311">
      <c r="A311" s="585"/>
      <c r="B311" s="585"/>
      <c r="C311" s="585"/>
      <c r="D311" s="585"/>
      <c r="E311" s="585"/>
      <c r="F311" s="585"/>
      <c r="G311" s="585"/>
      <c r="H311" s="585"/>
      <c r="I311" s="585"/>
      <c r="J311" s="585"/>
      <c r="K311" s="585"/>
      <c r="L311" s="585"/>
      <c r="M311" s="585"/>
      <c r="N311" s="585"/>
      <c r="O311" s="585"/>
      <c r="P311" s="585"/>
      <c r="Q311" s="585"/>
      <c r="R311" s="585"/>
      <c r="S311" s="585"/>
      <c r="T311" s="585"/>
      <c r="U311" s="585"/>
      <c r="V311" s="224"/>
      <c r="W311" s="224"/>
    </row>
    <row r="312">
      <c r="A312" s="585"/>
      <c r="B312" s="585"/>
      <c r="C312" s="585"/>
      <c r="D312" s="585"/>
      <c r="E312" s="585"/>
      <c r="F312" s="585"/>
      <c r="G312" s="585"/>
      <c r="H312" s="585"/>
      <c r="I312" s="585"/>
      <c r="J312" s="585"/>
      <c r="K312" s="585"/>
      <c r="L312" s="585"/>
      <c r="M312" s="585"/>
      <c r="N312" s="585"/>
      <c r="O312" s="585"/>
      <c r="P312" s="585"/>
      <c r="Q312" s="585"/>
      <c r="R312" s="585"/>
      <c r="S312" s="585"/>
      <c r="T312" s="585"/>
      <c r="U312" s="585"/>
      <c r="V312" s="224"/>
      <c r="W312" s="224"/>
    </row>
    <row r="313">
      <c r="A313" s="585"/>
      <c r="B313" s="585"/>
      <c r="C313" s="585"/>
      <c r="D313" s="585"/>
      <c r="E313" s="585"/>
      <c r="F313" s="585"/>
      <c r="G313" s="585"/>
      <c r="H313" s="585"/>
      <c r="I313" s="585"/>
      <c r="J313" s="585"/>
      <c r="K313" s="585"/>
      <c r="L313" s="585"/>
      <c r="M313" s="585"/>
      <c r="N313" s="585"/>
      <c r="O313" s="585"/>
      <c r="P313" s="585"/>
      <c r="Q313" s="585"/>
      <c r="R313" s="585"/>
      <c r="S313" s="585"/>
      <c r="T313" s="585"/>
      <c r="U313" s="585"/>
      <c r="V313" s="224"/>
      <c r="W313" s="224"/>
    </row>
    <row r="314">
      <c r="A314" s="585"/>
      <c r="B314" s="585"/>
      <c r="C314" s="585"/>
      <c r="D314" s="585"/>
      <c r="E314" s="585"/>
      <c r="F314" s="585"/>
      <c r="G314" s="585"/>
      <c r="H314" s="585"/>
      <c r="I314" s="585"/>
      <c r="J314" s="585"/>
      <c r="K314" s="585"/>
      <c r="L314" s="585"/>
      <c r="M314" s="585"/>
      <c r="N314" s="585"/>
      <c r="O314" s="585"/>
      <c r="P314" s="585"/>
      <c r="Q314" s="585"/>
      <c r="R314" s="585"/>
      <c r="S314" s="585"/>
      <c r="T314" s="585"/>
      <c r="U314" s="585"/>
      <c r="V314" s="224"/>
      <c r="W314" s="224"/>
    </row>
    <row r="315">
      <c r="A315" s="585"/>
      <c r="B315" s="585"/>
      <c r="C315" s="585"/>
      <c r="D315" s="585"/>
      <c r="E315" s="585"/>
      <c r="F315" s="585"/>
      <c r="G315" s="585"/>
      <c r="H315" s="585"/>
      <c r="I315" s="585"/>
      <c r="J315" s="585"/>
      <c r="K315" s="585"/>
      <c r="L315" s="585"/>
      <c r="M315" s="585"/>
      <c r="N315" s="585"/>
      <c r="O315" s="585"/>
      <c r="P315" s="585"/>
      <c r="Q315" s="585"/>
      <c r="R315" s="585"/>
      <c r="S315" s="585"/>
      <c r="T315" s="585"/>
      <c r="U315" s="585"/>
      <c r="V315" s="224"/>
      <c r="W315" s="224"/>
    </row>
    <row r="316">
      <c r="A316" s="585"/>
      <c r="B316" s="585"/>
      <c r="C316" s="585"/>
      <c r="D316" s="585"/>
      <c r="E316" s="585"/>
      <c r="F316" s="585"/>
      <c r="G316" s="585"/>
      <c r="H316" s="585"/>
      <c r="I316" s="585"/>
      <c r="J316" s="585"/>
      <c r="K316" s="585"/>
      <c r="L316" s="585"/>
      <c r="M316" s="585"/>
      <c r="N316" s="585"/>
      <c r="O316" s="585"/>
      <c r="P316" s="585"/>
      <c r="Q316" s="585"/>
      <c r="R316" s="585"/>
      <c r="S316" s="585"/>
      <c r="T316" s="585"/>
      <c r="U316" s="585"/>
      <c r="V316" s="224"/>
      <c r="W316" s="224"/>
    </row>
    <row r="317">
      <c r="A317" s="585"/>
      <c r="B317" s="585"/>
      <c r="C317" s="585"/>
      <c r="D317" s="585"/>
      <c r="E317" s="585"/>
      <c r="F317" s="585"/>
      <c r="G317" s="585"/>
      <c r="H317" s="585"/>
      <c r="I317" s="585"/>
      <c r="J317" s="585"/>
      <c r="K317" s="585"/>
      <c r="L317" s="585"/>
      <c r="M317" s="585"/>
      <c r="N317" s="585"/>
      <c r="O317" s="585"/>
      <c r="P317" s="585"/>
      <c r="Q317" s="585"/>
      <c r="R317" s="585"/>
      <c r="S317" s="585"/>
      <c r="T317" s="585"/>
      <c r="U317" s="585"/>
      <c r="V317" s="224"/>
      <c r="W317" s="224"/>
    </row>
    <row r="318">
      <c r="A318" s="585"/>
      <c r="B318" s="585"/>
      <c r="C318" s="585"/>
      <c r="D318" s="585"/>
      <c r="E318" s="585"/>
      <c r="F318" s="585"/>
      <c r="G318" s="585"/>
      <c r="H318" s="585"/>
      <c r="I318" s="585"/>
      <c r="J318" s="585"/>
      <c r="K318" s="585"/>
      <c r="L318" s="585"/>
      <c r="M318" s="585"/>
      <c r="N318" s="585"/>
      <c r="O318" s="585"/>
      <c r="P318" s="585"/>
      <c r="Q318" s="585"/>
      <c r="R318" s="585"/>
      <c r="S318" s="585"/>
      <c r="T318" s="585"/>
      <c r="U318" s="585"/>
      <c r="V318" s="224"/>
      <c r="W318" s="224"/>
    </row>
    <row r="319">
      <c r="A319" s="585"/>
      <c r="B319" s="585"/>
      <c r="C319" s="585"/>
      <c r="D319" s="585"/>
      <c r="E319" s="585"/>
      <c r="F319" s="585"/>
      <c r="G319" s="585"/>
      <c r="H319" s="585"/>
      <c r="I319" s="585"/>
      <c r="J319" s="585"/>
      <c r="K319" s="585"/>
      <c r="L319" s="585"/>
      <c r="M319" s="585"/>
      <c r="N319" s="585"/>
      <c r="O319" s="585"/>
      <c r="P319" s="585"/>
      <c r="Q319" s="585"/>
      <c r="R319" s="585"/>
      <c r="S319" s="585"/>
      <c r="T319" s="585"/>
      <c r="U319" s="585"/>
      <c r="V319" s="224"/>
      <c r="W319" s="224"/>
    </row>
    <row r="320">
      <c r="A320" s="585"/>
      <c r="B320" s="585"/>
      <c r="C320" s="585"/>
      <c r="D320" s="585"/>
      <c r="E320" s="585"/>
      <c r="F320" s="585"/>
      <c r="G320" s="585"/>
      <c r="H320" s="585"/>
      <c r="I320" s="585"/>
      <c r="J320" s="585"/>
      <c r="K320" s="585"/>
      <c r="L320" s="585"/>
      <c r="M320" s="585"/>
      <c r="N320" s="585"/>
      <c r="O320" s="585"/>
      <c r="P320" s="585"/>
      <c r="Q320" s="585"/>
      <c r="R320" s="585"/>
      <c r="S320" s="585"/>
      <c r="T320" s="585"/>
      <c r="U320" s="585"/>
      <c r="V320" s="224"/>
      <c r="W320" s="224"/>
    </row>
    <row r="321">
      <c r="A321" s="585"/>
      <c r="B321" s="585"/>
      <c r="C321" s="585"/>
      <c r="D321" s="585"/>
      <c r="E321" s="585"/>
      <c r="F321" s="585"/>
      <c r="G321" s="585"/>
      <c r="H321" s="585"/>
      <c r="I321" s="585"/>
      <c r="J321" s="585"/>
      <c r="K321" s="585"/>
      <c r="L321" s="585"/>
      <c r="M321" s="585"/>
      <c r="N321" s="585"/>
      <c r="O321" s="585"/>
      <c r="P321" s="585"/>
      <c r="Q321" s="585"/>
      <c r="R321" s="585"/>
      <c r="S321" s="585"/>
      <c r="T321" s="585"/>
      <c r="U321" s="585"/>
      <c r="V321" s="224"/>
      <c r="W321" s="224"/>
    </row>
    <row r="322">
      <c r="A322" s="585"/>
      <c r="B322" s="585"/>
      <c r="C322" s="585"/>
      <c r="D322" s="585"/>
      <c r="E322" s="585"/>
      <c r="F322" s="585"/>
      <c r="G322" s="585"/>
      <c r="H322" s="585"/>
      <c r="I322" s="585"/>
      <c r="J322" s="585"/>
      <c r="K322" s="585"/>
      <c r="L322" s="585"/>
      <c r="M322" s="585"/>
      <c r="N322" s="585"/>
      <c r="O322" s="585"/>
      <c r="P322" s="585"/>
      <c r="Q322" s="585"/>
      <c r="R322" s="585"/>
      <c r="S322" s="585"/>
      <c r="T322" s="585"/>
      <c r="U322" s="585"/>
      <c r="V322" s="224"/>
      <c r="W322" s="224"/>
    </row>
    <row r="323">
      <c r="A323" s="585"/>
      <c r="B323" s="585"/>
      <c r="C323" s="585"/>
      <c r="D323" s="585"/>
      <c r="E323" s="585"/>
      <c r="F323" s="585"/>
      <c r="G323" s="585"/>
      <c r="H323" s="585"/>
      <c r="I323" s="585"/>
      <c r="J323" s="585"/>
      <c r="K323" s="585"/>
      <c r="L323" s="585"/>
      <c r="M323" s="585"/>
      <c r="N323" s="585"/>
      <c r="O323" s="585"/>
      <c r="P323" s="585"/>
      <c r="Q323" s="585"/>
      <c r="R323" s="585"/>
      <c r="S323" s="585"/>
      <c r="T323" s="585"/>
      <c r="U323" s="585"/>
      <c r="V323" s="224"/>
      <c r="W323" s="224"/>
    </row>
    <row r="324">
      <c r="A324" s="585"/>
      <c r="B324" s="585"/>
      <c r="C324" s="585"/>
      <c r="D324" s="585"/>
      <c r="E324" s="585"/>
      <c r="F324" s="585"/>
      <c r="G324" s="585"/>
      <c r="H324" s="585"/>
      <c r="I324" s="585"/>
      <c r="J324" s="585"/>
      <c r="K324" s="585"/>
      <c r="L324" s="585"/>
      <c r="M324" s="585"/>
      <c r="N324" s="585"/>
      <c r="O324" s="585"/>
      <c r="P324" s="585"/>
      <c r="Q324" s="585"/>
      <c r="R324" s="585"/>
      <c r="S324" s="585"/>
      <c r="T324" s="585"/>
      <c r="U324" s="585"/>
      <c r="V324" s="224"/>
      <c r="W324" s="224"/>
    </row>
    <row r="325">
      <c r="A325" s="585"/>
      <c r="B325" s="585"/>
      <c r="C325" s="585"/>
      <c r="D325" s="585"/>
      <c r="E325" s="585"/>
      <c r="F325" s="585"/>
      <c r="G325" s="585"/>
      <c r="H325" s="585"/>
      <c r="I325" s="585"/>
      <c r="J325" s="585"/>
      <c r="K325" s="585"/>
      <c r="L325" s="585"/>
      <c r="M325" s="585"/>
      <c r="N325" s="585"/>
      <c r="O325" s="585"/>
      <c r="P325" s="585"/>
      <c r="Q325" s="585"/>
      <c r="R325" s="585"/>
      <c r="S325" s="585"/>
      <c r="T325" s="585"/>
      <c r="U325" s="585"/>
      <c r="V325" s="224"/>
      <c r="W325" s="224"/>
    </row>
    <row r="326">
      <c r="A326" s="585"/>
      <c r="B326" s="585"/>
      <c r="C326" s="585"/>
      <c r="D326" s="585"/>
      <c r="E326" s="585"/>
      <c r="F326" s="585"/>
      <c r="G326" s="585"/>
      <c r="H326" s="585"/>
      <c r="I326" s="585"/>
      <c r="J326" s="585"/>
      <c r="K326" s="585"/>
      <c r="L326" s="585"/>
      <c r="M326" s="585"/>
      <c r="N326" s="585"/>
      <c r="O326" s="585"/>
      <c r="P326" s="585"/>
      <c r="Q326" s="585"/>
      <c r="R326" s="585"/>
      <c r="S326" s="585"/>
      <c r="T326" s="585"/>
      <c r="U326" s="585"/>
      <c r="V326" s="224"/>
      <c r="W326" s="224"/>
    </row>
    <row r="327">
      <c r="A327" s="585"/>
      <c r="B327" s="585"/>
      <c r="C327" s="585"/>
      <c r="D327" s="585"/>
      <c r="E327" s="585"/>
      <c r="F327" s="585"/>
      <c r="G327" s="585"/>
      <c r="H327" s="585"/>
      <c r="I327" s="585"/>
      <c r="J327" s="585"/>
      <c r="K327" s="585"/>
      <c r="L327" s="585"/>
      <c r="M327" s="585"/>
      <c r="N327" s="585"/>
      <c r="O327" s="585"/>
      <c r="P327" s="585"/>
      <c r="Q327" s="585"/>
      <c r="R327" s="585"/>
      <c r="S327" s="585"/>
      <c r="T327" s="585"/>
      <c r="U327" s="585"/>
      <c r="V327" s="224"/>
      <c r="W327" s="224"/>
    </row>
    <row r="328">
      <c r="A328" s="585"/>
      <c r="B328" s="585"/>
      <c r="C328" s="585"/>
      <c r="D328" s="585"/>
      <c r="E328" s="585"/>
      <c r="F328" s="585"/>
      <c r="G328" s="585"/>
      <c r="H328" s="585"/>
      <c r="I328" s="585"/>
      <c r="J328" s="585"/>
      <c r="K328" s="585"/>
      <c r="L328" s="585"/>
      <c r="M328" s="585"/>
      <c r="N328" s="585"/>
      <c r="O328" s="585"/>
      <c r="P328" s="585"/>
      <c r="Q328" s="585"/>
      <c r="R328" s="585"/>
      <c r="S328" s="585"/>
      <c r="T328" s="585"/>
      <c r="U328" s="585"/>
      <c r="V328" s="224"/>
      <c r="W328" s="224"/>
    </row>
    <row r="329">
      <c r="A329" s="585"/>
      <c r="B329" s="585"/>
      <c r="C329" s="585"/>
      <c r="D329" s="585"/>
      <c r="E329" s="585"/>
      <c r="F329" s="585"/>
      <c r="G329" s="585"/>
      <c r="H329" s="585"/>
      <c r="I329" s="585"/>
      <c r="J329" s="585"/>
      <c r="K329" s="585"/>
      <c r="L329" s="585"/>
      <c r="M329" s="585"/>
      <c r="N329" s="585"/>
      <c r="O329" s="585"/>
      <c r="P329" s="585"/>
      <c r="Q329" s="585"/>
      <c r="R329" s="585"/>
      <c r="S329" s="585"/>
      <c r="T329" s="585"/>
      <c r="U329" s="585"/>
      <c r="V329" s="224"/>
      <c r="W329" s="224"/>
    </row>
    <row r="330">
      <c r="A330" s="585"/>
      <c r="B330" s="585"/>
      <c r="C330" s="585"/>
      <c r="D330" s="585"/>
      <c r="E330" s="585"/>
      <c r="F330" s="585"/>
      <c r="G330" s="585"/>
      <c r="H330" s="585"/>
      <c r="I330" s="585"/>
      <c r="J330" s="585"/>
      <c r="K330" s="585"/>
      <c r="L330" s="585"/>
      <c r="M330" s="585"/>
      <c r="N330" s="585"/>
      <c r="O330" s="585"/>
      <c r="P330" s="585"/>
      <c r="Q330" s="585"/>
      <c r="R330" s="585"/>
      <c r="S330" s="585"/>
      <c r="T330" s="585"/>
      <c r="U330" s="585"/>
      <c r="V330" s="224"/>
      <c r="W330" s="224"/>
    </row>
    <row r="331">
      <c r="A331" s="585"/>
      <c r="B331" s="585"/>
      <c r="C331" s="585"/>
      <c r="D331" s="585"/>
      <c r="E331" s="585"/>
      <c r="F331" s="585"/>
      <c r="G331" s="585"/>
      <c r="H331" s="585"/>
      <c r="I331" s="585"/>
      <c r="J331" s="585"/>
      <c r="K331" s="585"/>
      <c r="L331" s="585"/>
      <c r="M331" s="585"/>
      <c r="N331" s="585"/>
      <c r="O331" s="585"/>
      <c r="P331" s="585"/>
      <c r="Q331" s="585"/>
      <c r="R331" s="585"/>
      <c r="S331" s="585"/>
      <c r="T331" s="585"/>
      <c r="U331" s="585"/>
      <c r="V331" s="224"/>
      <c r="W331" s="224"/>
    </row>
    <row r="332">
      <c r="A332" s="585"/>
      <c r="B332" s="585"/>
      <c r="C332" s="585"/>
      <c r="D332" s="585"/>
      <c r="E332" s="585"/>
      <c r="F332" s="585"/>
      <c r="G332" s="585"/>
      <c r="H332" s="585"/>
      <c r="I332" s="585"/>
      <c r="J332" s="585"/>
      <c r="K332" s="585"/>
      <c r="L332" s="585"/>
      <c r="M332" s="585"/>
      <c r="N332" s="585"/>
      <c r="O332" s="585"/>
      <c r="P332" s="585"/>
      <c r="Q332" s="585"/>
      <c r="R332" s="585"/>
      <c r="S332" s="585"/>
      <c r="T332" s="585"/>
      <c r="U332" s="585"/>
      <c r="V332" s="224"/>
      <c r="W332" s="224"/>
    </row>
    <row r="333">
      <c r="A333" s="585"/>
      <c r="B333" s="585"/>
      <c r="C333" s="585"/>
      <c r="D333" s="585"/>
      <c r="E333" s="585"/>
      <c r="F333" s="585"/>
      <c r="G333" s="585"/>
      <c r="H333" s="585"/>
      <c r="I333" s="585"/>
      <c r="J333" s="585"/>
      <c r="K333" s="585"/>
      <c r="L333" s="585"/>
      <c r="M333" s="585"/>
      <c r="N333" s="585"/>
      <c r="O333" s="585"/>
      <c r="P333" s="585"/>
      <c r="Q333" s="585"/>
      <c r="R333" s="585"/>
      <c r="S333" s="585"/>
      <c r="T333" s="585"/>
      <c r="U333" s="585"/>
      <c r="V333" s="224"/>
      <c r="W333" s="224"/>
    </row>
    <row r="334">
      <c r="A334" s="585"/>
      <c r="B334" s="585"/>
      <c r="C334" s="585"/>
      <c r="D334" s="585"/>
      <c r="E334" s="585"/>
      <c r="F334" s="585"/>
      <c r="G334" s="585"/>
      <c r="H334" s="585"/>
      <c r="I334" s="585"/>
      <c r="J334" s="585"/>
      <c r="K334" s="585"/>
      <c r="L334" s="585"/>
      <c r="M334" s="585"/>
      <c r="N334" s="585"/>
      <c r="O334" s="585"/>
      <c r="P334" s="585"/>
      <c r="Q334" s="585"/>
      <c r="R334" s="585"/>
      <c r="S334" s="585"/>
      <c r="T334" s="585"/>
      <c r="U334" s="585"/>
      <c r="V334" s="224"/>
      <c r="W334" s="224"/>
    </row>
    <row r="335">
      <c r="A335" s="585"/>
      <c r="B335" s="585"/>
      <c r="C335" s="585"/>
      <c r="D335" s="585"/>
      <c r="E335" s="585"/>
      <c r="F335" s="585"/>
      <c r="G335" s="585"/>
      <c r="H335" s="585"/>
      <c r="I335" s="585"/>
      <c r="J335" s="585"/>
      <c r="K335" s="585"/>
      <c r="L335" s="585"/>
      <c r="M335" s="585"/>
      <c r="N335" s="585"/>
      <c r="O335" s="585"/>
      <c r="P335" s="585"/>
      <c r="Q335" s="585"/>
      <c r="R335" s="585"/>
      <c r="S335" s="585"/>
      <c r="T335" s="585"/>
      <c r="U335" s="585"/>
      <c r="V335" s="224"/>
      <c r="W335" s="224"/>
    </row>
    <row r="336">
      <c r="A336" s="585"/>
      <c r="B336" s="585"/>
      <c r="C336" s="585"/>
      <c r="D336" s="585"/>
      <c r="E336" s="585"/>
      <c r="F336" s="585"/>
      <c r="G336" s="585"/>
      <c r="H336" s="585"/>
      <c r="I336" s="585"/>
      <c r="J336" s="585"/>
      <c r="K336" s="585"/>
      <c r="L336" s="585"/>
      <c r="M336" s="585"/>
      <c r="N336" s="585"/>
      <c r="O336" s="585"/>
      <c r="P336" s="585"/>
      <c r="Q336" s="585"/>
      <c r="R336" s="585"/>
      <c r="S336" s="585"/>
      <c r="T336" s="585"/>
      <c r="U336" s="585"/>
      <c r="V336" s="224"/>
      <c r="W336" s="224"/>
    </row>
    <row r="337">
      <c r="A337" s="585"/>
      <c r="B337" s="585"/>
      <c r="C337" s="585"/>
      <c r="D337" s="585"/>
      <c r="E337" s="585"/>
      <c r="F337" s="585"/>
      <c r="G337" s="585"/>
      <c r="H337" s="585"/>
      <c r="I337" s="585"/>
      <c r="J337" s="585"/>
      <c r="K337" s="585"/>
      <c r="L337" s="585"/>
      <c r="M337" s="585"/>
      <c r="N337" s="585"/>
      <c r="O337" s="585"/>
      <c r="P337" s="585"/>
      <c r="Q337" s="585"/>
      <c r="R337" s="585"/>
      <c r="S337" s="585"/>
      <c r="T337" s="585"/>
      <c r="U337" s="585"/>
      <c r="V337" s="224"/>
      <c r="W337" s="224"/>
    </row>
    <row r="338">
      <c r="A338" s="585"/>
      <c r="B338" s="585"/>
      <c r="C338" s="585"/>
      <c r="D338" s="585"/>
      <c r="E338" s="585"/>
      <c r="F338" s="585"/>
      <c r="G338" s="585"/>
      <c r="H338" s="585"/>
      <c r="I338" s="585"/>
      <c r="J338" s="585"/>
      <c r="K338" s="585"/>
      <c r="L338" s="585"/>
      <c r="M338" s="585"/>
      <c r="N338" s="585"/>
      <c r="O338" s="585"/>
      <c r="P338" s="585"/>
      <c r="Q338" s="585"/>
      <c r="R338" s="585"/>
      <c r="S338" s="585"/>
      <c r="T338" s="585"/>
      <c r="U338" s="585"/>
      <c r="V338" s="224"/>
      <c r="W338" s="224"/>
    </row>
    <row r="339">
      <c r="A339" s="585"/>
      <c r="B339" s="585"/>
      <c r="C339" s="585"/>
      <c r="D339" s="585"/>
      <c r="E339" s="585"/>
      <c r="F339" s="585"/>
      <c r="G339" s="585"/>
      <c r="H339" s="585"/>
      <c r="I339" s="585"/>
      <c r="J339" s="585"/>
      <c r="K339" s="585"/>
      <c r="L339" s="585"/>
      <c r="M339" s="585"/>
      <c r="N339" s="585"/>
      <c r="O339" s="585"/>
      <c r="P339" s="585"/>
      <c r="Q339" s="585"/>
      <c r="R339" s="585"/>
      <c r="S339" s="585"/>
      <c r="T339" s="585"/>
      <c r="U339" s="585"/>
      <c r="V339" s="224"/>
      <c r="W339" s="224"/>
    </row>
    <row r="340">
      <c r="A340" s="585"/>
      <c r="B340" s="585"/>
      <c r="C340" s="585"/>
      <c r="D340" s="585"/>
      <c r="E340" s="585"/>
      <c r="F340" s="585"/>
      <c r="G340" s="585"/>
      <c r="H340" s="585"/>
      <c r="I340" s="585"/>
      <c r="J340" s="585"/>
      <c r="K340" s="585"/>
      <c r="L340" s="585"/>
      <c r="M340" s="585"/>
      <c r="N340" s="585"/>
      <c r="O340" s="585"/>
      <c r="P340" s="585"/>
      <c r="Q340" s="585"/>
      <c r="R340" s="585"/>
      <c r="S340" s="585"/>
      <c r="T340" s="585"/>
      <c r="U340" s="585"/>
      <c r="V340" s="224"/>
      <c r="W340" s="224"/>
    </row>
    <row r="341">
      <c r="A341" s="585"/>
      <c r="B341" s="585"/>
      <c r="C341" s="585"/>
      <c r="D341" s="585"/>
      <c r="E341" s="585"/>
      <c r="F341" s="585"/>
      <c r="G341" s="585"/>
      <c r="H341" s="585"/>
      <c r="I341" s="585"/>
      <c r="J341" s="585"/>
      <c r="K341" s="585"/>
      <c r="L341" s="585"/>
      <c r="M341" s="585"/>
      <c r="N341" s="585"/>
      <c r="O341" s="585"/>
      <c r="P341" s="585"/>
      <c r="Q341" s="585"/>
      <c r="R341" s="585"/>
      <c r="S341" s="585"/>
      <c r="T341" s="585"/>
      <c r="U341" s="585"/>
      <c r="V341" s="224"/>
      <c r="W341" s="224"/>
    </row>
    <row r="342">
      <c r="A342" s="585"/>
      <c r="B342" s="585"/>
      <c r="C342" s="585"/>
      <c r="D342" s="585"/>
      <c r="E342" s="585"/>
      <c r="F342" s="585"/>
      <c r="G342" s="585"/>
      <c r="H342" s="585"/>
      <c r="I342" s="585"/>
      <c r="J342" s="585"/>
      <c r="K342" s="585"/>
      <c r="L342" s="585"/>
      <c r="M342" s="585"/>
      <c r="N342" s="585"/>
      <c r="O342" s="585"/>
      <c r="P342" s="585"/>
      <c r="Q342" s="585"/>
      <c r="R342" s="585"/>
      <c r="S342" s="585"/>
      <c r="T342" s="585"/>
      <c r="U342" s="585"/>
      <c r="V342" s="224"/>
      <c r="W342" s="224"/>
    </row>
    <row r="343">
      <c r="A343" s="585"/>
      <c r="B343" s="585"/>
      <c r="C343" s="585"/>
      <c r="D343" s="585"/>
      <c r="E343" s="585"/>
      <c r="F343" s="585"/>
      <c r="G343" s="585"/>
      <c r="H343" s="585"/>
      <c r="I343" s="585"/>
      <c r="J343" s="585"/>
      <c r="K343" s="585"/>
      <c r="L343" s="585"/>
      <c r="M343" s="585"/>
      <c r="N343" s="585"/>
      <c r="O343" s="585"/>
      <c r="P343" s="585"/>
      <c r="Q343" s="585"/>
      <c r="R343" s="585"/>
      <c r="S343" s="585"/>
      <c r="T343" s="585"/>
      <c r="U343" s="585"/>
      <c r="V343" s="224"/>
      <c r="W343" s="224"/>
    </row>
    <row r="344">
      <c r="A344" s="585"/>
      <c r="B344" s="585"/>
      <c r="C344" s="585"/>
      <c r="D344" s="585"/>
      <c r="E344" s="585"/>
      <c r="F344" s="585"/>
      <c r="G344" s="585"/>
      <c r="H344" s="585"/>
      <c r="I344" s="585"/>
      <c r="J344" s="585"/>
      <c r="K344" s="585"/>
      <c r="L344" s="585"/>
      <c r="M344" s="585"/>
      <c r="N344" s="585"/>
      <c r="O344" s="585"/>
      <c r="P344" s="585"/>
      <c r="Q344" s="585"/>
      <c r="R344" s="585"/>
      <c r="S344" s="585"/>
      <c r="T344" s="585"/>
      <c r="U344" s="585"/>
      <c r="V344" s="224"/>
      <c r="W344" s="224"/>
    </row>
    <row r="345">
      <c r="A345" s="585"/>
      <c r="B345" s="585"/>
      <c r="C345" s="585"/>
      <c r="D345" s="585"/>
      <c r="E345" s="585"/>
      <c r="F345" s="585"/>
      <c r="G345" s="585"/>
      <c r="H345" s="585"/>
      <c r="I345" s="585"/>
      <c r="J345" s="585"/>
      <c r="K345" s="585"/>
      <c r="L345" s="585"/>
      <c r="M345" s="585"/>
      <c r="N345" s="585"/>
      <c r="O345" s="585"/>
      <c r="P345" s="585"/>
      <c r="Q345" s="585"/>
      <c r="R345" s="585"/>
      <c r="S345" s="585"/>
      <c r="T345" s="585"/>
      <c r="U345" s="585"/>
      <c r="V345" s="224"/>
      <c r="W345" s="224"/>
    </row>
    <row r="346">
      <c r="A346" s="585"/>
      <c r="B346" s="585"/>
      <c r="C346" s="585"/>
      <c r="D346" s="585"/>
      <c r="E346" s="585"/>
      <c r="F346" s="585"/>
      <c r="G346" s="585"/>
      <c r="H346" s="585"/>
      <c r="I346" s="585"/>
      <c r="J346" s="585"/>
      <c r="K346" s="585"/>
      <c r="L346" s="585"/>
      <c r="M346" s="585"/>
      <c r="N346" s="585"/>
      <c r="O346" s="585"/>
      <c r="P346" s="585"/>
      <c r="Q346" s="585"/>
      <c r="R346" s="585"/>
      <c r="S346" s="585"/>
      <c r="T346" s="585"/>
      <c r="U346" s="585"/>
      <c r="V346" s="224"/>
      <c r="W346" s="224"/>
    </row>
    <row r="347">
      <c r="A347" s="585"/>
      <c r="B347" s="585"/>
      <c r="C347" s="585"/>
      <c r="D347" s="585"/>
      <c r="E347" s="585"/>
      <c r="F347" s="585"/>
      <c r="G347" s="585"/>
      <c r="H347" s="585"/>
      <c r="I347" s="585"/>
      <c r="J347" s="585"/>
      <c r="K347" s="585"/>
      <c r="L347" s="585"/>
      <c r="M347" s="585"/>
      <c r="N347" s="585"/>
      <c r="O347" s="585"/>
      <c r="P347" s="585"/>
      <c r="Q347" s="585"/>
      <c r="R347" s="585"/>
      <c r="S347" s="585"/>
      <c r="T347" s="585"/>
      <c r="U347" s="585"/>
      <c r="V347" s="224"/>
      <c r="W347" s="224"/>
    </row>
    <row r="348">
      <c r="A348" s="585"/>
      <c r="B348" s="585"/>
      <c r="C348" s="585"/>
      <c r="D348" s="585"/>
      <c r="E348" s="585"/>
      <c r="F348" s="585"/>
      <c r="G348" s="585"/>
      <c r="H348" s="585"/>
      <c r="I348" s="585"/>
      <c r="J348" s="585"/>
      <c r="K348" s="585"/>
      <c r="L348" s="585"/>
      <c r="M348" s="585"/>
      <c r="N348" s="585"/>
      <c r="O348" s="585"/>
      <c r="P348" s="585"/>
      <c r="Q348" s="585"/>
      <c r="R348" s="585"/>
      <c r="S348" s="585"/>
      <c r="T348" s="585"/>
      <c r="U348" s="585"/>
      <c r="V348" s="224"/>
      <c r="W348" s="224"/>
    </row>
    <row r="349">
      <c r="A349" s="585"/>
      <c r="B349" s="585"/>
      <c r="C349" s="585"/>
      <c r="D349" s="585"/>
      <c r="E349" s="585"/>
      <c r="F349" s="585"/>
      <c r="G349" s="585"/>
      <c r="H349" s="585"/>
      <c r="I349" s="585"/>
      <c r="J349" s="585"/>
      <c r="K349" s="585"/>
      <c r="L349" s="585"/>
      <c r="M349" s="585"/>
      <c r="N349" s="585"/>
      <c r="O349" s="585"/>
      <c r="P349" s="585"/>
      <c r="Q349" s="585"/>
      <c r="R349" s="585"/>
      <c r="S349" s="585"/>
      <c r="T349" s="585"/>
      <c r="U349" s="585"/>
      <c r="V349" s="224"/>
      <c r="W349" s="224"/>
    </row>
    <row r="350">
      <c r="A350" s="585"/>
      <c r="B350" s="585"/>
      <c r="C350" s="585"/>
      <c r="D350" s="585"/>
      <c r="E350" s="585"/>
      <c r="F350" s="585"/>
      <c r="G350" s="585"/>
      <c r="H350" s="585"/>
      <c r="I350" s="585"/>
      <c r="J350" s="585"/>
      <c r="K350" s="585"/>
      <c r="L350" s="585"/>
      <c r="M350" s="585"/>
      <c r="N350" s="585"/>
      <c r="O350" s="585"/>
      <c r="P350" s="585"/>
      <c r="Q350" s="585"/>
      <c r="R350" s="585"/>
      <c r="S350" s="585"/>
      <c r="T350" s="585"/>
      <c r="U350" s="585"/>
      <c r="V350" s="224"/>
      <c r="W350" s="224"/>
    </row>
    <row r="351">
      <c r="A351" s="585"/>
      <c r="B351" s="585"/>
      <c r="C351" s="585"/>
      <c r="D351" s="585"/>
      <c r="E351" s="585"/>
      <c r="F351" s="585"/>
      <c r="G351" s="585"/>
      <c r="H351" s="585"/>
      <c r="I351" s="585"/>
      <c r="J351" s="585"/>
      <c r="K351" s="585"/>
      <c r="L351" s="585"/>
      <c r="M351" s="585"/>
      <c r="N351" s="585"/>
      <c r="O351" s="585"/>
      <c r="P351" s="585"/>
      <c r="Q351" s="585"/>
      <c r="R351" s="585"/>
      <c r="S351" s="585"/>
      <c r="T351" s="585"/>
      <c r="U351" s="585"/>
      <c r="V351" s="224"/>
      <c r="W351" s="224"/>
    </row>
    <row r="352">
      <c r="A352" s="585"/>
      <c r="B352" s="585"/>
      <c r="C352" s="585"/>
      <c r="D352" s="585"/>
      <c r="E352" s="585"/>
      <c r="F352" s="585"/>
      <c r="G352" s="585"/>
      <c r="H352" s="585"/>
      <c r="I352" s="585"/>
      <c r="J352" s="585"/>
      <c r="K352" s="585"/>
      <c r="L352" s="585"/>
      <c r="M352" s="585"/>
      <c r="N352" s="585"/>
      <c r="O352" s="585"/>
      <c r="P352" s="585"/>
      <c r="Q352" s="585"/>
      <c r="R352" s="585"/>
      <c r="S352" s="585"/>
      <c r="T352" s="585"/>
      <c r="U352" s="585"/>
      <c r="V352" s="224"/>
      <c r="W352" s="224"/>
    </row>
    <row r="353">
      <c r="A353" s="585"/>
      <c r="B353" s="585"/>
      <c r="C353" s="585"/>
      <c r="D353" s="585"/>
      <c r="E353" s="585"/>
      <c r="F353" s="585"/>
      <c r="G353" s="585"/>
      <c r="H353" s="585"/>
      <c r="I353" s="585"/>
      <c r="J353" s="585"/>
      <c r="K353" s="585"/>
      <c r="L353" s="585"/>
      <c r="M353" s="585"/>
      <c r="N353" s="585"/>
      <c r="O353" s="585"/>
      <c r="P353" s="585"/>
      <c r="Q353" s="585"/>
      <c r="R353" s="585"/>
      <c r="S353" s="585"/>
      <c r="T353" s="585"/>
      <c r="U353" s="585"/>
      <c r="V353" s="224"/>
      <c r="W353" s="224"/>
    </row>
    <row r="354">
      <c r="A354" s="585"/>
      <c r="B354" s="585"/>
      <c r="C354" s="585"/>
      <c r="D354" s="585"/>
      <c r="E354" s="585"/>
      <c r="F354" s="585"/>
      <c r="G354" s="585"/>
      <c r="H354" s="585"/>
      <c r="I354" s="585"/>
      <c r="J354" s="585"/>
      <c r="K354" s="585"/>
      <c r="L354" s="585"/>
      <c r="M354" s="585"/>
      <c r="N354" s="585"/>
      <c r="O354" s="585"/>
      <c r="P354" s="585"/>
      <c r="Q354" s="585"/>
      <c r="R354" s="585"/>
      <c r="S354" s="585"/>
      <c r="T354" s="585"/>
      <c r="U354" s="585"/>
      <c r="V354" s="224"/>
      <c r="W354" s="224"/>
    </row>
    <row r="355">
      <c r="A355" s="585"/>
      <c r="B355" s="585"/>
      <c r="C355" s="585"/>
      <c r="D355" s="585"/>
      <c r="E355" s="585"/>
      <c r="F355" s="585"/>
      <c r="G355" s="585"/>
      <c r="H355" s="585"/>
      <c r="I355" s="585"/>
      <c r="J355" s="585"/>
      <c r="K355" s="585"/>
      <c r="L355" s="585"/>
      <c r="M355" s="585"/>
      <c r="N355" s="585"/>
      <c r="O355" s="585"/>
      <c r="P355" s="585"/>
      <c r="Q355" s="585"/>
      <c r="R355" s="585"/>
      <c r="S355" s="585"/>
      <c r="T355" s="585"/>
      <c r="U355" s="585"/>
      <c r="V355" s="224"/>
      <c r="W355" s="224"/>
    </row>
    <row r="356">
      <c r="A356" s="585"/>
      <c r="B356" s="585"/>
      <c r="C356" s="585"/>
      <c r="D356" s="585"/>
      <c r="E356" s="585"/>
      <c r="F356" s="585"/>
      <c r="G356" s="585"/>
      <c r="H356" s="585"/>
      <c r="I356" s="585"/>
      <c r="J356" s="585"/>
      <c r="K356" s="585"/>
      <c r="L356" s="585"/>
      <c r="M356" s="585"/>
      <c r="N356" s="585"/>
      <c r="O356" s="585"/>
      <c r="P356" s="585"/>
      <c r="Q356" s="585"/>
      <c r="R356" s="585"/>
      <c r="S356" s="585"/>
      <c r="T356" s="585"/>
      <c r="U356" s="585"/>
      <c r="V356" s="224"/>
      <c r="W356" s="224"/>
    </row>
    <row r="357">
      <c r="A357" s="585"/>
      <c r="B357" s="585"/>
      <c r="C357" s="585"/>
      <c r="D357" s="585"/>
      <c r="E357" s="585"/>
      <c r="F357" s="585"/>
      <c r="G357" s="585"/>
      <c r="H357" s="585"/>
      <c r="I357" s="585"/>
      <c r="J357" s="585"/>
      <c r="K357" s="585"/>
      <c r="L357" s="585"/>
      <c r="M357" s="585"/>
      <c r="N357" s="585"/>
      <c r="O357" s="585"/>
      <c r="P357" s="585"/>
      <c r="Q357" s="585"/>
      <c r="R357" s="585"/>
      <c r="S357" s="585"/>
      <c r="T357" s="585"/>
      <c r="U357" s="585"/>
      <c r="V357" s="224"/>
      <c r="W357" s="224"/>
    </row>
    <row r="358">
      <c r="A358" s="585"/>
      <c r="B358" s="585"/>
      <c r="C358" s="585"/>
      <c r="D358" s="585"/>
      <c r="E358" s="585"/>
      <c r="F358" s="585"/>
      <c r="G358" s="585"/>
      <c r="H358" s="585"/>
      <c r="I358" s="585"/>
      <c r="J358" s="585"/>
      <c r="K358" s="585"/>
      <c r="L358" s="585"/>
      <c r="M358" s="585"/>
      <c r="N358" s="585"/>
      <c r="O358" s="585"/>
      <c r="P358" s="585"/>
      <c r="Q358" s="585"/>
      <c r="R358" s="585"/>
      <c r="S358" s="585"/>
      <c r="T358" s="585"/>
      <c r="U358" s="585"/>
      <c r="V358" s="224"/>
      <c r="W358" s="224"/>
    </row>
    <row r="359">
      <c r="A359" s="585"/>
      <c r="B359" s="585"/>
      <c r="C359" s="585"/>
      <c r="D359" s="585"/>
      <c r="E359" s="585"/>
      <c r="F359" s="585"/>
      <c r="G359" s="585"/>
      <c r="H359" s="585"/>
      <c r="I359" s="585"/>
      <c r="J359" s="585"/>
      <c r="K359" s="585"/>
      <c r="L359" s="585"/>
      <c r="M359" s="585"/>
      <c r="N359" s="585"/>
      <c r="O359" s="585"/>
      <c r="P359" s="585"/>
      <c r="Q359" s="585"/>
      <c r="R359" s="585"/>
      <c r="S359" s="585"/>
      <c r="T359" s="585"/>
      <c r="U359" s="585"/>
      <c r="V359" s="224"/>
      <c r="W359" s="224"/>
    </row>
    <row r="360">
      <c r="A360" s="585"/>
      <c r="B360" s="585"/>
      <c r="C360" s="585"/>
      <c r="D360" s="585"/>
      <c r="E360" s="585"/>
      <c r="F360" s="585"/>
      <c r="G360" s="585"/>
      <c r="H360" s="585"/>
      <c r="I360" s="585"/>
      <c r="J360" s="585"/>
      <c r="K360" s="585"/>
      <c r="L360" s="585"/>
      <c r="M360" s="585"/>
      <c r="N360" s="585"/>
      <c r="O360" s="585"/>
      <c r="P360" s="585"/>
      <c r="Q360" s="585"/>
      <c r="R360" s="585"/>
      <c r="S360" s="585"/>
      <c r="T360" s="585"/>
      <c r="U360" s="585"/>
      <c r="V360" s="224"/>
      <c r="W360" s="224"/>
    </row>
    <row r="361">
      <c r="A361" s="585"/>
      <c r="B361" s="585"/>
      <c r="C361" s="585"/>
      <c r="D361" s="585"/>
      <c r="E361" s="585"/>
      <c r="F361" s="585"/>
      <c r="G361" s="585"/>
      <c r="H361" s="585"/>
      <c r="I361" s="585"/>
      <c r="J361" s="585"/>
      <c r="K361" s="585"/>
      <c r="L361" s="585"/>
      <c r="M361" s="585"/>
      <c r="N361" s="585"/>
      <c r="O361" s="585"/>
      <c r="P361" s="585"/>
      <c r="Q361" s="585"/>
      <c r="R361" s="585"/>
      <c r="S361" s="585"/>
      <c r="T361" s="585"/>
      <c r="U361" s="585"/>
      <c r="V361" s="224"/>
      <c r="W361" s="224"/>
    </row>
    <row r="362">
      <c r="A362" s="585"/>
      <c r="B362" s="585"/>
      <c r="C362" s="585"/>
      <c r="D362" s="585"/>
      <c r="E362" s="585"/>
      <c r="F362" s="585"/>
      <c r="G362" s="585"/>
      <c r="H362" s="585"/>
      <c r="I362" s="585"/>
      <c r="J362" s="585"/>
      <c r="K362" s="585"/>
      <c r="L362" s="585"/>
      <c r="M362" s="585"/>
      <c r="N362" s="585"/>
      <c r="O362" s="585"/>
      <c r="P362" s="585"/>
      <c r="Q362" s="585"/>
      <c r="R362" s="585"/>
      <c r="S362" s="585"/>
      <c r="T362" s="585"/>
      <c r="U362" s="585"/>
      <c r="V362" s="224"/>
      <c r="W362" s="224"/>
    </row>
    <row r="363">
      <c r="A363" s="585"/>
      <c r="B363" s="585"/>
      <c r="C363" s="585"/>
      <c r="D363" s="585"/>
      <c r="E363" s="585"/>
      <c r="F363" s="585"/>
      <c r="G363" s="585"/>
      <c r="H363" s="585"/>
      <c r="I363" s="585"/>
      <c r="J363" s="585"/>
      <c r="K363" s="585"/>
      <c r="L363" s="585"/>
      <c r="M363" s="585"/>
      <c r="N363" s="585"/>
      <c r="O363" s="585"/>
      <c r="P363" s="585"/>
      <c r="Q363" s="585"/>
      <c r="R363" s="585"/>
      <c r="S363" s="585"/>
      <c r="T363" s="585"/>
      <c r="U363" s="585"/>
      <c r="V363" s="224"/>
      <c r="W363" s="224"/>
    </row>
    <row r="364">
      <c r="A364" s="585"/>
      <c r="B364" s="585"/>
      <c r="C364" s="585"/>
      <c r="D364" s="585"/>
      <c r="E364" s="585"/>
      <c r="F364" s="585"/>
      <c r="G364" s="585"/>
      <c r="H364" s="585"/>
      <c r="I364" s="585"/>
      <c r="J364" s="585"/>
      <c r="K364" s="585"/>
      <c r="L364" s="585"/>
      <c r="M364" s="585"/>
      <c r="N364" s="585"/>
      <c r="O364" s="585"/>
      <c r="P364" s="585"/>
      <c r="Q364" s="585"/>
      <c r="R364" s="585"/>
      <c r="S364" s="585"/>
      <c r="T364" s="585"/>
      <c r="U364" s="585"/>
      <c r="V364" s="224"/>
      <c r="W364" s="224"/>
    </row>
    <row r="365">
      <c r="A365" s="585"/>
      <c r="B365" s="585"/>
      <c r="C365" s="585"/>
      <c r="D365" s="585"/>
      <c r="E365" s="585"/>
      <c r="F365" s="585"/>
      <c r="G365" s="585"/>
      <c r="H365" s="585"/>
      <c r="I365" s="585"/>
      <c r="J365" s="585"/>
      <c r="K365" s="585"/>
      <c r="L365" s="585"/>
      <c r="M365" s="585"/>
      <c r="N365" s="585"/>
      <c r="O365" s="585"/>
      <c r="P365" s="585"/>
      <c r="Q365" s="585"/>
      <c r="R365" s="585"/>
      <c r="S365" s="585"/>
      <c r="T365" s="585"/>
      <c r="U365" s="585"/>
      <c r="V365" s="224"/>
      <c r="W365" s="224"/>
    </row>
    <row r="366">
      <c r="A366" s="585"/>
      <c r="B366" s="585"/>
      <c r="C366" s="585"/>
      <c r="D366" s="585"/>
      <c r="E366" s="585"/>
      <c r="F366" s="585"/>
      <c r="G366" s="585"/>
      <c r="H366" s="585"/>
      <c r="I366" s="585"/>
      <c r="J366" s="585"/>
      <c r="K366" s="585"/>
      <c r="L366" s="585"/>
      <c r="M366" s="585"/>
      <c r="N366" s="585"/>
      <c r="O366" s="585"/>
      <c r="P366" s="585"/>
      <c r="Q366" s="585"/>
      <c r="R366" s="585"/>
      <c r="S366" s="585"/>
      <c r="T366" s="585"/>
      <c r="U366" s="585"/>
      <c r="V366" s="224"/>
      <c r="W366" s="224"/>
    </row>
    <row r="367">
      <c r="A367" s="585"/>
      <c r="B367" s="585"/>
      <c r="C367" s="585"/>
      <c r="D367" s="585"/>
      <c r="E367" s="585"/>
      <c r="F367" s="585"/>
      <c r="G367" s="585"/>
      <c r="H367" s="585"/>
      <c r="I367" s="585"/>
      <c r="J367" s="585"/>
      <c r="K367" s="585"/>
      <c r="L367" s="585"/>
      <c r="M367" s="585"/>
      <c r="N367" s="585"/>
      <c r="O367" s="585"/>
      <c r="P367" s="585"/>
      <c r="Q367" s="585"/>
      <c r="R367" s="585"/>
      <c r="S367" s="585"/>
      <c r="T367" s="585"/>
      <c r="U367" s="585"/>
      <c r="V367" s="224"/>
      <c r="W367" s="224"/>
    </row>
    <row r="368">
      <c r="A368" s="585"/>
      <c r="B368" s="585"/>
      <c r="C368" s="585"/>
      <c r="D368" s="585"/>
      <c r="E368" s="585"/>
      <c r="F368" s="585"/>
      <c r="G368" s="585"/>
      <c r="H368" s="585"/>
      <c r="I368" s="585"/>
      <c r="J368" s="585"/>
      <c r="K368" s="585"/>
      <c r="L368" s="585"/>
      <c r="M368" s="585"/>
      <c r="N368" s="585"/>
      <c r="O368" s="585"/>
      <c r="P368" s="585"/>
      <c r="Q368" s="585"/>
      <c r="R368" s="585"/>
      <c r="S368" s="585"/>
      <c r="T368" s="585"/>
      <c r="U368" s="585"/>
      <c r="V368" s="224"/>
      <c r="W368" s="224"/>
    </row>
    <row r="369">
      <c r="A369" s="585"/>
      <c r="B369" s="585"/>
      <c r="C369" s="585"/>
      <c r="D369" s="585"/>
      <c r="E369" s="585"/>
      <c r="F369" s="585"/>
      <c r="G369" s="585"/>
      <c r="H369" s="585"/>
      <c r="I369" s="585"/>
      <c r="J369" s="585"/>
      <c r="K369" s="585"/>
      <c r="L369" s="585"/>
      <c r="M369" s="585"/>
      <c r="N369" s="585"/>
      <c r="O369" s="585"/>
      <c r="P369" s="585"/>
      <c r="Q369" s="585"/>
      <c r="R369" s="585"/>
      <c r="S369" s="585"/>
      <c r="T369" s="585"/>
      <c r="U369" s="585"/>
      <c r="V369" s="224"/>
      <c r="W369" s="224"/>
    </row>
    <row r="370">
      <c r="A370" s="585"/>
      <c r="B370" s="585"/>
      <c r="C370" s="585"/>
      <c r="D370" s="585"/>
      <c r="E370" s="585"/>
      <c r="F370" s="585"/>
      <c r="G370" s="585"/>
      <c r="H370" s="585"/>
      <c r="I370" s="585"/>
      <c r="J370" s="585"/>
      <c r="K370" s="585"/>
      <c r="L370" s="585"/>
      <c r="M370" s="585"/>
      <c r="N370" s="585"/>
      <c r="O370" s="585"/>
      <c r="P370" s="585"/>
      <c r="Q370" s="585"/>
      <c r="R370" s="585"/>
      <c r="S370" s="585"/>
      <c r="T370" s="585"/>
      <c r="U370" s="585"/>
      <c r="V370" s="224"/>
      <c r="W370" s="224"/>
    </row>
    <row r="371">
      <c r="A371" s="585"/>
      <c r="B371" s="585"/>
      <c r="C371" s="585"/>
      <c r="D371" s="585"/>
      <c r="E371" s="585"/>
      <c r="F371" s="585"/>
      <c r="G371" s="585"/>
      <c r="H371" s="585"/>
      <c r="I371" s="585"/>
      <c r="J371" s="585"/>
      <c r="K371" s="585"/>
      <c r="L371" s="585"/>
      <c r="M371" s="585"/>
      <c r="N371" s="585"/>
      <c r="O371" s="585"/>
      <c r="P371" s="585"/>
      <c r="Q371" s="585"/>
      <c r="R371" s="585"/>
      <c r="S371" s="585"/>
      <c r="T371" s="585"/>
      <c r="U371" s="585"/>
      <c r="V371" s="224"/>
      <c r="W371" s="224"/>
    </row>
    <row r="372">
      <c r="A372" s="585"/>
      <c r="B372" s="585"/>
      <c r="C372" s="585"/>
      <c r="D372" s="585"/>
      <c r="E372" s="585"/>
      <c r="F372" s="585"/>
      <c r="G372" s="585"/>
      <c r="H372" s="585"/>
      <c r="I372" s="585"/>
      <c r="J372" s="585"/>
      <c r="K372" s="585"/>
      <c r="L372" s="585"/>
      <c r="M372" s="585"/>
      <c r="N372" s="585"/>
      <c r="O372" s="585"/>
      <c r="P372" s="585"/>
      <c r="Q372" s="585"/>
      <c r="R372" s="585"/>
      <c r="S372" s="585"/>
      <c r="T372" s="585"/>
      <c r="U372" s="585"/>
      <c r="V372" s="224"/>
      <c r="W372" s="224"/>
    </row>
    <row r="373">
      <c r="A373" s="585"/>
      <c r="B373" s="585"/>
      <c r="C373" s="585"/>
      <c r="D373" s="585"/>
      <c r="E373" s="585"/>
      <c r="F373" s="585"/>
      <c r="G373" s="585"/>
      <c r="H373" s="585"/>
      <c r="I373" s="585"/>
      <c r="J373" s="585"/>
      <c r="K373" s="585"/>
      <c r="L373" s="585"/>
      <c r="M373" s="585"/>
      <c r="N373" s="585"/>
      <c r="O373" s="585"/>
      <c r="P373" s="585"/>
      <c r="Q373" s="585"/>
      <c r="R373" s="585"/>
      <c r="S373" s="585"/>
      <c r="T373" s="585"/>
      <c r="U373" s="585"/>
      <c r="V373" s="224"/>
      <c r="W373" s="224"/>
    </row>
    <row r="374">
      <c r="A374" s="585"/>
      <c r="B374" s="585"/>
      <c r="C374" s="585"/>
      <c r="D374" s="585"/>
      <c r="E374" s="585"/>
      <c r="F374" s="585"/>
      <c r="G374" s="585"/>
      <c r="H374" s="585"/>
      <c r="I374" s="585"/>
      <c r="J374" s="585"/>
      <c r="K374" s="585"/>
      <c r="L374" s="585"/>
      <c r="M374" s="585"/>
      <c r="N374" s="585"/>
      <c r="O374" s="585"/>
      <c r="P374" s="585"/>
      <c r="Q374" s="585"/>
      <c r="R374" s="585"/>
      <c r="S374" s="585"/>
      <c r="T374" s="585"/>
      <c r="U374" s="585"/>
      <c r="V374" s="224"/>
      <c r="W374" s="224"/>
    </row>
    <row r="375">
      <c r="A375" s="585"/>
      <c r="B375" s="585"/>
      <c r="C375" s="585"/>
      <c r="D375" s="585"/>
      <c r="E375" s="585"/>
      <c r="F375" s="585"/>
      <c r="G375" s="585"/>
      <c r="H375" s="585"/>
      <c r="I375" s="585"/>
      <c r="J375" s="585"/>
      <c r="K375" s="585"/>
      <c r="L375" s="585"/>
      <c r="M375" s="585"/>
      <c r="N375" s="585"/>
      <c r="O375" s="585"/>
      <c r="P375" s="585"/>
      <c r="Q375" s="585"/>
      <c r="R375" s="585"/>
      <c r="S375" s="585"/>
      <c r="T375" s="585"/>
      <c r="U375" s="585"/>
      <c r="V375" s="224"/>
      <c r="W375" s="224"/>
    </row>
    <row r="376">
      <c r="A376" s="585"/>
      <c r="B376" s="585"/>
      <c r="C376" s="585"/>
      <c r="D376" s="585"/>
      <c r="E376" s="585"/>
      <c r="F376" s="585"/>
      <c r="G376" s="585"/>
      <c r="H376" s="585"/>
      <c r="I376" s="585"/>
      <c r="J376" s="585"/>
      <c r="K376" s="585"/>
      <c r="L376" s="585"/>
      <c r="M376" s="585"/>
      <c r="N376" s="585"/>
      <c r="O376" s="585"/>
      <c r="P376" s="585"/>
      <c r="Q376" s="585"/>
      <c r="R376" s="585"/>
      <c r="S376" s="585"/>
      <c r="T376" s="585"/>
      <c r="U376" s="585"/>
      <c r="V376" s="224"/>
      <c r="W376" s="224"/>
    </row>
    <row r="377">
      <c r="A377" s="585"/>
      <c r="B377" s="585"/>
      <c r="C377" s="585"/>
      <c r="D377" s="585"/>
      <c r="E377" s="585"/>
      <c r="F377" s="585"/>
      <c r="G377" s="585"/>
      <c r="H377" s="585"/>
      <c r="I377" s="585"/>
      <c r="J377" s="585"/>
      <c r="K377" s="585"/>
      <c r="L377" s="585"/>
      <c r="M377" s="585"/>
      <c r="N377" s="585"/>
      <c r="O377" s="585"/>
      <c r="P377" s="585"/>
      <c r="Q377" s="585"/>
      <c r="R377" s="585"/>
      <c r="S377" s="585"/>
      <c r="T377" s="585"/>
      <c r="U377" s="585"/>
      <c r="V377" s="224"/>
      <c r="W377" s="224"/>
    </row>
    <row r="378">
      <c r="A378" s="585"/>
      <c r="B378" s="585"/>
      <c r="C378" s="585"/>
      <c r="D378" s="585"/>
      <c r="E378" s="585"/>
      <c r="F378" s="585"/>
      <c r="G378" s="585"/>
      <c r="H378" s="585"/>
      <c r="I378" s="585"/>
      <c r="J378" s="585"/>
      <c r="K378" s="585"/>
      <c r="L378" s="585"/>
      <c r="M378" s="585"/>
      <c r="N378" s="585"/>
      <c r="O378" s="585"/>
      <c r="P378" s="585"/>
      <c r="Q378" s="585"/>
      <c r="R378" s="585"/>
      <c r="S378" s="585"/>
      <c r="T378" s="585"/>
      <c r="U378" s="585"/>
      <c r="V378" s="224"/>
      <c r="W378" s="224"/>
    </row>
    <row r="379">
      <c r="A379" s="585"/>
      <c r="B379" s="585"/>
      <c r="C379" s="585"/>
      <c r="D379" s="585"/>
      <c r="E379" s="585"/>
      <c r="F379" s="585"/>
      <c r="G379" s="585"/>
      <c r="H379" s="585"/>
      <c r="I379" s="585"/>
      <c r="J379" s="585"/>
      <c r="K379" s="585"/>
      <c r="L379" s="585"/>
      <c r="M379" s="585"/>
      <c r="N379" s="585"/>
      <c r="O379" s="585"/>
      <c r="P379" s="585"/>
      <c r="Q379" s="585"/>
      <c r="R379" s="585"/>
      <c r="S379" s="585"/>
      <c r="T379" s="585"/>
      <c r="U379" s="585"/>
      <c r="V379" s="224"/>
      <c r="W379" s="224"/>
    </row>
    <row r="380">
      <c r="A380" s="585"/>
      <c r="B380" s="585"/>
      <c r="C380" s="585"/>
      <c r="D380" s="585"/>
      <c r="E380" s="585"/>
      <c r="F380" s="585"/>
      <c r="G380" s="585"/>
      <c r="H380" s="585"/>
      <c r="I380" s="585"/>
      <c r="J380" s="585"/>
      <c r="K380" s="585"/>
      <c r="L380" s="585"/>
      <c r="M380" s="585"/>
      <c r="N380" s="585"/>
      <c r="O380" s="585"/>
      <c r="P380" s="585"/>
      <c r="Q380" s="585"/>
      <c r="R380" s="585"/>
      <c r="S380" s="585"/>
      <c r="T380" s="585"/>
      <c r="U380" s="585"/>
      <c r="V380" s="224"/>
      <c r="W380" s="224"/>
    </row>
    <row r="381">
      <c r="A381" s="585"/>
      <c r="B381" s="585"/>
      <c r="C381" s="585"/>
      <c r="D381" s="585"/>
      <c r="E381" s="585"/>
      <c r="F381" s="585"/>
      <c r="G381" s="585"/>
      <c r="H381" s="585"/>
      <c r="I381" s="585"/>
      <c r="J381" s="585"/>
      <c r="K381" s="585"/>
      <c r="L381" s="585"/>
      <c r="M381" s="585"/>
      <c r="N381" s="585"/>
      <c r="O381" s="585"/>
      <c r="P381" s="585"/>
      <c r="Q381" s="585"/>
      <c r="R381" s="585"/>
      <c r="S381" s="585"/>
      <c r="T381" s="585"/>
      <c r="U381" s="585"/>
      <c r="V381" s="224"/>
      <c r="W381" s="224"/>
    </row>
    <row r="382">
      <c r="A382" s="585"/>
      <c r="B382" s="585"/>
      <c r="C382" s="585"/>
      <c r="D382" s="585"/>
      <c r="E382" s="585"/>
      <c r="F382" s="585"/>
      <c r="G382" s="585"/>
      <c r="H382" s="585"/>
      <c r="I382" s="585"/>
      <c r="J382" s="585"/>
      <c r="K382" s="585"/>
      <c r="L382" s="585"/>
      <c r="M382" s="585"/>
      <c r="N382" s="585"/>
      <c r="O382" s="585"/>
      <c r="P382" s="585"/>
      <c r="Q382" s="585"/>
      <c r="R382" s="585"/>
      <c r="S382" s="585"/>
      <c r="T382" s="585"/>
      <c r="U382" s="585"/>
      <c r="V382" s="224"/>
      <c r="W382" s="224"/>
    </row>
    <row r="383">
      <c r="A383" s="585"/>
      <c r="B383" s="585"/>
      <c r="C383" s="585"/>
      <c r="D383" s="585"/>
      <c r="E383" s="585"/>
      <c r="F383" s="585"/>
      <c r="G383" s="585"/>
      <c r="H383" s="585"/>
      <c r="I383" s="585"/>
      <c r="J383" s="585"/>
      <c r="K383" s="585"/>
      <c r="L383" s="585"/>
      <c r="M383" s="585"/>
      <c r="N383" s="585"/>
      <c r="O383" s="585"/>
      <c r="P383" s="585"/>
      <c r="Q383" s="585"/>
      <c r="R383" s="585"/>
      <c r="S383" s="585"/>
      <c r="T383" s="585"/>
      <c r="U383" s="585"/>
      <c r="V383" s="224"/>
      <c r="W383" s="224"/>
    </row>
    <row r="384">
      <c r="A384" s="585"/>
      <c r="B384" s="585"/>
      <c r="C384" s="585"/>
      <c r="D384" s="585"/>
      <c r="E384" s="585"/>
      <c r="F384" s="585"/>
      <c r="G384" s="585"/>
      <c r="H384" s="585"/>
      <c r="I384" s="585"/>
      <c r="J384" s="585"/>
      <c r="K384" s="585"/>
      <c r="L384" s="585"/>
      <c r="M384" s="585"/>
      <c r="N384" s="585"/>
      <c r="O384" s="585"/>
      <c r="P384" s="585"/>
      <c r="Q384" s="585"/>
      <c r="R384" s="585"/>
      <c r="S384" s="585"/>
      <c r="T384" s="585"/>
      <c r="U384" s="585"/>
      <c r="V384" s="224"/>
      <c r="W384" s="224"/>
    </row>
    <row r="385">
      <c r="A385" s="585"/>
      <c r="B385" s="585"/>
      <c r="C385" s="585"/>
      <c r="D385" s="585"/>
      <c r="E385" s="585"/>
      <c r="F385" s="585"/>
      <c r="G385" s="585"/>
      <c r="H385" s="585"/>
      <c r="I385" s="585"/>
      <c r="J385" s="585"/>
      <c r="K385" s="585"/>
      <c r="L385" s="585"/>
      <c r="M385" s="585"/>
      <c r="N385" s="585"/>
      <c r="O385" s="585"/>
      <c r="P385" s="585"/>
      <c r="Q385" s="585"/>
      <c r="R385" s="585"/>
      <c r="S385" s="585"/>
      <c r="T385" s="585"/>
      <c r="U385" s="585"/>
      <c r="V385" s="224"/>
      <c r="W385" s="224"/>
    </row>
    <row r="386">
      <c r="A386" s="585"/>
      <c r="B386" s="585"/>
      <c r="C386" s="585"/>
      <c r="D386" s="585"/>
      <c r="E386" s="585"/>
      <c r="F386" s="585"/>
      <c r="G386" s="585"/>
      <c r="H386" s="585"/>
      <c r="I386" s="585"/>
      <c r="J386" s="585"/>
      <c r="K386" s="585"/>
      <c r="L386" s="585"/>
      <c r="M386" s="585"/>
      <c r="N386" s="585"/>
      <c r="O386" s="585"/>
      <c r="P386" s="585"/>
      <c r="Q386" s="585"/>
      <c r="R386" s="585"/>
      <c r="S386" s="585"/>
      <c r="T386" s="585"/>
      <c r="U386" s="585"/>
      <c r="V386" s="224"/>
      <c r="W386" s="224"/>
    </row>
    <row r="387">
      <c r="A387" s="585"/>
      <c r="B387" s="585"/>
      <c r="C387" s="585"/>
      <c r="D387" s="585"/>
      <c r="E387" s="585"/>
      <c r="F387" s="585"/>
      <c r="G387" s="585"/>
      <c r="H387" s="585"/>
      <c r="I387" s="585"/>
      <c r="J387" s="585"/>
      <c r="K387" s="585"/>
      <c r="L387" s="585"/>
      <c r="M387" s="585"/>
      <c r="N387" s="585"/>
      <c r="O387" s="585"/>
      <c r="P387" s="585"/>
      <c r="Q387" s="585"/>
      <c r="R387" s="585"/>
      <c r="S387" s="585"/>
      <c r="T387" s="585"/>
      <c r="U387" s="585"/>
      <c r="V387" s="224"/>
      <c r="W387" s="224"/>
    </row>
    <row r="388">
      <c r="A388" s="585"/>
      <c r="B388" s="585"/>
      <c r="C388" s="585"/>
      <c r="D388" s="585"/>
      <c r="E388" s="585"/>
      <c r="F388" s="585"/>
      <c r="G388" s="585"/>
      <c r="H388" s="585"/>
      <c r="I388" s="585"/>
      <c r="J388" s="585"/>
      <c r="K388" s="585"/>
      <c r="L388" s="585"/>
      <c r="M388" s="585"/>
      <c r="N388" s="585"/>
      <c r="O388" s="585"/>
      <c r="P388" s="585"/>
      <c r="Q388" s="585"/>
      <c r="R388" s="585"/>
      <c r="S388" s="585"/>
      <c r="T388" s="585"/>
      <c r="U388" s="585"/>
      <c r="V388" s="224"/>
      <c r="W388" s="224"/>
    </row>
    <row r="389">
      <c r="A389" s="585"/>
      <c r="B389" s="585"/>
      <c r="C389" s="585"/>
      <c r="D389" s="585"/>
      <c r="E389" s="585"/>
      <c r="F389" s="585"/>
      <c r="G389" s="585"/>
      <c r="H389" s="585"/>
      <c r="I389" s="585"/>
      <c r="J389" s="585"/>
      <c r="K389" s="585"/>
      <c r="L389" s="585"/>
      <c r="M389" s="585"/>
      <c r="N389" s="585"/>
      <c r="O389" s="585"/>
      <c r="P389" s="585"/>
      <c r="Q389" s="585"/>
      <c r="R389" s="585"/>
      <c r="S389" s="585"/>
      <c r="T389" s="585"/>
      <c r="U389" s="585"/>
      <c r="V389" s="224"/>
      <c r="W389" s="224"/>
    </row>
    <row r="390">
      <c r="A390" s="585"/>
      <c r="B390" s="585"/>
      <c r="C390" s="585"/>
      <c r="D390" s="585"/>
      <c r="E390" s="585"/>
      <c r="F390" s="585"/>
      <c r="G390" s="585"/>
      <c r="H390" s="585"/>
      <c r="I390" s="585"/>
      <c r="J390" s="585"/>
      <c r="K390" s="585"/>
      <c r="L390" s="585"/>
      <c r="M390" s="585"/>
      <c r="N390" s="585"/>
      <c r="O390" s="585"/>
      <c r="P390" s="585"/>
      <c r="Q390" s="585"/>
      <c r="R390" s="585"/>
      <c r="S390" s="585"/>
      <c r="T390" s="585"/>
      <c r="U390" s="585"/>
      <c r="V390" s="224"/>
      <c r="W390" s="224"/>
    </row>
    <row r="391">
      <c r="A391" s="585"/>
      <c r="B391" s="585"/>
      <c r="C391" s="585"/>
      <c r="D391" s="585"/>
      <c r="E391" s="585"/>
      <c r="F391" s="585"/>
      <c r="G391" s="585"/>
      <c r="H391" s="585"/>
      <c r="I391" s="585"/>
      <c r="J391" s="585"/>
      <c r="K391" s="585"/>
      <c r="L391" s="585"/>
      <c r="M391" s="585"/>
      <c r="N391" s="585"/>
      <c r="O391" s="585"/>
      <c r="P391" s="585"/>
      <c r="Q391" s="585"/>
      <c r="R391" s="585"/>
      <c r="S391" s="585"/>
      <c r="T391" s="585"/>
      <c r="U391" s="585"/>
      <c r="V391" s="224"/>
      <c r="W391" s="224"/>
    </row>
    <row r="392">
      <c r="A392" s="585"/>
      <c r="B392" s="585"/>
      <c r="C392" s="585"/>
      <c r="D392" s="585"/>
      <c r="E392" s="585"/>
      <c r="F392" s="585"/>
      <c r="G392" s="585"/>
      <c r="H392" s="585"/>
      <c r="I392" s="585"/>
      <c r="J392" s="585"/>
      <c r="K392" s="585"/>
      <c r="L392" s="585"/>
      <c r="M392" s="585"/>
      <c r="N392" s="585"/>
      <c r="O392" s="585"/>
      <c r="P392" s="585"/>
      <c r="Q392" s="585"/>
      <c r="R392" s="585"/>
      <c r="S392" s="585"/>
      <c r="T392" s="585"/>
      <c r="U392" s="585"/>
      <c r="V392" s="224"/>
      <c r="W392" s="224"/>
    </row>
    <row r="393">
      <c r="A393" s="585"/>
      <c r="B393" s="585"/>
      <c r="C393" s="585"/>
      <c r="D393" s="585"/>
      <c r="E393" s="585"/>
      <c r="F393" s="585"/>
      <c r="G393" s="585"/>
      <c r="H393" s="585"/>
      <c r="I393" s="585"/>
      <c r="J393" s="585"/>
      <c r="K393" s="585"/>
      <c r="L393" s="585"/>
      <c r="M393" s="585"/>
      <c r="N393" s="585"/>
      <c r="O393" s="585"/>
      <c r="P393" s="585"/>
      <c r="Q393" s="585"/>
      <c r="R393" s="585"/>
      <c r="S393" s="585"/>
      <c r="T393" s="585"/>
      <c r="U393" s="585"/>
      <c r="V393" s="224"/>
      <c r="W393" s="224"/>
    </row>
    <row r="394">
      <c r="A394" s="585"/>
      <c r="B394" s="585"/>
      <c r="C394" s="585"/>
      <c r="D394" s="585"/>
      <c r="E394" s="585"/>
      <c r="F394" s="585"/>
      <c r="G394" s="585"/>
      <c r="H394" s="585"/>
      <c r="I394" s="585"/>
      <c r="J394" s="585"/>
      <c r="K394" s="585"/>
      <c r="L394" s="585"/>
      <c r="M394" s="585"/>
      <c r="N394" s="585"/>
      <c r="O394" s="585"/>
      <c r="P394" s="585"/>
      <c r="Q394" s="585"/>
      <c r="R394" s="585"/>
      <c r="S394" s="585"/>
      <c r="T394" s="585"/>
      <c r="U394" s="585"/>
      <c r="V394" s="224"/>
      <c r="W394" s="224"/>
    </row>
    <row r="395">
      <c r="A395" s="585"/>
      <c r="B395" s="585"/>
      <c r="C395" s="585"/>
      <c r="D395" s="585"/>
      <c r="E395" s="585"/>
      <c r="F395" s="585"/>
      <c r="G395" s="585"/>
      <c r="H395" s="585"/>
      <c r="I395" s="585"/>
      <c r="J395" s="585"/>
      <c r="K395" s="585"/>
      <c r="L395" s="585"/>
      <c r="M395" s="585"/>
      <c r="N395" s="585"/>
      <c r="O395" s="585"/>
      <c r="P395" s="585"/>
      <c r="Q395" s="585"/>
      <c r="R395" s="585"/>
      <c r="S395" s="585"/>
      <c r="T395" s="585"/>
      <c r="U395" s="585"/>
      <c r="V395" s="224"/>
      <c r="W395" s="224"/>
    </row>
    <row r="396">
      <c r="A396" s="585"/>
      <c r="B396" s="585"/>
      <c r="C396" s="585"/>
      <c r="D396" s="585"/>
      <c r="E396" s="585"/>
      <c r="F396" s="585"/>
      <c r="G396" s="585"/>
      <c r="H396" s="585"/>
      <c r="I396" s="585"/>
      <c r="J396" s="585"/>
      <c r="K396" s="585"/>
      <c r="L396" s="585"/>
      <c r="M396" s="585"/>
      <c r="N396" s="585"/>
      <c r="O396" s="585"/>
      <c r="P396" s="585"/>
      <c r="Q396" s="585"/>
      <c r="R396" s="585"/>
      <c r="S396" s="585"/>
      <c r="T396" s="585"/>
      <c r="U396" s="585"/>
      <c r="V396" s="224"/>
      <c r="W396" s="224"/>
    </row>
    <row r="397">
      <c r="A397" s="585"/>
      <c r="B397" s="585"/>
      <c r="C397" s="585"/>
      <c r="D397" s="585"/>
      <c r="E397" s="585"/>
      <c r="F397" s="585"/>
      <c r="G397" s="585"/>
      <c r="H397" s="585"/>
      <c r="I397" s="585"/>
      <c r="J397" s="585"/>
      <c r="K397" s="585"/>
      <c r="L397" s="585"/>
      <c r="M397" s="585"/>
      <c r="N397" s="585"/>
      <c r="O397" s="585"/>
      <c r="P397" s="585"/>
      <c r="Q397" s="585"/>
      <c r="R397" s="585"/>
      <c r="S397" s="585"/>
      <c r="T397" s="585"/>
      <c r="U397" s="585"/>
      <c r="V397" s="224"/>
      <c r="W397" s="224"/>
    </row>
    <row r="398">
      <c r="A398" s="585"/>
      <c r="B398" s="585"/>
      <c r="C398" s="585"/>
      <c r="D398" s="585"/>
      <c r="E398" s="585"/>
      <c r="F398" s="585"/>
      <c r="G398" s="585"/>
      <c r="H398" s="585"/>
      <c r="I398" s="585"/>
      <c r="J398" s="585"/>
      <c r="K398" s="585"/>
      <c r="L398" s="585"/>
      <c r="M398" s="585"/>
      <c r="N398" s="585"/>
      <c r="O398" s="585"/>
      <c r="P398" s="585"/>
      <c r="Q398" s="585"/>
      <c r="R398" s="585"/>
      <c r="S398" s="585"/>
      <c r="T398" s="585"/>
      <c r="U398" s="585"/>
      <c r="V398" s="224"/>
      <c r="W398" s="224"/>
    </row>
    <row r="399">
      <c r="A399" s="585"/>
      <c r="B399" s="585"/>
      <c r="C399" s="585"/>
      <c r="D399" s="585"/>
      <c r="E399" s="585"/>
      <c r="F399" s="585"/>
      <c r="G399" s="585"/>
      <c r="H399" s="585"/>
      <c r="I399" s="585"/>
      <c r="J399" s="585"/>
      <c r="K399" s="585"/>
      <c r="L399" s="585"/>
      <c r="M399" s="585"/>
      <c r="N399" s="585"/>
      <c r="O399" s="585"/>
      <c r="P399" s="585"/>
      <c r="Q399" s="585"/>
      <c r="R399" s="585"/>
      <c r="S399" s="585"/>
      <c r="T399" s="585"/>
      <c r="U399" s="585"/>
      <c r="V399" s="224"/>
      <c r="W399" s="224"/>
    </row>
    <row r="400">
      <c r="A400" s="585"/>
      <c r="B400" s="585"/>
      <c r="C400" s="585"/>
      <c r="D400" s="585"/>
      <c r="E400" s="585"/>
      <c r="F400" s="585"/>
      <c r="G400" s="585"/>
      <c r="H400" s="585"/>
      <c r="I400" s="585"/>
      <c r="J400" s="585"/>
      <c r="K400" s="585"/>
      <c r="L400" s="585"/>
      <c r="M400" s="585"/>
      <c r="N400" s="585"/>
      <c r="O400" s="585"/>
      <c r="P400" s="585"/>
      <c r="Q400" s="585"/>
      <c r="R400" s="585"/>
      <c r="S400" s="585"/>
      <c r="T400" s="585"/>
      <c r="U400" s="585"/>
      <c r="V400" s="224"/>
      <c r="W400" s="224"/>
    </row>
    <row r="401">
      <c r="A401" s="585"/>
      <c r="B401" s="585"/>
      <c r="C401" s="585"/>
      <c r="D401" s="585"/>
      <c r="E401" s="585"/>
      <c r="F401" s="585"/>
      <c r="G401" s="585"/>
      <c r="H401" s="585"/>
      <c r="I401" s="585"/>
      <c r="J401" s="585"/>
      <c r="K401" s="585"/>
      <c r="L401" s="585"/>
      <c r="M401" s="585"/>
      <c r="N401" s="585"/>
      <c r="O401" s="585"/>
      <c r="P401" s="585"/>
      <c r="Q401" s="585"/>
      <c r="R401" s="585"/>
      <c r="S401" s="585"/>
      <c r="T401" s="585"/>
      <c r="U401" s="585"/>
      <c r="V401" s="224"/>
      <c r="W401" s="224"/>
    </row>
    <row r="402">
      <c r="A402" s="585"/>
      <c r="B402" s="585"/>
      <c r="C402" s="585"/>
      <c r="D402" s="585"/>
      <c r="E402" s="585"/>
      <c r="F402" s="585"/>
      <c r="G402" s="585"/>
      <c r="H402" s="585"/>
      <c r="I402" s="585"/>
      <c r="J402" s="585"/>
      <c r="K402" s="585"/>
      <c r="L402" s="585"/>
      <c r="M402" s="585"/>
      <c r="N402" s="585"/>
      <c r="O402" s="585"/>
      <c r="P402" s="585"/>
      <c r="Q402" s="585"/>
      <c r="R402" s="585"/>
      <c r="S402" s="585"/>
      <c r="T402" s="585"/>
      <c r="U402" s="585"/>
      <c r="V402" s="224"/>
      <c r="W402" s="224"/>
    </row>
    <row r="403">
      <c r="A403" s="585"/>
      <c r="B403" s="585"/>
      <c r="C403" s="585"/>
      <c r="D403" s="585"/>
      <c r="E403" s="585"/>
      <c r="F403" s="585"/>
      <c r="G403" s="585"/>
      <c r="H403" s="585"/>
      <c r="I403" s="585"/>
      <c r="J403" s="585"/>
      <c r="K403" s="585"/>
      <c r="L403" s="585"/>
      <c r="M403" s="585"/>
      <c r="N403" s="585"/>
      <c r="O403" s="585"/>
      <c r="P403" s="585"/>
      <c r="Q403" s="585"/>
      <c r="R403" s="585"/>
      <c r="S403" s="585"/>
      <c r="T403" s="585"/>
      <c r="U403" s="585"/>
      <c r="V403" s="224"/>
      <c r="W403" s="224"/>
    </row>
    <row r="404">
      <c r="A404" s="585"/>
      <c r="B404" s="585"/>
      <c r="C404" s="585"/>
      <c r="D404" s="585"/>
      <c r="E404" s="585"/>
      <c r="F404" s="585"/>
      <c r="G404" s="585"/>
      <c r="H404" s="585"/>
      <c r="I404" s="585"/>
      <c r="J404" s="585"/>
      <c r="K404" s="585"/>
      <c r="L404" s="585"/>
      <c r="M404" s="585"/>
      <c r="N404" s="585"/>
      <c r="O404" s="585"/>
      <c r="P404" s="585"/>
      <c r="Q404" s="585"/>
      <c r="R404" s="585"/>
      <c r="S404" s="585"/>
      <c r="T404" s="585"/>
      <c r="U404" s="585"/>
      <c r="V404" s="224"/>
      <c r="W404" s="224"/>
    </row>
    <row r="405">
      <c r="A405" s="585"/>
      <c r="B405" s="585"/>
      <c r="C405" s="585"/>
      <c r="D405" s="585"/>
      <c r="E405" s="585"/>
      <c r="F405" s="585"/>
      <c r="G405" s="585"/>
      <c r="H405" s="585"/>
      <c r="I405" s="585"/>
      <c r="J405" s="585"/>
      <c r="K405" s="585"/>
      <c r="L405" s="585"/>
      <c r="M405" s="585"/>
      <c r="N405" s="585"/>
      <c r="O405" s="585"/>
      <c r="P405" s="585"/>
      <c r="Q405" s="585"/>
      <c r="R405" s="585"/>
      <c r="S405" s="585"/>
      <c r="T405" s="585"/>
      <c r="U405" s="585"/>
      <c r="V405" s="224"/>
      <c r="W405" s="224"/>
    </row>
    <row r="406">
      <c r="A406" s="585"/>
      <c r="B406" s="585"/>
      <c r="C406" s="585"/>
      <c r="D406" s="585"/>
      <c r="E406" s="585"/>
      <c r="F406" s="585"/>
      <c r="G406" s="585"/>
      <c r="H406" s="585"/>
      <c r="I406" s="585"/>
      <c r="J406" s="585"/>
      <c r="K406" s="585"/>
      <c r="L406" s="585"/>
      <c r="M406" s="585"/>
      <c r="N406" s="585"/>
      <c r="O406" s="585"/>
      <c r="P406" s="585"/>
      <c r="Q406" s="585"/>
      <c r="R406" s="585"/>
      <c r="S406" s="585"/>
      <c r="T406" s="585"/>
      <c r="U406" s="585"/>
      <c r="V406" s="224"/>
      <c r="W406" s="224"/>
    </row>
    <row r="407">
      <c r="A407" s="585"/>
      <c r="B407" s="585"/>
      <c r="C407" s="585"/>
      <c r="D407" s="585"/>
      <c r="E407" s="585"/>
      <c r="F407" s="585"/>
      <c r="G407" s="585"/>
      <c r="H407" s="585"/>
      <c r="I407" s="585"/>
      <c r="J407" s="585"/>
      <c r="K407" s="585"/>
      <c r="L407" s="585"/>
      <c r="M407" s="585"/>
      <c r="N407" s="585"/>
      <c r="O407" s="585"/>
      <c r="P407" s="585"/>
      <c r="Q407" s="585"/>
      <c r="R407" s="585"/>
      <c r="S407" s="585"/>
      <c r="T407" s="585"/>
      <c r="U407" s="585"/>
      <c r="V407" s="224"/>
      <c r="W407" s="224"/>
    </row>
    <row r="408">
      <c r="A408" s="585"/>
      <c r="B408" s="585"/>
      <c r="C408" s="585"/>
      <c r="D408" s="585"/>
      <c r="E408" s="585"/>
      <c r="F408" s="585"/>
      <c r="G408" s="585"/>
      <c r="H408" s="585"/>
      <c r="I408" s="585"/>
      <c r="J408" s="585"/>
      <c r="K408" s="585"/>
      <c r="L408" s="585"/>
      <c r="M408" s="585"/>
      <c r="N408" s="585"/>
      <c r="O408" s="585"/>
      <c r="P408" s="585"/>
      <c r="Q408" s="585"/>
      <c r="R408" s="585"/>
      <c r="S408" s="585"/>
      <c r="T408" s="585"/>
      <c r="U408" s="585"/>
      <c r="V408" s="224"/>
      <c r="W408" s="224"/>
    </row>
    <row r="409">
      <c r="A409" s="585"/>
      <c r="B409" s="585"/>
      <c r="C409" s="585"/>
      <c r="D409" s="585"/>
      <c r="E409" s="585"/>
      <c r="F409" s="585"/>
      <c r="G409" s="585"/>
      <c r="H409" s="585"/>
      <c r="I409" s="585"/>
      <c r="J409" s="585"/>
      <c r="K409" s="585"/>
      <c r="L409" s="585"/>
      <c r="M409" s="585"/>
      <c r="N409" s="585"/>
      <c r="O409" s="585"/>
      <c r="P409" s="585"/>
      <c r="Q409" s="585"/>
      <c r="R409" s="585"/>
      <c r="S409" s="585"/>
      <c r="T409" s="585"/>
      <c r="U409" s="585"/>
      <c r="V409" s="224"/>
      <c r="W409" s="224"/>
    </row>
    <row r="410">
      <c r="A410" s="585"/>
      <c r="B410" s="585"/>
      <c r="C410" s="585"/>
      <c r="D410" s="585"/>
      <c r="E410" s="585"/>
      <c r="F410" s="585"/>
      <c r="G410" s="585"/>
      <c r="H410" s="585"/>
      <c r="I410" s="585"/>
      <c r="J410" s="585"/>
      <c r="K410" s="585"/>
      <c r="L410" s="585"/>
      <c r="M410" s="585"/>
      <c r="N410" s="585"/>
      <c r="O410" s="585"/>
      <c r="P410" s="585"/>
      <c r="Q410" s="585"/>
      <c r="R410" s="585"/>
      <c r="S410" s="585"/>
      <c r="T410" s="585"/>
      <c r="U410" s="585"/>
      <c r="V410" s="224"/>
      <c r="W410" s="224"/>
    </row>
    <row r="411">
      <c r="A411" s="585"/>
      <c r="B411" s="585"/>
      <c r="C411" s="585"/>
      <c r="D411" s="585"/>
      <c r="E411" s="585"/>
      <c r="F411" s="585"/>
      <c r="G411" s="585"/>
      <c r="H411" s="585"/>
      <c r="I411" s="585"/>
      <c r="J411" s="585"/>
      <c r="K411" s="585"/>
      <c r="L411" s="585"/>
      <c r="M411" s="585"/>
      <c r="N411" s="585"/>
      <c r="O411" s="585"/>
      <c r="P411" s="585"/>
      <c r="Q411" s="585"/>
      <c r="R411" s="585"/>
      <c r="S411" s="585"/>
      <c r="T411" s="585"/>
      <c r="U411" s="585"/>
      <c r="V411" s="224"/>
      <c r="W411" s="224"/>
    </row>
    <row r="412">
      <c r="A412" s="585"/>
      <c r="B412" s="585"/>
      <c r="C412" s="585"/>
      <c r="D412" s="585"/>
      <c r="E412" s="585"/>
      <c r="F412" s="585"/>
      <c r="G412" s="585"/>
      <c r="H412" s="585"/>
      <c r="I412" s="585"/>
      <c r="J412" s="585"/>
      <c r="K412" s="585"/>
      <c r="L412" s="585"/>
      <c r="M412" s="585"/>
      <c r="N412" s="585"/>
      <c r="O412" s="585"/>
      <c r="P412" s="585"/>
      <c r="Q412" s="585"/>
      <c r="R412" s="585"/>
      <c r="S412" s="585"/>
      <c r="T412" s="585"/>
      <c r="U412" s="585"/>
      <c r="V412" s="224"/>
      <c r="W412" s="224"/>
    </row>
    <row r="413">
      <c r="A413" s="585"/>
      <c r="B413" s="585"/>
      <c r="C413" s="585"/>
      <c r="D413" s="585"/>
      <c r="E413" s="585"/>
      <c r="F413" s="585"/>
      <c r="G413" s="585"/>
      <c r="H413" s="585"/>
      <c r="I413" s="585"/>
      <c r="J413" s="585"/>
      <c r="K413" s="585"/>
      <c r="L413" s="585"/>
      <c r="M413" s="585"/>
      <c r="N413" s="585"/>
      <c r="O413" s="585"/>
      <c r="P413" s="585"/>
      <c r="Q413" s="585"/>
      <c r="R413" s="585"/>
      <c r="S413" s="585"/>
      <c r="T413" s="585"/>
      <c r="U413" s="585"/>
      <c r="V413" s="224"/>
      <c r="W413" s="224"/>
    </row>
    <row r="414">
      <c r="A414" s="585"/>
      <c r="B414" s="585"/>
      <c r="C414" s="585"/>
      <c r="D414" s="585"/>
      <c r="E414" s="585"/>
      <c r="F414" s="585"/>
      <c r="G414" s="585"/>
      <c r="H414" s="585"/>
      <c r="I414" s="585"/>
      <c r="J414" s="585"/>
      <c r="K414" s="585"/>
      <c r="L414" s="585"/>
      <c r="M414" s="585"/>
      <c r="N414" s="585"/>
      <c r="O414" s="585"/>
      <c r="P414" s="585"/>
      <c r="Q414" s="585"/>
      <c r="R414" s="585"/>
      <c r="S414" s="585"/>
      <c r="T414" s="585"/>
      <c r="U414" s="585"/>
      <c r="V414" s="224"/>
      <c r="W414" s="224"/>
    </row>
    <row r="415">
      <c r="A415" s="585"/>
      <c r="B415" s="585"/>
      <c r="C415" s="585"/>
      <c r="D415" s="585"/>
      <c r="E415" s="585"/>
      <c r="F415" s="585"/>
      <c r="G415" s="585"/>
      <c r="H415" s="585"/>
      <c r="I415" s="585"/>
      <c r="J415" s="585"/>
      <c r="K415" s="585"/>
      <c r="L415" s="585"/>
      <c r="M415" s="585"/>
      <c r="N415" s="585"/>
      <c r="O415" s="585"/>
      <c r="P415" s="585"/>
      <c r="Q415" s="585"/>
      <c r="R415" s="585"/>
      <c r="S415" s="585"/>
      <c r="T415" s="585"/>
      <c r="U415" s="585"/>
      <c r="V415" s="224"/>
      <c r="W415" s="224"/>
    </row>
    <row r="416">
      <c r="A416" s="585"/>
      <c r="B416" s="585"/>
      <c r="C416" s="585"/>
      <c r="D416" s="585"/>
      <c r="E416" s="585"/>
      <c r="F416" s="585"/>
      <c r="G416" s="585"/>
      <c r="H416" s="585"/>
      <c r="I416" s="585"/>
      <c r="J416" s="585"/>
      <c r="K416" s="585"/>
      <c r="L416" s="585"/>
      <c r="M416" s="585"/>
      <c r="N416" s="585"/>
      <c r="O416" s="585"/>
      <c r="P416" s="585"/>
      <c r="Q416" s="585"/>
      <c r="R416" s="585"/>
      <c r="S416" s="585"/>
      <c r="T416" s="585"/>
      <c r="U416" s="585"/>
      <c r="V416" s="224"/>
      <c r="W416" s="224"/>
    </row>
    <row r="417">
      <c r="A417" s="585"/>
      <c r="B417" s="585"/>
      <c r="C417" s="585"/>
      <c r="D417" s="585"/>
      <c r="E417" s="585"/>
      <c r="F417" s="585"/>
      <c r="G417" s="585"/>
      <c r="H417" s="585"/>
      <c r="I417" s="585"/>
      <c r="J417" s="585"/>
      <c r="K417" s="585"/>
      <c r="L417" s="585"/>
      <c r="M417" s="585"/>
      <c r="N417" s="585"/>
      <c r="O417" s="585"/>
      <c r="P417" s="585"/>
      <c r="Q417" s="585"/>
      <c r="R417" s="585"/>
      <c r="S417" s="585"/>
      <c r="T417" s="585"/>
      <c r="U417" s="585"/>
      <c r="V417" s="224"/>
      <c r="W417" s="224"/>
    </row>
    <row r="418">
      <c r="A418" s="585"/>
      <c r="B418" s="585"/>
      <c r="C418" s="585"/>
      <c r="D418" s="585"/>
      <c r="E418" s="585"/>
      <c r="F418" s="585"/>
      <c r="G418" s="585"/>
      <c r="H418" s="585"/>
      <c r="I418" s="585"/>
      <c r="J418" s="585"/>
      <c r="K418" s="585"/>
      <c r="L418" s="585"/>
      <c r="M418" s="585"/>
      <c r="N418" s="585"/>
      <c r="O418" s="585"/>
      <c r="P418" s="585"/>
      <c r="Q418" s="585"/>
      <c r="R418" s="585"/>
      <c r="S418" s="585"/>
      <c r="T418" s="585"/>
      <c r="U418" s="585"/>
      <c r="V418" s="224"/>
      <c r="W418" s="224"/>
    </row>
    <row r="419">
      <c r="A419" s="585"/>
      <c r="B419" s="585"/>
      <c r="C419" s="585"/>
      <c r="D419" s="585"/>
      <c r="E419" s="585"/>
      <c r="F419" s="585"/>
      <c r="G419" s="585"/>
      <c r="H419" s="585"/>
      <c r="I419" s="585"/>
      <c r="J419" s="585"/>
      <c r="K419" s="585"/>
      <c r="L419" s="585"/>
      <c r="M419" s="585"/>
      <c r="N419" s="585"/>
      <c r="O419" s="585"/>
      <c r="P419" s="585"/>
      <c r="Q419" s="585"/>
      <c r="R419" s="585"/>
      <c r="S419" s="585"/>
      <c r="T419" s="585"/>
      <c r="U419" s="585"/>
      <c r="V419" s="224"/>
      <c r="W419" s="224"/>
    </row>
    <row r="420">
      <c r="A420" s="585"/>
      <c r="B420" s="585"/>
      <c r="C420" s="585"/>
      <c r="D420" s="585"/>
      <c r="E420" s="585"/>
      <c r="F420" s="585"/>
      <c r="G420" s="585"/>
      <c r="H420" s="585"/>
      <c r="I420" s="585"/>
      <c r="J420" s="585"/>
      <c r="K420" s="585"/>
      <c r="L420" s="585"/>
      <c r="M420" s="585"/>
      <c r="N420" s="585"/>
      <c r="O420" s="585"/>
      <c r="P420" s="585"/>
      <c r="Q420" s="585"/>
      <c r="R420" s="585"/>
      <c r="S420" s="585"/>
      <c r="T420" s="585"/>
      <c r="U420" s="585"/>
      <c r="V420" s="224"/>
      <c r="W420" s="224"/>
    </row>
    <row r="421">
      <c r="A421" s="585"/>
      <c r="B421" s="585"/>
      <c r="C421" s="585"/>
      <c r="D421" s="585"/>
      <c r="E421" s="585"/>
      <c r="F421" s="585"/>
      <c r="G421" s="585"/>
      <c r="H421" s="585"/>
      <c r="I421" s="585"/>
      <c r="J421" s="585"/>
      <c r="K421" s="585"/>
      <c r="L421" s="585"/>
      <c r="M421" s="585"/>
      <c r="N421" s="585"/>
      <c r="O421" s="585"/>
      <c r="P421" s="585"/>
      <c r="Q421" s="585"/>
      <c r="R421" s="585"/>
      <c r="S421" s="585"/>
      <c r="T421" s="585"/>
      <c r="U421" s="585"/>
      <c r="V421" s="224"/>
      <c r="W421" s="224"/>
    </row>
    <row r="422">
      <c r="A422" s="585"/>
      <c r="B422" s="585"/>
      <c r="C422" s="585"/>
      <c r="D422" s="585"/>
      <c r="E422" s="585"/>
      <c r="F422" s="585"/>
      <c r="G422" s="585"/>
      <c r="H422" s="585"/>
      <c r="I422" s="585"/>
      <c r="J422" s="585"/>
      <c r="K422" s="585"/>
      <c r="L422" s="585"/>
      <c r="M422" s="585"/>
      <c r="N422" s="585"/>
      <c r="O422" s="585"/>
      <c r="P422" s="585"/>
      <c r="Q422" s="585"/>
      <c r="R422" s="585"/>
      <c r="S422" s="585"/>
      <c r="T422" s="585"/>
      <c r="U422" s="585"/>
      <c r="V422" s="224"/>
      <c r="W422" s="224"/>
    </row>
    <row r="423">
      <c r="A423" s="585"/>
      <c r="B423" s="585"/>
      <c r="C423" s="585"/>
      <c r="D423" s="585"/>
      <c r="E423" s="585"/>
      <c r="F423" s="585"/>
      <c r="G423" s="585"/>
      <c r="H423" s="585"/>
      <c r="I423" s="585"/>
      <c r="J423" s="585"/>
      <c r="K423" s="585"/>
      <c r="L423" s="585"/>
      <c r="M423" s="585"/>
      <c r="N423" s="585"/>
      <c r="O423" s="585"/>
      <c r="P423" s="585"/>
      <c r="Q423" s="585"/>
      <c r="R423" s="585"/>
      <c r="S423" s="585"/>
      <c r="T423" s="585"/>
      <c r="U423" s="585"/>
      <c r="V423" s="224"/>
      <c r="W423" s="224"/>
    </row>
    <row r="424">
      <c r="A424" s="585"/>
      <c r="B424" s="585"/>
      <c r="C424" s="585"/>
      <c r="D424" s="585"/>
      <c r="E424" s="585"/>
      <c r="F424" s="585"/>
      <c r="G424" s="585"/>
      <c r="H424" s="585"/>
      <c r="I424" s="585"/>
      <c r="J424" s="585"/>
      <c r="K424" s="585"/>
      <c r="L424" s="585"/>
      <c r="M424" s="585"/>
      <c r="N424" s="585"/>
      <c r="O424" s="585"/>
      <c r="P424" s="585"/>
      <c r="Q424" s="585"/>
      <c r="R424" s="585"/>
      <c r="S424" s="585"/>
      <c r="T424" s="585"/>
      <c r="U424" s="585"/>
      <c r="V424" s="224"/>
      <c r="W424" s="224"/>
    </row>
    <row r="425">
      <c r="A425" s="585"/>
      <c r="B425" s="585"/>
      <c r="C425" s="585"/>
      <c r="D425" s="585"/>
      <c r="E425" s="585"/>
      <c r="F425" s="585"/>
      <c r="G425" s="585"/>
      <c r="H425" s="585"/>
      <c r="I425" s="585"/>
      <c r="J425" s="585"/>
      <c r="K425" s="585"/>
      <c r="L425" s="585"/>
      <c r="M425" s="585"/>
      <c r="N425" s="585"/>
      <c r="O425" s="585"/>
      <c r="P425" s="585"/>
      <c r="Q425" s="585"/>
      <c r="R425" s="585"/>
      <c r="S425" s="585"/>
      <c r="T425" s="585"/>
      <c r="U425" s="585"/>
      <c r="V425" s="224"/>
      <c r="W425" s="224"/>
    </row>
    <row r="426">
      <c r="A426" s="585"/>
      <c r="B426" s="585"/>
      <c r="C426" s="585"/>
      <c r="D426" s="585"/>
      <c r="E426" s="585"/>
      <c r="F426" s="585"/>
      <c r="G426" s="585"/>
      <c r="H426" s="585"/>
      <c r="I426" s="585"/>
      <c r="J426" s="585"/>
      <c r="K426" s="585"/>
      <c r="L426" s="585"/>
      <c r="M426" s="585"/>
      <c r="N426" s="585"/>
      <c r="O426" s="585"/>
      <c r="P426" s="585"/>
      <c r="Q426" s="585"/>
      <c r="R426" s="585"/>
      <c r="S426" s="585"/>
      <c r="T426" s="585"/>
      <c r="U426" s="585"/>
      <c r="V426" s="224"/>
      <c r="W426" s="224"/>
    </row>
    <row r="427">
      <c r="A427" s="585"/>
      <c r="B427" s="585"/>
      <c r="C427" s="585"/>
      <c r="D427" s="585"/>
      <c r="E427" s="585"/>
      <c r="F427" s="585"/>
      <c r="G427" s="585"/>
      <c r="H427" s="585"/>
      <c r="I427" s="585"/>
      <c r="J427" s="585"/>
      <c r="K427" s="585"/>
      <c r="L427" s="585"/>
      <c r="M427" s="585"/>
      <c r="N427" s="585"/>
      <c r="O427" s="585"/>
      <c r="P427" s="585"/>
      <c r="Q427" s="585"/>
      <c r="R427" s="585"/>
      <c r="S427" s="585"/>
      <c r="T427" s="585"/>
      <c r="U427" s="585"/>
      <c r="V427" s="224"/>
      <c r="W427" s="224"/>
    </row>
    <row r="428">
      <c r="A428" s="585"/>
      <c r="B428" s="585"/>
      <c r="C428" s="585"/>
      <c r="D428" s="585"/>
      <c r="E428" s="585"/>
      <c r="F428" s="585"/>
      <c r="G428" s="585"/>
      <c r="H428" s="585"/>
      <c r="I428" s="585"/>
      <c r="J428" s="585"/>
      <c r="K428" s="585"/>
      <c r="L428" s="585"/>
      <c r="M428" s="585"/>
      <c r="N428" s="585"/>
      <c r="O428" s="585"/>
      <c r="P428" s="585"/>
      <c r="Q428" s="585"/>
      <c r="R428" s="585"/>
      <c r="S428" s="585"/>
      <c r="T428" s="585"/>
      <c r="U428" s="585"/>
      <c r="V428" s="224"/>
      <c r="W428" s="224"/>
    </row>
    <row r="429">
      <c r="A429" s="585"/>
      <c r="B429" s="585"/>
      <c r="C429" s="585"/>
      <c r="D429" s="585"/>
      <c r="E429" s="585"/>
      <c r="F429" s="585"/>
      <c r="G429" s="585"/>
      <c r="H429" s="585"/>
      <c r="I429" s="585"/>
      <c r="J429" s="585"/>
      <c r="K429" s="585"/>
      <c r="L429" s="585"/>
      <c r="M429" s="585"/>
      <c r="N429" s="585"/>
      <c r="O429" s="585"/>
      <c r="P429" s="585"/>
      <c r="Q429" s="585"/>
      <c r="R429" s="585"/>
      <c r="S429" s="585"/>
      <c r="T429" s="585"/>
      <c r="U429" s="585"/>
      <c r="V429" s="224"/>
      <c r="W429" s="224"/>
    </row>
    <row r="430">
      <c r="A430" s="585"/>
      <c r="B430" s="585"/>
      <c r="C430" s="585"/>
      <c r="D430" s="585"/>
      <c r="E430" s="585"/>
      <c r="F430" s="585"/>
      <c r="G430" s="585"/>
      <c r="H430" s="585"/>
      <c r="I430" s="585"/>
      <c r="J430" s="585"/>
      <c r="K430" s="585"/>
      <c r="L430" s="585"/>
      <c r="M430" s="585"/>
      <c r="N430" s="585"/>
      <c r="O430" s="585"/>
      <c r="P430" s="585"/>
      <c r="Q430" s="585"/>
      <c r="R430" s="585"/>
      <c r="S430" s="585"/>
      <c r="T430" s="585"/>
      <c r="U430" s="585"/>
      <c r="V430" s="224"/>
      <c r="W430" s="224"/>
    </row>
    <row r="431">
      <c r="A431" s="585"/>
      <c r="B431" s="585"/>
      <c r="C431" s="585"/>
      <c r="D431" s="585"/>
      <c r="E431" s="585"/>
      <c r="F431" s="585"/>
      <c r="G431" s="585"/>
      <c r="H431" s="585"/>
      <c r="I431" s="585"/>
      <c r="J431" s="585"/>
      <c r="K431" s="585"/>
      <c r="L431" s="585"/>
      <c r="M431" s="585"/>
      <c r="N431" s="585"/>
      <c r="O431" s="585"/>
      <c r="P431" s="585"/>
      <c r="Q431" s="585"/>
      <c r="R431" s="585"/>
      <c r="S431" s="585"/>
      <c r="T431" s="585"/>
      <c r="U431" s="585"/>
      <c r="V431" s="224"/>
      <c r="W431" s="224"/>
    </row>
    <row r="432">
      <c r="A432" s="585"/>
      <c r="B432" s="585"/>
      <c r="C432" s="585"/>
      <c r="D432" s="585"/>
      <c r="E432" s="585"/>
      <c r="F432" s="585"/>
      <c r="G432" s="585"/>
      <c r="H432" s="585"/>
      <c r="I432" s="585"/>
      <c r="J432" s="585"/>
      <c r="K432" s="585"/>
      <c r="L432" s="585"/>
      <c r="M432" s="585"/>
      <c r="N432" s="585"/>
      <c r="O432" s="585"/>
      <c r="P432" s="585"/>
      <c r="Q432" s="585"/>
      <c r="R432" s="585"/>
      <c r="S432" s="585"/>
      <c r="T432" s="585"/>
      <c r="U432" s="585"/>
      <c r="V432" s="224"/>
      <c r="W432" s="224"/>
    </row>
    <row r="433">
      <c r="A433" s="585"/>
      <c r="B433" s="585"/>
      <c r="C433" s="585"/>
      <c r="D433" s="585"/>
      <c r="E433" s="585"/>
      <c r="F433" s="585"/>
      <c r="G433" s="585"/>
      <c r="H433" s="585"/>
      <c r="I433" s="585"/>
      <c r="J433" s="585"/>
      <c r="K433" s="585"/>
      <c r="L433" s="585"/>
      <c r="M433" s="585"/>
      <c r="N433" s="585"/>
      <c r="O433" s="585"/>
      <c r="P433" s="585"/>
      <c r="Q433" s="585"/>
      <c r="R433" s="585"/>
      <c r="S433" s="585"/>
      <c r="T433" s="585"/>
      <c r="U433" s="585"/>
      <c r="V433" s="224"/>
      <c r="W433" s="224"/>
    </row>
    <row r="434">
      <c r="A434" s="585"/>
      <c r="B434" s="585"/>
      <c r="C434" s="585"/>
      <c r="D434" s="585"/>
      <c r="E434" s="585"/>
      <c r="F434" s="585"/>
      <c r="G434" s="585"/>
      <c r="H434" s="585"/>
      <c r="I434" s="585"/>
      <c r="J434" s="585"/>
      <c r="K434" s="585"/>
      <c r="L434" s="585"/>
      <c r="M434" s="585"/>
      <c r="N434" s="585"/>
      <c r="O434" s="585"/>
      <c r="P434" s="585"/>
      <c r="Q434" s="585"/>
      <c r="R434" s="585"/>
      <c r="S434" s="585"/>
      <c r="T434" s="585"/>
      <c r="U434" s="585"/>
      <c r="V434" s="224"/>
      <c r="W434" s="224"/>
    </row>
    <row r="435">
      <c r="A435" s="585"/>
      <c r="B435" s="585"/>
      <c r="C435" s="585"/>
      <c r="D435" s="585"/>
      <c r="E435" s="585"/>
      <c r="F435" s="585"/>
      <c r="G435" s="585"/>
      <c r="H435" s="585"/>
      <c r="I435" s="585"/>
      <c r="J435" s="585"/>
      <c r="K435" s="585"/>
      <c r="L435" s="585"/>
      <c r="M435" s="585"/>
      <c r="N435" s="585"/>
      <c r="O435" s="585"/>
      <c r="P435" s="585"/>
      <c r="Q435" s="585"/>
      <c r="R435" s="585"/>
      <c r="S435" s="585"/>
      <c r="T435" s="585"/>
      <c r="U435" s="585"/>
      <c r="V435" s="224"/>
      <c r="W435" s="224"/>
    </row>
    <row r="436">
      <c r="A436" s="585"/>
      <c r="B436" s="585"/>
      <c r="C436" s="585"/>
      <c r="D436" s="585"/>
      <c r="E436" s="585"/>
      <c r="F436" s="585"/>
      <c r="G436" s="585"/>
      <c r="H436" s="585"/>
      <c r="I436" s="585"/>
      <c r="J436" s="585"/>
      <c r="K436" s="585"/>
      <c r="L436" s="585"/>
      <c r="M436" s="585"/>
      <c r="N436" s="585"/>
      <c r="O436" s="585"/>
      <c r="P436" s="585"/>
      <c r="Q436" s="585"/>
      <c r="R436" s="585"/>
      <c r="S436" s="585"/>
      <c r="T436" s="585"/>
      <c r="U436" s="585"/>
      <c r="V436" s="224"/>
      <c r="W436" s="224"/>
    </row>
    <row r="437">
      <c r="A437" s="585"/>
      <c r="B437" s="585"/>
      <c r="C437" s="585"/>
      <c r="D437" s="585"/>
      <c r="E437" s="585"/>
      <c r="F437" s="585"/>
      <c r="G437" s="585"/>
      <c r="H437" s="585"/>
      <c r="I437" s="585"/>
      <c r="J437" s="585"/>
      <c r="K437" s="585"/>
      <c r="L437" s="585"/>
      <c r="M437" s="585"/>
      <c r="N437" s="585"/>
      <c r="O437" s="585"/>
      <c r="P437" s="585"/>
      <c r="Q437" s="585"/>
      <c r="R437" s="585"/>
      <c r="S437" s="585"/>
      <c r="T437" s="585"/>
      <c r="U437" s="585"/>
      <c r="V437" s="224"/>
      <c r="W437" s="224"/>
    </row>
    <row r="438">
      <c r="A438" s="585"/>
      <c r="B438" s="585"/>
      <c r="C438" s="585"/>
      <c r="D438" s="585"/>
      <c r="E438" s="585"/>
      <c r="F438" s="585"/>
      <c r="G438" s="585"/>
      <c r="H438" s="585"/>
      <c r="I438" s="585"/>
      <c r="J438" s="585"/>
      <c r="K438" s="585"/>
      <c r="L438" s="585"/>
      <c r="M438" s="585"/>
      <c r="N438" s="585"/>
      <c r="O438" s="585"/>
      <c r="P438" s="585"/>
      <c r="Q438" s="585"/>
      <c r="R438" s="585"/>
      <c r="S438" s="585"/>
      <c r="T438" s="585"/>
      <c r="U438" s="585"/>
      <c r="V438" s="224"/>
      <c r="W438" s="224"/>
    </row>
    <row r="439">
      <c r="A439" s="585"/>
      <c r="B439" s="585"/>
      <c r="C439" s="585"/>
      <c r="D439" s="585"/>
      <c r="E439" s="585"/>
      <c r="F439" s="585"/>
      <c r="G439" s="585"/>
      <c r="H439" s="585"/>
      <c r="I439" s="585"/>
      <c r="J439" s="585"/>
      <c r="K439" s="585"/>
      <c r="L439" s="585"/>
      <c r="M439" s="585"/>
      <c r="N439" s="585"/>
      <c r="O439" s="585"/>
      <c r="P439" s="585"/>
      <c r="Q439" s="585"/>
      <c r="R439" s="585"/>
      <c r="S439" s="585"/>
      <c r="T439" s="585"/>
      <c r="U439" s="585"/>
      <c r="V439" s="224"/>
      <c r="W439" s="224"/>
    </row>
    <row r="440">
      <c r="A440" s="585"/>
      <c r="B440" s="585"/>
      <c r="C440" s="585"/>
      <c r="D440" s="585"/>
      <c r="E440" s="585"/>
      <c r="F440" s="585"/>
      <c r="G440" s="585"/>
      <c r="H440" s="585"/>
      <c r="I440" s="585"/>
      <c r="J440" s="585"/>
      <c r="K440" s="585"/>
      <c r="L440" s="585"/>
      <c r="M440" s="585"/>
      <c r="N440" s="585"/>
      <c r="O440" s="585"/>
      <c r="P440" s="585"/>
      <c r="Q440" s="585"/>
      <c r="R440" s="585"/>
      <c r="S440" s="585"/>
      <c r="T440" s="585"/>
      <c r="U440" s="585"/>
      <c r="V440" s="224"/>
      <c r="W440" s="224"/>
    </row>
    <row r="441">
      <c r="A441" s="585"/>
      <c r="B441" s="585"/>
      <c r="C441" s="585"/>
      <c r="D441" s="585"/>
      <c r="E441" s="585"/>
      <c r="F441" s="585"/>
      <c r="G441" s="585"/>
      <c r="H441" s="585"/>
      <c r="I441" s="585"/>
      <c r="J441" s="585"/>
      <c r="K441" s="585"/>
      <c r="L441" s="585"/>
      <c r="M441" s="585"/>
      <c r="N441" s="585"/>
      <c r="O441" s="585"/>
      <c r="P441" s="585"/>
      <c r="Q441" s="585"/>
      <c r="R441" s="585"/>
      <c r="S441" s="585"/>
      <c r="T441" s="585"/>
      <c r="U441" s="585"/>
      <c r="V441" s="224"/>
      <c r="W441" s="224"/>
    </row>
    <row r="442">
      <c r="A442" s="585"/>
      <c r="B442" s="585"/>
      <c r="C442" s="585"/>
      <c r="D442" s="585"/>
      <c r="E442" s="585"/>
      <c r="F442" s="585"/>
      <c r="G442" s="585"/>
      <c r="H442" s="585"/>
      <c r="I442" s="585"/>
      <c r="J442" s="585"/>
      <c r="K442" s="585"/>
      <c r="L442" s="585"/>
      <c r="M442" s="585"/>
      <c r="N442" s="585"/>
      <c r="O442" s="585"/>
      <c r="P442" s="585"/>
      <c r="Q442" s="585"/>
      <c r="R442" s="585"/>
      <c r="S442" s="585"/>
      <c r="T442" s="585"/>
      <c r="U442" s="585"/>
      <c r="V442" s="224"/>
      <c r="W442" s="224"/>
    </row>
    <row r="443">
      <c r="A443" s="585"/>
      <c r="B443" s="585"/>
      <c r="C443" s="585"/>
      <c r="D443" s="585"/>
      <c r="E443" s="585"/>
      <c r="F443" s="585"/>
      <c r="G443" s="585"/>
      <c r="H443" s="585"/>
      <c r="I443" s="585"/>
      <c r="J443" s="585"/>
      <c r="K443" s="585"/>
      <c r="L443" s="585"/>
      <c r="M443" s="585"/>
      <c r="N443" s="585"/>
      <c r="O443" s="585"/>
      <c r="P443" s="585"/>
      <c r="Q443" s="585"/>
      <c r="R443" s="585"/>
      <c r="S443" s="585"/>
      <c r="T443" s="585"/>
      <c r="U443" s="585"/>
      <c r="V443" s="224"/>
      <c r="W443" s="224"/>
    </row>
    <row r="444">
      <c r="A444" s="585"/>
      <c r="B444" s="585"/>
      <c r="C444" s="585"/>
      <c r="D444" s="585"/>
      <c r="E444" s="585"/>
      <c r="F444" s="585"/>
      <c r="G444" s="585"/>
      <c r="H444" s="585"/>
      <c r="I444" s="585"/>
      <c r="J444" s="585"/>
      <c r="K444" s="585"/>
      <c r="L444" s="585"/>
      <c r="M444" s="585"/>
      <c r="N444" s="585"/>
      <c r="O444" s="585"/>
      <c r="P444" s="585"/>
      <c r="Q444" s="585"/>
      <c r="R444" s="585"/>
      <c r="S444" s="585"/>
      <c r="T444" s="585"/>
      <c r="U444" s="585"/>
      <c r="V444" s="224"/>
      <c r="W444" s="224"/>
    </row>
    <row r="445">
      <c r="A445" s="585"/>
      <c r="B445" s="585"/>
      <c r="C445" s="585"/>
      <c r="D445" s="585"/>
      <c r="E445" s="585"/>
      <c r="F445" s="585"/>
      <c r="G445" s="585"/>
      <c r="H445" s="585"/>
      <c r="I445" s="585"/>
      <c r="J445" s="585"/>
      <c r="K445" s="585"/>
      <c r="L445" s="585"/>
      <c r="M445" s="585"/>
      <c r="N445" s="585"/>
      <c r="O445" s="585"/>
      <c r="P445" s="585"/>
      <c r="Q445" s="585"/>
      <c r="R445" s="585"/>
      <c r="S445" s="585"/>
      <c r="T445" s="585"/>
      <c r="U445" s="585"/>
      <c r="V445" s="224"/>
      <c r="W445" s="224"/>
    </row>
    <row r="446">
      <c r="A446" s="585"/>
      <c r="B446" s="585"/>
      <c r="C446" s="585"/>
      <c r="D446" s="585"/>
      <c r="E446" s="585"/>
      <c r="F446" s="585"/>
      <c r="G446" s="585"/>
      <c r="H446" s="585"/>
      <c r="I446" s="585"/>
      <c r="J446" s="585"/>
      <c r="K446" s="585"/>
      <c r="L446" s="585"/>
      <c r="M446" s="585"/>
      <c r="N446" s="585"/>
      <c r="O446" s="585"/>
      <c r="P446" s="585"/>
      <c r="Q446" s="585"/>
      <c r="R446" s="585"/>
      <c r="S446" s="585"/>
      <c r="T446" s="585"/>
      <c r="U446" s="585"/>
      <c r="V446" s="224"/>
      <c r="W446" s="224"/>
    </row>
    <row r="447">
      <c r="A447" s="585"/>
      <c r="B447" s="585"/>
      <c r="C447" s="585"/>
      <c r="D447" s="585"/>
      <c r="E447" s="585"/>
      <c r="F447" s="585"/>
      <c r="G447" s="585"/>
      <c r="H447" s="585"/>
      <c r="I447" s="585"/>
      <c r="J447" s="585"/>
      <c r="K447" s="585"/>
      <c r="L447" s="585"/>
      <c r="M447" s="585"/>
      <c r="N447" s="585"/>
      <c r="O447" s="585"/>
      <c r="P447" s="585"/>
      <c r="Q447" s="585"/>
      <c r="R447" s="585"/>
      <c r="S447" s="585"/>
      <c r="T447" s="585"/>
      <c r="U447" s="585"/>
      <c r="V447" s="224"/>
      <c r="W447" s="224"/>
    </row>
    <row r="448">
      <c r="A448" s="585"/>
      <c r="B448" s="585"/>
      <c r="C448" s="585"/>
      <c r="D448" s="585"/>
      <c r="E448" s="585"/>
      <c r="F448" s="585"/>
      <c r="G448" s="585"/>
      <c r="H448" s="585"/>
      <c r="I448" s="585"/>
      <c r="J448" s="585"/>
      <c r="K448" s="585"/>
      <c r="L448" s="585"/>
      <c r="M448" s="585"/>
      <c r="N448" s="585"/>
      <c r="O448" s="585"/>
      <c r="P448" s="585"/>
      <c r="Q448" s="585"/>
      <c r="R448" s="585"/>
      <c r="S448" s="585"/>
      <c r="T448" s="585"/>
      <c r="U448" s="585"/>
      <c r="V448" s="224"/>
      <c r="W448" s="224"/>
    </row>
    <row r="449">
      <c r="A449" s="585"/>
      <c r="B449" s="585"/>
      <c r="C449" s="585"/>
      <c r="D449" s="585"/>
      <c r="E449" s="585"/>
      <c r="F449" s="585"/>
      <c r="G449" s="585"/>
      <c r="H449" s="585"/>
      <c r="I449" s="585"/>
      <c r="J449" s="585"/>
      <c r="K449" s="585"/>
      <c r="L449" s="585"/>
      <c r="M449" s="585"/>
      <c r="N449" s="585"/>
      <c r="O449" s="585"/>
      <c r="P449" s="585"/>
      <c r="Q449" s="585"/>
      <c r="R449" s="585"/>
      <c r="S449" s="585"/>
      <c r="T449" s="585"/>
      <c r="U449" s="585"/>
      <c r="V449" s="224"/>
      <c r="W449" s="224"/>
    </row>
    <row r="450">
      <c r="A450" s="585"/>
      <c r="B450" s="585"/>
      <c r="C450" s="585"/>
      <c r="D450" s="585"/>
      <c r="E450" s="585"/>
      <c r="F450" s="585"/>
      <c r="G450" s="585"/>
      <c r="H450" s="585"/>
      <c r="I450" s="585"/>
      <c r="J450" s="585"/>
      <c r="K450" s="585"/>
      <c r="L450" s="585"/>
      <c r="M450" s="585"/>
      <c r="N450" s="585"/>
      <c r="O450" s="585"/>
      <c r="P450" s="585"/>
      <c r="Q450" s="585"/>
      <c r="R450" s="585"/>
      <c r="S450" s="585"/>
      <c r="T450" s="585"/>
      <c r="U450" s="585"/>
      <c r="V450" s="224"/>
      <c r="W450" s="224"/>
    </row>
    <row r="451">
      <c r="A451" s="585"/>
      <c r="B451" s="585"/>
      <c r="C451" s="585"/>
      <c r="D451" s="585"/>
      <c r="E451" s="585"/>
      <c r="F451" s="585"/>
      <c r="G451" s="585"/>
      <c r="H451" s="585"/>
      <c r="I451" s="585"/>
      <c r="J451" s="585"/>
      <c r="K451" s="585"/>
      <c r="L451" s="585"/>
      <c r="M451" s="585"/>
      <c r="N451" s="585"/>
      <c r="O451" s="585"/>
      <c r="P451" s="585"/>
      <c r="Q451" s="585"/>
      <c r="R451" s="585"/>
      <c r="S451" s="585"/>
      <c r="T451" s="585"/>
      <c r="U451" s="585"/>
      <c r="V451" s="224"/>
      <c r="W451" s="224"/>
    </row>
    <row r="452">
      <c r="A452" s="585"/>
      <c r="B452" s="585"/>
      <c r="C452" s="585"/>
      <c r="D452" s="585"/>
      <c r="E452" s="585"/>
      <c r="F452" s="585"/>
      <c r="G452" s="585"/>
      <c r="H452" s="585"/>
      <c r="I452" s="585"/>
      <c r="J452" s="585"/>
      <c r="K452" s="585"/>
      <c r="L452" s="585"/>
      <c r="M452" s="585"/>
      <c r="N452" s="585"/>
      <c r="O452" s="585"/>
      <c r="P452" s="585"/>
      <c r="Q452" s="585"/>
      <c r="R452" s="585"/>
      <c r="S452" s="585"/>
      <c r="T452" s="585"/>
      <c r="U452" s="585"/>
      <c r="V452" s="224"/>
      <c r="W452" s="224"/>
    </row>
    <row r="453">
      <c r="A453" s="585"/>
      <c r="B453" s="585"/>
      <c r="C453" s="585"/>
      <c r="D453" s="585"/>
      <c r="E453" s="585"/>
      <c r="F453" s="585"/>
      <c r="G453" s="585"/>
      <c r="H453" s="585"/>
      <c r="I453" s="585"/>
      <c r="J453" s="585"/>
      <c r="K453" s="585"/>
      <c r="L453" s="585"/>
      <c r="M453" s="585"/>
      <c r="N453" s="585"/>
      <c r="O453" s="585"/>
      <c r="P453" s="585"/>
      <c r="Q453" s="585"/>
      <c r="R453" s="585"/>
      <c r="S453" s="585"/>
      <c r="T453" s="585"/>
      <c r="U453" s="585"/>
      <c r="V453" s="224"/>
      <c r="W453" s="224"/>
    </row>
    <row r="454">
      <c r="A454" s="585"/>
      <c r="B454" s="585"/>
      <c r="C454" s="585"/>
      <c r="D454" s="585"/>
      <c r="E454" s="585"/>
      <c r="F454" s="585"/>
      <c r="G454" s="585"/>
      <c r="H454" s="585"/>
      <c r="I454" s="585"/>
      <c r="J454" s="585"/>
      <c r="K454" s="585"/>
      <c r="L454" s="585"/>
      <c r="M454" s="585"/>
      <c r="N454" s="585"/>
      <c r="O454" s="585"/>
      <c r="P454" s="585"/>
      <c r="Q454" s="585"/>
      <c r="R454" s="585"/>
      <c r="S454" s="585"/>
      <c r="T454" s="585"/>
      <c r="U454" s="585"/>
      <c r="V454" s="224"/>
      <c r="W454" s="224"/>
    </row>
    <row r="455">
      <c r="A455" s="585"/>
      <c r="B455" s="585"/>
      <c r="C455" s="585"/>
      <c r="D455" s="585"/>
      <c r="E455" s="585"/>
      <c r="F455" s="585"/>
      <c r="G455" s="585"/>
      <c r="H455" s="585"/>
      <c r="I455" s="585"/>
      <c r="J455" s="585"/>
      <c r="K455" s="585"/>
      <c r="L455" s="585"/>
      <c r="M455" s="585"/>
      <c r="N455" s="585"/>
      <c r="O455" s="585"/>
      <c r="P455" s="585"/>
      <c r="Q455" s="585"/>
      <c r="R455" s="585"/>
      <c r="S455" s="585"/>
      <c r="T455" s="585"/>
      <c r="U455" s="585"/>
      <c r="V455" s="224"/>
      <c r="W455" s="224"/>
    </row>
    <row r="456">
      <c r="A456" s="585"/>
      <c r="B456" s="585"/>
      <c r="C456" s="585"/>
      <c r="D456" s="585"/>
      <c r="E456" s="585"/>
      <c r="F456" s="585"/>
      <c r="G456" s="585"/>
      <c r="H456" s="585"/>
      <c r="I456" s="585"/>
      <c r="J456" s="585"/>
      <c r="K456" s="585"/>
      <c r="L456" s="585"/>
      <c r="M456" s="585"/>
      <c r="N456" s="585"/>
      <c r="O456" s="585"/>
      <c r="P456" s="585"/>
      <c r="Q456" s="585"/>
      <c r="R456" s="585"/>
      <c r="S456" s="585"/>
      <c r="T456" s="585"/>
      <c r="U456" s="585"/>
      <c r="V456" s="224"/>
      <c r="W456" s="224"/>
    </row>
    <row r="457">
      <c r="A457" s="585"/>
      <c r="B457" s="585"/>
      <c r="C457" s="585"/>
      <c r="D457" s="585"/>
      <c r="E457" s="585"/>
      <c r="F457" s="585"/>
      <c r="G457" s="585"/>
      <c r="H457" s="585"/>
      <c r="I457" s="585"/>
      <c r="J457" s="585"/>
      <c r="K457" s="585"/>
      <c r="L457" s="585"/>
      <c r="M457" s="585"/>
      <c r="N457" s="585"/>
      <c r="O457" s="585"/>
      <c r="P457" s="585"/>
      <c r="Q457" s="585"/>
      <c r="R457" s="585"/>
      <c r="S457" s="585"/>
      <c r="T457" s="585"/>
      <c r="U457" s="585"/>
      <c r="V457" s="224"/>
      <c r="W457" s="224"/>
    </row>
    <row r="458">
      <c r="A458" s="585"/>
      <c r="B458" s="585"/>
      <c r="C458" s="585"/>
      <c r="D458" s="585"/>
      <c r="E458" s="585"/>
      <c r="F458" s="585"/>
      <c r="G458" s="585"/>
      <c r="H458" s="585"/>
      <c r="I458" s="585"/>
      <c r="J458" s="585"/>
      <c r="K458" s="585"/>
      <c r="L458" s="585"/>
      <c r="M458" s="585"/>
      <c r="N458" s="585"/>
      <c r="O458" s="585"/>
      <c r="P458" s="585"/>
      <c r="Q458" s="585"/>
      <c r="R458" s="585"/>
      <c r="S458" s="585"/>
      <c r="T458" s="585"/>
      <c r="U458" s="585"/>
      <c r="V458" s="224"/>
      <c r="W458" s="224"/>
    </row>
    <row r="459">
      <c r="A459" s="585"/>
      <c r="B459" s="585"/>
      <c r="C459" s="585"/>
      <c r="D459" s="585"/>
      <c r="E459" s="585"/>
      <c r="F459" s="585"/>
      <c r="G459" s="585"/>
      <c r="H459" s="585"/>
      <c r="I459" s="585"/>
      <c r="J459" s="585"/>
      <c r="K459" s="585"/>
      <c r="L459" s="585"/>
      <c r="M459" s="585"/>
      <c r="N459" s="585"/>
      <c r="O459" s="585"/>
      <c r="P459" s="585"/>
      <c r="Q459" s="585"/>
      <c r="R459" s="585"/>
      <c r="S459" s="585"/>
      <c r="T459" s="585"/>
      <c r="U459" s="585"/>
      <c r="V459" s="224"/>
      <c r="W459" s="224"/>
    </row>
    <row r="460">
      <c r="A460" s="585"/>
      <c r="B460" s="585"/>
      <c r="C460" s="585"/>
      <c r="D460" s="585"/>
      <c r="E460" s="585"/>
      <c r="F460" s="585"/>
      <c r="G460" s="585"/>
      <c r="H460" s="585"/>
      <c r="I460" s="585"/>
      <c r="J460" s="585"/>
      <c r="K460" s="585"/>
      <c r="L460" s="585"/>
      <c r="M460" s="585"/>
      <c r="N460" s="585"/>
      <c r="O460" s="585"/>
      <c r="P460" s="585"/>
      <c r="Q460" s="585"/>
      <c r="R460" s="585"/>
      <c r="S460" s="585"/>
      <c r="T460" s="585"/>
      <c r="U460" s="585"/>
      <c r="V460" s="224"/>
      <c r="W460" s="224"/>
    </row>
    <row r="461">
      <c r="A461" s="585"/>
      <c r="B461" s="585"/>
      <c r="C461" s="585"/>
      <c r="D461" s="585"/>
      <c r="E461" s="585"/>
      <c r="F461" s="585"/>
      <c r="G461" s="585"/>
      <c r="H461" s="585"/>
      <c r="I461" s="585"/>
      <c r="J461" s="585"/>
      <c r="K461" s="585"/>
      <c r="L461" s="585"/>
      <c r="M461" s="585"/>
      <c r="N461" s="585"/>
      <c r="O461" s="585"/>
      <c r="P461" s="585"/>
      <c r="Q461" s="585"/>
      <c r="R461" s="585"/>
      <c r="S461" s="585"/>
      <c r="T461" s="585"/>
      <c r="U461" s="585"/>
      <c r="V461" s="224"/>
      <c r="W461" s="224"/>
    </row>
    <row r="462">
      <c r="A462" s="585"/>
      <c r="B462" s="585"/>
      <c r="C462" s="585"/>
      <c r="D462" s="585"/>
      <c r="E462" s="585"/>
      <c r="F462" s="585"/>
      <c r="G462" s="585"/>
      <c r="H462" s="585"/>
      <c r="I462" s="585"/>
      <c r="J462" s="585"/>
      <c r="K462" s="585"/>
      <c r="L462" s="585"/>
      <c r="M462" s="585"/>
      <c r="N462" s="585"/>
      <c r="O462" s="585"/>
      <c r="P462" s="585"/>
      <c r="Q462" s="585"/>
      <c r="R462" s="585"/>
      <c r="S462" s="585"/>
      <c r="T462" s="585"/>
      <c r="U462" s="585"/>
      <c r="V462" s="224"/>
      <c r="W462" s="224"/>
    </row>
    <row r="463">
      <c r="A463" s="585"/>
      <c r="B463" s="585"/>
      <c r="C463" s="585"/>
      <c r="D463" s="585"/>
      <c r="E463" s="585"/>
      <c r="F463" s="585"/>
      <c r="G463" s="585"/>
      <c r="H463" s="585"/>
      <c r="I463" s="585"/>
      <c r="J463" s="585"/>
      <c r="K463" s="585"/>
      <c r="L463" s="585"/>
      <c r="M463" s="585"/>
      <c r="N463" s="585"/>
      <c r="O463" s="585"/>
      <c r="P463" s="585"/>
      <c r="Q463" s="585"/>
      <c r="R463" s="585"/>
      <c r="S463" s="585"/>
      <c r="T463" s="585"/>
      <c r="U463" s="585"/>
      <c r="V463" s="224"/>
      <c r="W463" s="224"/>
    </row>
    <row r="464">
      <c r="A464" s="585"/>
      <c r="B464" s="585"/>
      <c r="C464" s="585"/>
      <c r="D464" s="585"/>
      <c r="E464" s="585"/>
      <c r="F464" s="585"/>
      <c r="G464" s="585"/>
      <c r="H464" s="585"/>
      <c r="I464" s="585"/>
      <c r="J464" s="585"/>
      <c r="K464" s="585"/>
      <c r="L464" s="585"/>
      <c r="M464" s="585"/>
      <c r="N464" s="585"/>
      <c r="O464" s="585"/>
      <c r="P464" s="585"/>
      <c r="Q464" s="585"/>
      <c r="R464" s="585"/>
      <c r="S464" s="585"/>
      <c r="T464" s="585"/>
      <c r="U464" s="585"/>
      <c r="V464" s="224"/>
      <c r="W464" s="224"/>
    </row>
    <row r="465">
      <c r="A465" s="585"/>
      <c r="B465" s="585"/>
      <c r="C465" s="585"/>
      <c r="D465" s="585"/>
      <c r="E465" s="585"/>
      <c r="F465" s="585"/>
      <c r="G465" s="585"/>
      <c r="H465" s="585"/>
      <c r="I465" s="585"/>
      <c r="J465" s="585"/>
      <c r="K465" s="585"/>
      <c r="L465" s="585"/>
      <c r="M465" s="585"/>
      <c r="N465" s="585"/>
      <c r="O465" s="585"/>
      <c r="P465" s="585"/>
      <c r="Q465" s="585"/>
      <c r="R465" s="585"/>
      <c r="S465" s="585"/>
      <c r="T465" s="585"/>
      <c r="U465" s="585"/>
      <c r="V465" s="224"/>
      <c r="W465" s="224"/>
    </row>
    <row r="466">
      <c r="A466" s="585"/>
      <c r="B466" s="585"/>
      <c r="C466" s="585"/>
      <c r="D466" s="585"/>
      <c r="E466" s="585"/>
      <c r="F466" s="585"/>
      <c r="G466" s="585"/>
      <c r="H466" s="585"/>
      <c r="I466" s="585"/>
      <c r="J466" s="585"/>
      <c r="K466" s="585"/>
      <c r="L466" s="585"/>
      <c r="M466" s="585"/>
      <c r="N466" s="585"/>
      <c r="O466" s="585"/>
      <c r="P466" s="585"/>
      <c r="Q466" s="585"/>
      <c r="R466" s="585"/>
      <c r="S466" s="585"/>
      <c r="T466" s="585"/>
      <c r="U466" s="585"/>
      <c r="V466" s="224"/>
      <c r="W466" s="224"/>
    </row>
    <row r="467">
      <c r="A467" s="585"/>
      <c r="B467" s="585"/>
      <c r="C467" s="585"/>
      <c r="D467" s="585"/>
      <c r="E467" s="585"/>
      <c r="F467" s="585"/>
      <c r="G467" s="585"/>
      <c r="H467" s="585"/>
      <c r="I467" s="585"/>
      <c r="J467" s="585"/>
      <c r="K467" s="585"/>
      <c r="L467" s="585"/>
      <c r="M467" s="585"/>
      <c r="N467" s="585"/>
      <c r="O467" s="585"/>
      <c r="P467" s="585"/>
      <c r="Q467" s="585"/>
      <c r="R467" s="585"/>
      <c r="S467" s="585"/>
      <c r="T467" s="585"/>
      <c r="U467" s="585"/>
      <c r="V467" s="224"/>
      <c r="W467" s="224"/>
    </row>
    <row r="468">
      <c r="A468" s="585"/>
      <c r="B468" s="585"/>
      <c r="C468" s="585"/>
      <c r="D468" s="585"/>
      <c r="E468" s="585"/>
      <c r="F468" s="585"/>
      <c r="G468" s="585"/>
      <c r="H468" s="585"/>
      <c r="I468" s="585"/>
      <c r="J468" s="585"/>
      <c r="K468" s="585"/>
      <c r="L468" s="585"/>
      <c r="M468" s="585"/>
      <c r="N468" s="585"/>
      <c r="O468" s="585"/>
      <c r="P468" s="585"/>
      <c r="Q468" s="585"/>
      <c r="R468" s="585"/>
      <c r="S468" s="585"/>
      <c r="T468" s="585"/>
      <c r="U468" s="585"/>
      <c r="V468" s="224"/>
      <c r="W468" s="224"/>
    </row>
    <row r="469">
      <c r="A469" s="585"/>
      <c r="B469" s="585"/>
      <c r="C469" s="585"/>
      <c r="D469" s="585"/>
      <c r="E469" s="585"/>
      <c r="F469" s="585"/>
      <c r="G469" s="585"/>
      <c r="H469" s="585"/>
      <c r="I469" s="585"/>
      <c r="J469" s="585"/>
      <c r="K469" s="585"/>
      <c r="L469" s="585"/>
      <c r="M469" s="585"/>
      <c r="N469" s="585"/>
      <c r="O469" s="585"/>
      <c r="P469" s="585"/>
      <c r="Q469" s="585"/>
      <c r="R469" s="585"/>
      <c r="S469" s="585"/>
      <c r="T469" s="585"/>
      <c r="U469" s="585"/>
      <c r="V469" s="224"/>
      <c r="W469" s="224"/>
    </row>
    <row r="470">
      <c r="A470" s="585"/>
      <c r="B470" s="585"/>
      <c r="C470" s="585"/>
      <c r="D470" s="585"/>
      <c r="E470" s="585"/>
      <c r="F470" s="585"/>
      <c r="G470" s="585"/>
      <c r="H470" s="585"/>
      <c r="I470" s="585"/>
      <c r="J470" s="585"/>
      <c r="K470" s="585"/>
      <c r="L470" s="585"/>
      <c r="M470" s="585"/>
      <c r="N470" s="585"/>
      <c r="O470" s="585"/>
      <c r="P470" s="585"/>
      <c r="Q470" s="585"/>
      <c r="R470" s="585"/>
      <c r="S470" s="585"/>
      <c r="T470" s="585"/>
      <c r="U470" s="585"/>
      <c r="V470" s="224"/>
      <c r="W470" s="224"/>
    </row>
    <row r="471">
      <c r="A471" s="585"/>
      <c r="B471" s="585"/>
      <c r="C471" s="585"/>
      <c r="D471" s="585"/>
      <c r="E471" s="585"/>
      <c r="F471" s="585"/>
      <c r="G471" s="585"/>
      <c r="H471" s="585"/>
      <c r="I471" s="585"/>
      <c r="J471" s="585"/>
      <c r="K471" s="585"/>
      <c r="L471" s="585"/>
      <c r="M471" s="585"/>
      <c r="N471" s="585"/>
      <c r="O471" s="585"/>
      <c r="P471" s="585"/>
      <c r="Q471" s="585"/>
      <c r="R471" s="585"/>
      <c r="S471" s="585"/>
      <c r="T471" s="585"/>
      <c r="U471" s="585"/>
      <c r="V471" s="224"/>
      <c r="W471" s="224"/>
    </row>
    <row r="472">
      <c r="A472" s="585"/>
      <c r="B472" s="585"/>
      <c r="C472" s="585"/>
      <c r="D472" s="585"/>
      <c r="E472" s="585"/>
      <c r="F472" s="585"/>
      <c r="G472" s="585"/>
      <c r="H472" s="585"/>
      <c r="I472" s="585"/>
      <c r="J472" s="585"/>
      <c r="K472" s="585"/>
      <c r="L472" s="585"/>
      <c r="M472" s="585"/>
      <c r="N472" s="585"/>
      <c r="O472" s="585"/>
      <c r="P472" s="585"/>
      <c r="Q472" s="585"/>
      <c r="R472" s="585"/>
      <c r="S472" s="585"/>
      <c r="T472" s="585"/>
      <c r="U472" s="585"/>
      <c r="V472" s="224"/>
      <c r="W472" s="224"/>
    </row>
    <row r="473">
      <c r="A473" s="585"/>
      <c r="B473" s="585"/>
      <c r="C473" s="585"/>
      <c r="D473" s="585"/>
      <c r="E473" s="585"/>
      <c r="F473" s="585"/>
      <c r="G473" s="585"/>
      <c r="H473" s="585"/>
      <c r="I473" s="585"/>
      <c r="J473" s="585"/>
      <c r="K473" s="585"/>
      <c r="L473" s="585"/>
      <c r="M473" s="585"/>
      <c r="N473" s="585"/>
      <c r="O473" s="585"/>
      <c r="P473" s="585"/>
      <c r="Q473" s="585"/>
      <c r="R473" s="585"/>
      <c r="S473" s="585"/>
      <c r="T473" s="585"/>
      <c r="U473" s="585"/>
      <c r="V473" s="224"/>
      <c r="W473" s="224"/>
    </row>
    <row r="474">
      <c r="A474" s="585"/>
      <c r="B474" s="585"/>
      <c r="C474" s="585"/>
      <c r="D474" s="585"/>
      <c r="E474" s="585"/>
      <c r="F474" s="585"/>
      <c r="G474" s="585"/>
      <c r="H474" s="585"/>
      <c r="I474" s="585"/>
      <c r="J474" s="585"/>
      <c r="K474" s="585"/>
      <c r="L474" s="585"/>
      <c r="M474" s="585"/>
      <c r="N474" s="585"/>
      <c r="O474" s="585"/>
      <c r="P474" s="585"/>
      <c r="Q474" s="585"/>
      <c r="R474" s="585"/>
      <c r="S474" s="585"/>
      <c r="T474" s="585"/>
      <c r="U474" s="585"/>
      <c r="V474" s="224"/>
      <c r="W474" s="224"/>
    </row>
    <row r="475">
      <c r="A475" s="585"/>
      <c r="B475" s="585"/>
      <c r="C475" s="585"/>
      <c r="D475" s="585"/>
      <c r="E475" s="585"/>
      <c r="F475" s="585"/>
      <c r="G475" s="585"/>
      <c r="H475" s="585"/>
      <c r="I475" s="585"/>
      <c r="J475" s="585"/>
      <c r="K475" s="585"/>
      <c r="L475" s="585"/>
      <c r="M475" s="585"/>
      <c r="N475" s="585"/>
      <c r="O475" s="585"/>
      <c r="P475" s="585"/>
      <c r="Q475" s="585"/>
      <c r="R475" s="585"/>
      <c r="S475" s="585"/>
      <c r="T475" s="585"/>
      <c r="U475" s="585"/>
      <c r="V475" s="224"/>
      <c r="W475" s="224"/>
    </row>
    <row r="476">
      <c r="A476" s="585"/>
      <c r="B476" s="585"/>
      <c r="C476" s="585"/>
      <c r="D476" s="585"/>
      <c r="E476" s="585"/>
      <c r="F476" s="585"/>
      <c r="G476" s="585"/>
      <c r="H476" s="585"/>
      <c r="I476" s="585"/>
      <c r="J476" s="585"/>
      <c r="K476" s="585"/>
      <c r="L476" s="585"/>
      <c r="M476" s="585"/>
      <c r="N476" s="585"/>
      <c r="O476" s="585"/>
      <c r="P476" s="585"/>
      <c r="Q476" s="585"/>
      <c r="R476" s="585"/>
      <c r="S476" s="585"/>
      <c r="T476" s="585"/>
      <c r="U476" s="585"/>
      <c r="V476" s="224"/>
      <c r="W476" s="224"/>
    </row>
    <row r="477">
      <c r="A477" s="585"/>
      <c r="B477" s="585"/>
      <c r="C477" s="585"/>
      <c r="D477" s="585"/>
      <c r="E477" s="585"/>
      <c r="F477" s="585"/>
      <c r="G477" s="585"/>
      <c r="H477" s="585"/>
      <c r="I477" s="585"/>
      <c r="J477" s="585"/>
      <c r="K477" s="585"/>
      <c r="L477" s="585"/>
      <c r="M477" s="585"/>
      <c r="N477" s="585"/>
      <c r="O477" s="585"/>
      <c r="P477" s="585"/>
      <c r="Q477" s="585"/>
      <c r="R477" s="585"/>
      <c r="S477" s="585"/>
      <c r="T477" s="585"/>
      <c r="U477" s="585"/>
      <c r="V477" s="224"/>
      <c r="W477" s="224"/>
    </row>
    <row r="478">
      <c r="A478" s="585"/>
      <c r="B478" s="585"/>
      <c r="C478" s="585"/>
      <c r="D478" s="585"/>
      <c r="E478" s="585"/>
      <c r="F478" s="585"/>
      <c r="G478" s="585"/>
      <c r="H478" s="585"/>
      <c r="I478" s="585"/>
      <c r="J478" s="585"/>
      <c r="K478" s="585"/>
      <c r="L478" s="585"/>
      <c r="M478" s="585"/>
      <c r="N478" s="585"/>
      <c r="O478" s="585"/>
      <c r="P478" s="585"/>
      <c r="Q478" s="585"/>
      <c r="R478" s="585"/>
      <c r="S478" s="585"/>
      <c r="T478" s="585"/>
      <c r="U478" s="585"/>
      <c r="V478" s="224"/>
      <c r="W478" s="224"/>
    </row>
    <row r="479">
      <c r="A479" s="585"/>
      <c r="B479" s="585"/>
      <c r="C479" s="585"/>
      <c r="D479" s="585"/>
      <c r="E479" s="585"/>
      <c r="F479" s="585"/>
      <c r="G479" s="585"/>
      <c r="H479" s="585"/>
      <c r="I479" s="585"/>
      <c r="J479" s="585"/>
      <c r="K479" s="585"/>
      <c r="L479" s="585"/>
      <c r="M479" s="585"/>
      <c r="N479" s="585"/>
      <c r="O479" s="585"/>
      <c r="P479" s="585"/>
      <c r="Q479" s="585"/>
      <c r="R479" s="585"/>
      <c r="S479" s="585"/>
      <c r="T479" s="585"/>
      <c r="U479" s="585"/>
      <c r="V479" s="224"/>
      <c r="W479" s="224"/>
    </row>
    <row r="480">
      <c r="A480" s="585"/>
      <c r="B480" s="585"/>
      <c r="C480" s="585"/>
      <c r="D480" s="585"/>
      <c r="E480" s="585"/>
      <c r="F480" s="585"/>
      <c r="G480" s="585"/>
      <c r="H480" s="585"/>
      <c r="I480" s="585"/>
      <c r="J480" s="585"/>
      <c r="K480" s="585"/>
      <c r="L480" s="585"/>
      <c r="M480" s="585"/>
      <c r="N480" s="585"/>
      <c r="O480" s="585"/>
      <c r="P480" s="585"/>
      <c r="Q480" s="585"/>
      <c r="R480" s="585"/>
      <c r="S480" s="585"/>
      <c r="T480" s="585"/>
      <c r="U480" s="585"/>
      <c r="V480" s="224"/>
      <c r="W480" s="224"/>
    </row>
    <row r="481">
      <c r="A481" s="585"/>
      <c r="B481" s="585"/>
      <c r="C481" s="585"/>
      <c r="D481" s="585"/>
      <c r="E481" s="585"/>
      <c r="F481" s="585"/>
      <c r="G481" s="585"/>
      <c r="H481" s="585"/>
      <c r="I481" s="585"/>
      <c r="J481" s="585"/>
      <c r="K481" s="585"/>
      <c r="L481" s="585"/>
      <c r="M481" s="585"/>
      <c r="N481" s="585"/>
      <c r="O481" s="585"/>
      <c r="P481" s="585"/>
      <c r="Q481" s="585"/>
      <c r="R481" s="585"/>
      <c r="S481" s="585"/>
      <c r="T481" s="585"/>
      <c r="U481" s="585"/>
      <c r="V481" s="224"/>
      <c r="W481" s="224"/>
    </row>
    <row r="482">
      <c r="A482" s="585"/>
      <c r="B482" s="585"/>
      <c r="C482" s="585"/>
      <c r="D482" s="585"/>
      <c r="E482" s="585"/>
      <c r="F482" s="585"/>
      <c r="G482" s="585"/>
      <c r="H482" s="585"/>
      <c r="I482" s="585"/>
      <c r="J482" s="585"/>
      <c r="K482" s="585"/>
      <c r="L482" s="585"/>
      <c r="M482" s="585"/>
      <c r="N482" s="585"/>
      <c r="O482" s="585"/>
      <c r="P482" s="585"/>
      <c r="Q482" s="585"/>
      <c r="R482" s="585"/>
      <c r="S482" s="585"/>
      <c r="T482" s="585"/>
      <c r="U482" s="585"/>
      <c r="V482" s="224"/>
      <c r="W482" s="224"/>
    </row>
    <row r="483">
      <c r="A483" s="585"/>
      <c r="B483" s="585"/>
      <c r="C483" s="585"/>
      <c r="D483" s="585"/>
      <c r="E483" s="585"/>
      <c r="F483" s="585"/>
      <c r="G483" s="585"/>
      <c r="H483" s="585"/>
      <c r="I483" s="585"/>
      <c r="J483" s="585"/>
      <c r="K483" s="585"/>
      <c r="L483" s="585"/>
      <c r="M483" s="585"/>
      <c r="N483" s="585"/>
      <c r="O483" s="585"/>
      <c r="P483" s="585"/>
      <c r="Q483" s="585"/>
      <c r="R483" s="585"/>
      <c r="S483" s="585"/>
      <c r="T483" s="585"/>
      <c r="U483" s="585"/>
      <c r="V483" s="224"/>
      <c r="W483" s="224"/>
    </row>
    <row r="484">
      <c r="A484" s="585"/>
      <c r="B484" s="585"/>
      <c r="C484" s="585"/>
      <c r="D484" s="585"/>
      <c r="E484" s="585"/>
      <c r="F484" s="585"/>
      <c r="G484" s="585"/>
      <c r="H484" s="585"/>
      <c r="I484" s="585"/>
      <c r="J484" s="585"/>
      <c r="K484" s="585"/>
      <c r="L484" s="585"/>
      <c r="M484" s="585"/>
      <c r="N484" s="585"/>
      <c r="O484" s="585"/>
      <c r="P484" s="585"/>
      <c r="Q484" s="585"/>
      <c r="R484" s="585"/>
      <c r="S484" s="585"/>
      <c r="T484" s="585"/>
      <c r="U484" s="585"/>
      <c r="V484" s="224"/>
      <c r="W484" s="224"/>
    </row>
    <row r="485">
      <c r="A485" s="585"/>
      <c r="B485" s="585"/>
      <c r="C485" s="585"/>
      <c r="D485" s="585"/>
      <c r="E485" s="585"/>
      <c r="F485" s="585"/>
      <c r="G485" s="585"/>
      <c r="H485" s="585"/>
      <c r="I485" s="585"/>
      <c r="J485" s="585"/>
      <c r="K485" s="585"/>
      <c r="L485" s="585"/>
      <c r="M485" s="585"/>
      <c r="N485" s="585"/>
      <c r="O485" s="585"/>
      <c r="P485" s="585"/>
      <c r="Q485" s="585"/>
      <c r="R485" s="585"/>
      <c r="S485" s="585"/>
      <c r="T485" s="585"/>
      <c r="U485" s="585"/>
      <c r="V485" s="224"/>
      <c r="W485" s="224"/>
    </row>
    <row r="486">
      <c r="A486" s="585"/>
      <c r="B486" s="585"/>
      <c r="C486" s="585"/>
      <c r="D486" s="585"/>
      <c r="E486" s="585"/>
      <c r="F486" s="585"/>
      <c r="G486" s="585"/>
      <c r="H486" s="585"/>
      <c r="I486" s="585"/>
      <c r="J486" s="585"/>
      <c r="K486" s="585"/>
      <c r="L486" s="585"/>
      <c r="M486" s="585"/>
      <c r="N486" s="585"/>
      <c r="O486" s="585"/>
      <c r="P486" s="585"/>
      <c r="Q486" s="585"/>
      <c r="R486" s="585"/>
      <c r="S486" s="585"/>
      <c r="T486" s="585"/>
      <c r="U486" s="585"/>
      <c r="V486" s="224"/>
      <c r="W486" s="224"/>
    </row>
    <row r="487">
      <c r="A487" s="585"/>
      <c r="B487" s="585"/>
      <c r="C487" s="585"/>
      <c r="D487" s="585"/>
      <c r="E487" s="585"/>
      <c r="F487" s="585"/>
      <c r="G487" s="585"/>
      <c r="H487" s="585"/>
      <c r="I487" s="585"/>
      <c r="J487" s="585"/>
      <c r="K487" s="585"/>
      <c r="L487" s="585"/>
      <c r="M487" s="585"/>
      <c r="N487" s="585"/>
      <c r="O487" s="585"/>
      <c r="P487" s="585"/>
      <c r="Q487" s="585"/>
      <c r="R487" s="585"/>
      <c r="S487" s="585"/>
      <c r="T487" s="585"/>
      <c r="U487" s="585"/>
      <c r="V487" s="224"/>
      <c r="W487" s="224"/>
    </row>
    <row r="488">
      <c r="A488" s="585"/>
      <c r="B488" s="585"/>
      <c r="C488" s="585"/>
      <c r="D488" s="585"/>
      <c r="E488" s="585"/>
      <c r="F488" s="585"/>
      <c r="G488" s="585"/>
      <c r="H488" s="585"/>
      <c r="I488" s="585"/>
      <c r="J488" s="585"/>
      <c r="K488" s="585"/>
      <c r="L488" s="585"/>
      <c r="M488" s="585"/>
      <c r="N488" s="585"/>
      <c r="O488" s="585"/>
      <c r="P488" s="585"/>
      <c r="Q488" s="585"/>
      <c r="R488" s="585"/>
      <c r="S488" s="585"/>
      <c r="T488" s="585"/>
      <c r="U488" s="585"/>
      <c r="V488" s="224"/>
      <c r="W488" s="224"/>
    </row>
    <row r="489">
      <c r="A489" s="585"/>
      <c r="B489" s="585"/>
      <c r="C489" s="585"/>
      <c r="D489" s="585"/>
      <c r="E489" s="585"/>
      <c r="F489" s="585"/>
      <c r="G489" s="585"/>
      <c r="H489" s="585"/>
      <c r="I489" s="585"/>
      <c r="J489" s="585"/>
      <c r="K489" s="585"/>
      <c r="L489" s="585"/>
      <c r="M489" s="585"/>
      <c r="N489" s="585"/>
      <c r="O489" s="585"/>
      <c r="P489" s="585"/>
      <c r="Q489" s="585"/>
      <c r="R489" s="585"/>
      <c r="S489" s="585"/>
      <c r="T489" s="585"/>
      <c r="U489" s="585"/>
      <c r="V489" s="224"/>
      <c r="W489" s="224"/>
    </row>
    <row r="490">
      <c r="A490" s="585"/>
      <c r="B490" s="585"/>
      <c r="C490" s="585"/>
      <c r="D490" s="585"/>
      <c r="E490" s="585"/>
      <c r="F490" s="585"/>
      <c r="G490" s="585"/>
      <c r="H490" s="585"/>
      <c r="I490" s="585"/>
      <c r="J490" s="585"/>
      <c r="K490" s="585"/>
      <c r="L490" s="585"/>
      <c r="M490" s="585"/>
      <c r="N490" s="585"/>
      <c r="O490" s="585"/>
      <c r="P490" s="585"/>
      <c r="Q490" s="585"/>
      <c r="R490" s="585"/>
      <c r="S490" s="585"/>
      <c r="T490" s="585"/>
      <c r="U490" s="585"/>
      <c r="V490" s="224"/>
      <c r="W490" s="224"/>
    </row>
    <row r="491">
      <c r="A491" s="585"/>
      <c r="B491" s="585"/>
      <c r="C491" s="585"/>
      <c r="D491" s="585"/>
      <c r="E491" s="585"/>
      <c r="F491" s="585"/>
      <c r="G491" s="585"/>
      <c r="H491" s="585"/>
      <c r="I491" s="585"/>
      <c r="J491" s="585"/>
      <c r="K491" s="585"/>
      <c r="L491" s="585"/>
      <c r="M491" s="585"/>
      <c r="N491" s="585"/>
      <c r="O491" s="585"/>
      <c r="P491" s="585"/>
      <c r="Q491" s="585"/>
      <c r="R491" s="585"/>
      <c r="S491" s="585"/>
      <c r="T491" s="585"/>
      <c r="U491" s="585"/>
      <c r="V491" s="224"/>
      <c r="W491" s="224"/>
    </row>
    <row r="492">
      <c r="A492" s="585"/>
      <c r="B492" s="585"/>
      <c r="C492" s="585"/>
      <c r="D492" s="585"/>
      <c r="E492" s="585"/>
      <c r="F492" s="585"/>
      <c r="G492" s="585"/>
      <c r="H492" s="585"/>
      <c r="I492" s="585"/>
      <c r="J492" s="585"/>
      <c r="K492" s="585"/>
      <c r="L492" s="585"/>
      <c r="M492" s="585"/>
      <c r="N492" s="585"/>
      <c r="O492" s="585"/>
      <c r="P492" s="585"/>
      <c r="Q492" s="585"/>
      <c r="R492" s="585"/>
      <c r="S492" s="585"/>
      <c r="T492" s="585"/>
      <c r="U492" s="585"/>
      <c r="V492" s="224"/>
      <c r="W492" s="224"/>
    </row>
    <row r="493">
      <c r="A493" s="585"/>
      <c r="B493" s="585"/>
      <c r="C493" s="585"/>
      <c r="D493" s="585"/>
      <c r="E493" s="585"/>
      <c r="F493" s="585"/>
      <c r="G493" s="585"/>
      <c r="H493" s="585"/>
      <c r="I493" s="585"/>
      <c r="J493" s="585"/>
      <c r="K493" s="585"/>
      <c r="L493" s="585"/>
      <c r="M493" s="585"/>
      <c r="N493" s="585"/>
      <c r="O493" s="585"/>
      <c r="P493" s="585"/>
      <c r="Q493" s="585"/>
      <c r="R493" s="585"/>
      <c r="S493" s="585"/>
      <c r="T493" s="585"/>
      <c r="U493" s="585"/>
      <c r="V493" s="224"/>
      <c r="W493" s="224"/>
    </row>
    <row r="494">
      <c r="A494" s="585"/>
      <c r="B494" s="585"/>
      <c r="C494" s="585"/>
      <c r="D494" s="585"/>
      <c r="E494" s="585"/>
      <c r="F494" s="585"/>
      <c r="G494" s="585"/>
      <c r="H494" s="585"/>
      <c r="I494" s="585"/>
      <c r="J494" s="585"/>
      <c r="K494" s="585"/>
      <c r="L494" s="585"/>
      <c r="M494" s="585"/>
      <c r="N494" s="585"/>
      <c r="O494" s="585"/>
      <c r="P494" s="585"/>
      <c r="Q494" s="585"/>
      <c r="R494" s="585"/>
      <c r="S494" s="585"/>
      <c r="T494" s="585"/>
      <c r="U494" s="585"/>
      <c r="V494" s="224"/>
      <c r="W494" s="224"/>
    </row>
    <row r="495">
      <c r="A495" s="585"/>
      <c r="B495" s="585"/>
      <c r="C495" s="585"/>
      <c r="D495" s="585"/>
      <c r="E495" s="585"/>
      <c r="F495" s="585"/>
      <c r="G495" s="585"/>
      <c r="H495" s="585"/>
      <c r="I495" s="585"/>
      <c r="J495" s="585"/>
      <c r="K495" s="585"/>
      <c r="L495" s="585"/>
      <c r="M495" s="585"/>
      <c r="N495" s="585"/>
      <c r="O495" s="585"/>
      <c r="P495" s="585"/>
      <c r="Q495" s="585"/>
      <c r="R495" s="585"/>
      <c r="S495" s="585"/>
      <c r="T495" s="585"/>
      <c r="U495" s="585"/>
      <c r="V495" s="224"/>
      <c r="W495" s="224"/>
    </row>
    <row r="496">
      <c r="A496" s="585"/>
      <c r="B496" s="585"/>
      <c r="C496" s="585"/>
      <c r="D496" s="585"/>
      <c r="E496" s="585"/>
      <c r="F496" s="585"/>
      <c r="G496" s="585"/>
      <c r="H496" s="585"/>
      <c r="I496" s="585"/>
      <c r="J496" s="585"/>
      <c r="K496" s="585"/>
      <c r="L496" s="585"/>
      <c r="M496" s="585"/>
      <c r="N496" s="585"/>
      <c r="O496" s="585"/>
      <c r="P496" s="585"/>
      <c r="Q496" s="585"/>
      <c r="R496" s="585"/>
      <c r="S496" s="585"/>
      <c r="T496" s="585"/>
      <c r="U496" s="585"/>
      <c r="V496" s="224"/>
      <c r="W496" s="224"/>
    </row>
    <row r="497">
      <c r="A497" s="585"/>
      <c r="B497" s="585"/>
      <c r="C497" s="585"/>
      <c r="D497" s="585"/>
      <c r="E497" s="585"/>
      <c r="F497" s="585"/>
      <c r="G497" s="585"/>
      <c r="H497" s="585"/>
      <c r="I497" s="585"/>
      <c r="J497" s="585"/>
      <c r="K497" s="585"/>
      <c r="L497" s="585"/>
      <c r="M497" s="585"/>
      <c r="N497" s="585"/>
      <c r="O497" s="585"/>
      <c r="P497" s="585"/>
      <c r="Q497" s="585"/>
      <c r="R497" s="585"/>
      <c r="S497" s="585"/>
      <c r="T497" s="585"/>
      <c r="U497" s="585"/>
      <c r="V497" s="224"/>
      <c r="W497" s="224"/>
    </row>
    <row r="498">
      <c r="A498" s="585"/>
      <c r="B498" s="585"/>
      <c r="C498" s="585"/>
      <c r="D498" s="585"/>
      <c r="E498" s="585"/>
      <c r="F498" s="585"/>
      <c r="G498" s="585"/>
      <c r="H498" s="585"/>
      <c r="I498" s="585"/>
      <c r="J498" s="585"/>
      <c r="K498" s="585"/>
      <c r="L498" s="585"/>
      <c r="M498" s="585"/>
      <c r="N498" s="585"/>
      <c r="O498" s="585"/>
      <c r="P498" s="585"/>
      <c r="Q498" s="585"/>
      <c r="R498" s="585"/>
      <c r="S498" s="585"/>
      <c r="T498" s="585"/>
      <c r="U498" s="585"/>
      <c r="V498" s="224"/>
      <c r="W498" s="224"/>
    </row>
    <row r="499">
      <c r="A499" s="585"/>
      <c r="B499" s="585"/>
      <c r="C499" s="585"/>
      <c r="D499" s="585"/>
      <c r="E499" s="585"/>
      <c r="F499" s="585"/>
      <c r="G499" s="585"/>
      <c r="H499" s="585"/>
      <c r="I499" s="585"/>
      <c r="J499" s="585"/>
      <c r="K499" s="585"/>
      <c r="L499" s="585"/>
      <c r="M499" s="585"/>
      <c r="N499" s="585"/>
      <c r="O499" s="585"/>
      <c r="P499" s="585"/>
      <c r="Q499" s="585"/>
      <c r="R499" s="585"/>
      <c r="S499" s="585"/>
      <c r="T499" s="585"/>
      <c r="U499" s="585"/>
      <c r="V499" s="224"/>
      <c r="W499" s="224"/>
    </row>
    <row r="500">
      <c r="A500" s="585"/>
      <c r="B500" s="585"/>
      <c r="C500" s="585"/>
      <c r="D500" s="585"/>
      <c r="E500" s="585"/>
      <c r="F500" s="585"/>
      <c r="G500" s="585"/>
      <c r="H500" s="585"/>
      <c r="I500" s="585"/>
      <c r="J500" s="585"/>
      <c r="K500" s="585"/>
      <c r="L500" s="585"/>
      <c r="M500" s="585"/>
      <c r="N500" s="585"/>
      <c r="O500" s="585"/>
      <c r="P500" s="585"/>
      <c r="Q500" s="585"/>
      <c r="R500" s="585"/>
      <c r="S500" s="585"/>
      <c r="T500" s="585"/>
      <c r="U500" s="585"/>
      <c r="V500" s="224"/>
      <c r="W500" s="224"/>
    </row>
    <row r="501">
      <c r="A501" s="585"/>
      <c r="B501" s="585"/>
      <c r="C501" s="585"/>
      <c r="D501" s="585"/>
      <c r="E501" s="585"/>
      <c r="F501" s="585"/>
      <c r="G501" s="585"/>
      <c r="H501" s="585"/>
      <c r="I501" s="585"/>
      <c r="J501" s="585"/>
      <c r="K501" s="585"/>
      <c r="L501" s="585"/>
      <c r="M501" s="585"/>
      <c r="N501" s="585"/>
      <c r="O501" s="585"/>
      <c r="P501" s="585"/>
      <c r="Q501" s="585"/>
      <c r="R501" s="585"/>
      <c r="S501" s="585"/>
      <c r="T501" s="585"/>
      <c r="U501" s="585"/>
      <c r="V501" s="224"/>
      <c r="W501" s="224"/>
    </row>
    <row r="502">
      <c r="A502" s="585"/>
      <c r="B502" s="585"/>
      <c r="C502" s="585"/>
      <c r="D502" s="585"/>
      <c r="E502" s="585"/>
      <c r="F502" s="585"/>
      <c r="G502" s="585"/>
      <c r="H502" s="585"/>
      <c r="I502" s="585"/>
      <c r="J502" s="585"/>
      <c r="K502" s="585"/>
      <c r="L502" s="585"/>
      <c r="M502" s="585"/>
      <c r="N502" s="585"/>
      <c r="O502" s="585"/>
      <c r="P502" s="585"/>
      <c r="Q502" s="585"/>
      <c r="R502" s="585"/>
      <c r="S502" s="585"/>
      <c r="T502" s="585"/>
      <c r="U502" s="585"/>
      <c r="V502" s="224"/>
      <c r="W502" s="224"/>
    </row>
    <row r="503">
      <c r="A503" s="585"/>
      <c r="B503" s="585"/>
      <c r="C503" s="585"/>
      <c r="D503" s="585"/>
      <c r="E503" s="585"/>
      <c r="F503" s="585"/>
      <c r="G503" s="585"/>
      <c r="H503" s="585"/>
      <c r="I503" s="585"/>
      <c r="J503" s="585"/>
      <c r="K503" s="585"/>
      <c r="L503" s="585"/>
      <c r="M503" s="585"/>
      <c r="N503" s="585"/>
      <c r="O503" s="585"/>
      <c r="P503" s="585"/>
      <c r="Q503" s="585"/>
      <c r="R503" s="585"/>
      <c r="S503" s="585"/>
      <c r="T503" s="585"/>
      <c r="U503" s="585"/>
      <c r="V503" s="224"/>
      <c r="W503" s="224"/>
    </row>
    <row r="504">
      <c r="A504" s="585"/>
      <c r="B504" s="585"/>
      <c r="C504" s="585"/>
      <c r="D504" s="585"/>
      <c r="E504" s="585"/>
      <c r="F504" s="585"/>
      <c r="G504" s="585"/>
      <c r="H504" s="585"/>
      <c r="I504" s="585"/>
      <c r="J504" s="585"/>
      <c r="K504" s="585"/>
      <c r="L504" s="585"/>
      <c r="M504" s="585"/>
      <c r="N504" s="585"/>
      <c r="O504" s="585"/>
      <c r="P504" s="585"/>
      <c r="Q504" s="585"/>
      <c r="R504" s="585"/>
      <c r="S504" s="585"/>
      <c r="T504" s="585"/>
      <c r="U504" s="585"/>
      <c r="V504" s="224"/>
      <c r="W504" s="224"/>
    </row>
    <row r="505">
      <c r="A505" s="585"/>
      <c r="B505" s="585"/>
      <c r="C505" s="585"/>
      <c r="D505" s="585"/>
      <c r="E505" s="585"/>
      <c r="F505" s="585"/>
      <c r="G505" s="585"/>
      <c r="H505" s="585"/>
      <c r="I505" s="585"/>
      <c r="J505" s="585"/>
      <c r="K505" s="585"/>
      <c r="L505" s="585"/>
      <c r="M505" s="585"/>
      <c r="N505" s="585"/>
      <c r="O505" s="585"/>
      <c r="P505" s="585"/>
      <c r="Q505" s="585"/>
      <c r="R505" s="585"/>
      <c r="S505" s="585"/>
      <c r="T505" s="585"/>
      <c r="U505" s="585"/>
      <c r="V505" s="224"/>
      <c r="W505" s="224"/>
    </row>
    <row r="506">
      <c r="A506" s="585"/>
      <c r="B506" s="585"/>
      <c r="C506" s="585"/>
      <c r="D506" s="585"/>
      <c r="E506" s="585"/>
      <c r="F506" s="585"/>
      <c r="G506" s="585"/>
      <c r="H506" s="585"/>
      <c r="I506" s="585"/>
      <c r="J506" s="585"/>
      <c r="K506" s="585"/>
      <c r="L506" s="585"/>
      <c r="M506" s="585"/>
      <c r="N506" s="585"/>
      <c r="O506" s="585"/>
      <c r="P506" s="585"/>
      <c r="Q506" s="585"/>
      <c r="R506" s="585"/>
      <c r="S506" s="585"/>
      <c r="T506" s="585"/>
      <c r="U506" s="585"/>
      <c r="V506" s="224"/>
      <c r="W506" s="224"/>
    </row>
    <row r="507">
      <c r="A507" s="585"/>
      <c r="B507" s="585"/>
      <c r="C507" s="585"/>
      <c r="D507" s="585"/>
      <c r="E507" s="585"/>
      <c r="F507" s="585"/>
      <c r="G507" s="585"/>
      <c r="H507" s="585"/>
      <c r="I507" s="585"/>
      <c r="J507" s="585"/>
      <c r="K507" s="585"/>
      <c r="L507" s="585"/>
      <c r="M507" s="585"/>
      <c r="N507" s="585"/>
      <c r="O507" s="585"/>
      <c r="P507" s="585"/>
      <c r="Q507" s="585"/>
      <c r="R507" s="585"/>
      <c r="S507" s="585"/>
      <c r="T507" s="585"/>
      <c r="U507" s="585"/>
      <c r="V507" s="224"/>
      <c r="W507" s="224"/>
    </row>
    <row r="508">
      <c r="A508" s="585"/>
      <c r="B508" s="585"/>
      <c r="C508" s="585"/>
      <c r="D508" s="585"/>
      <c r="E508" s="585"/>
      <c r="F508" s="585"/>
      <c r="G508" s="585"/>
      <c r="H508" s="585"/>
      <c r="I508" s="585"/>
      <c r="J508" s="585"/>
      <c r="K508" s="585"/>
      <c r="L508" s="585"/>
      <c r="M508" s="585"/>
      <c r="N508" s="585"/>
      <c r="O508" s="585"/>
      <c r="P508" s="585"/>
      <c r="Q508" s="585"/>
      <c r="R508" s="585"/>
      <c r="S508" s="585"/>
      <c r="T508" s="585"/>
      <c r="U508" s="585"/>
      <c r="V508" s="224"/>
      <c r="W508" s="224"/>
    </row>
    <row r="509">
      <c r="A509" s="585"/>
      <c r="B509" s="585"/>
      <c r="C509" s="585"/>
      <c r="D509" s="585"/>
      <c r="E509" s="585"/>
      <c r="F509" s="585"/>
      <c r="G509" s="585"/>
      <c r="H509" s="585"/>
      <c r="I509" s="585"/>
      <c r="J509" s="585"/>
      <c r="K509" s="585"/>
      <c r="L509" s="585"/>
      <c r="M509" s="585"/>
      <c r="N509" s="585"/>
      <c r="O509" s="585"/>
      <c r="P509" s="585"/>
      <c r="Q509" s="585"/>
      <c r="R509" s="585"/>
      <c r="S509" s="585"/>
      <c r="T509" s="585"/>
      <c r="U509" s="585"/>
      <c r="V509" s="224"/>
      <c r="W509" s="224"/>
    </row>
    <row r="510">
      <c r="A510" s="585"/>
      <c r="B510" s="585"/>
      <c r="C510" s="585"/>
      <c r="D510" s="585"/>
      <c r="E510" s="585"/>
      <c r="F510" s="585"/>
      <c r="G510" s="585"/>
      <c r="H510" s="585"/>
      <c r="I510" s="585"/>
      <c r="J510" s="585"/>
      <c r="K510" s="585"/>
      <c r="L510" s="585"/>
      <c r="M510" s="585"/>
      <c r="N510" s="585"/>
      <c r="O510" s="585"/>
      <c r="P510" s="585"/>
      <c r="Q510" s="585"/>
      <c r="R510" s="585"/>
      <c r="S510" s="585"/>
      <c r="T510" s="585"/>
      <c r="U510" s="585"/>
      <c r="V510" s="224"/>
      <c r="W510" s="224"/>
    </row>
    <row r="511">
      <c r="A511" s="585"/>
      <c r="B511" s="585"/>
      <c r="C511" s="585"/>
      <c r="D511" s="585"/>
      <c r="E511" s="585"/>
      <c r="F511" s="585"/>
      <c r="G511" s="585"/>
      <c r="H511" s="585"/>
      <c r="I511" s="585"/>
      <c r="J511" s="585"/>
      <c r="K511" s="585"/>
      <c r="L511" s="585"/>
      <c r="M511" s="585"/>
      <c r="N511" s="585"/>
      <c r="O511" s="585"/>
      <c r="P511" s="585"/>
      <c r="Q511" s="585"/>
      <c r="R511" s="585"/>
      <c r="S511" s="585"/>
      <c r="T511" s="585"/>
      <c r="U511" s="585"/>
      <c r="V511" s="224"/>
      <c r="W511" s="224"/>
    </row>
    <row r="512">
      <c r="A512" s="585"/>
      <c r="B512" s="585"/>
      <c r="C512" s="585"/>
      <c r="D512" s="585"/>
      <c r="E512" s="585"/>
      <c r="F512" s="585"/>
      <c r="G512" s="585"/>
      <c r="H512" s="585"/>
      <c r="I512" s="585"/>
      <c r="J512" s="585"/>
      <c r="K512" s="585"/>
      <c r="L512" s="585"/>
      <c r="M512" s="585"/>
      <c r="N512" s="585"/>
      <c r="O512" s="585"/>
      <c r="P512" s="585"/>
      <c r="Q512" s="585"/>
      <c r="R512" s="585"/>
      <c r="S512" s="585"/>
      <c r="T512" s="585"/>
      <c r="U512" s="585"/>
      <c r="V512" s="224"/>
      <c r="W512" s="224"/>
    </row>
    <row r="513">
      <c r="A513" s="585"/>
      <c r="B513" s="585"/>
      <c r="C513" s="585"/>
      <c r="D513" s="585"/>
      <c r="E513" s="585"/>
      <c r="F513" s="585"/>
      <c r="G513" s="585"/>
      <c r="H513" s="585"/>
      <c r="I513" s="585"/>
      <c r="J513" s="585"/>
      <c r="K513" s="585"/>
      <c r="L513" s="585"/>
      <c r="M513" s="585"/>
      <c r="N513" s="585"/>
      <c r="O513" s="585"/>
      <c r="P513" s="585"/>
      <c r="Q513" s="585"/>
      <c r="R513" s="585"/>
      <c r="S513" s="585"/>
      <c r="T513" s="585"/>
      <c r="U513" s="585"/>
      <c r="V513" s="224"/>
      <c r="W513" s="224"/>
    </row>
    <row r="514">
      <c r="A514" s="585"/>
      <c r="B514" s="585"/>
      <c r="C514" s="585"/>
      <c r="D514" s="585"/>
      <c r="E514" s="585"/>
      <c r="F514" s="585"/>
      <c r="G514" s="585"/>
      <c r="H514" s="585"/>
      <c r="I514" s="585"/>
      <c r="J514" s="585"/>
      <c r="K514" s="585"/>
      <c r="L514" s="585"/>
      <c r="M514" s="585"/>
      <c r="N514" s="585"/>
      <c r="O514" s="585"/>
      <c r="P514" s="585"/>
      <c r="Q514" s="585"/>
      <c r="R514" s="585"/>
      <c r="S514" s="585"/>
      <c r="T514" s="585"/>
      <c r="U514" s="585"/>
      <c r="V514" s="224"/>
      <c r="W514" s="224"/>
    </row>
    <row r="515">
      <c r="A515" s="585"/>
      <c r="B515" s="585"/>
      <c r="C515" s="585"/>
      <c r="D515" s="585"/>
      <c r="E515" s="585"/>
      <c r="F515" s="585"/>
      <c r="G515" s="585"/>
      <c r="H515" s="585"/>
      <c r="I515" s="585"/>
      <c r="J515" s="585"/>
      <c r="K515" s="585"/>
      <c r="L515" s="585"/>
      <c r="M515" s="585"/>
      <c r="N515" s="585"/>
      <c r="O515" s="585"/>
      <c r="P515" s="585"/>
      <c r="Q515" s="585"/>
      <c r="R515" s="585"/>
      <c r="S515" s="585"/>
      <c r="T515" s="585"/>
      <c r="U515" s="585"/>
      <c r="V515" s="224"/>
      <c r="W515" s="224"/>
    </row>
    <row r="516">
      <c r="A516" s="585"/>
      <c r="B516" s="585"/>
      <c r="C516" s="585"/>
      <c r="D516" s="585"/>
      <c r="E516" s="585"/>
      <c r="F516" s="585"/>
      <c r="G516" s="585"/>
      <c r="H516" s="585"/>
      <c r="I516" s="585"/>
      <c r="J516" s="585"/>
      <c r="K516" s="585"/>
      <c r="L516" s="585"/>
      <c r="M516" s="585"/>
      <c r="N516" s="585"/>
      <c r="O516" s="585"/>
      <c r="P516" s="585"/>
      <c r="Q516" s="585"/>
      <c r="R516" s="585"/>
      <c r="S516" s="585"/>
      <c r="T516" s="585"/>
      <c r="U516" s="585"/>
      <c r="V516" s="224"/>
      <c r="W516" s="224"/>
    </row>
    <row r="517">
      <c r="A517" s="585"/>
      <c r="B517" s="585"/>
      <c r="C517" s="585"/>
      <c r="D517" s="585"/>
      <c r="E517" s="585"/>
      <c r="F517" s="585"/>
      <c r="G517" s="585"/>
      <c r="H517" s="585"/>
      <c r="I517" s="585"/>
      <c r="J517" s="585"/>
      <c r="K517" s="585"/>
      <c r="L517" s="585"/>
      <c r="M517" s="585"/>
      <c r="N517" s="585"/>
      <c r="O517" s="585"/>
      <c r="P517" s="585"/>
      <c r="Q517" s="585"/>
      <c r="R517" s="585"/>
      <c r="S517" s="585"/>
      <c r="T517" s="585"/>
      <c r="U517" s="585"/>
      <c r="V517" s="224"/>
      <c r="W517" s="224"/>
    </row>
    <row r="518">
      <c r="A518" s="585"/>
      <c r="B518" s="585"/>
      <c r="C518" s="585"/>
      <c r="D518" s="585"/>
      <c r="E518" s="585"/>
      <c r="F518" s="585"/>
      <c r="G518" s="585"/>
      <c r="H518" s="585"/>
      <c r="I518" s="585"/>
      <c r="J518" s="585"/>
      <c r="K518" s="585"/>
      <c r="L518" s="585"/>
      <c r="M518" s="585"/>
      <c r="N518" s="585"/>
      <c r="O518" s="585"/>
      <c r="P518" s="585"/>
      <c r="Q518" s="585"/>
      <c r="R518" s="585"/>
      <c r="S518" s="585"/>
      <c r="T518" s="585"/>
      <c r="U518" s="585"/>
      <c r="V518" s="224"/>
      <c r="W518" s="224"/>
    </row>
    <row r="519">
      <c r="A519" s="585"/>
      <c r="B519" s="585"/>
      <c r="C519" s="585"/>
      <c r="D519" s="585"/>
      <c r="E519" s="585"/>
      <c r="F519" s="585"/>
      <c r="G519" s="585"/>
      <c r="H519" s="585"/>
      <c r="I519" s="585"/>
      <c r="J519" s="585"/>
      <c r="K519" s="585"/>
      <c r="L519" s="585"/>
      <c r="M519" s="585"/>
      <c r="N519" s="585"/>
      <c r="O519" s="585"/>
      <c r="P519" s="585"/>
      <c r="Q519" s="585"/>
      <c r="R519" s="585"/>
      <c r="S519" s="585"/>
      <c r="T519" s="585"/>
      <c r="U519" s="585"/>
      <c r="V519" s="224"/>
      <c r="W519" s="224"/>
    </row>
    <row r="520">
      <c r="A520" s="585"/>
      <c r="B520" s="585"/>
      <c r="C520" s="585"/>
      <c r="D520" s="585"/>
      <c r="E520" s="585"/>
      <c r="F520" s="585"/>
      <c r="G520" s="585"/>
      <c r="H520" s="585"/>
      <c r="I520" s="585"/>
      <c r="J520" s="585"/>
      <c r="K520" s="585"/>
      <c r="L520" s="585"/>
      <c r="M520" s="585"/>
      <c r="N520" s="585"/>
      <c r="O520" s="585"/>
      <c r="P520" s="585"/>
      <c r="Q520" s="585"/>
      <c r="R520" s="585"/>
      <c r="S520" s="585"/>
      <c r="T520" s="585"/>
      <c r="U520" s="585"/>
      <c r="V520" s="224"/>
      <c r="W520" s="224"/>
    </row>
    <row r="521">
      <c r="A521" s="585"/>
      <c r="B521" s="585"/>
      <c r="C521" s="585"/>
      <c r="D521" s="585"/>
      <c r="E521" s="585"/>
      <c r="F521" s="585"/>
      <c r="G521" s="585"/>
      <c r="H521" s="585"/>
      <c r="I521" s="585"/>
      <c r="J521" s="585"/>
      <c r="K521" s="585"/>
      <c r="L521" s="585"/>
      <c r="M521" s="585"/>
      <c r="N521" s="585"/>
      <c r="O521" s="585"/>
      <c r="P521" s="585"/>
      <c r="Q521" s="585"/>
      <c r="R521" s="585"/>
      <c r="S521" s="585"/>
      <c r="T521" s="585"/>
      <c r="U521" s="585"/>
      <c r="V521" s="224"/>
      <c r="W521" s="224"/>
    </row>
    <row r="522">
      <c r="A522" s="585"/>
      <c r="B522" s="585"/>
      <c r="C522" s="585"/>
      <c r="D522" s="585"/>
      <c r="E522" s="585"/>
      <c r="F522" s="585"/>
      <c r="G522" s="585"/>
      <c r="H522" s="585"/>
      <c r="I522" s="585"/>
      <c r="J522" s="585"/>
      <c r="K522" s="585"/>
      <c r="L522" s="585"/>
      <c r="M522" s="585"/>
      <c r="N522" s="585"/>
      <c r="O522" s="585"/>
      <c r="P522" s="585"/>
      <c r="Q522" s="585"/>
      <c r="R522" s="585"/>
      <c r="S522" s="585"/>
      <c r="T522" s="585"/>
      <c r="U522" s="585"/>
      <c r="V522" s="224"/>
      <c r="W522" s="224"/>
    </row>
    <row r="523">
      <c r="A523" s="585"/>
      <c r="B523" s="585"/>
      <c r="C523" s="585"/>
      <c r="D523" s="585"/>
      <c r="E523" s="585"/>
      <c r="F523" s="585"/>
      <c r="G523" s="585"/>
      <c r="H523" s="585"/>
      <c r="I523" s="585"/>
      <c r="J523" s="585"/>
      <c r="K523" s="585"/>
      <c r="L523" s="585"/>
      <c r="M523" s="585"/>
      <c r="N523" s="585"/>
      <c r="O523" s="585"/>
      <c r="P523" s="585"/>
      <c r="Q523" s="585"/>
      <c r="R523" s="585"/>
      <c r="S523" s="585"/>
      <c r="T523" s="585"/>
      <c r="U523" s="585"/>
      <c r="V523" s="224"/>
      <c r="W523" s="224"/>
    </row>
    <row r="524">
      <c r="A524" s="585"/>
      <c r="B524" s="585"/>
      <c r="C524" s="585"/>
      <c r="D524" s="585"/>
      <c r="E524" s="585"/>
      <c r="F524" s="585"/>
      <c r="G524" s="585"/>
      <c r="H524" s="585"/>
      <c r="I524" s="585"/>
      <c r="J524" s="585"/>
      <c r="K524" s="585"/>
      <c r="L524" s="585"/>
      <c r="M524" s="585"/>
      <c r="N524" s="585"/>
      <c r="O524" s="585"/>
      <c r="P524" s="585"/>
      <c r="Q524" s="585"/>
      <c r="R524" s="585"/>
      <c r="S524" s="585"/>
      <c r="T524" s="585"/>
      <c r="U524" s="585"/>
      <c r="V524" s="224"/>
      <c r="W524" s="224"/>
    </row>
    <row r="525">
      <c r="A525" s="585"/>
      <c r="B525" s="585"/>
      <c r="C525" s="585"/>
      <c r="D525" s="585"/>
      <c r="E525" s="585"/>
      <c r="F525" s="585"/>
      <c r="G525" s="585"/>
      <c r="H525" s="585"/>
      <c r="I525" s="585"/>
      <c r="J525" s="585"/>
      <c r="K525" s="585"/>
      <c r="L525" s="585"/>
      <c r="M525" s="585"/>
      <c r="N525" s="585"/>
      <c r="O525" s="585"/>
      <c r="P525" s="585"/>
      <c r="Q525" s="585"/>
      <c r="R525" s="585"/>
      <c r="S525" s="585"/>
      <c r="T525" s="585"/>
      <c r="U525" s="585"/>
      <c r="V525" s="224"/>
      <c r="W525" s="224"/>
    </row>
    <row r="526">
      <c r="A526" s="585"/>
      <c r="B526" s="585"/>
      <c r="C526" s="585"/>
      <c r="D526" s="585"/>
      <c r="E526" s="585"/>
      <c r="F526" s="585"/>
      <c r="G526" s="585"/>
      <c r="H526" s="585"/>
      <c r="I526" s="585"/>
      <c r="J526" s="585"/>
      <c r="K526" s="585"/>
      <c r="L526" s="585"/>
      <c r="M526" s="585"/>
      <c r="N526" s="585"/>
      <c r="O526" s="585"/>
      <c r="P526" s="585"/>
      <c r="Q526" s="585"/>
      <c r="R526" s="585"/>
      <c r="S526" s="585"/>
      <c r="T526" s="585"/>
      <c r="U526" s="585"/>
      <c r="V526" s="224"/>
      <c r="W526" s="224"/>
    </row>
    <row r="527">
      <c r="A527" s="585"/>
      <c r="B527" s="585"/>
      <c r="C527" s="585"/>
      <c r="D527" s="585"/>
      <c r="E527" s="585"/>
      <c r="F527" s="585"/>
      <c r="G527" s="585"/>
      <c r="H527" s="585"/>
      <c r="I527" s="585"/>
      <c r="J527" s="585"/>
      <c r="K527" s="585"/>
      <c r="L527" s="585"/>
      <c r="M527" s="585"/>
      <c r="N527" s="585"/>
      <c r="O527" s="585"/>
      <c r="P527" s="585"/>
      <c r="Q527" s="585"/>
      <c r="R527" s="585"/>
      <c r="S527" s="585"/>
      <c r="T527" s="585"/>
      <c r="U527" s="585"/>
      <c r="V527" s="224"/>
      <c r="W527" s="224"/>
    </row>
    <row r="528">
      <c r="A528" s="585"/>
      <c r="B528" s="585"/>
      <c r="C528" s="585"/>
      <c r="D528" s="585"/>
      <c r="E528" s="585"/>
      <c r="F528" s="585"/>
      <c r="G528" s="585"/>
      <c r="H528" s="585"/>
      <c r="I528" s="585"/>
      <c r="J528" s="585"/>
      <c r="K528" s="585"/>
      <c r="L528" s="585"/>
      <c r="M528" s="585"/>
      <c r="N528" s="585"/>
      <c r="O528" s="585"/>
      <c r="P528" s="585"/>
      <c r="Q528" s="585"/>
      <c r="R528" s="585"/>
      <c r="S528" s="585"/>
      <c r="T528" s="585"/>
      <c r="U528" s="585"/>
      <c r="V528" s="224"/>
      <c r="W528" s="224"/>
    </row>
    <row r="529">
      <c r="A529" s="585"/>
      <c r="B529" s="585"/>
      <c r="C529" s="585"/>
      <c r="D529" s="585"/>
      <c r="E529" s="585"/>
      <c r="F529" s="585"/>
      <c r="G529" s="585"/>
      <c r="H529" s="585"/>
      <c r="I529" s="585"/>
      <c r="J529" s="585"/>
      <c r="K529" s="585"/>
      <c r="L529" s="585"/>
      <c r="M529" s="585"/>
      <c r="N529" s="585"/>
      <c r="O529" s="585"/>
      <c r="P529" s="585"/>
      <c r="Q529" s="585"/>
      <c r="R529" s="585"/>
      <c r="S529" s="585"/>
      <c r="T529" s="585"/>
      <c r="U529" s="585"/>
      <c r="V529" s="224"/>
      <c r="W529" s="224"/>
    </row>
    <row r="530">
      <c r="A530" s="585"/>
      <c r="B530" s="585"/>
      <c r="C530" s="585"/>
      <c r="D530" s="585"/>
      <c r="E530" s="585"/>
      <c r="F530" s="585"/>
      <c r="G530" s="585"/>
      <c r="H530" s="585"/>
      <c r="I530" s="585"/>
      <c r="J530" s="585"/>
      <c r="K530" s="585"/>
      <c r="L530" s="585"/>
      <c r="M530" s="585"/>
      <c r="N530" s="585"/>
      <c r="O530" s="585"/>
      <c r="P530" s="585"/>
      <c r="Q530" s="585"/>
      <c r="R530" s="585"/>
      <c r="S530" s="585"/>
      <c r="T530" s="585"/>
      <c r="U530" s="585"/>
      <c r="V530" s="224"/>
      <c r="W530" s="224"/>
    </row>
    <row r="531">
      <c r="A531" s="585"/>
      <c r="B531" s="585"/>
      <c r="C531" s="585"/>
      <c r="D531" s="585"/>
      <c r="E531" s="585"/>
      <c r="F531" s="585"/>
      <c r="G531" s="585"/>
      <c r="H531" s="585"/>
      <c r="I531" s="585"/>
      <c r="J531" s="585"/>
      <c r="K531" s="585"/>
      <c r="L531" s="585"/>
      <c r="M531" s="585"/>
      <c r="N531" s="585"/>
      <c r="O531" s="585"/>
      <c r="P531" s="585"/>
      <c r="Q531" s="585"/>
      <c r="R531" s="585"/>
      <c r="S531" s="585"/>
      <c r="T531" s="585"/>
      <c r="U531" s="585"/>
      <c r="V531" s="224"/>
      <c r="W531" s="224"/>
    </row>
    <row r="532">
      <c r="A532" s="585"/>
      <c r="B532" s="585"/>
      <c r="C532" s="585"/>
      <c r="D532" s="585"/>
      <c r="E532" s="585"/>
      <c r="F532" s="585"/>
      <c r="G532" s="585"/>
      <c r="H532" s="585"/>
      <c r="I532" s="585"/>
      <c r="J532" s="585"/>
      <c r="K532" s="585"/>
      <c r="L532" s="585"/>
      <c r="M532" s="585"/>
      <c r="N532" s="585"/>
      <c r="O532" s="585"/>
      <c r="P532" s="585"/>
      <c r="Q532" s="585"/>
      <c r="R532" s="585"/>
      <c r="S532" s="585"/>
      <c r="T532" s="585"/>
      <c r="U532" s="585"/>
      <c r="V532" s="224"/>
      <c r="W532" s="224"/>
    </row>
    <row r="533">
      <c r="A533" s="585"/>
      <c r="B533" s="585"/>
      <c r="C533" s="585"/>
      <c r="D533" s="585"/>
      <c r="E533" s="585"/>
      <c r="F533" s="585"/>
      <c r="G533" s="585"/>
      <c r="H533" s="585"/>
      <c r="I533" s="585"/>
      <c r="J533" s="585"/>
      <c r="K533" s="585"/>
      <c r="L533" s="585"/>
      <c r="M533" s="585"/>
      <c r="N533" s="585"/>
      <c r="O533" s="585"/>
      <c r="P533" s="585"/>
      <c r="Q533" s="585"/>
      <c r="R533" s="585"/>
      <c r="S533" s="585"/>
      <c r="T533" s="585"/>
      <c r="U533" s="585"/>
      <c r="V533" s="224"/>
      <c r="W533" s="224"/>
    </row>
    <row r="534">
      <c r="A534" s="585"/>
      <c r="B534" s="585"/>
      <c r="C534" s="585"/>
      <c r="D534" s="585"/>
      <c r="E534" s="585"/>
      <c r="F534" s="585"/>
      <c r="G534" s="585"/>
      <c r="H534" s="585"/>
      <c r="I534" s="585"/>
      <c r="J534" s="585"/>
      <c r="K534" s="585"/>
      <c r="L534" s="585"/>
      <c r="M534" s="585"/>
      <c r="N534" s="585"/>
      <c r="O534" s="585"/>
      <c r="P534" s="585"/>
      <c r="Q534" s="585"/>
      <c r="R534" s="585"/>
      <c r="S534" s="585"/>
      <c r="T534" s="585"/>
      <c r="U534" s="585"/>
      <c r="V534" s="224"/>
      <c r="W534" s="224"/>
    </row>
    <row r="535">
      <c r="A535" s="585"/>
      <c r="B535" s="585"/>
      <c r="C535" s="585"/>
      <c r="D535" s="585"/>
      <c r="E535" s="585"/>
      <c r="F535" s="585"/>
      <c r="G535" s="585"/>
      <c r="H535" s="585"/>
      <c r="I535" s="585"/>
      <c r="J535" s="585"/>
      <c r="K535" s="585"/>
      <c r="L535" s="585"/>
      <c r="M535" s="585"/>
      <c r="N535" s="585"/>
      <c r="O535" s="585"/>
      <c r="P535" s="585"/>
      <c r="Q535" s="585"/>
      <c r="R535" s="585"/>
      <c r="S535" s="585"/>
      <c r="T535" s="585"/>
      <c r="U535" s="585"/>
      <c r="V535" s="224"/>
      <c r="W535" s="224"/>
    </row>
    <row r="536">
      <c r="A536" s="585"/>
      <c r="B536" s="585"/>
      <c r="C536" s="585"/>
      <c r="D536" s="585"/>
      <c r="E536" s="585"/>
      <c r="F536" s="585"/>
      <c r="G536" s="585"/>
      <c r="H536" s="585"/>
      <c r="I536" s="585"/>
      <c r="J536" s="585"/>
      <c r="K536" s="585"/>
      <c r="L536" s="585"/>
      <c r="M536" s="585"/>
      <c r="N536" s="585"/>
      <c r="O536" s="585"/>
      <c r="P536" s="585"/>
      <c r="Q536" s="585"/>
      <c r="R536" s="585"/>
      <c r="S536" s="585"/>
      <c r="T536" s="585"/>
      <c r="U536" s="585"/>
      <c r="V536" s="224"/>
      <c r="W536" s="224"/>
    </row>
    <row r="537">
      <c r="A537" s="585"/>
      <c r="B537" s="585"/>
      <c r="C537" s="585"/>
      <c r="D537" s="585"/>
      <c r="E537" s="585"/>
      <c r="F537" s="585"/>
      <c r="G537" s="585"/>
      <c r="H537" s="585"/>
      <c r="I537" s="585"/>
      <c r="J537" s="585"/>
      <c r="K537" s="585"/>
      <c r="L537" s="585"/>
      <c r="M537" s="585"/>
      <c r="N537" s="585"/>
      <c r="O537" s="585"/>
      <c r="P537" s="585"/>
      <c r="Q537" s="585"/>
      <c r="R537" s="585"/>
      <c r="S537" s="585"/>
      <c r="T537" s="585"/>
      <c r="U537" s="585"/>
      <c r="V537" s="224"/>
      <c r="W537" s="224"/>
    </row>
    <row r="538">
      <c r="A538" s="585"/>
      <c r="B538" s="585"/>
      <c r="C538" s="585"/>
      <c r="D538" s="585"/>
      <c r="E538" s="585"/>
      <c r="F538" s="585"/>
      <c r="G538" s="585"/>
      <c r="H538" s="585"/>
      <c r="I538" s="585"/>
      <c r="J538" s="585"/>
      <c r="K538" s="585"/>
      <c r="L538" s="585"/>
      <c r="M538" s="585"/>
      <c r="N538" s="585"/>
      <c r="O538" s="585"/>
      <c r="P538" s="585"/>
      <c r="Q538" s="585"/>
      <c r="R538" s="585"/>
      <c r="S538" s="585"/>
      <c r="T538" s="585"/>
      <c r="U538" s="585"/>
      <c r="V538" s="224"/>
      <c r="W538" s="224"/>
    </row>
    <row r="539">
      <c r="A539" s="585"/>
      <c r="B539" s="585"/>
      <c r="C539" s="585"/>
      <c r="D539" s="585"/>
      <c r="E539" s="585"/>
      <c r="F539" s="585"/>
      <c r="G539" s="585"/>
      <c r="H539" s="585"/>
      <c r="I539" s="585"/>
      <c r="J539" s="585"/>
      <c r="K539" s="585"/>
      <c r="L539" s="585"/>
      <c r="M539" s="585"/>
      <c r="N539" s="585"/>
      <c r="O539" s="585"/>
      <c r="P539" s="585"/>
      <c r="Q539" s="585"/>
      <c r="R539" s="585"/>
      <c r="S539" s="585"/>
      <c r="T539" s="585"/>
      <c r="U539" s="585"/>
      <c r="V539" s="224"/>
      <c r="W539" s="224"/>
    </row>
    <row r="540">
      <c r="A540" s="585"/>
      <c r="B540" s="585"/>
      <c r="C540" s="585"/>
      <c r="D540" s="585"/>
      <c r="E540" s="585"/>
      <c r="F540" s="585"/>
      <c r="G540" s="585"/>
      <c r="H540" s="585"/>
      <c r="I540" s="585"/>
      <c r="J540" s="585"/>
      <c r="K540" s="585"/>
      <c r="L540" s="585"/>
      <c r="M540" s="585"/>
      <c r="N540" s="585"/>
      <c r="O540" s="585"/>
      <c r="P540" s="585"/>
      <c r="Q540" s="585"/>
      <c r="R540" s="585"/>
      <c r="S540" s="585"/>
      <c r="T540" s="585"/>
      <c r="U540" s="585"/>
      <c r="V540" s="224"/>
      <c r="W540" s="224"/>
    </row>
    <row r="541">
      <c r="A541" s="585"/>
      <c r="B541" s="585"/>
      <c r="C541" s="585"/>
      <c r="D541" s="585"/>
      <c r="E541" s="585"/>
      <c r="F541" s="585"/>
      <c r="G541" s="585"/>
      <c r="H541" s="585"/>
      <c r="I541" s="585"/>
      <c r="J541" s="585"/>
      <c r="K541" s="585"/>
      <c r="L541" s="585"/>
      <c r="M541" s="585"/>
      <c r="N541" s="585"/>
      <c r="O541" s="585"/>
      <c r="P541" s="585"/>
      <c r="Q541" s="585"/>
      <c r="R541" s="585"/>
      <c r="S541" s="585"/>
      <c r="T541" s="585"/>
      <c r="U541" s="585"/>
      <c r="V541" s="224"/>
      <c r="W541" s="224"/>
    </row>
    <row r="542">
      <c r="A542" s="585"/>
      <c r="B542" s="585"/>
      <c r="C542" s="585"/>
      <c r="D542" s="585"/>
      <c r="E542" s="585"/>
      <c r="F542" s="585"/>
      <c r="G542" s="585"/>
      <c r="H542" s="585"/>
      <c r="I542" s="585"/>
      <c r="J542" s="585"/>
      <c r="K542" s="585"/>
      <c r="L542" s="585"/>
      <c r="M542" s="585"/>
      <c r="N542" s="585"/>
      <c r="O542" s="585"/>
      <c r="P542" s="585"/>
      <c r="Q542" s="585"/>
      <c r="R542" s="585"/>
      <c r="S542" s="585"/>
      <c r="T542" s="585"/>
      <c r="U542" s="585"/>
      <c r="V542" s="224"/>
      <c r="W542" s="224"/>
    </row>
    <row r="543">
      <c r="A543" s="585"/>
      <c r="B543" s="585"/>
      <c r="C543" s="585"/>
      <c r="D543" s="585"/>
      <c r="E543" s="585"/>
      <c r="F543" s="585"/>
      <c r="G543" s="585"/>
      <c r="H543" s="585"/>
      <c r="I543" s="585"/>
      <c r="J543" s="585"/>
      <c r="K543" s="585"/>
      <c r="L543" s="585"/>
      <c r="M543" s="585"/>
      <c r="N543" s="585"/>
      <c r="O543" s="585"/>
      <c r="P543" s="585"/>
      <c r="Q543" s="585"/>
      <c r="R543" s="585"/>
      <c r="S543" s="585"/>
      <c r="T543" s="585"/>
      <c r="U543" s="585"/>
      <c r="V543" s="224"/>
      <c r="W543" s="224"/>
    </row>
    <row r="544">
      <c r="A544" s="585"/>
      <c r="B544" s="585"/>
      <c r="C544" s="585"/>
      <c r="D544" s="585"/>
      <c r="E544" s="585"/>
      <c r="F544" s="585"/>
      <c r="G544" s="585"/>
      <c r="H544" s="585"/>
      <c r="I544" s="585"/>
      <c r="J544" s="585"/>
      <c r="K544" s="585"/>
      <c r="L544" s="585"/>
      <c r="M544" s="585"/>
      <c r="N544" s="585"/>
      <c r="O544" s="585"/>
      <c r="P544" s="585"/>
      <c r="Q544" s="585"/>
      <c r="R544" s="585"/>
      <c r="S544" s="585"/>
      <c r="T544" s="585"/>
      <c r="U544" s="585"/>
      <c r="V544" s="224"/>
      <c r="W544" s="224"/>
    </row>
    <row r="545">
      <c r="A545" s="585"/>
      <c r="B545" s="585"/>
      <c r="C545" s="585"/>
      <c r="D545" s="585"/>
      <c r="E545" s="585"/>
      <c r="F545" s="585"/>
      <c r="G545" s="585"/>
      <c r="H545" s="585"/>
      <c r="I545" s="585"/>
      <c r="J545" s="585"/>
      <c r="K545" s="585"/>
      <c r="L545" s="585"/>
      <c r="M545" s="585"/>
      <c r="N545" s="585"/>
      <c r="O545" s="585"/>
      <c r="P545" s="585"/>
      <c r="Q545" s="585"/>
      <c r="R545" s="585"/>
      <c r="S545" s="585"/>
      <c r="T545" s="585"/>
      <c r="U545" s="585"/>
      <c r="V545" s="224"/>
      <c r="W545" s="224"/>
    </row>
    <row r="546">
      <c r="A546" s="585"/>
      <c r="B546" s="585"/>
      <c r="C546" s="585"/>
      <c r="D546" s="585"/>
      <c r="E546" s="585"/>
      <c r="F546" s="585"/>
      <c r="G546" s="585"/>
      <c r="H546" s="585"/>
      <c r="I546" s="585"/>
      <c r="J546" s="585"/>
      <c r="K546" s="585"/>
      <c r="L546" s="585"/>
      <c r="M546" s="585"/>
      <c r="N546" s="585"/>
      <c r="O546" s="585"/>
      <c r="P546" s="585"/>
      <c r="Q546" s="585"/>
      <c r="R546" s="585"/>
      <c r="S546" s="585"/>
      <c r="T546" s="585"/>
      <c r="U546" s="585"/>
      <c r="V546" s="224"/>
      <c r="W546" s="224"/>
    </row>
    <row r="547">
      <c r="A547" s="585"/>
      <c r="B547" s="585"/>
      <c r="C547" s="585"/>
      <c r="D547" s="585"/>
      <c r="E547" s="585"/>
      <c r="F547" s="585"/>
      <c r="G547" s="585"/>
      <c r="H547" s="585"/>
      <c r="I547" s="585"/>
      <c r="J547" s="585"/>
      <c r="K547" s="585"/>
      <c r="L547" s="585"/>
      <c r="M547" s="585"/>
      <c r="N547" s="585"/>
      <c r="O547" s="585"/>
      <c r="P547" s="585"/>
      <c r="Q547" s="585"/>
      <c r="R547" s="585"/>
      <c r="S547" s="585"/>
      <c r="T547" s="585"/>
      <c r="U547" s="585"/>
      <c r="V547" s="224"/>
      <c r="W547" s="224"/>
    </row>
    <row r="548">
      <c r="A548" s="585"/>
      <c r="B548" s="585"/>
      <c r="C548" s="585"/>
      <c r="D548" s="585"/>
      <c r="E548" s="585"/>
      <c r="F548" s="585"/>
      <c r="G548" s="585"/>
      <c r="H548" s="585"/>
      <c r="I548" s="585"/>
      <c r="J548" s="585"/>
      <c r="K548" s="585"/>
      <c r="L548" s="585"/>
      <c r="M548" s="585"/>
      <c r="N548" s="585"/>
      <c r="O548" s="585"/>
      <c r="P548" s="585"/>
      <c r="Q548" s="585"/>
      <c r="R548" s="585"/>
      <c r="S548" s="585"/>
      <c r="T548" s="585"/>
      <c r="U548" s="585"/>
      <c r="V548" s="224"/>
      <c r="W548" s="224"/>
    </row>
    <row r="549">
      <c r="A549" s="585"/>
      <c r="B549" s="585"/>
      <c r="C549" s="585"/>
      <c r="D549" s="585"/>
      <c r="E549" s="585"/>
      <c r="F549" s="585"/>
      <c r="G549" s="585"/>
      <c r="H549" s="585"/>
      <c r="I549" s="585"/>
      <c r="J549" s="585"/>
      <c r="K549" s="585"/>
      <c r="L549" s="585"/>
      <c r="M549" s="585"/>
      <c r="N549" s="585"/>
      <c r="O549" s="585"/>
      <c r="P549" s="585"/>
      <c r="Q549" s="585"/>
      <c r="R549" s="585"/>
      <c r="S549" s="585"/>
      <c r="T549" s="585"/>
      <c r="U549" s="585"/>
      <c r="V549" s="224"/>
      <c r="W549" s="224"/>
    </row>
    <row r="550">
      <c r="A550" s="585"/>
      <c r="B550" s="585"/>
      <c r="C550" s="585"/>
      <c r="D550" s="585"/>
      <c r="E550" s="585"/>
      <c r="F550" s="585"/>
      <c r="G550" s="585"/>
      <c r="H550" s="585"/>
      <c r="I550" s="585"/>
      <c r="J550" s="585"/>
      <c r="K550" s="585"/>
      <c r="L550" s="585"/>
      <c r="M550" s="585"/>
      <c r="N550" s="585"/>
      <c r="O550" s="585"/>
      <c r="P550" s="585"/>
      <c r="Q550" s="585"/>
      <c r="R550" s="585"/>
      <c r="S550" s="585"/>
      <c r="T550" s="585"/>
      <c r="U550" s="585"/>
      <c r="V550" s="224"/>
      <c r="W550" s="224"/>
    </row>
    <row r="551">
      <c r="A551" s="585"/>
      <c r="B551" s="585"/>
      <c r="C551" s="585"/>
      <c r="D551" s="585"/>
      <c r="E551" s="585"/>
      <c r="F551" s="585"/>
      <c r="G551" s="585"/>
      <c r="H551" s="585"/>
      <c r="I551" s="585"/>
      <c r="J551" s="585"/>
      <c r="K551" s="585"/>
      <c r="L551" s="585"/>
      <c r="M551" s="585"/>
      <c r="N551" s="585"/>
      <c r="O551" s="585"/>
      <c r="P551" s="585"/>
      <c r="Q551" s="585"/>
      <c r="R551" s="585"/>
      <c r="S551" s="585"/>
      <c r="T551" s="585"/>
      <c r="U551" s="585"/>
      <c r="V551" s="224"/>
      <c r="W551" s="224"/>
    </row>
    <row r="552">
      <c r="A552" s="585"/>
      <c r="B552" s="585"/>
      <c r="C552" s="585"/>
      <c r="D552" s="585"/>
      <c r="E552" s="585"/>
      <c r="F552" s="585"/>
      <c r="G552" s="585"/>
      <c r="H552" s="585"/>
      <c r="I552" s="585"/>
      <c r="J552" s="585"/>
      <c r="K552" s="585"/>
      <c r="L552" s="585"/>
      <c r="M552" s="585"/>
      <c r="N552" s="585"/>
      <c r="O552" s="585"/>
      <c r="P552" s="585"/>
      <c r="Q552" s="585"/>
      <c r="R552" s="585"/>
      <c r="S552" s="585"/>
      <c r="T552" s="585"/>
      <c r="U552" s="585"/>
      <c r="V552" s="224"/>
      <c r="W552" s="224"/>
    </row>
    <row r="553">
      <c r="A553" s="585"/>
      <c r="B553" s="585"/>
      <c r="C553" s="585"/>
      <c r="D553" s="585"/>
      <c r="E553" s="585"/>
      <c r="F553" s="585"/>
      <c r="G553" s="585"/>
      <c r="H553" s="585"/>
      <c r="I553" s="585"/>
      <c r="J553" s="585"/>
      <c r="K553" s="585"/>
      <c r="L553" s="585"/>
      <c r="M553" s="585"/>
      <c r="N553" s="585"/>
      <c r="O553" s="585"/>
      <c r="P553" s="585"/>
      <c r="Q553" s="585"/>
      <c r="R553" s="585"/>
      <c r="S553" s="585"/>
      <c r="T553" s="585"/>
      <c r="U553" s="585"/>
      <c r="V553" s="224"/>
      <c r="W553" s="224"/>
    </row>
    <row r="554">
      <c r="A554" s="585"/>
      <c r="B554" s="585"/>
      <c r="C554" s="585"/>
      <c r="D554" s="585"/>
      <c r="E554" s="585"/>
      <c r="F554" s="585"/>
      <c r="G554" s="585"/>
      <c r="H554" s="585"/>
      <c r="I554" s="585"/>
      <c r="J554" s="585"/>
      <c r="K554" s="585"/>
      <c r="L554" s="585"/>
      <c r="M554" s="585"/>
      <c r="N554" s="585"/>
      <c r="O554" s="585"/>
      <c r="P554" s="585"/>
      <c r="Q554" s="585"/>
      <c r="R554" s="585"/>
      <c r="S554" s="585"/>
      <c r="T554" s="585"/>
      <c r="U554" s="585"/>
      <c r="V554" s="224"/>
      <c r="W554" s="224"/>
    </row>
    <row r="555">
      <c r="A555" s="585"/>
      <c r="B555" s="585"/>
      <c r="C555" s="585"/>
      <c r="D555" s="585"/>
      <c r="E555" s="585"/>
      <c r="F555" s="585"/>
      <c r="G555" s="585"/>
      <c r="H555" s="585"/>
      <c r="I555" s="585"/>
      <c r="J555" s="585"/>
      <c r="K555" s="585"/>
      <c r="L555" s="585"/>
      <c r="M555" s="585"/>
      <c r="N555" s="585"/>
      <c r="O555" s="585"/>
      <c r="P555" s="585"/>
      <c r="Q555" s="585"/>
      <c r="R555" s="585"/>
      <c r="S555" s="585"/>
      <c r="T555" s="585"/>
      <c r="U555" s="585"/>
      <c r="V555" s="224"/>
      <c r="W555" s="224"/>
    </row>
    <row r="556">
      <c r="A556" s="585"/>
      <c r="B556" s="585"/>
      <c r="C556" s="585"/>
      <c r="D556" s="585"/>
      <c r="E556" s="585"/>
      <c r="F556" s="585"/>
      <c r="G556" s="585"/>
      <c r="H556" s="585"/>
      <c r="I556" s="585"/>
      <c r="J556" s="585"/>
      <c r="K556" s="585"/>
      <c r="L556" s="585"/>
      <c r="M556" s="585"/>
      <c r="N556" s="585"/>
      <c r="O556" s="585"/>
      <c r="P556" s="585"/>
      <c r="Q556" s="585"/>
      <c r="R556" s="585"/>
      <c r="S556" s="585"/>
      <c r="T556" s="585"/>
      <c r="U556" s="585"/>
      <c r="V556" s="224"/>
      <c r="W556" s="224"/>
    </row>
    <row r="557">
      <c r="A557" s="585"/>
      <c r="B557" s="585"/>
      <c r="C557" s="585"/>
      <c r="D557" s="585"/>
      <c r="E557" s="585"/>
      <c r="F557" s="585"/>
      <c r="G557" s="585"/>
      <c r="H557" s="585"/>
      <c r="I557" s="585"/>
      <c r="J557" s="585"/>
      <c r="K557" s="585"/>
      <c r="L557" s="585"/>
      <c r="M557" s="585"/>
      <c r="N557" s="585"/>
      <c r="O557" s="585"/>
      <c r="P557" s="585"/>
      <c r="Q557" s="585"/>
      <c r="R557" s="585"/>
      <c r="S557" s="585"/>
      <c r="T557" s="585"/>
      <c r="U557" s="585"/>
      <c r="V557" s="224"/>
      <c r="W557" s="224"/>
    </row>
    <row r="558">
      <c r="A558" s="585"/>
      <c r="B558" s="585"/>
      <c r="C558" s="585"/>
      <c r="D558" s="585"/>
      <c r="E558" s="585"/>
      <c r="F558" s="585"/>
      <c r="G558" s="585"/>
      <c r="H558" s="585"/>
      <c r="I558" s="585"/>
      <c r="J558" s="585"/>
      <c r="K558" s="585"/>
      <c r="L558" s="585"/>
      <c r="M558" s="585"/>
      <c r="N558" s="585"/>
      <c r="O558" s="585"/>
      <c r="P558" s="585"/>
      <c r="Q558" s="585"/>
      <c r="R558" s="585"/>
      <c r="S558" s="585"/>
      <c r="T558" s="585"/>
      <c r="U558" s="585"/>
      <c r="V558" s="224"/>
      <c r="W558" s="224"/>
    </row>
    <row r="559">
      <c r="A559" s="585"/>
      <c r="B559" s="585"/>
      <c r="C559" s="585"/>
      <c r="D559" s="585"/>
      <c r="E559" s="585"/>
      <c r="F559" s="585"/>
      <c r="G559" s="585"/>
      <c r="H559" s="585"/>
      <c r="I559" s="585"/>
      <c r="J559" s="585"/>
      <c r="K559" s="585"/>
      <c r="L559" s="585"/>
      <c r="M559" s="585"/>
      <c r="N559" s="585"/>
      <c r="O559" s="585"/>
      <c r="P559" s="585"/>
      <c r="Q559" s="585"/>
      <c r="R559" s="585"/>
      <c r="S559" s="585"/>
      <c r="T559" s="585"/>
      <c r="U559" s="585"/>
      <c r="V559" s="224"/>
      <c r="W559" s="224"/>
    </row>
    <row r="560">
      <c r="A560" s="585"/>
      <c r="B560" s="585"/>
      <c r="C560" s="585"/>
      <c r="D560" s="585"/>
      <c r="E560" s="585"/>
      <c r="F560" s="585"/>
      <c r="G560" s="585"/>
      <c r="H560" s="585"/>
      <c r="I560" s="585"/>
      <c r="J560" s="585"/>
      <c r="K560" s="585"/>
      <c r="L560" s="585"/>
      <c r="M560" s="585"/>
      <c r="N560" s="585"/>
      <c r="O560" s="585"/>
      <c r="P560" s="585"/>
      <c r="Q560" s="585"/>
      <c r="R560" s="585"/>
      <c r="S560" s="585"/>
      <c r="T560" s="585"/>
      <c r="U560" s="585"/>
      <c r="V560" s="224"/>
      <c r="W560" s="224"/>
    </row>
    <row r="561">
      <c r="A561" s="585"/>
      <c r="B561" s="585"/>
      <c r="C561" s="585"/>
      <c r="D561" s="585"/>
      <c r="E561" s="585"/>
      <c r="F561" s="585"/>
      <c r="G561" s="585"/>
      <c r="H561" s="585"/>
      <c r="I561" s="585"/>
      <c r="J561" s="585"/>
      <c r="K561" s="585"/>
      <c r="L561" s="585"/>
      <c r="M561" s="585"/>
      <c r="N561" s="585"/>
      <c r="O561" s="585"/>
      <c r="P561" s="585"/>
      <c r="Q561" s="585"/>
      <c r="R561" s="585"/>
      <c r="S561" s="585"/>
      <c r="T561" s="585"/>
      <c r="U561" s="585"/>
      <c r="V561" s="224"/>
      <c r="W561" s="224"/>
    </row>
    <row r="562">
      <c r="A562" s="585"/>
      <c r="B562" s="585"/>
      <c r="C562" s="585"/>
      <c r="D562" s="585"/>
      <c r="E562" s="585"/>
      <c r="F562" s="585"/>
      <c r="G562" s="585"/>
      <c r="H562" s="585"/>
      <c r="I562" s="585"/>
      <c r="J562" s="585"/>
      <c r="K562" s="585"/>
      <c r="L562" s="585"/>
      <c r="M562" s="585"/>
      <c r="N562" s="585"/>
      <c r="O562" s="585"/>
      <c r="P562" s="585"/>
      <c r="Q562" s="585"/>
      <c r="R562" s="585"/>
      <c r="S562" s="585"/>
      <c r="T562" s="585"/>
      <c r="U562" s="585"/>
      <c r="V562" s="224"/>
      <c r="W562" s="224"/>
    </row>
    <row r="563">
      <c r="A563" s="585"/>
      <c r="B563" s="585"/>
      <c r="C563" s="585"/>
      <c r="D563" s="585"/>
      <c r="E563" s="585"/>
      <c r="F563" s="585"/>
      <c r="G563" s="585"/>
      <c r="H563" s="585"/>
      <c r="I563" s="585"/>
      <c r="J563" s="585"/>
      <c r="K563" s="585"/>
      <c r="L563" s="585"/>
      <c r="M563" s="585"/>
      <c r="N563" s="585"/>
      <c r="O563" s="585"/>
      <c r="P563" s="585"/>
      <c r="Q563" s="585"/>
      <c r="R563" s="585"/>
      <c r="S563" s="585"/>
      <c r="T563" s="585"/>
      <c r="U563" s="585"/>
      <c r="V563" s="224"/>
      <c r="W563" s="224"/>
    </row>
    <row r="564">
      <c r="A564" s="585"/>
      <c r="B564" s="585"/>
      <c r="C564" s="585"/>
      <c r="D564" s="585"/>
      <c r="E564" s="585"/>
      <c r="F564" s="585"/>
      <c r="G564" s="585"/>
      <c r="H564" s="585"/>
      <c r="I564" s="585"/>
      <c r="J564" s="585"/>
      <c r="K564" s="585"/>
      <c r="L564" s="585"/>
      <c r="M564" s="585"/>
      <c r="N564" s="585"/>
      <c r="O564" s="585"/>
      <c r="P564" s="585"/>
      <c r="Q564" s="585"/>
      <c r="R564" s="585"/>
      <c r="S564" s="585"/>
      <c r="T564" s="585"/>
      <c r="U564" s="585"/>
      <c r="V564" s="224"/>
      <c r="W564" s="224"/>
    </row>
    <row r="565">
      <c r="A565" s="585"/>
      <c r="B565" s="585"/>
      <c r="C565" s="585"/>
      <c r="D565" s="585"/>
      <c r="E565" s="585"/>
      <c r="F565" s="585"/>
      <c r="G565" s="585"/>
      <c r="H565" s="585"/>
      <c r="I565" s="585"/>
      <c r="J565" s="585"/>
      <c r="K565" s="585"/>
      <c r="L565" s="585"/>
      <c r="M565" s="585"/>
      <c r="N565" s="585"/>
      <c r="O565" s="585"/>
      <c r="P565" s="585"/>
      <c r="Q565" s="585"/>
      <c r="R565" s="585"/>
      <c r="S565" s="585"/>
      <c r="T565" s="585"/>
      <c r="U565" s="585"/>
      <c r="V565" s="224"/>
      <c r="W565" s="224"/>
    </row>
    <row r="566">
      <c r="A566" s="585"/>
      <c r="B566" s="585"/>
      <c r="C566" s="585"/>
      <c r="D566" s="585"/>
      <c r="E566" s="585"/>
      <c r="F566" s="585"/>
      <c r="G566" s="585"/>
      <c r="H566" s="585"/>
      <c r="I566" s="585"/>
      <c r="J566" s="585"/>
      <c r="K566" s="585"/>
      <c r="L566" s="585"/>
      <c r="M566" s="585"/>
      <c r="N566" s="585"/>
      <c r="O566" s="585"/>
      <c r="P566" s="585"/>
      <c r="Q566" s="585"/>
      <c r="R566" s="585"/>
      <c r="S566" s="585"/>
      <c r="T566" s="585"/>
      <c r="U566" s="585"/>
      <c r="V566" s="224"/>
      <c r="W566" s="224"/>
    </row>
    <row r="567">
      <c r="A567" s="585"/>
      <c r="B567" s="585"/>
      <c r="C567" s="585"/>
      <c r="D567" s="585"/>
      <c r="E567" s="585"/>
      <c r="F567" s="585"/>
      <c r="G567" s="585"/>
      <c r="H567" s="585"/>
      <c r="I567" s="585"/>
      <c r="J567" s="585"/>
      <c r="K567" s="585"/>
      <c r="L567" s="585"/>
      <c r="M567" s="585"/>
      <c r="N567" s="585"/>
      <c r="O567" s="585"/>
      <c r="P567" s="585"/>
      <c r="Q567" s="585"/>
      <c r="R567" s="585"/>
      <c r="S567" s="585"/>
      <c r="T567" s="585"/>
      <c r="U567" s="585"/>
      <c r="V567" s="224"/>
      <c r="W567" s="224"/>
    </row>
    <row r="568">
      <c r="A568" s="585"/>
      <c r="B568" s="585"/>
      <c r="C568" s="585"/>
      <c r="D568" s="585"/>
      <c r="E568" s="585"/>
      <c r="F568" s="585"/>
      <c r="G568" s="585"/>
      <c r="H568" s="585"/>
      <c r="I568" s="585"/>
      <c r="J568" s="585"/>
      <c r="K568" s="585"/>
      <c r="L568" s="585"/>
      <c r="M568" s="585"/>
      <c r="N568" s="585"/>
      <c r="O568" s="585"/>
      <c r="P568" s="585"/>
      <c r="Q568" s="585"/>
      <c r="R568" s="585"/>
      <c r="S568" s="585"/>
      <c r="T568" s="585"/>
      <c r="U568" s="585"/>
      <c r="V568" s="224"/>
      <c r="W568" s="224"/>
    </row>
    <row r="569">
      <c r="A569" s="585"/>
      <c r="B569" s="585"/>
      <c r="C569" s="585"/>
      <c r="D569" s="585"/>
      <c r="E569" s="585"/>
      <c r="F569" s="585"/>
      <c r="G569" s="585"/>
      <c r="H569" s="585"/>
      <c r="I569" s="585"/>
      <c r="J569" s="585"/>
      <c r="K569" s="585"/>
      <c r="L569" s="585"/>
      <c r="M569" s="585"/>
      <c r="N569" s="585"/>
      <c r="O569" s="585"/>
      <c r="P569" s="585"/>
      <c r="Q569" s="585"/>
      <c r="R569" s="585"/>
      <c r="S569" s="585"/>
      <c r="T569" s="585"/>
      <c r="U569" s="585"/>
      <c r="V569" s="224"/>
      <c r="W569" s="224"/>
    </row>
    <row r="570">
      <c r="A570" s="585"/>
      <c r="B570" s="585"/>
      <c r="C570" s="585"/>
      <c r="D570" s="585"/>
      <c r="E570" s="585"/>
      <c r="F570" s="585"/>
      <c r="G570" s="585"/>
      <c r="H570" s="585"/>
      <c r="I570" s="585"/>
      <c r="J570" s="585"/>
      <c r="K570" s="585"/>
      <c r="L570" s="585"/>
      <c r="M570" s="585"/>
      <c r="N570" s="585"/>
      <c r="O570" s="585"/>
      <c r="P570" s="585"/>
      <c r="Q570" s="585"/>
      <c r="R570" s="585"/>
      <c r="S570" s="585"/>
      <c r="T570" s="585"/>
      <c r="U570" s="585"/>
      <c r="V570" s="224"/>
      <c r="W570" s="224"/>
    </row>
    <row r="571">
      <c r="A571" s="585"/>
      <c r="B571" s="585"/>
      <c r="C571" s="585"/>
      <c r="D571" s="585"/>
      <c r="E571" s="585"/>
      <c r="F571" s="585"/>
      <c r="G571" s="585"/>
      <c r="H571" s="585"/>
      <c r="I571" s="585"/>
      <c r="J571" s="585"/>
      <c r="K571" s="585"/>
      <c r="L571" s="585"/>
      <c r="M571" s="585"/>
      <c r="N571" s="585"/>
      <c r="O571" s="585"/>
      <c r="P571" s="585"/>
      <c r="Q571" s="585"/>
      <c r="R571" s="585"/>
      <c r="S571" s="585"/>
      <c r="T571" s="585"/>
      <c r="U571" s="585"/>
      <c r="V571" s="224"/>
      <c r="W571" s="224"/>
    </row>
    <row r="572">
      <c r="A572" s="585"/>
      <c r="B572" s="585"/>
      <c r="C572" s="585"/>
      <c r="D572" s="585"/>
      <c r="E572" s="585"/>
      <c r="F572" s="585"/>
      <c r="G572" s="585"/>
      <c r="H572" s="585"/>
      <c r="I572" s="585"/>
      <c r="J572" s="585"/>
      <c r="K572" s="585"/>
      <c r="L572" s="585"/>
      <c r="M572" s="585"/>
      <c r="N572" s="585"/>
      <c r="O572" s="585"/>
      <c r="P572" s="585"/>
      <c r="Q572" s="585"/>
      <c r="R572" s="585"/>
      <c r="S572" s="585"/>
      <c r="T572" s="585"/>
      <c r="U572" s="585"/>
      <c r="V572" s="224"/>
      <c r="W572" s="224"/>
    </row>
    <row r="573">
      <c r="A573" s="585"/>
      <c r="B573" s="585"/>
      <c r="C573" s="585"/>
      <c r="D573" s="585"/>
      <c r="E573" s="585"/>
      <c r="F573" s="585"/>
      <c r="G573" s="585"/>
      <c r="H573" s="585"/>
      <c r="I573" s="585"/>
      <c r="J573" s="585"/>
      <c r="K573" s="585"/>
      <c r="L573" s="585"/>
      <c r="M573" s="585"/>
      <c r="N573" s="585"/>
      <c r="O573" s="585"/>
      <c r="P573" s="585"/>
      <c r="Q573" s="585"/>
      <c r="R573" s="585"/>
      <c r="S573" s="585"/>
      <c r="T573" s="585"/>
      <c r="U573" s="585"/>
      <c r="V573" s="224"/>
      <c r="W573" s="224"/>
    </row>
    <row r="574">
      <c r="A574" s="585"/>
      <c r="B574" s="585"/>
      <c r="C574" s="585"/>
      <c r="D574" s="585"/>
      <c r="E574" s="585"/>
      <c r="F574" s="585"/>
      <c r="G574" s="585"/>
      <c r="H574" s="585"/>
      <c r="I574" s="585"/>
      <c r="J574" s="585"/>
      <c r="K574" s="585"/>
      <c r="L574" s="585"/>
      <c r="M574" s="585"/>
      <c r="N574" s="585"/>
      <c r="O574" s="585"/>
      <c r="P574" s="585"/>
      <c r="Q574" s="585"/>
      <c r="R574" s="585"/>
      <c r="S574" s="585"/>
      <c r="T574" s="585"/>
      <c r="U574" s="585"/>
      <c r="V574" s="224"/>
      <c r="W574" s="224"/>
    </row>
    <row r="575">
      <c r="A575" s="585"/>
      <c r="B575" s="585"/>
      <c r="C575" s="585"/>
      <c r="D575" s="585"/>
      <c r="E575" s="585"/>
      <c r="F575" s="585"/>
      <c r="G575" s="585"/>
      <c r="H575" s="585"/>
      <c r="I575" s="585"/>
      <c r="J575" s="585"/>
      <c r="K575" s="585"/>
      <c r="L575" s="585"/>
      <c r="M575" s="585"/>
      <c r="N575" s="585"/>
      <c r="O575" s="585"/>
      <c r="P575" s="585"/>
      <c r="Q575" s="585"/>
      <c r="R575" s="585"/>
      <c r="S575" s="585"/>
      <c r="T575" s="585"/>
      <c r="U575" s="585"/>
      <c r="V575" s="224"/>
      <c r="W575" s="224"/>
    </row>
    <row r="576">
      <c r="A576" s="585"/>
      <c r="B576" s="585"/>
      <c r="C576" s="585"/>
      <c r="D576" s="585"/>
      <c r="E576" s="585"/>
      <c r="F576" s="585"/>
      <c r="G576" s="585"/>
      <c r="H576" s="585"/>
      <c r="I576" s="585"/>
      <c r="J576" s="585"/>
      <c r="K576" s="585"/>
      <c r="L576" s="585"/>
      <c r="M576" s="585"/>
      <c r="N576" s="585"/>
      <c r="O576" s="585"/>
      <c r="P576" s="585"/>
      <c r="Q576" s="585"/>
      <c r="R576" s="585"/>
      <c r="S576" s="585"/>
      <c r="T576" s="585"/>
      <c r="U576" s="585"/>
      <c r="V576" s="224"/>
      <c r="W576" s="224"/>
    </row>
    <row r="577">
      <c r="A577" s="585"/>
      <c r="B577" s="585"/>
      <c r="C577" s="585"/>
      <c r="D577" s="585"/>
      <c r="E577" s="585"/>
      <c r="F577" s="585"/>
      <c r="G577" s="585"/>
      <c r="H577" s="585"/>
      <c r="I577" s="585"/>
      <c r="J577" s="585"/>
      <c r="K577" s="585"/>
      <c r="L577" s="585"/>
      <c r="M577" s="585"/>
      <c r="N577" s="585"/>
      <c r="O577" s="585"/>
      <c r="P577" s="585"/>
      <c r="Q577" s="585"/>
      <c r="R577" s="585"/>
      <c r="S577" s="585"/>
      <c r="T577" s="585"/>
      <c r="U577" s="585"/>
      <c r="V577" s="224"/>
      <c r="W577" s="224"/>
    </row>
    <row r="578">
      <c r="A578" s="585"/>
      <c r="B578" s="585"/>
      <c r="C578" s="585"/>
      <c r="D578" s="585"/>
      <c r="E578" s="585"/>
      <c r="F578" s="585"/>
      <c r="G578" s="585"/>
      <c r="H578" s="585"/>
      <c r="I578" s="585"/>
      <c r="J578" s="585"/>
      <c r="K578" s="585"/>
      <c r="L578" s="585"/>
      <c r="M578" s="585"/>
      <c r="N578" s="585"/>
      <c r="O578" s="585"/>
      <c r="P578" s="585"/>
      <c r="Q578" s="585"/>
      <c r="R578" s="585"/>
      <c r="S578" s="585"/>
      <c r="T578" s="585"/>
      <c r="U578" s="585"/>
      <c r="V578" s="224"/>
      <c r="W578" s="224"/>
    </row>
    <row r="579">
      <c r="A579" s="585"/>
      <c r="B579" s="585"/>
      <c r="C579" s="585"/>
      <c r="D579" s="585"/>
      <c r="E579" s="585"/>
      <c r="F579" s="585"/>
      <c r="G579" s="585"/>
      <c r="H579" s="585"/>
      <c r="I579" s="585"/>
      <c r="J579" s="585"/>
      <c r="K579" s="585"/>
      <c r="L579" s="585"/>
      <c r="M579" s="585"/>
      <c r="N579" s="585"/>
      <c r="O579" s="585"/>
      <c r="P579" s="585"/>
      <c r="Q579" s="585"/>
      <c r="R579" s="585"/>
      <c r="S579" s="585"/>
      <c r="T579" s="585"/>
      <c r="U579" s="585"/>
      <c r="V579" s="224"/>
      <c r="W579" s="224"/>
    </row>
    <row r="580">
      <c r="A580" s="585"/>
      <c r="B580" s="585"/>
      <c r="C580" s="585"/>
      <c r="D580" s="585"/>
      <c r="E580" s="585"/>
      <c r="F580" s="585"/>
      <c r="G580" s="585"/>
      <c r="H580" s="585"/>
      <c r="I580" s="585"/>
      <c r="J580" s="585"/>
      <c r="K580" s="585"/>
      <c r="L580" s="585"/>
      <c r="M580" s="585"/>
      <c r="N580" s="585"/>
      <c r="O580" s="585"/>
      <c r="P580" s="585"/>
      <c r="Q580" s="585"/>
      <c r="R580" s="585"/>
      <c r="S580" s="585"/>
      <c r="T580" s="585"/>
      <c r="U580" s="585"/>
      <c r="V580" s="224"/>
      <c r="W580" s="224"/>
    </row>
    <row r="581">
      <c r="A581" s="585"/>
      <c r="B581" s="585"/>
      <c r="C581" s="585"/>
      <c r="D581" s="585"/>
      <c r="E581" s="585"/>
      <c r="F581" s="585"/>
      <c r="G581" s="585"/>
      <c r="H581" s="585"/>
      <c r="I581" s="585"/>
      <c r="J581" s="585"/>
      <c r="K581" s="585"/>
      <c r="L581" s="585"/>
      <c r="M581" s="585"/>
      <c r="N581" s="585"/>
      <c r="O581" s="585"/>
      <c r="P581" s="585"/>
      <c r="Q581" s="585"/>
      <c r="R581" s="585"/>
      <c r="S581" s="585"/>
      <c r="T581" s="585"/>
      <c r="U581" s="585"/>
      <c r="V581" s="224"/>
      <c r="W581" s="224"/>
    </row>
    <row r="582">
      <c r="A582" s="585"/>
      <c r="B582" s="585"/>
      <c r="C582" s="585"/>
      <c r="D582" s="585"/>
      <c r="E582" s="585"/>
      <c r="F582" s="585"/>
      <c r="G582" s="585"/>
      <c r="H582" s="585"/>
      <c r="I582" s="585"/>
      <c r="J582" s="585"/>
      <c r="K582" s="585"/>
      <c r="L582" s="585"/>
      <c r="M582" s="585"/>
      <c r="N582" s="585"/>
      <c r="O582" s="585"/>
      <c r="P582" s="585"/>
      <c r="Q582" s="585"/>
      <c r="R582" s="585"/>
      <c r="S582" s="585"/>
      <c r="T582" s="585"/>
      <c r="U582" s="585"/>
      <c r="V582" s="224"/>
      <c r="W582" s="224"/>
    </row>
    <row r="583">
      <c r="A583" s="585"/>
      <c r="B583" s="585"/>
      <c r="C583" s="585"/>
      <c r="D583" s="585"/>
      <c r="E583" s="585"/>
      <c r="F583" s="585"/>
      <c r="G583" s="585"/>
      <c r="H583" s="585"/>
      <c r="I583" s="585"/>
      <c r="J583" s="585"/>
      <c r="K583" s="585"/>
      <c r="L583" s="585"/>
      <c r="M583" s="585"/>
      <c r="N583" s="585"/>
      <c r="O583" s="585"/>
      <c r="P583" s="585"/>
      <c r="Q583" s="585"/>
      <c r="R583" s="585"/>
      <c r="S583" s="585"/>
      <c r="T583" s="585"/>
      <c r="U583" s="585"/>
      <c r="V583" s="224"/>
      <c r="W583" s="224"/>
    </row>
    <row r="584">
      <c r="A584" s="585"/>
      <c r="B584" s="585"/>
      <c r="C584" s="585"/>
      <c r="D584" s="585"/>
      <c r="E584" s="585"/>
      <c r="F584" s="585"/>
      <c r="G584" s="585"/>
      <c r="H584" s="585"/>
      <c r="I584" s="585"/>
      <c r="J584" s="585"/>
      <c r="K584" s="585"/>
      <c r="L584" s="585"/>
      <c r="M584" s="585"/>
      <c r="N584" s="585"/>
      <c r="O584" s="585"/>
      <c r="P584" s="585"/>
      <c r="Q584" s="585"/>
      <c r="R584" s="585"/>
      <c r="S584" s="585"/>
      <c r="T584" s="585"/>
      <c r="U584" s="585"/>
      <c r="V584" s="224"/>
      <c r="W584" s="224"/>
    </row>
    <row r="585">
      <c r="A585" s="585"/>
      <c r="B585" s="585"/>
      <c r="C585" s="585"/>
      <c r="D585" s="585"/>
      <c r="E585" s="585"/>
      <c r="F585" s="585"/>
      <c r="G585" s="585"/>
      <c r="H585" s="585"/>
      <c r="I585" s="585"/>
      <c r="J585" s="585"/>
      <c r="K585" s="585"/>
      <c r="L585" s="585"/>
      <c r="M585" s="585"/>
      <c r="N585" s="585"/>
      <c r="O585" s="585"/>
      <c r="P585" s="585"/>
      <c r="Q585" s="585"/>
      <c r="R585" s="585"/>
      <c r="S585" s="585"/>
      <c r="T585" s="585"/>
      <c r="U585" s="585"/>
      <c r="V585" s="224"/>
      <c r="W585" s="224"/>
    </row>
    <row r="586">
      <c r="A586" s="585"/>
      <c r="B586" s="585"/>
      <c r="C586" s="585"/>
      <c r="D586" s="585"/>
      <c r="E586" s="585"/>
      <c r="F586" s="585"/>
      <c r="G586" s="585"/>
      <c r="H586" s="585"/>
      <c r="I586" s="585"/>
      <c r="J586" s="585"/>
      <c r="K586" s="585"/>
      <c r="L586" s="585"/>
      <c r="M586" s="585"/>
      <c r="N586" s="585"/>
      <c r="O586" s="585"/>
      <c r="P586" s="585"/>
      <c r="Q586" s="585"/>
      <c r="R586" s="585"/>
      <c r="S586" s="585"/>
      <c r="T586" s="585"/>
      <c r="U586" s="585"/>
      <c r="V586" s="224"/>
      <c r="W586" s="224"/>
    </row>
    <row r="587">
      <c r="A587" s="585"/>
      <c r="B587" s="585"/>
      <c r="C587" s="585"/>
      <c r="D587" s="585"/>
      <c r="E587" s="585"/>
      <c r="F587" s="585"/>
      <c r="G587" s="585"/>
      <c r="H587" s="585"/>
      <c r="I587" s="585"/>
      <c r="J587" s="585"/>
      <c r="K587" s="585"/>
      <c r="L587" s="585"/>
      <c r="M587" s="585"/>
      <c r="N587" s="585"/>
      <c r="O587" s="585"/>
      <c r="P587" s="585"/>
      <c r="Q587" s="585"/>
      <c r="R587" s="585"/>
      <c r="S587" s="585"/>
      <c r="T587" s="585"/>
      <c r="U587" s="585"/>
      <c r="V587" s="224"/>
      <c r="W587" s="224"/>
    </row>
    <row r="588">
      <c r="A588" s="585"/>
      <c r="B588" s="585"/>
      <c r="C588" s="585"/>
      <c r="D588" s="585"/>
      <c r="E588" s="585"/>
      <c r="F588" s="585"/>
      <c r="G588" s="585"/>
      <c r="H588" s="585"/>
      <c r="I588" s="585"/>
      <c r="J588" s="585"/>
      <c r="K588" s="585"/>
      <c r="L588" s="585"/>
      <c r="M588" s="585"/>
      <c r="N588" s="585"/>
      <c r="O588" s="585"/>
      <c r="P588" s="585"/>
      <c r="Q588" s="585"/>
      <c r="R588" s="585"/>
      <c r="S588" s="585"/>
      <c r="T588" s="585"/>
      <c r="U588" s="585"/>
      <c r="V588" s="224"/>
      <c r="W588" s="224"/>
    </row>
    <row r="589">
      <c r="A589" s="585"/>
      <c r="B589" s="585"/>
      <c r="C589" s="585"/>
      <c r="D589" s="585"/>
      <c r="E589" s="585"/>
      <c r="F589" s="585"/>
      <c r="G589" s="585"/>
      <c r="H589" s="585"/>
      <c r="I589" s="585"/>
      <c r="J589" s="585"/>
      <c r="K589" s="585"/>
      <c r="L589" s="585"/>
      <c r="M589" s="585"/>
      <c r="N589" s="585"/>
      <c r="O589" s="585"/>
      <c r="P589" s="585"/>
      <c r="Q589" s="585"/>
      <c r="R589" s="585"/>
      <c r="S589" s="585"/>
      <c r="T589" s="585"/>
      <c r="U589" s="585"/>
      <c r="V589" s="224"/>
      <c r="W589" s="224"/>
    </row>
    <row r="590">
      <c r="A590" s="585"/>
      <c r="B590" s="585"/>
      <c r="C590" s="585"/>
      <c r="D590" s="585"/>
      <c r="E590" s="585"/>
      <c r="F590" s="585"/>
      <c r="G590" s="585"/>
      <c r="H590" s="585"/>
      <c r="I590" s="585"/>
      <c r="J590" s="585"/>
      <c r="K590" s="585"/>
      <c r="L590" s="585"/>
      <c r="M590" s="585"/>
      <c r="N590" s="585"/>
      <c r="O590" s="585"/>
      <c r="P590" s="585"/>
      <c r="Q590" s="585"/>
      <c r="R590" s="585"/>
      <c r="S590" s="585"/>
      <c r="T590" s="585"/>
      <c r="U590" s="585"/>
      <c r="V590" s="224"/>
      <c r="W590" s="224"/>
    </row>
    <row r="591">
      <c r="A591" s="585"/>
      <c r="B591" s="585"/>
      <c r="C591" s="585"/>
      <c r="D591" s="585"/>
      <c r="E591" s="585"/>
      <c r="F591" s="585"/>
      <c r="G591" s="585"/>
      <c r="H591" s="585"/>
      <c r="I591" s="585"/>
      <c r="J591" s="585"/>
      <c r="K591" s="585"/>
      <c r="L591" s="585"/>
      <c r="M591" s="585"/>
      <c r="N591" s="585"/>
      <c r="O591" s="585"/>
      <c r="P591" s="585"/>
      <c r="Q591" s="585"/>
      <c r="R591" s="585"/>
      <c r="S591" s="585"/>
      <c r="T591" s="585"/>
      <c r="U591" s="585"/>
      <c r="V591" s="224"/>
      <c r="W591" s="224"/>
    </row>
    <row r="592">
      <c r="A592" s="585"/>
      <c r="B592" s="585"/>
      <c r="C592" s="585"/>
      <c r="D592" s="585"/>
      <c r="E592" s="585"/>
      <c r="F592" s="585"/>
      <c r="G592" s="585"/>
      <c r="H592" s="585"/>
      <c r="I592" s="585"/>
      <c r="J592" s="585"/>
      <c r="K592" s="585"/>
      <c r="L592" s="585"/>
      <c r="M592" s="585"/>
      <c r="N592" s="585"/>
      <c r="O592" s="585"/>
      <c r="P592" s="585"/>
      <c r="Q592" s="585"/>
      <c r="R592" s="585"/>
      <c r="S592" s="585"/>
      <c r="T592" s="585"/>
      <c r="U592" s="585"/>
      <c r="V592" s="224"/>
      <c r="W592" s="224"/>
    </row>
    <row r="593">
      <c r="A593" s="585"/>
      <c r="B593" s="585"/>
      <c r="C593" s="585"/>
      <c r="D593" s="585"/>
      <c r="E593" s="585"/>
      <c r="F593" s="585"/>
      <c r="G593" s="585"/>
      <c r="H593" s="585"/>
      <c r="I593" s="585"/>
      <c r="J593" s="585"/>
      <c r="K593" s="585"/>
      <c r="L593" s="585"/>
      <c r="M593" s="585"/>
      <c r="N593" s="585"/>
      <c r="O593" s="585"/>
      <c r="P593" s="585"/>
      <c r="Q593" s="585"/>
      <c r="R593" s="585"/>
      <c r="S593" s="585"/>
      <c r="T593" s="585"/>
      <c r="U593" s="585"/>
      <c r="V593" s="224"/>
      <c r="W593" s="224"/>
    </row>
    <row r="594">
      <c r="A594" s="585"/>
      <c r="B594" s="585"/>
      <c r="C594" s="585"/>
      <c r="D594" s="585"/>
      <c r="E594" s="585"/>
      <c r="F594" s="585"/>
      <c r="G594" s="585"/>
      <c r="H594" s="585"/>
      <c r="I594" s="585"/>
      <c r="J594" s="585"/>
      <c r="K594" s="585"/>
      <c r="L594" s="585"/>
      <c r="M594" s="585"/>
      <c r="N594" s="585"/>
      <c r="O594" s="585"/>
      <c r="P594" s="585"/>
      <c r="Q594" s="585"/>
      <c r="R594" s="585"/>
      <c r="S594" s="585"/>
      <c r="T594" s="585"/>
      <c r="U594" s="585"/>
      <c r="V594" s="224"/>
      <c r="W594" s="224"/>
    </row>
    <row r="595">
      <c r="A595" s="585"/>
      <c r="B595" s="585"/>
      <c r="C595" s="585"/>
      <c r="D595" s="585"/>
      <c r="E595" s="585"/>
      <c r="F595" s="585"/>
      <c r="G595" s="585"/>
      <c r="H595" s="585"/>
      <c r="I595" s="585"/>
      <c r="J595" s="585"/>
      <c r="K595" s="585"/>
      <c r="L595" s="585"/>
      <c r="M595" s="585"/>
      <c r="N595" s="585"/>
      <c r="O595" s="585"/>
      <c r="P595" s="585"/>
      <c r="Q595" s="585"/>
      <c r="R595" s="585"/>
      <c r="S595" s="585"/>
      <c r="T595" s="585"/>
      <c r="U595" s="585"/>
      <c r="V595" s="224"/>
      <c r="W595" s="224"/>
    </row>
    <row r="596">
      <c r="A596" s="585"/>
      <c r="B596" s="585"/>
      <c r="C596" s="585"/>
      <c r="D596" s="585"/>
      <c r="E596" s="585"/>
      <c r="F596" s="585"/>
      <c r="G596" s="585"/>
      <c r="H596" s="585"/>
      <c r="I596" s="585"/>
      <c r="J596" s="585"/>
      <c r="K596" s="585"/>
      <c r="L596" s="585"/>
      <c r="M596" s="585"/>
      <c r="N596" s="585"/>
      <c r="O596" s="585"/>
      <c r="P596" s="585"/>
      <c r="Q596" s="585"/>
      <c r="R596" s="585"/>
      <c r="S596" s="585"/>
      <c r="T596" s="585"/>
      <c r="U596" s="585"/>
      <c r="V596" s="224"/>
      <c r="W596" s="224"/>
    </row>
    <row r="597">
      <c r="A597" s="585"/>
      <c r="B597" s="585"/>
      <c r="C597" s="585"/>
      <c r="D597" s="585"/>
      <c r="E597" s="585"/>
      <c r="F597" s="585"/>
      <c r="G597" s="585"/>
      <c r="H597" s="585"/>
      <c r="I597" s="585"/>
      <c r="J597" s="585"/>
      <c r="K597" s="585"/>
      <c r="L597" s="585"/>
      <c r="M597" s="585"/>
      <c r="N597" s="585"/>
      <c r="O597" s="585"/>
      <c r="P597" s="585"/>
      <c r="Q597" s="585"/>
      <c r="R597" s="585"/>
      <c r="S597" s="585"/>
      <c r="T597" s="585"/>
      <c r="U597" s="585"/>
      <c r="V597" s="224"/>
      <c r="W597" s="224"/>
    </row>
    <row r="598">
      <c r="A598" s="585"/>
      <c r="B598" s="585"/>
      <c r="C598" s="585"/>
      <c r="D598" s="585"/>
      <c r="E598" s="585"/>
      <c r="F598" s="585"/>
      <c r="G598" s="585"/>
      <c r="H598" s="585"/>
      <c r="I598" s="585"/>
      <c r="J598" s="585"/>
      <c r="K598" s="585"/>
      <c r="L598" s="585"/>
      <c r="M598" s="585"/>
      <c r="N598" s="585"/>
      <c r="O598" s="585"/>
      <c r="P598" s="585"/>
      <c r="Q598" s="585"/>
      <c r="R598" s="585"/>
      <c r="S598" s="585"/>
      <c r="T598" s="585"/>
      <c r="U598" s="585"/>
      <c r="V598" s="224"/>
      <c r="W598" s="224"/>
    </row>
    <row r="599">
      <c r="A599" s="585"/>
      <c r="B599" s="585"/>
      <c r="C599" s="585"/>
      <c r="D599" s="585"/>
      <c r="E599" s="585"/>
      <c r="F599" s="585"/>
      <c r="G599" s="585"/>
      <c r="H599" s="585"/>
      <c r="I599" s="585"/>
      <c r="J599" s="585"/>
      <c r="K599" s="585"/>
      <c r="L599" s="585"/>
      <c r="M599" s="585"/>
      <c r="N599" s="585"/>
      <c r="O599" s="585"/>
      <c r="P599" s="585"/>
      <c r="Q599" s="585"/>
      <c r="R599" s="585"/>
      <c r="S599" s="585"/>
      <c r="T599" s="585"/>
      <c r="U599" s="585"/>
      <c r="V599" s="224"/>
      <c r="W599" s="224"/>
    </row>
    <row r="600">
      <c r="A600" s="585"/>
      <c r="B600" s="585"/>
      <c r="C600" s="585"/>
      <c r="D600" s="585"/>
      <c r="E600" s="585"/>
      <c r="F600" s="585"/>
      <c r="G600" s="585"/>
      <c r="H600" s="585"/>
      <c r="I600" s="585"/>
      <c r="J600" s="585"/>
      <c r="K600" s="585"/>
      <c r="L600" s="585"/>
      <c r="M600" s="585"/>
      <c r="N600" s="585"/>
      <c r="O600" s="585"/>
      <c r="P600" s="585"/>
      <c r="Q600" s="585"/>
      <c r="R600" s="585"/>
      <c r="S600" s="585"/>
      <c r="T600" s="585"/>
      <c r="U600" s="585"/>
      <c r="V600" s="224"/>
      <c r="W600" s="224"/>
    </row>
    <row r="601">
      <c r="A601" s="585"/>
      <c r="B601" s="585"/>
      <c r="C601" s="585"/>
      <c r="D601" s="585"/>
      <c r="E601" s="585"/>
      <c r="F601" s="585"/>
      <c r="G601" s="585"/>
      <c r="H601" s="585"/>
      <c r="I601" s="585"/>
      <c r="J601" s="585"/>
      <c r="K601" s="585"/>
      <c r="L601" s="585"/>
      <c r="M601" s="585"/>
      <c r="N601" s="585"/>
      <c r="O601" s="585"/>
      <c r="P601" s="585"/>
      <c r="Q601" s="585"/>
      <c r="R601" s="585"/>
      <c r="S601" s="585"/>
      <c r="T601" s="585"/>
      <c r="U601" s="585"/>
      <c r="V601" s="224"/>
      <c r="W601" s="224"/>
    </row>
    <row r="602">
      <c r="A602" s="585"/>
      <c r="B602" s="585"/>
      <c r="C602" s="585"/>
      <c r="D602" s="585"/>
      <c r="E602" s="585"/>
      <c r="F602" s="585"/>
      <c r="G602" s="585"/>
      <c r="H602" s="585"/>
      <c r="I602" s="585"/>
      <c r="J602" s="585"/>
      <c r="K602" s="585"/>
      <c r="L602" s="585"/>
      <c r="M602" s="585"/>
      <c r="N602" s="585"/>
      <c r="O602" s="585"/>
      <c r="P602" s="585"/>
      <c r="Q602" s="585"/>
      <c r="R602" s="585"/>
      <c r="S602" s="585"/>
      <c r="T602" s="585"/>
      <c r="U602" s="585"/>
      <c r="V602" s="224"/>
      <c r="W602" s="224"/>
    </row>
    <row r="603">
      <c r="A603" s="585"/>
      <c r="B603" s="585"/>
      <c r="C603" s="585"/>
      <c r="D603" s="585"/>
      <c r="E603" s="585"/>
      <c r="F603" s="585"/>
      <c r="G603" s="585"/>
      <c r="H603" s="585"/>
      <c r="I603" s="585"/>
      <c r="J603" s="585"/>
      <c r="K603" s="585"/>
      <c r="L603" s="585"/>
      <c r="M603" s="585"/>
      <c r="N603" s="585"/>
      <c r="O603" s="585"/>
      <c r="P603" s="585"/>
      <c r="Q603" s="585"/>
      <c r="R603" s="585"/>
      <c r="S603" s="585"/>
      <c r="T603" s="585"/>
      <c r="U603" s="585"/>
      <c r="V603" s="224"/>
      <c r="W603" s="224"/>
    </row>
    <row r="604">
      <c r="A604" s="585"/>
      <c r="B604" s="585"/>
      <c r="C604" s="585"/>
      <c r="D604" s="585"/>
      <c r="E604" s="585"/>
      <c r="F604" s="585"/>
      <c r="G604" s="585"/>
      <c r="H604" s="585"/>
      <c r="I604" s="585"/>
      <c r="J604" s="585"/>
      <c r="K604" s="585"/>
      <c r="L604" s="585"/>
      <c r="M604" s="585"/>
      <c r="N604" s="585"/>
      <c r="O604" s="585"/>
      <c r="P604" s="585"/>
      <c r="Q604" s="585"/>
      <c r="R604" s="585"/>
      <c r="S604" s="585"/>
      <c r="T604" s="585"/>
      <c r="U604" s="585"/>
      <c r="V604" s="224"/>
      <c r="W604" s="224"/>
    </row>
    <row r="605">
      <c r="A605" s="585"/>
      <c r="B605" s="585"/>
      <c r="C605" s="585"/>
      <c r="D605" s="585"/>
      <c r="E605" s="585"/>
      <c r="F605" s="585"/>
      <c r="G605" s="585"/>
      <c r="H605" s="585"/>
      <c r="I605" s="585"/>
      <c r="J605" s="585"/>
      <c r="K605" s="585"/>
      <c r="L605" s="585"/>
      <c r="M605" s="585"/>
      <c r="N605" s="585"/>
      <c r="O605" s="585"/>
      <c r="P605" s="585"/>
      <c r="Q605" s="585"/>
      <c r="R605" s="585"/>
      <c r="S605" s="585"/>
      <c r="T605" s="585"/>
      <c r="U605" s="585"/>
      <c r="V605" s="224"/>
      <c r="W605" s="224"/>
    </row>
    <row r="606">
      <c r="A606" s="585"/>
      <c r="B606" s="585"/>
      <c r="C606" s="585"/>
      <c r="D606" s="585"/>
      <c r="E606" s="585"/>
      <c r="F606" s="585"/>
      <c r="G606" s="585"/>
      <c r="H606" s="585"/>
      <c r="I606" s="585"/>
      <c r="J606" s="585"/>
      <c r="K606" s="585"/>
      <c r="L606" s="585"/>
      <c r="M606" s="585"/>
      <c r="N606" s="585"/>
      <c r="O606" s="585"/>
      <c r="P606" s="585"/>
      <c r="Q606" s="585"/>
      <c r="R606" s="585"/>
      <c r="S606" s="585"/>
      <c r="T606" s="585"/>
      <c r="U606" s="585"/>
      <c r="V606" s="224"/>
      <c r="W606" s="224"/>
    </row>
    <row r="607">
      <c r="A607" s="585"/>
      <c r="B607" s="585"/>
      <c r="C607" s="585"/>
      <c r="D607" s="585"/>
      <c r="E607" s="585"/>
      <c r="F607" s="585"/>
      <c r="G607" s="585"/>
      <c r="H607" s="585"/>
      <c r="I607" s="585"/>
      <c r="J607" s="585"/>
      <c r="K607" s="585"/>
      <c r="L607" s="585"/>
      <c r="M607" s="585"/>
      <c r="N607" s="585"/>
      <c r="O607" s="585"/>
      <c r="P607" s="585"/>
      <c r="Q607" s="585"/>
      <c r="R607" s="585"/>
      <c r="S607" s="585"/>
      <c r="T607" s="585"/>
      <c r="U607" s="585"/>
      <c r="V607" s="224"/>
      <c r="W607" s="224"/>
    </row>
    <row r="608">
      <c r="A608" s="585"/>
      <c r="B608" s="585"/>
      <c r="C608" s="585"/>
      <c r="D608" s="585"/>
      <c r="E608" s="585"/>
      <c r="F608" s="585"/>
      <c r="G608" s="585"/>
      <c r="H608" s="585"/>
      <c r="I608" s="585"/>
      <c r="J608" s="585"/>
      <c r="K608" s="585"/>
      <c r="L608" s="585"/>
      <c r="M608" s="585"/>
      <c r="N608" s="585"/>
      <c r="O608" s="585"/>
      <c r="P608" s="585"/>
      <c r="Q608" s="585"/>
      <c r="R608" s="585"/>
      <c r="S608" s="585"/>
      <c r="T608" s="585"/>
      <c r="U608" s="585"/>
      <c r="V608" s="224"/>
      <c r="W608" s="224"/>
    </row>
    <row r="609">
      <c r="A609" s="585"/>
      <c r="B609" s="585"/>
      <c r="C609" s="585"/>
      <c r="D609" s="585"/>
      <c r="E609" s="585"/>
      <c r="F609" s="585"/>
      <c r="G609" s="585"/>
      <c r="H609" s="585"/>
      <c r="I609" s="585"/>
      <c r="J609" s="585"/>
      <c r="K609" s="585"/>
      <c r="L609" s="585"/>
      <c r="M609" s="585"/>
      <c r="N609" s="585"/>
      <c r="O609" s="585"/>
      <c r="P609" s="585"/>
      <c r="Q609" s="585"/>
      <c r="R609" s="585"/>
      <c r="S609" s="585"/>
      <c r="T609" s="585"/>
      <c r="U609" s="585"/>
      <c r="V609" s="224"/>
      <c r="W609" s="224"/>
    </row>
    <row r="610">
      <c r="A610" s="585"/>
      <c r="B610" s="585"/>
      <c r="C610" s="585"/>
      <c r="D610" s="585"/>
      <c r="E610" s="585"/>
      <c r="F610" s="585"/>
      <c r="G610" s="585"/>
      <c r="H610" s="585"/>
      <c r="I610" s="585"/>
      <c r="J610" s="585"/>
      <c r="K610" s="585"/>
      <c r="L610" s="585"/>
      <c r="M610" s="585"/>
      <c r="N610" s="585"/>
      <c r="O610" s="585"/>
      <c r="P610" s="585"/>
      <c r="Q610" s="585"/>
      <c r="R610" s="585"/>
      <c r="S610" s="585"/>
      <c r="T610" s="585"/>
      <c r="U610" s="585"/>
      <c r="V610" s="224"/>
      <c r="W610" s="224"/>
    </row>
    <row r="611">
      <c r="A611" s="585"/>
      <c r="B611" s="585"/>
      <c r="C611" s="585"/>
      <c r="D611" s="585"/>
      <c r="E611" s="585"/>
      <c r="F611" s="585"/>
      <c r="G611" s="585"/>
      <c r="H611" s="585"/>
      <c r="I611" s="585"/>
      <c r="J611" s="585"/>
      <c r="K611" s="585"/>
      <c r="L611" s="585"/>
      <c r="M611" s="585"/>
      <c r="N611" s="585"/>
      <c r="O611" s="585"/>
      <c r="P611" s="585"/>
      <c r="Q611" s="585"/>
      <c r="R611" s="585"/>
      <c r="S611" s="585"/>
      <c r="T611" s="585"/>
      <c r="U611" s="585"/>
      <c r="V611" s="224"/>
      <c r="W611" s="224"/>
    </row>
    <row r="612">
      <c r="A612" s="585"/>
      <c r="B612" s="585"/>
      <c r="C612" s="585"/>
      <c r="D612" s="585"/>
      <c r="E612" s="585"/>
      <c r="F612" s="585"/>
      <c r="G612" s="585"/>
      <c r="H612" s="585"/>
      <c r="I612" s="585"/>
      <c r="J612" s="585"/>
      <c r="K612" s="585"/>
      <c r="L612" s="585"/>
      <c r="M612" s="585"/>
      <c r="N612" s="585"/>
      <c r="O612" s="585"/>
      <c r="P612" s="585"/>
      <c r="Q612" s="585"/>
      <c r="R612" s="585"/>
      <c r="S612" s="585"/>
      <c r="T612" s="585"/>
      <c r="U612" s="585"/>
      <c r="V612" s="224"/>
      <c r="W612" s="224"/>
    </row>
    <row r="613">
      <c r="A613" s="585"/>
      <c r="B613" s="585"/>
      <c r="C613" s="585"/>
      <c r="D613" s="585"/>
      <c r="E613" s="585"/>
      <c r="F613" s="585"/>
      <c r="G613" s="585"/>
      <c r="H613" s="585"/>
      <c r="I613" s="585"/>
      <c r="J613" s="585"/>
      <c r="K613" s="585"/>
      <c r="L613" s="585"/>
      <c r="M613" s="585"/>
      <c r="N613" s="585"/>
      <c r="O613" s="585"/>
      <c r="P613" s="585"/>
      <c r="Q613" s="585"/>
      <c r="R613" s="585"/>
      <c r="S613" s="585"/>
      <c r="T613" s="585"/>
      <c r="U613" s="585"/>
      <c r="V613" s="224"/>
      <c r="W613" s="224"/>
    </row>
    <row r="614">
      <c r="A614" s="585"/>
      <c r="B614" s="585"/>
      <c r="C614" s="585"/>
      <c r="D614" s="585"/>
      <c r="E614" s="585"/>
      <c r="F614" s="585"/>
      <c r="G614" s="585"/>
      <c r="H614" s="585"/>
      <c r="I614" s="585"/>
      <c r="J614" s="585"/>
      <c r="K614" s="585"/>
      <c r="L614" s="585"/>
      <c r="M614" s="585"/>
      <c r="N614" s="585"/>
      <c r="O614" s="585"/>
      <c r="P614" s="585"/>
      <c r="Q614" s="585"/>
      <c r="R614" s="585"/>
      <c r="S614" s="585"/>
      <c r="T614" s="585"/>
      <c r="U614" s="585"/>
      <c r="V614" s="224"/>
      <c r="W614" s="224"/>
    </row>
    <row r="615">
      <c r="A615" s="585"/>
      <c r="B615" s="585"/>
      <c r="C615" s="585"/>
      <c r="D615" s="585"/>
      <c r="E615" s="585"/>
      <c r="F615" s="585"/>
      <c r="G615" s="585"/>
      <c r="H615" s="585"/>
      <c r="I615" s="585"/>
      <c r="J615" s="585"/>
      <c r="K615" s="585"/>
      <c r="L615" s="585"/>
      <c r="M615" s="585"/>
      <c r="N615" s="585"/>
      <c r="O615" s="585"/>
      <c r="P615" s="585"/>
      <c r="Q615" s="585"/>
      <c r="R615" s="585"/>
      <c r="S615" s="585"/>
      <c r="T615" s="585"/>
      <c r="U615" s="585"/>
      <c r="V615" s="224"/>
      <c r="W615" s="224"/>
    </row>
    <row r="616">
      <c r="A616" s="585"/>
      <c r="B616" s="585"/>
      <c r="C616" s="585"/>
      <c r="D616" s="585"/>
      <c r="E616" s="585"/>
      <c r="F616" s="585"/>
      <c r="G616" s="585"/>
      <c r="H616" s="585"/>
      <c r="I616" s="585"/>
      <c r="J616" s="585"/>
      <c r="K616" s="585"/>
      <c r="L616" s="585"/>
      <c r="M616" s="585"/>
      <c r="N616" s="585"/>
      <c r="O616" s="585"/>
      <c r="P616" s="585"/>
      <c r="Q616" s="585"/>
      <c r="R616" s="585"/>
      <c r="S616" s="585"/>
      <c r="T616" s="585"/>
      <c r="U616" s="585"/>
      <c r="V616" s="224"/>
      <c r="W616" s="224"/>
    </row>
    <row r="617">
      <c r="A617" s="585"/>
      <c r="B617" s="585"/>
      <c r="C617" s="585"/>
      <c r="D617" s="585"/>
      <c r="E617" s="585"/>
      <c r="F617" s="585"/>
      <c r="G617" s="585"/>
      <c r="H617" s="585"/>
      <c r="I617" s="585"/>
      <c r="J617" s="585"/>
      <c r="K617" s="585"/>
      <c r="L617" s="585"/>
      <c r="M617" s="585"/>
      <c r="N617" s="585"/>
      <c r="O617" s="585"/>
      <c r="P617" s="585"/>
      <c r="Q617" s="585"/>
      <c r="R617" s="585"/>
      <c r="S617" s="585"/>
      <c r="T617" s="585"/>
      <c r="U617" s="585"/>
      <c r="V617" s="224"/>
      <c r="W617" s="224"/>
    </row>
    <row r="618">
      <c r="A618" s="585"/>
      <c r="B618" s="585"/>
      <c r="C618" s="585"/>
      <c r="D618" s="585"/>
      <c r="E618" s="585"/>
      <c r="F618" s="585"/>
      <c r="G618" s="585"/>
      <c r="H618" s="585"/>
      <c r="I618" s="585"/>
      <c r="J618" s="585"/>
      <c r="K618" s="585"/>
      <c r="L618" s="585"/>
      <c r="M618" s="585"/>
      <c r="N618" s="585"/>
      <c r="O618" s="585"/>
      <c r="P618" s="585"/>
      <c r="Q618" s="585"/>
      <c r="R618" s="585"/>
      <c r="S618" s="585"/>
      <c r="T618" s="585"/>
      <c r="U618" s="585"/>
      <c r="V618" s="224"/>
      <c r="W618" s="224"/>
    </row>
    <row r="619">
      <c r="A619" s="585"/>
      <c r="B619" s="585"/>
      <c r="C619" s="585"/>
      <c r="D619" s="585"/>
      <c r="E619" s="585"/>
      <c r="F619" s="585"/>
      <c r="G619" s="585"/>
      <c r="H619" s="585"/>
      <c r="I619" s="585"/>
      <c r="J619" s="585"/>
      <c r="K619" s="585"/>
      <c r="L619" s="585"/>
      <c r="M619" s="585"/>
      <c r="N619" s="585"/>
      <c r="O619" s="585"/>
      <c r="P619" s="585"/>
      <c r="Q619" s="585"/>
      <c r="R619" s="585"/>
      <c r="S619" s="585"/>
      <c r="T619" s="585"/>
      <c r="U619" s="585"/>
      <c r="V619" s="224"/>
      <c r="W619" s="224"/>
    </row>
    <row r="620">
      <c r="A620" s="585"/>
      <c r="B620" s="585"/>
      <c r="C620" s="585"/>
      <c r="D620" s="585"/>
      <c r="E620" s="585"/>
      <c r="F620" s="585"/>
      <c r="G620" s="585"/>
      <c r="H620" s="585"/>
      <c r="I620" s="585"/>
      <c r="J620" s="585"/>
      <c r="K620" s="585"/>
      <c r="L620" s="585"/>
      <c r="M620" s="585"/>
      <c r="N620" s="585"/>
      <c r="O620" s="585"/>
      <c r="P620" s="585"/>
      <c r="Q620" s="585"/>
      <c r="R620" s="585"/>
      <c r="S620" s="585"/>
      <c r="T620" s="585"/>
      <c r="U620" s="585"/>
      <c r="V620" s="224"/>
      <c r="W620" s="224"/>
    </row>
    <row r="621">
      <c r="A621" s="585"/>
      <c r="B621" s="585"/>
      <c r="C621" s="585"/>
      <c r="D621" s="585"/>
      <c r="E621" s="585"/>
      <c r="F621" s="585"/>
      <c r="G621" s="585"/>
      <c r="H621" s="585"/>
      <c r="I621" s="585"/>
      <c r="J621" s="585"/>
      <c r="K621" s="585"/>
      <c r="L621" s="585"/>
      <c r="M621" s="585"/>
      <c r="N621" s="585"/>
      <c r="O621" s="585"/>
      <c r="P621" s="585"/>
      <c r="Q621" s="585"/>
      <c r="R621" s="585"/>
      <c r="S621" s="585"/>
      <c r="T621" s="585"/>
      <c r="U621" s="585"/>
      <c r="V621" s="224"/>
      <c r="W621" s="224"/>
    </row>
    <row r="622">
      <c r="A622" s="585"/>
      <c r="B622" s="585"/>
      <c r="C622" s="585"/>
      <c r="D622" s="585"/>
      <c r="E622" s="585"/>
      <c r="F622" s="585"/>
      <c r="G622" s="585"/>
      <c r="H622" s="585"/>
      <c r="I622" s="585"/>
      <c r="J622" s="585"/>
      <c r="K622" s="585"/>
      <c r="L622" s="585"/>
      <c r="M622" s="585"/>
      <c r="N622" s="585"/>
      <c r="O622" s="585"/>
      <c r="P622" s="585"/>
      <c r="Q622" s="585"/>
      <c r="R622" s="585"/>
      <c r="S622" s="585"/>
      <c r="T622" s="585"/>
      <c r="U622" s="585"/>
      <c r="V622" s="224"/>
      <c r="W622" s="224"/>
    </row>
    <row r="623">
      <c r="A623" s="585"/>
      <c r="B623" s="585"/>
      <c r="C623" s="585"/>
      <c r="D623" s="585"/>
      <c r="E623" s="585"/>
      <c r="F623" s="585"/>
      <c r="G623" s="585"/>
      <c r="H623" s="585"/>
      <c r="I623" s="585"/>
      <c r="J623" s="585"/>
      <c r="K623" s="585"/>
      <c r="L623" s="585"/>
      <c r="M623" s="585"/>
      <c r="N623" s="585"/>
      <c r="O623" s="585"/>
      <c r="P623" s="585"/>
      <c r="Q623" s="585"/>
      <c r="R623" s="585"/>
      <c r="S623" s="585"/>
      <c r="T623" s="585"/>
      <c r="U623" s="585"/>
      <c r="V623" s="224"/>
      <c r="W623" s="224"/>
    </row>
    <row r="624">
      <c r="A624" s="585"/>
      <c r="B624" s="585"/>
      <c r="C624" s="585"/>
      <c r="D624" s="585"/>
      <c r="E624" s="585"/>
      <c r="F624" s="585"/>
      <c r="G624" s="585"/>
      <c r="H624" s="585"/>
      <c r="I624" s="585"/>
      <c r="J624" s="585"/>
      <c r="K624" s="585"/>
      <c r="L624" s="585"/>
      <c r="M624" s="585"/>
      <c r="N624" s="585"/>
      <c r="O624" s="585"/>
      <c r="P624" s="585"/>
      <c r="Q624" s="585"/>
      <c r="R624" s="585"/>
      <c r="S624" s="585"/>
      <c r="T624" s="585"/>
      <c r="U624" s="585"/>
      <c r="V624" s="224"/>
      <c r="W624" s="224"/>
    </row>
    <row r="625">
      <c r="A625" s="585"/>
      <c r="B625" s="585"/>
      <c r="C625" s="585"/>
      <c r="D625" s="585"/>
      <c r="E625" s="585"/>
      <c r="F625" s="585"/>
      <c r="G625" s="585"/>
      <c r="H625" s="585"/>
      <c r="I625" s="585"/>
      <c r="J625" s="585"/>
      <c r="K625" s="585"/>
      <c r="L625" s="585"/>
      <c r="M625" s="585"/>
      <c r="N625" s="585"/>
      <c r="O625" s="585"/>
      <c r="P625" s="585"/>
      <c r="Q625" s="585"/>
      <c r="R625" s="585"/>
      <c r="S625" s="585"/>
      <c r="T625" s="585"/>
      <c r="U625" s="585"/>
      <c r="V625" s="224"/>
      <c r="W625" s="224"/>
    </row>
    <row r="626">
      <c r="A626" s="585"/>
      <c r="B626" s="585"/>
      <c r="C626" s="585"/>
      <c r="D626" s="585"/>
      <c r="E626" s="585"/>
      <c r="F626" s="585"/>
      <c r="G626" s="585"/>
      <c r="H626" s="585"/>
      <c r="I626" s="585"/>
      <c r="J626" s="585"/>
      <c r="K626" s="585"/>
      <c r="L626" s="585"/>
      <c r="M626" s="585"/>
      <c r="N626" s="585"/>
      <c r="O626" s="585"/>
      <c r="P626" s="585"/>
      <c r="Q626" s="585"/>
      <c r="R626" s="585"/>
      <c r="S626" s="585"/>
      <c r="T626" s="585"/>
      <c r="U626" s="585"/>
      <c r="V626" s="224"/>
      <c r="W626" s="224"/>
    </row>
    <row r="627">
      <c r="A627" s="585"/>
      <c r="B627" s="585"/>
      <c r="C627" s="585"/>
      <c r="D627" s="585"/>
      <c r="E627" s="585"/>
      <c r="F627" s="585"/>
      <c r="G627" s="585"/>
      <c r="H627" s="585"/>
      <c r="I627" s="585"/>
      <c r="J627" s="585"/>
      <c r="K627" s="585"/>
      <c r="L627" s="585"/>
      <c r="M627" s="585"/>
      <c r="N627" s="585"/>
      <c r="O627" s="585"/>
      <c r="P627" s="585"/>
      <c r="Q627" s="585"/>
      <c r="R627" s="585"/>
      <c r="S627" s="585"/>
      <c r="T627" s="585"/>
      <c r="U627" s="585"/>
      <c r="V627" s="224"/>
      <c r="W627" s="224"/>
    </row>
    <row r="628">
      <c r="A628" s="585"/>
      <c r="B628" s="585"/>
      <c r="C628" s="585"/>
      <c r="D628" s="585"/>
      <c r="E628" s="585"/>
      <c r="F628" s="585"/>
      <c r="G628" s="585"/>
      <c r="H628" s="585"/>
      <c r="I628" s="585"/>
      <c r="J628" s="585"/>
      <c r="K628" s="585"/>
      <c r="L628" s="585"/>
      <c r="M628" s="585"/>
      <c r="N628" s="585"/>
      <c r="O628" s="585"/>
      <c r="P628" s="585"/>
      <c r="Q628" s="585"/>
      <c r="R628" s="585"/>
      <c r="S628" s="585"/>
      <c r="T628" s="585"/>
      <c r="U628" s="585"/>
      <c r="V628" s="224"/>
      <c r="W628" s="224"/>
    </row>
    <row r="629">
      <c r="A629" s="585"/>
      <c r="B629" s="585"/>
      <c r="C629" s="585"/>
      <c r="D629" s="585"/>
      <c r="E629" s="585"/>
      <c r="F629" s="585"/>
      <c r="G629" s="585"/>
      <c r="H629" s="585"/>
      <c r="I629" s="585"/>
      <c r="J629" s="585"/>
      <c r="K629" s="585"/>
      <c r="L629" s="585"/>
      <c r="M629" s="585"/>
      <c r="N629" s="585"/>
      <c r="O629" s="585"/>
      <c r="P629" s="585"/>
      <c r="Q629" s="585"/>
      <c r="R629" s="585"/>
      <c r="S629" s="585"/>
      <c r="T629" s="585"/>
      <c r="U629" s="585"/>
      <c r="V629" s="224"/>
      <c r="W629" s="224"/>
    </row>
    <row r="630">
      <c r="A630" s="585"/>
      <c r="B630" s="585"/>
      <c r="C630" s="585"/>
      <c r="D630" s="585"/>
      <c r="E630" s="585"/>
      <c r="F630" s="585"/>
      <c r="G630" s="585"/>
      <c r="H630" s="585"/>
      <c r="I630" s="585"/>
      <c r="J630" s="585"/>
      <c r="K630" s="585"/>
      <c r="L630" s="585"/>
      <c r="M630" s="585"/>
      <c r="N630" s="585"/>
      <c r="O630" s="585"/>
      <c r="P630" s="585"/>
      <c r="Q630" s="585"/>
      <c r="R630" s="585"/>
      <c r="S630" s="585"/>
      <c r="T630" s="585"/>
      <c r="U630" s="585"/>
      <c r="V630" s="224"/>
      <c r="W630" s="224"/>
    </row>
    <row r="631">
      <c r="A631" s="585"/>
      <c r="B631" s="585"/>
      <c r="C631" s="585"/>
      <c r="D631" s="585"/>
      <c r="E631" s="585"/>
      <c r="F631" s="585"/>
      <c r="G631" s="585"/>
      <c r="H631" s="585"/>
      <c r="I631" s="585"/>
      <c r="J631" s="585"/>
      <c r="K631" s="585"/>
      <c r="L631" s="585"/>
      <c r="M631" s="585"/>
      <c r="N631" s="585"/>
      <c r="O631" s="585"/>
      <c r="P631" s="585"/>
      <c r="Q631" s="585"/>
      <c r="R631" s="585"/>
      <c r="S631" s="585"/>
      <c r="T631" s="585"/>
      <c r="U631" s="585"/>
      <c r="V631" s="224"/>
      <c r="W631" s="224"/>
    </row>
    <row r="632">
      <c r="A632" s="585"/>
      <c r="B632" s="585"/>
      <c r="C632" s="585"/>
      <c r="D632" s="585"/>
      <c r="E632" s="585"/>
      <c r="F632" s="585"/>
      <c r="G632" s="585"/>
      <c r="H632" s="585"/>
      <c r="I632" s="585"/>
      <c r="J632" s="585"/>
      <c r="K632" s="585"/>
      <c r="L632" s="585"/>
      <c r="M632" s="585"/>
      <c r="N632" s="585"/>
      <c r="O632" s="585"/>
      <c r="P632" s="585"/>
      <c r="Q632" s="585"/>
      <c r="R632" s="585"/>
      <c r="S632" s="585"/>
      <c r="T632" s="585"/>
      <c r="U632" s="585"/>
      <c r="V632" s="224"/>
      <c r="W632" s="224"/>
    </row>
    <row r="633">
      <c r="A633" s="585"/>
      <c r="B633" s="585"/>
      <c r="C633" s="585"/>
      <c r="D633" s="585"/>
      <c r="E633" s="585"/>
      <c r="F633" s="585"/>
      <c r="G633" s="585"/>
      <c r="H633" s="585"/>
      <c r="I633" s="585"/>
      <c r="J633" s="585"/>
      <c r="K633" s="585"/>
      <c r="L633" s="585"/>
      <c r="M633" s="585"/>
      <c r="N633" s="585"/>
      <c r="O633" s="585"/>
      <c r="P633" s="585"/>
      <c r="Q633" s="585"/>
      <c r="R633" s="585"/>
      <c r="S633" s="585"/>
      <c r="T633" s="585"/>
      <c r="U633" s="585"/>
      <c r="V633" s="224"/>
      <c r="W633" s="224"/>
    </row>
    <row r="634">
      <c r="A634" s="585"/>
      <c r="B634" s="585"/>
      <c r="C634" s="585"/>
      <c r="D634" s="585"/>
      <c r="E634" s="585"/>
      <c r="F634" s="585"/>
      <c r="G634" s="585"/>
      <c r="H634" s="585"/>
      <c r="I634" s="585"/>
      <c r="J634" s="585"/>
      <c r="K634" s="585"/>
      <c r="L634" s="585"/>
      <c r="M634" s="585"/>
      <c r="N634" s="585"/>
      <c r="O634" s="585"/>
      <c r="P634" s="585"/>
      <c r="Q634" s="585"/>
      <c r="R634" s="585"/>
      <c r="S634" s="585"/>
      <c r="T634" s="585"/>
      <c r="U634" s="585"/>
      <c r="V634" s="224"/>
      <c r="W634" s="224"/>
    </row>
    <row r="635">
      <c r="A635" s="585"/>
      <c r="B635" s="585"/>
      <c r="C635" s="585"/>
      <c r="D635" s="585"/>
      <c r="E635" s="585"/>
      <c r="F635" s="585"/>
      <c r="G635" s="585"/>
      <c r="H635" s="585"/>
      <c r="I635" s="585"/>
      <c r="J635" s="585"/>
      <c r="K635" s="585"/>
      <c r="L635" s="585"/>
      <c r="M635" s="585"/>
      <c r="N635" s="585"/>
      <c r="O635" s="585"/>
      <c r="P635" s="585"/>
      <c r="Q635" s="585"/>
      <c r="R635" s="585"/>
      <c r="S635" s="585"/>
      <c r="T635" s="585"/>
      <c r="U635" s="585"/>
      <c r="V635" s="224"/>
      <c r="W635" s="224"/>
    </row>
    <row r="636">
      <c r="A636" s="585"/>
      <c r="B636" s="585"/>
      <c r="C636" s="585"/>
      <c r="D636" s="585"/>
      <c r="E636" s="585"/>
      <c r="F636" s="585"/>
      <c r="G636" s="585"/>
      <c r="H636" s="585"/>
      <c r="I636" s="585"/>
      <c r="J636" s="585"/>
      <c r="K636" s="585"/>
      <c r="L636" s="585"/>
      <c r="M636" s="585"/>
      <c r="N636" s="585"/>
      <c r="O636" s="585"/>
      <c r="P636" s="585"/>
      <c r="Q636" s="585"/>
      <c r="R636" s="585"/>
      <c r="S636" s="585"/>
      <c r="T636" s="585"/>
      <c r="U636" s="585"/>
      <c r="V636" s="224"/>
      <c r="W636" s="224"/>
    </row>
    <row r="637">
      <c r="A637" s="585"/>
      <c r="B637" s="585"/>
      <c r="C637" s="585"/>
      <c r="D637" s="585"/>
      <c r="E637" s="585"/>
      <c r="F637" s="585"/>
      <c r="G637" s="585"/>
      <c r="H637" s="585"/>
      <c r="I637" s="585"/>
      <c r="J637" s="585"/>
      <c r="K637" s="585"/>
      <c r="L637" s="585"/>
      <c r="M637" s="585"/>
      <c r="N637" s="585"/>
      <c r="O637" s="585"/>
      <c r="P637" s="585"/>
      <c r="Q637" s="585"/>
      <c r="R637" s="585"/>
      <c r="S637" s="585"/>
      <c r="T637" s="585"/>
      <c r="U637" s="585"/>
      <c r="V637" s="224"/>
      <c r="W637" s="224"/>
    </row>
    <row r="638">
      <c r="A638" s="585"/>
      <c r="B638" s="585"/>
      <c r="C638" s="585"/>
      <c r="D638" s="585"/>
      <c r="E638" s="585"/>
      <c r="F638" s="585"/>
      <c r="G638" s="585"/>
      <c r="H638" s="585"/>
      <c r="I638" s="585"/>
      <c r="J638" s="585"/>
      <c r="K638" s="585"/>
      <c r="L638" s="585"/>
      <c r="M638" s="585"/>
      <c r="N638" s="585"/>
      <c r="O638" s="585"/>
      <c r="P638" s="585"/>
      <c r="Q638" s="585"/>
      <c r="R638" s="585"/>
      <c r="S638" s="585"/>
      <c r="T638" s="585"/>
      <c r="U638" s="585"/>
      <c r="V638" s="224"/>
      <c r="W638" s="224"/>
    </row>
    <row r="639">
      <c r="A639" s="585"/>
      <c r="B639" s="585"/>
      <c r="C639" s="585"/>
      <c r="D639" s="585"/>
      <c r="E639" s="585"/>
      <c r="F639" s="585"/>
      <c r="G639" s="585"/>
      <c r="H639" s="585"/>
      <c r="I639" s="585"/>
      <c r="J639" s="585"/>
      <c r="K639" s="585"/>
      <c r="L639" s="585"/>
      <c r="M639" s="585"/>
      <c r="N639" s="585"/>
      <c r="O639" s="585"/>
      <c r="P639" s="585"/>
      <c r="Q639" s="585"/>
      <c r="R639" s="585"/>
      <c r="S639" s="585"/>
      <c r="T639" s="585"/>
      <c r="U639" s="585"/>
      <c r="V639" s="224"/>
      <c r="W639" s="224"/>
    </row>
    <row r="640">
      <c r="A640" s="585"/>
      <c r="B640" s="585"/>
      <c r="C640" s="585"/>
      <c r="D640" s="585"/>
      <c r="E640" s="585"/>
      <c r="F640" s="585"/>
      <c r="G640" s="585"/>
      <c r="H640" s="585"/>
      <c r="I640" s="585"/>
      <c r="J640" s="585"/>
      <c r="K640" s="585"/>
      <c r="L640" s="585"/>
      <c r="M640" s="585"/>
      <c r="N640" s="585"/>
      <c r="O640" s="585"/>
      <c r="P640" s="585"/>
      <c r="Q640" s="585"/>
      <c r="R640" s="585"/>
      <c r="S640" s="585"/>
      <c r="T640" s="585"/>
      <c r="U640" s="585"/>
      <c r="V640" s="224"/>
      <c r="W640" s="224"/>
    </row>
    <row r="641">
      <c r="A641" s="585"/>
      <c r="B641" s="585"/>
      <c r="C641" s="585"/>
      <c r="D641" s="585"/>
      <c r="E641" s="585"/>
      <c r="F641" s="585"/>
      <c r="G641" s="585"/>
      <c r="H641" s="585"/>
      <c r="I641" s="585"/>
      <c r="J641" s="585"/>
      <c r="K641" s="585"/>
      <c r="L641" s="585"/>
      <c r="M641" s="585"/>
      <c r="N641" s="585"/>
      <c r="O641" s="585"/>
      <c r="P641" s="585"/>
      <c r="Q641" s="585"/>
      <c r="R641" s="585"/>
      <c r="S641" s="585"/>
      <c r="T641" s="585"/>
      <c r="U641" s="585"/>
      <c r="V641" s="224"/>
      <c r="W641" s="224"/>
    </row>
    <row r="642">
      <c r="A642" s="585"/>
      <c r="B642" s="585"/>
      <c r="C642" s="585"/>
      <c r="D642" s="585"/>
      <c r="E642" s="585"/>
      <c r="F642" s="585"/>
      <c r="G642" s="585"/>
      <c r="H642" s="585"/>
      <c r="I642" s="585"/>
      <c r="J642" s="585"/>
      <c r="K642" s="585"/>
      <c r="L642" s="585"/>
      <c r="M642" s="585"/>
      <c r="N642" s="585"/>
      <c r="O642" s="585"/>
      <c r="P642" s="585"/>
      <c r="Q642" s="585"/>
      <c r="R642" s="585"/>
      <c r="S642" s="585"/>
      <c r="T642" s="585"/>
      <c r="U642" s="585"/>
      <c r="V642" s="224"/>
      <c r="W642" s="224"/>
    </row>
    <row r="643">
      <c r="A643" s="585"/>
      <c r="B643" s="585"/>
      <c r="C643" s="585"/>
      <c r="D643" s="585"/>
      <c r="E643" s="585"/>
      <c r="F643" s="585"/>
      <c r="G643" s="585"/>
      <c r="H643" s="585"/>
      <c r="I643" s="585"/>
      <c r="J643" s="585"/>
      <c r="K643" s="585"/>
      <c r="L643" s="585"/>
      <c r="M643" s="585"/>
      <c r="N643" s="585"/>
      <c r="O643" s="585"/>
      <c r="P643" s="585"/>
      <c r="Q643" s="585"/>
      <c r="R643" s="585"/>
      <c r="S643" s="585"/>
      <c r="T643" s="585"/>
      <c r="U643" s="585"/>
      <c r="V643" s="224"/>
      <c r="W643" s="224"/>
    </row>
    <row r="644">
      <c r="A644" s="585"/>
      <c r="B644" s="585"/>
      <c r="C644" s="585"/>
      <c r="D644" s="585"/>
      <c r="E644" s="585"/>
      <c r="F644" s="585"/>
      <c r="G644" s="585"/>
      <c r="H644" s="585"/>
      <c r="I644" s="585"/>
      <c r="J644" s="585"/>
      <c r="K644" s="585"/>
      <c r="L644" s="585"/>
      <c r="M644" s="585"/>
      <c r="N644" s="585"/>
      <c r="O644" s="585"/>
      <c r="P644" s="585"/>
      <c r="Q644" s="585"/>
      <c r="R644" s="585"/>
      <c r="S644" s="585"/>
      <c r="T644" s="585"/>
      <c r="U644" s="585"/>
      <c r="V644" s="224"/>
      <c r="W644" s="224"/>
    </row>
    <row r="645">
      <c r="A645" s="585"/>
      <c r="B645" s="585"/>
      <c r="C645" s="585"/>
      <c r="D645" s="585"/>
      <c r="E645" s="585"/>
      <c r="F645" s="585"/>
      <c r="G645" s="585"/>
      <c r="H645" s="585"/>
      <c r="I645" s="585"/>
      <c r="J645" s="585"/>
      <c r="K645" s="585"/>
      <c r="L645" s="585"/>
      <c r="M645" s="585"/>
      <c r="N645" s="585"/>
      <c r="O645" s="585"/>
      <c r="P645" s="585"/>
      <c r="Q645" s="585"/>
      <c r="R645" s="585"/>
      <c r="S645" s="585"/>
      <c r="T645" s="585"/>
      <c r="U645" s="585"/>
      <c r="V645" s="224"/>
      <c r="W645" s="224"/>
    </row>
    <row r="646">
      <c r="A646" s="585"/>
      <c r="B646" s="585"/>
      <c r="C646" s="585"/>
      <c r="D646" s="585"/>
      <c r="E646" s="585"/>
      <c r="F646" s="585"/>
      <c r="G646" s="585"/>
      <c r="H646" s="585"/>
      <c r="I646" s="585"/>
      <c r="J646" s="585"/>
      <c r="K646" s="585"/>
      <c r="L646" s="585"/>
      <c r="M646" s="585"/>
      <c r="N646" s="585"/>
      <c r="O646" s="585"/>
      <c r="P646" s="585"/>
      <c r="Q646" s="585"/>
      <c r="R646" s="585"/>
      <c r="S646" s="585"/>
      <c r="T646" s="585"/>
      <c r="U646" s="585"/>
      <c r="V646" s="224"/>
      <c r="W646" s="224"/>
    </row>
    <row r="647">
      <c r="A647" s="585"/>
      <c r="B647" s="585"/>
      <c r="C647" s="585"/>
      <c r="D647" s="585"/>
      <c r="E647" s="585"/>
      <c r="F647" s="585"/>
      <c r="G647" s="585"/>
      <c r="H647" s="585"/>
      <c r="I647" s="585"/>
      <c r="J647" s="585"/>
      <c r="K647" s="585"/>
      <c r="L647" s="585"/>
      <c r="M647" s="585"/>
      <c r="N647" s="585"/>
      <c r="O647" s="585"/>
      <c r="P647" s="585"/>
      <c r="Q647" s="585"/>
      <c r="R647" s="585"/>
      <c r="S647" s="585"/>
      <c r="T647" s="585"/>
      <c r="U647" s="585"/>
      <c r="V647" s="224"/>
      <c r="W647" s="224"/>
    </row>
    <row r="648">
      <c r="A648" s="585"/>
      <c r="B648" s="585"/>
      <c r="C648" s="585"/>
      <c r="D648" s="585"/>
      <c r="E648" s="585"/>
      <c r="F648" s="585"/>
      <c r="G648" s="585"/>
      <c r="H648" s="585"/>
      <c r="I648" s="585"/>
      <c r="J648" s="585"/>
      <c r="K648" s="585"/>
      <c r="L648" s="585"/>
      <c r="M648" s="585"/>
      <c r="N648" s="585"/>
      <c r="O648" s="585"/>
      <c r="P648" s="585"/>
      <c r="Q648" s="585"/>
      <c r="R648" s="585"/>
      <c r="S648" s="585"/>
      <c r="T648" s="585"/>
      <c r="U648" s="585"/>
      <c r="V648" s="224"/>
      <c r="W648" s="224"/>
    </row>
    <row r="649">
      <c r="A649" s="585"/>
      <c r="B649" s="585"/>
      <c r="C649" s="585"/>
      <c r="D649" s="585"/>
      <c r="E649" s="585"/>
      <c r="F649" s="585"/>
      <c r="G649" s="585"/>
      <c r="H649" s="585"/>
      <c r="I649" s="585"/>
      <c r="J649" s="585"/>
      <c r="K649" s="585"/>
      <c r="L649" s="585"/>
      <c r="M649" s="585"/>
      <c r="N649" s="585"/>
      <c r="O649" s="585"/>
      <c r="P649" s="585"/>
      <c r="Q649" s="585"/>
      <c r="R649" s="585"/>
      <c r="S649" s="585"/>
      <c r="T649" s="585"/>
      <c r="U649" s="585"/>
      <c r="V649" s="224"/>
      <c r="W649" s="224"/>
    </row>
    <row r="650">
      <c r="A650" s="585"/>
      <c r="B650" s="585"/>
      <c r="C650" s="585"/>
      <c r="D650" s="585"/>
      <c r="E650" s="585"/>
      <c r="F650" s="585"/>
      <c r="G650" s="585"/>
      <c r="H650" s="585"/>
      <c r="I650" s="585"/>
      <c r="J650" s="585"/>
      <c r="K650" s="585"/>
      <c r="L650" s="585"/>
      <c r="M650" s="585"/>
      <c r="N650" s="585"/>
      <c r="O650" s="585"/>
      <c r="P650" s="585"/>
      <c r="Q650" s="585"/>
      <c r="R650" s="585"/>
      <c r="S650" s="585"/>
      <c r="T650" s="585"/>
      <c r="U650" s="585"/>
      <c r="V650" s="224"/>
      <c r="W650" s="224"/>
    </row>
    <row r="651">
      <c r="A651" s="585"/>
      <c r="B651" s="585"/>
      <c r="C651" s="585"/>
      <c r="D651" s="585"/>
      <c r="E651" s="585"/>
      <c r="F651" s="585"/>
      <c r="G651" s="585"/>
      <c r="H651" s="585"/>
      <c r="I651" s="585"/>
      <c r="J651" s="585"/>
      <c r="K651" s="585"/>
      <c r="L651" s="585"/>
      <c r="M651" s="585"/>
      <c r="N651" s="585"/>
      <c r="O651" s="585"/>
      <c r="P651" s="585"/>
      <c r="Q651" s="585"/>
      <c r="R651" s="585"/>
      <c r="S651" s="585"/>
      <c r="T651" s="585"/>
      <c r="U651" s="585"/>
      <c r="V651" s="224"/>
      <c r="W651" s="224"/>
    </row>
    <row r="652">
      <c r="A652" s="585"/>
      <c r="B652" s="585"/>
      <c r="C652" s="585"/>
      <c r="D652" s="585"/>
      <c r="E652" s="585"/>
      <c r="F652" s="585"/>
      <c r="G652" s="585"/>
      <c r="H652" s="585"/>
      <c r="I652" s="585"/>
      <c r="J652" s="585"/>
      <c r="K652" s="585"/>
      <c r="L652" s="585"/>
      <c r="M652" s="585"/>
      <c r="N652" s="585"/>
      <c r="O652" s="585"/>
      <c r="P652" s="585"/>
      <c r="Q652" s="585"/>
      <c r="R652" s="585"/>
      <c r="S652" s="585"/>
      <c r="T652" s="585"/>
      <c r="U652" s="585"/>
      <c r="V652" s="224"/>
      <c r="W652" s="224"/>
    </row>
    <row r="653">
      <c r="A653" s="585"/>
      <c r="B653" s="585"/>
      <c r="C653" s="585"/>
      <c r="D653" s="585"/>
      <c r="E653" s="585"/>
      <c r="F653" s="585"/>
      <c r="G653" s="585"/>
      <c r="H653" s="585"/>
      <c r="I653" s="585"/>
      <c r="J653" s="585"/>
      <c r="K653" s="585"/>
      <c r="L653" s="585"/>
      <c r="M653" s="585"/>
      <c r="N653" s="585"/>
      <c r="O653" s="585"/>
      <c r="P653" s="585"/>
      <c r="Q653" s="585"/>
      <c r="R653" s="585"/>
      <c r="S653" s="585"/>
      <c r="T653" s="585"/>
      <c r="U653" s="585"/>
      <c r="V653" s="224"/>
      <c r="W653" s="224"/>
    </row>
    <row r="654">
      <c r="A654" s="585"/>
      <c r="B654" s="585"/>
      <c r="C654" s="585"/>
      <c r="D654" s="585"/>
      <c r="E654" s="585"/>
      <c r="F654" s="585"/>
      <c r="G654" s="585"/>
      <c r="H654" s="585"/>
      <c r="I654" s="585"/>
      <c r="J654" s="585"/>
      <c r="K654" s="585"/>
      <c r="L654" s="585"/>
      <c r="M654" s="585"/>
      <c r="N654" s="585"/>
      <c r="O654" s="585"/>
      <c r="P654" s="585"/>
      <c r="Q654" s="585"/>
      <c r="R654" s="585"/>
      <c r="S654" s="585"/>
      <c r="T654" s="585"/>
      <c r="U654" s="585"/>
      <c r="V654" s="224"/>
      <c r="W654" s="224"/>
    </row>
    <row r="655">
      <c r="A655" s="585"/>
      <c r="B655" s="585"/>
      <c r="C655" s="585"/>
      <c r="D655" s="585"/>
      <c r="E655" s="585"/>
      <c r="F655" s="585"/>
      <c r="G655" s="585"/>
      <c r="H655" s="585"/>
      <c r="I655" s="585"/>
      <c r="J655" s="585"/>
      <c r="K655" s="585"/>
      <c r="L655" s="585"/>
      <c r="M655" s="585"/>
      <c r="N655" s="585"/>
      <c r="O655" s="585"/>
      <c r="P655" s="585"/>
      <c r="Q655" s="585"/>
      <c r="R655" s="585"/>
      <c r="S655" s="585"/>
      <c r="T655" s="585"/>
      <c r="U655" s="585"/>
      <c r="V655" s="224"/>
      <c r="W655" s="224"/>
    </row>
    <row r="656">
      <c r="A656" s="585"/>
      <c r="B656" s="585"/>
      <c r="C656" s="585"/>
      <c r="D656" s="585"/>
      <c r="E656" s="585"/>
      <c r="F656" s="585"/>
      <c r="G656" s="585"/>
      <c r="H656" s="585"/>
      <c r="I656" s="585"/>
      <c r="J656" s="585"/>
      <c r="K656" s="585"/>
      <c r="L656" s="585"/>
      <c r="M656" s="585"/>
      <c r="N656" s="585"/>
      <c r="O656" s="585"/>
      <c r="P656" s="585"/>
      <c r="Q656" s="585"/>
      <c r="R656" s="585"/>
      <c r="S656" s="585"/>
      <c r="T656" s="585"/>
      <c r="U656" s="585"/>
      <c r="V656" s="224"/>
      <c r="W656" s="224"/>
    </row>
    <row r="657">
      <c r="A657" s="585"/>
      <c r="B657" s="585"/>
      <c r="C657" s="585"/>
      <c r="D657" s="585"/>
      <c r="E657" s="585"/>
      <c r="F657" s="585"/>
      <c r="G657" s="585"/>
      <c r="H657" s="585"/>
      <c r="I657" s="585"/>
      <c r="J657" s="585"/>
      <c r="K657" s="585"/>
      <c r="L657" s="585"/>
      <c r="M657" s="585"/>
      <c r="N657" s="585"/>
      <c r="O657" s="585"/>
      <c r="P657" s="585"/>
      <c r="Q657" s="585"/>
      <c r="R657" s="585"/>
      <c r="S657" s="585"/>
      <c r="T657" s="585"/>
      <c r="U657" s="585"/>
      <c r="V657" s="224"/>
      <c r="W657" s="224"/>
    </row>
    <row r="658">
      <c r="A658" s="585"/>
      <c r="B658" s="585"/>
      <c r="C658" s="585"/>
      <c r="D658" s="585"/>
      <c r="E658" s="585"/>
      <c r="F658" s="585"/>
      <c r="G658" s="585"/>
      <c r="H658" s="585"/>
      <c r="I658" s="585"/>
      <c r="J658" s="585"/>
      <c r="K658" s="585"/>
      <c r="L658" s="585"/>
      <c r="M658" s="585"/>
      <c r="N658" s="585"/>
      <c r="O658" s="585"/>
      <c r="P658" s="585"/>
      <c r="Q658" s="585"/>
      <c r="R658" s="585"/>
      <c r="S658" s="585"/>
      <c r="T658" s="585"/>
      <c r="U658" s="585"/>
      <c r="V658" s="224"/>
      <c r="W658" s="224"/>
    </row>
    <row r="659">
      <c r="A659" s="585"/>
      <c r="B659" s="585"/>
      <c r="C659" s="585"/>
      <c r="D659" s="585"/>
      <c r="E659" s="585"/>
      <c r="F659" s="585"/>
      <c r="G659" s="585"/>
      <c r="H659" s="585"/>
      <c r="I659" s="585"/>
      <c r="J659" s="585"/>
      <c r="K659" s="585"/>
      <c r="L659" s="585"/>
      <c r="M659" s="585"/>
      <c r="N659" s="585"/>
      <c r="O659" s="585"/>
      <c r="P659" s="585"/>
      <c r="Q659" s="585"/>
      <c r="R659" s="585"/>
      <c r="S659" s="585"/>
      <c r="T659" s="585"/>
      <c r="U659" s="585"/>
      <c r="V659" s="224"/>
      <c r="W659" s="224"/>
    </row>
    <row r="660">
      <c r="A660" s="585"/>
      <c r="B660" s="585"/>
      <c r="C660" s="585"/>
      <c r="D660" s="585"/>
      <c r="E660" s="585"/>
      <c r="F660" s="585"/>
      <c r="G660" s="585"/>
      <c r="H660" s="585"/>
      <c r="I660" s="585"/>
      <c r="J660" s="585"/>
      <c r="K660" s="585"/>
      <c r="L660" s="585"/>
      <c r="M660" s="585"/>
      <c r="N660" s="585"/>
      <c r="O660" s="585"/>
      <c r="P660" s="585"/>
      <c r="Q660" s="585"/>
      <c r="R660" s="585"/>
      <c r="S660" s="585"/>
      <c r="T660" s="585"/>
      <c r="U660" s="585"/>
      <c r="V660" s="224"/>
      <c r="W660" s="224"/>
    </row>
    <row r="661">
      <c r="A661" s="585"/>
      <c r="B661" s="585"/>
      <c r="C661" s="585"/>
      <c r="D661" s="585"/>
      <c r="E661" s="585"/>
      <c r="F661" s="585"/>
      <c r="G661" s="585"/>
      <c r="H661" s="585"/>
      <c r="I661" s="585"/>
      <c r="J661" s="585"/>
      <c r="K661" s="585"/>
      <c r="L661" s="585"/>
      <c r="M661" s="585"/>
      <c r="N661" s="585"/>
      <c r="O661" s="585"/>
      <c r="P661" s="585"/>
      <c r="Q661" s="585"/>
      <c r="R661" s="585"/>
      <c r="S661" s="585"/>
      <c r="T661" s="585"/>
      <c r="U661" s="585"/>
      <c r="V661" s="224"/>
      <c r="W661" s="224"/>
    </row>
    <row r="662">
      <c r="A662" s="585"/>
      <c r="B662" s="585"/>
      <c r="C662" s="585"/>
      <c r="D662" s="585"/>
      <c r="E662" s="585"/>
      <c r="F662" s="585"/>
      <c r="G662" s="585"/>
      <c r="H662" s="585"/>
      <c r="I662" s="585"/>
      <c r="J662" s="585"/>
      <c r="K662" s="585"/>
      <c r="L662" s="585"/>
      <c r="M662" s="585"/>
      <c r="N662" s="585"/>
      <c r="O662" s="585"/>
      <c r="P662" s="585"/>
      <c r="Q662" s="585"/>
      <c r="R662" s="585"/>
      <c r="S662" s="585"/>
      <c r="T662" s="585"/>
      <c r="U662" s="585"/>
      <c r="V662" s="224"/>
      <c r="W662" s="224"/>
    </row>
    <row r="663">
      <c r="A663" s="585"/>
      <c r="B663" s="585"/>
      <c r="C663" s="585"/>
      <c r="D663" s="585"/>
      <c r="E663" s="585"/>
      <c r="F663" s="585"/>
      <c r="G663" s="585"/>
      <c r="H663" s="585"/>
      <c r="I663" s="585"/>
      <c r="J663" s="585"/>
      <c r="K663" s="585"/>
      <c r="L663" s="585"/>
      <c r="M663" s="585"/>
      <c r="N663" s="585"/>
      <c r="O663" s="585"/>
      <c r="P663" s="585"/>
      <c r="Q663" s="585"/>
      <c r="R663" s="585"/>
      <c r="S663" s="585"/>
      <c r="T663" s="585"/>
      <c r="U663" s="585"/>
      <c r="V663" s="224"/>
      <c r="W663" s="224"/>
    </row>
    <row r="664">
      <c r="A664" s="585"/>
      <c r="B664" s="585"/>
      <c r="C664" s="585"/>
      <c r="D664" s="585"/>
      <c r="E664" s="585"/>
      <c r="F664" s="585"/>
      <c r="G664" s="585"/>
      <c r="H664" s="585"/>
      <c r="I664" s="585"/>
      <c r="J664" s="585"/>
      <c r="K664" s="585"/>
      <c r="L664" s="585"/>
      <c r="M664" s="585"/>
      <c r="N664" s="585"/>
      <c r="O664" s="585"/>
      <c r="P664" s="585"/>
      <c r="Q664" s="585"/>
      <c r="R664" s="585"/>
      <c r="S664" s="585"/>
      <c r="T664" s="585"/>
      <c r="U664" s="585"/>
      <c r="V664" s="224"/>
      <c r="W664" s="224"/>
    </row>
    <row r="665">
      <c r="A665" s="585"/>
      <c r="B665" s="585"/>
      <c r="C665" s="585"/>
      <c r="D665" s="585"/>
      <c r="E665" s="585"/>
      <c r="F665" s="585"/>
      <c r="G665" s="585"/>
      <c r="H665" s="585"/>
      <c r="I665" s="585"/>
      <c r="J665" s="585"/>
      <c r="K665" s="585"/>
      <c r="L665" s="585"/>
      <c r="M665" s="585"/>
      <c r="N665" s="585"/>
      <c r="O665" s="585"/>
      <c r="P665" s="585"/>
      <c r="Q665" s="585"/>
      <c r="R665" s="585"/>
      <c r="S665" s="585"/>
      <c r="T665" s="585"/>
      <c r="U665" s="585"/>
      <c r="V665" s="224"/>
      <c r="W665" s="224"/>
    </row>
    <row r="666">
      <c r="A666" s="585"/>
      <c r="B666" s="585"/>
      <c r="C666" s="585"/>
      <c r="D666" s="585"/>
      <c r="E666" s="585"/>
      <c r="F666" s="585"/>
      <c r="G666" s="585"/>
      <c r="H666" s="585"/>
      <c r="I666" s="585"/>
      <c r="J666" s="585"/>
      <c r="K666" s="585"/>
      <c r="L666" s="585"/>
      <c r="M666" s="585"/>
      <c r="N666" s="585"/>
      <c r="O666" s="585"/>
      <c r="P666" s="585"/>
      <c r="Q666" s="585"/>
      <c r="R666" s="585"/>
      <c r="S666" s="585"/>
      <c r="T666" s="585"/>
      <c r="U666" s="585"/>
      <c r="V666" s="224"/>
      <c r="W666" s="224"/>
    </row>
    <row r="667">
      <c r="A667" s="585"/>
      <c r="B667" s="585"/>
      <c r="C667" s="585"/>
      <c r="D667" s="585"/>
      <c r="E667" s="585"/>
      <c r="F667" s="585"/>
      <c r="G667" s="585"/>
      <c r="H667" s="585"/>
      <c r="I667" s="585"/>
      <c r="J667" s="585"/>
      <c r="K667" s="585"/>
      <c r="L667" s="585"/>
      <c r="M667" s="585"/>
      <c r="N667" s="585"/>
      <c r="O667" s="585"/>
      <c r="P667" s="585"/>
      <c r="Q667" s="585"/>
      <c r="R667" s="585"/>
      <c r="S667" s="585"/>
      <c r="T667" s="585"/>
      <c r="U667" s="585"/>
      <c r="V667" s="224"/>
      <c r="W667" s="224"/>
    </row>
    <row r="668">
      <c r="A668" s="585"/>
      <c r="B668" s="585"/>
      <c r="C668" s="585"/>
      <c r="D668" s="585"/>
      <c r="E668" s="585"/>
      <c r="F668" s="585"/>
      <c r="G668" s="585"/>
      <c r="H668" s="585"/>
      <c r="I668" s="585"/>
      <c r="J668" s="585"/>
      <c r="K668" s="585"/>
      <c r="L668" s="585"/>
      <c r="M668" s="585"/>
      <c r="N668" s="585"/>
      <c r="O668" s="585"/>
      <c r="P668" s="585"/>
      <c r="Q668" s="585"/>
      <c r="R668" s="585"/>
      <c r="S668" s="585"/>
      <c r="T668" s="585"/>
      <c r="U668" s="585"/>
      <c r="V668" s="224"/>
      <c r="W668" s="224"/>
    </row>
    <row r="669">
      <c r="A669" s="585"/>
      <c r="B669" s="585"/>
      <c r="C669" s="585"/>
      <c r="D669" s="585"/>
      <c r="E669" s="585"/>
      <c r="F669" s="585"/>
      <c r="G669" s="585"/>
      <c r="H669" s="585"/>
      <c r="I669" s="585"/>
      <c r="J669" s="585"/>
      <c r="K669" s="585"/>
      <c r="L669" s="585"/>
      <c r="M669" s="585"/>
      <c r="N669" s="585"/>
      <c r="O669" s="585"/>
      <c r="P669" s="585"/>
      <c r="Q669" s="585"/>
      <c r="R669" s="585"/>
      <c r="S669" s="585"/>
      <c r="T669" s="585"/>
      <c r="U669" s="585"/>
      <c r="V669" s="224"/>
      <c r="W669" s="224"/>
    </row>
    <row r="670">
      <c r="A670" s="585"/>
      <c r="B670" s="585"/>
      <c r="C670" s="585"/>
      <c r="D670" s="585"/>
      <c r="E670" s="585"/>
      <c r="F670" s="585"/>
      <c r="G670" s="585"/>
      <c r="H670" s="585"/>
      <c r="I670" s="585"/>
      <c r="J670" s="585"/>
      <c r="K670" s="585"/>
      <c r="L670" s="585"/>
      <c r="M670" s="585"/>
      <c r="N670" s="585"/>
      <c r="O670" s="585"/>
      <c r="P670" s="585"/>
      <c r="Q670" s="585"/>
      <c r="R670" s="585"/>
      <c r="S670" s="585"/>
      <c r="T670" s="585"/>
      <c r="U670" s="585"/>
      <c r="V670" s="224"/>
      <c r="W670" s="224"/>
    </row>
    <row r="671">
      <c r="A671" s="585"/>
      <c r="B671" s="585"/>
      <c r="C671" s="585"/>
      <c r="D671" s="585"/>
      <c r="E671" s="585"/>
      <c r="F671" s="585"/>
      <c r="G671" s="585"/>
      <c r="H671" s="585"/>
      <c r="I671" s="585"/>
      <c r="J671" s="585"/>
      <c r="K671" s="585"/>
      <c r="L671" s="585"/>
      <c r="M671" s="585"/>
      <c r="N671" s="585"/>
      <c r="O671" s="585"/>
      <c r="P671" s="585"/>
      <c r="Q671" s="585"/>
      <c r="R671" s="585"/>
      <c r="S671" s="585"/>
      <c r="T671" s="585"/>
      <c r="U671" s="585"/>
      <c r="V671" s="224"/>
      <c r="W671" s="224"/>
    </row>
    <row r="672">
      <c r="A672" s="585"/>
      <c r="B672" s="585"/>
      <c r="C672" s="585"/>
      <c r="D672" s="585"/>
      <c r="E672" s="585"/>
      <c r="F672" s="585"/>
      <c r="G672" s="585"/>
      <c r="H672" s="585"/>
      <c r="I672" s="585"/>
      <c r="J672" s="585"/>
      <c r="K672" s="585"/>
      <c r="L672" s="585"/>
      <c r="M672" s="585"/>
      <c r="N672" s="585"/>
      <c r="O672" s="585"/>
      <c r="P672" s="585"/>
      <c r="Q672" s="585"/>
      <c r="R672" s="585"/>
      <c r="S672" s="585"/>
      <c r="T672" s="585"/>
      <c r="U672" s="585"/>
      <c r="V672" s="224"/>
      <c r="W672" s="224"/>
    </row>
    <row r="673">
      <c r="A673" s="585"/>
      <c r="B673" s="585"/>
      <c r="C673" s="585"/>
      <c r="D673" s="585"/>
      <c r="E673" s="585"/>
      <c r="F673" s="585"/>
      <c r="G673" s="585"/>
      <c r="H673" s="585"/>
      <c r="I673" s="585"/>
      <c r="J673" s="585"/>
      <c r="K673" s="585"/>
      <c r="L673" s="585"/>
      <c r="M673" s="585"/>
      <c r="N673" s="585"/>
      <c r="O673" s="585"/>
      <c r="P673" s="585"/>
      <c r="Q673" s="585"/>
      <c r="R673" s="585"/>
      <c r="S673" s="585"/>
      <c r="T673" s="585"/>
      <c r="U673" s="585"/>
      <c r="V673" s="224"/>
      <c r="W673" s="224"/>
    </row>
    <row r="674">
      <c r="A674" s="585"/>
      <c r="B674" s="585"/>
      <c r="C674" s="585"/>
      <c r="D674" s="585"/>
      <c r="E674" s="585"/>
      <c r="F674" s="585"/>
      <c r="G674" s="585"/>
      <c r="H674" s="585"/>
      <c r="I674" s="585"/>
      <c r="J674" s="585"/>
      <c r="K674" s="585"/>
      <c r="L674" s="585"/>
      <c r="M674" s="585"/>
      <c r="N674" s="585"/>
      <c r="O674" s="585"/>
      <c r="P674" s="585"/>
      <c r="Q674" s="585"/>
      <c r="R674" s="585"/>
      <c r="S674" s="585"/>
      <c r="T674" s="585"/>
      <c r="U674" s="585"/>
      <c r="V674" s="224"/>
      <c r="W674" s="224"/>
    </row>
    <row r="675">
      <c r="A675" s="585"/>
      <c r="B675" s="585"/>
      <c r="C675" s="585"/>
      <c r="D675" s="585"/>
      <c r="E675" s="585"/>
      <c r="F675" s="585"/>
      <c r="G675" s="585"/>
      <c r="H675" s="585"/>
      <c r="I675" s="585"/>
      <c r="J675" s="585"/>
      <c r="K675" s="585"/>
      <c r="L675" s="585"/>
      <c r="M675" s="585"/>
      <c r="N675" s="585"/>
      <c r="O675" s="585"/>
      <c r="P675" s="585"/>
      <c r="Q675" s="585"/>
      <c r="R675" s="585"/>
      <c r="S675" s="585"/>
      <c r="T675" s="585"/>
      <c r="U675" s="585"/>
      <c r="V675" s="224"/>
      <c r="W675" s="224"/>
    </row>
    <row r="676">
      <c r="A676" s="585"/>
      <c r="B676" s="585"/>
      <c r="C676" s="585"/>
      <c r="D676" s="585"/>
      <c r="E676" s="585"/>
      <c r="F676" s="585"/>
      <c r="G676" s="585"/>
      <c r="H676" s="585"/>
      <c r="I676" s="585"/>
      <c r="J676" s="585"/>
      <c r="K676" s="585"/>
      <c r="L676" s="585"/>
      <c r="M676" s="585"/>
      <c r="N676" s="585"/>
      <c r="O676" s="585"/>
      <c r="P676" s="585"/>
      <c r="Q676" s="585"/>
      <c r="R676" s="585"/>
      <c r="S676" s="585"/>
      <c r="T676" s="585"/>
      <c r="U676" s="585"/>
      <c r="V676" s="224"/>
      <c r="W676" s="224"/>
    </row>
    <row r="677">
      <c r="A677" s="585"/>
      <c r="B677" s="585"/>
      <c r="C677" s="585"/>
      <c r="D677" s="585"/>
      <c r="E677" s="585"/>
      <c r="F677" s="585"/>
      <c r="G677" s="585"/>
      <c r="H677" s="585"/>
      <c r="I677" s="585"/>
      <c r="J677" s="585"/>
      <c r="K677" s="585"/>
      <c r="L677" s="585"/>
      <c r="M677" s="585"/>
      <c r="N677" s="585"/>
      <c r="O677" s="585"/>
      <c r="P677" s="585"/>
      <c r="Q677" s="585"/>
      <c r="R677" s="585"/>
      <c r="S677" s="585"/>
      <c r="T677" s="585"/>
      <c r="U677" s="585"/>
      <c r="V677" s="224"/>
      <c r="W677" s="224"/>
    </row>
    <row r="678">
      <c r="A678" s="585"/>
      <c r="B678" s="585"/>
      <c r="C678" s="585"/>
      <c r="D678" s="585"/>
      <c r="E678" s="585"/>
      <c r="F678" s="585"/>
      <c r="G678" s="585"/>
      <c r="H678" s="585"/>
      <c r="I678" s="585"/>
      <c r="J678" s="585"/>
      <c r="K678" s="585"/>
      <c r="L678" s="585"/>
      <c r="M678" s="585"/>
      <c r="N678" s="585"/>
      <c r="O678" s="585"/>
      <c r="P678" s="585"/>
      <c r="Q678" s="585"/>
      <c r="R678" s="585"/>
      <c r="S678" s="585"/>
      <c r="T678" s="585"/>
      <c r="U678" s="585"/>
      <c r="V678" s="224"/>
      <c r="W678" s="224"/>
    </row>
    <row r="679">
      <c r="A679" s="585"/>
      <c r="B679" s="585"/>
      <c r="C679" s="585"/>
      <c r="D679" s="585"/>
      <c r="E679" s="585"/>
      <c r="F679" s="585"/>
      <c r="G679" s="585"/>
      <c r="H679" s="585"/>
      <c r="I679" s="585"/>
      <c r="J679" s="585"/>
      <c r="K679" s="585"/>
      <c r="L679" s="585"/>
      <c r="M679" s="585"/>
      <c r="N679" s="585"/>
      <c r="O679" s="585"/>
      <c r="P679" s="585"/>
      <c r="Q679" s="585"/>
      <c r="R679" s="585"/>
      <c r="S679" s="585"/>
      <c r="T679" s="585"/>
      <c r="U679" s="585"/>
      <c r="V679" s="224"/>
      <c r="W679" s="224"/>
    </row>
    <row r="680">
      <c r="A680" s="585"/>
      <c r="B680" s="585"/>
      <c r="C680" s="585"/>
      <c r="D680" s="585"/>
      <c r="E680" s="585"/>
      <c r="F680" s="585"/>
      <c r="G680" s="585"/>
      <c r="H680" s="585"/>
      <c r="I680" s="585"/>
      <c r="J680" s="585"/>
      <c r="K680" s="585"/>
      <c r="L680" s="585"/>
      <c r="M680" s="585"/>
      <c r="N680" s="585"/>
      <c r="O680" s="585"/>
      <c r="P680" s="585"/>
      <c r="Q680" s="585"/>
      <c r="R680" s="585"/>
      <c r="S680" s="585"/>
      <c r="T680" s="585"/>
      <c r="U680" s="585"/>
      <c r="V680" s="224"/>
      <c r="W680" s="224"/>
    </row>
    <row r="681">
      <c r="A681" s="585"/>
      <c r="B681" s="585"/>
      <c r="C681" s="585"/>
      <c r="D681" s="585"/>
      <c r="E681" s="585"/>
      <c r="F681" s="585"/>
      <c r="G681" s="585"/>
      <c r="H681" s="585"/>
      <c r="I681" s="585"/>
      <c r="J681" s="585"/>
      <c r="K681" s="585"/>
      <c r="L681" s="585"/>
      <c r="M681" s="585"/>
      <c r="N681" s="585"/>
      <c r="O681" s="585"/>
      <c r="P681" s="585"/>
      <c r="Q681" s="585"/>
      <c r="R681" s="585"/>
      <c r="S681" s="585"/>
      <c r="T681" s="585"/>
      <c r="U681" s="585"/>
      <c r="V681" s="224"/>
      <c r="W681" s="224"/>
    </row>
    <row r="682">
      <c r="A682" s="585"/>
      <c r="B682" s="585"/>
      <c r="C682" s="585"/>
      <c r="D682" s="585"/>
      <c r="E682" s="585"/>
      <c r="F682" s="585"/>
      <c r="G682" s="585"/>
      <c r="H682" s="585"/>
      <c r="I682" s="585"/>
      <c r="J682" s="585"/>
      <c r="K682" s="585"/>
      <c r="L682" s="585"/>
      <c r="M682" s="585"/>
      <c r="N682" s="585"/>
      <c r="O682" s="585"/>
      <c r="P682" s="585"/>
      <c r="Q682" s="585"/>
      <c r="R682" s="585"/>
      <c r="S682" s="585"/>
      <c r="T682" s="585"/>
      <c r="U682" s="585"/>
      <c r="V682" s="224"/>
      <c r="W682" s="224"/>
    </row>
    <row r="683">
      <c r="A683" s="585"/>
      <c r="B683" s="585"/>
      <c r="C683" s="585"/>
      <c r="D683" s="585"/>
      <c r="E683" s="585"/>
      <c r="F683" s="585"/>
      <c r="G683" s="585"/>
      <c r="H683" s="585"/>
      <c r="I683" s="585"/>
      <c r="J683" s="585"/>
      <c r="K683" s="585"/>
      <c r="L683" s="585"/>
      <c r="M683" s="585"/>
      <c r="N683" s="585"/>
      <c r="O683" s="585"/>
      <c r="P683" s="585"/>
      <c r="Q683" s="585"/>
      <c r="R683" s="585"/>
      <c r="S683" s="585"/>
      <c r="T683" s="585"/>
      <c r="U683" s="585"/>
      <c r="V683" s="224"/>
      <c r="W683" s="224"/>
    </row>
    <row r="684">
      <c r="A684" s="585"/>
      <c r="B684" s="585"/>
      <c r="C684" s="585"/>
      <c r="D684" s="585"/>
      <c r="E684" s="585"/>
      <c r="F684" s="585"/>
      <c r="G684" s="585"/>
      <c r="H684" s="585"/>
      <c r="I684" s="585"/>
      <c r="J684" s="585"/>
      <c r="K684" s="585"/>
      <c r="L684" s="585"/>
      <c r="M684" s="585"/>
      <c r="N684" s="585"/>
      <c r="O684" s="585"/>
      <c r="P684" s="585"/>
      <c r="Q684" s="585"/>
      <c r="R684" s="585"/>
      <c r="S684" s="585"/>
      <c r="T684" s="585"/>
      <c r="U684" s="585"/>
      <c r="V684" s="224"/>
      <c r="W684" s="224"/>
    </row>
    <row r="685">
      <c r="A685" s="585"/>
      <c r="B685" s="585"/>
      <c r="C685" s="585"/>
      <c r="D685" s="585"/>
      <c r="E685" s="585"/>
      <c r="F685" s="585"/>
      <c r="G685" s="585"/>
      <c r="H685" s="585"/>
      <c r="I685" s="585"/>
      <c r="J685" s="585"/>
      <c r="K685" s="585"/>
      <c r="L685" s="585"/>
      <c r="M685" s="585"/>
      <c r="N685" s="585"/>
      <c r="O685" s="585"/>
      <c r="P685" s="585"/>
      <c r="Q685" s="585"/>
      <c r="R685" s="585"/>
      <c r="S685" s="585"/>
      <c r="T685" s="585"/>
      <c r="U685" s="585"/>
      <c r="V685" s="224"/>
      <c r="W685" s="224"/>
    </row>
    <row r="686">
      <c r="A686" s="585"/>
      <c r="B686" s="585"/>
      <c r="C686" s="585"/>
      <c r="D686" s="585"/>
      <c r="E686" s="585"/>
      <c r="F686" s="585"/>
      <c r="G686" s="585"/>
      <c r="H686" s="585"/>
      <c r="I686" s="585"/>
      <c r="J686" s="585"/>
      <c r="K686" s="585"/>
      <c r="L686" s="585"/>
      <c r="M686" s="585"/>
      <c r="N686" s="585"/>
      <c r="O686" s="585"/>
      <c r="P686" s="585"/>
      <c r="Q686" s="585"/>
      <c r="R686" s="585"/>
      <c r="S686" s="585"/>
      <c r="T686" s="585"/>
      <c r="U686" s="585"/>
      <c r="V686" s="224"/>
      <c r="W686" s="224"/>
    </row>
    <row r="687">
      <c r="A687" s="585"/>
      <c r="B687" s="585"/>
      <c r="C687" s="585"/>
      <c r="D687" s="585"/>
      <c r="E687" s="585"/>
      <c r="F687" s="585"/>
      <c r="G687" s="585"/>
      <c r="H687" s="585"/>
      <c r="I687" s="585"/>
      <c r="J687" s="585"/>
      <c r="K687" s="585"/>
      <c r="L687" s="585"/>
      <c r="M687" s="585"/>
      <c r="N687" s="585"/>
      <c r="O687" s="585"/>
      <c r="P687" s="585"/>
      <c r="Q687" s="585"/>
      <c r="R687" s="585"/>
      <c r="S687" s="585"/>
      <c r="T687" s="585"/>
      <c r="U687" s="585"/>
      <c r="V687" s="224"/>
      <c r="W687" s="224"/>
    </row>
    <row r="688">
      <c r="A688" s="585"/>
      <c r="B688" s="585"/>
      <c r="C688" s="585"/>
      <c r="D688" s="585"/>
      <c r="E688" s="585"/>
      <c r="F688" s="585"/>
      <c r="G688" s="585"/>
      <c r="H688" s="585"/>
      <c r="I688" s="585"/>
      <c r="J688" s="585"/>
      <c r="K688" s="585"/>
      <c r="L688" s="585"/>
      <c r="M688" s="585"/>
      <c r="N688" s="585"/>
      <c r="O688" s="585"/>
      <c r="P688" s="585"/>
      <c r="Q688" s="585"/>
      <c r="R688" s="585"/>
      <c r="S688" s="585"/>
      <c r="T688" s="585"/>
      <c r="U688" s="585"/>
      <c r="V688" s="224"/>
      <c r="W688" s="224"/>
    </row>
    <row r="689">
      <c r="A689" s="585"/>
      <c r="B689" s="585"/>
      <c r="C689" s="585"/>
      <c r="D689" s="585"/>
      <c r="E689" s="585"/>
      <c r="F689" s="585"/>
      <c r="G689" s="585"/>
      <c r="H689" s="585"/>
      <c r="I689" s="585"/>
      <c r="J689" s="585"/>
      <c r="K689" s="585"/>
      <c r="L689" s="585"/>
      <c r="M689" s="585"/>
      <c r="N689" s="585"/>
      <c r="O689" s="585"/>
      <c r="P689" s="585"/>
      <c r="Q689" s="585"/>
      <c r="R689" s="585"/>
      <c r="S689" s="585"/>
      <c r="T689" s="585"/>
      <c r="U689" s="585"/>
      <c r="V689" s="224"/>
      <c r="W689" s="224"/>
    </row>
    <row r="690">
      <c r="A690" s="585"/>
      <c r="B690" s="585"/>
      <c r="C690" s="585"/>
      <c r="D690" s="585"/>
      <c r="E690" s="585"/>
      <c r="F690" s="585"/>
      <c r="G690" s="585"/>
      <c r="H690" s="585"/>
      <c r="I690" s="585"/>
      <c r="J690" s="585"/>
      <c r="K690" s="585"/>
      <c r="L690" s="585"/>
      <c r="M690" s="585"/>
      <c r="N690" s="585"/>
      <c r="O690" s="585"/>
      <c r="P690" s="585"/>
      <c r="Q690" s="585"/>
      <c r="R690" s="585"/>
      <c r="S690" s="585"/>
      <c r="T690" s="585"/>
      <c r="U690" s="585"/>
      <c r="V690" s="224"/>
      <c r="W690" s="224"/>
    </row>
    <row r="691">
      <c r="A691" s="585"/>
      <c r="B691" s="585"/>
      <c r="C691" s="585"/>
      <c r="D691" s="585"/>
      <c r="E691" s="585"/>
      <c r="F691" s="585"/>
      <c r="G691" s="585"/>
      <c r="H691" s="585"/>
      <c r="I691" s="585"/>
      <c r="J691" s="585"/>
      <c r="K691" s="585"/>
      <c r="L691" s="585"/>
      <c r="M691" s="585"/>
      <c r="N691" s="585"/>
      <c r="O691" s="585"/>
      <c r="P691" s="585"/>
      <c r="Q691" s="585"/>
      <c r="R691" s="585"/>
      <c r="S691" s="585"/>
      <c r="T691" s="585"/>
      <c r="U691" s="585"/>
      <c r="V691" s="224"/>
      <c r="W691" s="224"/>
    </row>
    <row r="692">
      <c r="A692" s="585"/>
      <c r="B692" s="585"/>
      <c r="C692" s="585"/>
      <c r="D692" s="585"/>
      <c r="E692" s="585"/>
      <c r="F692" s="585"/>
      <c r="G692" s="585"/>
      <c r="H692" s="585"/>
      <c r="I692" s="585"/>
      <c r="J692" s="585"/>
      <c r="K692" s="585"/>
      <c r="L692" s="585"/>
      <c r="M692" s="585"/>
      <c r="N692" s="585"/>
      <c r="O692" s="585"/>
      <c r="P692" s="585"/>
      <c r="Q692" s="585"/>
      <c r="R692" s="585"/>
      <c r="S692" s="585"/>
      <c r="T692" s="585"/>
      <c r="U692" s="585"/>
      <c r="V692" s="224"/>
      <c r="W692" s="224"/>
    </row>
    <row r="693">
      <c r="A693" s="585"/>
      <c r="B693" s="585"/>
      <c r="C693" s="585"/>
      <c r="D693" s="585"/>
      <c r="E693" s="585"/>
      <c r="F693" s="585"/>
      <c r="G693" s="585"/>
      <c r="H693" s="585"/>
      <c r="I693" s="585"/>
      <c r="J693" s="585"/>
      <c r="K693" s="585"/>
      <c r="L693" s="585"/>
      <c r="M693" s="585"/>
      <c r="N693" s="585"/>
      <c r="O693" s="585"/>
      <c r="P693" s="585"/>
      <c r="Q693" s="585"/>
      <c r="R693" s="585"/>
      <c r="S693" s="585"/>
      <c r="T693" s="585"/>
      <c r="U693" s="585"/>
      <c r="V693" s="224"/>
      <c r="W693" s="224"/>
    </row>
    <row r="694">
      <c r="A694" s="585"/>
      <c r="B694" s="585"/>
      <c r="C694" s="585"/>
      <c r="D694" s="585"/>
      <c r="E694" s="585"/>
      <c r="F694" s="585"/>
      <c r="G694" s="585"/>
      <c r="H694" s="585"/>
      <c r="I694" s="585"/>
      <c r="J694" s="585"/>
      <c r="K694" s="585"/>
      <c r="L694" s="585"/>
      <c r="M694" s="585"/>
      <c r="N694" s="585"/>
      <c r="O694" s="585"/>
      <c r="P694" s="585"/>
      <c r="Q694" s="585"/>
      <c r="R694" s="585"/>
      <c r="S694" s="585"/>
      <c r="T694" s="585"/>
      <c r="U694" s="585"/>
      <c r="V694" s="224"/>
      <c r="W694" s="224"/>
    </row>
    <row r="695">
      <c r="A695" s="585"/>
      <c r="B695" s="585"/>
      <c r="C695" s="585"/>
      <c r="D695" s="585"/>
      <c r="E695" s="585"/>
      <c r="F695" s="585"/>
      <c r="G695" s="585"/>
      <c r="H695" s="585"/>
      <c r="I695" s="585"/>
      <c r="J695" s="585"/>
      <c r="K695" s="585"/>
      <c r="L695" s="585"/>
      <c r="M695" s="585"/>
      <c r="N695" s="585"/>
      <c r="O695" s="585"/>
      <c r="P695" s="585"/>
      <c r="Q695" s="585"/>
      <c r="R695" s="585"/>
      <c r="S695" s="585"/>
      <c r="T695" s="585"/>
      <c r="U695" s="585"/>
      <c r="V695" s="224"/>
      <c r="W695" s="224"/>
    </row>
    <row r="696">
      <c r="A696" s="585"/>
      <c r="B696" s="585"/>
      <c r="C696" s="585"/>
      <c r="D696" s="585"/>
      <c r="E696" s="585"/>
      <c r="F696" s="585"/>
      <c r="G696" s="585"/>
      <c r="H696" s="585"/>
      <c r="I696" s="585"/>
      <c r="J696" s="585"/>
      <c r="K696" s="585"/>
      <c r="L696" s="585"/>
      <c r="M696" s="585"/>
      <c r="N696" s="585"/>
      <c r="O696" s="585"/>
      <c r="P696" s="585"/>
      <c r="Q696" s="585"/>
      <c r="R696" s="585"/>
      <c r="S696" s="585"/>
      <c r="T696" s="585"/>
      <c r="U696" s="585"/>
      <c r="V696" s="224"/>
      <c r="W696" s="224"/>
    </row>
    <row r="697">
      <c r="A697" s="585"/>
      <c r="B697" s="585"/>
      <c r="C697" s="585"/>
      <c r="D697" s="585"/>
      <c r="E697" s="585"/>
      <c r="F697" s="585"/>
      <c r="G697" s="585"/>
      <c r="H697" s="585"/>
      <c r="I697" s="585"/>
      <c r="J697" s="585"/>
      <c r="K697" s="585"/>
      <c r="L697" s="585"/>
      <c r="M697" s="585"/>
      <c r="N697" s="585"/>
      <c r="O697" s="585"/>
      <c r="P697" s="585"/>
      <c r="Q697" s="585"/>
      <c r="R697" s="585"/>
      <c r="S697" s="585"/>
      <c r="T697" s="585"/>
      <c r="U697" s="585"/>
      <c r="V697" s="224"/>
      <c r="W697" s="224"/>
    </row>
    <row r="698">
      <c r="A698" s="585"/>
      <c r="B698" s="585"/>
      <c r="C698" s="585"/>
      <c r="D698" s="585"/>
      <c r="E698" s="585"/>
      <c r="F698" s="585"/>
      <c r="G698" s="585"/>
      <c r="H698" s="585"/>
      <c r="I698" s="585"/>
      <c r="J698" s="585"/>
      <c r="K698" s="585"/>
      <c r="L698" s="585"/>
      <c r="M698" s="585"/>
      <c r="N698" s="585"/>
      <c r="O698" s="585"/>
      <c r="P698" s="585"/>
      <c r="Q698" s="585"/>
      <c r="R698" s="585"/>
      <c r="S698" s="585"/>
      <c r="T698" s="585"/>
      <c r="U698" s="585"/>
      <c r="V698" s="224"/>
      <c r="W698" s="224"/>
    </row>
    <row r="699">
      <c r="A699" s="585"/>
      <c r="B699" s="585"/>
      <c r="C699" s="585"/>
      <c r="D699" s="585"/>
      <c r="E699" s="585"/>
      <c r="F699" s="585"/>
      <c r="G699" s="585"/>
      <c r="H699" s="585"/>
      <c r="I699" s="585"/>
      <c r="J699" s="585"/>
      <c r="K699" s="585"/>
      <c r="L699" s="585"/>
      <c r="M699" s="585"/>
      <c r="N699" s="585"/>
      <c r="O699" s="585"/>
      <c r="P699" s="585"/>
      <c r="Q699" s="585"/>
      <c r="R699" s="585"/>
      <c r="S699" s="585"/>
      <c r="T699" s="585"/>
      <c r="U699" s="585"/>
      <c r="V699" s="224"/>
      <c r="W699" s="224"/>
    </row>
    <row r="700">
      <c r="A700" s="585"/>
      <c r="B700" s="585"/>
      <c r="C700" s="585"/>
      <c r="D700" s="585"/>
      <c r="E700" s="585"/>
      <c r="F700" s="585"/>
      <c r="G700" s="585"/>
      <c r="H700" s="585"/>
      <c r="I700" s="585"/>
      <c r="J700" s="585"/>
      <c r="K700" s="585"/>
      <c r="L700" s="585"/>
      <c r="M700" s="585"/>
      <c r="N700" s="585"/>
      <c r="O700" s="585"/>
      <c r="P700" s="585"/>
      <c r="Q700" s="585"/>
      <c r="R700" s="585"/>
      <c r="S700" s="585"/>
      <c r="T700" s="585"/>
      <c r="U700" s="585"/>
      <c r="V700" s="224"/>
      <c r="W700" s="224"/>
    </row>
    <row r="701">
      <c r="A701" s="585"/>
      <c r="B701" s="585"/>
      <c r="C701" s="585"/>
      <c r="D701" s="585"/>
      <c r="E701" s="585"/>
      <c r="F701" s="585"/>
      <c r="G701" s="585"/>
      <c r="H701" s="585"/>
      <c r="I701" s="585"/>
      <c r="J701" s="585"/>
      <c r="K701" s="585"/>
      <c r="L701" s="585"/>
      <c r="M701" s="585"/>
      <c r="N701" s="585"/>
      <c r="O701" s="585"/>
      <c r="P701" s="585"/>
      <c r="Q701" s="585"/>
      <c r="R701" s="585"/>
      <c r="S701" s="585"/>
      <c r="T701" s="585"/>
      <c r="U701" s="585"/>
      <c r="V701" s="224"/>
      <c r="W701" s="224"/>
    </row>
    <row r="702">
      <c r="A702" s="585"/>
      <c r="B702" s="585"/>
      <c r="C702" s="585"/>
      <c r="D702" s="585"/>
      <c r="E702" s="585"/>
      <c r="F702" s="585"/>
      <c r="G702" s="585"/>
      <c r="H702" s="585"/>
      <c r="I702" s="585"/>
      <c r="J702" s="585"/>
      <c r="K702" s="585"/>
      <c r="L702" s="585"/>
      <c r="M702" s="585"/>
      <c r="N702" s="585"/>
      <c r="O702" s="585"/>
      <c r="P702" s="585"/>
      <c r="Q702" s="585"/>
      <c r="R702" s="585"/>
      <c r="S702" s="585"/>
      <c r="T702" s="585"/>
      <c r="U702" s="585"/>
      <c r="V702" s="224"/>
      <c r="W702" s="224"/>
    </row>
    <row r="703">
      <c r="A703" s="585"/>
      <c r="B703" s="585"/>
      <c r="C703" s="585"/>
      <c r="D703" s="585"/>
      <c r="E703" s="585"/>
      <c r="F703" s="585"/>
      <c r="G703" s="585"/>
      <c r="H703" s="585"/>
      <c r="I703" s="585"/>
      <c r="J703" s="585"/>
      <c r="K703" s="585"/>
      <c r="L703" s="585"/>
      <c r="M703" s="585"/>
      <c r="N703" s="585"/>
      <c r="O703" s="585"/>
      <c r="P703" s="585"/>
      <c r="Q703" s="585"/>
      <c r="R703" s="585"/>
      <c r="S703" s="585"/>
      <c r="T703" s="585"/>
      <c r="U703" s="585"/>
      <c r="V703" s="224"/>
      <c r="W703" s="224"/>
    </row>
    <row r="704">
      <c r="A704" s="585"/>
      <c r="B704" s="585"/>
      <c r="C704" s="585"/>
      <c r="D704" s="585"/>
      <c r="E704" s="585"/>
      <c r="F704" s="585"/>
      <c r="G704" s="585"/>
      <c r="H704" s="585"/>
      <c r="I704" s="585"/>
      <c r="J704" s="585"/>
      <c r="K704" s="585"/>
      <c r="L704" s="585"/>
      <c r="M704" s="585"/>
      <c r="N704" s="585"/>
      <c r="O704" s="585"/>
      <c r="P704" s="585"/>
      <c r="Q704" s="585"/>
      <c r="R704" s="585"/>
      <c r="S704" s="585"/>
      <c r="T704" s="585"/>
      <c r="U704" s="585"/>
      <c r="V704" s="224"/>
      <c r="W704" s="224"/>
    </row>
    <row r="705">
      <c r="A705" s="585"/>
      <c r="B705" s="585"/>
      <c r="C705" s="585"/>
      <c r="D705" s="585"/>
      <c r="E705" s="585"/>
      <c r="F705" s="585"/>
      <c r="G705" s="585"/>
      <c r="H705" s="585"/>
      <c r="I705" s="585"/>
      <c r="J705" s="585"/>
      <c r="K705" s="585"/>
      <c r="L705" s="585"/>
      <c r="M705" s="585"/>
      <c r="N705" s="585"/>
      <c r="O705" s="585"/>
      <c r="P705" s="585"/>
      <c r="Q705" s="585"/>
      <c r="R705" s="585"/>
      <c r="S705" s="585"/>
      <c r="T705" s="585"/>
      <c r="U705" s="585"/>
      <c r="V705" s="224"/>
      <c r="W705" s="224"/>
    </row>
    <row r="706">
      <c r="A706" s="585"/>
      <c r="B706" s="585"/>
      <c r="C706" s="585"/>
      <c r="D706" s="585"/>
      <c r="E706" s="585"/>
      <c r="F706" s="585"/>
      <c r="G706" s="585"/>
      <c r="H706" s="585"/>
      <c r="I706" s="585"/>
      <c r="J706" s="585"/>
      <c r="K706" s="585"/>
      <c r="L706" s="585"/>
      <c r="M706" s="585"/>
      <c r="N706" s="585"/>
      <c r="O706" s="585"/>
      <c r="P706" s="585"/>
      <c r="Q706" s="585"/>
      <c r="R706" s="585"/>
      <c r="S706" s="585"/>
      <c r="T706" s="585"/>
      <c r="U706" s="585"/>
      <c r="V706" s="224"/>
      <c r="W706" s="224"/>
    </row>
    <row r="707">
      <c r="A707" s="585"/>
      <c r="B707" s="585"/>
      <c r="C707" s="585"/>
      <c r="D707" s="585"/>
      <c r="E707" s="585"/>
      <c r="F707" s="585"/>
      <c r="G707" s="585"/>
      <c r="H707" s="585"/>
      <c r="I707" s="585"/>
      <c r="J707" s="585"/>
      <c r="K707" s="585"/>
      <c r="L707" s="585"/>
      <c r="M707" s="585"/>
      <c r="N707" s="585"/>
      <c r="O707" s="585"/>
      <c r="P707" s="585"/>
      <c r="Q707" s="585"/>
      <c r="R707" s="585"/>
      <c r="S707" s="585"/>
      <c r="T707" s="585"/>
      <c r="U707" s="585"/>
      <c r="V707" s="224"/>
      <c r="W707" s="224"/>
    </row>
    <row r="708">
      <c r="A708" s="585"/>
      <c r="B708" s="585"/>
      <c r="C708" s="585"/>
      <c r="D708" s="585"/>
      <c r="E708" s="585"/>
      <c r="F708" s="585"/>
      <c r="G708" s="585"/>
      <c r="H708" s="585"/>
      <c r="I708" s="585"/>
      <c r="J708" s="585"/>
      <c r="K708" s="585"/>
      <c r="L708" s="585"/>
      <c r="M708" s="585"/>
      <c r="N708" s="585"/>
      <c r="O708" s="585"/>
      <c r="P708" s="585"/>
      <c r="Q708" s="585"/>
      <c r="R708" s="585"/>
      <c r="S708" s="585"/>
      <c r="T708" s="585"/>
      <c r="U708" s="585"/>
      <c r="V708" s="224"/>
      <c r="W708" s="224"/>
    </row>
    <row r="709">
      <c r="A709" s="585"/>
      <c r="B709" s="585"/>
      <c r="C709" s="585"/>
      <c r="D709" s="585"/>
      <c r="E709" s="585"/>
      <c r="F709" s="585"/>
      <c r="G709" s="585"/>
      <c r="H709" s="585"/>
      <c r="I709" s="585"/>
      <c r="J709" s="585"/>
      <c r="K709" s="585"/>
      <c r="L709" s="585"/>
      <c r="M709" s="585"/>
      <c r="N709" s="585"/>
      <c r="O709" s="585"/>
      <c r="P709" s="585"/>
      <c r="Q709" s="585"/>
      <c r="R709" s="585"/>
      <c r="S709" s="585"/>
      <c r="T709" s="585"/>
      <c r="U709" s="585"/>
      <c r="V709" s="224"/>
      <c r="W709" s="224"/>
    </row>
    <row r="710">
      <c r="A710" s="585"/>
      <c r="B710" s="585"/>
      <c r="C710" s="585"/>
      <c r="D710" s="585"/>
      <c r="E710" s="585"/>
      <c r="F710" s="585"/>
      <c r="G710" s="585"/>
      <c r="H710" s="585"/>
      <c r="I710" s="585"/>
      <c r="J710" s="585"/>
      <c r="K710" s="585"/>
      <c r="L710" s="585"/>
      <c r="M710" s="585"/>
      <c r="N710" s="585"/>
      <c r="O710" s="585"/>
      <c r="P710" s="585"/>
      <c r="Q710" s="585"/>
      <c r="R710" s="585"/>
      <c r="S710" s="585"/>
      <c r="T710" s="585"/>
      <c r="U710" s="585"/>
      <c r="V710" s="224"/>
      <c r="W710" s="224"/>
    </row>
    <row r="711">
      <c r="A711" s="585"/>
      <c r="B711" s="585"/>
      <c r="C711" s="585"/>
      <c r="D711" s="585"/>
      <c r="E711" s="585"/>
      <c r="F711" s="585"/>
      <c r="G711" s="585"/>
      <c r="H711" s="585"/>
      <c r="I711" s="585"/>
      <c r="J711" s="585"/>
      <c r="K711" s="585"/>
      <c r="L711" s="585"/>
      <c r="M711" s="585"/>
      <c r="N711" s="585"/>
      <c r="O711" s="585"/>
      <c r="P711" s="585"/>
      <c r="Q711" s="585"/>
      <c r="R711" s="585"/>
      <c r="S711" s="585"/>
      <c r="T711" s="585"/>
      <c r="U711" s="585"/>
      <c r="V711" s="224"/>
      <c r="W711" s="224"/>
    </row>
    <row r="712">
      <c r="A712" s="585"/>
      <c r="B712" s="585"/>
      <c r="C712" s="585"/>
      <c r="D712" s="585"/>
      <c r="E712" s="585"/>
      <c r="F712" s="585"/>
      <c r="G712" s="585"/>
      <c r="H712" s="585"/>
      <c r="I712" s="585"/>
      <c r="J712" s="585"/>
      <c r="K712" s="585"/>
      <c r="L712" s="585"/>
      <c r="M712" s="585"/>
      <c r="N712" s="585"/>
      <c r="O712" s="585"/>
      <c r="P712" s="585"/>
      <c r="Q712" s="585"/>
      <c r="R712" s="585"/>
      <c r="S712" s="585"/>
      <c r="T712" s="585"/>
      <c r="U712" s="585"/>
      <c r="V712" s="224"/>
      <c r="W712" s="224"/>
    </row>
    <row r="713">
      <c r="A713" s="585"/>
      <c r="B713" s="585"/>
      <c r="C713" s="585"/>
      <c r="D713" s="585"/>
      <c r="E713" s="585"/>
      <c r="F713" s="585"/>
      <c r="G713" s="585"/>
      <c r="H713" s="585"/>
      <c r="I713" s="585"/>
      <c r="J713" s="585"/>
      <c r="K713" s="585"/>
      <c r="L713" s="585"/>
      <c r="M713" s="585"/>
      <c r="N713" s="585"/>
      <c r="O713" s="585"/>
      <c r="P713" s="585"/>
      <c r="Q713" s="585"/>
      <c r="R713" s="585"/>
      <c r="S713" s="585"/>
      <c r="T713" s="585"/>
      <c r="U713" s="585"/>
      <c r="V713" s="224"/>
      <c r="W713" s="224"/>
    </row>
    <row r="714">
      <c r="A714" s="585"/>
      <c r="B714" s="585"/>
      <c r="C714" s="585"/>
      <c r="D714" s="585"/>
      <c r="E714" s="585"/>
      <c r="F714" s="585"/>
      <c r="G714" s="585"/>
      <c r="H714" s="585"/>
      <c r="I714" s="585"/>
      <c r="J714" s="585"/>
      <c r="K714" s="585"/>
      <c r="L714" s="585"/>
      <c r="M714" s="585"/>
      <c r="N714" s="585"/>
      <c r="O714" s="585"/>
      <c r="P714" s="585"/>
      <c r="Q714" s="585"/>
      <c r="R714" s="585"/>
      <c r="S714" s="585"/>
      <c r="T714" s="585"/>
      <c r="U714" s="585"/>
      <c r="V714" s="224"/>
      <c r="W714" s="224"/>
    </row>
    <row r="715">
      <c r="A715" s="585"/>
      <c r="B715" s="585"/>
      <c r="C715" s="585"/>
      <c r="D715" s="585"/>
      <c r="E715" s="585"/>
      <c r="F715" s="585"/>
      <c r="G715" s="585"/>
      <c r="H715" s="585"/>
      <c r="I715" s="585"/>
      <c r="J715" s="585"/>
      <c r="K715" s="585"/>
      <c r="L715" s="585"/>
      <c r="M715" s="585"/>
      <c r="N715" s="585"/>
      <c r="O715" s="585"/>
      <c r="P715" s="585"/>
      <c r="Q715" s="585"/>
      <c r="R715" s="585"/>
      <c r="S715" s="585"/>
      <c r="T715" s="585"/>
      <c r="U715" s="585"/>
      <c r="V715" s="224"/>
      <c r="W715" s="224"/>
    </row>
    <row r="716">
      <c r="A716" s="585"/>
      <c r="B716" s="585"/>
      <c r="C716" s="585"/>
      <c r="D716" s="585"/>
      <c r="E716" s="585"/>
      <c r="F716" s="585"/>
      <c r="G716" s="585"/>
      <c r="H716" s="585"/>
      <c r="I716" s="585"/>
      <c r="J716" s="585"/>
      <c r="K716" s="585"/>
      <c r="L716" s="585"/>
      <c r="M716" s="585"/>
      <c r="N716" s="585"/>
      <c r="O716" s="585"/>
      <c r="P716" s="585"/>
      <c r="Q716" s="585"/>
      <c r="R716" s="585"/>
      <c r="S716" s="585"/>
      <c r="T716" s="585"/>
      <c r="U716" s="585"/>
      <c r="V716" s="224"/>
      <c r="W716" s="224"/>
    </row>
    <row r="717">
      <c r="A717" s="585"/>
      <c r="B717" s="585"/>
      <c r="C717" s="585"/>
      <c r="D717" s="585"/>
      <c r="E717" s="585"/>
      <c r="F717" s="585"/>
      <c r="G717" s="585"/>
      <c r="H717" s="585"/>
      <c r="I717" s="585"/>
      <c r="J717" s="585"/>
      <c r="K717" s="585"/>
      <c r="L717" s="585"/>
      <c r="M717" s="585"/>
      <c r="N717" s="585"/>
      <c r="O717" s="585"/>
      <c r="P717" s="585"/>
      <c r="Q717" s="585"/>
      <c r="R717" s="585"/>
      <c r="S717" s="585"/>
      <c r="T717" s="585"/>
      <c r="U717" s="585"/>
      <c r="V717" s="224"/>
      <c r="W717" s="224"/>
    </row>
    <row r="718">
      <c r="A718" s="585"/>
      <c r="B718" s="585"/>
      <c r="C718" s="585"/>
      <c r="D718" s="585"/>
      <c r="E718" s="585"/>
      <c r="F718" s="585"/>
      <c r="G718" s="585"/>
      <c r="H718" s="585"/>
      <c r="I718" s="585"/>
      <c r="J718" s="585"/>
      <c r="K718" s="585"/>
      <c r="L718" s="585"/>
      <c r="M718" s="585"/>
      <c r="N718" s="585"/>
      <c r="O718" s="585"/>
      <c r="P718" s="585"/>
      <c r="Q718" s="585"/>
      <c r="R718" s="585"/>
      <c r="S718" s="585"/>
      <c r="T718" s="585"/>
      <c r="U718" s="585"/>
      <c r="V718" s="224"/>
      <c r="W718" s="224"/>
    </row>
    <row r="719">
      <c r="A719" s="585"/>
      <c r="B719" s="585"/>
      <c r="C719" s="585"/>
      <c r="D719" s="585"/>
      <c r="E719" s="585"/>
      <c r="F719" s="585"/>
      <c r="G719" s="585"/>
      <c r="H719" s="585"/>
      <c r="I719" s="585"/>
      <c r="J719" s="585"/>
      <c r="K719" s="585"/>
      <c r="L719" s="585"/>
      <c r="M719" s="585"/>
      <c r="N719" s="585"/>
      <c r="O719" s="585"/>
      <c r="P719" s="585"/>
      <c r="Q719" s="585"/>
      <c r="R719" s="585"/>
      <c r="S719" s="585"/>
      <c r="T719" s="585"/>
      <c r="U719" s="585"/>
      <c r="V719" s="224"/>
      <c r="W719" s="224"/>
    </row>
    <row r="720">
      <c r="A720" s="585"/>
      <c r="B720" s="585"/>
      <c r="C720" s="585"/>
      <c r="D720" s="585"/>
      <c r="E720" s="585"/>
      <c r="F720" s="585"/>
      <c r="G720" s="585"/>
      <c r="H720" s="585"/>
      <c r="I720" s="585"/>
      <c r="J720" s="585"/>
      <c r="K720" s="585"/>
      <c r="L720" s="585"/>
      <c r="M720" s="585"/>
      <c r="N720" s="585"/>
      <c r="O720" s="585"/>
      <c r="P720" s="585"/>
      <c r="Q720" s="585"/>
      <c r="R720" s="585"/>
      <c r="S720" s="585"/>
      <c r="T720" s="585"/>
      <c r="U720" s="585"/>
      <c r="V720" s="224"/>
      <c r="W720" s="224"/>
    </row>
    <row r="721">
      <c r="A721" s="585"/>
      <c r="B721" s="585"/>
      <c r="C721" s="585"/>
      <c r="D721" s="585"/>
      <c r="E721" s="585"/>
      <c r="F721" s="585"/>
      <c r="G721" s="585"/>
      <c r="H721" s="585"/>
      <c r="I721" s="585"/>
      <c r="J721" s="585"/>
      <c r="K721" s="585"/>
      <c r="L721" s="585"/>
      <c r="M721" s="585"/>
      <c r="N721" s="585"/>
      <c r="O721" s="585"/>
      <c r="P721" s="585"/>
      <c r="Q721" s="585"/>
      <c r="R721" s="585"/>
      <c r="S721" s="585"/>
      <c r="T721" s="585"/>
      <c r="U721" s="585"/>
      <c r="V721" s="224"/>
      <c r="W721" s="224"/>
    </row>
    <row r="722">
      <c r="A722" s="585"/>
      <c r="B722" s="585"/>
      <c r="C722" s="585"/>
      <c r="D722" s="585"/>
      <c r="E722" s="585"/>
      <c r="F722" s="585"/>
      <c r="G722" s="585"/>
      <c r="H722" s="585"/>
      <c r="I722" s="585"/>
      <c r="J722" s="585"/>
      <c r="K722" s="585"/>
      <c r="L722" s="585"/>
      <c r="M722" s="585"/>
      <c r="N722" s="585"/>
      <c r="O722" s="585"/>
      <c r="P722" s="585"/>
      <c r="Q722" s="585"/>
      <c r="R722" s="585"/>
      <c r="S722" s="585"/>
      <c r="T722" s="585"/>
      <c r="U722" s="585"/>
      <c r="V722" s="224"/>
      <c r="W722" s="224"/>
    </row>
    <row r="723">
      <c r="A723" s="585"/>
      <c r="B723" s="585"/>
      <c r="C723" s="585"/>
      <c r="D723" s="585"/>
      <c r="E723" s="585"/>
      <c r="F723" s="585"/>
      <c r="G723" s="585"/>
      <c r="H723" s="585"/>
      <c r="I723" s="585"/>
      <c r="J723" s="585"/>
      <c r="K723" s="585"/>
      <c r="L723" s="585"/>
      <c r="M723" s="585"/>
      <c r="N723" s="585"/>
      <c r="O723" s="585"/>
      <c r="P723" s="585"/>
      <c r="Q723" s="585"/>
      <c r="R723" s="585"/>
      <c r="S723" s="585"/>
      <c r="T723" s="585"/>
      <c r="U723" s="585"/>
      <c r="V723" s="224"/>
      <c r="W723" s="224"/>
    </row>
    <row r="724">
      <c r="A724" s="585"/>
      <c r="B724" s="585"/>
      <c r="C724" s="585"/>
      <c r="D724" s="585"/>
      <c r="E724" s="585"/>
      <c r="F724" s="585"/>
      <c r="G724" s="585"/>
      <c r="H724" s="585"/>
      <c r="I724" s="585"/>
      <c r="J724" s="585"/>
      <c r="K724" s="585"/>
      <c r="L724" s="585"/>
      <c r="M724" s="585"/>
      <c r="N724" s="585"/>
      <c r="O724" s="585"/>
      <c r="P724" s="585"/>
      <c r="Q724" s="585"/>
      <c r="R724" s="585"/>
      <c r="S724" s="585"/>
      <c r="T724" s="585"/>
      <c r="U724" s="585"/>
      <c r="V724" s="224"/>
      <c r="W724" s="224"/>
    </row>
    <row r="725">
      <c r="A725" s="585"/>
      <c r="B725" s="585"/>
      <c r="C725" s="585"/>
      <c r="D725" s="585"/>
      <c r="E725" s="585"/>
      <c r="F725" s="585"/>
      <c r="G725" s="585"/>
      <c r="H725" s="585"/>
      <c r="I725" s="585"/>
      <c r="J725" s="585"/>
      <c r="K725" s="585"/>
      <c r="L725" s="585"/>
      <c r="M725" s="585"/>
      <c r="N725" s="585"/>
      <c r="O725" s="585"/>
      <c r="P725" s="585"/>
      <c r="Q725" s="585"/>
      <c r="R725" s="585"/>
      <c r="S725" s="585"/>
      <c r="T725" s="585"/>
      <c r="U725" s="585"/>
      <c r="V725" s="224"/>
      <c r="W725" s="224"/>
    </row>
    <row r="726">
      <c r="A726" s="585"/>
      <c r="B726" s="585"/>
      <c r="C726" s="585"/>
      <c r="D726" s="585"/>
      <c r="E726" s="585"/>
      <c r="F726" s="585"/>
      <c r="G726" s="585"/>
      <c r="H726" s="585"/>
      <c r="I726" s="585"/>
      <c r="J726" s="585"/>
      <c r="K726" s="585"/>
      <c r="L726" s="585"/>
      <c r="M726" s="585"/>
      <c r="N726" s="585"/>
      <c r="O726" s="585"/>
      <c r="P726" s="585"/>
      <c r="Q726" s="585"/>
      <c r="R726" s="585"/>
      <c r="S726" s="585"/>
      <c r="T726" s="585"/>
      <c r="U726" s="585"/>
      <c r="V726" s="224"/>
      <c r="W726" s="224"/>
    </row>
    <row r="727">
      <c r="A727" s="585"/>
      <c r="B727" s="585"/>
      <c r="C727" s="585"/>
      <c r="D727" s="585"/>
      <c r="E727" s="585"/>
      <c r="F727" s="585"/>
      <c r="G727" s="585"/>
      <c r="H727" s="585"/>
      <c r="I727" s="585"/>
      <c r="J727" s="585"/>
      <c r="K727" s="585"/>
      <c r="L727" s="585"/>
      <c r="M727" s="585"/>
      <c r="N727" s="585"/>
      <c r="O727" s="585"/>
      <c r="P727" s="585"/>
      <c r="Q727" s="585"/>
      <c r="R727" s="585"/>
      <c r="S727" s="585"/>
      <c r="T727" s="585"/>
      <c r="U727" s="585"/>
      <c r="V727" s="224"/>
      <c r="W727" s="224"/>
    </row>
    <row r="728">
      <c r="A728" s="585"/>
      <c r="B728" s="585"/>
      <c r="C728" s="585"/>
      <c r="D728" s="585"/>
      <c r="E728" s="585"/>
      <c r="F728" s="585"/>
      <c r="G728" s="585"/>
      <c r="H728" s="585"/>
      <c r="I728" s="585"/>
      <c r="J728" s="585"/>
      <c r="K728" s="585"/>
      <c r="L728" s="585"/>
      <c r="M728" s="585"/>
      <c r="N728" s="585"/>
      <c r="O728" s="585"/>
      <c r="P728" s="585"/>
      <c r="Q728" s="585"/>
      <c r="R728" s="585"/>
      <c r="S728" s="585"/>
      <c r="T728" s="585"/>
      <c r="U728" s="585"/>
      <c r="V728" s="224"/>
      <c r="W728" s="224"/>
    </row>
    <row r="729">
      <c r="A729" s="585"/>
      <c r="B729" s="585"/>
      <c r="C729" s="585"/>
      <c r="D729" s="585"/>
      <c r="E729" s="585"/>
      <c r="F729" s="585"/>
      <c r="G729" s="585"/>
      <c r="H729" s="585"/>
      <c r="I729" s="585"/>
      <c r="J729" s="585"/>
      <c r="K729" s="585"/>
      <c r="L729" s="585"/>
      <c r="M729" s="585"/>
      <c r="N729" s="585"/>
      <c r="O729" s="585"/>
      <c r="P729" s="585"/>
      <c r="Q729" s="585"/>
      <c r="R729" s="585"/>
      <c r="S729" s="585"/>
      <c r="T729" s="585"/>
      <c r="U729" s="585"/>
      <c r="V729" s="224"/>
      <c r="W729" s="224"/>
    </row>
    <row r="730">
      <c r="A730" s="585"/>
      <c r="B730" s="585"/>
      <c r="C730" s="585"/>
      <c r="D730" s="585"/>
      <c r="E730" s="585"/>
      <c r="F730" s="585"/>
      <c r="G730" s="585"/>
      <c r="H730" s="585"/>
      <c r="I730" s="585"/>
      <c r="J730" s="585"/>
      <c r="K730" s="585"/>
      <c r="L730" s="585"/>
      <c r="M730" s="585"/>
      <c r="N730" s="585"/>
      <c r="O730" s="585"/>
      <c r="P730" s="585"/>
      <c r="Q730" s="585"/>
      <c r="R730" s="585"/>
      <c r="S730" s="585"/>
      <c r="T730" s="585"/>
      <c r="U730" s="585"/>
      <c r="V730" s="224"/>
      <c r="W730" s="224"/>
    </row>
    <row r="731">
      <c r="A731" s="585"/>
      <c r="B731" s="585"/>
      <c r="C731" s="585"/>
      <c r="D731" s="585"/>
      <c r="E731" s="585"/>
      <c r="F731" s="585"/>
      <c r="G731" s="585"/>
      <c r="H731" s="585"/>
      <c r="I731" s="585"/>
      <c r="J731" s="585"/>
      <c r="K731" s="585"/>
      <c r="L731" s="585"/>
      <c r="M731" s="585"/>
      <c r="N731" s="585"/>
      <c r="O731" s="585"/>
      <c r="P731" s="585"/>
      <c r="Q731" s="585"/>
      <c r="R731" s="585"/>
      <c r="S731" s="585"/>
      <c r="T731" s="585"/>
      <c r="U731" s="585"/>
      <c r="V731" s="224"/>
      <c r="W731" s="224"/>
    </row>
    <row r="732">
      <c r="A732" s="585"/>
      <c r="B732" s="585"/>
      <c r="C732" s="585"/>
      <c r="D732" s="585"/>
      <c r="E732" s="585"/>
      <c r="F732" s="585"/>
      <c r="G732" s="585"/>
      <c r="H732" s="585"/>
      <c r="I732" s="585"/>
      <c r="J732" s="585"/>
      <c r="K732" s="585"/>
      <c r="L732" s="585"/>
      <c r="M732" s="585"/>
      <c r="N732" s="585"/>
      <c r="O732" s="585"/>
      <c r="P732" s="585"/>
      <c r="Q732" s="585"/>
      <c r="R732" s="585"/>
      <c r="S732" s="585"/>
      <c r="T732" s="585"/>
      <c r="U732" s="585"/>
      <c r="V732" s="224"/>
      <c r="W732" s="224"/>
    </row>
    <row r="733">
      <c r="A733" s="585"/>
      <c r="B733" s="585"/>
      <c r="C733" s="585"/>
      <c r="D733" s="585"/>
      <c r="E733" s="585"/>
      <c r="F733" s="585"/>
      <c r="G733" s="585"/>
      <c r="H733" s="585"/>
      <c r="I733" s="585"/>
      <c r="J733" s="585"/>
      <c r="K733" s="585"/>
      <c r="L733" s="585"/>
      <c r="M733" s="585"/>
      <c r="N733" s="585"/>
      <c r="O733" s="585"/>
      <c r="P733" s="585"/>
      <c r="Q733" s="585"/>
      <c r="R733" s="585"/>
      <c r="S733" s="585"/>
      <c r="T733" s="585"/>
      <c r="U733" s="585"/>
      <c r="V733" s="224"/>
      <c r="W733" s="224"/>
    </row>
    <row r="734">
      <c r="A734" s="585"/>
      <c r="B734" s="585"/>
      <c r="C734" s="585"/>
      <c r="D734" s="585"/>
      <c r="E734" s="585"/>
      <c r="F734" s="585"/>
      <c r="G734" s="585"/>
      <c r="H734" s="585"/>
      <c r="I734" s="585"/>
      <c r="J734" s="585"/>
      <c r="K734" s="585"/>
      <c r="L734" s="585"/>
      <c r="M734" s="585"/>
      <c r="N734" s="585"/>
      <c r="O734" s="585"/>
      <c r="P734" s="585"/>
      <c r="Q734" s="585"/>
      <c r="R734" s="585"/>
      <c r="S734" s="585"/>
      <c r="T734" s="585"/>
      <c r="U734" s="585"/>
      <c r="V734" s="224"/>
      <c r="W734" s="224"/>
    </row>
    <row r="735">
      <c r="A735" s="585"/>
      <c r="B735" s="585"/>
      <c r="C735" s="585"/>
      <c r="D735" s="585"/>
      <c r="E735" s="585"/>
      <c r="F735" s="585"/>
      <c r="G735" s="585"/>
      <c r="H735" s="585"/>
      <c r="I735" s="585"/>
      <c r="J735" s="585"/>
      <c r="K735" s="585"/>
      <c r="L735" s="585"/>
      <c r="M735" s="585"/>
      <c r="N735" s="585"/>
      <c r="O735" s="585"/>
      <c r="P735" s="585"/>
      <c r="Q735" s="585"/>
      <c r="R735" s="585"/>
      <c r="S735" s="585"/>
      <c r="T735" s="585"/>
      <c r="U735" s="585"/>
      <c r="V735" s="224"/>
      <c r="W735" s="224"/>
    </row>
    <row r="736">
      <c r="A736" s="585"/>
      <c r="B736" s="585"/>
      <c r="C736" s="585"/>
      <c r="D736" s="585"/>
      <c r="E736" s="585"/>
      <c r="F736" s="585"/>
      <c r="G736" s="585"/>
      <c r="H736" s="585"/>
      <c r="I736" s="585"/>
      <c r="J736" s="585"/>
      <c r="K736" s="585"/>
      <c r="L736" s="585"/>
      <c r="M736" s="585"/>
      <c r="N736" s="585"/>
      <c r="O736" s="585"/>
      <c r="P736" s="585"/>
      <c r="Q736" s="585"/>
      <c r="R736" s="585"/>
      <c r="S736" s="585"/>
      <c r="T736" s="585"/>
      <c r="U736" s="585"/>
      <c r="V736" s="224"/>
      <c r="W736" s="224"/>
    </row>
    <row r="737">
      <c r="A737" s="585"/>
      <c r="B737" s="585"/>
      <c r="C737" s="585"/>
      <c r="D737" s="585"/>
      <c r="E737" s="585"/>
      <c r="F737" s="585"/>
      <c r="G737" s="585"/>
      <c r="H737" s="585"/>
      <c r="I737" s="585"/>
      <c r="J737" s="585"/>
      <c r="K737" s="585"/>
      <c r="L737" s="585"/>
      <c r="M737" s="585"/>
      <c r="N737" s="585"/>
      <c r="O737" s="585"/>
      <c r="P737" s="585"/>
      <c r="Q737" s="585"/>
      <c r="R737" s="585"/>
      <c r="S737" s="585"/>
      <c r="T737" s="585"/>
      <c r="U737" s="585"/>
      <c r="V737" s="224"/>
      <c r="W737" s="224"/>
    </row>
    <row r="738">
      <c r="A738" s="585"/>
      <c r="B738" s="585"/>
      <c r="C738" s="585"/>
      <c r="D738" s="585"/>
      <c r="E738" s="585"/>
      <c r="F738" s="585"/>
      <c r="G738" s="585"/>
      <c r="H738" s="585"/>
      <c r="I738" s="585"/>
      <c r="J738" s="585"/>
      <c r="K738" s="585"/>
      <c r="L738" s="585"/>
      <c r="M738" s="585"/>
      <c r="N738" s="585"/>
      <c r="O738" s="585"/>
      <c r="P738" s="585"/>
      <c r="Q738" s="585"/>
      <c r="R738" s="585"/>
      <c r="S738" s="585"/>
      <c r="T738" s="585"/>
      <c r="U738" s="585"/>
      <c r="V738" s="224"/>
      <c r="W738" s="224"/>
    </row>
    <row r="739">
      <c r="A739" s="585"/>
      <c r="B739" s="585"/>
      <c r="C739" s="585"/>
      <c r="D739" s="585"/>
      <c r="E739" s="585"/>
      <c r="F739" s="585"/>
      <c r="G739" s="585"/>
      <c r="H739" s="585"/>
      <c r="I739" s="585"/>
      <c r="J739" s="585"/>
      <c r="K739" s="585"/>
      <c r="L739" s="585"/>
      <c r="M739" s="585"/>
      <c r="N739" s="585"/>
      <c r="O739" s="585"/>
      <c r="P739" s="585"/>
      <c r="Q739" s="585"/>
      <c r="R739" s="585"/>
      <c r="S739" s="585"/>
      <c r="T739" s="585"/>
      <c r="U739" s="585"/>
      <c r="V739" s="224"/>
      <c r="W739" s="224"/>
    </row>
    <row r="740">
      <c r="A740" s="585"/>
      <c r="B740" s="585"/>
      <c r="C740" s="585"/>
      <c r="D740" s="585"/>
      <c r="E740" s="585"/>
      <c r="F740" s="585"/>
      <c r="G740" s="585"/>
      <c r="H740" s="585"/>
      <c r="I740" s="585"/>
      <c r="J740" s="585"/>
      <c r="K740" s="585"/>
      <c r="L740" s="585"/>
      <c r="M740" s="585"/>
      <c r="N740" s="585"/>
      <c r="O740" s="585"/>
      <c r="P740" s="585"/>
      <c r="Q740" s="585"/>
      <c r="R740" s="585"/>
      <c r="S740" s="585"/>
      <c r="T740" s="585"/>
      <c r="U740" s="585"/>
      <c r="V740" s="224"/>
      <c r="W740" s="224"/>
    </row>
    <row r="741">
      <c r="A741" s="585"/>
      <c r="B741" s="585"/>
      <c r="C741" s="585"/>
      <c r="D741" s="585"/>
      <c r="E741" s="585"/>
      <c r="F741" s="585"/>
      <c r="G741" s="585"/>
      <c r="H741" s="585"/>
      <c r="I741" s="585"/>
      <c r="J741" s="585"/>
      <c r="K741" s="585"/>
      <c r="L741" s="585"/>
      <c r="M741" s="585"/>
      <c r="N741" s="585"/>
      <c r="O741" s="585"/>
      <c r="P741" s="585"/>
      <c r="Q741" s="585"/>
      <c r="R741" s="585"/>
      <c r="S741" s="585"/>
      <c r="T741" s="585"/>
      <c r="U741" s="585"/>
      <c r="V741" s="224"/>
      <c r="W741" s="224"/>
    </row>
    <row r="742">
      <c r="A742" s="585"/>
      <c r="B742" s="585"/>
      <c r="C742" s="585"/>
      <c r="D742" s="585"/>
      <c r="E742" s="585"/>
      <c r="F742" s="585"/>
      <c r="G742" s="585"/>
      <c r="H742" s="585"/>
      <c r="I742" s="585"/>
      <c r="J742" s="585"/>
      <c r="K742" s="585"/>
      <c r="L742" s="585"/>
      <c r="M742" s="585"/>
      <c r="N742" s="585"/>
      <c r="O742" s="585"/>
      <c r="P742" s="585"/>
      <c r="Q742" s="585"/>
      <c r="R742" s="585"/>
      <c r="S742" s="585"/>
      <c r="T742" s="585"/>
      <c r="U742" s="585"/>
      <c r="V742" s="224"/>
      <c r="W742" s="224"/>
    </row>
    <row r="743">
      <c r="A743" s="585"/>
      <c r="B743" s="585"/>
      <c r="C743" s="585"/>
      <c r="D743" s="585"/>
      <c r="E743" s="585"/>
      <c r="F743" s="585"/>
      <c r="G743" s="585"/>
      <c r="H743" s="585"/>
      <c r="I743" s="585"/>
      <c r="J743" s="585"/>
      <c r="K743" s="585"/>
      <c r="L743" s="585"/>
      <c r="M743" s="585"/>
      <c r="N743" s="585"/>
      <c r="O743" s="585"/>
      <c r="P743" s="585"/>
      <c r="Q743" s="585"/>
      <c r="R743" s="585"/>
      <c r="S743" s="585"/>
      <c r="T743" s="585"/>
      <c r="U743" s="585"/>
      <c r="V743" s="224"/>
      <c r="W743" s="224"/>
    </row>
    <row r="744">
      <c r="A744" s="585"/>
      <c r="B744" s="585"/>
      <c r="C744" s="585"/>
      <c r="D744" s="585"/>
      <c r="E744" s="585"/>
      <c r="F744" s="585"/>
      <c r="G744" s="585"/>
      <c r="H744" s="585"/>
      <c r="I744" s="585"/>
      <c r="J744" s="585"/>
      <c r="K744" s="585"/>
      <c r="L744" s="585"/>
      <c r="M744" s="585"/>
      <c r="N744" s="585"/>
      <c r="O744" s="585"/>
      <c r="P744" s="585"/>
      <c r="Q744" s="585"/>
      <c r="R744" s="585"/>
      <c r="S744" s="585"/>
      <c r="T744" s="585"/>
      <c r="U744" s="585"/>
      <c r="V744" s="224"/>
      <c r="W744" s="224"/>
    </row>
    <row r="745">
      <c r="A745" s="585"/>
      <c r="B745" s="585"/>
      <c r="C745" s="585"/>
      <c r="D745" s="585"/>
      <c r="E745" s="585"/>
      <c r="F745" s="585"/>
      <c r="G745" s="585"/>
      <c r="H745" s="585"/>
      <c r="I745" s="585"/>
      <c r="J745" s="585"/>
      <c r="K745" s="585"/>
      <c r="L745" s="585"/>
      <c r="M745" s="585"/>
      <c r="N745" s="585"/>
      <c r="O745" s="585"/>
      <c r="P745" s="585"/>
      <c r="Q745" s="585"/>
      <c r="R745" s="585"/>
      <c r="S745" s="585"/>
      <c r="T745" s="585"/>
      <c r="U745" s="585"/>
      <c r="V745" s="224"/>
      <c r="W745" s="224"/>
    </row>
    <row r="746">
      <c r="A746" s="585"/>
      <c r="B746" s="585"/>
      <c r="C746" s="585"/>
      <c r="D746" s="585"/>
      <c r="E746" s="585"/>
      <c r="F746" s="585"/>
      <c r="G746" s="585"/>
      <c r="H746" s="585"/>
      <c r="I746" s="585"/>
      <c r="J746" s="585"/>
      <c r="K746" s="585"/>
      <c r="L746" s="585"/>
      <c r="M746" s="585"/>
      <c r="N746" s="585"/>
      <c r="O746" s="585"/>
      <c r="P746" s="585"/>
      <c r="Q746" s="585"/>
      <c r="R746" s="585"/>
      <c r="S746" s="585"/>
      <c r="T746" s="585"/>
      <c r="U746" s="585"/>
      <c r="V746" s="224"/>
      <c r="W746" s="224"/>
    </row>
    <row r="747">
      <c r="A747" s="585"/>
      <c r="B747" s="585"/>
      <c r="C747" s="585"/>
      <c r="D747" s="585"/>
      <c r="E747" s="585"/>
      <c r="F747" s="585"/>
      <c r="G747" s="585"/>
      <c r="H747" s="585"/>
      <c r="I747" s="585"/>
      <c r="J747" s="585"/>
      <c r="K747" s="585"/>
      <c r="L747" s="585"/>
      <c r="M747" s="585"/>
      <c r="N747" s="585"/>
      <c r="O747" s="585"/>
      <c r="P747" s="585"/>
      <c r="Q747" s="585"/>
      <c r="R747" s="585"/>
      <c r="S747" s="585"/>
      <c r="T747" s="585"/>
      <c r="U747" s="585"/>
      <c r="V747" s="224"/>
      <c r="W747" s="224"/>
    </row>
    <row r="748">
      <c r="A748" s="585"/>
      <c r="B748" s="585"/>
      <c r="C748" s="585"/>
      <c r="D748" s="585"/>
      <c r="E748" s="585"/>
      <c r="F748" s="585"/>
      <c r="G748" s="585"/>
      <c r="H748" s="585"/>
      <c r="I748" s="585"/>
      <c r="J748" s="585"/>
      <c r="K748" s="585"/>
      <c r="L748" s="585"/>
      <c r="M748" s="585"/>
      <c r="N748" s="585"/>
      <c r="O748" s="585"/>
      <c r="P748" s="585"/>
      <c r="Q748" s="585"/>
      <c r="R748" s="585"/>
      <c r="S748" s="585"/>
      <c r="T748" s="585"/>
      <c r="U748" s="585"/>
      <c r="V748" s="224"/>
      <c r="W748" s="224"/>
    </row>
    <row r="749">
      <c r="A749" s="585"/>
      <c r="B749" s="585"/>
      <c r="C749" s="585"/>
      <c r="D749" s="585"/>
      <c r="E749" s="585"/>
      <c r="F749" s="585"/>
      <c r="G749" s="585"/>
      <c r="H749" s="585"/>
      <c r="I749" s="585"/>
      <c r="J749" s="585"/>
      <c r="K749" s="585"/>
      <c r="L749" s="585"/>
      <c r="M749" s="585"/>
      <c r="N749" s="585"/>
      <c r="O749" s="585"/>
      <c r="P749" s="585"/>
      <c r="Q749" s="585"/>
      <c r="R749" s="585"/>
      <c r="S749" s="585"/>
      <c r="T749" s="585"/>
      <c r="U749" s="585"/>
      <c r="V749" s="224"/>
      <c r="W749" s="224"/>
    </row>
    <row r="750">
      <c r="A750" s="585"/>
      <c r="B750" s="585"/>
      <c r="C750" s="585"/>
      <c r="D750" s="585"/>
      <c r="E750" s="585"/>
      <c r="F750" s="585"/>
      <c r="G750" s="585"/>
      <c r="H750" s="585"/>
      <c r="I750" s="585"/>
      <c r="J750" s="585"/>
      <c r="K750" s="585"/>
      <c r="L750" s="585"/>
      <c r="M750" s="585"/>
      <c r="N750" s="585"/>
      <c r="O750" s="585"/>
      <c r="P750" s="585"/>
      <c r="Q750" s="585"/>
      <c r="R750" s="585"/>
      <c r="S750" s="585"/>
      <c r="T750" s="585"/>
      <c r="U750" s="585"/>
      <c r="V750" s="224"/>
      <c r="W750" s="224"/>
    </row>
    <row r="751">
      <c r="A751" s="585"/>
      <c r="B751" s="585"/>
      <c r="C751" s="585"/>
      <c r="D751" s="585"/>
      <c r="E751" s="585"/>
      <c r="F751" s="585"/>
      <c r="G751" s="585"/>
      <c r="H751" s="585"/>
      <c r="I751" s="585"/>
      <c r="J751" s="585"/>
      <c r="K751" s="585"/>
      <c r="L751" s="585"/>
      <c r="M751" s="585"/>
      <c r="N751" s="585"/>
      <c r="O751" s="585"/>
      <c r="P751" s="585"/>
      <c r="Q751" s="585"/>
      <c r="R751" s="585"/>
      <c r="S751" s="585"/>
      <c r="T751" s="585"/>
      <c r="U751" s="585"/>
      <c r="V751" s="224"/>
      <c r="W751" s="224"/>
    </row>
    <row r="752">
      <c r="A752" s="585"/>
      <c r="B752" s="585"/>
      <c r="C752" s="585"/>
      <c r="D752" s="585"/>
      <c r="E752" s="585"/>
      <c r="F752" s="585"/>
      <c r="G752" s="585"/>
      <c r="H752" s="585"/>
      <c r="I752" s="585"/>
      <c r="J752" s="585"/>
      <c r="K752" s="585"/>
      <c r="L752" s="585"/>
      <c r="M752" s="585"/>
      <c r="N752" s="585"/>
      <c r="O752" s="585"/>
      <c r="P752" s="585"/>
      <c r="Q752" s="585"/>
      <c r="R752" s="585"/>
      <c r="S752" s="585"/>
      <c r="T752" s="585"/>
      <c r="U752" s="585"/>
      <c r="V752" s="224"/>
      <c r="W752" s="224"/>
    </row>
    <row r="753">
      <c r="A753" s="585"/>
      <c r="B753" s="585"/>
      <c r="C753" s="585"/>
      <c r="D753" s="585"/>
      <c r="E753" s="585"/>
      <c r="F753" s="585"/>
      <c r="G753" s="585"/>
      <c r="H753" s="585"/>
      <c r="I753" s="585"/>
      <c r="J753" s="585"/>
      <c r="K753" s="585"/>
      <c r="L753" s="585"/>
      <c r="M753" s="585"/>
      <c r="N753" s="585"/>
      <c r="O753" s="585"/>
      <c r="P753" s="585"/>
      <c r="Q753" s="585"/>
      <c r="R753" s="585"/>
      <c r="S753" s="585"/>
      <c r="T753" s="585"/>
      <c r="U753" s="585"/>
      <c r="V753" s="224"/>
      <c r="W753" s="224"/>
    </row>
    <row r="754">
      <c r="A754" s="585"/>
      <c r="B754" s="585"/>
      <c r="C754" s="585"/>
      <c r="D754" s="585"/>
      <c r="E754" s="585"/>
      <c r="F754" s="585"/>
      <c r="G754" s="585"/>
      <c r="H754" s="585"/>
      <c r="I754" s="585"/>
      <c r="J754" s="585"/>
      <c r="K754" s="585"/>
      <c r="L754" s="585"/>
      <c r="M754" s="585"/>
      <c r="N754" s="585"/>
      <c r="O754" s="585"/>
      <c r="P754" s="585"/>
      <c r="Q754" s="585"/>
      <c r="R754" s="585"/>
      <c r="S754" s="585"/>
      <c r="T754" s="585"/>
      <c r="U754" s="585"/>
      <c r="V754" s="224"/>
      <c r="W754" s="224"/>
    </row>
    <row r="755">
      <c r="A755" s="585"/>
      <c r="B755" s="585"/>
      <c r="C755" s="585"/>
      <c r="D755" s="585"/>
      <c r="E755" s="585"/>
      <c r="F755" s="585"/>
      <c r="G755" s="585"/>
      <c r="H755" s="585"/>
      <c r="I755" s="585"/>
      <c r="J755" s="585"/>
      <c r="K755" s="585"/>
      <c r="L755" s="585"/>
      <c r="M755" s="585"/>
      <c r="N755" s="585"/>
      <c r="O755" s="585"/>
      <c r="P755" s="585"/>
      <c r="Q755" s="585"/>
      <c r="R755" s="585"/>
      <c r="S755" s="585"/>
      <c r="T755" s="585"/>
      <c r="U755" s="585"/>
      <c r="V755" s="224"/>
      <c r="W755" s="224"/>
    </row>
    <row r="756">
      <c r="A756" s="585"/>
      <c r="B756" s="585"/>
      <c r="C756" s="585"/>
      <c r="D756" s="585"/>
      <c r="E756" s="585"/>
      <c r="F756" s="585"/>
      <c r="G756" s="585"/>
      <c r="H756" s="585"/>
      <c r="I756" s="585"/>
      <c r="J756" s="585"/>
      <c r="K756" s="585"/>
      <c r="L756" s="585"/>
      <c r="M756" s="585"/>
      <c r="N756" s="585"/>
      <c r="O756" s="585"/>
      <c r="P756" s="585"/>
      <c r="Q756" s="585"/>
      <c r="R756" s="585"/>
      <c r="S756" s="585"/>
      <c r="T756" s="585"/>
      <c r="U756" s="585"/>
      <c r="V756" s="224"/>
      <c r="W756" s="224"/>
    </row>
    <row r="757">
      <c r="A757" s="585"/>
      <c r="B757" s="585"/>
      <c r="C757" s="585"/>
      <c r="D757" s="585"/>
      <c r="E757" s="585"/>
      <c r="F757" s="585"/>
      <c r="G757" s="585"/>
      <c r="H757" s="585"/>
      <c r="I757" s="585"/>
      <c r="J757" s="585"/>
      <c r="K757" s="585"/>
      <c r="L757" s="585"/>
      <c r="M757" s="585"/>
      <c r="N757" s="585"/>
      <c r="O757" s="585"/>
      <c r="P757" s="585"/>
      <c r="Q757" s="585"/>
      <c r="R757" s="585"/>
      <c r="S757" s="585"/>
      <c r="T757" s="585"/>
      <c r="U757" s="585"/>
      <c r="V757" s="224"/>
      <c r="W757" s="224"/>
    </row>
    <row r="758">
      <c r="A758" s="585"/>
      <c r="B758" s="585"/>
      <c r="C758" s="585"/>
      <c r="D758" s="585"/>
      <c r="E758" s="585"/>
      <c r="F758" s="585"/>
      <c r="G758" s="585"/>
      <c r="H758" s="585"/>
      <c r="I758" s="585"/>
      <c r="J758" s="585"/>
      <c r="K758" s="585"/>
      <c r="L758" s="585"/>
      <c r="M758" s="585"/>
      <c r="N758" s="585"/>
      <c r="O758" s="585"/>
      <c r="P758" s="585"/>
      <c r="Q758" s="585"/>
      <c r="R758" s="585"/>
      <c r="S758" s="585"/>
      <c r="T758" s="585"/>
      <c r="U758" s="585"/>
      <c r="V758" s="224"/>
      <c r="W758" s="224"/>
    </row>
    <row r="759">
      <c r="A759" s="585"/>
      <c r="B759" s="585"/>
      <c r="C759" s="585"/>
      <c r="D759" s="585"/>
      <c r="E759" s="585"/>
      <c r="F759" s="585"/>
      <c r="G759" s="585"/>
      <c r="H759" s="585"/>
      <c r="I759" s="585"/>
      <c r="J759" s="585"/>
      <c r="K759" s="585"/>
      <c r="L759" s="585"/>
      <c r="M759" s="585"/>
      <c r="N759" s="585"/>
      <c r="O759" s="585"/>
      <c r="P759" s="585"/>
      <c r="Q759" s="585"/>
      <c r="R759" s="585"/>
      <c r="S759" s="585"/>
      <c r="T759" s="585"/>
      <c r="U759" s="585"/>
      <c r="V759" s="224"/>
      <c r="W759" s="224"/>
    </row>
    <row r="760">
      <c r="A760" s="585"/>
      <c r="B760" s="585"/>
      <c r="C760" s="585"/>
      <c r="D760" s="585"/>
      <c r="E760" s="585"/>
      <c r="F760" s="585"/>
      <c r="G760" s="585"/>
      <c r="H760" s="585"/>
      <c r="I760" s="585"/>
      <c r="J760" s="585"/>
      <c r="K760" s="585"/>
      <c r="L760" s="585"/>
      <c r="M760" s="585"/>
      <c r="N760" s="585"/>
      <c r="O760" s="585"/>
      <c r="P760" s="585"/>
      <c r="Q760" s="585"/>
      <c r="R760" s="585"/>
      <c r="S760" s="585"/>
      <c r="T760" s="585"/>
      <c r="U760" s="585"/>
      <c r="V760" s="224"/>
      <c r="W760" s="224"/>
    </row>
    <row r="761">
      <c r="A761" s="585"/>
      <c r="B761" s="585"/>
      <c r="C761" s="585"/>
      <c r="D761" s="585"/>
      <c r="E761" s="585"/>
      <c r="F761" s="585"/>
      <c r="G761" s="585"/>
      <c r="H761" s="585"/>
      <c r="I761" s="585"/>
      <c r="J761" s="585"/>
      <c r="K761" s="585"/>
      <c r="L761" s="585"/>
      <c r="M761" s="585"/>
      <c r="N761" s="585"/>
      <c r="O761" s="585"/>
      <c r="P761" s="585"/>
      <c r="Q761" s="585"/>
      <c r="R761" s="585"/>
      <c r="S761" s="585"/>
      <c r="T761" s="585"/>
      <c r="U761" s="585"/>
      <c r="V761" s="224"/>
      <c r="W761" s="224"/>
    </row>
    <row r="762">
      <c r="A762" s="585"/>
      <c r="B762" s="585"/>
      <c r="C762" s="585"/>
      <c r="D762" s="585"/>
      <c r="E762" s="585"/>
      <c r="F762" s="585"/>
      <c r="G762" s="585"/>
      <c r="H762" s="585"/>
      <c r="I762" s="585"/>
      <c r="J762" s="585"/>
      <c r="K762" s="585"/>
      <c r="L762" s="585"/>
      <c r="M762" s="585"/>
      <c r="N762" s="585"/>
      <c r="O762" s="585"/>
      <c r="P762" s="585"/>
      <c r="Q762" s="585"/>
      <c r="R762" s="585"/>
      <c r="S762" s="585"/>
      <c r="T762" s="585"/>
      <c r="U762" s="585"/>
      <c r="V762" s="224"/>
      <c r="W762" s="224"/>
    </row>
    <row r="763">
      <c r="A763" s="585"/>
      <c r="B763" s="585"/>
      <c r="C763" s="585"/>
      <c r="D763" s="585"/>
      <c r="E763" s="585"/>
      <c r="F763" s="585"/>
      <c r="G763" s="585"/>
      <c r="H763" s="585"/>
      <c r="I763" s="585"/>
      <c r="J763" s="585"/>
      <c r="K763" s="585"/>
      <c r="L763" s="585"/>
      <c r="M763" s="585"/>
      <c r="N763" s="585"/>
      <c r="O763" s="585"/>
      <c r="P763" s="585"/>
      <c r="Q763" s="585"/>
      <c r="R763" s="585"/>
      <c r="S763" s="585"/>
      <c r="T763" s="585"/>
      <c r="U763" s="585"/>
      <c r="V763" s="224"/>
      <c r="W763" s="224"/>
    </row>
    <row r="764">
      <c r="A764" s="585"/>
      <c r="B764" s="585"/>
      <c r="C764" s="585"/>
      <c r="D764" s="585"/>
      <c r="E764" s="585"/>
      <c r="F764" s="585"/>
      <c r="G764" s="585"/>
      <c r="H764" s="585"/>
      <c r="I764" s="585"/>
      <c r="J764" s="585"/>
      <c r="K764" s="585"/>
      <c r="L764" s="585"/>
      <c r="M764" s="585"/>
      <c r="N764" s="585"/>
      <c r="O764" s="585"/>
      <c r="P764" s="585"/>
      <c r="Q764" s="585"/>
      <c r="R764" s="585"/>
      <c r="S764" s="585"/>
      <c r="T764" s="585"/>
      <c r="U764" s="585"/>
      <c r="V764" s="224"/>
      <c r="W764" s="224"/>
    </row>
    <row r="765">
      <c r="A765" s="585"/>
      <c r="B765" s="585"/>
      <c r="C765" s="585"/>
      <c r="D765" s="585"/>
      <c r="E765" s="585"/>
      <c r="F765" s="585"/>
      <c r="G765" s="585"/>
      <c r="H765" s="585"/>
      <c r="I765" s="585"/>
      <c r="J765" s="585"/>
      <c r="K765" s="585"/>
      <c r="L765" s="585"/>
      <c r="M765" s="585"/>
      <c r="N765" s="585"/>
      <c r="O765" s="585"/>
      <c r="P765" s="585"/>
      <c r="Q765" s="585"/>
      <c r="R765" s="585"/>
      <c r="S765" s="585"/>
      <c r="T765" s="585"/>
      <c r="U765" s="585"/>
      <c r="V765" s="224"/>
      <c r="W765" s="224"/>
    </row>
    <row r="766">
      <c r="A766" s="585"/>
      <c r="B766" s="585"/>
      <c r="C766" s="585"/>
      <c r="D766" s="585"/>
      <c r="E766" s="585"/>
      <c r="F766" s="585"/>
      <c r="G766" s="585"/>
      <c r="H766" s="585"/>
      <c r="I766" s="585"/>
      <c r="J766" s="585"/>
      <c r="K766" s="585"/>
      <c r="L766" s="585"/>
      <c r="M766" s="585"/>
      <c r="N766" s="585"/>
      <c r="O766" s="585"/>
      <c r="P766" s="585"/>
      <c r="Q766" s="585"/>
      <c r="R766" s="585"/>
      <c r="S766" s="585"/>
      <c r="T766" s="585"/>
      <c r="U766" s="585"/>
      <c r="V766" s="224"/>
      <c r="W766" s="224"/>
    </row>
    <row r="767">
      <c r="A767" s="585"/>
      <c r="B767" s="585"/>
      <c r="C767" s="585"/>
      <c r="D767" s="585"/>
      <c r="E767" s="585"/>
      <c r="F767" s="585"/>
      <c r="G767" s="585"/>
      <c r="H767" s="585"/>
      <c r="I767" s="585"/>
      <c r="J767" s="585"/>
      <c r="K767" s="585"/>
      <c r="L767" s="585"/>
      <c r="M767" s="585"/>
      <c r="N767" s="585"/>
      <c r="O767" s="585"/>
      <c r="P767" s="585"/>
      <c r="Q767" s="585"/>
      <c r="R767" s="585"/>
      <c r="S767" s="585"/>
      <c r="T767" s="585"/>
      <c r="U767" s="585"/>
      <c r="V767" s="224"/>
      <c r="W767" s="224"/>
    </row>
    <row r="768">
      <c r="A768" s="585"/>
      <c r="B768" s="585"/>
      <c r="C768" s="585"/>
      <c r="D768" s="585"/>
      <c r="E768" s="585"/>
      <c r="F768" s="585"/>
      <c r="G768" s="585"/>
      <c r="H768" s="585"/>
      <c r="I768" s="585"/>
      <c r="J768" s="585"/>
      <c r="K768" s="585"/>
      <c r="L768" s="585"/>
      <c r="M768" s="585"/>
      <c r="N768" s="585"/>
      <c r="O768" s="585"/>
      <c r="P768" s="585"/>
      <c r="Q768" s="585"/>
      <c r="R768" s="585"/>
      <c r="S768" s="585"/>
      <c r="T768" s="585"/>
      <c r="U768" s="585"/>
      <c r="V768" s="224"/>
      <c r="W768" s="224"/>
    </row>
    <row r="769">
      <c r="A769" s="585"/>
      <c r="B769" s="585"/>
      <c r="C769" s="585"/>
      <c r="D769" s="585"/>
      <c r="E769" s="585"/>
      <c r="F769" s="585"/>
      <c r="G769" s="585"/>
      <c r="H769" s="585"/>
      <c r="I769" s="585"/>
      <c r="J769" s="585"/>
      <c r="K769" s="585"/>
      <c r="L769" s="585"/>
      <c r="M769" s="585"/>
      <c r="N769" s="585"/>
      <c r="O769" s="585"/>
      <c r="P769" s="585"/>
      <c r="Q769" s="585"/>
      <c r="R769" s="585"/>
      <c r="S769" s="585"/>
      <c r="T769" s="585"/>
      <c r="U769" s="585"/>
      <c r="V769" s="224"/>
      <c r="W769" s="224"/>
    </row>
    <row r="770">
      <c r="A770" s="585"/>
      <c r="B770" s="585"/>
      <c r="C770" s="585"/>
      <c r="D770" s="585"/>
      <c r="E770" s="585"/>
      <c r="F770" s="585"/>
      <c r="G770" s="585"/>
      <c r="H770" s="585"/>
      <c r="I770" s="585"/>
      <c r="J770" s="585"/>
      <c r="K770" s="585"/>
      <c r="L770" s="585"/>
      <c r="M770" s="585"/>
      <c r="N770" s="585"/>
      <c r="O770" s="585"/>
      <c r="P770" s="585"/>
      <c r="Q770" s="585"/>
      <c r="R770" s="585"/>
      <c r="S770" s="585"/>
      <c r="T770" s="585"/>
      <c r="U770" s="585"/>
      <c r="V770" s="224"/>
      <c r="W770" s="224"/>
    </row>
    <row r="771">
      <c r="A771" s="585"/>
      <c r="B771" s="585"/>
      <c r="C771" s="585"/>
      <c r="D771" s="585"/>
      <c r="E771" s="585"/>
      <c r="F771" s="585"/>
      <c r="G771" s="585"/>
      <c r="H771" s="585"/>
      <c r="I771" s="585"/>
      <c r="J771" s="585"/>
      <c r="K771" s="585"/>
      <c r="L771" s="585"/>
      <c r="M771" s="585"/>
      <c r="N771" s="585"/>
      <c r="O771" s="585"/>
      <c r="P771" s="585"/>
      <c r="Q771" s="585"/>
      <c r="R771" s="585"/>
      <c r="S771" s="585"/>
      <c r="T771" s="585"/>
      <c r="U771" s="585"/>
      <c r="V771" s="224"/>
      <c r="W771" s="224"/>
    </row>
    <row r="772">
      <c r="A772" s="585"/>
      <c r="B772" s="585"/>
      <c r="C772" s="585"/>
      <c r="D772" s="585"/>
      <c r="E772" s="585"/>
      <c r="F772" s="585"/>
      <c r="G772" s="585"/>
      <c r="H772" s="585"/>
      <c r="I772" s="585"/>
      <c r="J772" s="585"/>
      <c r="K772" s="585"/>
      <c r="L772" s="585"/>
      <c r="M772" s="585"/>
      <c r="N772" s="585"/>
      <c r="O772" s="585"/>
      <c r="P772" s="585"/>
      <c r="Q772" s="585"/>
      <c r="R772" s="585"/>
      <c r="S772" s="585"/>
      <c r="T772" s="585"/>
      <c r="U772" s="585"/>
      <c r="V772" s="224"/>
      <c r="W772" s="224"/>
    </row>
    <row r="773">
      <c r="A773" s="585"/>
      <c r="B773" s="585"/>
      <c r="C773" s="585"/>
      <c r="D773" s="585"/>
      <c r="E773" s="585"/>
      <c r="F773" s="585"/>
      <c r="G773" s="585"/>
      <c r="H773" s="585"/>
      <c r="I773" s="585"/>
      <c r="J773" s="585"/>
      <c r="K773" s="585"/>
      <c r="L773" s="585"/>
      <c r="M773" s="585"/>
      <c r="N773" s="585"/>
      <c r="O773" s="585"/>
      <c r="P773" s="585"/>
      <c r="Q773" s="585"/>
      <c r="R773" s="585"/>
      <c r="S773" s="585"/>
      <c r="T773" s="585"/>
      <c r="U773" s="585"/>
      <c r="V773" s="224"/>
      <c r="W773" s="224"/>
    </row>
    <row r="774">
      <c r="A774" s="585"/>
      <c r="B774" s="585"/>
      <c r="C774" s="585"/>
      <c r="D774" s="585"/>
      <c r="E774" s="585"/>
      <c r="F774" s="585"/>
      <c r="G774" s="585"/>
      <c r="H774" s="585"/>
      <c r="I774" s="585"/>
      <c r="J774" s="585"/>
      <c r="K774" s="585"/>
      <c r="L774" s="585"/>
      <c r="M774" s="585"/>
      <c r="N774" s="585"/>
      <c r="O774" s="585"/>
      <c r="P774" s="585"/>
      <c r="Q774" s="585"/>
      <c r="R774" s="585"/>
      <c r="S774" s="585"/>
      <c r="T774" s="585"/>
      <c r="U774" s="585"/>
      <c r="V774" s="224"/>
      <c r="W774" s="224"/>
    </row>
    <row r="775">
      <c r="A775" s="585"/>
      <c r="B775" s="585"/>
      <c r="C775" s="585"/>
      <c r="D775" s="585"/>
      <c r="E775" s="585"/>
      <c r="F775" s="585"/>
      <c r="G775" s="585"/>
      <c r="H775" s="585"/>
      <c r="I775" s="585"/>
      <c r="J775" s="585"/>
      <c r="K775" s="585"/>
      <c r="L775" s="585"/>
      <c r="M775" s="585"/>
      <c r="N775" s="585"/>
      <c r="O775" s="585"/>
      <c r="P775" s="585"/>
      <c r="Q775" s="585"/>
      <c r="R775" s="585"/>
      <c r="S775" s="585"/>
      <c r="T775" s="585"/>
      <c r="U775" s="585"/>
      <c r="V775" s="224"/>
      <c r="W775" s="224"/>
    </row>
    <row r="776">
      <c r="A776" s="585"/>
      <c r="B776" s="585"/>
      <c r="C776" s="585"/>
      <c r="D776" s="585"/>
      <c r="E776" s="585"/>
      <c r="F776" s="585"/>
      <c r="G776" s="585"/>
      <c r="H776" s="585"/>
      <c r="I776" s="585"/>
      <c r="J776" s="585"/>
      <c r="K776" s="585"/>
      <c r="L776" s="585"/>
      <c r="M776" s="585"/>
      <c r="N776" s="585"/>
      <c r="O776" s="585"/>
      <c r="P776" s="585"/>
      <c r="Q776" s="585"/>
      <c r="R776" s="585"/>
      <c r="S776" s="585"/>
      <c r="T776" s="585"/>
      <c r="U776" s="585"/>
      <c r="V776" s="224"/>
      <c r="W776" s="224"/>
    </row>
    <row r="777">
      <c r="A777" s="585"/>
      <c r="B777" s="585"/>
      <c r="C777" s="585"/>
      <c r="D777" s="585"/>
      <c r="E777" s="585"/>
      <c r="F777" s="585"/>
      <c r="G777" s="585"/>
      <c r="H777" s="585"/>
      <c r="I777" s="585"/>
      <c r="J777" s="585"/>
      <c r="K777" s="585"/>
      <c r="L777" s="585"/>
      <c r="M777" s="585"/>
      <c r="N777" s="585"/>
      <c r="O777" s="585"/>
      <c r="P777" s="585"/>
      <c r="Q777" s="585"/>
      <c r="R777" s="585"/>
      <c r="S777" s="585"/>
      <c r="T777" s="585"/>
      <c r="U777" s="585"/>
      <c r="V777" s="224"/>
      <c r="W777" s="224"/>
    </row>
    <row r="778">
      <c r="A778" s="585"/>
      <c r="B778" s="585"/>
      <c r="C778" s="585"/>
      <c r="D778" s="585"/>
      <c r="E778" s="585"/>
      <c r="F778" s="585"/>
      <c r="G778" s="585"/>
      <c r="H778" s="585"/>
      <c r="I778" s="585"/>
      <c r="J778" s="585"/>
      <c r="K778" s="585"/>
      <c r="L778" s="585"/>
      <c r="M778" s="585"/>
      <c r="N778" s="585"/>
      <c r="O778" s="585"/>
      <c r="P778" s="585"/>
      <c r="Q778" s="585"/>
      <c r="R778" s="585"/>
      <c r="S778" s="585"/>
      <c r="T778" s="585"/>
      <c r="U778" s="585"/>
      <c r="V778" s="224"/>
      <c r="W778" s="224"/>
    </row>
    <row r="779">
      <c r="A779" s="585"/>
      <c r="B779" s="585"/>
      <c r="C779" s="585"/>
      <c r="D779" s="585"/>
      <c r="E779" s="585"/>
      <c r="F779" s="585"/>
      <c r="G779" s="585"/>
      <c r="H779" s="585"/>
      <c r="I779" s="585"/>
      <c r="J779" s="585"/>
      <c r="K779" s="585"/>
      <c r="L779" s="585"/>
      <c r="M779" s="585"/>
      <c r="N779" s="585"/>
      <c r="O779" s="585"/>
      <c r="P779" s="585"/>
      <c r="Q779" s="585"/>
      <c r="R779" s="585"/>
      <c r="S779" s="585"/>
      <c r="T779" s="585"/>
      <c r="U779" s="585"/>
      <c r="V779" s="224"/>
      <c r="W779" s="224"/>
    </row>
    <row r="780">
      <c r="A780" s="585"/>
      <c r="B780" s="585"/>
      <c r="C780" s="585"/>
      <c r="D780" s="585"/>
      <c r="E780" s="585"/>
      <c r="F780" s="585"/>
      <c r="G780" s="585"/>
      <c r="H780" s="585"/>
      <c r="I780" s="585"/>
      <c r="J780" s="585"/>
      <c r="K780" s="585"/>
      <c r="L780" s="585"/>
      <c r="M780" s="585"/>
      <c r="N780" s="585"/>
      <c r="O780" s="585"/>
      <c r="P780" s="585"/>
      <c r="Q780" s="585"/>
      <c r="R780" s="585"/>
      <c r="S780" s="585"/>
      <c r="T780" s="585"/>
      <c r="U780" s="585"/>
      <c r="V780" s="224"/>
      <c r="W780" s="224"/>
    </row>
    <row r="781">
      <c r="A781" s="585"/>
      <c r="B781" s="585"/>
      <c r="C781" s="585"/>
      <c r="D781" s="585"/>
      <c r="E781" s="585"/>
      <c r="F781" s="585"/>
      <c r="G781" s="585"/>
      <c r="H781" s="585"/>
      <c r="I781" s="585"/>
      <c r="J781" s="585"/>
      <c r="K781" s="585"/>
      <c r="L781" s="585"/>
      <c r="M781" s="585"/>
      <c r="N781" s="585"/>
      <c r="O781" s="585"/>
      <c r="P781" s="585"/>
      <c r="Q781" s="585"/>
      <c r="R781" s="585"/>
      <c r="S781" s="585"/>
      <c r="T781" s="585"/>
      <c r="U781" s="585"/>
      <c r="V781" s="224"/>
      <c r="W781" s="224"/>
    </row>
    <row r="782">
      <c r="A782" s="585"/>
      <c r="B782" s="585"/>
      <c r="C782" s="585"/>
      <c r="D782" s="585"/>
      <c r="E782" s="585"/>
      <c r="F782" s="585"/>
      <c r="G782" s="585"/>
      <c r="H782" s="585"/>
      <c r="I782" s="585"/>
      <c r="J782" s="585"/>
      <c r="K782" s="585"/>
      <c r="L782" s="585"/>
      <c r="M782" s="585"/>
      <c r="N782" s="585"/>
      <c r="O782" s="585"/>
      <c r="P782" s="585"/>
      <c r="Q782" s="585"/>
      <c r="R782" s="585"/>
      <c r="S782" s="585"/>
      <c r="T782" s="585"/>
      <c r="U782" s="585"/>
      <c r="V782" s="224"/>
      <c r="W782" s="224"/>
    </row>
    <row r="783">
      <c r="A783" s="585"/>
      <c r="B783" s="585"/>
      <c r="C783" s="585"/>
      <c r="D783" s="585"/>
      <c r="E783" s="585"/>
      <c r="F783" s="585"/>
      <c r="G783" s="585"/>
      <c r="H783" s="585"/>
      <c r="I783" s="585"/>
      <c r="J783" s="585"/>
      <c r="K783" s="585"/>
      <c r="L783" s="585"/>
      <c r="M783" s="585"/>
      <c r="N783" s="585"/>
      <c r="O783" s="585"/>
      <c r="P783" s="585"/>
      <c r="Q783" s="585"/>
      <c r="R783" s="585"/>
      <c r="S783" s="585"/>
      <c r="T783" s="585"/>
      <c r="U783" s="585"/>
      <c r="V783" s="224"/>
      <c r="W783" s="224"/>
    </row>
    <row r="784">
      <c r="A784" s="585"/>
      <c r="B784" s="585"/>
      <c r="C784" s="585"/>
      <c r="D784" s="585"/>
      <c r="E784" s="585"/>
      <c r="F784" s="585"/>
      <c r="G784" s="585"/>
      <c r="H784" s="585"/>
      <c r="I784" s="585"/>
      <c r="J784" s="585"/>
      <c r="K784" s="585"/>
      <c r="L784" s="585"/>
      <c r="M784" s="585"/>
      <c r="N784" s="585"/>
      <c r="O784" s="585"/>
      <c r="P784" s="585"/>
      <c r="Q784" s="585"/>
      <c r="R784" s="585"/>
      <c r="S784" s="585"/>
      <c r="T784" s="585"/>
      <c r="U784" s="585"/>
      <c r="V784" s="224"/>
      <c r="W784" s="224"/>
    </row>
    <row r="785">
      <c r="A785" s="585"/>
      <c r="B785" s="585"/>
      <c r="C785" s="585"/>
      <c r="D785" s="585"/>
      <c r="E785" s="585"/>
      <c r="F785" s="585"/>
      <c r="G785" s="585"/>
      <c r="H785" s="585"/>
      <c r="I785" s="585"/>
      <c r="J785" s="585"/>
      <c r="K785" s="585"/>
      <c r="L785" s="585"/>
      <c r="M785" s="585"/>
      <c r="N785" s="585"/>
      <c r="O785" s="585"/>
      <c r="P785" s="585"/>
      <c r="Q785" s="585"/>
      <c r="R785" s="585"/>
      <c r="S785" s="585"/>
      <c r="T785" s="585"/>
      <c r="U785" s="585"/>
      <c r="V785" s="224"/>
      <c r="W785" s="224"/>
    </row>
    <row r="786">
      <c r="A786" s="585"/>
      <c r="B786" s="585"/>
      <c r="C786" s="585"/>
      <c r="D786" s="585"/>
      <c r="E786" s="585"/>
      <c r="F786" s="585"/>
      <c r="G786" s="585"/>
      <c r="H786" s="585"/>
      <c r="I786" s="585"/>
      <c r="J786" s="585"/>
      <c r="K786" s="585"/>
      <c r="L786" s="585"/>
      <c r="M786" s="585"/>
      <c r="N786" s="585"/>
      <c r="O786" s="585"/>
      <c r="P786" s="585"/>
      <c r="Q786" s="585"/>
      <c r="R786" s="585"/>
      <c r="S786" s="585"/>
      <c r="T786" s="585"/>
      <c r="U786" s="585"/>
      <c r="V786" s="224"/>
      <c r="W786" s="224"/>
    </row>
    <row r="787">
      <c r="A787" s="585"/>
      <c r="B787" s="585"/>
      <c r="C787" s="585"/>
      <c r="D787" s="585"/>
      <c r="E787" s="585"/>
      <c r="F787" s="585"/>
      <c r="G787" s="585"/>
      <c r="H787" s="585"/>
      <c r="I787" s="585"/>
      <c r="J787" s="585"/>
      <c r="K787" s="585"/>
      <c r="L787" s="585"/>
      <c r="M787" s="585"/>
      <c r="N787" s="585"/>
      <c r="O787" s="585"/>
      <c r="P787" s="585"/>
      <c r="Q787" s="585"/>
      <c r="R787" s="585"/>
      <c r="S787" s="585"/>
      <c r="T787" s="585"/>
      <c r="U787" s="585"/>
      <c r="V787" s="224"/>
      <c r="W787" s="224"/>
    </row>
    <row r="788">
      <c r="A788" s="585"/>
      <c r="B788" s="585"/>
      <c r="C788" s="585"/>
      <c r="D788" s="585"/>
      <c r="E788" s="585"/>
      <c r="F788" s="585"/>
      <c r="G788" s="585"/>
      <c r="H788" s="585"/>
      <c r="I788" s="585"/>
      <c r="J788" s="585"/>
      <c r="K788" s="585"/>
      <c r="L788" s="585"/>
      <c r="M788" s="585"/>
      <c r="N788" s="585"/>
      <c r="O788" s="585"/>
      <c r="P788" s="585"/>
      <c r="Q788" s="585"/>
      <c r="R788" s="585"/>
      <c r="S788" s="585"/>
      <c r="T788" s="585"/>
      <c r="U788" s="585"/>
      <c r="V788" s="224"/>
      <c r="W788" s="224"/>
    </row>
    <row r="789">
      <c r="A789" s="585"/>
      <c r="B789" s="585"/>
      <c r="C789" s="585"/>
      <c r="D789" s="585"/>
      <c r="E789" s="585"/>
      <c r="F789" s="585"/>
      <c r="G789" s="585"/>
      <c r="H789" s="585"/>
      <c r="I789" s="585"/>
      <c r="J789" s="585"/>
      <c r="K789" s="585"/>
      <c r="L789" s="585"/>
      <c r="M789" s="585"/>
      <c r="N789" s="585"/>
      <c r="O789" s="585"/>
      <c r="P789" s="585"/>
      <c r="Q789" s="585"/>
      <c r="R789" s="585"/>
      <c r="S789" s="585"/>
      <c r="T789" s="585"/>
      <c r="U789" s="585"/>
      <c r="V789" s="224"/>
      <c r="W789" s="224"/>
    </row>
    <row r="790">
      <c r="A790" s="585"/>
      <c r="B790" s="585"/>
      <c r="C790" s="585"/>
      <c r="D790" s="585"/>
      <c r="E790" s="585"/>
      <c r="F790" s="585"/>
      <c r="G790" s="585"/>
      <c r="H790" s="585"/>
      <c r="I790" s="585"/>
      <c r="J790" s="585"/>
      <c r="K790" s="585"/>
      <c r="L790" s="585"/>
      <c r="M790" s="585"/>
      <c r="N790" s="585"/>
      <c r="O790" s="585"/>
      <c r="P790" s="585"/>
      <c r="Q790" s="585"/>
      <c r="R790" s="585"/>
      <c r="S790" s="585"/>
      <c r="T790" s="585"/>
      <c r="U790" s="585"/>
      <c r="V790" s="224"/>
      <c r="W790" s="224"/>
    </row>
    <row r="791">
      <c r="A791" s="585"/>
      <c r="B791" s="585"/>
      <c r="C791" s="585"/>
      <c r="D791" s="585"/>
      <c r="E791" s="585"/>
      <c r="F791" s="585"/>
      <c r="G791" s="585"/>
      <c r="H791" s="585"/>
      <c r="I791" s="585"/>
      <c r="J791" s="585"/>
      <c r="K791" s="585"/>
      <c r="L791" s="585"/>
      <c r="M791" s="585"/>
      <c r="N791" s="585"/>
      <c r="O791" s="585"/>
      <c r="P791" s="585"/>
      <c r="Q791" s="585"/>
      <c r="R791" s="585"/>
      <c r="S791" s="585"/>
      <c r="T791" s="585"/>
      <c r="U791" s="585"/>
      <c r="V791" s="224"/>
      <c r="W791" s="224"/>
    </row>
    <row r="792">
      <c r="A792" s="585"/>
      <c r="B792" s="585"/>
      <c r="C792" s="585"/>
      <c r="D792" s="585"/>
      <c r="E792" s="585"/>
      <c r="F792" s="585"/>
      <c r="G792" s="585"/>
      <c r="H792" s="585"/>
      <c r="I792" s="585"/>
      <c r="J792" s="585"/>
      <c r="K792" s="585"/>
      <c r="L792" s="585"/>
      <c r="M792" s="585"/>
      <c r="N792" s="585"/>
      <c r="O792" s="585"/>
      <c r="P792" s="585"/>
      <c r="Q792" s="585"/>
      <c r="R792" s="585"/>
      <c r="S792" s="585"/>
      <c r="T792" s="585"/>
      <c r="U792" s="585"/>
      <c r="V792" s="224"/>
      <c r="W792" s="224"/>
    </row>
    <row r="793">
      <c r="A793" s="585"/>
      <c r="B793" s="585"/>
      <c r="C793" s="585"/>
      <c r="D793" s="585"/>
      <c r="E793" s="585"/>
      <c r="F793" s="585"/>
      <c r="G793" s="585"/>
      <c r="H793" s="585"/>
      <c r="I793" s="585"/>
      <c r="J793" s="585"/>
      <c r="K793" s="585"/>
      <c r="L793" s="585"/>
      <c r="M793" s="585"/>
      <c r="N793" s="585"/>
      <c r="O793" s="585"/>
      <c r="P793" s="585"/>
      <c r="Q793" s="585"/>
      <c r="R793" s="585"/>
      <c r="S793" s="585"/>
      <c r="T793" s="585"/>
      <c r="U793" s="585"/>
      <c r="V793" s="224"/>
      <c r="W793" s="224"/>
    </row>
    <row r="794">
      <c r="A794" s="585"/>
      <c r="B794" s="585"/>
      <c r="C794" s="585"/>
      <c r="D794" s="585"/>
      <c r="E794" s="585"/>
      <c r="F794" s="585"/>
      <c r="G794" s="585"/>
      <c r="H794" s="585"/>
      <c r="I794" s="585"/>
      <c r="J794" s="585"/>
      <c r="K794" s="585"/>
      <c r="L794" s="585"/>
      <c r="M794" s="585"/>
      <c r="N794" s="585"/>
      <c r="O794" s="585"/>
      <c r="P794" s="585"/>
      <c r="Q794" s="585"/>
      <c r="R794" s="585"/>
      <c r="S794" s="585"/>
      <c r="T794" s="585"/>
      <c r="U794" s="585"/>
      <c r="V794" s="224"/>
      <c r="W794" s="224"/>
    </row>
    <row r="795">
      <c r="A795" s="585"/>
      <c r="B795" s="585"/>
      <c r="C795" s="585"/>
      <c r="D795" s="585"/>
      <c r="E795" s="585"/>
      <c r="F795" s="585"/>
      <c r="G795" s="585"/>
      <c r="H795" s="585"/>
      <c r="I795" s="585"/>
      <c r="J795" s="585"/>
      <c r="K795" s="585"/>
      <c r="L795" s="585"/>
      <c r="M795" s="585"/>
      <c r="N795" s="585"/>
      <c r="O795" s="585"/>
      <c r="P795" s="585"/>
      <c r="Q795" s="585"/>
      <c r="R795" s="585"/>
      <c r="S795" s="585"/>
      <c r="T795" s="585"/>
      <c r="U795" s="585"/>
      <c r="V795" s="224"/>
      <c r="W795" s="224"/>
    </row>
    <row r="796">
      <c r="A796" s="585"/>
      <c r="B796" s="585"/>
      <c r="C796" s="585"/>
      <c r="D796" s="585"/>
      <c r="E796" s="585"/>
      <c r="F796" s="585"/>
      <c r="G796" s="585"/>
      <c r="H796" s="585"/>
      <c r="I796" s="585"/>
      <c r="J796" s="585"/>
      <c r="K796" s="585"/>
      <c r="L796" s="585"/>
      <c r="M796" s="585"/>
      <c r="N796" s="585"/>
      <c r="O796" s="585"/>
      <c r="P796" s="585"/>
      <c r="Q796" s="585"/>
      <c r="R796" s="585"/>
      <c r="S796" s="585"/>
      <c r="T796" s="585"/>
      <c r="U796" s="585"/>
      <c r="V796" s="224"/>
      <c r="W796" s="224"/>
    </row>
    <row r="797">
      <c r="A797" s="585"/>
      <c r="B797" s="585"/>
      <c r="C797" s="585"/>
      <c r="D797" s="585"/>
      <c r="E797" s="585"/>
      <c r="F797" s="585"/>
      <c r="G797" s="585"/>
      <c r="H797" s="585"/>
      <c r="I797" s="585"/>
      <c r="J797" s="585"/>
      <c r="K797" s="585"/>
      <c r="L797" s="585"/>
      <c r="M797" s="585"/>
      <c r="N797" s="585"/>
      <c r="O797" s="585"/>
      <c r="P797" s="585"/>
      <c r="Q797" s="585"/>
      <c r="R797" s="585"/>
      <c r="S797" s="585"/>
      <c r="T797" s="585"/>
      <c r="U797" s="585"/>
      <c r="V797" s="224"/>
      <c r="W797" s="224"/>
    </row>
    <row r="798">
      <c r="A798" s="585"/>
      <c r="B798" s="585"/>
      <c r="C798" s="585"/>
      <c r="D798" s="585"/>
      <c r="E798" s="585"/>
      <c r="F798" s="585"/>
      <c r="G798" s="585"/>
      <c r="H798" s="585"/>
      <c r="I798" s="585"/>
      <c r="J798" s="585"/>
      <c r="K798" s="585"/>
      <c r="L798" s="585"/>
      <c r="M798" s="585"/>
      <c r="N798" s="585"/>
      <c r="O798" s="585"/>
      <c r="P798" s="585"/>
      <c r="Q798" s="585"/>
      <c r="R798" s="585"/>
      <c r="S798" s="585"/>
      <c r="T798" s="585"/>
      <c r="U798" s="585"/>
      <c r="V798" s="224"/>
      <c r="W798" s="224"/>
    </row>
    <row r="799">
      <c r="A799" s="585"/>
      <c r="B799" s="585"/>
      <c r="C799" s="585"/>
      <c r="D799" s="585"/>
      <c r="E799" s="585"/>
      <c r="F799" s="585"/>
      <c r="G799" s="585"/>
      <c r="H799" s="585"/>
      <c r="I799" s="585"/>
      <c r="J799" s="585"/>
      <c r="K799" s="585"/>
      <c r="L799" s="585"/>
      <c r="M799" s="585"/>
      <c r="N799" s="585"/>
      <c r="O799" s="585"/>
      <c r="P799" s="585"/>
      <c r="Q799" s="585"/>
      <c r="R799" s="585"/>
      <c r="S799" s="585"/>
      <c r="T799" s="585"/>
      <c r="U799" s="585"/>
      <c r="V799" s="224"/>
      <c r="W799" s="224"/>
    </row>
    <row r="800">
      <c r="A800" s="585"/>
      <c r="B800" s="585"/>
      <c r="C800" s="585"/>
      <c r="D800" s="585"/>
      <c r="E800" s="585"/>
      <c r="F800" s="585"/>
      <c r="G800" s="585"/>
      <c r="H800" s="585"/>
      <c r="I800" s="585"/>
      <c r="J800" s="585"/>
      <c r="K800" s="585"/>
      <c r="L800" s="585"/>
      <c r="M800" s="585"/>
      <c r="N800" s="585"/>
      <c r="O800" s="585"/>
      <c r="P800" s="585"/>
      <c r="Q800" s="585"/>
      <c r="R800" s="585"/>
      <c r="S800" s="585"/>
      <c r="T800" s="585"/>
      <c r="U800" s="585"/>
      <c r="V800" s="224"/>
      <c r="W800" s="224"/>
    </row>
    <row r="801">
      <c r="A801" s="585"/>
      <c r="B801" s="585"/>
      <c r="C801" s="585"/>
      <c r="D801" s="585"/>
      <c r="E801" s="585"/>
      <c r="F801" s="585"/>
      <c r="G801" s="585"/>
      <c r="H801" s="585"/>
      <c r="I801" s="585"/>
      <c r="J801" s="585"/>
      <c r="K801" s="585"/>
      <c r="L801" s="585"/>
      <c r="M801" s="585"/>
      <c r="N801" s="585"/>
      <c r="O801" s="585"/>
      <c r="P801" s="585"/>
      <c r="Q801" s="585"/>
      <c r="R801" s="585"/>
      <c r="S801" s="585"/>
      <c r="T801" s="585"/>
      <c r="U801" s="585"/>
      <c r="V801" s="224"/>
      <c r="W801" s="224"/>
    </row>
    <row r="802">
      <c r="A802" s="585"/>
      <c r="B802" s="585"/>
      <c r="C802" s="585"/>
      <c r="D802" s="585"/>
      <c r="E802" s="585"/>
      <c r="F802" s="585"/>
      <c r="G802" s="585"/>
      <c r="H802" s="585"/>
      <c r="I802" s="585"/>
      <c r="J802" s="585"/>
      <c r="K802" s="585"/>
      <c r="L802" s="585"/>
      <c r="M802" s="585"/>
      <c r="N802" s="585"/>
      <c r="O802" s="585"/>
      <c r="P802" s="585"/>
      <c r="Q802" s="585"/>
      <c r="R802" s="585"/>
      <c r="S802" s="585"/>
      <c r="T802" s="585"/>
      <c r="U802" s="585"/>
      <c r="V802" s="224"/>
      <c r="W802" s="224"/>
    </row>
    <row r="803">
      <c r="A803" s="585"/>
      <c r="B803" s="585"/>
      <c r="C803" s="585"/>
      <c r="D803" s="585"/>
      <c r="E803" s="585"/>
      <c r="F803" s="585"/>
      <c r="G803" s="585"/>
      <c r="H803" s="585"/>
      <c r="I803" s="585"/>
      <c r="J803" s="585"/>
      <c r="K803" s="585"/>
      <c r="L803" s="585"/>
      <c r="M803" s="585"/>
      <c r="N803" s="585"/>
      <c r="O803" s="585"/>
      <c r="P803" s="585"/>
      <c r="Q803" s="585"/>
      <c r="R803" s="585"/>
      <c r="S803" s="585"/>
      <c r="T803" s="585"/>
      <c r="U803" s="585"/>
      <c r="V803" s="224"/>
      <c r="W803" s="224"/>
    </row>
    <row r="804">
      <c r="A804" s="585"/>
      <c r="B804" s="585"/>
      <c r="C804" s="585"/>
      <c r="D804" s="585"/>
      <c r="E804" s="585"/>
      <c r="F804" s="585"/>
      <c r="G804" s="585"/>
      <c r="H804" s="585"/>
      <c r="I804" s="585"/>
      <c r="J804" s="585"/>
      <c r="K804" s="585"/>
      <c r="L804" s="585"/>
      <c r="M804" s="585"/>
      <c r="N804" s="585"/>
      <c r="O804" s="585"/>
      <c r="P804" s="585"/>
      <c r="Q804" s="585"/>
      <c r="R804" s="585"/>
      <c r="S804" s="585"/>
      <c r="T804" s="585"/>
      <c r="U804" s="585"/>
      <c r="V804" s="224"/>
      <c r="W804" s="224"/>
    </row>
    <row r="805">
      <c r="A805" s="585"/>
      <c r="B805" s="585"/>
      <c r="C805" s="585"/>
      <c r="D805" s="585"/>
      <c r="E805" s="585"/>
      <c r="F805" s="585"/>
      <c r="G805" s="585"/>
      <c r="H805" s="585"/>
      <c r="I805" s="585"/>
      <c r="J805" s="585"/>
      <c r="K805" s="585"/>
      <c r="L805" s="585"/>
      <c r="M805" s="585"/>
      <c r="N805" s="585"/>
      <c r="O805" s="585"/>
      <c r="P805" s="585"/>
      <c r="Q805" s="585"/>
      <c r="R805" s="585"/>
      <c r="S805" s="585"/>
      <c r="T805" s="585"/>
      <c r="U805" s="585"/>
      <c r="V805" s="224"/>
      <c r="W805" s="224"/>
    </row>
    <row r="806">
      <c r="A806" s="585"/>
      <c r="B806" s="585"/>
      <c r="C806" s="585"/>
      <c r="D806" s="585"/>
      <c r="E806" s="585"/>
      <c r="F806" s="585"/>
      <c r="G806" s="585"/>
      <c r="H806" s="585"/>
      <c r="I806" s="585"/>
      <c r="J806" s="585"/>
      <c r="K806" s="585"/>
      <c r="L806" s="585"/>
      <c r="M806" s="585"/>
      <c r="N806" s="585"/>
      <c r="O806" s="585"/>
      <c r="P806" s="585"/>
      <c r="Q806" s="585"/>
      <c r="R806" s="585"/>
      <c r="S806" s="585"/>
      <c r="T806" s="585"/>
      <c r="U806" s="585"/>
      <c r="V806" s="224"/>
      <c r="W806" s="224"/>
    </row>
    <row r="807">
      <c r="A807" s="585"/>
      <c r="B807" s="585"/>
      <c r="C807" s="585"/>
      <c r="D807" s="585"/>
      <c r="E807" s="585"/>
      <c r="F807" s="585"/>
      <c r="G807" s="585"/>
      <c r="H807" s="585"/>
      <c r="I807" s="585"/>
      <c r="J807" s="585"/>
      <c r="K807" s="585"/>
      <c r="L807" s="585"/>
      <c r="M807" s="585"/>
      <c r="N807" s="585"/>
      <c r="O807" s="585"/>
      <c r="P807" s="585"/>
      <c r="Q807" s="585"/>
      <c r="R807" s="585"/>
      <c r="S807" s="585"/>
      <c r="T807" s="585"/>
      <c r="U807" s="585"/>
      <c r="V807" s="224"/>
      <c r="W807" s="224"/>
    </row>
    <row r="808">
      <c r="A808" s="585"/>
      <c r="B808" s="585"/>
      <c r="C808" s="585"/>
      <c r="D808" s="585"/>
      <c r="E808" s="585"/>
      <c r="F808" s="585"/>
      <c r="G808" s="585"/>
      <c r="H808" s="585"/>
      <c r="I808" s="585"/>
      <c r="J808" s="585"/>
      <c r="K808" s="585"/>
      <c r="L808" s="585"/>
      <c r="M808" s="585"/>
      <c r="N808" s="585"/>
      <c r="O808" s="585"/>
      <c r="P808" s="585"/>
      <c r="Q808" s="585"/>
      <c r="R808" s="585"/>
      <c r="S808" s="585"/>
      <c r="T808" s="585"/>
      <c r="U808" s="585"/>
      <c r="V808" s="224"/>
      <c r="W808" s="224"/>
    </row>
    <row r="809">
      <c r="A809" s="585"/>
      <c r="B809" s="585"/>
      <c r="C809" s="585"/>
      <c r="D809" s="585"/>
      <c r="E809" s="585"/>
      <c r="F809" s="585"/>
      <c r="G809" s="585"/>
      <c r="H809" s="585"/>
      <c r="I809" s="585"/>
      <c r="J809" s="585"/>
      <c r="K809" s="585"/>
      <c r="L809" s="585"/>
      <c r="M809" s="585"/>
      <c r="N809" s="585"/>
      <c r="O809" s="585"/>
      <c r="P809" s="585"/>
      <c r="Q809" s="585"/>
      <c r="R809" s="585"/>
      <c r="S809" s="585"/>
      <c r="T809" s="585"/>
      <c r="U809" s="585"/>
      <c r="V809" s="224"/>
      <c r="W809" s="224"/>
    </row>
    <row r="810">
      <c r="A810" s="585"/>
      <c r="B810" s="585"/>
      <c r="C810" s="585"/>
      <c r="D810" s="585"/>
      <c r="E810" s="585"/>
      <c r="F810" s="585"/>
      <c r="G810" s="585"/>
      <c r="H810" s="585"/>
      <c r="I810" s="585"/>
      <c r="J810" s="585"/>
      <c r="K810" s="585"/>
      <c r="L810" s="585"/>
      <c r="M810" s="585"/>
      <c r="N810" s="585"/>
      <c r="O810" s="585"/>
      <c r="P810" s="585"/>
      <c r="Q810" s="585"/>
      <c r="R810" s="585"/>
      <c r="S810" s="585"/>
      <c r="T810" s="585"/>
      <c r="U810" s="585"/>
      <c r="V810" s="224"/>
      <c r="W810" s="224"/>
    </row>
    <row r="811">
      <c r="A811" s="585"/>
      <c r="B811" s="585"/>
      <c r="C811" s="585"/>
      <c r="D811" s="585"/>
      <c r="E811" s="585"/>
      <c r="F811" s="585"/>
      <c r="G811" s="585"/>
      <c r="H811" s="585"/>
      <c r="I811" s="585"/>
      <c r="J811" s="585"/>
      <c r="K811" s="585"/>
      <c r="L811" s="585"/>
      <c r="M811" s="585"/>
      <c r="N811" s="585"/>
      <c r="O811" s="585"/>
      <c r="P811" s="585"/>
      <c r="Q811" s="585"/>
      <c r="R811" s="585"/>
      <c r="S811" s="585"/>
      <c r="T811" s="585"/>
      <c r="U811" s="585"/>
      <c r="V811" s="224"/>
      <c r="W811" s="224"/>
    </row>
    <row r="812">
      <c r="A812" s="585"/>
      <c r="B812" s="585"/>
      <c r="C812" s="585"/>
      <c r="D812" s="585"/>
      <c r="E812" s="585"/>
      <c r="F812" s="585"/>
      <c r="G812" s="585"/>
      <c r="H812" s="585"/>
      <c r="I812" s="585"/>
      <c r="J812" s="585"/>
      <c r="K812" s="585"/>
      <c r="L812" s="585"/>
      <c r="M812" s="585"/>
      <c r="N812" s="585"/>
      <c r="O812" s="585"/>
      <c r="P812" s="585"/>
      <c r="Q812" s="585"/>
      <c r="R812" s="585"/>
      <c r="S812" s="585"/>
      <c r="T812" s="585"/>
      <c r="U812" s="585"/>
      <c r="V812" s="224"/>
      <c r="W812" s="224"/>
    </row>
    <row r="813">
      <c r="A813" s="585"/>
      <c r="B813" s="585"/>
      <c r="C813" s="585"/>
      <c r="D813" s="585"/>
      <c r="E813" s="585"/>
      <c r="F813" s="585"/>
      <c r="G813" s="585"/>
      <c r="H813" s="585"/>
      <c r="I813" s="585"/>
      <c r="J813" s="585"/>
      <c r="K813" s="585"/>
      <c r="L813" s="585"/>
      <c r="M813" s="585"/>
      <c r="N813" s="585"/>
      <c r="O813" s="585"/>
      <c r="P813" s="585"/>
      <c r="Q813" s="585"/>
      <c r="R813" s="585"/>
      <c r="S813" s="585"/>
      <c r="T813" s="585"/>
      <c r="U813" s="585"/>
      <c r="V813" s="224"/>
      <c r="W813" s="224"/>
    </row>
    <row r="814">
      <c r="A814" s="585"/>
      <c r="B814" s="585"/>
      <c r="C814" s="585"/>
      <c r="D814" s="585"/>
      <c r="E814" s="585"/>
      <c r="F814" s="585"/>
      <c r="G814" s="585"/>
      <c r="H814" s="585"/>
      <c r="I814" s="585"/>
      <c r="J814" s="585"/>
      <c r="K814" s="585"/>
      <c r="L814" s="585"/>
      <c r="M814" s="585"/>
      <c r="N814" s="585"/>
      <c r="O814" s="585"/>
      <c r="P814" s="585"/>
      <c r="Q814" s="585"/>
      <c r="R814" s="585"/>
      <c r="S814" s="585"/>
      <c r="T814" s="585"/>
      <c r="U814" s="585"/>
      <c r="V814" s="224"/>
      <c r="W814" s="224"/>
    </row>
    <row r="815">
      <c r="A815" s="585"/>
      <c r="B815" s="585"/>
      <c r="C815" s="585"/>
      <c r="D815" s="585"/>
      <c r="E815" s="585"/>
      <c r="F815" s="585"/>
      <c r="G815" s="585"/>
      <c r="H815" s="585"/>
      <c r="I815" s="585"/>
      <c r="J815" s="585"/>
      <c r="K815" s="585"/>
      <c r="L815" s="585"/>
      <c r="M815" s="585"/>
      <c r="N815" s="585"/>
      <c r="O815" s="585"/>
      <c r="P815" s="585"/>
      <c r="Q815" s="585"/>
      <c r="R815" s="585"/>
      <c r="S815" s="585"/>
      <c r="T815" s="585"/>
      <c r="U815" s="585"/>
      <c r="V815" s="224"/>
      <c r="W815" s="224"/>
    </row>
    <row r="816">
      <c r="A816" s="585"/>
      <c r="B816" s="585"/>
      <c r="C816" s="585"/>
      <c r="D816" s="585"/>
      <c r="E816" s="585"/>
      <c r="F816" s="585"/>
      <c r="G816" s="585"/>
      <c r="H816" s="585"/>
      <c r="I816" s="585"/>
      <c r="J816" s="585"/>
      <c r="K816" s="585"/>
      <c r="L816" s="585"/>
      <c r="M816" s="585"/>
      <c r="N816" s="585"/>
      <c r="O816" s="585"/>
      <c r="P816" s="585"/>
      <c r="Q816" s="585"/>
      <c r="R816" s="585"/>
      <c r="S816" s="585"/>
      <c r="T816" s="585"/>
      <c r="U816" s="585"/>
      <c r="V816" s="224"/>
      <c r="W816" s="224"/>
    </row>
    <row r="817">
      <c r="A817" s="585"/>
      <c r="B817" s="585"/>
      <c r="C817" s="585"/>
      <c r="D817" s="585"/>
      <c r="E817" s="585"/>
      <c r="F817" s="585"/>
      <c r="G817" s="585"/>
      <c r="H817" s="585"/>
      <c r="I817" s="585"/>
      <c r="J817" s="585"/>
      <c r="K817" s="585"/>
      <c r="L817" s="585"/>
      <c r="M817" s="585"/>
      <c r="N817" s="585"/>
      <c r="O817" s="585"/>
      <c r="P817" s="585"/>
      <c r="Q817" s="585"/>
      <c r="R817" s="585"/>
      <c r="S817" s="585"/>
      <c r="T817" s="585"/>
      <c r="U817" s="585"/>
      <c r="V817" s="224"/>
      <c r="W817" s="224"/>
    </row>
    <row r="818">
      <c r="A818" s="585"/>
      <c r="B818" s="585"/>
      <c r="C818" s="585"/>
      <c r="D818" s="585"/>
      <c r="E818" s="585"/>
      <c r="F818" s="585"/>
      <c r="G818" s="585"/>
      <c r="H818" s="585"/>
      <c r="I818" s="585"/>
      <c r="J818" s="585"/>
      <c r="K818" s="585"/>
      <c r="L818" s="585"/>
      <c r="M818" s="585"/>
      <c r="N818" s="585"/>
      <c r="O818" s="585"/>
      <c r="P818" s="585"/>
      <c r="Q818" s="585"/>
      <c r="R818" s="585"/>
      <c r="S818" s="585"/>
      <c r="T818" s="585"/>
      <c r="U818" s="585"/>
      <c r="V818" s="224"/>
      <c r="W818" s="224"/>
    </row>
    <row r="819">
      <c r="A819" s="585"/>
      <c r="B819" s="585"/>
      <c r="C819" s="585"/>
      <c r="D819" s="585"/>
      <c r="E819" s="585"/>
      <c r="F819" s="585"/>
      <c r="G819" s="585"/>
      <c r="H819" s="585"/>
      <c r="I819" s="585"/>
      <c r="J819" s="585"/>
      <c r="K819" s="585"/>
      <c r="L819" s="585"/>
      <c r="M819" s="585"/>
      <c r="N819" s="585"/>
      <c r="O819" s="585"/>
      <c r="P819" s="585"/>
      <c r="Q819" s="585"/>
      <c r="R819" s="585"/>
      <c r="S819" s="585"/>
      <c r="T819" s="585"/>
      <c r="U819" s="585"/>
      <c r="V819" s="224"/>
      <c r="W819" s="224"/>
    </row>
    <row r="820">
      <c r="A820" s="585"/>
      <c r="B820" s="585"/>
      <c r="C820" s="585"/>
      <c r="D820" s="585"/>
      <c r="E820" s="585"/>
      <c r="F820" s="585"/>
      <c r="G820" s="585"/>
      <c r="H820" s="585"/>
      <c r="I820" s="585"/>
      <c r="J820" s="585"/>
      <c r="K820" s="585"/>
      <c r="L820" s="585"/>
      <c r="M820" s="585"/>
      <c r="N820" s="585"/>
      <c r="O820" s="585"/>
      <c r="P820" s="585"/>
      <c r="Q820" s="585"/>
      <c r="R820" s="585"/>
      <c r="S820" s="585"/>
      <c r="T820" s="585"/>
      <c r="U820" s="585"/>
      <c r="V820" s="224"/>
      <c r="W820" s="224"/>
    </row>
    <row r="821">
      <c r="A821" s="585"/>
      <c r="B821" s="585"/>
      <c r="C821" s="585"/>
      <c r="D821" s="585"/>
      <c r="E821" s="585"/>
      <c r="F821" s="585"/>
      <c r="G821" s="585"/>
      <c r="H821" s="585"/>
      <c r="I821" s="585"/>
      <c r="J821" s="585"/>
      <c r="K821" s="585"/>
      <c r="L821" s="585"/>
      <c r="M821" s="585"/>
      <c r="N821" s="585"/>
      <c r="O821" s="585"/>
      <c r="P821" s="585"/>
      <c r="Q821" s="585"/>
      <c r="R821" s="585"/>
      <c r="S821" s="585"/>
      <c r="T821" s="585"/>
      <c r="U821" s="585"/>
      <c r="V821" s="224"/>
      <c r="W821" s="224"/>
    </row>
    <row r="822">
      <c r="A822" s="585"/>
      <c r="B822" s="585"/>
      <c r="C822" s="585"/>
      <c r="D822" s="585"/>
      <c r="E822" s="585"/>
      <c r="F822" s="585"/>
      <c r="G822" s="585"/>
      <c r="H822" s="585"/>
      <c r="I822" s="585"/>
      <c r="J822" s="585"/>
      <c r="K822" s="585"/>
      <c r="L822" s="585"/>
      <c r="M822" s="585"/>
      <c r="N822" s="585"/>
      <c r="O822" s="585"/>
      <c r="P822" s="585"/>
      <c r="Q822" s="585"/>
      <c r="R822" s="585"/>
      <c r="S822" s="585"/>
      <c r="T822" s="585"/>
      <c r="U822" s="585"/>
      <c r="V822" s="224"/>
      <c r="W822" s="224"/>
    </row>
    <row r="823">
      <c r="A823" s="585"/>
      <c r="B823" s="585"/>
      <c r="C823" s="585"/>
      <c r="D823" s="585"/>
      <c r="E823" s="585"/>
      <c r="F823" s="585"/>
      <c r="G823" s="585"/>
      <c r="H823" s="585"/>
      <c r="I823" s="585"/>
      <c r="J823" s="585"/>
      <c r="K823" s="585"/>
      <c r="L823" s="585"/>
      <c r="M823" s="585"/>
      <c r="N823" s="585"/>
      <c r="O823" s="585"/>
      <c r="P823" s="585"/>
      <c r="Q823" s="585"/>
      <c r="R823" s="585"/>
      <c r="S823" s="585"/>
      <c r="T823" s="585"/>
      <c r="U823" s="585"/>
      <c r="V823" s="224"/>
      <c r="W823" s="224"/>
    </row>
    <row r="824">
      <c r="A824" s="585"/>
      <c r="B824" s="585"/>
      <c r="C824" s="585"/>
      <c r="D824" s="585"/>
      <c r="E824" s="585"/>
      <c r="F824" s="585"/>
      <c r="G824" s="585"/>
      <c r="H824" s="585"/>
      <c r="I824" s="585"/>
      <c r="J824" s="585"/>
      <c r="K824" s="585"/>
      <c r="L824" s="585"/>
      <c r="M824" s="585"/>
      <c r="N824" s="585"/>
      <c r="O824" s="585"/>
      <c r="P824" s="585"/>
      <c r="Q824" s="585"/>
      <c r="R824" s="585"/>
      <c r="S824" s="585"/>
      <c r="T824" s="585"/>
      <c r="U824" s="585"/>
      <c r="V824" s="224"/>
      <c r="W824" s="224"/>
    </row>
    <row r="825">
      <c r="A825" s="585"/>
      <c r="B825" s="585"/>
      <c r="C825" s="585"/>
      <c r="D825" s="585"/>
      <c r="E825" s="585"/>
      <c r="F825" s="585"/>
      <c r="G825" s="585"/>
      <c r="H825" s="585"/>
      <c r="I825" s="585"/>
      <c r="J825" s="585"/>
      <c r="K825" s="585"/>
      <c r="L825" s="585"/>
      <c r="M825" s="585"/>
      <c r="N825" s="585"/>
      <c r="O825" s="585"/>
      <c r="P825" s="585"/>
      <c r="Q825" s="585"/>
      <c r="R825" s="585"/>
      <c r="S825" s="585"/>
      <c r="T825" s="585"/>
      <c r="U825" s="585"/>
      <c r="V825" s="224"/>
      <c r="W825" s="224"/>
    </row>
    <row r="826">
      <c r="A826" s="585"/>
      <c r="B826" s="585"/>
      <c r="C826" s="585"/>
      <c r="D826" s="585"/>
      <c r="E826" s="585"/>
      <c r="F826" s="585"/>
      <c r="G826" s="585"/>
      <c r="H826" s="585"/>
      <c r="I826" s="585"/>
      <c r="J826" s="585"/>
      <c r="K826" s="585"/>
      <c r="L826" s="585"/>
      <c r="M826" s="585"/>
      <c r="N826" s="585"/>
      <c r="O826" s="585"/>
      <c r="P826" s="585"/>
      <c r="Q826" s="585"/>
      <c r="R826" s="585"/>
      <c r="S826" s="585"/>
      <c r="T826" s="585"/>
      <c r="U826" s="585"/>
      <c r="V826" s="224"/>
      <c r="W826" s="224"/>
    </row>
    <row r="827">
      <c r="A827" s="585"/>
      <c r="B827" s="585"/>
      <c r="C827" s="585"/>
      <c r="D827" s="585"/>
      <c r="E827" s="585"/>
      <c r="F827" s="585"/>
      <c r="G827" s="585"/>
      <c r="H827" s="585"/>
      <c r="I827" s="585"/>
      <c r="J827" s="585"/>
      <c r="K827" s="585"/>
      <c r="L827" s="585"/>
      <c r="M827" s="585"/>
      <c r="N827" s="585"/>
      <c r="O827" s="585"/>
      <c r="P827" s="585"/>
      <c r="Q827" s="585"/>
      <c r="R827" s="585"/>
      <c r="S827" s="585"/>
      <c r="T827" s="585"/>
      <c r="U827" s="585"/>
      <c r="V827" s="224"/>
      <c r="W827" s="224"/>
    </row>
    <row r="828">
      <c r="A828" s="585"/>
      <c r="B828" s="585"/>
      <c r="C828" s="585"/>
      <c r="D828" s="585"/>
      <c r="E828" s="585"/>
      <c r="F828" s="585"/>
      <c r="G828" s="585"/>
      <c r="H828" s="585"/>
      <c r="I828" s="585"/>
      <c r="J828" s="585"/>
      <c r="K828" s="585"/>
      <c r="L828" s="585"/>
      <c r="M828" s="585"/>
      <c r="N828" s="585"/>
      <c r="O828" s="585"/>
      <c r="P828" s="585"/>
      <c r="Q828" s="585"/>
      <c r="R828" s="585"/>
      <c r="S828" s="585"/>
      <c r="T828" s="585"/>
      <c r="U828" s="585"/>
      <c r="V828" s="224"/>
      <c r="W828" s="224"/>
    </row>
    <row r="829">
      <c r="A829" s="585"/>
      <c r="B829" s="585"/>
      <c r="C829" s="585"/>
      <c r="D829" s="585"/>
      <c r="E829" s="585"/>
      <c r="F829" s="585"/>
      <c r="G829" s="585"/>
      <c r="H829" s="585"/>
      <c r="I829" s="585"/>
      <c r="J829" s="585"/>
      <c r="K829" s="585"/>
      <c r="L829" s="585"/>
      <c r="M829" s="585"/>
      <c r="N829" s="585"/>
      <c r="O829" s="585"/>
      <c r="P829" s="585"/>
      <c r="Q829" s="585"/>
      <c r="R829" s="585"/>
      <c r="S829" s="585"/>
      <c r="T829" s="585"/>
      <c r="U829" s="585"/>
      <c r="V829" s="224"/>
      <c r="W829" s="224"/>
    </row>
    <row r="830">
      <c r="A830" s="585"/>
      <c r="B830" s="585"/>
      <c r="C830" s="585"/>
      <c r="D830" s="585"/>
      <c r="E830" s="585"/>
      <c r="F830" s="585"/>
      <c r="G830" s="585"/>
      <c r="H830" s="585"/>
      <c r="I830" s="585"/>
      <c r="J830" s="585"/>
      <c r="K830" s="585"/>
      <c r="L830" s="585"/>
      <c r="M830" s="585"/>
      <c r="N830" s="585"/>
      <c r="O830" s="585"/>
      <c r="P830" s="585"/>
      <c r="Q830" s="585"/>
      <c r="R830" s="585"/>
      <c r="S830" s="585"/>
      <c r="T830" s="585"/>
      <c r="U830" s="585"/>
      <c r="V830" s="224"/>
      <c r="W830" s="224"/>
    </row>
    <row r="831">
      <c r="A831" s="585"/>
      <c r="B831" s="585"/>
      <c r="C831" s="585"/>
      <c r="D831" s="585"/>
      <c r="E831" s="585"/>
      <c r="F831" s="585"/>
      <c r="G831" s="585"/>
      <c r="H831" s="585"/>
      <c r="I831" s="585"/>
      <c r="J831" s="585"/>
      <c r="K831" s="585"/>
      <c r="L831" s="585"/>
      <c r="M831" s="585"/>
      <c r="N831" s="585"/>
      <c r="O831" s="585"/>
      <c r="P831" s="585"/>
      <c r="Q831" s="585"/>
      <c r="R831" s="585"/>
      <c r="S831" s="585"/>
      <c r="T831" s="585"/>
      <c r="U831" s="585"/>
      <c r="V831" s="224"/>
      <c r="W831" s="224"/>
    </row>
    <row r="832">
      <c r="A832" s="585"/>
      <c r="B832" s="585"/>
      <c r="C832" s="585"/>
      <c r="D832" s="585"/>
      <c r="E832" s="585"/>
      <c r="F832" s="585"/>
      <c r="G832" s="585"/>
      <c r="H832" s="585"/>
      <c r="I832" s="585"/>
      <c r="J832" s="585"/>
      <c r="K832" s="585"/>
      <c r="L832" s="585"/>
      <c r="M832" s="585"/>
      <c r="N832" s="585"/>
      <c r="O832" s="585"/>
      <c r="P832" s="585"/>
      <c r="Q832" s="585"/>
      <c r="R832" s="585"/>
      <c r="S832" s="585"/>
      <c r="T832" s="585"/>
      <c r="U832" s="585"/>
      <c r="V832" s="224"/>
      <c r="W832" s="224"/>
    </row>
    <row r="833">
      <c r="A833" s="585"/>
      <c r="B833" s="585"/>
      <c r="C833" s="585"/>
      <c r="D833" s="585"/>
      <c r="E833" s="585"/>
      <c r="F833" s="585"/>
      <c r="G833" s="585"/>
      <c r="H833" s="585"/>
      <c r="I833" s="585"/>
      <c r="J833" s="585"/>
      <c r="K833" s="585"/>
      <c r="L833" s="585"/>
      <c r="M833" s="585"/>
      <c r="N833" s="585"/>
      <c r="O833" s="585"/>
      <c r="P833" s="585"/>
      <c r="Q833" s="585"/>
      <c r="R833" s="585"/>
      <c r="S833" s="585"/>
      <c r="T833" s="585"/>
      <c r="U833" s="585"/>
      <c r="V833" s="224"/>
      <c r="W833" s="224"/>
    </row>
    <row r="834">
      <c r="A834" s="585"/>
      <c r="B834" s="585"/>
      <c r="C834" s="585"/>
      <c r="D834" s="585"/>
      <c r="E834" s="585"/>
      <c r="F834" s="585"/>
      <c r="G834" s="585"/>
      <c r="H834" s="585"/>
      <c r="I834" s="585"/>
      <c r="J834" s="585"/>
      <c r="K834" s="585"/>
      <c r="L834" s="585"/>
      <c r="M834" s="585"/>
      <c r="N834" s="585"/>
      <c r="O834" s="585"/>
      <c r="P834" s="585"/>
      <c r="Q834" s="585"/>
      <c r="R834" s="585"/>
      <c r="S834" s="585"/>
      <c r="T834" s="585"/>
      <c r="U834" s="585"/>
      <c r="V834" s="224"/>
      <c r="W834" s="224"/>
    </row>
    <row r="835">
      <c r="A835" s="585"/>
      <c r="B835" s="585"/>
      <c r="C835" s="585"/>
      <c r="D835" s="585"/>
      <c r="E835" s="585"/>
      <c r="F835" s="585"/>
      <c r="G835" s="585"/>
      <c r="H835" s="585"/>
      <c r="I835" s="585"/>
      <c r="J835" s="585"/>
      <c r="K835" s="585"/>
      <c r="L835" s="585"/>
      <c r="M835" s="585"/>
      <c r="N835" s="585"/>
      <c r="O835" s="585"/>
      <c r="P835" s="585"/>
      <c r="Q835" s="585"/>
      <c r="R835" s="585"/>
      <c r="S835" s="585"/>
      <c r="T835" s="585"/>
      <c r="U835" s="585"/>
      <c r="V835" s="224"/>
      <c r="W835" s="224"/>
    </row>
    <row r="836">
      <c r="A836" s="585"/>
      <c r="B836" s="585"/>
      <c r="C836" s="585"/>
      <c r="D836" s="585"/>
      <c r="E836" s="585"/>
      <c r="F836" s="585"/>
      <c r="G836" s="585"/>
      <c r="H836" s="585"/>
      <c r="I836" s="585"/>
      <c r="J836" s="585"/>
      <c r="K836" s="585"/>
      <c r="L836" s="585"/>
      <c r="M836" s="585"/>
      <c r="N836" s="585"/>
      <c r="O836" s="585"/>
      <c r="P836" s="585"/>
      <c r="Q836" s="585"/>
      <c r="R836" s="585"/>
      <c r="S836" s="585"/>
      <c r="T836" s="585"/>
      <c r="U836" s="585"/>
      <c r="V836" s="224"/>
      <c r="W836" s="224"/>
    </row>
    <row r="837">
      <c r="A837" s="585"/>
      <c r="B837" s="585"/>
      <c r="C837" s="585"/>
      <c r="D837" s="585"/>
      <c r="E837" s="585"/>
      <c r="F837" s="585"/>
      <c r="G837" s="585"/>
      <c r="H837" s="585"/>
      <c r="I837" s="585"/>
      <c r="J837" s="585"/>
      <c r="K837" s="585"/>
      <c r="L837" s="585"/>
      <c r="M837" s="585"/>
      <c r="N837" s="585"/>
      <c r="O837" s="585"/>
      <c r="P837" s="585"/>
      <c r="Q837" s="585"/>
      <c r="R837" s="585"/>
      <c r="S837" s="585"/>
      <c r="T837" s="585"/>
      <c r="U837" s="585"/>
      <c r="V837" s="224"/>
      <c r="W837" s="224"/>
    </row>
    <row r="838">
      <c r="A838" s="585"/>
      <c r="B838" s="585"/>
      <c r="C838" s="585"/>
      <c r="D838" s="585"/>
      <c r="E838" s="585"/>
      <c r="F838" s="585"/>
      <c r="G838" s="585"/>
      <c r="H838" s="585"/>
      <c r="I838" s="585"/>
      <c r="J838" s="585"/>
      <c r="K838" s="585"/>
      <c r="L838" s="585"/>
      <c r="M838" s="585"/>
      <c r="N838" s="585"/>
      <c r="O838" s="585"/>
      <c r="P838" s="585"/>
      <c r="Q838" s="585"/>
      <c r="R838" s="585"/>
      <c r="S838" s="585"/>
      <c r="T838" s="585"/>
      <c r="U838" s="585"/>
      <c r="V838" s="224"/>
      <c r="W838" s="224"/>
    </row>
    <row r="839">
      <c r="A839" s="585"/>
      <c r="B839" s="585"/>
      <c r="C839" s="585"/>
      <c r="D839" s="585"/>
      <c r="E839" s="585"/>
      <c r="F839" s="585"/>
      <c r="G839" s="585"/>
      <c r="H839" s="585"/>
      <c r="I839" s="585"/>
      <c r="J839" s="585"/>
      <c r="K839" s="585"/>
      <c r="L839" s="585"/>
      <c r="M839" s="585"/>
      <c r="N839" s="585"/>
      <c r="O839" s="585"/>
      <c r="P839" s="585"/>
      <c r="Q839" s="585"/>
      <c r="R839" s="585"/>
      <c r="S839" s="585"/>
      <c r="T839" s="585"/>
      <c r="U839" s="585"/>
      <c r="V839" s="224"/>
      <c r="W839" s="224"/>
    </row>
    <row r="840">
      <c r="A840" s="585"/>
      <c r="B840" s="585"/>
      <c r="C840" s="585"/>
      <c r="D840" s="585"/>
      <c r="E840" s="585"/>
      <c r="F840" s="585"/>
      <c r="G840" s="585"/>
      <c r="H840" s="585"/>
      <c r="I840" s="585"/>
      <c r="J840" s="585"/>
      <c r="K840" s="585"/>
      <c r="L840" s="585"/>
      <c r="M840" s="585"/>
      <c r="N840" s="585"/>
      <c r="O840" s="585"/>
      <c r="P840" s="585"/>
      <c r="Q840" s="585"/>
      <c r="R840" s="585"/>
      <c r="S840" s="585"/>
      <c r="T840" s="585"/>
      <c r="U840" s="585"/>
      <c r="V840" s="224"/>
      <c r="W840" s="224"/>
    </row>
    <row r="841">
      <c r="A841" s="585"/>
      <c r="B841" s="585"/>
      <c r="C841" s="585"/>
      <c r="D841" s="585"/>
      <c r="E841" s="585"/>
      <c r="F841" s="585"/>
      <c r="G841" s="585"/>
      <c r="H841" s="585"/>
      <c r="I841" s="585"/>
      <c r="J841" s="585"/>
      <c r="K841" s="585"/>
      <c r="L841" s="585"/>
      <c r="M841" s="585"/>
      <c r="N841" s="585"/>
      <c r="O841" s="585"/>
      <c r="P841" s="585"/>
      <c r="Q841" s="585"/>
      <c r="R841" s="585"/>
      <c r="S841" s="585"/>
      <c r="T841" s="585"/>
      <c r="U841" s="585"/>
      <c r="V841" s="224"/>
      <c r="W841" s="224"/>
    </row>
    <row r="842">
      <c r="A842" s="585"/>
      <c r="B842" s="585"/>
      <c r="C842" s="585"/>
      <c r="D842" s="585"/>
      <c r="E842" s="585"/>
      <c r="F842" s="585"/>
      <c r="G842" s="585"/>
      <c r="H842" s="585"/>
      <c r="I842" s="585"/>
      <c r="J842" s="585"/>
      <c r="K842" s="585"/>
      <c r="L842" s="585"/>
      <c r="M842" s="585"/>
      <c r="N842" s="585"/>
      <c r="O842" s="585"/>
      <c r="P842" s="585"/>
      <c r="Q842" s="585"/>
      <c r="R842" s="585"/>
      <c r="S842" s="585"/>
      <c r="T842" s="585"/>
      <c r="U842" s="585"/>
      <c r="V842" s="224"/>
      <c r="W842" s="224"/>
    </row>
    <row r="843">
      <c r="A843" s="585"/>
      <c r="B843" s="585"/>
      <c r="C843" s="585"/>
      <c r="D843" s="585"/>
      <c r="E843" s="585"/>
      <c r="F843" s="585"/>
      <c r="G843" s="585"/>
      <c r="H843" s="585"/>
      <c r="I843" s="585"/>
      <c r="J843" s="585"/>
      <c r="K843" s="585"/>
      <c r="L843" s="585"/>
      <c r="M843" s="585"/>
      <c r="N843" s="585"/>
      <c r="O843" s="585"/>
      <c r="P843" s="585"/>
      <c r="Q843" s="585"/>
      <c r="R843" s="585"/>
      <c r="S843" s="585"/>
      <c r="T843" s="585"/>
      <c r="U843" s="585"/>
      <c r="V843" s="224"/>
      <c r="W843" s="224"/>
    </row>
    <row r="844">
      <c r="A844" s="585"/>
      <c r="B844" s="585"/>
      <c r="C844" s="585"/>
      <c r="D844" s="585"/>
      <c r="E844" s="585"/>
      <c r="F844" s="585"/>
      <c r="G844" s="585"/>
      <c r="H844" s="585"/>
      <c r="I844" s="585"/>
      <c r="J844" s="585"/>
      <c r="K844" s="585"/>
      <c r="L844" s="585"/>
      <c r="M844" s="585"/>
      <c r="N844" s="585"/>
      <c r="O844" s="585"/>
      <c r="P844" s="585"/>
      <c r="Q844" s="585"/>
      <c r="R844" s="585"/>
      <c r="S844" s="585"/>
      <c r="T844" s="585"/>
      <c r="U844" s="585"/>
      <c r="V844" s="224"/>
      <c r="W844" s="224"/>
    </row>
    <row r="845">
      <c r="A845" s="585"/>
      <c r="B845" s="585"/>
      <c r="C845" s="585"/>
      <c r="D845" s="585"/>
      <c r="E845" s="585"/>
      <c r="F845" s="585"/>
      <c r="G845" s="585"/>
      <c r="H845" s="585"/>
      <c r="I845" s="585"/>
      <c r="J845" s="585"/>
      <c r="K845" s="585"/>
      <c r="L845" s="585"/>
      <c r="M845" s="585"/>
      <c r="N845" s="585"/>
      <c r="O845" s="585"/>
      <c r="P845" s="585"/>
      <c r="Q845" s="585"/>
      <c r="R845" s="585"/>
      <c r="S845" s="585"/>
      <c r="T845" s="585"/>
      <c r="U845" s="585"/>
      <c r="V845" s="224"/>
      <c r="W845" s="224"/>
    </row>
    <row r="846">
      <c r="A846" s="585"/>
      <c r="B846" s="585"/>
      <c r="C846" s="585"/>
      <c r="D846" s="585"/>
      <c r="E846" s="585"/>
      <c r="F846" s="585"/>
      <c r="G846" s="585"/>
      <c r="H846" s="585"/>
      <c r="I846" s="585"/>
      <c r="J846" s="585"/>
      <c r="K846" s="585"/>
      <c r="L846" s="585"/>
      <c r="M846" s="585"/>
      <c r="N846" s="585"/>
      <c r="O846" s="585"/>
      <c r="P846" s="585"/>
      <c r="Q846" s="585"/>
      <c r="R846" s="585"/>
      <c r="S846" s="585"/>
      <c r="T846" s="585"/>
      <c r="U846" s="585"/>
      <c r="V846" s="224"/>
      <c r="W846" s="224"/>
    </row>
    <row r="847">
      <c r="A847" s="585"/>
      <c r="B847" s="585"/>
      <c r="C847" s="585"/>
      <c r="D847" s="585"/>
      <c r="E847" s="585"/>
      <c r="F847" s="585"/>
      <c r="G847" s="585"/>
      <c r="H847" s="585"/>
      <c r="I847" s="585"/>
      <c r="J847" s="585"/>
      <c r="K847" s="585"/>
      <c r="L847" s="585"/>
      <c r="M847" s="585"/>
      <c r="N847" s="585"/>
      <c r="O847" s="585"/>
      <c r="P847" s="585"/>
      <c r="Q847" s="585"/>
      <c r="R847" s="585"/>
      <c r="S847" s="585"/>
      <c r="T847" s="585"/>
      <c r="U847" s="585"/>
      <c r="V847" s="224"/>
      <c r="W847" s="224"/>
    </row>
    <row r="848">
      <c r="A848" s="585"/>
      <c r="B848" s="585"/>
      <c r="C848" s="585"/>
      <c r="D848" s="585"/>
      <c r="E848" s="585"/>
      <c r="F848" s="585"/>
      <c r="G848" s="585"/>
      <c r="H848" s="585"/>
      <c r="I848" s="585"/>
      <c r="J848" s="585"/>
      <c r="K848" s="585"/>
      <c r="L848" s="585"/>
      <c r="M848" s="585"/>
      <c r="N848" s="585"/>
      <c r="O848" s="585"/>
      <c r="P848" s="585"/>
      <c r="Q848" s="585"/>
      <c r="R848" s="585"/>
      <c r="S848" s="585"/>
      <c r="T848" s="585"/>
      <c r="U848" s="585"/>
      <c r="V848" s="224"/>
      <c r="W848" s="224"/>
    </row>
    <row r="849">
      <c r="A849" s="585"/>
      <c r="B849" s="585"/>
      <c r="C849" s="585"/>
      <c r="D849" s="585"/>
      <c r="E849" s="585"/>
      <c r="F849" s="585"/>
      <c r="G849" s="585"/>
      <c r="H849" s="585"/>
      <c r="I849" s="585"/>
      <c r="J849" s="585"/>
      <c r="K849" s="585"/>
      <c r="L849" s="585"/>
      <c r="M849" s="585"/>
      <c r="N849" s="585"/>
      <c r="O849" s="585"/>
      <c r="P849" s="585"/>
      <c r="Q849" s="585"/>
      <c r="R849" s="585"/>
      <c r="S849" s="585"/>
      <c r="T849" s="585"/>
      <c r="U849" s="585"/>
      <c r="V849" s="224"/>
      <c r="W849" s="224"/>
    </row>
    <row r="850">
      <c r="A850" s="585"/>
      <c r="B850" s="585"/>
      <c r="C850" s="585"/>
      <c r="D850" s="585"/>
      <c r="E850" s="585"/>
      <c r="F850" s="585"/>
      <c r="G850" s="585"/>
      <c r="H850" s="585"/>
      <c r="I850" s="585"/>
      <c r="J850" s="585"/>
      <c r="K850" s="585"/>
      <c r="L850" s="585"/>
      <c r="M850" s="585"/>
      <c r="N850" s="585"/>
      <c r="O850" s="585"/>
      <c r="P850" s="585"/>
      <c r="Q850" s="585"/>
      <c r="R850" s="585"/>
      <c r="S850" s="585"/>
      <c r="T850" s="585"/>
      <c r="U850" s="585"/>
      <c r="V850" s="224"/>
      <c r="W850" s="224"/>
    </row>
    <row r="851">
      <c r="A851" s="585"/>
      <c r="B851" s="585"/>
      <c r="C851" s="585"/>
      <c r="D851" s="585"/>
      <c r="E851" s="585"/>
      <c r="F851" s="585"/>
      <c r="G851" s="585"/>
      <c r="H851" s="585"/>
      <c r="I851" s="585"/>
      <c r="J851" s="585"/>
      <c r="K851" s="585"/>
      <c r="L851" s="585"/>
      <c r="M851" s="585"/>
      <c r="N851" s="585"/>
      <c r="O851" s="585"/>
      <c r="P851" s="585"/>
      <c r="Q851" s="585"/>
      <c r="R851" s="585"/>
      <c r="S851" s="585"/>
      <c r="T851" s="585"/>
      <c r="U851" s="585"/>
      <c r="V851" s="224"/>
      <c r="W851" s="224"/>
    </row>
    <row r="852">
      <c r="A852" s="585"/>
      <c r="B852" s="585"/>
      <c r="C852" s="585"/>
      <c r="D852" s="585"/>
      <c r="E852" s="585"/>
      <c r="F852" s="585"/>
      <c r="G852" s="585"/>
      <c r="H852" s="585"/>
      <c r="I852" s="585"/>
      <c r="J852" s="585"/>
      <c r="K852" s="585"/>
      <c r="L852" s="585"/>
      <c r="M852" s="585"/>
      <c r="N852" s="585"/>
      <c r="O852" s="585"/>
      <c r="P852" s="585"/>
      <c r="Q852" s="585"/>
      <c r="R852" s="585"/>
      <c r="S852" s="585"/>
      <c r="T852" s="585"/>
      <c r="U852" s="585"/>
      <c r="V852" s="224"/>
      <c r="W852" s="224"/>
    </row>
    <row r="853">
      <c r="A853" s="585"/>
      <c r="B853" s="585"/>
      <c r="C853" s="585"/>
      <c r="D853" s="585"/>
      <c r="E853" s="585"/>
      <c r="F853" s="585"/>
      <c r="G853" s="585"/>
      <c r="H853" s="585"/>
      <c r="I853" s="585"/>
      <c r="J853" s="585"/>
      <c r="K853" s="585"/>
      <c r="L853" s="585"/>
      <c r="M853" s="585"/>
      <c r="N853" s="585"/>
      <c r="O853" s="585"/>
      <c r="P853" s="585"/>
      <c r="Q853" s="585"/>
      <c r="R853" s="585"/>
      <c r="S853" s="585"/>
      <c r="T853" s="585"/>
      <c r="U853" s="585"/>
      <c r="V853" s="224"/>
      <c r="W853" s="224"/>
    </row>
    <row r="854">
      <c r="A854" s="585"/>
      <c r="B854" s="585"/>
      <c r="C854" s="585"/>
      <c r="D854" s="585"/>
      <c r="E854" s="585"/>
      <c r="F854" s="585"/>
      <c r="G854" s="585"/>
      <c r="H854" s="585"/>
      <c r="I854" s="585"/>
      <c r="J854" s="585"/>
      <c r="K854" s="585"/>
      <c r="L854" s="585"/>
      <c r="M854" s="585"/>
      <c r="N854" s="585"/>
      <c r="O854" s="585"/>
      <c r="P854" s="585"/>
      <c r="Q854" s="585"/>
      <c r="R854" s="585"/>
      <c r="S854" s="585"/>
      <c r="T854" s="585"/>
      <c r="U854" s="585"/>
      <c r="V854" s="224"/>
      <c r="W854" s="224"/>
    </row>
    <row r="855">
      <c r="A855" s="585"/>
      <c r="B855" s="585"/>
      <c r="C855" s="585"/>
      <c r="D855" s="585"/>
      <c r="E855" s="585"/>
      <c r="F855" s="585"/>
      <c r="G855" s="585"/>
      <c r="H855" s="585"/>
      <c r="I855" s="585"/>
      <c r="J855" s="585"/>
      <c r="K855" s="585"/>
      <c r="L855" s="585"/>
      <c r="M855" s="585"/>
      <c r="N855" s="585"/>
      <c r="O855" s="585"/>
      <c r="P855" s="585"/>
      <c r="Q855" s="585"/>
      <c r="R855" s="585"/>
      <c r="S855" s="585"/>
      <c r="T855" s="585"/>
      <c r="U855" s="585"/>
      <c r="V855" s="224"/>
      <c r="W855" s="224"/>
    </row>
    <row r="856">
      <c r="A856" s="585"/>
      <c r="B856" s="585"/>
      <c r="C856" s="585"/>
      <c r="D856" s="585"/>
      <c r="E856" s="585"/>
      <c r="F856" s="585"/>
      <c r="G856" s="585"/>
      <c r="H856" s="585"/>
      <c r="I856" s="585"/>
      <c r="J856" s="585"/>
      <c r="K856" s="585"/>
      <c r="L856" s="585"/>
      <c r="M856" s="585"/>
      <c r="N856" s="585"/>
      <c r="O856" s="585"/>
      <c r="P856" s="585"/>
      <c r="Q856" s="585"/>
      <c r="R856" s="585"/>
      <c r="S856" s="585"/>
      <c r="T856" s="585"/>
      <c r="U856" s="585"/>
      <c r="V856" s="224"/>
      <c r="W856" s="224"/>
    </row>
    <row r="857">
      <c r="A857" s="585"/>
      <c r="B857" s="585"/>
      <c r="C857" s="585"/>
      <c r="D857" s="585"/>
      <c r="E857" s="585"/>
      <c r="F857" s="585"/>
      <c r="G857" s="585"/>
      <c r="H857" s="585"/>
      <c r="I857" s="585"/>
      <c r="J857" s="585"/>
      <c r="K857" s="585"/>
      <c r="L857" s="585"/>
      <c r="M857" s="585"/>
      <c r="N857" s="585"/>
      <c r="O857" s="585"/>
      <c r="P857" s="585"/>
      <c r="Q857" s="585"/>
      <c r="R857" s="585"/>
      <c r="S857" s="585"/>
      <c r="T857" s="585"/>
      <c r="U857" s="585"/>
      <c r="V857" s="224"/>
      <c r="W857" s="224"/>
    </row>
    <row r="858">
      <c r="A858" s="585"/>
      <c r="B858" s="585"/>
      <c r="C858" s="585"/>
      <c r="D858" s="585"/>
      <c r="E858" s="585"/>
      <c r="F858" s="585"/>
      <c r="G858" s="585"/>
      <c r="H858" s="585"/>
      <c r="I858" s="585"/>
      <c r="J858" s="585"/>
      <c r="K858" s="585"/>
      <c r="L858" s="585"/>
      <c r="M858" s="585"/>
      <c r="N858" s="585"/>
      <c r="O858" s="585"/>
      <c r="P858" s="585"/>
      <c r="Q858" s="585"/>
      <c r="R858" s="585"/>
      <c r="S858" s="585"/>
      <c r="T858" s="585"/>
      <c r="U858" s="585"/>
      <c r="V858" s="224"/>
      <c r="W858" s="224"/>
    </row>
    <row r="859">
      <c r="A859" s="585"/>
      <c r="B859" s="585"/>
      <c r="C859" s="585"/>
      <c r="D859" s="585"/>
      <c r="E859" s="585"/>
      <c r="F859" s="585"/>
      <c r="G859" s="585"/>
      <c r="H859" s="585"/>
      <c r="I859" s="585"/>
      <c r="J859" s="585"/>
      <c r="K859" s="585"/>
      <c r="L859" s="585"/>
      <c r="M859" s="585"/>
      <c r="N859" s="585"/>
      <c r="O859" s="585"/>
      <c r="P859" s="585"/>
      <c r="Q859" s="585"/>
      <c r="R859" s="585"/>
      <c r="S859" s="585"/>
      <c r="T859" s="585"/>
      <c r="U859" s="585"/>
      <c r="V859" s="224"/>
      <c r="W859" s="224"/>
    </row>
    <row r="860">
      <c r="A860" s="585"/>
      <c r="B860" s="585"/>
      <c r="C860" s="585"/>
      <c r="D860" s="585"/>
      <c r="E860" s="585"/>
      <c r="F860" s="585"/>
      <c r="G860" s="585"/>
      <c r="H860" s="585"/>
      <c r="I860" s="585"/>
      <c r="J860" s="585"/>
      <c r="K860" s="585"/>
      <c r="L860" s="585"/>
      <c r="M860" s="585"/>
      <c r="N860" s="585"/>
      <c r="O860" s="585"/>
      <c r="P860" s="585"/>
      <c r="Q860" s="585"/>
      <c r="R860" s="585"/>
      <c r="S860" s="585"/>
      <c r="T860" s="585"/>
      <c r="U860" s="585"/>
      <c r="V860" s="224"/>
      <c r="W860" s="224"/>
    </row>
    <row r="861">
      <c r="A861" s="585"/>
      <c r="B861" s="585"/>
      <c r="C861" s="585"/>
      <c r="D861" s="585"/>
      <c r="E861" s="585"/>
      <c r="F861" s="585"/>
      <c r="G861" s="585"/>
      <c r="H861" s="585"/>
      <c r="I861" s="585"/>
      <c r="J861" s="585"/>
      <c r="K861" s="585"/>
      <c r="L861" s="585"/>
      <c r="M861" s="585"/>
      <c r="N861" s="585"/>
      <c r="O861" s="585"/>
      <c r="P861" s="585"/>
      <c r="Q861" s="585"/>
      <c r="R861" s="585"/>
      <c r="S861" s="585"/>
      <c r="T861" s="585"/>
      <c r="U861" s="585"/>
      <c r="V861" s="224"/>
      <c r="W861" s="224"/>
    </row>
    <row r="862">
      <c r="A862" s="585"/>
      <c r="B862" s="585"/>
      <c r="C862" s="585"/>
      <c r="D862" s="585"/>
      <c r="E862" s="585"/>
      <c r="F862" s="585"/>
      <c r="G862" s="585"/>
      <c r="H862" s="585"/>
      <c r="I862" s="585"/>
      <c r="J862" s="585"/>
      <c r="K862" s="585"/>
      <c r="L862" s="585"/>
      <c r="M862" s="585"/>
      <c r="N862" s="585"/>
      <c r="O862" s="585"/>
      <c r="P862" s="585"/>
      <c r="Q862" s="585"/>
      <c r="R862" s="585"/>
      <c r="S862" s="585"/>
      <c r="T862" s="585"/>
      <c r="U862" s="585"/>
      <c r="V862" s="224"/>
      <c r="W862" s="224"/>
    </row>
    <row r="863">
      <c r="A863" s="585"/>
      <c r="B863" s="585"/>
      <c r="C863" s="585"/>
      <c r="D863" s="585"/>
      <c r="E863" s="585"/>
      <c r="F863" s="585"/>
      <c r="G863" s="585"/>
      <c r="H863" s="585"/>
      <c r="I863" s="585"/>
      <c r="J863" s="585"/>
      <c r="K863" s="585"/>
      <c r="L863" s="585"/>
      <c r="M863" s="585"/>
      <c r="N863" s="585"/>
      <c r="O863" s="585"/>
      <c r="P863" s="585"/>
      <c r="Q863" s="585"/>
      <c r="R863" s="585"/>
      <c r="S863" s="585"/>
      <c r="T863" s="585"/>
      <c r="U863" s="585"/>
      <c r="V863" s="224"/>
      <c r="W863" s="224"/>
    </row>
    <row r="864">
      <c r="A864" s="585"/>
      <c r="B864" s="585"/>
      <c r="C864" s="585"/>
      <c r="D864" s="585"/>
      <c r="E864" s="585"/>
      <c r="F864" s="585"/>
      <c r="G864" s="585"/>
      <c r="H864" s="585"/>
      <c r="I864" s="585"/>
      <c r="J864" s="585"/>
      <c r="K864" s="585"/>
      <c r="L864" s="585"/>
      <c r="M864" s="585"/>
      <c r="N864" s="585"/>
      <c r="O864" s="585"/>
      <c r="P864" s="585"/>
      <c r="Q864" s="585"/>
      <c r="R864" s="585"/>
      <c r="S864" s="585"/>
      <c r="T864" s="585"/>
      <c r="U864" s="585"/>
      <c r="V864" s="224"/>
      <c r="W864" s="224"/>
    </row>
    <row r="865">
      <c r="A865" s="585"/>
      <c r="B865" s="585"/>
      <c r="C865" s="585"/>
      <c r="D865" s="585"/>
      <c r="E865" s="585"/>
      <c r="F865" s="585"/>
      <c r="G865" s="585"/>
      <c r="H865" s="585"/>
      <c r="I865" s="585"/>
      <c r="J865" s="585"/>
      <c r="K865" s="585"/>
      <c r="L865" s="585"/>
      <c r="M865" s="585"/>
      <c r="N865" s="585"/>
      <c r="O865" s="585"/>
      <c r="P865" s="585"/>
      <c r="Q865" s="585"/>
      <c r="R865" s="585"/>
      <c r="S865" s="585"/>
      <c r="T865" s="585"/>
      <c r="U865" s="585"/>
      <c r="V865" s="224"/>
      <c r="W865" s="224"/>
    </row>
    <row r="866">
      <c r="A866" s="585"/>
      <c r="B866" s="585"/>
      <c r="C866" s="585"/>
      <c r="D866" s="585"/>
      <c r="E866" s="585"/>
      <c r="F866" s="585"/>
      <c r="G866" s="585"/>
      <c r="H866" s="585"/>
      <c r="I866" s="585"/>
      <c r="J866" s="585"/>
      <c r="K866" s="585"/>
      <c r="L866" s="585"/>
      <c r="M866" s="585"/>
      <c r="N866" s="585"/>
      <c r="O866" s="585"/>
      <c r="P866" s="585"/>
      <c r="Q866" s="585"/>
      <c r="R866" s="585"/>
      <c r="S866" s="585"/>
      <c r="T866" s="585"/>
      <c r="U866" s="585"/>
      <c r="V866" s="224"/>
      <c r="W866" s="224"/>
    </row>
    <row r="867">
      <c r="A867" s="585"/>
      <c r="B867" s="585"/>
      <c r="C867" s="585"/>
      <c r="D867" s="585"/>
      <c r="E867" s="585"/>
      <c r="F867" s="585"/>
      <c r="G867" s="585"/>
      <c r="H867" s="585"/>
      <c r="I867" s="585"/>
      <c r="J867" s="585"/>
      <c r="K867" s="585"/>
      <c r="L867" s="585"/>
      <c r="M867" s="585"/>
      <c r="N867" s="585"/>
      <c r="O867" s="585"/>
      <c r="P867" s="585"/>
      <c r="Q867" s="585"/>
      <c r="R867" s="585"/>
      <c r="S867" s="585"/>
      <c r="T867" s="585"/>
      <c r="U867" s="585"/>
      <c r="V867" s="224"/>
      <c r="W867" s="224"/>
    </row>
    <row r="868">
      <c r="A868" s="585"/>
      <c r="B868" s="585"/>
      <c r="C868" s="585"/>
      <c r="D868" s="585"/>
      <c r="E868" s="585"/>
      <c r="F868" s="585"/>
      <c r="G868" s="585"/>
      <c r="H868" s="585"/>
      <c r="I868" s="585"/>
      <c r="J868" s="585"/>
      <c r="K868" s="585"/>
      <c r="L868" s="585"/>
      <c r="M868" s="585"/>
      <c r="N868" s="585"/>
      <c r="O868" s="585"/>
      <c r="P868" s="585"/>
      <c r="Q868" s="585"/>
      <c r="R868" s="585"/>
      <c r="S868" s="585"/>
      <c r="T868" s="585"/>
      <c r="U868" s="585"/>
      <c r="V868" s="224"/>
      <c r="W868" s="224"/>
    </row>
    <row r="869">
      <c r="A869" s="585"/>
      <c r="B869" s="585"/>
      <c r="C869" s="585"/>
      <c r="D869" s="585"/>
      <c r="E869" s="585"/>
      <c r="F869" s="585"/>
      <c r="G869" s="585"/>
      <c r="H869" s="585"/>
      <c r="I869" s="585"/>
      <c r="J869" s="585"/>
      <c r="K869" s="585"/>
      <c r="L869" s="585"/>
      <c r="M869" s="585"/>
      <c r="N869" s="585"/>
      <c r="O869" s="585"/>
      <c r="P869" s="585"/>
      <c r="Q869" s="585"/>
      <c r="R869" s="585"/>
      <c r="S869" s="585"/>
      <c r="T869" s="585"/>
      <c r="U869" s="585"/>
      <c r="V869" s="224"/>
      <c r="W869" s="224"/>
    </row>
    <row r="870">
      <c r="A870" s="585"/>
      <c r="B870" s="585"/>
      <c r="C870" s="585"/>
      <c r="D870" s="585"/>
      <c r="E870" s="585"/>
      <c r="F870" s="585"/>
      <c r="G870" s="585"/>
      <c r="H870" s="585"/>
      <c r="I870" s="585"/>
      <c r="J870" s="585"/>
      <c r="K870" s="585"/>
      <c r="L870" s="585"/>
      <c r="M870" s="585"/>
      <c r="N870" s="585"/>
      <c r="O870" s="585"/>
      <c r="P870" s="585"/>
      <c r="Q870" s="585"/>
      <c r="R870" s="585"/>
      <c r="S870" s="585"/>
      <c r="T870" s="585"/>
      <c r="U870" s="585"/>
      <c r="V870" s="224"/>
      <c r="W870" s="224"/>
    </row>
    <row r="871">
      <c r="A871" s="585"/>
      <c r="B871" s="585"/>
      <c r="C871" s="585"/>
      <c r="D871" s="585"/>
      <c r="E871" s="585"/>
      <c r="F871" s="585"/>
      <c r="G871" s="585"/>
      <c r="H871" s="585"/>
      <c r="I871" s="585"/>
      <c r="J871" s="585"/>
      <c r="K871" s="585"/>
      <c r="L871" s="585"/>
      <c r="M871" s="585"/>
      <c r="N871" s="585"/>
      <c r="O871" s="585"/>
      <c r="P871" s="585"/>
      <c r="Q871" s="585"/>
      <c r="R871" s="585"/>
      <c r="S871" s="585"/>
      <c r="T871" s="585"/>
      <c r="U871" s="585"/>
      <c r="V871" s="224"/>
      <c r="W871" s="224"/>
    </row>
    <row r="872">
      <c r="A872" s="585"/>
      <c r="B872" s="585"/>
      <c r="C872" s="585"/>
      <c r="D872" s="585"/>
      <c r="E872" s="585"/>
      <c r="F872" s="585"/>
      <c r="G872" s="585"/>
      <c r="H872" s="585"/>
      <c r="I872" s="585"/>
      <c r="J872" s="585"/>
      <c r="K872" s="585"/>
      <c r="L872" s="585"/>
      <c r="M872" s="585"/>
      <c r="N872" s="585"/>
      <c r="O872" s="585"/>
      <c r="P872" s="585"/>
      <c r="Q872" s="585"/>
      <c r="R872" s="585"/>
      <c r="S872" s="585"/>
      <c r="T872" s="585"/>
      <c r="U872" s="585"/>
      <c r="V872" s="224"/>
      <c r="W872" s="224"/>
    </row>
    <row r="873">
      <c r="A873" s="585"/>
      <c r="B873" s="585"/>
      <c r="C873" s="585"/>
      <c r="D873" s="585"/>
      <c r="E873" s="585"/>
      <c r="F873" s="585"/>
      <c r="G873" s="585"/>
      <c r="H873" s="585"/>
      <c r="I873" s="585"/>
      <c r="J873" s="585"/>
      <c r="K873" s="585"/>
      <c r="L873" s="585"/>
      <c r="M873" s="585"/>
      <c r="N873" s="585"/>
      <c r="O873" s="585"/>
      <c r="P873" s="585"/>
      <c r="Q873" s="585"/>
      <c r="R873" s="585"/>
      <c r="S873" s="585"/>
      <c r="T873" s="585"/>
      <c r="U873" s="585"/>
      <c r="V873" s="224"/>
      <c r="W873" s="224"/>
    </row>
    <row r="874">
      <c r="A874" s="585"/>
      <c r="B874" s="585"/>
      <c r="C874" s="585"/>
      <c r="D874" s="585"/>
      <c r="E874" s="585"/>
      <c r="F874" s="585"/>
      <c r="G874" s="585"/>
      <c r="H874" s="585"/>
      <c r="I874" s="585"/>
      <c r="J874" s="585"/>
      <c r="K874" s="585"/>
      <c r="L874" s="585"/>
      <c r="M874" s="585"/>
      <c r="N874" s="585"/>
      <c r="O874" s="585"/>
      <c r="P874" s="585"/>
      <c r="Q874" s="585"/>
      <c r="R874" s="585"/>
      <c r="S874" s="585"/>
      <c r="T874" s="585"/>
      <c r="U874" s="585"/>
      <c r="V874" s="224"/>
      <c r="W874" s="224"/>
    </row>
    <row r="875">
      <c r="A875" s="585"/>
      <c r="B875" s="585"/>
      <c r="C875" s="585"/>
      <c r="D875" s="585"/>
      <c r="E875" s="585"/>
      <c r="F875" s="585"/>
      <c r="G875" s="585"/>
      <c r="H875" s="585"/>
      <c r="I875" s="585"/>
      <c r="J875" s="585"/>
      <c r="K875" s="585"/>
      <c r="L875" s="585"/>
      <c r="M875" s="585"/>
      <c r="N875" s="585"/>
      <c r="O875" s="585"/>
      <c r="P875" s="585"/>
      <c r="Q875" s="585"/>
      <c r="R875" s="585"/>
      <c r="S875" s="585"/>
      <c r="T875" s="585"/>
      <c r="U875" s="585"/>
      <c r="V875" s="224"/>
      <c r="W875" s="224"/>
    </row>
    <row r="876">
      <c r="A876" s="585"/>
      <c r="B876" s="585"/>
      <c r="C876" s="585"/>
      <c r="D876" s="585"/>
      <c r="E876" s="585"/>
      <c r="F876" s="585"/>
      <c r="G876" s="585"/>
      <c r="H876" s="585"/>
      <c r="I876" s="585"/>
      <c r="J876" s="585"/>
      <c r="K876" s="585"/>
      <c r="L876" s="585"/>
      <c r="M876" s="585"/>
      <c r="N876" s="585"/>
      <c r="O876" s="585"/>
      <c r="P876" s="585"/>
      <c r="Q876" s="585"/>
      <c r="R876" s="585"/>
      <c r="S876" s="585"/>
      <c r="T876" s="585"/>
      <c r="U876" s="585"/>
      <c r="V876" s="224"/>
      <c r="W876" s="224"/>
    </row>
    <row r="877">
      <c r="A877" s="585"/>
      <c r="B877" s="585"/>
      <c r="C877" s="585"/>
      <c r="D877" s="585"/>
      <c r="E877" s="585"/>
      <c r="F877" s="585"/>
      <c r="G877" s="585"/>
      <c r="H877" s="585"/>
      <c r="I877" s="585"/>
      <c r="J877" s="585"/>
      <c r="K877" s="585"/>
      <c r="L877" s="585"/>
      <c r="M877" s="585"/>
      <c r="N877" s="585"/>
      <c r="O877" s="585"/>
      <c r="P877" s="585"/>
      <c r="Q877" s="585"/>
      <c r="R877" s="585"/>
      <c r="S877" s="585"/>
      <c r="T877" s="585"/>
      <c r="U877" s="585"/>
      <c r="V877" s="224"/>
      <c r="W877" s="224"/>
    </row>
    <row r="878">
      <c r="A878" s="585"/>
      <c r="B878" s="585"/>
      <c r="C878" s="585"/>
      <c r="D878" s="585"/>
      <c r="E878" s="585"/>
      <c r="F878" s="585"/>
      <c r="G878" s="585"/>
      <c r="H878" s="585"/>
      <c r="I878" s="585"/>
      <c r="J878" s="585"/>
      <c r="K878" s="585"/>
      <c r="L878" s="585"/>
      <c r="M878" s="585"/>
      <c r="N878" s="585"/>
      <c r="O878" s="585"/>
      <c r="P878" s="585"/>
      <c r="Q878" s="585"/>
      <c r="R878" s="585"/>
      <c r="S878" s="585"/>
      <c r="T878" s="585"/>
      <c r="U878" s="585"/>
      <c r="V878" s="224"/>
      <c r="W878" s="224"/>
    </row>
    <row r="879">
      <c r="A879" s="585"/>
      <c r="B879" s="585"/>
      <c r="C879" s="585"/>
      <c r="D879" s="585"/>
      <c r="E879" s="585"/>
      <c r="F879" s="585"/>
      <c r="G879" s="585"/>
      <c r="H879" s="585"/>
      <c r="I879" s="585"/>
      <c r="J879" s="585"/>
      <c r="K879" s="585"/>
      <c r="L879" s="585"/>
      <c r="M879" s="585"/>
      <c r="N879" s="585"/>
      <c r="O879" s="585"/>
      <c r="P879" s="585"/>
      <c r="Q879" s="585"/>
      <c r="R879" s="585"/>
      <c r="S879" s="585"/>
      <c r="T879" s="585"/>
      <c r="U879" s="585"/>
      <c r="V879" s="224"/>
      <c r="W879" s="224"/>
    </row>
    <row r="880">
      <c r="A880" s="585"/>
      <c r="B880" s="585"/>
      <c r="C880" s="585"/>
      <c r="D880" s="585"/>
      <c r="E880" s="585"/>
      <c r="F880" s="585"/>
      <c r="G880" s="585"/>
      <c r="H880" s="585"/>
      <c r="I880" s="585"/>
      <c r="J880" s="585"/>
      <c r="K880" s="585"/>
      <c r="L880" s="585"/>
      <c r="M880" s="585"/>
      <c r="N880" s="585"/>
      <c r="O880" s="585"/>
      <c r="P880" s="585"/>
      <c r="Q880" s="585"/>
      <c r="R880" s="585"/>
      <c r="S880" s="585"/>
      <c r="T880" s="585"/>
      <c r="U880" s="585"/>
      <c r="V880" s="224"/>
      <c r="W880" s="224"/>
    </row>
    <row r="881">
      <c r="A881" s="585"/>
      <c r="B881" s="585"/>
      <c r="C881" s="585"/>
      <c r="D881" s="585"/>
      <c r="E881" s="585"/>
      <c r="F881" s="585"/>
      <c r="G881" s="585"/>
      <c r="H881" s="585"/>
      <c r="I881" s="585"/>
      <c r="J881" s="585"/>
      <c r="K881" s="585"/>
      <c r="L881" s="585"/>
      <c r="M881" s="585"/>
      <c r="N881" s="585"/>
      <c r="O881" s="585"/>
      <c r="P881" s="585"/>
      <c r="Q881" s="585"/>
      <c r="R881" s="585"/>
      <c r="S881" s="585"/>
      <c r="T881" s="585"/>
      <c r="U881" s="585"/>
      <c r="V881" s="224"/>
      <c r="W881" s="224"/>
    </row>
    <row r="882">
      <c r="A882" s="585"/>
      <c r="B882" s="585"/>
      <c r="C882" s="585"/>
      <c r="D882" s="585"/>
      <c r="E882" s="585"/>
      <c r="F882" s="585"/>
      <c r="G882" s="585"/>
      <c r="H882" s="585"/>
      <c r="I882" s="585"/>
      <c r="J882" s="585"/>
      <c r="K882" s="585"/>
      <c r="L882" s="585"/>
      <c r="M882" s="585"/>
      <c r="N882" s="585"/>
      <c r="O882" s="585"/>
      <c r="P882" s="585"/>
      <c r="Q882" s="585"/>
      <c r="R882" s="585"/>
      <c r="S882" s="585"/>
      <c r="T882" s="585"/>
      <c r="U882" s="585"/>
      <c r="V882" s="224"/>
      <c r="W882" s="224"/>
    </row>
    <row r="883">
      <c r="A883" s="585"/>
      <c r="B883" s="585"/>
      <c r="C883" s="585"/>
      <c r="D883" s="585"/>
      <c r="E883" s="585"/>
      <c r="F883" s="585"/>
      <c r="G883" s="585"/>
      <c r="H883" s="585"/>
      <c r="I883" s="585"/>
      <c r="J883" s="585"/>
      <c r="K883" s="585"/>
      <c r="L883" s="585"/>
      <c r="M883" s="585"/>
      <c r="N883" s="585"/>
      <c r="O883" s="585"/>
      <c r="P883" s="585"/>
      <c r="Q883" s="585"/>
      <c r="R883" s="585"/>
      <c r="S883" s="585"/>
      <c r="T883" s="585"/>
      <c r="U883" s="585"/>
      <c r="V883" s="224"/>
      <c r="W883" s="224"/>
    </row>
    <row r="884">
      <c r="A884" s="585"/>
      <c r="B884" s="585"/>
      <c r="C884" s="585"/>
      <c r="D884" s="585"/>
      <c r="E884" s="585"/>
      <c r="F884" s="585"/>
      <c r="G884" s="585"/>
      <c r="H884" s="585"/>
      <c r="I884" s="585"/>
      <c r="J884" s="585"/>
      <c r="K884" s="585"/>
      <c r="L884" s="585"/>
      <c r="M884" s="585"/>
      <c r="N884" s="585"/>
      <c r="O884" s="585"/>
      <c r="P884" s="585"/>
      <c r="Q884" s="585"/>
      <c r="R884" s="585"/>
      <c r="S884" s="585"/>
      <c r="T884" s="585"/>
      <c r="U884" s="585"/>
      <c r="V884" s="224"/>
      <c r="W884" s="224"/>
    </row>
    <row r="885">
      <c r="A885" s="585"/>
      <c r="B885" s="585"/>
      <c r="C885" s="585"/>
      <c r="D885" s="585"/>
      <c r="E885" s="585"/>
      <c r="F885" s="585"/>
      <c r="G885" s="585"/>
      <c r="H885" s="585"/>
      <c r="I885" s="585"/>
      <c r="J885" s="585"/>
      <c r="K885" s="585"/>
      <c r="L885" s="585"/>
      <c r="M885" s="585"/>
      <c r="N885" s="585"/>
      <c r="O885" s="585"/>
      <c r="P885" s="585"/>
      <c r="Q885" s="585"/>
      <c r="R885" s="585"/>
      <c r="S885" s="585"/>
      <c r="T885" s="585"/>
      <c r="U885" s="585"/>
      <c r="V885" s="224"/>
      <c r="W885" s="224"/>
    </row>
    <row r="886">
      <c r="A886" s="585"/>
      <c r="B886" s="585"/>
      <c r="C886" s="585"/>
      <c r="D886" s="585"/>
      <c r="E886" s="585"/>
      <c r="F886" s="585"/>
      <c r="G886" s="585"/>
      <c r="H886" s="585"/>
      <c r="I886" s="585"/>
      <c r="J886" s="585"/>
      <c r="K886" s="585"/>
      <c r="L886" s="585"/>
      <c r="M886" s="585"/>
      <c r="N886" s="585"/>
      <c r="O886" s="585"/>
      <c r="P886" s="585"/>
      <c r="Q886" s="585"/>
      <c r="R886" s="585"/>
      <c r="S886" s="585"/>
      <c r="T886" s="585"/>
      <c r="U886" s="585"/>
      <c r="V886" s="224"/>
      <c r="W886" s="224"/>
    </row>
    <row r="887">
      <c r="A887" s="585"/>
      <c r="B887" s="585"/>
      <c r="C887" s="585"/>
      <c r="D887" s="585"/>
      <c r="E887" s="585"/>
      <c r="F887" s="585"/>
      <c r="G887" s="585"/>
      <c r="H887" s="585"/>
      <c r="I887" s="585"/>
      <c r="J887" s="585"/>
      <c r="K887" s="585"/>
      <c r="L887" s="585"/>
      <c r="M887" s="585"/>
      <c r="N887" s="585"/>
      <c r="O887" s="585"/>
      <c r="P887" s="585"/>
      <c r="Q887" s="585"/>
      <c r="R887" s="585"/>
      <c r="S887" s="585"/>
      <c r="T887" s="585"/>
      <c r="U887" s="585"/>
      <c r="V887" s="224"/>
      <c r="W887" s="224"/>
    </row>
    <row r="888">
      <c r="A888" s="585"/>
      <c r="B888" s="585"/>
      <c r="C888" s="585"/>
      <c r="D888" s="585"/>
      <c r="E888" s="585"/>
      <c r="F888" s="585"/>
      <c r="G888" s="585"/>
      <c r="H888" s="585"/>
      <c r="I888" s="585"/>
      <c r="J888" s="585"/>
      <c r="K888" s="585"/>
      <c r="L888" s="585"/>
      <c r="M888" s="585"/>
      <c r="N888" s="585"/>
      <c r="O888" s="585"/>
      <c r="P888" s="585"/>
      <c r="Q888" s="585"/>
      <c r="R888" s="585"/>
      <c r="S888" s="585"/>
      <c r="T888" s="585"/>
      <c r="U888" s="585"/>
      <c r="V888" s="224"/>
      <c r="W888" s="224"/>
    </row>
    <row r="889">
      <c r="A889" s="585"/>
      <c r="B889" s="585"/>
      <c r="C889" s="585"/>
      <c r="D889" s="585"/>
      <c r="E889" s="585"/>
      <c r="F889" s="585"/>
      <c r="G889" s="585"/>
      <c r="H889" s="585"/>
      <c r="I889" s="585"/>
      <c r="J889" s="585"/>
      <c r="K889" s="585"/>
      <c r="L889" s="585"/>
      <c r="M889" s="585"/>
      <c r="N889" s="585"/>
      <c r="O889" s="585"/>
      <c r="P889" s="585"/>
      <c r="Q889" s="585"/>
      <c r="R889" s="585"/>
      <c r="S889" s="585"/>
      <c r="T889" s="585"/>
      <c r="U889" s="585"/>
      <c r="V889" s="224"/>
      <c r="W889" s="224"/>
    </row>
    <row r="890">
      <c r="A890" s="585"/>
      <c r="B890" s="585"/>
      <c r="C890" s="585"/>
      <c r="D890" s="585"/>
      <c r="E890" s="585"/>
      <c r="F890" s="585"/>
      <c r="G890" s="585"/>
      <c r="H890" s="585"/>
      <c r="I890" s="585"/>
      <c r="J890" s="585"/>
      <c r="K890" s="585"/>
      <c r="L890" s="585"/>
      <c r="M890" s="585"/>
      <c r="N890" s="585"/>
      <c r="O890" s="585"/>
      <c r="P890" s="585"/>
      <c r="Q890" s="585"/>
      <c r="R890" s="585"/>
      <c r="S890" s="585"/>
      <c r="T890" s="585"/>
      <c r="U890" s="585"/>
      <c r="V890" s="224"/>
      <c r="W890" s="224"/>
    </row>
    <row r="891">
      <c r="A891" s="585"/>
      <c r="B891" s="585"/>
      <c r="C891" s="585"/>
      <c r="D891" s="585"/>
      <c r="E891" s="585"/>
      <c r="F891" s="585"/>
      <c r="G891" s="585"/>
      <c r="H891" s="585"/>
      <c r="I891" s="585"/>
      <c r="J891" s="585"/>
      <c r="K891" s="585"/>
      <c r="L891" s="585"/>
      <c r="M891" s="585"/>
      <c r="N891" s="585"/>
      <c r="O891" s="585"/>
      <c r="P891" s="585"/>
      <c r="Q891" s="585"/>
      <c r="R891" s="585"/>
      <c r="S891" s="585"/>
      <c r="T891" s="585"/>
      <c r="U891" s="585"/>
      <c r="V891" s="224"/>
      <c r="W891" s="224"/>
    </row>
    <row r="892">
      <c r="A892" s="585"/>
      <c r="B892" s="585"/>
      <c r="C892" s="585"/>
      <c r="D892" s="585"/>
      <c r="E892" s="585"/>
      <c r="F892" s="585"/>
      <c r="G892" s="585"/>
      <c r="H892" s="585"/>
      <c r="I892" s="585"/>
      <c r="J892" s="585"/>
      <c r="K892" s="585"/>
      <c r="L892" s="585"/>
      <c r="M892" s="585"/>
      <c r="N892" s="585"/>
      <c r="O892" s="585"/>
      <c r="P892" s="585"/>
      <c r="Q892" s="585"/>
      <c r="R892" s="585"/>
      <c r="S892" s="585"/>
      <c r="T892" s="585"/>
      <c r="U892" s="585"/>
      <c r="V892" s="224"/>
      <c r="W892" s="224"/>
    </row>
    <row r="893">
      <c r="A893" s="585"/>
      <c r="B893" s="585"/>
      <c r="C893" s="585"/>
      <c r="D893" s="585"/>
      <c r="E893" s="585"/>
      <c r="F893" s="585"/>
      <c r="G893" s="585"/>
      <c r="H893" s="585"/>
      <c r="I893" s="585"/>
      <c r="J893" s="585"/>
      <c r="K893" s="585"/>
      <c r="L893" s="585"/>
      <c r="M893" s="585"/>
      <c r="N893" s="585"/>
      <c r="O893" s="585"/>
      <c r="P893" s="585"/>
      <c r="Q893" s="585"/>
      <c r="R893" s="585"/>
      <c r="S893" s="585"/>
      <c r="T893" s="585"/>
      <c r="U893" s="585"/>
      <c r="V893" s="224"/>
      <c r="W893" s="224"/>
    </row>
    <row r="894">
      <c r="A894" s="585"/>
      <c r="B894" s="585"/>
      <c r="C894" s="585"/>
      <c r="D894" s="585"/>
      <c r="E894" s="585"/>
      <c r="F894" s="585"/>
      <c r="G894" s="585"/>
      <c r="H894" s="585"/>
      <c r="I894" s="585"/>
      <c r="J894" s="585"/>
      <c r="K894" s="585"/>
      <c r="L894" s="585"/>
      <c r="M894" s="585"/>
      <c r="N894" s="585"/>
      <c r="O894" s="585"/>
      <c r="P894" s="585"/>
      <c r="Q894" s="585"/>
      <c r="R894" s="585"/>
      <c r="S894" s="585"/>
      <c r="T894" s="585"/>
      <c r="U894" s="585"/>
      <c r="V894" s="224"/>
      <c r="W894" s="224"/>
    </row>
    <row r="895">
      <c r="A895" s="585"/>
      <c r="B895" s="585"/>
      <c r="C895" s="585"/>
      <c r="D895" s="585"/>
      <c r="E895" s="585"/>
      <c r="F895" s="585"/>
      <c r="G895" s="585"/>
      <c r="H895" s="585"/>
      <c r="I895" s="585"/>
      <c r="J895" s="585"/>
      <c r="K895" s="585"/>
      <c r="L895" s="585"/>
      <c r="M895" s="585"/>
      <c r="N895" s="585"/>
      <c r="O895" s="585"/>
      <c r="P895" s="585"/>
      <c r="Q895" s="585"/>
      <c r="R895" s="585"/>
      <c r="S895" s="585"/>
      <c r="T895" s="585"/>
      <c r="U895" s="585"/>
      <c r="V895" s="224"/>
      <c r="W895" s="224"/>
    </row>
    <row r="896">
      <c r="A896" s="585"/>
      <c r="B896" s="585"/>
      <c r="C896" s="585"/>
      <c r="D896" s="585"/>
      <c r="E896" s="585"/>
      <c r="F896" s="585"/>
      <c r="G896" s="585"/>
      <c r="H896" s="585"/>
      <c r="I896" s="585"/>
      <c r="J896" s="585"/>
      <c r="K896" s="585"/>
      <c r="L896" s="585"/>
      <c r="M896" s="585"/>
      <c r="N896" s="585"/>
      <c r="O896" s="585"/>
      <c r="P896" s="585"/>
      <c r="Q896" s="585"/>
      <c r="R896" s="585"/>
      <c r="S896" s="585"/>
      <c r="T896" s="585"/>
      <c r="U896" s="585"/>
      <c r="V896" s="224"/>
      <c r="W896" s="224"/>
    </row>
    <row r="897">
      <c r="A897" s="585"/>
      <c r="B897" s="585"/>
      <c r="C897" s="585"/>
      <c r="D897" s="585"/>
      <c r="E897" s="585"/>
      <c r="F897" s="585"/>
      <c r="G897" s="585"/>
      <c r="H897" s="585"/>
      <c r="I897" s="585"/>
      <c r="J897" s="585"/>
      <c r="K897" s="585"/>
      <c r="L897" s="585"/>
      <c r="M897" s="585"/>
      <c r="N897" s="585"/>
      <c r="O897" s="585"/>
      <c r="P897" s="585"/>
      <c r="Q897" s="585"/>
      <c r="R897" s="585"/>
      <c r="S897" s="585"/>
      <c r="T897" s="585"/>
      <c r="U897" s="585"/>
      <c r="V897" s="224"/>
      <c r="W897" s="224"/>
    </row>
    <row r="898">
      <c r="A898" s="585"/>
      <c r="B898" s="585"/>
      <c r="C898" s="585"/>
      <c r="D898" s="585"/>
      <c r="E898" s="585"/>
      <c r="F898" s="585"/>
      <c r="G898" s="585"/>
      <c r="H898" s="585"/>
      <c r="I898" s="585"/>
      <c r="J898" s="585"/>
      <c r="K898" s="585"/>
      <c r="L898" s="585"/>
      <c r="M898" s="585"/>
      <c r="N898" s="585"/>
      <c r="O898" s="585"/>
      <c r="P898" s="585"/>
      <c r="Q898" s="585"/>
      <c r="R898" s="585"/>
      <c r="S898" s="585"/>
      <c r="T898" s="585"/>
      <c r="U898" s="585"/>
      <c r="V898" s="224"/>
      <c r="W898" s="224"/>
    </row>
    <row r="899">
      <c r="A899" s="585"/>
      <c r="B899" s="585"/>
      <c r="C899" s="585"/>
      <c r="D899" s="585"/>
      <c r="E899" s="585"/>
      <c r="F899" s="585"/>
      <c r="G899" s="585"/>
      <c r="H899" s="585"/>
      <c r="I899" s="585"/>
      <c r="J899" s="585"/>
      <c r="K899" s="585"/>
      <c r="L899" s="585"/>
      <c r="M899" s="585"/>
      <c r="N899" s="585"/>
      <c r="O899" s="585"/>
      <c r="P899" s="585"/>
      <c r="Q899" s="585"/>
      <c r="R899" s="585"/>
      <c r="S899" s="585"/>
      <c r="T899" s="585"/>
      <c r="U899" s="585"/>
      <c r="V899" s="224"/>
      <c r="W899" s="224"/>
    </row>
    <row r="900">
      <c r="A900" s="585"/>
      <c r="B900" s="585"/>
      <c r="C900" s="585"/>
      <c r="D900" s="585"/>
      <c r="E900" s="585"/>
      <c r="F900" s="585"/>
      <c r="G900" s="585"/>
      <c r="H900" s="585"/>
      <c r="I900" s="585"/>
      <c r="J900" s="585"/>
      <c r="K900" s="585"/>
      <c r="L900" s="585"/>
      <c r="M900" s="585"/>
      <c r="N900" s="585"/>
      <c r="O900" s="585"/>
      <c r="P900" s="585"/>
      <c r="Q900" s="585"/>
      <c r="R900" s="585"/>
      <c r="S900" s="585"/>
      <c r="T900" s="585"/>
      <c r="U900" s="585"/>
      <c r="V900" s="224"/>
      <c r="W900" s="224"/>
    </row>
    <row r="901">
      <c r="A901" s="585"/>
      <c r="B901" s="585"/>
      <c r="C901" s="585"/>
      <c r="D901" s="585"/>
      <c r="E901" s="585"/>
      <c r="F901" s="585"/>
      <c r="G901" s="585"/>
      <c r="H901" s="585"/>
      <c r="I901" s="585"/>
      <c r="J901" s="585"/>
      <c r="K901" s="585"/>
      <c r="L901" s="585"/>
      <c r="M901" s="585"/>
      <c r="N901" s="585"/>
      <c r="O901" s="585"/>
      <c r="P901" s="585"/>
      <c r="Q901" s="585"/>
      <c r="R901" s="585"/>
      <c r="S901" s="585"/>
      <c r="T901" s="585"/>
      <c r="U901" s="585"/>
      <c r="V901" s="224"/>
      <c r="W901" s="224"/>
    </row>
    <row r="902">
      <c r="A902" s="585"/>
      <c r="B902" s="585"/>
      <c r="C902" s="585"/>
      <c r="D902" s="585"/>
      <c r="E902" s="585"/>
      <c r="F902" s="585"/>
      <c r="G902" s="585"/>
      <c r="H902" s="585"/>
      <c r="I902" s="585"/>
      <c r="J902" s="585"/>
      <c r="K902" s="585"/>
      <c r="L902" s="585"/>
      <c r="M902" s="585"/>
      <c r="N902" s="585"/>
      <c r="O902" s="585"/>
      <c r="P902" s="585"/>
      <c r="Q902" s="585"/>
      <c r="R902" s="585"/>
      <c r="S902" s="585"/>
      <c r="T902" s="585"/>
      <c r="U902" s="585"/>
      <c r="V902" s="224"/>
      <c r="W902" s="224"/>
    </row>
    <row r="903">
      <c r="A903" s="585"/>
      <c r="B903" s="585"/>
      <c r="C903" s="585"/>
      <c r="D903" s="585"/>
      <c r="E903" s="585"/>
      <c r="F903" s="585"/>
      <c r="G903" s="585"/>
      <c r="H903" s="585"/>
      <c r="I903" s="585"/>
      <c r="J903" s="585"/>
      <c r="K903" s="585"/>
      <c r="L903" s="585"/>
      <c r="M903" s="585"/>
      <c r="N903" s="585"/>
      <c r="O903" s="585"/>
      <c r="P903" s="585"/>
      <c r="Q903" s="585"/>
      <c r="R903" s="585"/>
      <c r="S903" s="585"/>
      <c r="T903" s="585"/>
      <c r="U903" s="585"/>
      <c r="V903" s="224"/>
      <c r="W903" s="224"/>
    </row>
    <row r="904">
      <c r="A904" s="585"/>
      <c r="B904" s="585"/>
      <c r="C904" s="585"/>
      <c r="D904" s="585"/>
      <c r="E904" s="585"/>
      <c r="F904" s="585"/>
      <c r="G904" s="585"/>
      <c r="H904" s="585"/>
      <c r="I904" s="585"/>
      <c r="J904" s="585"/>
      <c r="K904" s="585"/>
      <c r="L904" s="585"/>
      <c r="M904" s="585"/>
      <c r="N904" s="585"/>
      <c r="O904" s="585"/>
      <c r="P904" s="585"/>
      <c r="Q904" s="585"/>
      <c r="R904" s="585"/>
      <c r="S904" s="585"/>
      <c r="T904" s="585"/>
      <c r="U904" s="585"/>
      <c r="V904" s="224"/>
      <c r="W904" s="224"/>
    </row>
    <row r="905">
      <c r="A905" s="585"/>
      <c r="B905" s="585"/>
      <c r="C905" s="585"/>
      <c r="D905" s="585"/>
      <c r="E905" s="585"/>
      <c r="F905" s="585"/>
      <c r="G905" s="585"/>
      <c r="H905" s="585"/>
      <c r="I905" s="585"/>
      <c r="J905" s="585"/>
      <c r="K905" s="585"/>
      <c r="L905" s="585"/>
      <c r="M905" s="585"/>
      <c r="N905" s="585"/>
      <c r="O905" s="585"/>
      <c r="P905" s="585"/>
      <c r="Q905" s="585"/>
      <c r="R905" s="585"/>
      <c r="S905" s="585"/>
      <c r="T905" s="585"/>
      <c r="U905" s="585"/>
      <c r="V905" s="224"/>
      <c r="W905" s="224"/>
    </row>
    <row r="906">
      <c r="A906" s="585"/>
      <c r="B906" s="585"/>
      <c r="C906" s="585"/>
      <c r="D906" s="585"/>
      <c r="E906" s="585"/>
      <c r="F906" s="585"/>
      <c r="G906" s="585"/>
      <c r="H906" s="585"/>
      <c r="I906" s="585"/>
      <c r="J906" s="585"/>
      <c r="K906" s="585"/>
      <c r="L906" s="585"/>
      <c r="M906" s="585"/>
      <c r="N906" s="585"/>
      <c r="O906" s="585"/>
      <c r="P906" s="585"/>
      <c r="Q906" s="585"/>
      <c r="R906" s="585"/>
      <c r="S906" s="585"/>
      <c r="T906" s="585"/>
      <c r="U906" s="585"/>
      <c r="V906" s="224"/>
      <c r="W906" s="224"/>
    </row>
    <row r="907">
      <c r="A907" s="585"/>
      <c r="B907" s="585"/>
      <c r="C907" s="585"/>
      <c r="D907" s="585"/>
      <c r="E907" s="585"/>
      <c r="F907" s="585"/>
      <c r="G907" s="585"/>
      <c r="H907" s="585"/>
      <c r="I907" s="585"/>
      <c r="J907" s="585"/>
      <c r="K907" s="585"/>
      <c r="L907" s="585"/>
      <c r="M907" s="585"/>
      <c r="N907" s="585"/>
      <c r="O907" s="585"/>
      <c r="P907" s="585"/>
      <c r="Q907" s="585"/>
      <c r="R907" s="585"/>
      <c r="S907" s="585"/>
      <c r="T907" s="585"/>
      <c r="U907" s="585"/>
      <c r="V907" s="224"/>
      <c r="W907" s="224"/>
    </row>
    <row r="908">
      <c r="A908" s="585"/>
      <c r="B908" s="585"/>
      <c r="C908" s="585"/>
      <c r="D908" s="585"/>
      <c r="E908" s="585"/>
      <c r="F908" s="585"/>
      <c r="G908" s="585"/>
      <c r="H908" s="585"/>
      <c r="I908" s="585"/>
      <c r="J908" s="585"/>
      <c r="K908" s="585"/>
      <c r="L908" s="585"/>
      <c r="M908" s="585"/>
      <c r="N908" s="585"/>
      <c r="O908" s="585"/>
      <c r="P908" s="585"/>
      <c r="Q908" s="585"/>
      <c r="R908" s="585"/>
      <c r="S908" s="585"/>
      <c r="T908" s="585"/>
      <c r="U908" s="585"/>
      <c r="V908" s="224"/>
      <c r="W908" s="224"/>
    </row>
    <row r="909">
      <c r="A909" s="585"/>
      <c r="B909" s="585"/>
      <c r="C909" s="585"/>
      <c r="D909" s="585"/>
      <c r="E909" s="585"/>
      <c r="F909" s="585"/>
      <c r="G909" s="585"/>
      <c r="H909" s="585"/>
      <c r="I909" s="585"/>
      <c r="J909" s="585"/>
      <c r="K909" s="585"/>
      <c r="L909" s="585"/>
      <c r="M909" s="585"/>
      <c r="N909" s="585"/>
      <c r="O909" s="585"/>
      <c r="P909" s="585"/>
      <c r="Q909" s="585"/>
      <c r="R909" s="585"/>
      <c r="S909" s="585"/>
      <c r="T909" s="585"/>
      <c r="U909" s="585"/>
      <c r="V909" s="224"/>
      <c r="W909" s="224"/>
    </row>
    <row r="910">
      <c r="A910" s="585"/>
      <c r="B910" s="585"/>
      <c r="C910" s="585"/>
      <c r="D910" s="585"/>
      <c r="E910" s="585"/>
      <c r="F910" s="585"/>
      <c r="G910" s="585"/>
      <c r="H910" s="585"/>
      <c r="I910" s="585"/>
      <c r="J910" s="585"/>
      <c r="K910" s="585"/>
      <c r="L910" s="585"/>
      <c r="M910" s="585"/>
      <c r="N910" s="585"/>
      <c r="O910" s="585"/>
      <c r="P910" s="585"/>
      <c r="Q910" s="585"/>
      <c r="R910" s="585"/>
      <c r="S910" s="585"/>
      <c r="T910" s="585"/>
      <c r="U910" s="585"/>
      <c r="V910" s="224"/>
      <c r="W910" s="224"/>
    </row>
    <row r="911">
      <c r="A911" s="585"/>
      <c r="B911" s="585"/>
      <c r="C911" s="585"/>
      <c r="D911" s="585"/>
      <c r="E911" s="585"/>
      <c r="F911" s="585"/>
      <c r="G911" s="585"/>
      <c r="H911" s="585"/>
      <c r="I911" s="585"/>
      <c r="J911" s="585"/>
      <c r="K911" s="585"/>
      <c r="L911" s="585"/>
      <c r="M911" s="585"/>
      <c r="N911" s="585"/>
      <c r="O911" s="585"/>
      <c r="P911" s="585"/>
      <c r="Q911" s="585"/>
      <c r="R911" s="585"/>
      <c r="S911" s="585"/>
      <c r="T911" s="585"/>
      <c r="U911" s="585"/>
      <c r="V911" s="224"/>
      <c r="W911" s="224"/>
    </row>
    <row r="912">
      <c r="A912" s="585"/>
      <c r="B912" s="585"/>
      <c r="C912" s="585"/>
      <c r="D912" s="585"/>
      <c r="E912" s="585"/>
      <c r="F912" s="585"/>
      <c r="G912" s="585"/>
      <c r="H912" s="585"/>
      <c r="I912" s="585"/>
      <c r="J912" s="585"/>
      <c r="K912" s="585"/>
      <c r="L912" s="585"/>
      <c r="M912" s="585"/>
      <c r="N912" s="585"/>
      <c r="O912" s="585"/>
      <c r="P912" s="585"/>
      <c r="Q912" s="585"/>
      <c r="R912" s="585"/>
      <c r="S912" s="585"/>
      <c r="T912" s="585"/>
      <c r="U912" s="585"/>
      <c r="V912" s="224"/>
      <c r="W912" s="224"/>
    </row>
    <row r="913">
      <c r="A913" s="585"/>
      <c r="B913" s="585"/>
      <c r="C913" s="585"/>
      <c r="D913" s="585"/>
      <c r="E913" s="585"/>
      <c r="F913" s="585"/>
      <c r="G913" s="585"/>
      <c r="H913" s="585"/>
      <c r="I913" s="585"/>
      <c r="J913" s="585"/>
      <c r="K913" s="585"/>
      <c r="L913" s="585"/>
      <c r="M913" s="585"/>
      <c r="N913" s="585"/>
      <c r="O913" s="585"/>
      <c r="P913" s="585"/>
      <c r="Q913" s="585"/>
      <c r="R913" s="585"/>
      <c r="S913" s="585"/>
      <c r="T913" s="585"/>
      <c r="U913" s="585"/>
      <c r="V913" s="224"/>
      <c r="W913" s="224"/>
    </row>
    <row r="914">
      <c r="A914" s="585"/>
      <c r="B914" s="585"/>
      <c r="C914" s="585"/>
      <c r="D914" s="585"/>
      <c r="E914" s="585"/>
      <c r="F914" s="585"/>
      <c r="G914" s="585"/>
      <c r="H914" s="585"/>
      <c r="I914" s="585"/>
      <c r="J914" s="585"/>
      <c r="K914" s="585"/>
      <c r="L914" s="585"/>
      <c r="M914" s="585"/>
      <c r="N914" s="585"/>
      <c r="O914" s="585"/>
      <c r="P914" s="585"/>
      <c r="Q914" s="585"/>
      <c r="R914" s="585"/>
      <c r="S914" s="585"/>
      <c r="T914" s="585"/>
      <c r="U914" s="585"/>
      <c r="V914" s="224"/>
      <c r="W914" s="224"/>
    </row>
    <row r="915">
      <c r="A915" s="585"/>
      <c r="B915" s="585"/>
      <c r="C915" s="585"/>
      <c r="D915" s="585"/>
      <c r="E915" s="585"/>
      <c r="F915" s="585"/>
      <c r="G915" s="585"/>
      <c r="H915" s="585"/>
      <c r="I915" s="585"/>
      <c r="J915" s="585"/>
      <c r="K915" s="585"/>
      <c r="L915" s="585"/>
      <c r="M915" s="585"/>
      <c r="N915" s="585"/>
      <c r="O915" s="585"/>
      <c r="P915" s="585"/>
      <c r="Q915" s="585"/>
      <c r="R915" s="585"/>
      <c r="S915" s="585"/>
      <c r="T915" s="585"/>
      <c r="U915" s="585"/>
      <c r="V915" s="224"/>
      <c r="W915" s="224"/>
    </row>
    <row r="916">
      <c r="A916" s="585"/>
      <c r="B916" s="585"/>
      <c r="C916" s="585"/>
      <c r="D916" s="585"/>
      <c r="E916" s="585"/>
      <c r="F916" s="585"/>
      <c r="G916" s="585"/>
      <c r="H916" s="585"/>
      <c r="I916" s="585"/>
      <c r="J916" s="585"/>
      <c r="K916" s="585"/>
      <c r="L916" s="585"/>
      <c r="M916" s="585"/>
      <c r="N916" s="585"/>
      <c r="O916" s="585"/>
      <c r="P916" s="585"/>
      <c r="Q916" s="585"/>
      <c r="R916" s="585"/>
      <c r="S916" s="585"/>
      <c r="T916" s="585"/>
      <c r="U916" s="585"/>
      <c r="V916" s="224"/>
      <c r="W916" s="224"/>
    </row>
    <row r="917">
      <c r="A917" s="585"/>
      <c r="B917" s="585"/>
      <c r="C917" s="585"/>
      <c r="D917" s="585"/>
      <c r="E917" s="585"/>
      <c r="F917" s="585"/>
      <c r="G917" s="585"/>
      <c r="H917" s="585"/>
      <c r="I917" s="585"/>
      <c r="J917" s="585"/>
      <c r="K917" s="585"/>
      <c r="L917" s="585"/>
      <c r="M917" s="585"/>
      <c r="N917" s="585"/>
      <c r="O917" s="585"/>
      <c r="P917" s="585"/>
      <c r="Q917" s="585"/>
      <c r="R917" s="585"/>
      <c r="S917" s="585"/>
      <c r="T917" s="585"/>
      <c r="U917" s="585"/>
      <c r="V917" s="224"/>
      <c r="W917" s="224"/>
    </row>
    <row r="918">
      <c r="A918" s="585"/>
      <c r="B918" s="585"/>
      <c r="C918" s="585"/>
      <c r="D918" s="585"/>
      <c r="E918" s="585"/>
      <c r="F918" s="585"/>
      <c r="G918" s="585"/>
      <c r="H918" s="585"/>
      <c r="I918" s="585"/>
      <c r="J918" s="585"/>
      <c r="K918" s="585"/>
      <c r="L918" s="585"/>
      <c r="M918" s="585"/>
      <c r="N918" s="585"/>
      <c r="O918" s="585"/>
      <c r="P918" s="585"/>
      <c r="Q918" s="585"/>
      <c r="R918" s="585"/>
      <c r="S918" s="585"/>
      <c r="T918" s="585"/>
      <c r="U918" s="585"/>
      <c r="V918" s="224"/>
      <c r="W918" s="224"/>
    </row>
    <row r="919">
      <c r="A919" s="585"/>
      <c r="B919" s="585"/>
      <c r="C919" s="585"/>
      <c r="D919" s="585"/>
      <c r="E919" s="585"/>
      <c r="F919" s="585"/>
      <c r="G919" s="585"/>
      <c r="H919" s="585"/>
      <c r="I919" s="585"/>
      <c r="J919" s="585"/>
      <c r="K919" s="585"/>
      <c r="L919" s="585"/>
      <c r="M919" s="585"/>
      <c r="N919" s="585"/>
      <c r="O919" s="585"/>
      <c r="P919" s="585"/>
      <c r="Q919" s="585"/>
      <c r="R919" s="585"/>
      <c r="S919" s="585"/>
      <c r="T919" s="585"/>
      <c r="U919" s="585"/>
      <c r="V919" s="224"/>
      <c r="W919" s="224"/>
    </row>
    <row r="920">
      <c r="A920" s="585"/>
      <c r="B920" s="585"/>
      <c r="C920" s="585"/>
      <c r="D920" s="585"/>
      <c r="E920" s="585"/>
      <c r="F920" s="585"/>
      <c r="G920" s="585"/>
      <c r="H920" s="585"/>
      <c r="I920" s="585"/>
      <c r="J920" s="585"/>
      <c r="K920" s="585"/>
      <c r="L920" s="585"/>
      <c r="M920" s="585"/>
      <c r="N920" s="585"/>
      <c r="O920" s="585"/>
      <c r="P920" s="585"/>
      <c r="Q920" s="585"/>
      <c r="R920" s="585"/>
      <c r="S920" s="585"/>
      <c r="T920" s="585"/>
      <c r="U920" s="585"/>
      <c r="V920" s="224"/>
      <c r="W920" s="224"/>
    </row>
    <row r="921">
      <c r="A921" s="585"/>
      <c r="B921" s="585"/>
      <c r="C921" s="585"/>
      <c r="D921" s="585"/>
      <c r="E921" s="585"/>
      <c r="F921" s="585"/>
      <c r="G921" s="585"/>
      <c r="H921" s="585"/>
      <c r="I921" s="585"/>
      <c r="J921" s="585"/>
      <c r="K921" s="585"/>
      <c r="L921" s="585"/>
      <c r="M921" s="585"/>
      <c r="N921" s="585"/>
      <c r="O921" s="585"/>
      <c r="P921" s="585"/>
      <c r="Q921" s="585"/>
      <c r="R921" s="585"/>
      <c r="S921" s="585"/>
      <c r="T921" s="585"/>
      <c r="U921" s="585"/>
      <c r="V921" s="224"/>
      <c r="W921" s="224"/>
    </row>
    <row r="922">
      <c r="A922" s="585"/>
      <c r="B922" s="585"/>
      <c r="C922" s="585"/>
      <c r="D922" s="585"/>
      <c r="E922" s="585"/>
      <c r="F922" s="585"/>
      <c r="G922" s="585"/>
      <c r="H922" s="585"/>
      <c r="I922" s="585"/>
      <c r="J922" s="585"/>
      <c r="K922" s="585"/>
      <c r="L922" s="585"/>
      <c r="M922" s="585"/>
      <c r="N922" s="585"/>
      <c r="O922" s="585"/>
      <c r="P922" s="585"/>
      <c r="Q922" s="585"/>
      <c r="R922" s="585"/>
      <c r="S922" s="585"/>
      <c r="T922" s="585"/>
      <c r="U922" s="585"/>
      <c r="V922" s="224"/>
      <c r="W922" s="224"/>
    </row>
    <row r="923">
      <c r="A923" s="585"/>
      <c r="B923" s="585"/>
      <c r="C923" s="585"/>
      <c r="D923" s="585"/>
      <c r="E923" s="585"/>
      <c r="F923" s="585"/>
      <c r="G923" s="585"/>
      <c r="H923" s="585"/>
      <c r="I923" s="585"/>
      <c r="J923" s="585"/>
      <c r="K923" s="585"/>
      <c r="L923" s="585"/>
      <c r="M923" s="585"/>
      <c r="N923" s="585"/>
      <c r="O923" s="585"/>
      <c r="P923" s="585"/>
      <c r="Q923" s="585"/>
      <c r="R923" s="585"/>
      <c r="S923" s="585"/>
      <c r="T923" s="585"/>
      <c r="U923" s="585"/>
      <c r="V923" s="224"/>
      <c r="W923" s="224"/>
    </row>
    <row r="924">
      <c r="A924" s="585"/>
      <c r="B924" s="585"/>
      <c r="C924" s="585"/>
      <c r="D924" s="585"/>
      <c r="E924" s="585"/>
      <c r="F924" s="585"/>
      <c r="G924" s="585"/>
      <c r="H924" s="585"/>
      <c r="I924" s="585"/>
      <c r="J924" s="585"/>
      <c r="K924" s="585"/>
      <c r="L924" s="585"/>
      <c r="M924" s="585"/>
      <c r="N924" s="585"/>
      <c r="O924" s="585"/>
      <c r="P924" s="585"/>
      <c r="Q924" s="585"/>
      <c r="R924" s="585"/>
      <c r="S924" s="585"/>
      <c r="T924" s="585"/>
      <c r="U924" s="585"/>
      <c r="V924" s="224"/>
      <c r="W924" s="224"/>
    </row>
    <row r="925">
      <c r="A925" s="585"/>
      <c r="B925" s="585"/>
      <c r="C925" s="585"/>
      <c r="D925" s="585"/>
      <c r="E925" s="585"/>
      <c r="F925" s="585"/>
      <c r="G925" s="585"/>
      <c r="H925" s="585"/>
      <c r="I925" s="585"/>
      <c r="J925" s="585"/>
      <c r="K925" s="585"/>
      <c r="L925" s="585"/>
      <c r="M925" s="585"/>
      <c r="N925" s="585"/>
      <c r="O925" s="585"/>
      <c r="P925" s="585"/>
      <c r="Q925" s="585"/>
      <c r="R925" s="585"/>
      <c r="S925" s="585"/>
      <c r="T925" s="585"/>
      <c r="U925" s="585"/>
      <c r="V925" s="224"/>
      <c r="W925" s="224"/>
    </row>
    <row r="926">
      <c r="A926" s="585"/>
      <c r="B926" s="585"/>
      <c r="C926" s="585"/>
      <c r="D926" s="585"/>
      <c r="E926" s="585"/>
      <c r="F926" s="585"/>
      <c r="G926" s="585"/>
      <c r="H926" s="585"/>
      <c r="I926" s="585"/>
      <c r="J926" s="585"/>
      <c r="K926" s="585"/>
      <c r="L926" s="585"/>
      <c r="M926" s="585"/>
      <c r="N926" s="585"/>
      <c r="O926" s="585"/>
      <c r="P926" s="585"/>
      <c r="Q926" s="585"/>
      <c r="R926" s="585"/>
      <c r="S926" s="585"/>
      <c r="T926" s="585"/>
      <c r="U926" s="585"/>
      <c r="V926" s="224"/>
      <c r="W926" s="224"/>
    </row>
    <row r="927">
      <c r="A927" s="585"/>
      <c r="B927" s="585"/>
      <c r="C927" s="585"/>
      <c r="D927" s="585"/>
      <c r="E927" s="585"/>
      <c r="F927" s="585"/>
      <c r="G927" s="585"/>
      <c r="H927" s="585"/>
      <c r="I927" s="585"/>
      <c r="J927" s="585"/>
      <c r="K927" s="585"/>
      <c r="L927" s="585"/>
      <c r="M927" s="585"/>
      <c r="N927" s="585"/>
      <c r="O927" s="585"/>
      <c r="P927" s="585"/>
      <c r="Q927" s="585"/>
      <c r="R927" s="585"/>
      <c r="S927" s="585"/>
      <c r="T927" s="585"/>
      <c r="U927" s="585"/>
      <c r="V927" s="224"/>
      <c r="W927" s="224"/>
    </row>
    <row r="928">
      <c r="A928" s="585"/>
      <c r="B928" s="585"/>
      <c r="C928" s="585"/>
      <c r="D928" s="585"/>
      <c r="E928" s="585"/>
      <c r="F928" s="585"/>
      <c r="G928" s="585"/>
      <c r="H928" s="585"/>
      <c r="I928" s="585"/>
      <c r="J928" s="585"/>
      <c r="K928" s="585"/>
      <c r="L928" s="585"/>
      <c r="M928" s="585"/>
      <c r="N928" s="585"/>
      <c r="O928" s="585"/>
      <c r="P928" s="585"/>
      <c r="Q928" s="585"/>
      <c r="R928" s="585"/>
      <c r="S928" s="585"/>
      <c r="T928" s="585"/>
      <c r="U928" s="585"/>
      <c r="V928" s="224"/>
      <c r="W928" s="224"/>
    </row>
    <row r="929">
      <c r="A929" s="585"/>
      <c r="B929" s="585"/>
      <c r="C929" s="585"/>
      <c r="D929" s="585"/>
      <c r="E929" s="585"/>
      <c r="F929" s="585"/>
      <c r="G929" s="585"/>
      <c r="H929" s="585"/>
      <c r="I929" s="585"/>
      <c r="J929" s="585"/>
      <c r="K929" s="585"/>
      <c r="L929" s="585"/>
      <c r="M929" s="585"/>
      <c r="N929" s="585"/>
      <c r="O929" s="585"/>
      <c r="P929" s="585"/>
      <c r="Q929" s="585"/>
      <c r="R929" s="585"/>
      <c r="S929" s="585"/>
      <c r="T929" s="585"/>
      <c r="U929" s="585"/>
      <c r="V929" s="224"/>
      <c r="W929" s="224"/>
    </row>
    <row r="930">
      <c r="A930" s="585"/>
      <c r="B930" s="585"/>
      <c r="C930" s="585"/>
      <c r="D930" s="585"/>
      <c r="E930" s="585"/>
      <c r="F930" s="585"/>
      <c r="G930" s="585"/>
      <c r="H930" s="585"/>
      <c r="I930" s="585"/>
      <c r="J930" s="585"/>
      <c r="K930" s="585"/>
      <c r="L930" s="585"/>
      <c r="M930" s="585"/>
      <c r="N930" s="585"/>
      <c r="O930" s="585"/>
      <c r="P930" s="585"/>
      <c r="Q930" s="585"/>
      <c r="R930" s="585"/>
      <c r="S930" s="585"/>
      <c r="T930" s="585"/>
      <c r="U930" s="585"/>
      <c r="V930" s="224"/>
      <c r="W930" s="224"/>
    </row>
    <row r="931">
      <c r="A931" s="585"/>
      <c r="B931" s="585"/>
      <c r="C931" s="585"/>
      <c r="D931" s="585"/>
      <c r="E931" s="585"/>
      <c r="F931" s="585"/>
      <c r="G931" s="585"/>
      <c r="H931" s="585"/>
      <c r="I931" s="585"/>
      <c r="J931" s="585"/>
      <c r="K931" s="585"/>
      <c r="L931" s="585"/>
      <c r="M931" s="585"/>
      <c r="N931" s="585"/>
      <c r="O931" s="585"/>
      <c r="P931" s="585"/>
      <c r="Q931" s="585"/>
      <c r="R931" s="585"/>
      <c r="S931" s="585"/>
      <c r="T931" s="585"/>
      <c r="U931" s="585"/>
      <c r="V931" s="224"/>
      <c r="W931" s="224"/>
    </row>
    <row r="932">
      <c r="A932" s="585"/>
      <c r="B932" s="585"/>
      <c r="C932" s="585"/>
      <c r="D932" s="585"/>
      <c r="E932" s="585"/>
      <c r="F932" s="585"/>
      <c r="G932" s="585"/>
      <c r="H932" s="585"/>
      <c r="I932" s="585"/>
      <c r="J932" s="585"/>
      <c r="K932" s="585"/>
      <c r="L932" s="585"/>
      <c r="M932" s="585"/>
      <c r="N932" s="585"/>
      <c r="O932" s="585"/>
      <c r="P932" s="585"/>
      <c r="Q932" s="585"/>
      <c r="R932" s="585"/>
      <c r="S932" s="585"/>
      <c r="T932" s="585"/>
      <c r="U932" s="585"/>
      <c r="V932" s="224"/>
      <c r="W932" s="224"/>
    </row>
    <row r="933">
      <c r="A933" s="585"/>
      <c r="B933" s="585"/>
      <c r="C933" s="585"/>
      <c r="D933" s="585"/>
      <c r="E933" s="585"/>
      <c r="F933" s="585"/>
      <c r="G933" s="585"/>
      <c r="H933" s="585"/>
      <c r="I933" s="585"/>
      <c r="J933" s="585"/>
      <c r="K933" s="585"/>
      <c r="L933" s="585"/>
      <c r="M933" s="585"/>
      <c r="N933" s="585"/>
      <c r="O933" s="585"/>
      <c r="P933" s="585"/>
      <c r="Q933" s="585"/>
      <c r="R933" s="585"/>
      <c r="S933" s="585"/>
      <c r="T933" s="585"/>
      <c r="U933" s="585"/>
      <c r="V933" s="224"/>
      <c r="W933" s="224"/>
    </row>
    <row r="934">
      <c r="A934" s="585"/>
      <c r="B934" s="585"/>
      <c r="C934" s="585"/>
      <c r="D934" s="585"/>
      <c r="E934" s="585"/>
      <c r="F934" s="585"/>
      <c r="G934" s="585"/>
      <c r="H934" s="585"/>
      <c r="I934" s="585"/>
      <c r="J934" s="585"/>
      <c r="K934" s="585"/>
      <c r="L934" s="585"/>
      <c r="M934" s="585"/>
      <c r="N934" s="585"/>
      <c r="O934" s="585"/>
      <c r="P934" s="585"/>
      <c r="Q934" s="585"/>
      <c r="R934" s="585"/>
      <c r="S934" s="585"/>
      <c r="T934" s="585"/>
      <c r="U934" s="585"/>
      <c r="V934" s="224"/>
      <c r="W934" s="224"/>
    </row>
    <row r="935">
      <c r="A935" s="585"/>
      <c r="B935" s="585"/>
      <c r="C935" s="585"/>
      <c r="D935" s="585"/>
      <c r="E935" s="585"/>
      <c r="F935" s="585"/>
      <c r="G935" s="585"/>
      <c r="H935" s="585"/>
      <c r="I935" s="585"/>
      <c r="J935" s="585"/>
      <c r="K935" s="585"/>
      <c r="L935" s="585"/>
      <c r="M935" s="585"/>
      <c r="N935" s="585"/>
      <c r="O935" s="585"/>
      <c r="P935" s="585"/>
      <c r="Q935" s="585"/>
      <c r="R935" s="585"/>
      <c r="S935" s="585"/>
      <c r="T935" s="585"/>
      <c r="U935" s="585"/>
      <c r="V935" s="224"/>
      <c r="W935" s="224"/>
    </row>
    <row r="936">
      <c r="A936" s="585"/>
      <c r="B936" s="585"/>
      <c r="C936" s="585"/>
      <c r="D936" s="585"/>
      <c r="E936" s="585"/>
      <c r="F936" s="585"/>
      <c r="G936" s="585"/>
      <c r="H936" s="585"/>
      <c r="I936" s="585"/>
      <c r="J936" s="585"/>
      <c r="K936" s="585"/>
      <c r="L936" s="585"/>
      <c r="M936" s="585"/>
      <c r="N936" s="585"/>
      <c r="O936" s="585"/>
      <c r="P936" s="585"/>
      <c r="Q936" s="585"/>
      <c r="R936" s="585"/>
      <c r="S936" s="585"/>
      <c r="T936" s="585"/>
      <c r="U936" s="585"/>
      <c r="V936" s="224"/>
      <c r="W936" s="224"/>
    </row>
    <row r="937">
      <c r="A937" s="585"/>
      <c r="B937" s="585"/>
      <c r="C937" s="585"/>
      <c r="D937" s="585"/>
      <c r="E937" s="585"/>
      <c r="F937" s="585"/>
      <c r="G937" s="585"/>
      <c r="H937" s="585"/>
      <c r="I937" s="585"/>
      <c r="J937" s="585"/>
      <c r="K937" s="585"/>
      <c r="L937" s="585"/>
      <c r="M937" s="585"/>
      <c r="N937" s="585"/>
      <c r="O937" s="585"/>
      <c r="P937" s="585"/>
      <c r="Q937" s="585"/>
      <c r="R937" s="585"/>
      <c r="S937" s="585"/>
      <c r="T937" s="585"/>
      <c r="U937" s="585"/>
      <c r="V937" s="224"/>
      <c r="W937" s="224"/>
    </row>
    <row r="938">
      <c r="A938" s="585"/>
      <c r="B938" s="585"/>
      <c r="C938" s="585"/>
      <c r="D938" s="585"/>
      <c r="E938" s="585"/>
      <c r="F938" s="585"/>
      <c r="G938" s="585"/>
      <c r="H938" s="585"/>
      <c r="I938" s="585"/>
      <c r="J938" s="585"/>
      <c r="K938" s="585"/>
      <c r="L938" s="585"/>
      <c r="M938" s="585"/>
      <c r="N938" s="585"/>
      <c r="O938" s="585"/>
      <c r="P938" s="585"/>
      <c r="Q938" s="585"/>
      <c r="R938" s="585"/>
      <c r="S938" s="585"/>
      <c r="T938" s="585"/>
      <c r="U938" s="585"/>
      <c r="V938" s="224"/>
      <c r="W938" s="224"/>
    </row>
    <row r="939">
      <c r="A939" s="585"/>
      <c r="B939" s="585"/>
      <c r="C939" s="585"/>
      <c r="D939" s="585"/>
      <c r="E939" s="585"/>
      <c r="F939" s="585"/>
      <c r="G939" s="585"/>
      <c r="H939" s="585"/>
      <c r="I939" s="585"/>
      <c r="J939" s="585"/>
      <c r="K939" s="585"/>
      <c r="L939" s="585"/>
      <c r="M939" s="585"/>
      <c r="N939" s="585"/>
      <c r="O939" s="585"/>
      <c r="P939" s="585"/>
      <c r="Q939" s="585"/>
      <c r="R939" s="585"/>
      <c r="S939" s="585"/>
      <c r="T939" s="585"/>
      <c r="U939" s="585"/>
      <c r="V939" s="224"/>
      <c r="W939" s="224"/>
    </row>
    <row r="940">
      <c r="A940" s="585"/>
      <c r="B940" s="585"/>
      <c r="C940" s="585"/>
      <c r="D940" s="585"/>
      <c r="E940" s="585"/>
      <c r="F940" s="585"/>
      <c r="G940" s="585"/>
      <c r="H940" s="585"/>
      <c r="I940" s="585"/>
      <c r="J940" s="585"/>
      <c r="K940" s="585"/>
      <c r="L940" s="585"/>
      <c r="M940" s="585"/>
      <c r="N940" s="585"/>
      <c r="O940" s="585"/>
      <c r="P940" s="585"/>
      <c r="Q940" s="585"/>
      <c r="R940" s="585"/>
      <c r="S940" s="585"/>
      <c r="T940" s="585"/>
      <c r="U940" s="585"/>
      <c r="V940" s="224"/>
      <c r="W940" s="224"/>
    </row>
    <row r="941">
      <c r="A941" s="585"/>
      <c r="B941" s="585"/>
      <c r="C941" s="585"/>
      <c r="D941" s="585"/>
      <c r="E941" s="585"/>
      <c r="F941" s="585"/>
      <c r="G941" s="585"/>
      <c r="H941" s="585"/>
      <c r="I941" s="585"/>
      <c r="J941" s="585"/>
      <c r="K941" s="585"/>
      <c r="L941" s="585"/>
      <c r="M941" s="585"/>
      <c r="N941" s="585"/>
      <c r="O941" s="585"/>
      <c r="P941" s="585"/>
      <c r="Q941" s="585"/>
      <c r="R941" s="585"/>
      <c r="S941" s="585"/>
      <c r="T941" s="585"/>
      <c r="U941" s="585"/>
      <c r="V941" s="224"/>
      <c r="W941" s="224"/>
    </row>
    <row r="942">
      <c r="A942" s="585"/>
      <c r="B942" s="585"/>
      <c r="C942" s="585"/>
      <c r="D942" s="585"/>
      <c r="E942" s="585"/>
      <c r="F942" s="585"/>
      <c r="G942" s="585"/>
      <c r="H942" s="585"/>
      <c r="I942" s="585"/>
      <c r="J942" s="585"/>
      <c r="K942" s="585"/>
      <c r="L942" s="585"/>
      <c r="M942" s="585"/>
      <c r="N942" s="585"/>
      <c r="O942" s="585"/>
      <c r="P942" s="585"/>
      <c r="Q942" s="585"/>
      <c r="R942" s="585"/>
      <c r="S942" s="585"/>
      <c r="T942" s="585"/>
      <c r="U942" s="585"/>
      <c r="V942" s="224"/>
      <c r="W942" s="224"/>
    </row>
    <row r="943">
      <c r="A943" s="585"/>
      <c r="B943" s="585"/>
      <c r="C943" s="585"/>
      <c r="D943" s="585"/>
      <c r="E943" s="585"/>
      <c r="F943" s="585"/>
      <c r="G943" s="585"/>
      <c r="H943" s="585"/>
      <c r="I943" s="585"/>
      <c r="J943" s="585"/>
      <c r="K943" s="585"/>
      <c r="L943" s="585"/>
      <c r="M943" s="585"/>
      <c r="N943" s="585"/>
      <c r="O943" s="585"/>
      <c r="P943" s="585"/>
      <c r="Q943" s="585"/>
      <c r="R943" s="585"/>
      <c r="S943" s="585"/>
      <c r="T943" s="585"/>
      <c r="U943" s="585"/>
      <c r="V943" s="224"/>
      <c r="W943" s="224"/>
    </row>
    <row r="944">
      <c r="A944" s="585"/>
      <c r="B944" s="585"/>
      <c r="C944" s="585"/>
      <c r="D944" s="585"/>
      <c r="E944" s="585"/>
      <c r="F944" s="585"/>
      <c r="G944" s="585"/>
      <c r="H944" s="585"/>
      <c r="I944" s="585"/>
      <c r="J944" s="585"/>
      <c r="K944" s="585"/>
      <c r="L944" s="585"/>
      <c r="M944" s="585"/>
      <c r="N944" s="585"/>
      <c r="O944" s="585"/>
      <c r="P944" s="585"/>
      <c r="Q944" s="585"/>
      <c r="R944" s="585"/>
      <c r="S944" s="585"/>
      <c r="T944" s="585"/>
      <c r="U944" s="585"/>
      <c r="V944" s="224"/>
      <c r="W944" s="224"/>
    </row>
    <row r="945">
      <c r="A945" s="585"/>
      <c r="B945" s="585"/>
      <c r="C945" s="585"/>
      <c r="D945" s="585"/>
      <c r="E945" s="585"/>
      <c r="F945" s="585"/>
      <c r="G945" s="585"/>
      <c r="H945" s="585"/>
      <c r="I945" s="585"/>
      <c r="J945" s="585"/>
      <c r="K945" s="585"/>
      <c r="L945" s="585"/>
      <c r="M945" s="585"/>
      <c r="N945" s="585"/>
      <c r="O945" s="585"/>
      <c r="P945" s="585"/>
      <c r="Q945" s="585"/>
      <c r="R945" s="585"/>
      <c r="S945" s="585"/>
      <c r="T945" s="585"/>
      <c r="U945" s="585"/>
      <c r="V945" s="224"/>
      <c r="W945" s="224"/>
    </row>
    <row r="946">
      <c r="A946" s="585"/>
      <c r="B946" s="585"/>
      <c r="C946" s="585"/>
      <c r="D946" s="585"/>
      <c r="E946" s="585"/>
      <c r="F946" s="585"/>
      <c r="G946" s="585"/>
      <c r="H946" s="585"/>
      <c r="I946" s="585"/>
      <c r="J946" s="585"/>
      <c r="K946" s="585"/>
      <c r="L946" s="585"/>
      <c r="M946" s="585"/>
      <c r="N946" s="585"/>
      <c r="O946" s="585"/>
      <c r="P946" s="585"/>
      <c r="Q946" s="585"/>
      <c r="R946" s="585"/>
      <c r="S946" s="585"/>
      <c r="T946" s="585"/>
      <c r="U946" s="585"/>
      <c r="V946" s="224"/>
      <c r="W946" s="224"/>
    </row>
    <row r="947">
      <c r="A947" s="585"/>
      <c r="B947" s="585"/>
      <c r="C947" s="585"/>
      <c r="D947" s="585"/>
      <c r="E947" s="585"/>
      <c r="F947" s="585"/>
      <c r="G947" s="585"/>
      <c r="H947" s="585"/>
      <c r="I947" s="585"/>
      <c r="J947" s="585"/>
      <c r="K947" s="585"/>
      <c r="L947" s="585"/>
      <c r="M947" s="585"/>
      <c r="N947" s="585"/>
      <c r="O947" s="585"/>
      <c r="P947" s="585"/>
      <c r="Q947" s="585"/>
      <c r="R947" s="585"/>
      <c r="S947" s="585"/>
      <c r="T947" s="585"/>
      <c r="U947" s="585"/>
      <c r="V947" s="224"/>
      <c r="W947" s="224"/>
    </row>
    <row r="948">
      <c r="A948" s="585"/>
      <c r="B948" s="585"/>
      <c r="C948" s="585"/>
      <c r="D948" s="585"/>
      <c r="E948" s="585"/>
      <c r="F948" s="585"/>
      <c r="G948" s="585"/>
      <c r="H948" s="585"/>
      <c r="I948" s="585"/>
      <c r="J948" s="585"/>
      <c r="K948" s="585"/>
      <c r="L948" s="585"/>
      <c r="M948" s="585"/>
      <c r="N948" s="585"/>
      <c r="O948" s="585"/>
      <c r="P948" s="585"/>
      <c r="Q948" s="585"/>
      <c r="R948" s="585"/>
      <c r="S948" s="585"/>
      <c r="T948" s="585"/>
      <c r="U948" s="585"/>
      <c r="V948" s="224"/>
      <c r="W948" s="224"/>
    </row>
    <row r="949">
      <c r="A949" s="585"/>
      <c r="B949" s="585"/>
      <c r="C949" s="585"/>
      <c r="D949" s="585"/>
      <c r="E949" s="585"/>
      <c r="F949" s="585"/>
      <c r="G949" s="585"/>
      <c r="H949" s="585"/>
      <c r="I949" s="585"/>
      <c r="J949" s="585"/>
      <c r="K949" s="585"/>
      <c r="L949" s="585"/>
      <c r="M949" s="585"/>
      <c r="N949" s="585"/>
      <c r="O949" s="585"/>
      <c r="P949" s="585"/>
      <c r="Q949" s="585"/>
      <c r="R949" s="585"/>
      <c r="S949" s="585"/>
      <c r="T949" s="585"/>
      <c r="U949" s="585"/>
      <c r="V949" s="224"/>
      <c r="W949" s="224"/>
    </row>
    <row r="950">
      <c r="A950" s="585"/>
      <c r="B950" s="585"/>
      <c r="C950" s="585"/>
      <c r="D950" s="585"/>
      <c r="E950" s="585"/>
      <c r="F950" s="585"/>
      <c r="G950" s="585"/>
      <c r="H950" s="585"/>
      <c r="I950" s="585"/>
      <c r="J950" s="585"/>
      <c r="K950" s="585"/>
      <c r="L950" s="585"/>
      <c r="M950" s="585"/>
      <c r="N950" s="585"/>
      <c r="O950" s="585"/>
      <c r="P950" s="585"/>
      <c r="Q950" s="585"/>
      <c r="R950" s="585"/>
      <c r="S950" s="585"/>
      <c r="T950" s="585"/>
      <c r="U950" s="585"/>
      <c r="V950" s="224"/>
      <c r="W950" s="224"/>
    </row>
    <row r="951">
      <c r="A951" s="585"/>
      <c r="B951" s="585"/>
      <c r="C951" s="585"/>
      <c r="D951" s="585"/>
      <c r="E951" s="585"/>
      <c r="F951" s="585"/>
      <c r="G951" s="585"/>
      <c r="H951" s="585"/>
      <c r="I951" s="585"/>
      <c r="J951" s="585"/>
      <c r="K951" s="585"/>
      <c r="L951" s="585"/>
      <c r="M951" s="585"/>
      <c r="N951" s="585"/>
      <c r="O951" s="585"/>
      <c r="P951" s="585"/>
      <c r="Q951" s="585"/>
      <c r="R951" s="585"/>
      <c r="S951" s="585"/>
      <c r="T951" s="585"/>
      <c r="U951" s="585"/>
      <c r="V951" s="224"/>
      <c r="W951" s="224"/>
    </row>
    <row r="952">
      <c r="A952" s="585"/>
      <c r="B952" s="585"/>
      <c r="C952" s="585"/>
      <c r="D952" s="585"/>
      <c r="E952" s="585"/>
      <c r="F952" s="585"/>
      <c r="G952" s="585"/>
      <c r="H952" s="585"/>
      <c r="I952" s="585"/>
      <c r="J952" s="585"/>
      <c r="K952" s="585"/>
      <c r="L952" s="585"/>
      <c r="M952" s="585"/>
      <c r="N952" s="585"/>
      <c r="O952" s="585"/>
      <c r="P952" s="585"/>
      <c r="Q952" s="585"/>
      <c r="R952" s="585"/>
      <c r="S952" s="585"/>
      <c r="T952" s="585"/>
      <c r="U952" s="585"/>
      <c r="V952" s="224"/>
      <c r="W952" s="224"/>
    </row>
    <row r="953">
      <c r="A953" s="585"/>
      <c r="B953" s="585"/>
      <c r="C953" s="585"/>
      <c r="D953" s="585"/>
      <c r="E953" s="585"/>
      <c r="F953" s="585"/>
      <c r="G953" s="585"/>
      <c r="H953" s="585"/>
      <c r="I953" s="585"/>
      <c r="J953" s="585"/>
      <c r="K953" s="585"/>
      <c r="L953" s="585"/>
      <c r="M953" s="585"/>
      <c r="N953" s="585"/>
      <c r="O953" s="585"/>
      <c r="P953" s="585"/>
      <c r="Q953" s="585"/>
      <c r="R953" s="585"/>
      <c r="S953" s="585"/>
      <c r="T953" s="585"/>
      <c r="U953" s="585"/>
      <c r="V953" s="224"/>
      <c r="W953" s="224"/>
    </row>
    <row r="954">
      <c r="A954" s="585"/>
      <c r="B954" s="585"/>
      <c r="C954" s="585"/>
      <c r="D954" s="585"/>
      <c r="E954" s="585"/>
      <c r="F954" s="585"/>
      <c r="G954" s="585"/>
      <c r="H954" s="585"/>
      <c r="I954" s="585"/>
      <c r="J954" s="585"/>
      <c r="K954" s="585"/>
      <c r="L954" s="585"/>
      <c r="M954" s="585"/>
      <c r="N954" s="585"/>
      <c r="O954" s="585"/>
      <c r="P954" s="585"/>
      <c r="Q954" s="585"/>
      <c r="R954" s="585"/>
      <c r="S954" s="585"/>
      <c r="T954" s="585"/>
      <c r="U954" s="585"/>
      <c r="V954" s="224"/>
      <c r="W954" s="224"/>
    </row>
    <row r="955">
      <c r="A955" s="585"/>
      <c r="B955" s="585"/>
      <c r="C955" s="585"/>
      <c r="D955" s="585"/>
      <c r="E955" s="585"/>
      <c r="F955" s="585"/>
      <c r="G955" s="585"/>
      <c r="H955" s="585"/>
      <c r="I955" s="585"/>
      <c r="J955" s="585"/>
      <c r="K955" s="585"/>
      <c r="L955" s="585"/>
      <c r="M955" s="585"/>
      <c r="N955" s="585"/>
      <c r="O955" s="585"/>
      <c r="P955" s="585"/>
      <c r="Q955" s="585"/>
      <c r="R955" s="585"/>
      <c r="S955" s="585"/>
      <c r="T955" s="585"/>
      <c r="U955" s="585"/>
      <c r="V955" s="224"/>
      <c r="W955" s="224"/>
    </row>
    <row r="956">
      <c r="A956" s="585"/>
      <c r="B956" s="585"/>
      <c r="C956" s="585"/>
      <c r="D956" s="585"/>
      <c r="E956" s="585"/>
      <c r="F956" s="585"/>
      <c r="G956" s="585"/>
      <c r="H956" s="585"/>
      <c r="I956" s="585"/>
      <c r="J956" s="585"/>
      <c r="K956" s="585"/>
      <c r="L956" s="585"/>
      <c r="M956" s="585"/>
      <c r="N956" s="585"/>
      <c r="O956" s="585"/>
      <c r="P956" s="585"/>
      <c r="Q956" s="585"/>
      <c r="R956" s="585"/>
      <c r="S956" s="585"/>
      <c r="T956" s="585"/>
      <c r="U956" s="585"/>
      <c r="V956" s="224"/>
      <c r="W956" s="224"/>
    </row>
    <row r="957">
      <c r="A957" s="585"/>
      <c r="B957" s="585"/>
      <c r="C957" s="585"/>
      <c r="D957" s="585"/>
      <c r="E957" s="585"/>
      <c r="F957" s="585"/>
      <c r="G957" s="585"/>
      <c r="H957" s="585"/>
      <c r="I957" s="585"/>
      <c r="J957" s="585"/>
      <c r="K957" s="585"/>
      <c r="L957" s="585"/>
      <c r="M957" s="585"/>
      <c r="N957" s="585"/>
      <c r="O957" s="585"/>
      <c r="P957" s="585"/>
      <c r="Q957" s="585"/>
      <c r="R957" s="585"/>
      <c r="S957" s="585"/>
      <c r="T957" s="585"/>
      <c r="U957" s="585"/>
      <c r="V957" s="224"/>
      <c r="W957" s="224"/>
    </row>
    <row r="958">
      <c r="A958" s="585"/>
      <c r="B958" s="585"/>
      <c r="C958" s="585"/>
      <c r="D958" s="585"/>
      <c r="E958" s="585"/>
      <c r="F958" s="585"/>
      <c r="G958" s="585"/>
      <c r="H958" s="585"/>
      <c r="I958" s="585"/>
      <c r="J958" s="585"/>
      <c r="K958" s="585"/>
      <c r="L958" s="585"/>
      <c r="M958" s="585"/>
      <c r="N958" s="585"/>
      <c r="O958" s="585"/>
      <c r="P958" s="585"/>
      <c r="Q958" s="585"/>
      <c r="R958" s="585"/>
      <c r="S958" s="585"/>
      <c r="T958" s="585"/>
      <c r="U958" s="585"/>
      <c r="V958" s="224"/>
      <c r="W958" s="224"/>
    </row>
    <row r="959">
      <c r="A959" s="585"/>
      <c r="B959" s="585"/>
      <c r="C959" s="585"/>
      <c r="D959" s="585"/>
      <c r="E959" s="585"/>
      <c r="F959" s="585"/>
      <c r="G959" s="585"/>
      <c r="H959" s="585"/>
      <c r="I959" s="585"/>
      <c r="J959" s="585"/>
      <c r="K959" s="585"/>
      <c r="L959" s="585"/>
      <c r="M959" s="585"/>
      <c r="N959" s="585"/>
      <c r="O959" s="585"/>
      <c r="P959" s="585"/>
      <c r="Q959" s="585"/>
      <c r="R959" s="585"/>
      <c r="S959" s="585"/>
      <c r="T959" s="585"/>
      <c r="U959" s="585"/>
      <c r="V959" s="224"/>
      <c r="W959" s="224"/>
    </row>
    <row r="960">
      <c r="A960" s="585"/>
      <c r="B960" s="585"/>
      <c r="C960" s="585"/>
      <c r="D960" s="585"/>
      <c r="E960" s="585"/>
      <c r="F960" s="585"/>
      <c r="G960" s="585"/>
      <c r="H960" s="585"/>
      <c r="I960" s="585"/>
      <c r="J960" s="585"/>
      <c r="K960" s="585"/>
      <c r="L960" s="585"/>
      <c r="M960" s="585"/>
      <c r="N960" s="585"/>
      <c r="O960" s="585"/>
      <c r="P960" s="585"/>
      <c r="Q960" s="585"/>
      <c r="R960" s="585"/>
      <c r="S960" s="585"/>
      <c r="T960" s="585"/>
      <c r="U960" s="585"/>
      <c r="V960" s="224"/>
      <c r="W960" s="224"/>
    </row>
    <row r="961">
      <c r="A961" s="585"/>
      <c r="B961" s="585"/>
      <c r="C961" s="585"/>
      <c r="D961" s="585"/>
      <c r="E961" s="585"/>
      <c r="F961" s="585"/>
      <c r="G961" s="585"/>
      <c r="H961" s="585"/>
      <c r="I961" s="585"/>
      <c r="J961" s="585"/>
      <c r="K961" s="585"/>
      <c r="L961" s="585"/>
      <c r="M961" s="585"/>
      <c r="N961" s="585"/>
      <c r="O961" s="585"/>
      <c r="P961" s="585"/>
      <c r="Q961" s="585"/>
      <c r="R961" s="585"/>
      <c r="S961" s="585"/>
      <c r="T961" s="585"/>
      <c r="U961" s="585"/>
      <c r="V961" s="224"/>
      <c r="W961" s="224"/>
    </row>
    <row r="962">
      <c r="A962" s="585"/>
      <c r="B962" s="585"/>
      <c r="C962" s="585"/>
      <c r="D962" s="585"/>
      <c r="E962" s="585"/>
      <c r="F962" s="585"/>
      <c r="G962" s="585"/>
      <c r="H962" s="585"/>
      <c r="I962" s="585"/>
      <c r="J962" s="585"/>
      <c r="K962" s="585"/>
      <c r="L962" s="585"/>
      <c r="M962" s="585"/>
      <c r="N962" s="585"/>
      <c r="O962" s="585"/>
      <c r="P962" s="585"/>
      <c r="Q962" s="585"/>
      <c r="R962" s="585"/>
      <c r="S962" s="585"/>
      <c r="T962" s="585"/>
      <c r="U962" s="585"/>
      <c r="V962" s="224"/>
      <c r="W962" s="224"/>
    </row>
    <row r="963">
      <c r="A963" s="585"/>
      <c r="B963" s="585"/>
      <c r="C963" s="585"/>
      <c r="D963" s="585"/>
      <c r="E963" s="585"/>
      <c r="F963" s="585"/>
      <c r="G963" s="585"/>
      <c r="H963" s="585"/>
      <c r="I963" s="585"/>
      <c r="J963" s="585"/>
      <c r="K963" s="585"/>
      <c r="L963" s="585"/>
      <c r="M963" s="585"/>
      <c r="N963" s="585"/>
      <c r="O963" s="585"/>
      <c r="P963" s="585"/>
      <c r="Q963" s="585"/>
      <c r="R963" s="585"/>
      <c r="S963" s="585"/>
      <c r="T963" s="585"/>
      <c r="U963" s="585"/>
      <c r="V963" s="224"/>
      <c r="W963" s="224"/>
    </row>
    <row r="964">
      <c r="A964" s="585"/>
      <c r="B964" s="585"/>
      <c r="C964" s="585"/>
      <c r="D964" s="585"/>
      <c r="E964" s="585"/>
      <c r="F964" s="585"/>
      <c r="G964" s="585"/>
      <c r="H964" s="585"/>
      <c r="I964" s="585"/>
      <c r="J964" s="585"/>
      <c r="K964" s="585"/>
      <c r="L964" s="585"/>
      <c r="M964" s="585"/>
      <c r="N964" s="585"/>
      <c r="O964" s="585"/>
      <c r="P964" s="585"/>
      <c r="Q964" s="585"/>
      <c r="R964" s="585"/>
      <c r="S964" s="585"/>
      <c r="T964" s="585"/>
      <c r="U964" s="585"/>
      <c r="V964" s="224"/>
      <c r="W964" s="224"/>
    </row>
    <row r="965">
      <c r="A965" s="585"/>
      <c r="B965" s="585"/>
      <c r="C965" s="585"/>
      <c r="D965" s="585"/>
      <c r="E965" s="585"/>
      <c r="F965" s="585"/>
      <c r="G965" s="585"/>
      <c r="H965" s="585"/>
      <c r="I965" s="585"/>
      <c r="J965" s="585"/>
      <c r="K965" s="585"/>
      <c r="L965" s="585"/>
      <c r="M965" s="585"/>
      <c r="N965" s="585"/>
      <c r="O965" s="585"/>
      <c r="P965" s="585"/>
      <c r="Q965" s="585"/>
      <c r="R965" s="585"/>
      <c r="S965" s="585"/>
      <c r="T965" s="585"/>
      <c r="U965" s="585"/>
      <c r="V965" s="224"/>
      <c r="W965" s="224"/>
    </row>
    <row r="966">
      <c r="A966" s="585"/>
      <c r="B966" s="585"/>
      <c r="C966" s="585"/>
      <c r="D966" s="585"/>
      <c r="E966" s="585"/>
      <c r="F966" s="585"/>
      <c r="G966" s="585"/>
      <c r="H966" s="585"/>
      <c r="I966" s="585"/>
      <c r="J966" s="585"/>
      <c r="K966" s="585"/>
      <c r="L966" s="585"/>
      <c r="M966" s="585"/>
      <c r="N966" s="585"/>
      <c r="O966" s="585"/>
      <c r="P966" s="585"/>
      <c r="Q966" s="585"/>
      <c r="R966" s="585"/>
      <c r="S966" s="585"/>
      <c r="T966" s="585"/>
      <c r="U966" s="585"/>
      <c r="V966" s="224"/>
      <c r="W966" s="224"/>
    </row>
    <row r="967">
      <c r="A967" s="585"/>
      <c r="B967" s="585"/>
      <c r="C967" s="585"/>
      <c r="D967" s="585"/>
      <c r="E967" s="585"/>
      <c r="F967" s="585"/>
      <c r="G967" s="585"/>
      <c r="H967" s="585"/>
      <c r="I967" s="585"/>
      <c r="J967" s="585"/>
      <c r="K967" s="585"/>
      <c r="L967" s="585"/>
      <c r="M967" s="585"/>
      <c r="N967" s="585"/>
      <c r="O967" s="585"/>
      <c r="P967" s="585"/>
      <c r="Q967" s="585"/>
      <c r="R967" s="585"/>
      <c r="S967" s="585"/>
      <c r="T967" s="585"/>
      <c r="U967" s="585"/>
      <c r="V967" s="224"/>
      <c r="W967" s="224"/>
    </row>
    <row r="968">
      <c r="A968" s="585"/>
      <c r="B968" s="585"/>
      <c r="C968" s="585"/>
      <c r="D968" s="585"/>
      <c r="E968" s="585"/>
      <c r="F968" s="585"/>
      <c r="G968" s="585"/>
      <c r="H968" s="585"/>
      <c r="I968" s="585"/>
      <c r="J968" s="585"/>
      <c r="K968" s="585"/>
      <c r="L968" s="585"/>
      <c r="M968" s="585"/>
      <c r="N968" s="585"/>
      <c r="O968" s="585"/>
      <c r="P968" s="585"/>
      <c r="Q968" s="585"/>
      <c r="R968" s="585"/>
      <c r="S968" s="585"/>
      <c r="T968" s="585"/>
      <c r="U968" s="585"/>
      <c r="V968" s="224"/>
      <c r="W968" s="224"/>
    </row>
    <row r="969">
      <c r="A969" s="585"/>
      <c r="B969" s="585"/>
      <c r="C969" s="585"/>
      <c r="D969" s="585"/>
      <c r="E969" s="585"/>
      <c r="F969" s="585"/>
      <c r="G969" s="585"/>
      <c r="H969" s="585"/>
      <c r="I969" s="585"/>
      <c r="J969" s="585"/>
      <c r="K969" s="585"/>
      <c r="L969" s="585"/>
      <c r="M969" s="585"/>
      <c r="N969" s="585"/>
      <c r="O969" s="585"/>
      <c r="P969" s="585"/>
      <c r="Q969" s="585"/>
      <c r="R969" s="585"/>
      <c r="S969" s="585"/>
      <c r="T969" s="585"/>
      <c r="U969" s="585"/>
      <c r="V969" s="224"/>
      <c r="W969" s="224"/>
    </row>
    <row r="970">
      <c r="A970" s="585"/>
      <c r="B970" s="585"/>
      <c r="C970" s="585"/>
      <c r="D970" s="585"/>
      <c r="E970" s="585"/>
      <c r="F970" s="585"/>
      <c r="G970" s="585"/>
      <c r="H970" s="585"/>
      <c r="I970" s="585"/>
      <c r="J970" s="585"/>
      <c r="K970" s="585"/>
      <c r="L970" s="585"/>
      <c r="M970" s="585"/>
      <c r="N970" s="585"/>
      <c r="O970" s="585"/>
      <c r="P970" s="585"/>
      <c r="Q970" s="585"/>
      <c r="R970" s="585"/>
      <c r="S970" s="585"/>
      <c r="T970" s="585"/>
      <c r="U970" s="585"/>
      <c r="V970" s="224"/>
      <c r="W970" s="224"/>
    </row>
    <row r="971">
      <c r="A971" s="585"/>
      <c r="B971" s="585"/>
      <c r="C971" s="585"/>
      <c r="D971" s="585"/>
      <c r="E971" s="585"/>
      <c r="F971" s="585"/>
      <c r="G971" s="585"/>
      <c r="H971" s="585"/>
      <c r="I971" s="585"/>
      <c r="J971" s="585"/>
      <c r="K971" s="585"/>
      <c r="L971" s="585"/>
      <c r="M971" s="585"/>
      <c r="N971" s="585"/>
      <c r="O971" s="585"/>
      <c r="P971" s="585"/>
      <c r="Q971" s="585"/>
      <c r="R971" s="585"/>
      <c r="S971" s="585"/>
      <c r="T971" s="585"/>
      <c r="U971" s="585"/>
      <c r="V971" s="224"/>
      <c r="W971" s="224"/>
    </row>
    <row r="972">
      <c r="A972" s="585"/>
      <c r="B972" s="585"/>
      <c r="C972" s="585"/>
      <c r="D972" s="585"/>
      <c r="E972" s="585"/>
      <c r="F972" s="585"/>
      <c r="G972" s="585"/>
      <c r="H972" s="585"/>
      <c r="I972" s="585"/>
      <c r="J972" s="585"/>
      <c r="K972" s="585"/>
      <c r="L972" s="585"/>
      <c r="M972" s="585"/>
      <c r="N972" s="585"/>
      <c r="O972" s="585"/>
      <c r="P972" s="585"/>
      <c r="Q972" s="585"/>
      <c r="R972" s="585"/>
      <c r="S972" s="585"/>
      <c r="T972" s="585"/>
      <c r="U972" s="585"/>
      <c r="V972" s="224"/>
      <c r="W972" s="224"/>
    </row>
    <row r="973">
      <c r="A973" s="585"/>
      <c r="B973" s="585"/>
      <c r="C973" s="585"/>
      <c r="D973" s="585"/>
      <c r="E973" s="585"/>
      <c r="F973" s="585"/>
      <c r="G973" s="585"/>
      <c r="H973" s="585"/>
      <c r="I973" s="585"/>
      <c r="J973" s="585"/>
      <c r="K973" s="585"/>
      <c r="L973" s="585"/>
      <c r="M973" s="585"/>
      <c r="N973" s="585"/>
      <c r="O973" s="585"/>
      <c r="P973" s="585"/>
      <c r="Q973" s="585"/>
      <c r="R973" s="585"/>
      <c r="S973" s="585"/>
      <c r="T973" s="585"/>
      <c r="U973" s="585"/>
      <c r="V973" s="224"/>
      <c r="W973" s="224"/>
    </row>
    <row r="974">
      <c r="A974" s="585"/>
      <c r="B974" s="585"/>
      <c r="C974" s="585"/>
      <c r="D974" s="585"/>
      <c r="E974" s="585"/>
      <c r="F974" s="585"/>
      <c r="G974" s="585"/>
      <c r="H974" s="585"/>
      <c r="I974" s="585"/>
      <c r="J974" s="585"/>
      <c r="K974" s="585"/>
      <c r="L974" s="585"/>
      <c r="M974" s="585"/>
      <c r="N974" s="585"/>
      <c r="O974" s="585"/>
      <c r="P974" s="585"/>
      <c r="Q974" s="585"/>
      <c r="R974" s="585"/>
      <c r="S974" s="585"/>
      <c r="T974" s="585"/>
      <c r="U974" s="585"/>
      <c r="V974" s="224"/>
      <c r="W974" s="224"/>
    </row>
    <row r="975">
      <c r="A975" s="585"/>
      <c r="B975" s="585"/>
      <c r="C975" s="585"/>
      <c r="D975" s="585"/>
      <c r="E975" s="585"/>
      <c r="F975" s="585"/>
      <c r="G975" s="585"/>
      <c r="H975" s="585"/>
      <c r="I975" s="585"/>
      <c r="J975" s="585"/>
      <c r="K975" s="585"/>
      <c r="L975" s="585"/>
      <c r="M975" s="585"/>
      <c r="N975" s="585"/>
      <c r="O975" s="585"/>
      <c r="P975" s="585"/>
      <c r="Q975" s="585"/>
      <c r="R975" s="585"/>
      <c r="S975" s="585"/>
      <c r="T975" s="585"/>
      <c r="U975" s="585"/>
      <c r="V975" s="224"/>
      <c r="W975" s="224"/>
    </row>
    <row r="976">
      <c r="A976" s="585"/>
      <c r="B976" s="585"/>
      <c r="C976" s="585"/>
      <c r="D976" s="585"/>
      <c r="E976" s="585"/>
      <c r="F976" s="585"/>
      <c r="G976" s="585"/>
      <c r="H976" s="585"/>
      <c r="I976" s="585"/>
      <c r="J976" s="585"/>
      <c r="K976" s="585"/>
      <c r="L976" s="585"/>
      <c r="M976" s="585"/>
      <c r="N976" s="585"/>
      <c r="O976" s="585"/>
      <c r="P976" s="585"/>
      <c r="Q976" s="585"/>
      <c r="R976" s="585"/>
      <c r="S976" s="585"/>
      <c r="T976" s="585"/>
      <c r="U976" s="585"/>
      <c r="V976" s="224"/>
      <c r="W976" s="224"/>
    </row>
    <row r="977">
      <c r="A977" s="585"/>
      <c r="B977" s="585"/>
      <c r="C977" s="585"/>
      <c r="D977" s="585"/>
      <c r="E977" s="585"/>
      <c r="F977" s="585"/>
      <c r="G977" s="585"/>
      <c r="H977" s="585"/>
      <c r="I977" s="585"/>
      <c r="J977" s="585"/>
      <c r="K977" s="585"/>
      <c r="L977" s="585"/>
      <c r="M977" s="585"/>
      <c r="N977" s="585"/>
      <c r="O977" s="585"/>
      <c r="P977" s="585"/>
      <c r="Q977" s="585"/>
      <c r="R977" s="585"/>
      <c r="S977" s="585"/>
      <c r="T977" s="585"/>
      <c r="U977" s="585"/>
      <c r="V977" s="224"/>
      <c r="W977" s="224"/>
    </row>
    <row r="978">
      <c r="A978" s="585"/>
      <c r="B978" s="585"/>
      <c r="C978" s="585"/>
      <c r="D978" s="585"/>
      <c r="E978" s="585"/>
      <c r="F978" s="585"/>
      <c r="G978" s="585"/>
      <c r="H978" s="585"/>
      <c r="I978" s="585"/>
      <c r="J978" s="585"/>
      <c r="K978" s="585"/>
      <c r="L978" s="585"/>
      <c r="M978" s="585"/>
      <c r="N978" s="585"/>
      <c r="O978" s="585"/>
      <c r="P978" s="585"/>
      <c r="Q978" s="585"/>
      <c r="R978" s="585"/>
      <c r="S978" s="585"/>
      <c r="T978" s="585"/>
      <c r="U978" s="585"/>
      <c r="V978" s="224"/>
      <c r="W978" s="224"/>
    </row>
    <row r="979">
      <c r="A979" s="585"/>
      <c r="B979" s="585"/>
      <c r="C979" s="585"/>
      <c r="D979" s="585"/>
      <c r="E979" s="585"/>
      <c r="F979" s="585"/>
      <c r="G979" s="585"/>
      <c r="H979" s="585"/>
      <c r="I979" s="585"/>
      <c r="J979" s="585"/>
      <c r="K979" s="585"/>
      <c r="L979" s="585"/>
      <c r="M979" s="585"/>
      <c r="N979" s="585"/>
      <c r="O979" s="585"/>
      <c r="P979" s="585"/>
      <c r="Q979" s="585"/>
      <c r="R979" s="585"/>
      <c r="S979" s="585"/>
      <c r="T979" s="585"/>
      <c r="U979" s="585"/>
      <c r="V979" s="224"/>
      <c r="W979" s="224"/>
    </row>
    <row r="980">
      <c r="A980" s="585"/>
      <c r="B980" s="585"/>
      <c r="C980" s="585"/>
      <c r="D980" s="585"/>
      <c r="E980" s="585"/>
      <c r="F980" s="585"/>
      <c r="G980" s="585"/>
      <c r="H980" s="585"/>
      <c r="I980" s="585"/>
      <c r="J980" s="585"/>
      <c r="K980" s="585"/>
      <c r="L980" s="585"/>
      <c r="M980" s="585"/>
      <c r="N980" s="585"/>
      <c r="O980" s="585"/>
      <c r="P980" s="585"/>
      <c r="Q980" s="585"/>
      <c r="R980" s="585"/>
      <c r="S980" s="585"/>
      <c r="T980" s="585"/>
      <c r="U980" s="585"/>
      <c r="V980" s="224"/>
      <c r="W980" s="224"/>
    </row>
    <row r="981">
      <c r="A981" s="585"/>
      <c r="B981" s="585"/>
      <c r="C981" s="585"/>
      <c r="D981" s="585"/>
      <c r="E981" s="585"/>
      <c r="F981" s="585"/>
      <c r="G981" s="585"/>
      <c r="H981" s="585"/>
      <c r="I981" s="585"/>
      <c r="J981" s="585"/>
      <c r="K981" s="585"/>
      <c r="L981" s="585"/>
      <c r="M981" s="585"/>
      <c r="N981" s="585"/>
      <c r="O981" s="585"/>
      <c r="P981" s="585"/>
      <c r="Q981" s="585"/>
      <c r="R981" s="585"/>
      <c r="S981" s="585"/>
      <c r="T981" s="585"/>
      <c r="U981" s="585"/>
      <c r="V981" s="224"/>
      <c r="W981" s="224"/>
    </row>
    <row r="982">
      <c r="A982" s="585"/>
      <c r="B982" s="585"/>
      <c r="C982" s="585"/>
      <c r="D982" s="585"/>
      <c r="E982" s="585"/>
      <c r="F982" s="585"/>
      <c r="G982" s="585"/>
      <c r="H982" s="585"/>
      <c r="I982" s="585"/>
      <c r="J982" s="585"/>
      <c r="K982" s="585"/>
      <c r="L982" s="585"/>
      <c r="M982" s="585"/>
      <c r="N982" s="585"/>
      <c r="O982" s="585"/>
      <c r="P982" s="585"/>
      <c r="Q982" s="585"/>
      <c r="R982" s="585"/>
      <c r="S982" s="585"/>
      <c r="T982" s="585"/>
      <c r="U982" s="585"/>
      <c r="V982" s="224"/>
      <c r="W982" s="224"/>
    </row>
    <row r="983">
      <c r="A983" s="585"/>
      <c r="B983" s="585"/>
      <c r="C983" s="585"/>
      <c r="D983" s="585"/>
      <c r="E983" s="585"/>
      <c r="F983" s="585"/>
      <c r="G983" s="585"/>
      <c r="H983" s="585"/>
      <c r="I983" s="585"/>
      <c r="J983" s="585"/>
      <c r="K983" s="585"/>
      <c r="L983" s="585"/>
      <c r="M983" s="585"/>
      <c r="N983" s="585"/>
      <c r="O983" s="585"/>
      <c r="P983" s="585"/>
      <c r="Q983" s="585"/>
      <c r="R983" s="585"/>
      <c r="S983" s="585"/>
      <c r="T983" s="585"/>
      <c r="U983" s="585"/>
      <c r="V983" s="224"/>
      <c r="W983" s="224"/>
    </row>
    <row r="984">
      <c r="A984" s="585"/>
      <c r="B984" s="585"/>
      <c r="C984" s="585"/>
      <c r="D984" s="585"/>
      <c r="E984" s="585"/>
      <c r="F984" s="585"/>
      <c r="G984" s="585"/>
      <c r="H984" s="585"/>
      <c r="I984" s="585"/>
      <c r="J984" s="585"/>
      <c r="K984" s="585"/>
      <c r="L984" s="585"/>
      <c r="M984" s="585"/>
      <c r="N984" s="585"/>
      <c r="O984" s="585"/>
      <c r="P984" s="585"/>
      <c r="Q984" s="585"/>
      <c r="R984" s="585"/>
      <c r="S984" s="585"/>
      <c r="T984" s="585"/>
      <c r="U984" s="585"/>
      <c r="V984" s="224"/>
      <c r="W984" s="224"/>
    </row>
    <row r="985">
      <c r="A985" s="585"/>
      <c r="B985" s="585"/>
      <c r="C985" s="585"/>
      <c r="D985" s="585"/>
      <c r="E985" s="585"/>
      <c r="F985" s="585"/>
      <c r="G985" s="585"/>
      <c r="H985" s="585"/>
      <c r="I985" s="585"/>
      <c r="J985" s="585"/>
      <c r="K985" s="585"/>
      <c r="L985" s="585"/>
      <c r="M985" s="585"/>
      <c r="N985" s="585"/>
      <c r="O985" s="585"/>
      <c r="P985" s="585"/>
      <c r="Q985" s="585"/>
      <c r="R985" s="585"/>
      <c r="S985" s="585"/>
      <c r="T985" s="585"/>
      <c r="U985" s="585"/>
      <c r="V985" s="224"/>
      <c r="W985" s="224"/>
    </row>
    <row r="986">
      <c r="A986" s="585"/>
      <c r="B986" s="585"/>
      <c r="C986" s="585"/>
      <c r="D986" s="585"/>
      <c r="E986" s="585"/>
      <c r="F986" s="585"/>
      <c r="G986" s="585"/>
      <c r="H986" s="585"/>
      <c r="I986" s="585"/>
      <c r="J986" s="585"/>
      <c r="K986" s="585"/>
      <c r="L986" s="585"/>
      <c r="M986" s="585"/>
      <c r="N986" s="585"/>
      <c r="O986" s="585"/>
      <c r="P986" s="585"/>
      <c r="Q986" s="585"/>
      <c r="R986" s="585"/>
      <c r="S986" s="585"/>
      <c r="T986" s="585"/>
      <c r="U986" s="585"/>
      <c r="V986" s="224"/>
      <c r="W986" s="224"/>
    </row>
    <row r="987">
      <c r="A987" s="585"/>
      <c r="B987" s="585"/>
      <c r="C987" s="585"/>
      <c r="D987" s="585"/>
      <c r="E987" s="585"/>
      <c r="F987" s="585"/>
      <c r="G987" s="585"/>
      <c r="H987" s="585"/>
      <c r="I987" s="585"/>
      <c r="J987" s="585"/>
      <c r="K987" s="585"/>
      <c r="L987" s="585"/>
      <c r="M987" s="585"/>
      <c r="N987" s="585"/>
      <c r="O987" s="585"/>
      <c r="P987" s="585"/>
      <c r="Q987" s="585"/>
      <c r="R987" s="585"/>
      <c r="S987" s="585"/>
      <c r="T987" s="585"/>
      <c r="U987" s="585"/>
      <c r="V987" s="224"/>
      <c r="W987" s="224"/>
    </row>
    <row r="988">
      <c r="A988" s="585"/>
      <c r="B988" s="585"/>
      <c r="C988" s="585"/>
      <c r="D988" s="585"/>
      <c r="E988" s="585"/>
      <c r="F988" s="585"/>
      <c r="G988" s="585"/>
      <c r="H988" s="585"/>
      <c r="I988" s="585"/>
      <c r="J988" s="585"/>
      <c r="K988" s="585"/>
      <c r="L988" s="585"/>
      <c r="M988" s="585"/>
      <c r="N988" s="585"/>
      <c r="O988" s="585"/>
      <c r="P988" s="585"/>
      <c r="Q988" s="585"/>
      <c r="R988" s="585"/>
      <c r="S988" s="585"/>
      <c r="T988" s="585"/>
      <c r="U988" s="585"/>
      <c r="V988" s="224"/>
      <c r="W988" s="224"/>
    </row>
    <row r="989">
      <c r="A989" s="585"/>
      <c r="B989" s="585"/>
      <c r="C989" s="585"/>
      <c r="D989" s="585"/>
      <c r="E989" s="585"/>
      <c r="F989" s="585"/>
      <c r="G989" s="585"/>
      <c r="H989" s="585"/>
      <c r="I989" s="585"/>
      <c r="J989" s="585"/>
      <c r="K989" s="585"/>
      <c r="L989" s="585"/>
      <c r="M989" s="585"/>
      <c r="N989" s="585"/>
      <c r="O989" s="585"/>
      <c r="P989" s="585"/>
      <c r="Q989" s="585"/>
      <c r="R989" s="585"/>
      <c r="S989" s="585"/>
      <c r="T989" s="585"/>
      <c r="U989" s="585"/>
      <c r="V989" s="224"/>
      <c r="W989" s="224"/>
    </row>
    <row r="990">
      <c r="A990" s="585"/>
      <c r="B990" s="585"/>
      <c r="C990" s="585"/>
      <c r="D990" s="585"/>
      <c r="E990" s="585"/>
      <c r="F990" s="585"/>
      <c r="G990" s="585"/>
      <c r="H990" s="585"/>
      <c r="I990" s="585"/>
      <c r="J990" s="585"/>
      <c r="K990" s="585"/>
      <c r="L990" s="585"/>
      <c r="M990" s="585"/>
      <c r="N990" s="585"/>
      <c r="O990" s="585"/>
      <c r="P990" s="585"/>
      <c r="Q990" s="585"/>
      <c r="R990" s="585"/>
      <c r="S990" s="585"/>
      <c r="T990" s="585"/>
      <c r="U990" s="585"/>
      <c r="V990" s="224"/>
      <c r="W990" s="224"/>
    </row>
    <row r="991">
      <c r="A991" s="585"/>
      <c r="B991" s="585"/>
      <c r="C991" s="585"/>
      <c r="D991" s="585"/>
      <c r="E991" s="585"/>
      <c r="F991" s="585"/>
      <c r="G991" s="585"/>
      <c r="H991" s="585"/>
      <c r="I991" s="585"/>
      <c r="J991" s="585"/>
      <c r="K991" s="585"/>
      <c r="L991" s="585"/>
      <c r="M991" s="585"/>
      <c r="N991" s="585"/>
      <c r="O991" s="585"/>
      <c r="P991" s="585"/>
      <c r="Q991" s="585"/>
      <c r="R991" s="585"/>
      <c r="S991" s="585"/>
      <c r="T991" s="585"/>
      <c r="U991" s="585"/>
      <c r="V991" s="224"/>
      <c r="W991" s="224"/>
    </row>
    <row r="992">
      <c r="A992" s="585"/>
      <c r="B992" s="585"/>
      <c r="C992" s="585"/>
      <c r="D992" s="585"/>
      <c r="E992" s="585"/>
      <c r="F992" s="585"/>
      <c r="G992" s="585"/>
      <c r="H992" s="585"/>
      <c r="I992" s="585"/>
      <c r="J992" s="585"/>
      <c r="K992" s="585"/>
      <c r="L992" s="585"/>
      <c r="M992" s="585"/>
      <c r="N992" s="585"/>
      <c r="O992" s="585"/>
      <c r="P992" s="585"/>
      <c r="Q992" s="585"/>
      <c r="R992" s="585"/>
      <c r="S992" s="585"/>
      <c r="T992" s="585"/>
      <c r="U992" s="585"/>
      <c r="V992" s="224"/>
      <c r="W992" s="224"/>
    </row>
    <row r="993">
      <c r="A993" s="585"/>
      <c r="B993" s="585"/>
      <c r="C993" s="585"/>
      <c r="D993" s="585"/>
      <c r="E993" s="585"/>
      <c r="F993" s="585"/>
      <c r="G993" s="585"/>
      <c r="H993" s="585"/>
      <c r="I993" s="585"/>
      <c r="J993" s="585"/>
      <c r="K993" s="585"/>
      <c r="L993" s="585"/>
      <c r="M993" s="585"/>
      <c r="N993" s="585"/>
      <c r="O993" s="585"/>
      <c r="P993" s="585"/>
      <c r="Q993" s="585"/>
      <c r="R993" s="585"/>
      <c r="S993" s="585"/>
      <c r="T993" s="585"/>
      <c r="U993" s="585"/>
      <c r="V993" s="224"/>
      <c r="W993" s="224"/>
    </row>
    <row r="994">
      <c r="A994" s="585"/>
      <c r="B994" s="585"/>
      <c r="C994" s="585"/>
      <c r="D994" s="585"/>
      <c r="E994" s="585"/>
      <c r="F994" s="585"/>
      <c r="G994" s="585"/>
      <c r="H994" s="585"/>
      <c r="I994" s="585"/>
      <c r="J994" s="585"/>
      <c r="K994" s="585"/>
      <c r="L994" s="585"/>
      <c r="M994" s="585"/>
      <c r="N994" s="585"/>
      <c r="O994" s="585"/>
      <c r="P994" s="585"/>
      <c r="Q994" s="585"/>
      <c r="R994" s="585"/>
      <c r="S994" s="585"/>
      <c r="T994" s="585"/>
      <c r="U994" s="585"/>
      <c r="V994" s="224"/>
      <c r="W994" s="224"/>
    </row>
    <row r="995">
      <c r="A995" s="585"/>
      <c r="B995" s="585"/>
      <c r="C995" s="585"/>
      <c r="D995" s="585"/>
      <c r="E995" s="585"/>
      <c r="F995" s="585"/>
      <c r="G995" s="585"/>
      <c r="H995" s="585"/>
      <c r="I995" s="585"/>
      <c r="J995" s="585"/>
      <c r="K995" s="585"/>
      <c r="L995" s="585"/>
      <c r="M995" s="585"/>
      <c r="N995" s="585"/>
      <c r="O995" s="585"/>
      <c r="P995" s="585"/>
      <c r="Q995" s="585"/>
      <c r="R995" s="585"/>
      <c r="S995" s="585"/>
      <c r="T995" s="585"/>
      <c r="U995" s="585"/>
      <c r="V995" s="224"/>
      <c r="W995" s="224"/>
    </row>
    <row r="996">
      <c r="A996" s="585"/>
      <c r="B996" s="585"/>
      <c r="C996" s="585"/>
      <c r="D996" s="585"/>
      <c r="E996" s="585"/>
      <c r="F996" s="585"/>
      <c r="G996" s="585"/>
      <c r="H996" s="585"/>
      <c r="I996" s="585"/>
      <c r="J996" s="585"/>
      <c r="K996" s="585"/>
      <c r="L996" s="585"/>
      <c r="M996" s="585"/>
      <c r="N996" s="585"/>
      <c r="O996" s="585"/>
      <c r="P996" s="585"/>
      <c r="Q996" s="585"/>
      <c r="R996" s="585"/>
      <c r="S996" s="585"/>
      <c r="T996" s="585"/>
      <c r="U996" s="585"/>
      <c r="V996" s="224"/>
      <c r="W996" s="224"/>
    </row>
    <row r="997">
      <c r="A997" s="585"/>
      <c r="B997" s="585"/>
      <c r="C997" s="585"/>
      <c r="D997" s="585"/>
      <c r="E997" s="585"/>
      <c r="F997" s="585"/>
      <c r="G997" s="585"/>
      <c r="H997" s="585"/>
      <c r="I997" s="585"/>
      <c r="J997" s="585"/>
      <c r="K997" s="585"/>
      <c r="L997" s="585"/>
      <c r="M997" s="585"/>
      <c r="N997" s="585"/>
      <c r="O997" s="585"/>
      <c r="P997" s="585"/>
      <c r="Q997" s="585"/>
      <c r="R997" s="585"/>
      <c r="S997" s="585"/>
      <c r="T997" s="585"/>
      <c r="U997" s="585"/>
      <c r="V997" s="224"/>
      <c r="W997" s="224"/>
    </row>
    <row r="998">
      <c r="A998" s="585"/>
      <c r="B998" s="585"/>
      <c r="C998" s="585"/>
      <c r="D998" s="585"/>
      <c r="E998" s="585"/>
      <c r="F998" s="585"/>
      <c r="G998" s="585"/>
      <c r="H998" s="585"/>
      <c r="I998" s="585"/>
      <c r="J998" s="585"/>
      <c r="K998" s="585"/>
      <c r="L998" s="585"/>
      <c r="M998" s="585"/>
      <c r="N998" s="585"/>
      <c r="O998" s="585"/>
      <c r="P998" s="585"/>
      <c r="Q998" s="585"/>
      <c r="R998" s="585"/>
      <c r="S998" s="585"/>
      <c r="T998" s="585"/>
      <c r="U998" s="585"/>
      <c r="V998" s="224"/>
      <c r="W998" s="224"/>
    </row>
    <row r="999">
      <c r="A999" s="585"/>
      <c r="B999" s="585"/>
      <c r="C999" s="585"/>
      <c r="D999" s="585"/>
      <c r="E999" s="585"/>
      <c r="F999" s="585"/>
      <c r="G999" s="585"/>
      <c r="H999" s="585"/>
      <c r="I999" s="585"/>
      <c r="J999" s="585"/>
      <c r="K999" s="585"/>
      <c r="L999" s="585"/>
      <c r="M999" s="585"/>
      <c r="N999" s="585"/>
      <c r="O999" s="585"/>
      <c r="P999" s="585"/>
      <c r="Q999" s="585"/>
      <c r="R999" s="585"/>
      <c r="S999" s="585"/>
      <c r="T999" s="585"/>
      <c r="U999" s="585"/>
      <c r="V999" s="224"/>
      <c r="W999" s="224"/>
    </row>
    <row r="1000">
      <c r="A1000" s="585"/>
      <c r="B1000" s="585"/>
      <c r="C1000" s="585"/>
      <c r="D1000" s="585"/>
      <c r="E1000" s="585"/>
      <c r="F1000" s="585"/>
      <c r="G1000" s="585"/>
      <c r="H1000" s="585"/>
      <c r="I1000" s="585"/>
      <c r="J1000" s="585"/>
      <c r="K1000" s="585"/>
      <c r="L1000" s="585"/>
      <c r="M1000" s="585"/>
      <c r="N1000" s="585"/>
      <c r="O1000" s="585"/>
      <c r="P1000" s="585"/>
      <c r="Q1000" s="585"/>
      <c r="R1000" s="585"/>
      <c r="S1000" s="585"/>
      <c r="T1000" s="585"/>
      <c r="U1000" s="585"/>
      <c r="V1000" s="224"/>
      <c r="W1000" s="224"/>
    </row>
    <row r="1001">
      <c r="A1001" s="585"/>
      <c r="B1001" s="585"/>
      <c r="C1001" s="585"/>
      <c r="D1001" s="585"/>
      <c r="E1001" s="585"/>
      <c r="F1001" s="585"/>
      <c r="G1001" s="585"/>
      <c r="H1001" s="585"/>
      <c r="I1001" s="585"/>
      <c r="J1001" s="585"/>
      <c r="K1001" s="585"/>
      <c r="L1001" s="585"/>
      <c r="M1001" s="585"/>
      <c r="N1001" s="585"/>
      <c r="O1001" s="585"/>
      <c r="P1001" s="585"/>
      <c r="Q1001" s="585"/>
      <c r="R1001" s="585"/>
      <c r="S1001" s="585"/>
      <c r="T1001" s="585"/>
      <c r="U1001" s="585"/>
      <c r="V1001" s="224"/>
      <c r="W1001" s="224"/>
    </row>
    <row r="1002">
      <c r="A1002" s="585"/>
      <c r="B1002" s="585"/>
      <c r="C1002" s="585"/>
      <c r="D1002" s="585"/>
      <c r="E1002" s="585"/>
      <c r="F1002" s="585"/>
      <c r="G1002" s="585"/>
      <c r="H1002" s="585"/>
      <c r="I1002" s="585"/>
      <c r="J1002" s="585"/>
      <c r="K1002" s="585"/>
      <c r="L1002" s="585"/>
      <c r="M1002" s="585"/>
      <c r="N1002" s="585"/>
      <c r="O1002" s="585"/>
      <c r="P1002" s="585"/>
      <c r="Q1002" s="585"/>
      <c r="R1002" s="585"/>
      <c r="S1002" s="585"/>
      <c r="T1002" s="585"/>
      <c r="U1002" s="585"/>
      <c r="V1002" s="224"/>
      <c r="W1002" s="224"/>
    </row>
    <row r="1003">
      <c r="A1003" s="585"/>
      <c r="B1003" s="585"/>
      <c r="C1003" s="585"/>
      <c r="D1003" s="585"/>
      <c r="E1003" s="585"/>
      <c r="F1003" s="585"/>
      <c r="G1003" s="585"/>
      <c r="H1003" s="585"/>
      <c r="I1003" s="585"/>
      <c r="J1003" s="585"/>
      <c r="K1003" s="585"/>
      <c r="L1003" s="585"/>
      <c r="M1003" s="585"/>
      <c r="N1003" s="585"/>
      <c r="O1003" s="585"/>
      <c r="P1003" s="585"/>
      <c r="Q1003" s="585"/>
      <c r="R1003" s="585"/>
      <c r="S1003" s="585"/>
      <c r="T1003" s="585"/>
      <c r="U1003" s="585"/>
      <c r="V1003" s="224"/>
      <c r="W1003" s="224"/>
    </row>
    <row r="1004">
      <c r="A1004" s="585"/>
      <c r="B1004" s="585"/>
      <c r="C1004" s="585"/>
      <c r="D1004" s="585"/>
      <c r="E1004" s="585"/>
      <c r="F1004" s="585"/>
      <c r="G1004" s="585"/>
      <c r="H1004" s="585"/>
      <c r="I1004" s="585"/>
      <c r="J1004" s="585"/>
      <c r="K1004" s="585"/>
      <c r="L1004" s="585"/>
      <c r="M1004" s="585"/>
      <c r="N1004" s="585"/>
      <c r="O1004" s="585"/>
      <c r="P1004" s="585"/>
      <c r="Q1004" s="585"/>
      <c r="R1004" s="585"/>
      <c r="S1004" s="585"/>
      <c r="T1004" s="585"/>
      <c r="U1004" s="585"/>
      <c r="V1004" s="224"/>
      <c r="W1004" s="224"/>
    </row>
    <row r="1005">
      <c r="A1005" s="585"/>
      <c r="B1005" s="585"/>
      <c r="C1005" s="585"/>
      <c r="D1005" s="585"/>
      <c r="E1005" s="585"/>
      <c r="F1005" s="585"/>
      <c r="G1005" s="585"/>
      <c r="H1005" s="585"/>
      <c r="I1005" s="585"/>
      <c r="J1005" s="585"/>
      <c r="K1005" s="585"/>
      <c r="L1005" s="585"/>
      <c r="M1005" s="585"/>
      <c r="N1005" s="585"/>
      <c r="O1005" s="585"/>
      <c r="P1005" s="585"/>
      <c r="Q1005" s="585"/>
      <c r="R1005" s="585"/>
      <c r="S1005" s="585"/>
      <c r="T1005" s="585"/>
      <c r="U1005" s="585"/>
      <c r="V1005" s="224"/>
      <c r="W1005" s="224"/>
    </row>
    <row r="1006">
      <c r="A1006" s="585"/>
      <c r="B1006" s="585"/>
      <c r="C1006" s="585"/>
      <c r="D1006" s="585"/>
      <c r="E1006" s="585"/>
      <c r="F1006" s="585"/>
      <c r="G1006" s="585"/>
      <c r="H1006" s="585"/>
      <c r="I1006" s="585"/>
      <c r="J1006" s="585"/>
      <c r="K1006" s="585"/>
      <c r="L1006" s="585"/>
      <c r="M1006" s="585"/>
      <c r="N1006" s="585"/>
      <c r="O1006" s="585"/>
      <c r="P1006" s="585"/>
      <c r="Q1006" s="585"/>
      <c r="R1006" s="585"/>
      <c r="S1006" s="585"/>
      <c r="T1006" s="585"/>
      <c r="U1006" s="585"/>
      <c r="V1006" s="224"/>
      <c r="W1006" s="224"/>
    </row>
    <row r="1007">
      <c r="A1007" s="585"/>
      <c r="B1007" s="585"/>
      <c r="C1007" s="585"/>
      <c r="D1007" s="585"/>
      <c r="E1007" s="585"/>
      <c r="F1007" s="585"/>
      <c r="G1007" s="585"/>
      <c r="H1007" s="585"/>
      <c r="I1007" s="585"/>
      <c r="J1007" s="585"/>
      <c r="K1007" s="585"/>
      <c r="L1007" s="585"/>
      <c r="M1007" s="585"/>
      <c r="N1007" s="585"/>
      <c r="O1007" s="585"/>
      <c r="P1007" s="585"/>
      <c r="Q1007" s="585"/>
      <c r="R1007" s="585"/>
      <c r="S1007" s="585"/>
      <c r="T1007" s="585"/>
      <c r="U1007" s="585"/>
      <c r="V1007" s="224"/>
      <c r="W1007" s="224"/>
    </row>
    <row r="1008">
      <c r="A1008" s="585"/>
      <c r="B1008" s="585"/>
      <c r="C1008" s="585"/>
      <c r="D1008" s="585"/>
      <c r="E1008" s="585"/>
      <c r="F1008" s="585"/>
      <c r="G1008" s="585"/>
      <c r="H1008" s="585"/>
      <c r="I1008" s="585"/>
      <c r="J1008" s="585"/>
      <c r="K1008" s="585"/>
      <c r="L1008" s="585"/>
      <c r="M1008" s="585"/>
      <c r="N1008" s="585"/>
      <c r="O1008" s="585"/>
      <c r="P1008" s="585"/>
      <c r="Q1008" s="585"/>
      <c r="R1008" s="585"/>
      <c r="S1008" s="585"/>
      <c r="T1008" s="585"/>
      <c r="U1008" s="585"/>
      <c r="V1008" s="224"/>
      <c r="W1008" s="224"/>
    </row>
    <row r="1009">
      <c r="A1009" s="585"/>
      <c r="B1009" s="585"/>
      <c r="C1009" s="585"/>
      <c r="D1009" s="585"/>
      <c r="E1009" s="585"/>
      <c r="F1009" s="585"/>
      <c r="G1009" s="585"/>
      <c r="H1009" s="585"/>
      <c r="I1009" s="585"/>
      <c r="J1009" s="585"/>
      <c r="K1009" s="585"/>
      <c r="L1009" s="585"/>
      <c r="M1009" s="585"/>
      <c r="N1009" s="585"/>
      <c r="O1009" s="585"/>
      <c r="P1009" s="585"/>
      <c r="Q1009" s="585"/>
      <c r="R1009" s="585"/>
      <c r="S1009" s="585"/>
      <c r="T1009" s="585"/>
      <c r="U1009" s="585"/>
      <c r="V1009" s="224"/>
      <c r="W1009" s="224"/>
    </row>
    <row r="1010">
      <c r="A1010" s="585"/>
      <c r="B1010" s="585"/>
      <c r="C1010" s="585"/>
      <c r="D1010" s="585"/>
      <c r="E1010" s="585"/>
      <c r="F1010" s="585"/>
      <c r="G1010" s="585"/>
      <c r="H1010" s="585"/>
      <c r="I1010" s="585"/>
      <c r="J1010" s="585"/>
      <c r="K1010" s="585"/>
      <c r="L1010" s="585"/>
      <c r="M1010" s="585"/>
      <c r="N1010" s="585"/>
      <c r="O1010" s="585"/>
      <c r="P1010" s="585"/>
      <c r="Q1010" s="585"/>
      <c r="R1010" s="585"/>
      <c r="S1010" s="585"/>
      <c r="T1010" s="585"/>
      <c r="U1010" s="585"/>
      <c r="V1010" s="224"/>
      <c r="W1010" s="224"/>
    </row>
    <row r="1011">
      <c r="A1011" s="585"/>
      <c r="B1011" s="585"/>
      <c r="C1011" s="585"/>
      <c r="D1011" s="585"/>
      <c r="E1011" s="585"/>
      <c r="F1011" s="585"/>
      <c r="G1011" s="585"/>
      <c r="H1011" s="585"/>
      <c r="I1011" s="585"/>
      <c r="J1011" s="585"/>
      <c r="K1011" s="585"/>
      <c r="L1011" s="585"/>
      <c r="M1011" s="585"/>
      <c r="N1011" s="585"/>
      <c r="O1011" s="585"/>
      <c r="P1011" s="585"/>
      <c r="Q1011" s="585"/>
      <c r="R1011" s="585"/>
      <c r="S1011" s="585"/>
      <c r="T1011" s="585"/>
      <c r="U1011" s="585"/>
      <c r="V1011" s="224"/>
      <c r="W1011" s="224"/>
    </row>
    <row r="1012">
      <c r="A1012" s="585"/>
      <c r="B1012" s="585"/>
      <c r="C1012" s="585"/>
      <c r="D1012" s="585"/>
      <c r="E1012" s="585"/>
      <c r="F1012" s="585"/>
      <c r="G1012" s="585"/>
      <c r="H1012" s="585"/>
      <c r="I1012" s="585"/>
      <c r="J1012" s="585"/>
      <c r="K1012" s="585"/>
      <c r="L1012" s="585"/>
      <c r="M1012" s="585"/>
      <c r="N1012" s="585"/>
      <c r="O1012" s="585"/>
      <c r="P1012" s="585"/>
      <c r="Q1012" s="585"/>
      <c r="R1012" s="585"/>
      <c r="S1012" s="585"/>
      <c r="T1012" s="585"/>
      <c r="U1012" s="585"/>
      <c r="V1012" s="224"/>
      <c r="W1012" s="224"/>
    </row>
    <row r="1013">
      <c r="A1013" s="585"/>
      <c r="B1013" s="585"/>
      <c r="C1013" s="585"/>
      <c r="D1013" s="585"/>
      <c r="E1013" s="585"/>
      <c r="F1013" s="585"/>
      <c r="G1013" s="585"/>
      <c r="H1013" s="585"/>
      <c r="I1013" s="585"/>
      <c r="J1013" s="585"/>
      <c r="K1013" s="585"/>
      <c r="L1013" s="585"/>
      <c r="M1013" s="585"/>
      <c r="N1013" s="585"/>
      <c r="O1013" s="585"/>
      <c r="P1013" s="585"/>
      <c r="Q1013" s="585"/>
      <c r="R1013" s="585"/>
      <c r="S1013" s="585"/>
      <c r="T1013" s="585"/>
      <c r="U1013" s="585"/>
      <c r="V1013" s="224"/>
      <c r="W1013" s="224"/>
    </row>
    <row r="1014">
      <c r="A1014" s="585"/>
      <c r="B1014" s="585"/>
      <c r="C1014" s="585"/>
      <c r="D1014" s="585"/>
      <c r="E1014" s="585"/>
      <c r="F1014" s="585"/>
      <c r="G1014" s="585"/>
      <c r="H1014" s="585"/>
      <c r="I1014" s="585"/>
      <c r="J1014" s="585"/>
      <c r="K1014" s="585"/>
      <c r="L1014" s="585"/>
      <c r="M1014" s="585"/>
      <c r="N1014" s="585"/>
      <c r="O1014" s="585"/>
      <c r="P1014" s="585"/>
      <c r="Q1014" s="585"/>
      <c r="R1014" s="585"/>
      <c r="S1014" s="585"/>
      <c r="T1014" s="585"/>
      <c r="U1014" s="585"/>
      <c r="V1014" s="224"/>
      <c r="W1014" s="224"/>
    </row>
    <row r="1015">
      <c r="A1015" s="585"/>
      <c r="B1015" s="585"/>
      <c r="C1015" s="585"/>
      <c r="D1015" s="585"/>
      <c r="E1015" s="585"/>
      <c r="F1015" s="585"/>
      <c r="G1015" s="585"/>
      <c r="H1015" s="585"/>
      <c r="I1015" s="585"/>
      <c r="J1015" s="585"/>
      <c r="K1015" s="585"/>
      <c r="L1015" s="585"/>
      <c r="M1015" s="585"/>
      <c r="N1015" s="585"/>
      <c r="O1015" s="585"/>
      <c r="P1015" s="585"/>
      <c r="Q1015" s="585"/>
      <c r="R1015" s="585"/>
      <c r="S1015" s="585"/>
      <c r="T1015" s="585"/>
      <c r="U1015" s="585"/>
      <c r="V1015" s="224"/>
      <c r="W1015" s="224"/>
    </row>
    <row r="1016">
      <c r="A1016" s="585"/>
      <c r="B1016" s="585"/>
      <c r="C1016" s="585"/>
      <c r="D1016" s="585"/>
      <c r="E1016" s="585"/>
      <c r="F1016" s="585"/>
      <c r="G1016" s="585"/>
      <c r="H1016" s="585"/>
      <c r="I1016" s="585"/>
      <c r="J1016" s="585"/>
      <c r="K1016" s="585"/>
      <c r="L1016" s="585"/>
      <c r="M1016" s="585"/>
      <c r="N1016" s="585"/>
      <c r="O1016" s="585"/>
      <c r="P1016" s="585"/>
      <c r="Q1016" s="585"/>
      <c r="R1016" s="585"/>
      <c r="S1016" s="585"/>
      <c r="T1016" s="585"/>
      <c r="U1016" s="585"/>
      <c r="V1016" s="224"/>
      <c r="W1016" s="224"/>
    </row>
    <row r="1017">
      <c r="A1017" s="585"/>
      <c r="B1017" s="585"/>
      <c r="C1017" s="585"/>
      <c r="D1017" s="585"/>
      <c r="E1017" s="585"/>
      <c r="F1017" s="585"/>
      <c r="G1017" s="585"/>
      <c r="H1017" s="585"/>
      <c r="I1017" s="585"/>
      <c r="J1017" s="585"/>
      <c r="K1017" s="585"/>
      <c r="L1017" s="585"/>
      <c r="M1017" s="585"/>
      <c r="N1017" s="585"/>
      <c r="O1017" s="585"/>
      <c r="P1017" s="585"/>
      <c r="Q1017" s="585"/>
      <c r="R1017" s="585"/>
      <c r="S1017" s="585"/>
      <c r="T1017" s="585"/>
      <c r="U1017" s="585"/>
      <c r="V1017" s="224"/>
      <c r="W1017" s="224"/>
    </row>
    <row r="1018">
      <c r="A1018" s="585"/>
      <c r="B1018" s="585"/>
      <c r="C1018" s="585"/>
      <c r="D1018" s="585"/>
      <c r="E1018" s="585"/>
      <c r="F1018" s="585"/>
      <c r="G1018" s="585"/>
      <c r="H1018" s="585"/>
      <c r="I1018" s="585"/>
      <c r="J1018" s="585"/>
      <c r="K1018" s="585"/>
      <c r="L1018" s="585"/>
      <c r="M1018" s="585"/>
      <c r="N1018" s="585"/>
      <c r="O1018" s="585"/>
      <c r="P1018" s="585"/>
      <c r="Q1018" s="585"/>
      <c r="R1018" s="585"/>
      <c r="S1018" s="585"/>
      <c r="T1018" s="585"/>
      <c r="U1018" s="585"/>
      <c r="V1018" s="224"/>
      <c r="W1018" s="224"/>
    </row>
    <row r="1019">
      <c r="A1019" s="585"/>
      <c r="B1019" s="585"/>
      <c r="C1019" s="585"/>
      <c r="D1019" s="585"/>
      <c r="E1019" s="585"/>
      <c r="F1019" s="585"/>
      <c r="G1019" s="585"/>
      <c r="H1019" s="585"/>
      <c r="I1019" s="585"/>
      <c r="J1019" s="585"/>
      <c r="K1019" s="585"/>
      <c r="L1019" s="585"/>
      <c r="M1019" s="585"/>
      <c r="N1019" s="585"/>
      <c r="O1019" s="585"/>
      <c r="P1019" s="585"/>
      <c r="Q1019" s="585"/>
      <c r="R1019" s="585"/>
      <c r="S1019" s="585"/>
      <c r="T1019" s="585"/>
      <c r="U1019" s="585"/>
      <c r="V1019" s="224"/>
      <c r="W1019" s="224"/>
    </row>
    <row r="1020">
      <c r="A1020" s="585"/>
      <c r="B1020" s="585"/>
      <c r="C1020" s="585"/>
      <c r="D1020" s="585"/>
      <c r="E1020" s="585"/>
      <c r="F1020" s="585"/>
      <c r="G1020" s="585"/>
      <c r="H1020" s="585"/>
      <c r="I1020" s="585"/>
      <c r="J1020" s="585"/>
      <c r="K1020" s="585"/>
      <c r="L1020" s="585"/>
      <c r="M1020" s="585"/>
      <c r="N1020" s="585"/>
      <c r="O1020" s="585"/>
      <c r="P1020" s="585"/>
      <c r="Q1020" s="585"/>
      <c r="R1020" s="585"/>
      <c r="S1020" s="585"/>
      <c r="T1020" s="585"/>
      <c r="U1020" s="585"/>
      <c r="V1020" s="224"/>
      <c r="W1020" s="224"/>
    </row>
    <row r="1021">
      <c r="A1021" s="585"/>
      <c r="B1021" s="585"/>
      <c r="C1021" s="585"/>
      <c r="D1021" s="585"/>
      <c r="E1021" s="585"/>
      <c r="F1021" s="585"/>
      <c r="G1021" s="585"/>
      <c r="H1021" s="585"/>
      <c r="I1021" s="585"/>
      <c r="J1021" s="585"/>
      <c r="K1021" s="585"/>
      <c r="L1021" s="585"/>
      <c r="M1021" s="585"/>
      <c r="N1021" s="585"/>
      <c r="O1021" s="585"/>
      <c r="P1021" s="585"/>
      <c r="Q1021" s="585"/>
      <c r="R1021" s="585"/>
      <c r="S1021" s="585"/>
      <c r="T1021" s="585"/>
      <c r="U1021" s="585"/>
      <c r="V1021" s="224"/>
      <c r="W1021" s="224"/>
    </row>
    <row r="1022">
      <c r="A1022" s="585"/>
      <c r="B1022" s="585"/>
      <c r="C1022" s="585"/>
      <c r="D1022" s="585"/>
      <c r="E1022" s="585"/>
      <c r="F1022" s="585"/>
      <c r="G1022" s="585"/>
      <c r="H1022" s="585"/>
      <c r="I1022" s="585"/>
      <c r="J1022" s="585"/>
      <c r="K1022" s="585"/>
      <c r="L1022" s="585"/>
      <c r="M1022" s="585"/>
      <c r="N1022" s="585"/>
      <c r="O1022" s="585"/>
      <c r="P1022" s="585"/>
      <c r="Q1022" s="585"/>
      <c r="R1022" s="585"/>
      <c r="S1022" s="585"/>
      <c r="T1022" s="585"/>
      <c r="U1022" s="585"/>
      <c r="V1022" s="224"/>
      <c r="W1022" s="224"/>
    </row>
    <row r="1023">
      <c r="A1023" s="585"/>
      <c r="B1023" s="585"/>
      <c r="C1023" s="585"/>
      <c r="D1023" s="585"/>
      <c r="E1023" s="585"/>
      <c r="F1023" s="585"/>
      <c r="G1023" s="585"/>
      <c r="H1023" s="585"/>
      <c r="I1023" s="585"/>
      <c r="J1023" s="585"/>
      <c r="K1023" s="585"/>
      <c r="L1023" s="585"/>
      <c r="M1023" s="585"/>
      <c r="N1023" s="585"/>
      <c r="O1023" s="585"/>
      <c r="P1023" s="585"/>
      <c r="Q1023" s="585"/>
      <c r="R1023" s="585"/>
      <c r="S1023" s="585"/>
      <c r="T1023" s="585"/>
      <c r="U1023" s="585"/>
      <c r="V1023" s="224"/>
      <c r="W1023" s="224"/>
    </row>
    <row r="1024">
      <c r="A1024" s="585"/>
      <c r="B1024" s="585"/>
      <c r="C1024" s="585"/>
      <c r="D1024" s="585"/>
      <c r="E1024" s="585"/>
      <c r="F1024" s="585"/>
      <c r="G1024" s="585"/>
      <c r="H1024" s="585"/>
      <c r="I1024" s="585"/>
      <c r="J1024" s="585"/>
      <c r="K1024" s="585"/>
      <c r="L1024" s="585"/>
      <c r="M1024" s="585"/>
      <c r="N1024" s="585"/>
      <c r="O1024" s="585"/>
      <c r="P1024" s="585"/>
      <c r="Q1024" s="585"/>
      <c r="R1024" s="585"/>
      <c r="S1024" s="585"/>
      <c r="T1024" s="585"/>
      <c r="U1024" s="585"/>
      <c r="V1024" s="224"/>
      <c r="W1024" s="224"/>
    </row>
    <row r="1025">
      <c r="A1025" s="585"/>
      <c r="B1025" s="585"/>
      <c r="C1025" s="585"/>
      <c r="D1025" s="585"/>
      <c r="E1025" s="585"/>
      <c r="F1025" s="585"/>
      <c r="G1025" s="585"/>
      <c r="H1025" s="585"/>
      <c r="I1025" s="585"/>
      <c r="J1025" s="585"/>
      <c r="K1025" s="585"/>
      <c r="L1025" s="585"/>
      <c r="M1025" s="585"/>
      <c r="N1025" s="585"/>
      <c r="O1025" s="585"/>
      <c r="P1025" s="585"/>
      <c r="Q1025" s="585"/>
      <c r="R1025" s="585"/>
      <c r="S1025" s="585"/>
      <c r="T1025" s="585"/>
      <c r="U1025" s="585"/>
      <c r="V1025" s="224"/>
      <c r="W1025" s="224"/>
    </row>
    <row r="1026">
      <c r="A1026" s="585"/>
      <c r="B1026" s="585"/>
      <c r="C1026" s="585"/>
      <c r="D1026" s="585"/>
      <c r="E1026" s="585"/>
      <c r="F1026" s="585"/>
      <c r="G1026" s="585"/>
      <c r="H1026" s="585"/>
      <c r="I1026" s="585"/>
      <c r="J1026" s="585"/>
      <c r="K1026" s="585"/>
      <c r="L1026" s="585"/>
      <c r="M1026" s="585"/>
      <c r="N1026" s="585"/>
      <c r="O1026" s="585"/>
      <c r="P1026" s="585"/>
      <c r="Q1026" s="585"/>
      <c r="R1026" s="585"/>
      <c r="S1026" s="585"/>
      <c r="T1026" s="585"/>
      <c r="U1026" s="585"/>
      <c r="V1026" s="224"/>
      <c r="W1026" s="224"/>
    </row>
    <row r="1027">
      <c r="A1027" s="585"/>
      <c r="B1027" s="585"/>
      <c r="C1027" s="585"/>
      <c r="D1027" s="585"/>
      <c r="E1027" s="585"/>
      <c r="F1027" s="585"/>
      <c r="G1027" s="585"/>
      <c r="H1027" s="585"/>
      <c r="I1027" s="585"/>
      <c r="J1027" s="585"/>
      <c r="K1027" s="585"/>
      <c r="L1027" s="585"/>
      <c r="M1027" s="585"/>
      <c r="N1027" s="585"/>
      <c r="O1027" s="585"/>
      <c r="P1027" s="585"/>
      <c r="Q1027" s="585"/>
      <c r="R1027" s="585"/>
      <c r="S1027" s="585"/>
      <c r="T1027" s="585"/>
      <c r="U1027" s="585"/>
      <c r="V1027" s="224"/>
      <c r="W1027" s="224"/>
    </row>
    <row r="1028">
      <c r="A1028" s="585"/>
      <c r="B1028" s="585"/>
      <c r="C1028" s="585"/>
      <c r="D1028" s="585"/>
      <c r="E1028" s="585"/>
      <c r="F1028" s="585"/>
      <c r="G1028" s="585"/>
      <c r="H1028" s="585"/>
      <c r="I1028" s="585"/>
      <c r="J1028" s="585"/>
      <c r="K1028" s="585"/>
      <c r="L1028" s="585"/>
      <c r="M1028" s="585"/>
      <c r="N1028" s="585"/>
      <c r="O1028" s="585"/>
      <c r="P1028" s="585"/>
      <c r="Q1028" s="585"/>
      <c r="R1028" s="585"/>
      <c r="S1028" s="585"/>
      <c r="T1028" s="585"/>
      <c r="U1028" s="585"/>
      <c r="V1028" s="224"/>
      <c r="W1028" s="224"/>
    </row>
    <row r="1029">
      <c r="A1029" s="585"/>
      <c r="B1029" s="585"/>
      <c r="C1029" s="585"/>
      <c r="D1029" s="585"/>
      <c r="E1029" s="585"/>
      <c r="F1029" s="585"/>
      <c r="G1029" s="585"/>
      <c r="H1029" s="585"/>
      <c r="I1029" s="585"/>
      <c r="J1029" s="585"/>
      <c r="K1029" s="585"/>
      <c r="L1029" s="585"/>
      <c r="M1029" s="585"/>
      <c r="N1029" s="585"/>
      <c r="O1029" s="585"/>
      <c r="P1029" s="585"/>
      <c r="Q1029" s="585"/>
      <c r="R1029" s="585"/>
      <c r="S1029" s="585"/>
      <c r="T1029" s="585"/>
      <c r="U1029" s="585"/>
      <c r="V1029" s="224"/>
      <c r="W1029" s="224"/>
    </row>
    <row r="1030">
      <c r="A1030" s="585"/>
      <c r="B1030" s="585"/>
      <c r="C1030" s="585"/>
      <c r="D1030" s="585"/>
      <c r="E1030" s="585"/>
      <c r="F1030" s="585"/>
      <c r="G1030" s="585"/>
      <c r="H1030" s="585"/>
      <c r="I1030" s="585"/>
      <c r="J1030" s="585"/>
      <c r="K1030" s="585"/>
      <c r="L1030" s="585"/>
      <c r="M1030" s="585"/>
      <c r="N1030" s="585"/>
      <c r="O1030" s="585"/>
      <c r="P1030" s="585"/>
      <c r="Q1030" s="585"/>
      <c r="R1030" s="585"/>
      <c r="S1030" s="585"/>
      <c r="T1030" s="585"/>
      <c r="U1030" s="585"/>
      <c r="V1030" s="224"/>
      <c r="W1030" s="224"/>
    </row>
    <row r="1031">
      <c r="A1031" s="585"/>
      <c r="B1031" s="585"/>
      <c r="C1031" s="585"/>
      <c r="D1031" s="585"/>
      <c r="E1031" s="585"/>
      <c r="F1031" s="585"/>
      <c r="G1031" s="585"/>
      <c r="H1031" s="585"/>
      <c r="I1031" s="585"/>
      <c r="J1031" s="585"/>
      <c r="K1031" s="585"/>
      <c r="L1031" s="585"/>
      <c r="M1031" s="585"/>
      <c r="N1031" s="585"/>
      <c r="O1031" s="585"/>
      <c r="P1031" s="585"/>
      <c r="Q1031" s="585"/>
      <c r="R1031" s="585"/>
      <c r="S1031" s="585"/>
      <c r="T1031" s="585"/>
      <c r="U1031" s="585"/>
      <c r="V1031" s="224"/>
      <c r="W1031" s="224"/>
    </row>
    <row r="1032">
      <c r="A1032" s="585"/>
      <c r="B1032" s="585"/>
      <c r="C1032" s="585"/>
      <c r="D1032" s="585"/>
      <c r="E1032" s="585"/>
      <c r="F1032" s="585"/>
      <c r="G1032" s="585"/>
      <c r="H1032" s="585"/>
      <c r="I1032" s="585"/>
      <c r="J1032" s="585"/>
      <c r="K1032" s="585"/>
      <c r="L1032" s="585"/>
      <c r="M1032" s="585"/>
      <c r="N1032" s="585"/>
      <c r="O1032" s="585"/>
      <c r="P1032" s="585"/>
      <c r="Q1032" s="585"/>
      <c r="R1032" s="585"/>
      <c r="S1032" s="585"/>
      <c r="T1032" s="585"/>
      <c r="U1032" s="585"/>
      <c r="V1032" s="224"/>
      <c r="W1032" s="224"/>
    </row>
    <row r="1033">
      <c r="A1033" s="585"/>
      <c r="B1033" s="585"/>
      <c r="C1033" s="585"/>
      <c r="D1033" s="585"/>
      <c r="E1033" s="585"/>
      <c r="F1033" s="585"/>
      <c r="G1033" s="585"/>
      <c r="H1033" s="585"/>
      <c r="I1033" s="585"/>
      <c r="J1033" s="585"/>
      <c r="K1033" s="585"/>
      <c r="L1033" s="585"/>
      <c r="M1033" s="585"/>
      <c r="N1033" s="585"/>
      <c r="O1033" s="585"/>
      <c r="P1033" s="585"/>
      <c r="Q1033" s="585"/>
      <c r="R1033" s="585"/>
      <c r="S1033" s="585"/>
      <c r="T1033" s="585"/>
      <c r="U1033" s="585"/>
      <c r="V1033" s="224"/>
      <c r="W1033" s="224"/>
    </row>
    <row r="1034">
      <c r="A1034" s="585"/>
      <c r="B1034" s="585"/>
      <c r="C1034" s="585"/>
      <c r="D1034" s="585"/>
      <c r="E1034" s="585"/>
      <c r="F1034" s="585"/>
      <c r="G1034" s="585"/>
      <c r="H1034" s="585"/>
      <c r="I1034" s="585"/>
      <c r="J1034" s="585"/>
      <c r="K1034" s="585"/>
      <c r="L1034" s="585"/>
      <c r="M1034" s="585"/>
      <c r="N1034" s="585"/>
      <c r="O1034" s="585"/>
      <c r="P1034" s="585"/>
      <c r="Q1034" s="585"/>
      <c r="R1034" s="585"/>
      <c r="S1034" s="585"/>
      <c r="T1034" s="585"/>
      <c r="U1034" s="585"/>
      <c r="V1034" s="224"/>
      <c r="W1034" s="224"/>
    </row>
    <row r="1035">
      <c r="A1035" s="585"/>
      <c r="B1035" s="585"/>
      <c r="C1035" s="585"/>
      <c r="D1035" s="585"/>
      <c r="E1035" s="585"/>
      <c r="F1035" s="585"/>
      <c r="G1035" s="585"/>
      <c r="H1035" s="585"/>
      <c r="I1035" s="585"/>
      <c r="J1035" s="585"/>
      <c r="K1035" s="585"/>
      <c r="L1035" s="585"/>
      <c r="M1035" s="585"/>
      <c r="N1035" s="585"/>
      <c r="O1035" s="585"/>
      <c r="P1035" s="585"/>
      <c r="Q1035" s="585"/>
      <c r="R1035" s="585"/>
      <c r="S1035" s="585"/>
      <c r="T1035" s="585"/>
      <c r="U1035" s="585"/>
      <c r="V1035" s="224"/>
      <c r="W1035" s="224"/>
    </row>
    <row r="1036">
      <c r="A1036" s="585"/>
      <c r="B1036" s="585"/>
      <c r="C1036" s="585"/>
      <c r="D1036" s="585"/>
      <c r="E1036" s="585"/>
      <c r="F1036" s="585"/>
      <c r="G1036" s="585"/>
      <c r="H1036" s="585"/>
      <c r="I1036" s="585"/>
      <c r="J1036" s="585"/>
      <c r="K1036" s="585"/>
      <c r="L1036" s="585"/>
      <c r="M1036" s="585"/>
      <c r="N1036" s="585"/>
      <c r="O1036" s="585"/>
      <c r="P1036" s="585"/>
      <c r="Q1036" s="585"/>
      <c r="R1036" s="585"/>
      <c r="S1036" s="585"/>
      <c r="T1036" s="585"/>
      <c r="U1036" s="585"/>
      <c r="V1036" s="224"/>
      <c r="W1036" s="224"/>
    </row>
    <row r="1037">
      <c r="A1037" s="585"/>
      <c r="B1037" s="585"/>
      <c r="C1037" s="585"/>
      <c r="D1037" s="585"/>
      <c r="E1037" s="585"/>
      <c r="F1037" s="585"/>
      <c r="G1037" s="585"/>
      <c r="H1037" s="585"/>
      <c r="I1037" s="585"/>
      <c r="J1037" s="585"/>
      <c r="K1037" s="585"/>
      <c r="L1037" s="585"/>
      <c r="M1037" s="585"/>
      <c r="N1037" s="585"/>
      <c r="O1037" s="585"/>
      <c r="P1037" s="585"/>
      <c r="Q1037" s="585"/>
      <c r="R1037" s="585"/>
      <c r="S1037" s="585"/>
      <c r="T1037" s="585"/>
      <c r="U1037" s="585"/>
      <c r="V1037" s="224"/>
      <c r="W1037" s="224"/>
    </row>
    <row r="1038">
      <c r="A1038" s="585"/>
      <c r="B1038" s="585"/>
      <c r="C1038" s="585"/>
      <c r="D1038" s="585"/>
      <c r="E1038" s="585"/>
      <c r="F1038" s="585"/>
      <c r="G1038" s="585"/>
      <c r="H1038" s="585"/>
      <c r="I1038" s="585"/>
      <c r="J1038" s="585"/>
      <c r="K1038" s="585"/>
      <c r="L1038" s="585"/>
      <c r="M1038" s="585"/>
      <c r="N1038" s="585"/>
      <c r="O1038" s="585"/>
      <c r="P1038" s="585"/>
      <c r="Q1038" s="585"/>
      <c r="R1038" s="585"/>
      <c r="S1038" s="585"/>
      <c r="T1038" s="585"/>
      <c r="U1038" s="585"/>
      <c r="V1038" s="224"/>
      <c r="W1038" s="224"/>
    </row>
    <row r="1039">
      <c r="A1039" s="585"/>
      <c r="B1039" s="585"/>
      <c r="C1039" s="585"/>
      <c r="D1039" s="585"/>
      <c r="E1039" s="585"/>
      <c r="F1039" s="585"/>
      <c r="G1039" s="585"/>
      <c r="H1039" s="585"/>
      <c r="I1039" s="585"/>
      <c r="J1039" s="585"/>
      <c r="K1039" s="585"/>
      <c r="L1039" s="585"/>
      <c r="M1039" s="585"/>
      <c r="N1039" s="585"/>
      <c r="O1039" s="585"/>
      <c r="P1039" s="585"/>
      <c r="Q1039" s="585"/>
      <c r="R1039" s="585"/>
      <c r="S1039" s="585"/>
      <c r="T1039" s="585"/>
      <c r="U1039" s="585"/>
      <c r="V1039" s="224"/>
      <c r="W1039" s="224"/>
    </row>
    <row r="1040">
      <c r="A1040" s="585"/>
      <c r="B1040" s="585"/>
      <c r="C1040" s="585"/>
      <c r="D1040" s="585"/>
      <c r="E1040" s="585"/>
      <c r="F1040" s="585"/>
      <c r="G1040" s="585"/>
      <c r="H1040" s="585"/>
      <c r="I1040" s="585"/>
      <c r="J1040" s="585"/>
      <c r="K1040" s="585"/>
      <c r="L1040" s="585"/>
      <c r="M1040" s="585"/>
      <c r="N1040" s="585"/>
      <c r="O1040" s="585"/>
      <c r="P1040" s="585"/>
      <c r="Q1040" s="585"/>
      <c r="R1040" s="585"/>
      <c r="S1040" s="585"/>
      <c r="T1040" s="585"/>
      <c r="U1040" s="585"/>
      <c r="V1040" s="224"/>
      <c r="W1040" s="224"/>
    </row>
    <row r="1041">
      <c r="A1041" s="585"/>
      <c r="B1041" s="585"/>
      <c r="C1041" s="585"/>
      <c r="D1041" s="585"/>
      <c r="E1041" s="585"/>
      <c r="F1041" s="585"/>
      <c r="G1041" s="585"/>
      <c r="H1041" s="585"/>
      <c r="I1041" s="585"/>
      <c r="J1041" s="585"/>
      <c r="K1041" s="585"/>
      <c r="L1041" s="585"/>
      <c r="M1041" s="585"/>
      <c r="N1041" s="585"/>
      <c r="O1041" s="585"/>
      <c r="P1041" s="585"/>
      <c r="Q1041" s="585"/>
      <c r="R1041" s="585"/>
      <c r="S1041" s="585"/>
      <c r="T1041" s="585"/>
      <c r="U1041" s="585"/>
      <c r="V1041" s="224"/>
      <c r="W1041" s="224"/>
    </row>
    <row r="1042">
      <c r="A1042" s="585"/>
      <c r="B1042" s="585"/>
      <c r="C1042" s="585"/>
      <c r="D1042" s="585"/>
      <c r="E1042" s="585"/>
      <c r="F1042" s="585"/>
      <c r="G1042" s="585"/>
      <c r="H1042" s="585"/>
      <c r="I1042" s="585"/>
      <c r="J1042" s="585"/>
      <c r="K1042" s="585"/>
      <c r="L1042" s="585"/>
      <c r="M1042" s="585"/>
      <c r="N1042" s="585"/>
      <c r="O1042" s="585"/>
      <c r="P1042" s="585"/>
      <c r="Q1042" s="585"/>
      <c r="R1042" s="585"/>
      <c r="S1042" s="585"/>
      <c r="T1042" s="585"/>
      <c r="U1042" s="585"/>
      <c r="V1042" s="224"/>
      <c r="W1042" s="224"/>
    </row>
    <row r="1043">
      <c r="A1043" s="585"/>
      <c r="B1043" s="585"/>
      <c r="C1043" s="585"/>
      <c r="D1043" s="585"/>
      <c r="E1043" s="585"/>
      <c r="F1043" s="585"/>
      <c r="G1043" s="585"/>
      <c r="H1043" s="585"/>
      <c r="I1043" s="585"/>
      <c r="J1043" s="585"/>
      <c r="K1043" s="585"/>
      <c r="L1043" s="585"/>
      <c r="M1043" s="585"/>
      <c r="N1043" s="585"/>
      <c r="O1043" s="585"/>
      <c r="P1043" s="585"/>
      <c r="Q1043" s="585"/>
      <c r="R1043" s="585"/>
      <c r="S1043" s="585"/>
      <c r="T1043" s="585"/>
      <c r="U1043" s="585"/>
      <c r="V1043" s="224"/>
      <c r="W1043" s="224"/>
    </row>
    <row r="1044">
      <c r="A1044" s="585"/>
      <c r="B1044" s="585"/>
      <c r="C1044" s="585"/>
      <c r="D1044" s="585"/>
      <c r="E1044" s="585"/>
      <c r="F1044" s="585"/>
      <c r="G1044" s="585"/>
      <c r="H1044" s="585"/>
      <c r="I1044" s="585"/>
      <c r="J1044" s="585"/>
      <c r="K1044" s="585"/>
      <c r="L1044" s="585"/>
      <c r="M1044" s="585"/>
      <c r="N1044" s="585"/>
      <c r="O1044" s="585"/>
      <c r="P1044" s="585"/>
      <c r="Q1044" s="585"/>
      <c r="R1044" s="585"/>
      <c r="S1044" s="585"/>
      <c r="T1044" s="585"/>
      <c r="U1044" s="585"/>
      <c r="V1044" s="224"/>
      <c r="W1044" s="224"/>
    </row>
    <row r="1045">
      <c r="A1045" s="585"/>
      <c r="B1045" s="585"/>
      <c r="C1045" s="585"/>
      <c r="D1045" s="585"/>
      <c r="E1045" s="585"/>
      <c r="F1045" s="585"/>
      <c r="G1045" s="585"/>
      <c r="H1045" s="585"/>
      <c r="I1045" s="585"/>
      <c r="J1045" s="585"/>
      <c r="K1045" s="585"/>
      <c r="L1045" s="585"/>
      <c r="M1045" s="585"/>
      <c r="N1045" s="585"/>
      <c r="O1045" s="585"/>
      <c r="P1045" s="585"/>
      <c r="Q1045" s="585"/>
      <c r="R1045" s="585"/>
      <c r="S1045" s="585"/>
      <c r="T1045" s="585"/>
      <c r="U1045" s="585"/>
      <c r="V1045" s="224"/>
      <c r="W1045" s="224"/>
    </row>
    <row r="1046">
      <c r="A1046" s="585"/>
      <c r="B1046" s="585"/>
      <c r="C1046" s="585"/>
      <c r="D1046" s="585"/>
      <c r="E1046" s="585"/>
      <c r="F1046" s="585"/>
      <c r="G1046" s="585"/>
      <c r="H1046" s="585"/>
      <c r="I1046" s="585"/>
      <c r="J1046" s="585"/>
      <c r="K1046" s="585"/>
      <c r="L1046" s="585"/>
      <c r="M1046" s="585"/>
      <c r="N1046" s="585"/>
      <c r="O1046" s="585"/>
      <c r="P1046" s="585"/>
      <c r="Q1046" s="585"/>
      <c r="R1046" s="585"/>
      <c r="S1046" s="585"/>
      <c r="T1046" s="585"/>
      <c r="U1046" s="585"/>
      <c r="V1046" s="224"/>
      <c r="W1046" s="224"/>
    </row>
    <row r="1047">
      <c r="A1047" s="585"/>
      <c r="B1047" s="585"/>
      <c r="C1047" s="585"/>
      <c r="D1047" s="585"/>
      <c r="E1047" s="585"/>
      <c r="F1047" s="585"/>
      <c r="G1047" s="585"/>
      <c r="H1047" s="585"/>
      <c r="I1047" s="585"/>
      <c r="J1047" s="585"/>
      <c r="K1047" s="585"/>
      <c r="L1047" s="585"/>
      <c r="M1047" s="585"/>
      <c r="N1047" s="585"/>
      <c r="O1047" s="585"/>
      <c r="P1047" s="585"/>
      <c r="Q1047" s="585"/>
      <c r="R1047" s="585"/>
      <c r="S1047" s="585"/>
      <c r="T1047" s="585"/>
      <c r="U1047" s="585"/>
      <c r="V1047" s="224"/>
      <c r="W1047" s="224"/>
    </row>
    <row r="1048">
      <c r="A1048" s="585"/>
      <c r="B1048" s="585"/>
      <c r="C1048" s="585"/>
      <c r="D1048" s="585"/>
      <c r="E1048" s="585"/>
      <c r="F1048" s="585"/>
      <c r="G1048" s="585"/>
      <c r="H1048" s="585"/>
      <c r="I1048" s="585"/>
      <c r="J1048" s="585"/>
      <c r="K1048" s="585"/>
      <c r="L1048" s="585"/>
      <c r="M1048" s="585"/>
      <c r="N1048" s="585"/>
      <c r="O1048" s="585"/>
      <c r="P1048" s="585"/>
      <c r="Q1048" s="585"/>
      <c r="R1048" s="585"/>
      <c r="S1048" s="585"/>
      <c r="T1048" s="585"/>
      <c r="U1048" s="585"/>
      <c r="V1048" s="224"/>
      <c r="W1048" s="224"/>
    </row>
    <row r="1049">
      <c r="A1049" s="585"/>
      <c r="B1049" s="585"/>
      <c r="C1049" s="585"/>
      <c r="D1049" s="585"/>
      <c r="E1049" s="585"/>
      <c r="F1049" s="585"/>
      <c r="G1049" s="585"/>
      <c r="H1049" s="585"/>
      <c r="I1049" s="585"/>
      <c r="J1049" s="585"/>
      <c r="K1049" s="585"/>
      <c r="L1049" s="585"/>
      <c r="M1049" s="585"/>
      <c r="N1049" s="585"/>
      <c r="O1049" s="585"/>
      <c r="P1049" s="585"/>
      <c r="Q1049" s="585"/>
      <c r="R1049" s="585"/>
      <c r="S1049" s="585"/>
      <c r="T1049" s="585"/>
      <c r="U1049" s="585"/>
      <c r="V1049" s="224"/>
      <c r="W1049" s="224"/>
    </row>
    <row r="1050">
      <c r="A1050" s="585"/>
      <c r="B1050" s="585"/>
      <c r="C1050" s="585"/>
      <c r="D1050" s="585"/>
      <c r="E1050" s="585"/>
      <c r="F1050" s="585"/>
      <c r="G1050" s="585"/>
      <c r="H1050" s="585"/>
      <c r="I1050" s="585"/>
      <c r="J1050" s="585"/>
      <c r="K1050" s="585"/>
      <c r="L1050" s="585"/>
      <c r="M1050" s="585"/>
      <c r="N1050" s="585"/>
      <c r="O1050" s="585"/>
      <c r="P1050" s="585"/>
      <c r="Q1050" s="585"/>
      <c r="R1050" s="585"/>
      <c r="S1050" s="585"/>
      <c r="T1050" s="585"/>
      <c r="U1050" s="585"/>
      <c r="V1050" s="224"/>
      <c r="W1050" s="224"/>
    </row>
    <row r="1051">
      <c r="A1051" s="585"/>
      <c r="B1051" s="585"/>
      <c r="C1051" s="585"/>
      <c r="D1051" s="585"/>
      <c r="E1051" s="585"/>
      <c r="F1051" s="585"/>
      <c r="G1051" s="585"/>
      <c r="H1051" s="585"/>
      <c r="I1051" s="585"/>
      <c r="J1051" s="585"/>
      <c r="K1051" s="585"/>
      <c r="L1051" s="585"/>
      <c r="M1051" s="585"/>
      <c r="N1051" s="585"/>
      <c r="O1051" s="585"/>
      <c r="P1051" s="585"/>
      <c r="Q1051" s="585"/>
      <c r="R1051" s="585"/>
      <c r="S1051" s="585"/>
      <c r="T1051" s="585"/>
      <c r="U1051" s="585"/>
      <c r="V1051" s="224"/>
      <c r="W1051" s="224"/>
    </row>
    <row r="1052">
      <c r="A1052" s="585"/>
      <c r="B1052" s="585"/>
      <c r="C1052" s="585"/>
      <c r="D1052" s="585"/>
      <c r="E1052" s="585"/>
      <c r="F1052" s="585"/>
      <c r="G1052" s="585"/>
      <c r="H1052" s="585"/>
      <c r="I1052" s="585"/>
      <c r="J1052" s="585"/>
      <c r="K1052" s="585"/>
      <c r="L1052" s="585"/>
      <c r="M1052" s="585"/>
      <c r="N1052" s="585"/>
      <c r="O1052" s="585"/>
      <c r="P1052" s="585"/>
      <c r="Q1052" s="585"/>
      <c r="R1052" s="585"/>
      <c r="S1052" s="585"/>
      <c r="T1052" s="585"/>
      <c r="U1052" s="585"/>
      <c r="V1052" s="224"/>
      <c r="W1052" s="224"/>
    </row>
    <row r="1053">
      <c r="A1053" s="585"/>
      <c r="B1053" s="585"/>
      <c r="C1053" s="585"/>
      <c r="D1053" s="585"/>
      <c r="E1053" s="585"/>
      <c r="F1053" s="585"/>
      <c r="G1053" s="585"/>
      <c r="H1053" s="585"/>
      <c r="I1053" s="585"/>
      <c r="J1053" s="585"/>
      <c r="K1053" s="585"/>
      <c r="L1053" s="585"/>
      <c r="M1053" s="585"/>
      <c r="N1053" s="585"/>
      <c r="O1053" s="585"/>
      <c r="P1053" s="585"/>
      <c r="Q1053" s="585"/>
      <c r="R1053" s="585"/>
      <c r="S1053" s="585"/>
      <c r="T1053" s="585"/>
      <c r="U1053" s="585"/>
      <c r="V1053" s="224"/>
      <c r="W1053" s="224"/>
    </row>
    <row r="1054">
      <c r="A1054" s="585"/>
      <c r="B1054" s="585"/>
      <c r="C1054" s="585"/>
      <c r="D1054" s="585"/>
      <c r="E1054" s="585"/>
      <c r="F1054" s="585"/>
      <c r="G1054" s="585"/>
      <c r="H1054" s="585"/>
      <c r="I1054" s="585"/>
      <c r="J1054" s="585"/>
      <c r="K1054" s="585"/>
      <c r="L1054" s="585"/>
      <c r="M1054" s="585"/>
      <c r="N1054" s="585"/>
      <c r="O1054" s="585"/>
      <c r="P1054" s="585"/>
      <c r="Q1054" s="585"/>
      <c r="R1054" s="585"/>
      <c r="S1054" s="585"/>
      <c r="T1054" s="585"/>
      <c r="U1054" s="585"/>
      <c r="V1054" s="224"/>
      <c r="W1054" s="224"/>
    </row>
    <row r="1055">
      <c r="A1055" s="585"/>
      <c r="B1055" s="585"/>
      <c r="C1055" s="585"/>
      <c r="D1055" s="585"/>
      <c r="E1055" s="585"/>
      <c r="F1055" s="585"/>
      <c r="G1055" s="585"/>
      <c r="H1055" s="585"/>
      <c r="I1055" s="585"/>
      <c r="J1055" s="585"/>
      <c r="K1055" s="585"/>
      <c r="L1055" s="585"/>
      <c r="M1055" s="585"/>
      <c r="N1055" s="585"/>
      <c r="O1055" s="585"/>
      <c r="P1055" s="585"/>
      <c r="Q1055" s="585"/>
      <c r="R1055" s="585"/>
      <c r="S1055" s="585"/>
      <c r="T1055" s="585"/>
      <c r="U1055" s="585"/>
      <c r="V1055" s="224"/>
      <c r="W1055" s="224"/>
    </row>
    <row r="1056">
      <c r="A1056" s="585"/>
      <c r="B1056" s="585"/>
      <c r="C1056" s="585"/>
      <c r="D1056" s="585"/>
      <c r="E1056" s="585"/>
      <c r="F1056" s="585"/>
      <c r="G1056" s="585"/>
      <c r="H1056" s="585"/>
      <c r="I1056" s="585"/>
      <c r="J1056" s="585"/>
      <c r="K1056" s="585"/>
      <c r="L1056" s="585"/>
      <c r="M1056" s="585"/>
      <c r="N1056" s="585"/>
      <c r="O1056" s="585"/>
      <c r="P1056" s="585"/>
      <c r="Q1056" s="585"/>
      <c r="R1056" s="585"/>
      <c r="S1056" s="585"/>
      <c r="T1056" s="585"/>
      <c r="U1056" s="585"/>
      <c r="V1056" s="224"/>
      <c r="W1056" s="224"/>
    </row>
    <row r="1057">
      <c r="A1057" s="585"/>
      <c r="B1057" s="585"/>
      <c r="C1057" s="585"/>
      <c r="D1057" s="585"/>
      <c r="E1057" s="585"/>
      <c r="F1057" s="585"/>
      <c r="G1057" s="585"/>
      <c r="H1057" s="585"/>
      <c r="I1057" s="585"/>
      <c r="J1057" s="585"/>
      <c r="K1057" s="585"/>
      <c r="L1057" s="585"/>
      <c r="M1057" s="585"/>
      <c r="N1057" s="585"/>
      <c r="O1057" s="585"/>
      <c r="P1057" s="585"/>
      <c r="Q1057" s="585"/>
      <c r="R1057" s="585"/>
      <c r="S1057" s="585"/>
      <c r="T1057" s="585"/>
      <c r="U1057" s="585"/>
      <c r="V1057" s="224"/>
      <c r="W1057" s="224"/>
    </row>
    <row r="1058">
      <c r="A1058" s="585"/>
      <c r="B1058" s="585"/>
      <c r="C1058" s="585"/>
      <c r="D1058" s="585"/>
      <c r="E1058" s="585"/>
      <c r="F1058" s="585"/>
      <c r="G1058" s="585"/>
      <c r="H1058" s="585"/>
      <c r="I1058" s="585"/>
      <c r="J1058" s="585"/>
      <c r="K1058" s="585"/>
      <c r="L1058" s="585"/>
      <c r="M1058" s="585"/>
      <c r="N1058" s="585"/>
      <c r="O1058" s="585"/>
      <c r="P1058" s="585"/>
      <c r="Q1058" s="585"/>
      <c r="R1058" s="585"/>
      <c r="S1058" s="585"/>
      <c r="T1058" s="585"/>
      <c r="U1058" s="585"/>
      <c r="V1058" s="224"/>
      <c r="W1058" s="224"/>
    </row>
    <row r="1059">
      <c r="A1059" s="585"/>
      <c r="B1059" s="585"/>
      <c r="C1059" s="585"/>
      <c r="D1059" s="585"/>
      <c r="E1059" s="585"/>
      <c r="F1059" s="585"/>
      <c r="G1059" s="585"/>
      <c r="H1059" s="585"/>
      <c r="I1059" s="585"/>
      <c r="J1059" s="585"/>
      <c r="K1059" s="585"/>
      <c r="L1059" s="585"/>
      <c r="M1059" s="585"/>
      <c r="N1059" s="585"/>
      <c r="O1059" s="585"/>
      <c r="P1059" s="585"/>
      <c r="Q1059" s="585"/>
      <c r="R1059" s="585"/>
      <c r="S1059" s="585"/>
      <c r="T1059" s="585"/>
      <c r="U1059" s="585"/>
      <c r="V1059" s="224"/>
      <c r="W1059" s="224"/>
    </row>
    <row r="1060">
      <c r="A1060" s="585"/>
      <c r="B1060" s="585"/>
      <c r="C1060" s="585"/>
      <c r="D1060" s="585"/>
      <c r="E1060" s="585"/>
      <c r="F1060" s="585"/>
      <c r="G1060" s="585"/>
      <c r="H1060" s="585"/>
      <c r="I1060" s="585"/>
      <c r="J1060" s="585"/>
      <c r="K1060" s="585"/>
      <c r="L1060" s="585"/>
      <c r="M1060" s="585"/>
      <c r="N1060" s="585"/>
      <c r="O1060" s="585"/>
      <c r="P1060" s="585"/>
      <c r="Q1060" s="585"/>
      <c r="R1060" s="585"/>
      <c r="S1060" s="585"/>
      <c r="T1060" s="585"/>
      <c r="U1060" s="585"/>
      <c r="V1060" s="224"/>
      <c r="W1060" s="224"/>
    </row>
  </sheetData>
  <mergeCells count="351">
    <mergeCell ref="R42:R43"/>
    <mergeCell ref="S42:S43"/>
    <mergeCell ref="T42:T43"/>
    <mergeCell ref="U42:U43"/>
    <mergeCell ref="S44:S45"/>
    <mergeCell ref="T44:T45"/>
    <mergeCell ref="U44:U45"/>
    <mergeCell ref="R44:R45"/>
    <mergeCell ref="R49:R50"/>
    <mergeCell ref="S49:S50"/>
    <mergeCell ref="T49:T50"/>
    <mergeCell ref="U49:U50"/>
    <mergeCell ref="R51:R52"/>
    <mergeCell ref="S51:S52"/>
    <mergeCell ref="T68:T69"/>
    <mergeCell ref="U68:U69"/>
    <mergeCell ref="T59:T60"/>
    <mergeCell ref="U59:U60"/>
    <mergeCell ref="R66:R69"/>
    <mergeCell ref="S66:S67"/>
    <mergeCell ref="T66:T67"/>
    <mergeCell ref="U66:U67"/>
    <mergeCell ref="S68:S69"/>
    <mergeCell ref="R70:R71"/>
    <mergeCell ref="S70:S71"/>
    <mergeCell ref="T70:T71"/>
    <mergeCell ref="U70:U71"/>
    <mergeCell ref="S72:S73"/>
    <mergeCell ref="T72:T73"/>
    <mergeCell ref="U72:U73"/>
    <mergeCell ref="S79:S80"/>
    <mergeCell ref="T79:T80"/>
    <mergeCell ref="S77:S78"/>
    <mergeCell ref="S81:S82"/>
    <mergeCell ref="T81:T82"/>
    <mergeCell ref="U81:U82"/>
    <mergeCell ref="R72:R73"/>
    <mergeCell ref="R74:R75"/>
    <mergeCell ref="S74:S75"/>
    <mergeCell ref="T74:T75"/>
    <mergeCell ref="U74:U75"/>
    <mergeCell ref="R77:R84"/>
    <mergeCell ref="U79:U80"/>
    <mergeCell ref="U83:U84"/>
    <mergeCell ref="N88:N89"/>
    <mergeCell ref="Q88:Q89"/>
    <mergeCell ref="S83:S84"/>
    <mergeCell ref="T83:T84"/>
    <mergeCell ref="R86:R87"/>
    <mergeCell ref="S86:S87"/>
    <mergeCell ref="T86:T87"/>
    <mergeCell ref="U86:U87"/>
    <mergeCell ref="M88:M89"/>
    <mergeCell ref="R26:R27"/>
    <mergeCell ref="S26:S27"/>
    <mergeCell ref="T26:T27"/>
    <mergeCell ref="U26:U27"/>
    <mergeCell ref="S28:S29"/>
    <mergeCell ref="T28:T29"/>
    <mergeCell ref="U28:U29"/>
    <mergeCell ref="R28:R29"/>
    <mergeCell ref="R30:R31"/>
    <mergeCell ref="S30:S31"/>
    <mergeCell ref="T30:T31"/>
    <mergeCell ref="U30:U31"/>
    <mergeCell ref="R32:R33"/>
    <mergeCell ref="S32:S33"/>
    <mergeCell ref="R34:R35"/>
    <mergeCell ref="S34:S35"/>
    <mergeCell ref="T34:T35"/>
    <mergeCell ref="U34:U35"/>
    <mergeCell ref="S36:S37"/>
    <mergeCell ref="T36:T37"/>
    <mergeCell ref="U36:U37"/>
    <mergeCell ref="T40:T41"/>
    <mergeCell ref="U40:U41"/>
    <mergeCell ref="R36:R37"/>
    <mergeCell ref="R38:R39"/>
    <mergeCell ref="S38:S39"/>
    <mergeCell ref="T38:T39"/>
    <mergeCell ref="U38:U39"/>
    <mergeCell ref="R40:R41"/>
    <mergeCell ref="S40:S41"/>
    <mergeCell ref="T51:T52"/>
    <mergeCell ref="U51:U52"/>
    <mergeCell ref="T77:T78"/>
    <mergeCell ref="U77:U78"/>
    <mergeCell ref="A44:A45"/>
    <mergeCell ref="B49:B50"/>
    <mergeCell ref="C49:C50"/>
    <mergeCell ref="D49:D50"/>
    <mergeCell ref="E49:E50"/>
    <mergeCell ref="F49:F50"/>
    <mergeCell ref="G49:G50"/>
    <mergeCell ref="A49:A50"/>
    <mergeCell ref="B51:B52"/>
    <mergeCell ref="C51:C52"/>
    <mergeCell ref="D51:D52"/>
    <mergeCell ref="E51:E52"/>
    <mergeCell ref="F51:F52"/>
    <mergeCell ref="G51:G52"/>
    <mergeCell ref="A63:A64"/>
    <mergeCell ref="B66:B67"/>
    <mergeCell ref="C66:C67"/>
    <mergeCell ref="D66:D67"/>
    <mergeCell ref="E66:E67"/>
    <mergeCell ref="F66:F67"/>
    <mergeCell ref="G66:G67"/>
    <mergeCell ref="A66:A67"/>
    <mergeCell ref="B68:B69"/>
    <mergeCell ref="C68:C69"/>
    <mergeCell ref="D68:D69"/>
    <mergeCell ref="E68:E69"/>
    <mergeCell ref="F68:F69"/>
    <mergeCell ref="G68:G69"/>
    <mergeCell ref="A68:A69"/>
    <mergeCell ref="B70:B71"/>
    <mergeCell ref="C70:C71"/>
    <mergeCell ref="D70:D71"/>
    <mergeCell ref="E70:E71"/>
    <mergeCell ref="F70:F71"/>
    <mergeCell ref="G70:G71"/>
    <mergeCell ref="A70:A71"/>
    <mergeCell ref="B72:B73"/>
    <mergeCell ref="C72:C73"/>
    <mergeCell ref="D72:D73"/>
    <mergeCell ref="E72:E73"/>
    <mergeCell ref="F72:F73"/>
    <mergeCell ref="G72:G73"/>
    <mergeCell ref="A72:A73"/>
    <mergeCell ref="B74:B75"/>
    <mergeCell ref="C74:C75"/>
    <mergeCell ref="D74:D75"/>
    <mergeCell ref="E74:E75"/>
    <mergeCell ref="F74:F75"/>
    <mergeCell ref="G74:G75"/>
    <mergeCell ref="A74:A75"/>
    <mergeCell ref="B77:B78"/>
    <mergeCell ref="C77:C78"/>
    <mergeCell ref="D77:D78"/>
    <mergeCell ref="E77:E78"/>
    <mergeCell ref="F77:F78"/>
    <mergeCell ref="G77:G78"/>
    <mergeCell ref="A77:A78"/>
    <mergeCell ref="B79:B80"/>
    <mergeCell ref="C79:C80"/>
    <mergeCell ref="D79:D80"/>
    <mergeCell ref="E79:E80"/>
    <mergeCell ref="F79:F80"/>
    <mergeCell ref="G79:G80"/>
    <mergeCell ref="A79:A80"/>
    <mergeCell ref="B81:B82"/>
    <mergeCell ref="C81:C82"/>
    <mergeCell ref="D81:D82"/>
    <mergeCell ref="E81:E82"/>
    <mergeCell ref="F81:F82"/>
    <mergeCell ref="G81:G82"/>
    <mergeCell ref="A81:A82"/>
    <mergeCell ref="B83:B84"/>
    <mergeCell ref="C83:C84"/>
    <mergeCell ref="D83:D84"/>
    <mergeCell ref="E83:E84"/>
    <mergeCell ref="F83:F84"/>
    <mergeCell ref="G83:G84"/>
    <mergeCell ref="A83:A84"/>
    <mergeCell ref="A86:A87"/>
    <mergeCell ref="C86:C87"/>
    <mergeCell ref="D86:D87"/>
    <mergeCell ref="E86:E87"/>
    <mergeCell ref="F86:F87"/>
    <mergeCell ref="G86:G87"/>
    <mergeCell ref="C101:H101"/>
    <mergeCell ref="A22:A23"/>
    <mergeCell ref="B24:B25"/>
    <mergeCell ref="C24:C25"/>
    <mergeCell ref="D24:D25"/>
    <mergeCell ref="E24:E25"/>
    <mergeCell ref="F24:F25"/>
    <mergeCell ref="G24:G25"/>
    <mergeCell ref="A24:A25"/>
    <mergeCell ref="B26:B27"/>
    <mergeCell ref="C26:C27"/>
    <mergeCell ref="D26:D27"/>
    <mergeCell ref="E26:E27"/>
    <mergeCell ref="F26:F27"/>
    <mergeCell ref="G26:G27"/>
    <mergeCell ref="A30:A31"/>
    <mergeCell ref="B30:B31"/>
    <mergeCell ref="C30:C31"/>
    <mergeCell ref="D30:D31"/>
    <mergeCell ref="E30:E31"/>
    <mergeCell ref="F30:F31"/>
    <mergeCell ref="G30:G31"/>
    <mergeCell ref="A32:A33"/>
    <mergeCell ref="B32:B33"/>
    <mergeCell ref="C32:C33"/>
    <mergeCell ref="D32:D33"/>
    <mergeCell ref="E32:E33"/>
    <mergeCell ref="F32:F33"/>
    <mergeCell ref="G32:G33"/>
    <mergeCell ref="A34:A35"/>
    <mergeCell ref="B34:B35"/>
    <mergeCell ref="C34:C35"/>
    <mergeCell ref="D34:D35"/>
    <mergeCell ref="E34:E35"/>
    <mergeCell ref="F34:F35"/>
    <mergeCell ref="G34:G35"/>
    <mergeCell ref="A36:A37"/>
    <mergeCell ref="B36:B37"/>
    <mergeCell ref="C36:C37"/>
    <mergeCell ref="D36:D37"/>
    <mergeCell ref="E36:E37"/>
    <mergeCell ref="F36:F37"/>
    <mergeCell ref="G36:G37"/>
    <mergeCell ref="B86:B87"/>
    <mergeCell ref="A88:B89"/>
    <mergeCell ref="A5:A6"/>
    <mergeCell ref="B5:B6"/>
    <mergeCell ref="E5:E6"/>
    <mergeCell ref="A7:A8"/>
    <mergeCell ref="B7:B8"/>
    <mergeCell ref="A9:A10"/>
    <mergeCell ref="B9:B10"/>
    <mergeCell ref="E7:E8"/>
    <mergeCell ref="E9:E10"/>
    <mergeCell ref="S19:S21"/>
    <mergeCell ref="T19:T21"/>
    <mergeCell ref="U19:U21"/>
    <mergeCell ref="M20:M21"/>
    <mergeCell ref="N20:N21"/>
    <mergeCell ref="A20:B21"/>
    <mergeCell ref="B22:B23"/>
    <mergeCell ref="C22:C23"/>
    <mergeCell ref="D22:D23"/>
    <mergeCell ref="E22:E23"/>
    <mergeCell ref="F22:F23"/>
    <mergeCell ref="G22:G23"/>
    <mergeCell ref="T24:T25"/>
    <mergeCell ref="U24:U25"/>
    <mergeCell ref="Q20:Q21"/>
    <mergeCell ref="R22:R23"/>
    <mergeCell ref="S22:S23"/>
    <mergeCell ref="T22:T23"/>
    <mergeCell ref="U22:U23"/>
    <mergeCell ref="R24:R25"/>
    <mergeCell ref="S24:S25"/>
    <mergeCell ref="A26:A27"/>
    <mergeCell ref="A28:A29"/>
    <mergeCell ref="B28:B29"/>
    <mergeCell ref="C28:C29"/>
    <mergeCell ref="D28:D29"/>
    <mergeCell ref="E28:E29"/>
    <mergeCell ref="F28:F29"/>
    <mergeCell ref="G28:G29"/>
    <mergeCell ref="T32:T33"/>
    <mergeCell ref="U32:U33"/>
    <mergeCell ref="A38:A39"/>
    <mergeCell ref="B38:B39"/>
    <mergeCell ref="C38:C39"/>
    <mergeCell ref="D38:D39"/>
    <mergeCell ref="E38:E39"/>
    <mergeCell ref="F38:F39"/>
    <mergeCell ref="G38:G39"/>
    <mergeCell ref="M46:M47"/>
    <mergeCell ref="N46:N47"/>
    <mergeCell ref="Q46:Q47"/>
    <mergeCell ref="A40:A41"/>
    <mergeCell ref="B40:B41"/>
    <mergeCell ref="C40:C41"/>
    <mergeCell ref="D40:D41"/>
    <mergeCell ref="E40:E41"/>
    <mergeCell ref="F40:F41"/>
    <mergeCell ref="G40:G41"/>
    <mergeCell ref="A42:A43"/>
    <mergeCell ref="B42:B43"/>
    <mergeCell ref="C42:C43"/>
    <mergeCell ref="D42:D43"/>
    <mergeCell ref="E42:E43"/>
    <mergeCell ref="F42:F43"/>
    <mergeCell ref="G42:G43"/>
    <mergeCell ref="B44:B45"/>
    <mergeCell ref="C44:C45"/>
    <mergeCell ref="D44:D45"/>
    <mergeCell ref="E44:E45"/>
    <mergeCell ref="F44:F45"/>
    <mergeCell ref="G44:G45"/>
    <mergeCell ref="A46:B47"/>
    <mergeCell ref="A51:A52"/>
    <mergeCell ref="B53:B54"/>
    <mergeCell ref="C53:C54"/>
    <mergeCell ref="D53:D54"/>
    <mergeCell ref="E53:E54"/>
    <mergeCell ref="F53:F54"/>
    <mergeCell ref="G53:G54"/>
    <mergeCell ref="A53:A54"/>
    <mergeCell ref="B55:B56"/>
    <mergeCell ref="C55:C56"/>
    <mergeCell ref="D55:D56"/>
    <mergeCell ref="E55:E56"/>
    <mergeCell ref="F55:F56"/>
    <mergeCell ref="G55:G56"/>
    <mergeCell ref="R53:R54"/>
    <mergeCell ref="S53:S54"/>
    <mergeCell ref="T53:T54"/>
    <mergeCell ref="U53:U54"/>
    <mergeCell ref="S55:S56"/>
    <mergeCell ref="T55:T56"/>
    <mergeCell ref="U55:U56"/>
    <mergeCell ref="R61:R62"/>
    <mergeCell ref="S61:S62"/>
    <mergeCell ref="T61:T62"/>
    <mergeCell ref="U61:U62"/>
    <mergeCell ref="R63:R64"/>
    <mergeCell ref="S63:S64"/>
    <mergeCell ref="T63:T64"/>
    <mergeCell ref="U63:U64"/>
    <mergeCell ref="R55:R56"/>
    <mergeCell ref="R57:R58"/>
    <mergeCell ref="S57:S58"/>
    <mergeCell ref="T57:T58"/>
    <mergeCell ref="U57:U58"/>
    <mergeCell ref="R59:R60"/>
    <mergeCell ref="S59:S60"/>
    <mergeCell ref="A55:A56"/>
    <mergeCell ref="B57:B58"/>
    <mergeCell ref="C57:C58"/>
    <mergeCell ref="D57:D58"/>
    <mergeCell ref="E57:E58"/>
    <mergeCell ref="F57:F58"/>
    <mergeCell ref="G57:G58"/>
    <mergeCell ref="A57:A58"/>
    <mergeCell ref="B59:B60"/>
    <mergeCell ref="C59:C60"/>
    <mergeCell ref="D59:D60"/>
    <mergeCell ref="E59:E60"/>
    <mergeCell ref="F59:F60"/>
    <mergeCell ref="G59:G60"/>
    <mergeCell ref="A59:A60"/>
    <mergeCell ref="B61:B62"/>
    <mergeCell ref="C61:C62"/>
    <mergeCell ref="D61:D62"/>
    <mergeCell ref="E61:E62"/>
    <mergeCell ref="F61:F62"/>
    <mergeCell ref="G61:G62"/>
    <mergeCell ref="A61:A62"/>
    <mergeCell ref="B63:B64"/>
    <mergeCell ref="C63:C64"/>
    <mergeCell ref="D63:D64"/>
    <mergeCell ref="E63:E64"/>
    <mergeCell ref="F63:F64"/>
    <mergeCell ref="G63:G64"/>
  </mergeCells>
  <conditionalFormatting sqref="D22:D35 D46:D82 D85:D87">
    <cfRule type="expression" dxfId="0" priority="1">
      <formula>#REF!=TRUE</formula>
    </cfRule>
  </conditionalFormatting>
  <conditionalFormatting sqref="D22:D35 D46:D82 D85:D87">
    <cfRule type="expression" dxfId="1" priority="2">
      <formula>#REF!=TRUE</formula>
    </cfRule>
  </conditionalFormatting>
  <conditionalFormatting sqref="D22:D23 D55:D58 D65:D67 D70:D76 D81:D82 D85 D91:D92 D96 D100">
    <cfRule type="expression" dxfId="0" priority="3">
      <formula>#REF!=TRUE</formula>
    </cfRule>
  </conditionalFormatting>
  <conditionalFormatting sqref="D22:D23 D55:D58 D65:D67 D70:D76 D81:D82 D85 D91:D92 D96 D100">
    <cfRule type="expression" dxfId="1" priority="4">
      <formula>P22=TRUE</formula>
    </cfRule>
  </conditionalFormatting>
  <dataValidations>
    <dataValidation type="list" allowBlank="1" showErrorMessage="1" sqref="G22 G24 G26 G28 G30 G32 G34 G36 G38 G40 G42 G44 G48:G49 G51 G53 G55 G57 G59 G61 G63 G66 G68 G70 G72 G74 G77 G79 G81 G83 G85:G86 G90:G99">
      <formula1>"Hồ Chí Minh,Đồng Nai,Bình Dương,Hải Dương,Hà Nội ,Hải Phòng,Sóc Trăng,Cần Thơ,Mass,Đồng Tháp"</formula1>
    </dataValidation>
    <dataValidation type="list" allowBlank="1" showErrorMessage="1" sqref="U22 U24 U26 U28 U30 U32 U34 U36 U38 U40 U42 U44 U48:U49 U51 U53 U55 U57 U59 U61 U63 U65:U66 U68 U70 U72 U74 U76:U77 U79 U81 U83 U85:U86 U90:U99">
      <formula1>"Confirm,Không phù hợp,Đề xuất thêm"</formula1>
    </dataValidation>
    <dataValidation type="list" allowBlank="1" showErrorMessage="1" sqref="E22 E24 E26 E28 E30 E32 E34 E36 E38 E40 E42 E44 E48:E49 E51 E53 E55 E57 E59 E61 E63 E66 E68 E70 E72 E74 E77 E79 E81 E83 E85:E86 E90:E99">
      <formula1>"Nano,Macro,Micro"</formula1>
    </dataValidation>
    <dataValidation type="list" allowBlank="1" showErrorMessage="1" sqref="C22 C24 C26 C28 C30 C32 C34 C36 C38 C40 C42 C44 C48:C49 C51 C53 C55 C57 C59 C61 C63 C66 C68 C70 C72 C74 C77 C79 C81 C83 C85:C86 C90:C99">
      <formula1>"Tiktok,Facebook,Instagram,TikTok &amp; Facebook"</formula1>
    </dataValidation>
  </dataValidations>
  <hyperlinks>
    <hyperlink r:id="rId4" ref="F22"/>
    <hyperlink r:id="rId5" ref="H22"/>
    <hyperlink r:id="rId6" ref="F24"/>
    <hyperlink r:id="rId7" ref="H24"/>
    <hyperlink r:id="rId8" ref="F26"/>
    <hyperlink r:id="rId9" ref="H26"/>
    <hyperlink r:id="rId10" ref="F28"/>
    <hyperlink r:id="rId11" ref="H28"/>
    <hyperlink r:id="rId12" ref="F30"/>
    <hyperlink r:id="rId13" ref="H30"/>
    <hyperlink r:id="rId14" ref="F32"/>
    <hyperlink r:id="rId15" ref="H32"/>
    <hyperlink r:id="rId16" ref="S32"/>
    <hyperlink r:id="rId17" ref="F34"/>
    <hyperlink r:id="rId18" ref="H34"/>
    <hyperlink r:id="rId19" ref="F36"/>
    <hyperlink r:id="rId20" ref="H36"/>
    <hyperlink r:id="rId21" ref="F38"/>
    <hyperlink r:id="rId22" ref="H38"/>
    <hyperlink r:id="rId23" ref="F40"/>
    <hyperlink r:id="rId24" ref="H40"/>
    <hyperlink r:id="rId25" ref="F42"/>
    <hyperlink r:id="rId26" ref="H42"/>
    <hyperlink r:id="rId27" ref="F44"/>
    <hyperlink r:id="rId28" ref="H44"/>
    <hyperlink r:id="rId29" ref="F49"/>
    <hyperlink r:id="rId30" ref="H49"/>
    <hyperlink r:id="rId31" ref="F51"/>
    <hyperlink r:id="rId32" ref="H51"/>
    <hyperlink r:id="rId33" ref="F53"/>
    <hyperlink r:id="rId34" ref="H53"/>
    <hyperlink r:id="rId35" ref="F55"/>
    <hyperlink r:id="rId36" ref="H55"/>
    <hyperlink r:id="rId37" ref="F57"/>
    <hyperlink r:id="rId38" ref="H57"/>
    <hyperlink r:id="rId39" ref="F59"/>
    <hyperlink r:id="rId40" ref="H59"/>
    <hyperlink r:id="rId41" ref="F61"/>
    <hyperlink r:id="rId42" ref="H61"/>
    <hyperlink r:id="rId43" ref="F63"/>
    <hyperlink r:id="rId44" ref="H63"/>
    <hyperlink r:id="rId45" ref="F66"/>
    <hyperlink r:id="rId46" ref="H66"/>
    <hyperlink r:id="rId47" ref="F68"/>
    <hyperlink r:id="rId48" ref="H68"/>
    <hyperlink r:id="rId49" ref="F70"/>
    <hyperlink r:id="rId50" ref="H70"/>
    <hyperlink r:id="rId51" ref="F72"/>
    <hyperlink r:id="rId52" ref="H72"/>
    <hyperlink r:id="rId53" ref="F74"/>
    <hyperlink r:id="rId54" ref="H74"/>
    <hyperlink r:id="rId55" ref="F77"/>
    <hyperlink r:id="rId56" ref="H77"/>
    <hyperlink r:id="rId57" ref="F79"/>
    <hyperlink r:id="rId58" ref="H79"/>
    <hyperlink r:id="rId59" ref="F81"/>
    <hyperlink r:id="rId60" ref="H81"/>
    <hyperlink r:id="rId61" ref="F83"/>
    <hyperlink r:id="rId62" ref="H83"/>
    <hyperlink r:id="rId63" ref="F86"/>
    <hyperlink r:id="rId64" ref="H86"/>
    <hyperlink r:id="rId65" ref="F90"/>
    <hyperlink r:id="rId66" ref="F91"/>
    <hyperlink r:id="rId67" ref="F92"/>
    <hyperlink r:id="rId68" ref="F93"/>
    <hyperlink r:id="rId69" ref="F94"/>
    <hyperlink r:id="rId70" ref="F95"/>
    <hyperlink r:id="rId71" ref="F96"/>
    <hyperlink r:id="rId72" ref="F97"/>
    <hyperlink r:id="rId73" ref="F98"/>
    <hyperlink r:id="rId74" ref="F99"/>
  </hyperlinks>
  <drawing r:id="rId75"/>
  <legacyDrawing r:id="rId7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8.25"/>
    <col customWidth="1" min="3" max="3" width="20.5"/>
    <col customWidth="1" min="4" max="4" width="22.5"/>
    <col customWidth="1" min="5" max="5" width="19.5"/>
    <col customWidth="1" min="6" max="6" width="17.0"/>
    <col customWidth="1" min="7" max="7" width="33.25"/>
    <col customWidth="1" min="8" max="8" width="32.63"/>
    <col customWidth="1" min="9" max="9" width="19.88"/>
  </cols>
  <sheetData>
    <row r="1">
      <c r="A1" s="1282"/>
      <c r="B1" s="1283"/>
      <c r="C1" s="1283"/>
      <c r="D1" s="1283"/>
      <c r="E1" s="1284"/>
      <c r="F1" s="1284"/>
      <c r="G1" s="1285"/>
      <c r="H1" s="1284"/>
    </row>
    <row r="2">
      <c r="A2" s="1286"/>
      <c r="B2" s="1287" t="s">
        <v>2506</v>
      </c>
      <c r="C2" s="1287" t="s">
        <v>2507</v>
      </c>
      <c r="D2" s="1288" t="s">
        <v>2508</v>
      </c>
      <c r="E2" s="1289" t="s">
        <v>2509</v>
      </c>
      <c r="F2" s="1284"/>
      <c r="G2" s="1285"/>
      <c r="H2" s="1284"/>
    </row>
    <row r="3">
      <c r="A3" s="1290" t="s">
        <v>2510</v>
      </c>
      <c r="B3" s="1291">
        <f>sumif($E$12:E65,B2,$D$12:D65)*1.12</f>
        <v>414400000</v>
      </c>
      <c r="C3" s="1291">
        <f>sumif($E$12:E65,C2,$D$12:D65)*1.12</f>
        <v>285600000</v>
      </c>
      <c r="D3" s="1291">
        <f>SUM(B3:C3)</f>
        <v>700000000</v>
      </c>
      <c r="E3" s="1284">
        <f>D10*1.12</f>
        <v>700000000</v>
      </c>
      <c r="F3" s="1284"/>
      <c r="G3" s="1285"/>
      <c r="H3" s="1284"/>
    </row>
    <row r="4">
      <c r="A4" s="1290" t="s">
        <v>2511</v>
      </c>
      <c r="B4" s="1292">
        <f>SUMIF(E12:E65,B2,C12:C65)</f>
        <v>173725556</v>
      </c>
      <c r="C4" s="1293">
        <f>SUMIF(E11:E33,C2,C11:C33)</f>
        <v>164620226.3</v>
      </c>
      <c r="D4" s="1291">
        <f t="shared" ref="D4:D5" si="2">sum(B4:C4)</f>
        <v>338345782.3</v>
      </c>
      <c r="E4" s="1284"/>
      <c r="F4" s="1284"/>
      <c r="G4" s="1285"/>
      <c r="H4" s="1284"/>
    </row>
    <row r="5">
      <c r="A5" s="1290" t="s">
        <v>2512</v>
      </c>
      <c r="B5" s="1293">
        <f t="shared" ref="B5:C5" si="1">B3-B4</f>
        <v>240674444</v>
      </c>
      <c r="C5" s="1293">
        <f t="shared" si="1"/>
        <v>120979773.7</v>
      </c>
      <c r="D5" s="1291">
        <f t="shared" si="2"/>
        <v>361654217.7</v>
      </c>
      <c r="E5" s="1284"/>
      <c r="F5" s="1284"/>
      <c r="G5" s="1285"/>
      <c r="H5" s="1284"/>
    </row>
    <row r="6">
      <c r="A6" s="1282"/>
      <c r="B6" s="1294">
        <f t="shared" ref="B6:D6" si="3">iferror(B5/B3,"-")</f>
        <v>0.5807780985</v>
      </c>
      <c r="C6" s="1294">
        <f t="shared" si="3"/>
        <v>0.4235986473</v>
      </c>
      <c r="D6" s="1295">
        <f t="shared" si="3"/>
        <v>0.5166488824</v>
      </c>
      <c r="E6" s="1284"/>
      <c r="F6" s="1284"/>
      <c r="G6" s="1285"/>
      <c r="H6" s="1284"/>
    </row>
    <row r="7">
      <c r="A7" s="1283"/>
      <c r="B7" s="1296"/>
      <c r="C7" s="1282"/>
      <c r="D7" s="1282"/>
      <c r="E7" s="1284"/>
      <c r="F7" s="1284"/>
      <c r="G7" s="1285"/>
      <c r="H7" s="1284"/>
    </row>
    <row r="8">
      <c r="A8" s="1283"/>
      <c r="B8" s="1297"/>
      <c r="C8" s="1282"/>
      <c r="D8" s="1282"/>
      <c r="E8" s="1284"/>
      <c r="F8" s="1284"/>
      <c r="G8" s="1285"/>
      <c r="H8" s="1284"/>
    </row>
    <row r="9">
      <c r="A9" s="1288" t="s">
        <v>16</v>
      </c>
      <c r="B9" s="1288" t="s">
        <v>2513</v>
      </c>
      <c r="C9" s="1288" t="s">
        <v>2511</v>
      </c>
      <c r="D9" s="1288" t="s">
        <v>2514</v>
      </c>
      <c r="E9" s="1288" t="s">
        <v>2515</v>
      </c>
      <c r="F9" s="1288" t="s">
        <v>2516</v>
      </c>
      <c r="G9" s="1298" t="s">
        <v>2517</v>
      </c>
      <c r="H9" s="1284"/>
    </row>
    <row r="10">
      <c r="A10" s="1299"/>
      <c r="B10" s="1299"/>
      <c r="C10" s="1300">
        <f t="shared" ref="C10:D10" si="4">sum(C12:C33)</f>
        <v>338345782.3</v>
      </c>
      <c r="D10" s="1300">
        <f t="shared" si="4"/>
        <v>625000000</v>
      </c>
      <c r="E10" s="1301"/>
      <c r="F10" s="1301"/>
      <c r="G10" s="1302"/>
      <c r="H10" s="1284"/>
    </row>
    <row r="11">
      <c r="A11" s="1303" t="s">
        <v>2050</v>
      </c>
      <c r="B11" s="845"/>
      <c r="C11" s="1304"/>
      <c r="D11" s="1304"/>
      <c r="E11" s="1305"/>
      <c r="F11" s="1305"/>
      <c r="G11" s="1306"/>
      <c r="H11" s="1284"/>
    </row>
    <row r="12">
      <c r="A12" s="1307">
        <v>1.0</v>
      </c>
      <c r="B12" s="1308" t="s">
        <v>364</v>
      </c>
      <c r="C12" s="1308">
        <v>5.65E7</v>
      </c>
      <c r="D12" s="1308">
        <v>1.04E8</v>
      </c>
      <c r="E12" s="1307" t="s">
        <v>2507</v>
      </c>
      <c r="F12" s="1309"/>
      <c r="G12" s="1310" t="s">
        <v>2518</v>
      </c>
      <c r="H12" s="1284"/>
    </row>
    <row r="13">
      <c r="A13" s="1307">
        <v>2.0</v>
      </c>
      <c r="B13" s="1308" t="s">
        <v>363</v>
      </c>
      <c r="C13" s="1308">
        <v>1.462E8</v>
      </c>
      <c r="D13" s="1308">
        <v>2.89E8</v>
      </c>
      <c r="E13" s="1307" t="s">
        <v>2506</v>
      </c>
      <c r="F13" s="1309"/>
      <c r="G13" s="1310" t="s">
        <v>2519</v>
      </c>
      <c r="H13" s="1284"/>
    </row>
    <row r="14">
      <c r="A14" s="1307">
        <v>3.0</v>
      </c>
      <c r="B14" s="1308" t="s">
        <v>1058</v>
      </c>
      <c r="C14" s="1308">
        <v>5.3777778E7</v>
      </c>
      <c r="D14" s="1308">
        <v>1.31E8</v>
      </c>
      <c r="E14" s="1307" t="s">
        <v>2507</v>
      </c>
      <c r="F14" s="1309"/>
      <c r="G14" s="1310" t="s">
        <v>2519</v>
      </c>
      <c r="H14" s="1284"/>
    </row>
    <row r="15">
      <c r="A15" s="1307">
        <v>4.0</v>
      </c>
      <c r="B15" s="1308" t="s">
        <v>48</v>
      </c>
      <c r="C15" s="1308">
        <v>6351111.0</v>
      </c>
      <c r="D15" s="1308">
        <v>1.8E7</v>
      </c>
      <c r="E15" s="1307" t="s">
        <v>2506</v>
      </c>
      <c r="F15" s="1309"/>
      <c r="G15" s="1311" t="s">
        <v>2520</v>
      </c>
      <c r="H15" s="1312" t="s">
        <v>2521</v>
      </c>
    </row>
    <row r="16">
      <c r="A16" s="1307">
        <v>5.0</v>
      </c>
      <c r="B16" s="1308" t="s">
        <v>61</v>
      </c>
      <c r="C16" s="1308">
        <v>4533333.0</v>
      </c>
      <c r="D16" s="1308">
        <v>1.2E7</v>
      </c>
      <c r="E16" s="1307" t="s">
        <v>2506</v>
      </c>
      <c r="F16" s="1309"/>
      <c r="G16" s="1311" t="s">
        <v>2520</v>
      </c>
      <c r="H16" s="1312" t="s">
        <v>2521</v>
      </c>
    </row>
    <row r="17">
      <c r="A17" s="1307">
        <v>6.0</v>
      </c>
      <c r="B17" s="1308" t="s">
        <v>67</v>
      </c>
      <c r="C17" s="1308">
        <v>5815556.0</v>
      </c>
      <c r="D17" s="1308">
        <v>1.5E7</v>
      </c>
      <c r="E17" s="1307" t="s">
        <v>2506</v>
      </c>
      <c r="F17" s="1309"/>
      <c r="G17" s="1311" t="s">
        <v>2520</v>
      </c>
      <c r="H17" s="1284"/>
    </row>
    <row r="18">
      <c r="A18" s="1307">
        <v>7.0</v>
      </c>
      <c r="B18" s="1308" t="s">
        <v>342</v>
      </c>
      <c r="C18" s="1308">
        <v>7310000.0</v>
      </c>
      <c r="D18" s="1308">
        <v>1.5E7</v>
      </c>
      <c r="E18" s="1307" t="s">
        <v>2506</v>
      </c>
      <c r="F18" s="1309"/>
      <c r="G18" s="1311" t="s">
        <v>2520</v>
      </c>
      <c r="H18" s="1312" t="s">
        <v>2521</v>
      </c>
    </row>
    <row r="19">
      <c r="A19" s="1307">
        <v>8.0</v>
      </c>
      <c r="B19" s="1308" t="s">
        <v>348</v>
      </c>
      <c r="C19" s="1308">
        <v>3515556.0</v>
      </c>
      <c r="D19" s="1308">
        <v>1.2E7</v>
      </c>
      <c r="E19" s="1307" t="s">
        <v>2506</v>
      </c>
      <c r="F19" s="1309"/>
      <c r="G19" s="1311" t="s">
        <v>2520</v>
      </c>
      <c r="H19" s="1312" t="s">
        <v>2521</v>
      </c>
    </row>
    <row r="20">
      <c r="A20" s="1307"/>
      <c r="B20" s="1308"/>
      <c r="C20" s="1308"/>
      <c r="D20" s="1308"/>
      <c r="E20" s="1307"/>
      <c r="F20" s="1309"/>
      <c r="G20" s="1313" t="s">
        <v>2522</v>
      </c>
      <c r="H20" s="1284"/>
    </row>
    <row r="21">
      <c r="A21" s="1307"/>
      <c r="B21" s="1308"/>
      <c r="C21" s="1308"/>
      <c r="D21" s="1308"/>
      <c r="E21" s="1307"/>
      <c r="F21" s="1309"/>
      <c r="G21" s="628"/>
      <c r="H21" s="1284"/>
    </row>
    <row r="22">
      <c r="A22" s="1307"/>
      <c r="B22" s="1308"/>
      <c r="C22" s="1308"/>
      <c r="D22" s="1308"/>
      <c r="E22" s="1307"/>
      <c r="F22" s="1309"/>
      <c r="G22" s="26"/>
      <c r="H22" s="1284"/>
    </row>
    <row r="23">
      <c r="A23" s="1307"/>
      <c r="B23" s="1308"/>
      <c r="C23" s="1308"/>
      <c r="D23" s="1308"/>
      <c r="E23" s="1307"/>
      <c r="F23" s="1309"/>
      <c r="G23" s="1314"/>
      <c r="H23" s="1284"/>
    </row>
    <row r="24">
      <c r="A24" s="1307"/>
      <c r="B24" s="1308"/>
      <c r="C24" s="1308"/>
      <c r="D24" s="1308"/>
      <c r="E24" s="1307"/>
      <c r="F24" s="1309"/>
      <c r="G24" s="1314"/>
      <c r="H24" s="1284"/>
    </row>
    <row r="25">
      <c r="A25" s="1307"/>
      <c r="B25" s="1308"/>
      <c r="C25" s="1308"/>
      <c r="D25" s="1308"/>
      <c r="E25" s="1307"/>
      <c r="F25" s="1309"/>
      <c r="G25" s="1314"/>
      <c r="H25" s="1284"/>
    </row>
    <row r="26">
      <c r="A26" s="1307"/>
      <c r="B26" s="1308"/>
      <c r="C26" s="1308"/>
      <c r="D26" s="1308"/>
      <c r="E26" s="1307"/>
      <c r="F26" s="1309"/>
      <c r="G26" s="1314"/>
      <c r="H26" s="1284"/>
    </row>
    <row r="27">
      <c r="A27" s="1307"/>
      <c r="B27" s="1308"/>
      <c r="C27" s="1308"/>
      <c r="D27" s="1308"/>
      <c r="E27" s="1307"/>
      <c r="F27" s="1309"/>
      <c r="G27" s="1314"/>
      <c r="H27" s="1284"/>
    </row>
    <row r="28">
      <c r="A28" s="1315" t="s">
        <v>2523</v>
      </c>
      <c r="B28" s="1315"/>
      <c r="C28" s="1304"/>
      <c r="D28" s="1304"/>
      <c r="E28" s="1316"/>
      <c r="F28" s="1305"/>
      <c r="G28" s="1306"/>
      <c r="H28" s="1284"/>
    </row>
    <row r="29">
      <c r="A29" s="1317"/>
      <c r="B29" s="1317" t="s">
        <v>2524</v>
      </c>
      <c r="C29" s="1318">
        <f>6000*2000/0.9</f>
        <v>13333333.33</v>
      </c>
      <c r="D29" s="1318">
        <v>2.0E7</v>
      </c>
      <c r="E29" s="1307" t="s">
        <v>2507</v>
      </c>
      <c r="F29" s="1319"/>
      <c r="G29" s="1320"/>
      <c r="H29" s="1321"/>
      <c r="I29" s="1322"/>
    </row>
    <row r="30">
      <c r="A30" s="1315" t="s">
        <v>2525</v>
      </c>
      <c r="B30" s="1315"/>
      <c r="C30" s="1304"/>
      <c r="D30" s="1304"/>
      <c r="E30" s="1316"/>
      <c r="F30" s="1305"/>
      <c r="G30" s="1306"/>
      <c r="H30" s="1284"/>
      <c r="I30" s="1323"/>
    </row>
    <row r="31">
      <c r="A31" s="1317"/>
      <c r="B31" s="1317" t="s">
        <v>2526</v>
      </c>
      <c r="C31" s="1324">
        <f>3650000+'INT | 1805 Quotation | End-user'!AN113</f>
        <v>41009115</v>
      </c>
      <c r="D31" s="1318"/>
      <c r="E31" s="1307" t="s">
        <v>2507</v>
      </c>
      <c r="F31" s="1319"/>
      <c r="G31" s="1320"/>
      <c r="H31" s="1284"/>
      <c r="I31" s="1322"/>
    </row>
    <row r="32">
      <c r="A32" s="1315" t="s">
        <v>2527</v>
      </c>
      <c r="B32" s="1315"/>
      <c r="C32" s="1304"/>
      <c r="D32" s="1304"/>
      <c r="E32" s="1316"/>
      <c r="F32" s="1305"/>
      <c r="G32" s="1306"/>
      <c r="H32" s="1284"/>
    </row>
    <row r="33">
      <c r="A33" s="1317"/>
      <c r="B33" s="1317" t="s">
        <v>2527</v>
      </c>
      <c r="C33" s="1325"/>
      <c r="D33" s="1318">
        <v>9000000.0</v>
      </c>
      <c r="E33" s="1307" t="s">
        <v>2506</v>
      </c>
      <c r="F33" s="1319"/>
      <c r="G33" s="1320" t="s">
        <v>2528</v>
      </c>
      <c r="H33" s="1284"/>
    </row>
    <row r="34">
      <c r="A34" s="1282"/>
      <c r="B34" s="1283"/>
      <c r="C34" s="1283"/>
      <c r="D34" s="1283"/>
      <c r="E34" s="1284"/>
      <c r="F34" s="1284"/>
      <c r="G34" s="1285"/>
      <c r="H34" s="1284"/>
    </row>
    <row r="35">
      <c r="A35" s="1326"/>
      <c r="B35" s="1327"/>
      <c r="C35" s="1327"/>
      <c r="D35" s="1328"/>
      <c r="E35" s="1284"/>
      <c r="F35" s="1284"/>
      <c r="G35" s="1285"/>
      <c r="H35" s="1284"/>
    </row>
    <row r="36">
      <c r="A36" s="1329"/>
      <c r="B36" s="1330"/>
      <c r="C36" s="1330"/>
      <c r="D36" s="1330"/>
      <c r="E36" s="1284"/>
      <c r="F36" s="1284"/>
      <c r="G36" s="1285"/>
      <c r="H36" s="1284"/>
    </row>
    <row r="37">
      <c r="A37" s="1329"/>
      <c r="B37" s="1331"/>
      <c r="C37" s="1332"/>
      <c r="D37" s="1330"/>
      <c r="E37" s="1284"/>
      <c r="F37" s="1284"/>
      <c r="G37" s="1285"/>
      <c r="H37" s="1284"/>
    </row>
    <row r="38">
      <c r="A38" s="1329"/>
      <c r="B38" s="1282"/>
      <c r="C38" s="1282"/>
      <c r="D38" s="1330"/>
      <c r="E38" s="1284"/>
      <c r="F38" s="1284"/>
      <c r="G38" s="1285"/>
      <c r="H38" s="1284"/>
    </row>
    <row r="39">
      <c r="A39" s="1282"/>
      <c r="B39" s="1294"/>
      <c r="C39" s="1294"/>
      <c r="D39" s="1294"/>
      <c r="E39" s="1284"/>
      <c r="F39" s="1284"/>
      <c r="G39" s="1285"/>
      <c r="H39" s="1284"/>
    </row>
    <row r="40">
      <c r="A40" s="1283"/>
      <c r="B40" s="1296"/>
      <c r="C40" s="1282"/>
      <c r="D40" s="1282"/>
      <c r="E40" s="1284"/>
      <c r="F40" s="1284"/>
      <c r="G40" s="1285"/>
      <c r="H40" s="1284"/>
    </row>
    <row r="41">
      <c r="A41" s="1283"/>
      <c r="B41" s="1297"/>
      <c r="C41" s="1282"/>
      <c r="D41" s="1282"/>
      <c r="E41" s="1284"/>
      <c r="F41" s="1284"/>
      <c r="G41" s="1285"/>
      <c r="H41" s="1284"/>
    </row>
    <row r="42">
      <c r="A42" s="1328"/>
      <c r="B42" s="1328"/>
      <c r="C42" s="1328"/>
      <c r="D42" s="1328"/>
      <c r="E42" s="1328"/>
      <c r="F42" s="1328"/>
      <c r="G42" s="1333"/>
      <c r="H42" s="1284"/>
    </row>
    <row r="43">
      <c r="A43" s="1334"/>
      <c r="B43" s="1334"/>
      <c r="C43" s="1335"/>
      <c r="D43" s="1335"/>
      <c r="E43" s="1336"/>
      <c r="F43" s="1336"/>
      <c r="G43" s="1337"/>
      <c r="H43" s="1284"/>
    </row>
    <row r="44">
      <c r="A44" s="1334"/>
      <c r="C44" s="1335"/>
      <c r="D44" s="1335"/>
      <c r="E44" s="1336"/>
      <c r="F44" s="1336"/>
      <c r="G44" s="1338"/>
      <c r="H44" s="1284"/>
    </row>
    <row r="45">
      <c r="A45" s="1327"/>
      <c r="B45" s="1339"/>
      <c r="C45" s="1339"/>
      <c r="D45" s="1339"/>
      <c r="E45" s="1327"/>
      <c r="F45" s="1340"/>
      <c r="G45" s="1285"/>
      <c r="H45" s="1284"/>
    </row>
    <row r="46">
      <c r="A46" s="1327"/>
      <c r="B46" s="1339"/>
      <c r="C46" s="1339"/>
      <c r="D46" s="1339"/>
      <c r="E46" s="1327"/>
      <c r="F46" s="1340"/>
      <c r="G46" s="1285"/>
      <c r="H46" s="1284"/>
    </row>
    <row r="47">
      <c r="A47" s="1327"/>
      <c r="B47" s="1339"/>
      <c r="C47" s="1339"/>
      <c r="D47" s="1339"/>
      <c r="E47" s="1327"/>
      <c r="F47" s="1340"/>
      <c r="G47" s="1285"/>
      <c r="H47" s="1284"/>
    </row>
    <row r="48">
      <c r="A48" s="1327"/>
      <c r="B48" s="1339"/>
      <c r="C48" s="1339"/>
      <c r="D48" s="1339"/>
      <c r="E48" s="1327"/>
      <c r="F48" s="1340"/>
      <c r="G48" s="1285"/>
      <c r="H48" s="1284"/>
    </row>
    <row r="49">
      <c r="A49" s="1334"/>
      <c r="B49" s="1334"/>
      <c r="C49" s="1335"/>
      <c r="D49" s="1335"/>
      <c r="E49" s="1341"/>
      <c r="F49" s="1336"/>
      <c r="G49" s="1338"/>
      <c r="H49" s="1284"/>
    </row>
    <row r="50">
      <c r="A50" s="1342"/>
      <c r="B50" s="1342"/>
      <c r="C50" s="1343"/>
      <c r="D50" s="1343"/>
      <c r="E50" s="1327"/>
      <c r="F50" s="1344"/>
      <c r="G50" s="1345"/>
      <c r="H50" s="1321"/>
      <c r="I50" s="1322"/>
    </row>
    <row r="51">
      <c r="A51" s="1334"/>
      <c r="B51" s="1334"/>
      <c r="C51" s="1335"/>
      <c r="D51" s="1335"/>
      <c r="E51" s="1341"/>
      <c r="F51" s="1336"/>
      <c r="G51" s="1338"/>
      <c r="H51" s="1284"/>
      <c r="I51" s="1323"/>
    </row>
    <row r="52">
      <c r="A52" s="1342"/>
      <c r="B52" s="1342"/>
      <c r="C52" s="1346"/>
      <c r="D52" s="1343"/>
      <c r="E52" s="1327"/>
      <c r="F52" s="1344"/>
      <c r="G52" s="1345"/>
      <c r="H52" s="1284"/>
      <c r="I52" s="1322"/>
    </row>
    <row r="53">
      <c r="A53" s="1334"/>
      <c r="B53" s="1334"/>
      <c r="C53" s="1335"/>
      <c r="D53" s="1335"/>
      <c r="E53" s="1341"/>
      <c r="F53" s="1336"/>
      <c r="G53" s="1338"/>
      <c r="H53" s="1284"/>
    </row>
    <row r="54">
      <c r="A54" s="1342"/>
      <c r="B54" s="1342"/>
      <c r="C54" s="1346"/>
      <c r="D54" s="1343"/>
      <c r="E54" s="1327"/>
      <c r="F54" s="1344"/>
      <c r="G54" s="1345"/>
      <c r="H54" s="1284"/>
    </row>
    <row r="55">
      <c r="A55" s="1342"/>
      <c r="B55" s="1342"/>
      <c r="C55" s="1346"/>
      <c r="D55" s="1343"/>
      <c r="E55" s="1327"/>
      <c r="F55" s="1344"/>
      <c r="G55" s="1345"/>
      <c r="H55" s="1284"/>
    </row>
    <row r="56">
      <c r="A56" s="1347"/>
      <c r="B56" s="1348"/>
      <c r="C56" s="1343"/>
      <c r="D56" s="1343"/>
      <c r="E56" s="1327"/>
      <c r="F56" s="1283"/>
      <c r="G56" s="1321"/>
      <c r="H56" s="1284"/>
    </row>
    <row r="57">
      <c r="A57" s="1347"/>
      <c r="B57" s="1348"/>
      <c r="C57" s="1343"/>
      <c r="D57" s="1343"/>
      <c r="E57" s="1327"/>
      <c r="F57" s="1283"/>
      <c r="G57" s="1321"/>
      <c r="H57" s="1349"/>
    </row>
    <row r="58">
      <c r="A58" s="1347"/>
      <c r="B58" s="1348"/>
      <c r="C58" s="1343"/>
      <c r="D58" s="1343"/>
      <c r="E58" s="1327"/>
      <c r="F58" s="1283"/>
      <c r="G58" s="1321"/>
      <c r="H58" s="1284"/>
    </row>
    <row r="59">
      <c r="A59" s="1347"/>
      <c r="B59" s="1348"/>
      <c r="C59" s="1343"/>
      <c r="D59" s="1343"/>
      <c r="E59" s="1327"/>
      <c r="F59" s="1283"/>
      <c r="G59" s="1321"/>
      <c r="H59" s="1284"/>
    </row>
    <row r="60">
      <c r="A60" s="1334"/>
      <c r="B60" s="1334"/>
      <c r="C60" s="1335"/>
      <c r="D60" s="1335"/>
      <c r="E60" s="1341"/>
      <c r="F60" s="1336"/>
      <c r="G60" s="1338"/>
      <c r="H60" s="1284"/>
    </row>
    <row r="61">
      <c r="A61" s="1342"/>
      <c r="B61" s="1342"/>
      <c r="C61" s="1343"/>
      <c r="D61" s="1343"/>
      <c r="E61" s="1327"/>
      <c r="F61" s="1344"/>
      <c r="G61" s="1345"/>
      <c r="H61" s="1321"/>
      <c r="I61" s="1322"/>
    </row>
    <row r="62">
      <c r="A62" s="1334"/>
      <c r="B62" s="1334"/>
      <c r="C62" s="1335"/>
      <c r="D62" s="1335"/>
      <c r="E62" s="1341"/>
      <c r="F62" s="1336"/>
      <c r="G62" s="1338"/>
      <c r="H62" s="1284"/>
      <c r="I62" s="1323"/>
    </row>
    <row r="63">
      <c r="A63" s="1342"/>
      <c r="B63" s="1342"/>
      <c r="C63" s="1346"/>
      <c r="D63" s="1343"/>
      <c r="E63" s="1327"/>
      <c r="F63" s="1344"/>
      <c r="G63" s="1345"/>
      <c r="H63" s="1284"/>
      <c r="I63" s="1322"/>
    </row>
    <row r="64">
      <c r="A64" s="1334"/>
      <c r="B64" s="1334"/>
      <c r="C64" s="1335"/>
      <c r="D64" s="1335"/>
      <c r="E64" s="1341"/>
      <c r="F64" s="1336"/>
      <c r="G64" s="1338"/>
      <c r="H64" s="1284"/>
    </row>
    <row r="65">
      <c r="A65" s="1342"/>
      <c r="B65" s="1342"/>
      <c r="C65" s="1346"/>
      <c r="D65" s="1343"/>
      <c r="E65" s="1327"/>
      <c r="F65" s="1344"/>
      <c r="G65" s="1345"/>
      <c r="H65" s="1284"/>
    </row>
  </sheetData>
  <mergeCells count="3">
    <mergeCell ref="A11:B11"/>
    <mergeCell ref="G20:G22"/>
    <mergeCell ref="A44:B44"/>
  </mergeCells>
  <dataValidations>
    <dataValidation type="list" allowBlank="1" showErrorMessage="1" sqref="B2:C2 E12:E27 E29 E31 E33">
      <formula1>"Tháng 6,Tháng 5"</formula1>
    </dataValidation>
  </dataValidations>
  <hyperlinks>
    <hyperlink r:id="rId4" location="gid=153416723" ref="G12"/>
    <hyperlink r:id="rId5" location="gid=153416723" ref="G13"/>
    <hyperlink r:id="rId6" location="gid=153416723" ref="G14"/>
  </hyperlinks>
  <drawing r:id="rId7"/>
  <legacyDrawing r:id="rId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1" max="1" width="20.75"/>
    <col customWidth="1" min="2" max="2" width="23.25"/>
    <col customWidth="1" min="3" max="3" width="18.63"/>
    <col customWidth="1" min="4" max="4" width="15.0"/>
    <col customWidth="1" min="5" max="5" width="17.25"/>
    <col customWidth="1" min="7" max="7" width="26.13"/>
    <col customWidth="1" min="8" max="8" width="65.25"/>
    <col customWidth="1" min="12" max="12" width="14.88"/>
    <col customWidth="1" min="17" max="17" width="18.38"/>
    <col customWidth="1" min="18" max="18" width="76.13"/>
    <col customWidth="1" min="19" max="19" width="35.0"/>
    <col customWidth="1" min="20" max="20" width="22.13"/>
    <col customWidth="1" min="21" max="21" width="21.5"/>
    <col customWidth="1" min="22" max="23" width="13.25"/>
    <col customWidth="1" min="24" max="26" width="7.25"/>
  </cols>
  <sheetData>
    <row r="1" outlineLevel="1">
      <c r="A1" s="1" t="s">
        <v>2529</v>
      </c>
      <c r="B1" s="2"/>
      <c r="C1" s="2"/>
      <c r="D1" s="3"/>
      <c r="E1" s="2"/>
      <c r="F1" s="4"/>
      <c r="G1" s="2"/>
      <c r="H1" s="2"/>
      <c r="I1" s="2"/>
      <c r="J1" s="2"/>
      <c r="K1" s="5"/>
      <c r="L1" s="6"/>
      <c r="M1" s="6"/>
      <c r="N1" s="6"/>
      <c r="O1" s="6"/>
      <c r="P1" s="6"/>
      <c r="Q1" s="6"/>
      <c r="R1" s="7"/>
      <c r="S1" s="8"/>
      <c r="T1" s="8"/>
      <c r="U1" s="8"/>
      <c r="V1" s="8"/>
      <c r="W1" s="8"/>
      <c r="X1" s="9"/>
      <c r="Y1" s="9"/>
      <c r="Z1" s="9"/>
    </row>
    <row r="2" outlineLevel="1">
      <c r="A2" s="10"/>
      <c r="B2" s="11"/>
      <c r="C2" s="11"/>
      <c r="D2" s="11"/>
      <c r="E2" s="2"/>
      <c r="F2" s="4"/>
      <c r="G2" s="2"/>
      <c r="H2" s="2"/>
      <c r="I2" s="2"/>
      <c r="J2" s="2"/>
      <c r="K2" s="5"/>
      <c r="L2" s="6"/>
      <c r="M2" s="6"/>
      <c r="N2" s="6"/>
      <c r="O2" s="6"/>
      <c r="P2" s="6"/>
      <c r="Q2" s="6"/>
      <c r="R2" s="7"/>
      <c r="S2" s="8"/>
      <c r="T2" s="8"/>
      <c r="U2" s="8"/>
      <c r="V2" s="8"/>
      <c r="W2" s="8"/>
      <c r="X2" s="9"/>
      <c r="Y2" s="9"/>
      <c r="Z2" s="9"/>
    </row>
    <row r="3" ht="27.0" customHeight="1" outlineLevel="1">
      <c r="A3" s="12" t="s">
        <v>1</v>
      </c>
      <c r="B3" s="13" t="s">
        <v>2</v>
      </c>
      <c r="C3" s="14" t="s">
        <v>3</v>
      </c>
      <c r="D3" s="14" t="s">
        <v>4</v>
      </c>
      <c r="E3" s="15" t="s">
        <v>5</v>
      </c>
      <c r="J3" s="6"/>
      <c r="K3" s="2"/>
      <c r="L3" s="5"/>
      <c r="M3" s="6"/>
      <c r="N3" s="6"/>
      <c r="O3" s="6"/>
      <c r="P3" s="6"/>
      <c r="Q3" s="6"/>
      <c r="R3" s="6"/>
      <c r="S3" s="7"/>
      <c r="T3" s="7"/>
      <c r="U3" s="7"/>
      <c r="V3" s="7"/>
      <c r="W3" s="7"/>
      <c r="X3" s="9"/>
      <c r="Y3" s="9"/>
      <c r="Z3" s="9"/>
    </row>
    <row r="4" ht="27.0" customHeight="1" outlineLevel="1">
      <c r="A4" s="17"/>
      <c r="B4" s="18"/>
      <c r="C4" s="19" t="s">
        <v>6</v>
      </c>
      <c r="D4" s="20">
        <f>sum(D5,D7,D9:D10)</f>
        <v>37</v>
      </c>
      <c r="E4" s="20">
        <f>Sum(E5:E12)</f>
        <v>625000000</v>
      </c>
      <c r="J4" s="2"/>
      <c r="K4" s="2"/>
      <c r="L4" s="5"/>
      <c r="M4" s="6"/>
      <c r="N4" s="6"/>
      <c r="O4" s="6"/>
      <c r="P4" s="6"/>
      <c r="Q4" s="6"/>
      <c r="R4" s="6"/>
      <c r="S4" s="7"/>
      <c r="T4" s="7"/>
      <c r="U4" s="7"/>
      <c r="V4" s="7"/>
      <c r="W4" s="7"/>
      <c r="X4" s="9"/>
      <c r="Y4" s="9"/>
      <c r="Z4" s="9"/>
    </row>
    <row r="5" ht="27.0" customHeight="1" outlineLevel="1">
      <c r="A5" s="675">
        <v>1.0</v>
      </c>
      <c r="B5" s="22" t="str">
        <f>A21</f>
        <v>FOODY REVIEWER</v>
      </c>
      <c r="C5" s="23" t="s">
        <v>7</v>
      </c>
      <c r="D5" s="24">
        <f t="shared" ref="D5:D6" si="1">K21</f>
        <v>9</v>
      </c>
      <c r="E5" s="25">
        <f>Q21</f>
        <v>217000000</v>
      </c>
      <c r="J5" s="2"/>
      <c r="K5" s="2"/>
      <c r="L5" s="5"/>
      <c r="M5" s="6"/>
      <c r="N5" s="6"/>
      <c r="O5" s="6"/>
      <c r="P5" s="6"/>
      <c r="Q5" s="6"/>
      <c r="R5" s="6"/>
      <c r="S5" s="7"/>
      <c r="T5" s="7"/>
      <c r="U5" s="7"/>
      <c r="V5" s="7"/>
      <c r="W5" s="7"/>
      <c r="X5" s="9"/>
      <c r="Y5" s="9"/>
      <c r="Z5" s="9"/>
    </row>
    <row r="6" ht="27.0" customHeight="1" outlineLevel="1">
      <c r="A6" s="26"/>
      <c r="B6" s="26"/>
      <c r="C6" s="23" t="s">
        <v>8</v>
      </c>
      <c r="D6" s="24">
        <f t="shared" si="1"/>
        <v>9</v>
      </c>
      <c r="E6" s="26"/>
      <c r="J6" s="2"/>
      <c r="K6" s="2"/>
      <c r="L6" s="5"/>
      <c r="M6" s="6"/>
      <c r="N6" s="6"/>
      <c r="O6" s="6"/>
      <c r="P6" s="6"/>
      <c r="Q6" s="6"/>
      <c r="R6" s="6"/>
      <c r="S6" s="7"/>
      <c r="T6" s="7"/>
      <c r="U6" s="7"/>
      <c r="V6" s="7"/>
      <c r="W6" s="7"/>
      <c r="X6" s="9"/>
      <c r="Y6" s="9"/>
      <c r="Z6" s="9"/>
    </row>
    <row r="7" ht="27.0" customHeight="1" outlineLevel="1">
      <c r="A7" s="676">
        <v>2.0</v>
      </c>
      <c r="B7" s="22" t="str">
        <f>A41</f>
        <v>FOODY UGC</v>
      </c>
      <c r="C7" s="23" t="s">
        <v>7</v>
      </c>
      <c r="D7" s="24">
        <f t="shared" ref="D7:D8" si="2">K41</f>
        <v>18</v>
      </c>
      <c r="E7" s="25">
        <f>Q41</f>
        <v>163000000</v>
      </c>
      <c r="J7" s="2"/>
      <c r="K7" s="2"/>
      <c r="L7" s="5"/>
      <c r="M7" s="6"/>
      <c r="N7" s="6"/>
      <c r="O7" s="6"/>
      <c r="P7" s="6"/>
      <c r="Q7" s="6"/>
      <c r="R7" s="6"/>
      <c r="S7" s="7"/>
      <c r="T7" s="7"/>
      <c r="U7" s="7"/>
      <c r="V7" s="7"/>
      <c r="W7" s="7"/>
      <c r="X7" s="9"/>
      <c r="Y7" s="9"/>
      <c r="Z7" s="9"/>
    </row>
    <row r="8" ht="27.0" customHeight="1" outlineLevel="1">
      <c r="A8" s="26"/>
      <c r="B8" s="26"/>
      <c r="C8" s="23" t="s">
        <v>8</v>
      </c>
      <c r="D8" s="28">
        <f t="shared" si="2"/>
        <v>18</v>
      </c>
      <c r="E8" s="26"/>
      <c r="J8" s="2"/>
      <c r="K8" s="2"/>
      <c r="L8" s="5"/>
      <c r="M8" s="6"/>
      <c r="N8" s="6"/>
      <c r="O8" s="6"/>
      <c r="P8" s="6"/>
      <c r="Q8" s="6"/>
      <c r="R8" s="6"/>
      <c r="S8" s="7"/>
      <c r="T8" s="7"/>
      <c r="U8" s="7"/>
      <c r="V8" s="7"/>
      <c r="W8" s="7"/>
      <c r="X8" s="9"/>
      <c r="Y8" s="9"/>
      <c r="Z8" s="9"/>
    </row>
    <row r="9" ht="27.0" customHeight="1" outlineLevel="1">
      <c r="A9" s="676">
        <v>3.0</v>
      </c>
      <c r="B9" s="22" t="str">
        <f>A87</f>
        <v>FOODY COMMUNITY</v>
      </c>
      <c r="C9" s="23" t="s">
        <v>9</v>
      </c>
      <c r="D9" s="28">
        <f>K88</f>
        <v>5</v>
      </c>
      <c r="E9" s="25">
        <f>Q87</f>
        <v>216000000</v>
      </c>
      <c r="J9" s="2"/>
      <c r="K9" s="2"/>
      <c r="L9" s="5"/>
      <c r="M9" s="6"/>
      <c r="N9" s="6"/>
      <c r="O9" s="6"/>
      <c r="P9" s="6"/>
      <c r="Q9" s="6"/>
      <c r="R9" s="6"/>
      <c r="S9" s="7"/>
      <c r="T9" s="7"/>
      <c r="U9" s="7"/>
      <c r="V9" s="7"/>
      <c r="W9" s="7"/>
      <c r="X9" s="9"/>
      <c r="Y9" s="9"/>
      <c r="Z9" s="9"/>
    </row>
    <row r="10" ht="27.0" customHeight="1" outlineLevel="1">
      <c r="A10" s="26"/>
      <c r="B10" s="26"/>
      <c r="C10" s="29" t="s">
        <v>10</v>
      </c>
      <c r="D10" s="28">
        <f>K87</f>
        <v>5</v>
      </c>
      <c r="E10" s="26"/>
      <c r="J10" s="2"/>
      <c r="K10" s="2"/>
      <c r="L10" s="5"/>
      <c r="M10" s="6"/>
      <c r="N10" s="6"/>
      <c r="O10" s="6"/>
      <c r="P10" s="6"/>
      <c r="Q10" s="6"/>
      <c r="R10" s="6"/>
      <c r="S10" s="7"/>
      <c r="T10" s="7"/>
      <c r="U10" s="7"/>
      <c r="V10" s="7"/>
      <c r="W10" s="7"/>
      <c r="X10" s="9"/>
      <c r="Y10" s="9"/>
      <c r="Z10" s="9"/>
    </row>
    <row r="11" ht="27.0" customHeight="1" outlineLevel="1">
      <c r="A11" s="677">
        <v>4.0</v>
      </c>
      <c r="B11" s="31" t="str">
        <f>A101</f>
        <v>SEEDING PACKAGE</v>
      </c>
      <c r="C11" s="29" t="s">
        <v>11</v>
      </c>
      <c r="D11" s="28">
        <f>K102</f>
        <v>2000</v>
      </c>
      <c r="E11" s="32">
        <f>Q101</f>
        <v>20000000</v>
      </c>
      <c r="J11" s="2"/>
      <c r="K11" s="2"/>
      <c r="L11" s="5"/>
      <c r="M11" s="6"/>
      <c r="N11" s="6"/>
      <c r="O11" s="6"/>
      <c r="P11" s="6"/>
      <c r="Q11" s="6"/>
      <c r="R11" s="6"/>
      <c r="S11" s="7"/>
      <c r="T11" s="7"/>
      <c r="U11" s="7"/>
      <c r="V11" s="7"/>
      <c r="W11" s="7"/>
      <c r="X11" s="9"/>
      <c r="Y11" s="9"/>
      <c r="Z11" s="9"/>
    </row>
    <row r="12" ht="27.0" customHeight="1" outlineLevel="1">
      <c r="A12" s="678">
        <v>5.0</v>
      </c>
      <c r="B12" s="31" t="str">
        <f>A99</f>
        <v>TRANSPORTATION FEE</v>
      </c>
      <c r="C12" s="679" t="s">
        <v>890</v>
      </c>
      <c r="D12" s="679">
        <f>N99</f>
        <v>1</v>
      </c>
      <c r="E12" s="32">
        <f>Q99</f>
        <v>9000000</v>
      </c>
      <c r="J12" s="2"/>
      <c r="K12" s="2"/>
      <c r="L12" s="5"/>
      <c r="M12" s="6"/>
      <c r="N12" s="6"/>
      <c r="O12" s="6"/>
      <c r="P12" s="6"/>
      <c r="Q12" s="6"/>
      <c r="R12" s="6"/>
      <c r="S12" s="7"/>
      <c r="T12" s="7"/>
      <c r="U12" s="7"/>
      <c r="V12" s="7"/>
      <c r="W12" s="7"/>
      <c r="X12" s="9"/>
      <c r="Y12" s="9"/>
      <c r="Z12" s="9"/>
    </row>
    <row r="13" ht="27.0" customHeight="1" outlineLevel="1">
      <c r="A13" s="33"/>
      <c r="B13" s="34" t="s">
        <v>12</v>
      </c>
      <c r="C13" s="35"/>
      <c r="D13" s="35"/>
      <c r="E13" s="36">
        <f>E4</f>
        <v>625000000</v>
      </c>
      <c r="K13" s="2"/>
      <c r="L13" s="5"/>
      <c r="M13" s="6"/>
      <c r="N13" s="6"/>
      <c r="O13" s="6"/>
      <c r="P13" s="6"/>
      <c r="Q13" s="6"/>
      <c r="R13" s="681"/>
      <c r="S13" s="7"/>
      <c r="T13" s="7"/>
      <c r="U13" s="7"/>
      <c r="V13" s="7"/>
      <c r="W13" s="7"/>
      <c r="X13" s="9"/>
      <c r="Y13" s="9"/>
      <c r="Z13" s="9"/>
    </row>
    <row r="14" ht="27.0" customHeight="1" outlineLevel="1">
      <c r="A14" s="38"/>
      <c r="B14" s="34" t="s">
        <v>13</v>
      </c>
      <c r="C14" s="39"/>
      <c r="D14" s="40">
        <v>0.12</v>
      </c>
      <c r="E14" s="41">
        <f>E13*D14</f>
        <v>75000000</v>
      </c>
      <c r="J14" s="42"/>
      <c r="K14" s="42"/>
      <c r="L14" s="43"/>
      <c r="M14" s="43"/>
      <c r="N14" s="43"/>
      <c r="O14" s="43"/>
      <c r="P14" s="43"/>
      <c r="Q14" s="43"/>
      <c r="R14" s="7"/>
      <c r="S14" s="8"/>
      <c r="T14" s="8"/>
      <c r="U14" s="8"/>
      <c r="V14" s="8"/>
      <c r="W14" s="8"/>
      <c r="X14" s="9"/>
      <c r="Y14" s="9"/>
      <c r="Z14" s="9"/>
    </row>
    <row r="15" ht="27.0" customHeight="1" outlineLevel="1">
      <c r="A15" s="38"/>
      <c r="B15" s="34" t="s">
        <v>14</v>
      </c>
      <c r="C15" s="39"/>
      <c r="D15" s="39"/>
      <c r="E15" s="41">
        <f>sum(E13:E14)</f>
        <v>700000000</v>
      </c>
      <c r="J15" s="42"/>
      <c r="K15" s="42"/>
      <c r="L15" s="43"/>
      <c r="M15" s="43"/>
      <c r="N15" s="43"/>
      <c r="O15" s="43"/>
      <c r="P15" s="43"/>
      <c r="Q15" s="43"/>
      <c r="R15" s="7"/>
      <c r="S15" s="8"/>
      <c r="T15" s="8"/>
      <c r="U15" s="8"/>
      <c r="V15" s="8"/>
      <c r="W15" s="8"/>
      <c r="X15" s="9"/>
      <c r="Y15" s="9"/>
      <c r="Z15" s="9"/>
    </row>
    <row r="16" ht="27.0" customHeight="1" outlineLevel="1">
      <c r="A16" s="38"/>
      <c r="B16" s="34" t="s">
        <v>15</v>
      </c>
      <c r="C16" s="39"/>
      <c r="D16" s="39"/>
      <c r="E16" s="41">
        <f>E15*1.08</f>
        <v>756000000</v>
      </c>
      <c r="J16" s="42"/>
      <c r="K16" s="42"/>
      <c r="L16" s="43"/>
      <c r="M16" s="43"/>
      <c r="N16" s="43"/>
      <c r="O16" s="43"/>
      <c r="P16" s="43"/>
      <c r="Q16" s="43"/>
      <c r="R16" s="7"/>
      <c r="S16" s="8"/>
      <c r="T16" s="8"/>
      <c r="U16" s="8"/>
      <c r="V16" s="8"/>
      <c r="W16" s="8"/>
      <c r="X16" s="9"/>
      <c r="Y16" s="9"/>
      <c r="Z16" s="9"/>
    </row>
    <row r="17" outlineLevel="1">
      <c r="A17" s="38"/>
      <c r="B17" s="44"/>
      <c r="C17" s="42"/>
      <c r="D17" s="42"/>
      <c r="E17" s="42"/>
      <c r="J17" s="42"/>
      <c r="K17" s="42"/>
      <c r="L17" s="43"/>
      <c r="M17" s="43"/>
      <c r="N17" s="43"/>
      <c r="O17" s="43"/>
      <c r="P17" s="43"/>
      <c r="Q17" s="43"/>
      <c r="R17" s="7"/>
      <c r="S17" s="8"/>
      <c r="T17" s="8"/>
      <c r="U17" s="8"/>
      <c r="V17" s="8"/>
      <c r="W17" s="8"/>
      <c r="X17" s="9"/>
      <c r="Y17" s="9"/>
      <c r="Z17" s="9"/>
    </row>
    <row r="18" outlineLevel="1">
      <c r="R18" s="892"/>
      <c r="S18" s="8"/>
      <c r="T18" s="8"/>
      <c r="U18" s="8"/>
      <c r="V18" s="8"/>
      <c r="W18" s="8"/>
      <c r="X18" s="9"/>
      <c r="Y18" s="9"/>
      <c r="Z18" s="9"/>
    </row>
    <row r="19" ht="44.25" customHeight="1" outlineLevel="1">
      <c r="A19" s="43"/>
      <c r="B19" s="43"/>
      <c r="C19" s="43"/>
      <c r="D19" s="43"/>
      <c r="E19" s="43"/>
      <c r="G19" s="43"/>
      <c r="H19" s="43"/>
      <c r="K19" s="43"/>
      <c r="L19" s="43"/>
      <c r="M19" s="43"/>
      <c r="N19" s="43"/>
      <c r="O19" s="43"/>
      <c r="P19" s="43"/>
      <c r="Q19" s="43"/>
      <c r="R19" s="690"/>
      <c r="S19" s="47"/>
      <c r="T19" s="47"/>
      <c r="U19" s="47"/>
      <c r="V19" s="47"/>
      <c r="W19" s="47"/>
      <c r="X19" s="9"/>
      <c r="Y19" s="9"/>
      <c r="Z19" s="9"/>
    </row>
    <row r="20" ht="30.75" customHeight="1">
      <c r="A20" s="1194" t="s">
        <v>16</v>
      </c>
      <c r="B20" s="1195" t="s">
        <v>17</v>
      </c>
      <c r="C20" s="1195" t="s">
        <v>18</v>
      </c>
      <c r="D20" s="1196" t="s">
        <v>19</v>
      </c>
      <c r="E20" s="1197" t="s">
        <v>20</v>
      </c>
      <c r="F20" s="1198" t="s">
        <v>21</v>
      </c>
      <c r="G20" s="1195" t="s">
        <v>22</v>
      </c>
      <c r="H20" s="1195" t="s">
        <v>23</v>
      </c>
      <c r="I20" s="1195" t="s">
        <v>24</v>
      </c>
      <c r="J20" s="1195" t="s">
        <v>3</v>
      </c>
      <c r="K20" s="1195" t="s">
        <v>4</v>
      </c>
      <c r="L20" s="1195" t="s">
        <v>25</v>
      </c>
      <c r="M20" s="1196" t="s">
        <v>26</v>
      </c>
      <c r="N20" s="1195" t="s">
        <v>27</v>
      </c>
      <c r="O20" s="1195" t="s">
        <v>28</v>
      </c>
      <c r="P20" s="1195" t="s">
        <v>29</v>
      </c>
      <c r="Q20" s="1195" t="s">
        <v>30</v>
      </c>
      <c r="R20" s="1195" t="s">
        <v>31</v>
      </c>
      <c r="S20" s="1199" t="s">
        <v>32</v>
      </c>
      <c r="T20" s="1199" t="s">
        <v>33</v>
      </c>
      <c r="U20" s="1199" t="s">
        <v>34</v>
      </c>
      <c r="V20" s="54"/>
      <c r="W20" s="54"/>
      <c r="X20" s="9"/>
      <c r="Y20" s="9"/>
      <c r="Z20" s="9"/>
    </row>
    <row r="21" ht="30.0" customHeight="1">
      <c r="A21" s="1200" t="s">
        <v>35</v>
      </c>
      <c r="B21" s="56"/>
      <c r="C21" s="1201"/>
      <c r="D21" s="1202"/>
      <c r="E21" s="1203"/>
      <c r="F21" s="1203"/>
      <c r="G21" s="1203"/>
      <c r="H21" s="1203"/>
      <c r="I21" s="1203"/>
      <c r="J21" s="1204" t="s">
        <v>7</v>
      </c>
      <c r="K21" s="1204">
        <f>SUMIFS(K23:K40,J23:J40,"Video Post")</f>
        <v>9</v>
      </c>
      <c r="L21" s="1205"/>
      <c r="M21" s="1206">
        <f t="shared" ref="M21:N21" si="3">sumif($I$23:$I$40,"TRUE",M23:M40)</f>
        <v>710000</v>
      </c>
      <c r="N21" s="1206">
        <f t="shared" si="3"/>
        <v>28700</v>
      </c>
      <c r="O21" s="1205"/>
      <c r="P21" s="1205"/>
      <c r="Q21" s="1206">
        <f>sum(Q23:Q40)</f>
        <v>217000000</v>
      </c>
      <c r="R21" s="1203"/>
      <c r="S21" s="68"/>
      <c r="T21" s="68"/>
      <c r="U21" s="68"/>
      <c r="V21" s="69"/>
      <c r="W21" s="69"/>
      <c r="X21" s="9"/>
      <c r="Y21" s="9"/>
      <c r="Z21" s="9"/>
    </row>
    <row r="22" ht="30.0" customHeight="1">
      <c r="A22" s="70"/>
      <c r="B22" s="71"/>
      <c r="C22" s="1201"/>
      <c r="D22" s="1202"/>
      <c r="E22" s="1203"/>
      <c r="F22" s="1203"/>
      <c r="G22" s="1203"/>
      <c r="H22" s="1203"/>
      <c r="I22" s="1203"/>
      <c r="J22" s="1204" t="s">
        <v>8</v>
      </c>
      <c r="K22" s="1204">
        <f>SUMIFS(K23:K40,J23:J40,"Tháng")</f>
        <v>9</v>
      </c>
      <c r="L22" s="1205"/>
      <c r="M22" s="72"/>
      <c r="N22" s="72"/>
      <c r="O22" s="1205"/>
      <c r="P22" s="1205"/>
      <c r="Q22" s="72"/>
      <c r="R22" s="1203"/>
      <c r="S22" s="72"/>
      <c r="T22" s="72"/>
      <c r="U22" s="72"/>
      <c r="V22" s="69"/>
      <c r="W22" s="69"/>
      <c r="X22" s="9"/>
      <c r="Y22" s="9"/>
      <c r="Z22" s="9"/>
    </row>
    <row r="23" ht="59.25" customHeight="1" outlineLevel="1">
      <c r="A23" s="1207" t="s">
        <v>36</v>
      </c>
      <c r="B23" s="1208" t="s">
        <v>37</v>
      </c>
      <c r="C23" s="103" t="s">
        <v>38</v>
      </c>
      <c r="D23" s="1209" t="s">
        <v>39</v>
      </c>
      <c r="E23" s="105" t="s">
        <v>40</v>
      </c>
      <c r="F23" s="1210" t="s">
        <v>21</v>
      </c>
      <c r="G23" s="104" t="s">
        <v>41</v>
      </c>
      <c r="H23" s="1211" t="s">
        <v>2530</v>
      </c>
      <c r="I23" s="1212" t="b">
        <v>1</v>
      </c>
      <c r="J23" s="109" t="s">
        <v>7</v>
      </c>
      <c r="K23" s="109">
        <f t="shared" ref="K23:K40" si="4">if(I23=True,1,if(I23=False,0))</f>
        <v>1</v>
      </c>
      <c r="L23" s="113">
        <v>1.6E7</v>
      </c>
      <c r="M23" s="113">
        <v>50000.0</v>
      </c>
      <c r="N23" s="113">
        <v>3000.0</v>
      </c>
      <c r="O23" s="113">
        <f t="shared" ref="O23:O33" si="5">IFERROR(Q23/M23,"-")</f>
        <v>320</v>
      </c>
      <c r="P23" s="113">
        <f t="shared" ref="P23:P33" si="6">IFERROR(Q23/N23,"-")</f>
        <v>5333.333333</v>
      </c>
      <c r="Q23" s="113">
        <f t="shared" ref="Q23:Q40" si="7">iferror(L23*K23,"-")</f>
        <v>16000000</v>
      </c>
      <c r="R23" s="1213" t="s">
        <v>2531</v>
      </c>
      <c r="S23" s="1214" t="s">
        <v>44</v>
      </c>
      <c r="T23" s="115"/>
      <c r="U23" s="105" t="s">
        <v>45</v>
      </c>
      <c r="V23" s="87"/>
      <c r="W23" s="87"/>
      <c r="X23" s="9"/>
      <c r="Y23" s="9"/>
      <c r="Z23" s="9"/>
    </row>
    <row r="24" ht="59.25" customHeight="1" outlineLevel="1">
      <c r="A24" s="72"/>
      <c r="B24" s="72"/>
      <c r="C24" s="72"/>
      <c r="D24" s="72"/>
      <c r="E24" s="72"/>
      <c r="F24" s="72"/>
      <c r="G24" s="72"/>
      <c r="H24" s="1215" t="s">
        <v>2532</v>
      </c>
      <c r="I24" s="1212" t="b">
        <v>1</v>
      </c>
      <c r="J24" s="109" t="s">
        <v>47</v>
      </c>
      <c r="K24" s="109">
        <f t="shared" si="4"/>
        <v>1</v>
      </c>
      <c r="L24" s="113">
        <v>8000000.0</v>
      </c>
      <c r="M24" s="113">
        <v>0.0</v>
      </c>
      <c r="N24" s="113">
        <v>0.0</v>
      </c>
      <c r="O24" s="113" t="str">
        <f t="shared" si="5"/>
        <v>-</v>
      </c>
      <c r="P24" s="113" t="str">
        <f t="shared" si="6"/>
        <v>-</v>
      </c>
      <c r="Q24" s="113">
        <f t="shared" si="7"/>
        <v>8000000</v>
      </c>
      <c r="R24" s="72"/>
      <c r="S24" s="72"/>
      <c r="T24" s="72"/>
      <c r="U24" s="72"/>
      <c r="V24" s="87"/>
      <c r="W24" s="87"/>
      <c r="X24" s="9"/>
      <c r="Y24" s="9"/>
      <c r="Z24" s="9"/>
    </row>
    <row r="25" ht="59.25" customHeight="1" outlineLevel="1">
      <c r="A25" s="1207" t="s">
        <v>36</v>
      </c>
      <c r="B25" s="1216" t="s">
        <v>48</v>
      </c>
      <c r="C25" s="103" t="s">
        <v>38</v>
      </c>
      <c r="D25" s="1209" t="s">
        <v>49</v>
      </c>
      <c r="E25" s="105" t="s">
        <v>40</v>
      </c>
      <c r="F25" s="1210" t="s">
        <v>21</v>
      </c>
      <c r="G25" s="104" t="s">
        <v>50</v>
      </c>
      <c r="H25" s="1211" t="s">
        <v>2533</v>
      </c>
      <c r="I25" s="1212" t="b">
        <v>1</v>
      </c>
      <c r="J25" s="109" t="s">
        <v>7</v>
      </c>
      <c r="K25" s="109">
        <f t="shared" si="4"/>
        <v>1</v>
      </c>
      <c r="L25" s="113">
        <v>1.2E7</v>
      </c>
      <c r="M25" s="113">
        <v>100000.0</v>
      </c>
      <c r="N25" s="113">
        <v>3000.0</v>
      </c>
      <c r="O25" s="113">
        <f t="shared" si="5"/>
        <v>120</v>
      </c>
      <c r="P25" s="113">
        <f t="shared" si="6"/>
        <v>4000</v>
      </c>
      <c r="Q25" s="113">
        <f t="shared" si="7"/>
        <v>12000000</v>
      </c>
      <c r="R25" s="1213" t="s">
        <v>2534</v>
      </c>
      <c r="S25" s="1214" t="s">
        <v>53</v>
      </c>
      <c r="T25" s="115"/>
      <c r="U25" s="105" t="s">
        <v>45</v>
      </c>
      <c r="V25" s="87"/>
      <c r="W25" s="87"/>
      <c r="X25" s="9"/>
      <c r="Y25" s="9"/>
      <c r="Z25" s="9"/>
    </row>
    <row r="26" ht="59.25" customHeight="1" outlineLevel="1">
      <c r="A26" s="72"/>
      <c r="B26" s="72"/>
      <c r="C26" s="72"/>
      <c r="D26" s="72"/>
      <c r="E26" s="72"/>
      <c r="F26" s="72"/>
      <c r="G26" s="72"/>
      <c r="H26" s="1215" t="s">
        <v>2535</v>
      </c>
      <c r="I26" s="1212" t="b">
        <v>1</v>
      </c>
      <c r="J26" s="109" t="s">
        <v>47</v>
      </c>
      <c r="K26" s="109">
        <f t="shared" si="4"/>
        <v>1</v>
      </c>
      <c r="L26" s="113">
        <v>6000000.0</v>
      </c>
      <c r="M26" s="113">
        <v>0.0</v>
      </c>
      <c r="N26" s="113">
        <v>0.0</v>
      </c>
      <c r="O26" s="113" t="str">
        <f t="shared" si="5"/>
        <v>-</v>
      </c>
      <c r="P26" s="113" t="str">
        <f t="shared" si="6"/>
        <v>-</v>
      </c>
      <c r="Q26" s="113">
        <f t="shared" si="7"/>
        <v>6000000</v>
      </c>
      <c r="R26" s="72"/>
      <c r="S26" s="72"/>
      <c r="T26" s="72"/>
      <c r="U26" s="72"/>
      <c r="V26" s="9"/>
      <c r="W26" s="9"/>
      <c r="X26" s="9"/>
      <c r="Y26" s="9"/>
      <c r="Z26" s="9"/>
    </row>
    <row r="27" ht="59.25" customHeight="1" outlineLevel="1">
      <c r="A27" s="1207" t="s">
        <v>36</v>
      </c>
      <c r="B27" s="1216" t="s">
        <v>55</v>
      </c>
      <c r="C27" s="103" t="s">
        <v>38</v>
      </c>
      <c r="D27" s="1209" t="s">
        <v>56</v>
      </c>
      <c r="E27" s="105" t="s">
        <v>40</v>
      </c>
      <c r="F27" s="1210" t="s">
        <v>21</v>
      </c>
      <c r="G27" s="104" t="s">
        <v>50</v>
      </c>
      <c r="H27" s="1211" t="s">
        <v>2536</v>
      </c>
      <c r="I27" s="1212" t="b">
        <v>1</v>
      </c>
      <c r="J27" s="109" t="s">
        <v>7</v>
      </c>
      <c r="K27" s="109">
        <f t="shared" si="4"/>
        <v>1</v>
      </c>
      <c r="L27" s="113">
        <v>2.0E7</v>
      </c>
      <c r="M27" s="113">
        <v>130000.0</v>
      </c>
      <c r="N27" s="113">
        <v>4000.0</v>
      </c>
      <c r="O27" s="113">
        <f t="shared" si="5"/>
        <v>153.8461538</v>
      </c>
      <c r="P27" s="113">
        <f t="shared" si="6"/>
        <v>5000</v>
      </c>
      <c r="Q27" s="113">
        <f t="shared" si="7"/>
        <v>20000000</v>
      </c>
      <c r="R27" s="1213" t="s">
        <v>2537</v>
      </c>
      <c r="S27" s="1214" t="s">
        <v>59</v>
      </c>
      <c r="T27" s="115"/>
      <c r="U27" s="105" t="s">
        <v>45</v>
      </c>
      <c r="V27" s="87"/>
      <c r="W27" s="87"/>
      <c r="X27" s="9"/>
      <c r="Y27" s="9"/>
      <c r="Z27" s="9"/>
    </row>
    <row r="28" ht="59.25" customHeight="1" outlineLevel="1">
      <c r="A28" s="72"/>
      <c r="B28" s="72"/>
      <c r="C28" s="72"/>
      <c r="D28" s="72"/>
      <c r="E28" s="72"/>
      <c r="F28" s="72"/>
      <c r="G28" s="72"/>
      <c r="H28" s="1215" t="s">
        <v>2538</v>
      </c>
      <c r="I28" s="1212" t="b">
        <v>1</v>
      </c>
      <c r="J28" s="109" t="s">
        <v>47</v>
      </c>
      <c r="K28" s="109">
        <f t="shared" si="4"/>
        <v>1</v>
      </c>
      <c r="L28" s="113">
        <v>1.3E7</v>
      </c>
      <c r="M28" s="113">
        <v>0.0</v>
      </c>
      <c r="N28" s="113">
        <v>0.0</v>
      </c>
      <c r="O28" s="113" t="str">
        <f t="shared" si="5"/>
        <v>-</v>
      </c>
      <c r="P28" s="113" t="str">
        <f t="shared" si="6"/>
        <v>-</v>
      </c>
      <c r="Q28" s="113">
        <f t="shared" si="7"/>
        <v>13000000</v>
      </c>
      <c r="R28" s="72"/>
      <c r="S28" s="72"/>
      <c r="T28" s="72"/>
      <c r="U28" s="72"/>
      <c r="V28" s="9"/>
      <c r="W28" s="9"/>
      <c r="X28" s="9"/>
      <c r="Y28" s="9"/>
      <c r="Z28" s="9"/>
    </row>
    <row r="29" ht="59.25" customHeight="1" outlineLevel="1">
      <c r="A29" s="1207" t="s">
        <v>36</v>
      </c>
      <c r="B29" s="1216" t="s">
        <v>61</v>
      </c>
      <c r="C29" s="103" t="s">
        <v>38</v>
      </c>
      <c r="D29" s="1209" t="s">
        <v>62</v>
      </c>
      <c r="E29" s="105" t="s">
        <v>40</v>
      </c>
      <c r="F29" s="1210" t="s">
        <v>21</v>
      </c>
      <c r="G29" s="104" t="s">
        <v>50</v>
      </c>
      <c r="H29" s="1211" t="s">
        <v>2539</v>
      </c>
      <c r="I29" s="1212" t="b">
        <v>1</v>
      </c>
      <c r="J29" s="109" t="s">
        <v>7</v>
      </c>
      <c r="K29" s="109">
        <f t="shared" si="4"/>
        <v>1</v>
      </c>
      <c r="L29" s="113">
        <v>8000000.0</v>
      </c>
      <c r="M29" s="113">
        <v>30000.0</v>
      </c>
      <c r="N29" s="113">
        <v>1200.0</v>
      </c>
      <c r="O29" s="113">
        <f t="shared" si="5"/>
        <v>266.6666667</v>
      </c>
      <c r="P29" s="113">
        <f t="shared" si="6"/>
        <v>6666.666667</v>
      </c>
      <c r="Q29" s="113">
        <f t="shared" si="7"/>
        <v>8000000</v>
      </c>
      <c r="R29" s="1213" t="s">
        <v>2540</v>
      </c>
      <c r="S29" s="1214" t="s">
        <v>65</v>
      </c>
      <c r="T29" s="115"/>
      <c r="U29" s="105" t="s">
        <v>45</v>
      </c>
      <c r="V29" s="87"/>
      <c r="W29" s="87"/>
      <c r="X29" s="9"/>
      <c r="Y29" s="9"/>
      <c r="Z29" s="9"/>
    </row>
    <row r="30" ht="59.25" customHeight="1" outlineLevel="1">
      <c r="A30" s="72"/>
      <c r="B30" s="72"/>
      <c r="C30" s="72"/>
      <c r="D30" s="72"/>
      <c r="E30" s="72"/>
      <c r="F30" s="72"/>
      <c r="G30" s="72"/>
      <c r="H30" s="1215" t="s">
        <v>2541</v>
      </c>
      <c r="I30" s="1212" t="b">
        <v>1</v>
      </c>
      <c r="J30" s="109" t="s">
        <v>47</v>
      </c>
      <c r="K30" s="109">
        <f t="shared" si="4"/>
        <v>1</v>
      </c>
      <c r="L30" s="113">
        <v>4000000.0</v>
      </c>
      <c r="M30" s="113">
        <v>0.0</v>
      </c>
      <c r="N30" s="113">
        <v>0.0</v>
      </c>
      <c r="O30" s="113" t="str">
        <f t="shared" si="5"/>
        <v>-</v>
      </c>
      <c r="P30" s="113" t="str">
        <f t="shared" si="6"/>
        <v>-</v>
      </c>
      <c r="Q30" s="113">
        <f t="shared" si="7"/>
        <v>4000000</v>
      </c>
      <c r="R30" s="72"/>
      <c r="S30" s="72"/>
      <c r="T30" s="72"/>
      <c r="U30" s="72"/>
      <c r="V30" s="9"/>
      <c r="W30" s="9"/>
      <c r="X30" s="9"/>
      <c r="Y30" s="9"/>
      <c r="Z30" s="9"/>
    </row>
    <row r="31" ht="59.25" customHeight="1" outlineLevel="1">
      <c r="A31" s="1207" t="s">
        <v>36</v>
      </c>
      <c r="B31" s="1216" t="s">
        <v>67</v>
      </c>
      <c r="C31" s="103" t="s">
        <v>38</v>
      </c>
      <c r="D31" s="1209" t="s">
        <v>68</v>
      </c>
      <c r="E31" s="105" t="s">
        <v>40</v>
      </c>
      <c r="F31" s="1210" t="s">
        <v>21</v>
      </c>
      <c r="G31" s="104" t="s">
        <v>50</v>
      </c>
      <c r="H31" s="1211" t="s">
        <v>2542</v>
      </c>
      <c r="I31" s="1212" t="b">
        <v>1</v>
      </c>
      <c r="J31" s="109" t="s">
        <v>7</v>
      </c>
      <c r="K31" s="109">
        <f t="shared" si="4"/>
        <v>1</v>
      </c>
      <c r="L31" s="113">
        <v>1.0E7</v>
      </c>
      <c r="M31" s="113">
        <v>50000.0</v>
      </c>
      <c r="N31" s="113">
        <v>3000.0</v>
      </c>
      <c r="O31" s="113">
        <f t="shared" si="5"/>
        <v>200</v>
      </c>
      <c r="P31" s="113">
        <f t="shared" si="6"/>
        <v>3333.333333</v>
      </c>
      <c r="Q31" s="113">
        <f t="shared" si="7"/>
        <v>10000000</v>
      </c>
      <c r="R31" s="1213" t="s">
        <v>2543</v>
      </c>
      <c r="S31" s="1214" t="s">
        <v>71</v>
      </c>
      <c r="T31" s="115"/>
      <c r="U31" s="105" t="s">
        <v>45</v>
      </c>
      <c r="V31" s="87"/>
      <c r="W31" s="87"/>
      <c r="X31" s="9"/>
      <c r="Y31" s="9"/>
      <c r="Z31" s="9"/>
    </row>
    <row r="32" ht="59.25" customHeight="1" outlineLevel="1">
      <c r="A32" s="72"/>
      <c r="B32" s="72"/>
      <c r="C32" s="72"/>
      <c r="D32" s="72"/>
      <c r="E32" s="72"/>
      <c r="F32" s="72"/>
      <c r="G32" s="72"/>
      <c r="H32" s="1215" t="s">
        <v>2544</v>
      </c>
      <c r="I32" s="1212" t="b">
        <v>1</v>
      </c>
      <c r="J32" s="109" t="s">
        <v>47</v>
      </c>
      <c r="K32" s="109">
        <f t="shared" si="4"/>
        <v>1</v>
      </c>
      <c r="L32" s="113">
        <v>5000000.0</v>
      </c>
      <c r="M32" s="113">
        <v>0.0</v>
      </c>
      <c r="N32" s="113">
        <v>0.0</v>
      </c>
      <c r="O32" s="113" t="str">
        <f t="shared" si="5"/>
        <v>-</v>
      </c>
      <c r="P32" s="113" t="str">
        <f t="shared" si="6"/>
        <v>-</v>
      </c>
      <c r="Q32" s="113">
        <f t="shared" si="7"/>
        <v>5000000</v>
      </c>
      <c r="R32" s="72"/>
      <c r="S32" s="72"/>
      <c r="T32" s="72"/>
      <c r="U32" s="72"/>
      <c r="V32" s="9"/>
      <c r="W32" s="9"/>
      <c r="X32" s="9"/>
      <c r="Y32" s="9"/>
      <c r="Z32" s="9"/>
    </row>
    <row r="33" ht="59.25" customHeight="1" outlineLevel="1">
      <c r="A33" s="1207" t="s">
        <v>73</v>
      </c>
      <c r="B33" s="1217" t="s">
        <v>74</v>
      </c>
      <c r="C33" s="103" t="s">
        <v>38</v>
      </c>
      <c r="D33" s="1209" t="s">
        <v>75</v>
      </c>
      <c r="E33" s="105" t="s">
        <v>40</v>
      </c>
      <c r="F33" s="1210" t="s">
        <v>21</v>
      </c>
      <c r="G33" s="104" t="s">
        <v>50</v>
      </c>
      <c r="H33" s="1211" t="s">
        <v>2545</v>
      </c>
      <c r="I33" s="1212" t="b">
        <v>1</v>
      </c>
      <c r="J33" s="109" t="s">
        <v>7</v>
      </c>
      <c r="K33" s="109">
        <f t="shared" si="4"/>
        <v>1</v>
      </c>
      <c r="L33" s="113">
        <v>3.0E7</v>
      </c>
      <c r="M33" s="113">
        <v>120000.0</v>
      </c>
      <c r="N33" s="113">
        <v>4500.0</v>
      </c>
      <c r="O33" s="113">
        <f t="shared" si="5"/>
        <v>250</v>
      </c>
      <c r="P33" s="113">
        <f t="shared" si="6"/>
        <v>6666.666667</v>
      </c>
      <c r="Q33" s="113">
        <f t="shared" si="7"/>
        <v>30000000</v>
      </c>
      <c r="R33" s="1213" t="s">
        <v>2546</v>
      </c>
      <c r="S33" s="1218" t="s">
        <v>78</v>
      </c>
      <c r="T33" s="1214" t="s">
        <v>79</v>
      </c>
      <c r="U33" s="105" t="s">
        <v>45</v>
      </c>
      <c r="V33" s="9"/>
      <c r="W33" s="9"/>
      <c r="X33" s="9"/>
      <c r="Y33" s="9"/>
      <c r="Z33" s="9"/>
    </row>
    <row r="34" ht="59.25" customHeight="1" outlineLevel="1">
      <c r="A34" s="72"/>
      <c r="B34" s="72"/>
      <c r="C34" s="72"/>
      <c r="D34" s="72"/>
      <c r="E34" s="72"/>
      <c r="F34" s="72"/>
      <c r="G34" s="72"/>
      <c r="H34" s="1215" t="s">
        <v>2547</v>
      </c>
      <c r="I34" s="1212" t="b">
        <v>1</v>
      </c>
      <c r="J34" s="109" t="s">
        <v>47</v>
      </c>
      <c r="K34" s="109">
        <f t="shared" si="4"/>
        <v>1</v>
      </c>
      <c r="L34" s="113">
        <v>1.7E7</v>
      </c>
      <c r="M34" s="113">
        <v>0.0</v>
      </c>
      <c r="N34" s="113">
        <v>0.0</v>
      </c>
      <c r="O34" s="113" t="s">
        <v>81</v>
      </c>
      <c r="P34" s="113" t="s">
        <v>81</v>
      </c>
      <c r="Q34" s="113">
        <f t="shared" si="7"/>
        <v>17000000</v>
      </c>
      <c r="R34" s="72"/>
      <c r="S34" s="72"/>
      <c r="T34" s="72"/>
      <c r="U34" s="72"/>
      <c r="V34" s="9"/>
      <c r="W34" s="9"/>
      <c r="X34" s="9"/>
      <c r="Y34" s="9"/>
      <c r="Z34" s="9"/>
    </row>
    <row r="35" ht="59.25" customHeight="1" outlineLevel="1">
      <c r="A35" s="1207" t="s">
        <v>73</v>
      </c>
      <c r="B35" s="1217" t="s">
        <v>89</v>
      </c>
      <c r="C35" s="103" t="s">
        <v>38</v>
      </c>
      <c r="D35" s="1209" t="s">
        <v>90</v>
      </c>
      <c r="E35" s="105" t="s">
        <v>40</v>
      </c>
      <c r="F35" s="1210" t="s">
        <v>21</v>
      </c>
      <c r="G35" s="104" t="s">
        <v>50</v>
      </c>
      <c r="H35" s="1211" t="s">
        <v>2548</v>
      </c>
      <c r="I35" s="1212" t="b">
        <v>1</v>
      </c>
      <c r="J35" s="109" t="s">
        <v>7</v>
      </c>
      <c r="K35" s="109">
        <f t="shared" si="4"/>
        <v>1</v>
      </c>
      <c r="L35" s="113">
        <v>1.7E7</v>
      </c>
      <c r="M35" s="113">
        <v>100000.0</v>
      </c>
      <c r="N35" s="113">
        <v>4000.0</v>
      </c>
      <c r="O35" s="113">
        <f t="shared" ref="O35:O40" si="8">IFERROR(Q35/M35,"-")</f>
        <v>170</v>
      </c>
      <c r="P35" s="113">
        <f t="shared" ref="P35:P40" si="9">IFERROR(Q35/N35,"-")</f>
        <v>4250</v>
      </c>
      <c r="Q35" s="113">
        <f t="shared" si="7"/>
        <v>17000000</v>
      </c>
      <c r="R35" s="1213" t="s">
        <v>2549</v>
      </c>
      <c r="S35" s="1214" t="s">
        <v>93</v>
      </c>
      <c r="T35" s="1214" t="s">
        <v>79</v>
      </c>
      <c r="U35" s="105" t="s">
        <v>45</v>
      </c>
      <c r="V35" s="9"/>
      <c r="W35" s="9"/>
      <c r="X35" s="9"/>
      <c r="Y35" s="9"/>
      <c r="Z35" s="9"/>
    </row>
    <row r="36" ht="59.25" customHeight="1" outlineLevel="1">
      <c r="A36" s="72"/>
      <c r="B36" s="72"/>
      <c r="C36" s="72"/>
      <c r="D36" s="72"/>
      <c r="E36" s="72"/>
      <c r="F36" s="72"/>
      <c r="G36" s="72"/>
      <c r="H36" s="1215" t="s">
        <v>2550</v>
      </c>
      <c r="I36" s="1212" t="b">
        <v>1</v>
      </c>
      <c r="J36" s="109" t="s">
        <v>47</v>
      </c>
      <c r="K36" s="109">
        <f t="shared" si="4"/>
        <v>1</v>
      </c>
      <c r="L36" s="113">
        <v>7000000.0</v>
      </c>
      <c r="M36" s="113">
        <v>0.0</v>
      </c>
      <c r="N36" s="113">
        <v>0.0</v>
      </c>
      <c r="O36" s="113" t="str">
        <f t="shared" si="8"/>
        <v>-</v>
      </c>
      <c r="P36" s="113" t="str">
        <f t="shared" si="9"/>
        <v>-</v>
      </c>
      <c r="Q36" s="113">
        <f t="shared" si="7"/>
        <v>7000000</v>
      </c>
      <c r="R36" s="72"/>
      <c r="S36" s="72"/>
      <c r="T36" s="72"/>
      <c r="U36" s="72"/>
      <c r="V36" s="9"/>
      <c r="W36" s="9"/>
      <c r="X36" s="9"/>
      <c r="Y36" s="9"/>
      <c r="Z36" s="9"/>
    </row>
    <row r="37" ht="59.25" customHeight="1" outlineLevel="1">
      <c r="A37" s="1207" t="s">
        <v>109</v>
      </c>
      <c r="B37" s="102" t="s">
        <v>110</v>
      </c>
      <c r="C37" s="103" t="s">
        <v>38</v>
      </c>
      <c r="D37" s="104" t="s">
        <v>111</v>
      </c>
      <c r="E37" s="105" t="s">
        <v>40</v>
      </c>
      <c r="F37" s="106" t="s">
        <v>112</v>
      </c>
      <c r="G37" s="104" t="s">
        <v>105</v>
      </c>
      <c r="H37" s="1211" t="s">
        <v>2551</v>
      </c>
      <c r="I37" s="1219" t="b">
        <v>1</v>
      </c>
      <c r="J37" s="109" t="s">
        <v>7</v>
      </c>
      <c r="K37" s="110">
        <f t="shared" si="4"/>
        <v>1</v>
      </c>
      <c r="L37" s="113">
        <v>1.9E7</v>
      </c>
      <c r="M37" s="112">
        <v>65000.0</v>
      </c>
      <c r="N37" s="112">
        <v>3000.0</v>
      </c>
      <c r="O37" s="112">
        <f t="shared" si="8"/>
        <v>292.3076923</v>
      </c>
      <c r="P37" s="112">
        <f t="shared" si="9"/>
        <v>6333.333333</v>
      </c>
      <c r="Q37" s="113">
        <f t="shared" si="7"/>
        <v>19000000</v>
      </c>
      <c r="R37" s="1213" t="s">
        <v>2552</v>
      </c>
      <c r="S37" s="115"/>
      <c r="T37" s="115"/>
      <c r="U37" s="105" t="s">
        <v>45</v>
      </c>
      <c r="V37" s="9"/>
      <c r="W37" s="9"/>
      <c r="X37" s="9"/>
      <c r="Y37" s="9"/>
      <c r="Z37" s="9"/>
    </row>
    <row r="38" ht="59.25" customHeight="1" outlineLevel="1">
      <c r="A38" s="72"/>
      <c r="B38" s="72"/>
      <c r="C38" s="72"/>
      <c r="D38" s="72"/>
      <c r="E38" s="72"/>
      <c r="F38" s="72"/>
      <c r="G38" s="72"/>
      <c r="H38" s="1215" t="s">
        <v>2553</v>
      </c>
      <c r="I38" s="1219" t="b">
        <v>1</v>
      </c>
      <c r="J38" s="110" t="s">
        <v>47</v>
      </c>
      <c r="K38" s="110">
        <f t="shared" si="4"/>
        <v>1</v>
      </c>
      <c r="L38" s="113">
        <v>6000000.0</v>
      </c>
      <c r="M38" s="112">
        <v>0.0</v>
      </c>
      <c r="N38" s="112">
        <v>0.0</v>
      </c>
      <c r="O38" s="112" t="str">
        <f t="shared" si="8"/>
        <v>-</v>
      </c>
      <c r="P38" s="112" t="str">
        <f t="shared" si="9"/>
        <v>-</v>
      </c>
      <c r="Q38" s="113">
        <f t="shared" si="7"/>
        <v>6000000</v>
      </c>
      <c r="R38" s="72"/>
      <c r="S38" s="72"/>
      <c r="T38" s="72"/>
      <c r="U38" s="72"/>
      <c r="V38" s="9"/>
      <c r="W38" s="9"/>
      <c r="X38" s="9"/>
      <c r="Y38" s="9"/>
      <c r="Z38" s="9"/>
    </row>
    <row r="39" ht="59.25" customHeight="1" outlineLevel="1">
      <c r="A39" s="101" t="s">
        <v>101</v>
      </c>
      <c r="B39" s="102" t="s">
        <v>102</v>
      </c>
      <c r="C39" s="103" t="s">
        <v>38</v>
      </c>
      <c r="D39" s="104" t="s">
        <v>103</v>
      </c>
      <c r="E39" s="105" t="s">
        <v>40</v>
      </c>
      <c r="F39" s="106" t="s">
        <v>104</v>
      </c>
      <c r="G39" s="104" t="s">
        <v>105</v>
      </c>
      <c r="H39" s="107" t="s">
        <v>2554</v>
      </c>
      <c r="I39" s="108" t="b">
        <v>1</v>
      </c>
      <c r="J39" s="109" t="s">
        <v>7</v>
      </c>
      <c r="K39" s="110">
        <f t="shared" si="4"/>
        <v>1</v>
      </c>
      <c r="L39" s="111">
        <v>1.5E7</v>
      </c>
      <c r="M39" s="112">
        <v>65000.0</v>
      </c>
      <c r="N39" s="112">
        <v>3000.0</v>
      </c>
      <c r="O39" s="112">
        <f t="shared" si="8"/>
        <v>230.7692308</v>
      </c>
      <c r="P39" s="112">
        <f t="shared" si="9"/>
        <v>5000</v>
      </c>
      <c r="Q39" s="113">
        <f t="shared" si="7"/>
        <v>15000000</v>
      </c>
      <c r="R39" s="114" t="s">
        <v>2555</v>
      </c>
      <c r="S39" s="115"/>
      <c r="T39" s="115"/>
      <c r="U39" s="1220" t="s">
        <v>45</v>
      </c>
      <c r="V39" s="9"/>
      <c r="W39" s="9"/>
      <c r="X39" s="9"/>
      <c r="Y39" s="9"/>
      <c r="Z39" s="9"/>
    </row>
    <row r="40" ht="59.25" customHeight="1" outlineLevel="1">
      <c r="A40" s="72"/>
      <c r="B40" s="72"/>
      <c r="C40" s="72"/>
      <c r="D40" s="72"/>
      <c r="E40" s="72"/>
      <c r="F40" s="72"/>
      <c r="G40" s="72"/>
      <c r="H40" s="107" t="s">
        <v>2556</v>
      </c>
      <c r="I40" s="108" t="b">
        <v>1</v>
      </c>
      <c r="J40" s="110" t="s">
        <v>47</v>
      </c>
      <c r="K40" s="110">
        <f t="shared" si="4"/>
        <v>1</v>
      </c>
      <c r="L40" s="111">
        <v>4000000.0</v>
      </c>
      <c r="M40" s="112">
        <v>0.0</v>
      </c>
      <c r="N40" s="112">
        <v>0.0</v>
      </c>
      <c r="O40" s="112" t="str">
        <f t="shared" si="8"/>
        <v>-</v>
      </c>
      <c r="P40" s="112" t="str">
        <f t="shared" si="9"/>
        <v>-</v>
      </c>
      <c r="Q40" s="113">
        <f t="shared" si="7"/>
        <v>4000000</v>
      </c>
      <c r="R40" s="72"/>
      <c r="S40" s="72"/>
      <c r="T40" s="72"/>
      <c r="U40" s="72"/>
      <c r="V40" s="9"/>
      <c r="W40" s="9"/>
      <c r="X40" s="9"/>
      <c r="Y40" s="9"/>
      <c r="Z40" s="9"/>
    </row>
    <row r="41" ht="30.0" customHeight="1">
      <c r="A41" s="1200" t="s">
        <v>134</v>
      </c>
      <c r="B41" s="56"/>
      <c r="C41" s="1201"/>
      <c r="D41" s="1202"/>
      <c r="E41" s="1203"/>
      <c r="F41" s="1203"/>
      <c r="G41" s="1203"/>
      <c r="H41" s="1203"/>
      <c r="I41" s="1203"/>
      <c r="J41" s="1204" t="s">
        <v>7</v>
      </c>
      <c r="K41" s="1204">
        <f>SUMIFS(K44:K86,J44:J86,"Video Post")</f>
        <v>18</v>
      </c>
      <c r="L41" s="1205"/>
      <c r="M41" s="1206">
        <f t="shared" ref="M41:N41" si="10">sumif($I$44:$I$86,"TRUE",M44:M86)</f>
        <v>521500</v>
      </c>
      <c r="N41" s="1206">
        <f t="shared" si="10"/>
        <v>30000</v>
      </c>
      <c r="O41" s="1205"/>
      <c r="P41" s="1205"/>
      <c r="Q41" s="1206">
        <f>sum(Q44:Q86)</f>
        <v>163000000</v>
      </c>
      <c r="R41" s="1221"/>
      <c r="S41" s="1221"/>
      <c r="T41" s="1221"/>
      <c r="U41" s="1221"/>
      <c r="V41" s="69"/>
      <c r="W41" s="69"/>
      <c r="X41" s="9"/>
      <c r="Y41" s="9"/>
      <c r="Z41" s="9"/>
    </row>
    <row r="42" ht="30.0" customHeight="1">
      <c r="A42" s="70"/>
      <c r="B42" s="71"/>
      <c r="C42" s="1201"/>
      <c r="D42" s="1202"/>
      <c r="E42" s="1203"/>
      <c r="F42" s="1203"/>
      <c r="G42" s="1203"/>
      <c r="H42" s="1203"/>
      <c r="I42" s="1203"/>
      <c r="J42" s="1204" t="s">
        <v>8</v>
      </c>
      <c r="K42" s="1204">
        <f>SUMIFS(K44:K86,J44:J86,"Tháng")</f>
        <v>18</v>
      </c>
      <c r="L42" s="1205"/>
      <c r="M42" s="72"/>
      <c r="N42" s="72"/>
      <c r="O42" s="1205"/>
      <c r="P42" s="1205"/>
      <c r="Q42" s="72"/>
      <c r="R42" s="1221"/>
      <c r="S42" s="1221"/>
      <c r="T42" s="1221"/>
      <c r="U42" s="1221"/>
      <c r="V42" s="69"/>
      <c r="W42" s="69"/>
      <c r="X42" s="9"/>
      <c r="Y42" s="9"/>
      <c r="Z42" s="9"/>
    </row>
    <row r="43" outlineLevel="1">
      <c r="A43" s="1222" t="s">
        <v>135</v>
      </c>
      <c r="B43" s="1223" t="s">
        <v>136</v>
      </c>
      <c r="C43" s="1224"/>
      <c r="D43" s="1225"/>
      <c r="E43" s="1224"/>
      <c r="F43" s="1226"/>
      <c r="G43" s="1226"/>
      <c r="H43" s="1226"/>
      <c r="I43" s="1227" t="b">
        <v>0</v>
      </c>
      <c r="J43" s="1228"/>
      <c r="K43" s="1228"/>
      <c r="L43" s="1228"/>
      <c r="M43" s="1228"/>
      <c r="N43" s="1228"/>
      <c r="O43" s="1228"/>
      <c r="P43" s="1228"/>
      <c r="Q43" s="1228"/>
      <c r="R43" s="1226"/>
      <c r="S43" s="1228"/>
      <c r="T43" s="1228"/>
      <c r="U43" s="1224"/>
      <c r="V43" s="146"/>
      <c r="W43" s="146"/>
      <c r="X43" s="146"/>
      <c r="Y43" s="146"/>
      <c r="Z43" s="146"/>
    </row>
    <row r="44" ht="43.5" customHeight="1" outlineLevel="1">
      <c r="A44" s="1207" t="s">
        <v>45</v>
      </c>
      <c r="B44" s="1229" t="s">
        <v>137</v>
      </c>
      <c r="C44" s="103" t="s">
        <v>38</v>
      </c>
      <c r="D44" s="1209" t="s">
        <v>138</v>
      </c>
      <c r="E44" s="105" t="s">
        <v>40</v>
      </c>
      <c r="F44" s="1210" t="s">
        <v>139</v>
      </c>
      <c r="G44" s="104" t="s">
        <v>50</v>
      </c>
      <c r="H44" s="1211" t="s">
        <v>2557</v>
      </c>
      <c r="I44" s="1212" t="b">
        <v>1</v>
      </c>
      <c r="J44" s="109" t="s">
        <v>7</v>
      </c>
      <c r="K44" s="109">
        <f t="shared" ref="K44:K59" si="11">if(I44=True,1,if(I44=False,0))</f>
        <v>1</v>
      </c>
      <c r="L44" s="113">
        <v>6000000.0</v>
      </c>
      <c r="M44" s="113">
        <v>30000.0</v>
      </c>
      <c r="N44" s="113">
        <v>2000.0</v>
      </c>
      <c r="O44" s="113">
        <f>IFERROR(Q44/M44,"-")</f>
        <v>200</v>
      </c>
      <c r="P44" s="113">
        <f>IFERROR(Q44/N44,"-")</f>
        <v>3000</v>
      </c>
      <c r="Q44" s="113">
        <f t="shared" ref="Q44:Q59" si="12">iferror(L44*K44,"-")</f>
        <v>6000000</v>
      </c>
      <c r="R44" s="1213" t="s">
        <v>2558</v>
      </c>
      <c r="S44" s="1214" t="s">
        <v>142</v>
      </c>
      <c r="T44" s="115"/>
      <c r="U44" s="105" t="s">
        <v>45</v>
      </c>
      <c r="V44" s="9"/>
      <c r="W44" s="9"/>
      <c r="X44" s="9"/>
      <c r="Y44" s="9"/>
      <c r="Z44" s="9"/>
    </row>
    <row r="45" ht="43.5" customHeight="1" outlineLevel="1">
      <c r="A45" s="72"/>
      <c r="B45" s="72"/>
      <c r="C45" s="72"/>
      <c r="D45" s="72"/>
      <c r="E45" s="72"/>
      <c r="F45" s="72"/>
      <c r="G45" s="72"/>
      <c r="H45" s="1215" t="s">
        <v>2559</v>
      </c>
      <c r="I45" s="1212" t="b">
        <v>1</v>
      </c>
      <c r="J45" s="109" t="s">
        <v>47</v>
      </c>
      <c r="K45" s="109">
        <f t="shared" si="11"/>
        <v>1</v>
      </c>
      <c r="L45" s="113">
        <v>2000000.0</v>
      </c>
      <c r="M45" s="113">
        <v>0.0</v>
      </c>
      <c r="N45" s="113">
        <v>0.0</v>
      </c>
      <c r="O45" s="113" t="s">
        <v>81</v>
      </c>
      <c r="P45" s="113" t="s">
        <v>81</v>
      </c>
      <c r="Q45" s="113">
        <f t="shared" si="12"/>
        <v>2000000</v>
      </c>
      <c r="R45" s="72"/>
      <c r="S45" s="72"/>
      <c r="T45" s="72"/>
      <c r="U45" s="72"/>
      <c r="V45" s="9"/>
      <c r="W45" s="9"/>
      <c r="X45" s="9"/>
      <c r="Y45" s="9"/>
      <c r="Z45" s="9"/>
    </row>
    <row r="46" ht="43.5" customHeight="1" outlineLevel="1">
      <c r="A46" s="1207" t="s">
        <v>45</v>
      </c>
      <c r="B46" s="1216" t="s">
        <v>144</v>
      </c>
      <c r="C46" s="103" t="s">
        <v>38</v>
      </c>
      <c r="D46" s="1209" t="s">
        <v>145</v>
      </c>
      <c r="E46" s="105" t="s">
        <v>146</v>
      </c>
      <c r="F46" s="1210" t="s">
        <v>139</v>
      </c>
      <c r="G46" s="104" t="s">
        <v>50</v>
      </c>
      <c r="H46" s="1211" t="s">
        <v>2560</v>
      </c>
      <c r="I46" s="1212" t="b">
        <v>1</v>
      </c>
      <c r="J46" s="109" t="s">
        <v>7</v>
      </c>
      <c r="K46" s="109">
        <f t="shared" si="11"/>
        <v>1</v>
      </c>
      <c r="L46" s="113">
        <v>5000000.0</v>
      </c>
      <c r="M46" s="113">
        <v>20000.0</v>
      </c>
      <c r="N46" s="113">
        <v>1500.0</v>
      </c>
      <c r="O46" s="113">
        <f t="shared" ref="O46:O59" si="13">IFERROR(Q46/M46,"-")</f>
        <v>250</v>
      </c>
      <c r="P46" s="113">
        <f t="shared" ref="P46:P59" si="14">IFERROR(Q46/N46,"-")</f>
        <v>3333.333333</v>
      </c>
      <c r="Q46" s="113">
        <f t="shared" si="12"/>
        <v>5000000</v>
      </c>
      <c r="R46" s="1213" t="s">
        <v>2561</v>
      </c>
      <c r="S46" s="1214" t="s">
        <v>149</v>
      </c>
      <c r="T46" s="115"/>
      <c r="U46" s="105" t="s">
        <v>45</v>
      </c>
      <c r="V46" s="87"/>
      <c r="W46" s="87"/>
      <c r="X46" s="9"/>
      <c r="Y46" s="9"/>
      <c r="Z46" s="9"/>
    </row>
    <row r="47" ht="43.5" customHeight="1" outlineLevel="1">
      <c r="A47" s="72"/>
      <c r="B47" s="72"/>
      <c r="C47" s="72"/>
      <c r="D47" s="72"/>
      <c r="E47" s="72"/>
      <c r="F47" s="72"/>
      <c r="G47" s="72"/>
      <c r="H47" s="1215" t="s">
        <v>2562</v>
      </c>
      <c r="I47" s="1212" t="b">
        <v>1</v>
      </c>
      <c r="J47" s="109" t="s">
        <v>47</v>
      </c>
      <c r="K47" s="109">
        <f t="shared" si="11"/>
        <v>1</v>
      </c>
      <c r="L47" s="113">
        <v>2000000.0</v>
      </c>
      <c r="M47" s="113">
        <v>0.0</v>
      </c>
      <c r="N47" s="113">
        <v>0.0</v>
      </c>
      <c r="O47" s="113" t="str">
        <f t="shared" si="13"/>
        <v>-</v>
      </c>
      <c r="P47" s="113" t="str">
        <f t="shared" si="14"/>
        <v>-</v>
      </c>
      <c r="Q47" s="113">
        <f t="shared" si="12"/>
        <v>2000000</v>
      </c>
      <c r="R47" s="72"/>
      <c r="S47" s="72"/>
      <c r="T47" s="72"/>
      <c r="U47" s="72"/>
      <c r="V47" s="9"/>
      <c r="W47" s="9"/>
      <c r="X47" s="9"/>
      <c r="Y47" s="9"/>
      <c r="Z47" s="9"/>
    </row>
    <row r="48" ht="43.5" customHeight="1" outlineLevel="1">
      <c r="A48" s="1207" t="s">
        <v>45</v>
      </c>
      <c r="B48" s="1229" t="s">
        <v>151</v>
      </c>
      <c r="C48" s="103" t="s">
        <v>38</v>
      </c>
      <c r="D48" s="1209" t="s">
        <v>152</v>
      </c>
      <c r="E48" s="105" t="s">
        <v>146</v>
      </c>
      <c r="F48" s="1210" t="s">
        <v>139</v>
      </c>
      <c r="G48" s="104" t="s">
        <v>50</v>
      </c>
      <c r="H48" s="1211" t="s">
        <v>2563</v>
      </c>
      <c r="I48" s="1212" t="b">
        <v>1</v>
      </c>
      <c r="J48" s="109" t="s">
        <v>7</v>
      </c>
      <c r="K48" s="109">
        <f t="shared" si="11"/>
        <v>1</v>
      </c>
      <c r="L48" s="113">
        <v>3000000.0</v>
      </c>
      <c r="M48" s="113">
        <v>20000.0</v>
      </c>
      <c r="N48" s="113">
        <v>1500.0</v>
      </c>
      <c r="O48" s="113">
        <f t="shared" si="13"/>
        <v>150</v>
      </c>
      <c r="P48" s="113">
        <f t="shared" si="14"/>
        <v>2000</v>
      </c>
      <c r="Q48" s="113">
        <f t="shared" si="12"/>
        <v>3000000</v>
      </c>
      <c r="R48" s="1213" t="s">
        <v>2564</v>
      </c>
      <c r="S48" s="1214" t="s">
        <v>155</v>
      </c>
      <c r="T48" s="115"/>
      <c r="U48" s="105" t="s">
        <v>45</v>
      </c>
      <c r="V48" s="9"/>
      <c r="W48" s="9"/>
      <c r="X48" s="9"/>
      <c r="Y48" s="9"/>
      <c r="Z48" s="9"/>
    </row>
    <row r="49" ht="43.5" customHeight="1" outlineLevel="1">
      <c r="A49" s="72"/>
      <c r="B49" s="72"/>
      <c r="C49" s="72"/>
      <c r="D49" s="72"/>
      <c r="E49" s="72"/>
      <c r="F49" s="72"/>
      <c r="G49" s="72"/>
      <c r="H49" s="1215" t="s">
        <v>2565</v>
      </c>
      <c r="I49" s="1212" t="b">
        <v>1</v>
      </c>
      <c r="J49" s="109" t="s">
        <v>47</v>
      </c>
      <c r="K49" s="109">
        <f t="shared" si="11"/>
        <v>1</v>
      </c>
      <c r="L49" s="113">
        <v>2000000.0</v>
      </c>
      <c r="M49" s="113">
        <v>0.0</v>
      </c>
      <c r="N49" s="113">
        <v>0.0</v>
      </c>
      <c r="O49" s="113" t="str">
        <f t="shared" si="13"/>
        <v>-</v>
      </c>
      <c r="P49" s="113" t="str">
        <f t="shared" si="14"/>
        <v>-</v>
      </c>
      <c r="Q49" s="113">
        <f t="shared" si="12"/>
        <v>2000000</v>
      </c>
      <c r="R49" s="72"/>
      <c r="S49" s="72"/>
      <c r="T49" s="72"/>
      <c r="U49" s="72"/>
      <c r="V49" s="9"/>
      <c r="W49" s="9"/>
      <c r="X49" s="9"/>
      <c r="Y49" s="9"/>
      <c r="Z49" s="9"/>
    </row>
    <row r="50" ht="43.5" customHeight="1" outlineLevel="1">
      <c r="A50" s="1207" t="s">
        <v>73</v>
      </c>
      <c r="B50" s="1230" t="s">
        <v>163</v>
      </c>
      <c r="C50" s="103" t="s">
        <v>38</v>
      </c>
      <c r="D50" s="1209" t="s">
        <v>164</v>
      </c>
      <c r="E50" s="105" t="s">
        <v>146</v>
      </c>
      <c r="F50" s="1210" t="s">
        <v>21</v>
      </c>
      <c r="G50" s="104" t="s">
        <v>50</v>
      </c>
      <c r="H50" s="1211" t="s">
        <v>2566</v>
      </c>
      <c r="I50" s="1212" t="b">
        <v>1</v>
      </c>
      <c r="J50" s="109" t="s">
        <v>7</v>
      </c>
      <c r="K50" s="109">
        <f t="shared" si="11"/>
        <v>1</v>
      </c>
      <c r="L50" s="113">
        <v>5000000.0</v>
      </c>
      <c r="M50" s="113">
        <v>20000.0</v>
      </c>
      <c r="N50" s="113">
        <v>1500.0</v>
      </c>
      <c r="O50" s="113">
        <f t="shared" si="13"/>
        <v>250</v>
      </c>
      <c r="P50" s="113">
        <f t="shared" si="14"/>
        <v>3333.333333</v>
      </c>
      <c r="Q50" s="113">
        <f t="shared" si="12"/>
        <v>5000000</v>
      </c>
      <c r="R50" s="1213" t="s">
        <v>2567</v>
      </c>
      <c r="S50" s="1214" t="s">
        <v>167</v>
      </c>
      <c r="T50" s="115"/>
      <c r="U50" s="105" t="s">
        <v>45</v>
      </c>
      <c r="V50" s="87"/>
      <c r="W50" s="87"/>
      <c r="X50" s="9"/>
      <c r="Y50" s="9"/>
      <c r="Z50" s="9"/>
    </row>
    <row r="51" ht="43.5" customHeight="1" outlineLevel="1">
      <c r="A51" s="72"/>
      <c r="B51" s="72"/>
      <c r="C51" s="72"/>
      <c r="D51" s="72"/>
      <c r="E51" s="72"/>
      <c r="F51" s="72"/>
      <c r="G51" s="72"/>
      <c r="H51" s="1215" t="s">
        <v>2568</v>
      </c>
      <c r="I51" s="1212" t="b">
        <v>1</v>
      </c>
      <c r="J51" s="109" t="s">
        <v>47</v>
      </c>
      <c r="K51" s="109">
        <f t="shared" si="11"/>
        <v>1</v>
      </c>
      <c r="L51" s="113">
        <v>3000000.0</v>
      </c>
      <c r="M51" s="113">
        <v>0.0</v>
      </c>
      <c r="N51" s="113">
        <v>0.0</v>
      </c>
      <c r="O51" s="113" t="str">
        <f t="shared" si="13"/>
        <v>-</v>
      </c>
      <c r="P51" s="113" t="str">
        <f t="shared" si="14"/>
        <v>-</v>
      </c>
      <c r="Q51" s="113">
        <f t="shared" si="12"/>
        <v>3000000</v>
      </c>
      <c r="R51" s="72"/>
      <c r="S51" s="72"/>
      <c r="T51" s="72"/>
      <c r="U51" s="72"/>
      <c r="V51" s="9"/>
      <c r="W51" s="9"/>
      <c r="X51" s="9"/>
      <c r="Y51" s="9"/>
      <c r="Z51" s="9"/>
    </row>
    <row r="52" ht="43.5" customHeight="1" outlineLevel="1">
      <c r="A52" s="1207" t="s">
        <v>73</v>
      </c>
      <c r="B52" s="1217" t="s">
        <v>169</v>
      </c>
      <c r="C52" s="103" t="s">
        <v>38</v>
      </c>
      <c r="D52" s="1209">
        <v>6489.0</v>
      </c>
      <c r="E52" s="105" t="s">
        <v>146</v>
      </c>
      <c r="F52" s="1210" t="s">
        <v>139</v>
      </c>
      <c r="G52" s="104" t="s">
        <v>50</v>
      </c>
      <c r="H52" s="1211" t="s">
        <v>2569</v>
      </c>
      <c r="I52" s="1212" t="b">
        <v>1</v>
      </c>
      <c r="J52" s="109" t="s">
        <v>7</v>
      </c>
      <c r="K52" s="109">
        <f t="shared" si="11"/>
        <v>1</v>
      </c>
      <c r="L52" s="113">
        <v>3000000.0</v>
      </c>
      <c r="M52" s="113">
        <v>15000.0</v>
      </c>
      <c r="N52" s="113">
        <v>1000.0</v>
      </c>
      <c r="O52" s="113">
        <f t="shared" si="13"/>
        <v>200</v>
      </c>
      <c r="P52" s="113">
        <f t="shared" si="14"/>
        <v>3000</v>
      </c>
      <c r="Q52" s="113">
        <f t="shared" si="12"/>
        <v>3000000</v>
      </c>
      <c r="R52" s="1213" t="s">
        <v>2570</v>
      </c>
      <c r="S52" s="1214" t="s">
        <v>172</v>
      </c>
      <c r="T52" s="1214" t="s">
        <v>79</v>
      </c>
      <c r="U52" s="105" t="s">
        <v>45</v>
      </c>
      <c r="V52" s="9"/>
      <c r="W52" s="9"/>
      <c r="X52" s="9"/>
      <c r="Y52" s="9"/>
      <c r="Z52" s="9"/>
    </row>
    <row r="53" ht="43.5" customHeight="1" outlineLevel="1">
      <c r="A53" s="72"/>
      <c r="B53" s="72"/>
      <c r="C53" s="72"/>
      <c r="D53" s="72"/>
      <c r="E53" s="72"/>
      <c r="F53" s="72"/>
      <c r="G53" s="72"/>
      <c r="H53" s="1215" t="s">
        <v>2571</v>
      </c>
      <c r="I53" s="1212" t="b">
        <v>1</v>
      </c>
      <c r="J53" s="109" t="s">
        <v>47</v>
      </c>
      <c r="K53" s="109">
        <f t="shared" si="11"/>
        <v>1</v>
      </c>
      <c r="L53" s="113">
        <v>2000000.0</v>
      </c>
      <c r="M53" s="113">
        <v>0.0</v>
      </c>
      <c r="N53" s="113">
        <v>0.0</v>
      </c>
      <c r="O53" s="113" t="str">
        <f t="shared" si="13"/>
        <v>-</v>
      </c>
      <c r="P53" s="113" t="str">
        <f t="shared" si="14"/>
        <v>-</v>
      </c>
      <c r="Q53" s="113">
        <f t="shared" si="12"/>
        <v>2000000</v>
      </c>
      <c r="R53" s="72"/>
      <c r="S53" s="72"/>
      <c r="T53" s="72"/>
      <c r="U53" s="72"/>
      <c r="V53" s="9"/>
      <c r="W53" s="9"/>
      <c r="X53" s="9"/>
      <c r="Y53" s="9"/>
      <c r="Z53" s="9"/>
    </row>
    <row r="54" ht="43.5" customHeight="1" outlineLevel="1">
      <c r="A54" s="1207" t="s">
        <v>109</v>
      </c>
      <c r="B54" s="1231" t="s">
        <v>174</v>
      </c>
      <c r="C54" s="103" t="s">
        <v>38</v>
      </c>
      <c r="D54" s="1209" t="s">
        <v>175</v>
      </c>
      <c r="E54" s="105" t="s">
        <v>146</v>
      </c>
      <c r="F54" s="1210" t="s">
        <v>176</v>
      </c>
      <c r="G54" s="104" t="s">
        <v>50</v>
      </c>
      <c r="H54" s="1211" t="s">
        <v>2572</v>
      </c>
      <c r="I54" s="1219" t="b">
        <v>1</v>
      </c>
      <c r="J54" s="109" t="s">
        <v>7</v>
      </c>
      <c r="K54" s="109">
        <f t="shared" si="11"/>
        <v>1</v>
      </c>
      <c r="L54" s="113">
        <v>1.1E7</v>
      </c>
      <c r="M54" s="113">
        <v>46000.0</v>
      </c>
      <c r="N54" s="113">
        <v>2000.0</v>
      </c>
      <c r="O54" s="113">
        <f t="shared" si="13"/>
        <v>239.1304348</v>
      </c>
      <c r="P54" s="113">
        <f t="shared" si="14"/>
        <v>5500</v>
      </c>
      <c r="Q54" s="113">
        <f t="shared" si="12"/>
        <v>11000000</v>
      </c>
      <c r="R54" s="1213" t="s">
        <v>2573</v>
      </c>
      <c r="S54" s="115"/>
      <c r="T54" s="115"/>
      <c r="U54" s="105" t="s">
        <v>45</v>
      </c>
      <c r="V54" s="87"/>
      <c r="W54" s="87"/>
      <c r="X54" s="9"/>
      <c r="Y54" s="9"/>
      <c r="Z54" s="9"/>
    </row>
    <row r="55" ht="43.5" customHeight="1" outlineLevel="1">
      <c r="A55" s="72"/>
      <c r="B55" s="72"/>
      <c r="C55" s="72"/>
      <c r="D55" s="72"/>
      <c r="E55" s="72"/>
      <c r="F55" s="72"/>
      <c r="G55" s="72"/>
      <c r="H55" s="1215" t="s">
        <v>2574</v>
      </c>
      <c r="I55" s="1219" t="b">
        <v>1</v>
      </c>
      <c r="J55" s="109" t="s">
        <v>47</v>
      </c>
      <c r="K55" s="109">
        <f t="shared" si="11"/>
        <v>1</v>
      </c>
      <c r="L55" s="113">
        <v>2000000.0</v>
      </c>
      <c r="M55" s="113">
        <v>0.0</v>
      </c>
      <c r="N55" s="113">
        <v>0.0</v>
      </c>
      <c r="O55" s="113" t="str">
        <f t="shared" si="13"/>
        <v>-</v>
      </c>
      <c r="P55" s="113" t="str">
        <f t="shared" si="14"/>
        <v>-</v>
      </c>
      <c r="Q55" s="113">
        <f t="shared" si="12"/>
        <v>2000000</v>
      </c>
      <c r="R55" s="72"/>
      <c r="S55" s="72"/>
      <c r="T55" s="72"/>
      <c r="U55" s="72"/>
      <c r="V55" s="9"/>
      <c r="W55" s="9"/>
      <c r="X55" s="9"/>
      <c r="Y55" s="9"/>
      <c r="Z55" s="9"/>
    </row>
    <row r="56" ht="43.5" customHeight="1" outlineLevel="1">
      <c r="A56" s="1207" t="s">
        <v>109</v>
      </c>
      <c r="B56" s="1232" t="s">
        <v>180</v>
      </c>
      <c r="C56" s="103" t="s">
        <v>38</v>
      </c>
      <c r="D56" s="1209" t="s">
        <v>181</v>
      </c>
      <c r="E56" s="105" t="s">
        <v>146</v>
      </c>
      <c r="F56" s="1210" t="s">
        <v>182</v>
      </c>
      <c r="G56" s="104" t="s">
        <v>50</v>
      </c>
      <c r="H56" s="1211" t="s">
        <v>2575</v>
      </c>
      <c r="I56" s="1219" t="b">
        <v>1</v>
      </c>
      <c r="J56" s="109" t="s">
        <v>7</v>
      </c>
      <c r="K56" s="109">
        <f t="shared" si="11"/>
        <v>1</v>
      </c>
      <c r="L56" s="113">
        <v>1.0E7</v>
      </c>
      <c r="M56" s="113">
        <v>40500.0</v>
      </c>
      <c r="N56" s="113">
        <v>2000.0</v>
      </c>
      <c r="O56" s="113">
        <f t="shared" si="13"/>
        <v>246.9135802</v>
      </c>
      <c r="P56" s="113">
        <f t="shared" si="14"/>
        <v>5000</v>
      </c>
      <c r="Q56" s="113">
        <f t="shared" si="12"/>
        <v>10000000</v>
      </c>
      <c r="R56" s="1213" t="s">
        <v>2576</v>
      </c>
      <c r="S56" s="115"/>
      <c r="T56" s="115"/>
      <c r="U56" s="105" t="s">
        <v>45</v>
      </c>
      <c r="V56" s="9"/>
      <c r="W56" s="9"/>
      <c r="X56" s="9"/>
      <c r="Y56" s="9"/>
      <c r="Z56" s="9"/>
    </row>
    <row r="57" ht="43.5" customHeight="1" outlineLevel="1">
      <c r="A57" s="72"/>
      <c r="B57" s="72"/>
      <c r="C57" s="72"/>
      <c r="D57" s="72"/>
      <c r="E57" s="72"/>
      <c r="F57" s="72"/>
      <c r="G57" s="72"/>
      <c r="H57" s="1215" t="s">
        <v>2577</v>
      </c>
      <c r="I57" s="1219" t="b">
        <v>1</v>
      </c>
      <c r="J57" s="109" t="s">
        <v>47</v>
      </c>
      <c r="K57" s="109">
        <f t="shared" si="11"/>
        <v>1</v>
      </c>
      <c r="L57" s="113">
        <v>3000000.0</v>
      </c>
      <c r="M57" s="113">
        <v>0.0</v>
      </c>
      <c r="N57" s="113">
        <v>0.0</v>
      </c>
      <c r="O57" s="113" t="str">
        <f t="shared" si="13"/>
        <v>-</v>
      </c>
      <c r="P57" s="113" t="str">
        <f t="shared" si="14"/>
        <v>-</v>
      </c>
      <c r="Q57" s="113">
        <f t="shared" si="12"/>
        <v>3000000</v>
      </c>
      <c r="R57" s="72"/>
      <c r="S57" s="72"/>
      <c r="T57" s="72"/>
      <c r="U57" s="72"/>
      <c r="V57" s="9"/>
      <c r="W57" s="9"/>
      <c r="X57" s="9"/>
      <c r="Y57" s="9"/>
      <c r="Z57" s="9"/>
    </row>
    <row r="58" ht="43.5" customHeight="1" outlineLevel="1">
      <c r="A58" s="1207" t="s">
        <v>186</v>
      </c>
      <c r="B58" s="1233" t="s">
        <v>187</v>
      </c>
      <c r="C58" s="103" t="s">
        <v>38</v>
      </c>
      <c r="D58" s="1209" t="s">
        <v>188</v>
      </c>
      <c r="E58" s="105" t="s">
        <v>146</v>
      </c>
      <c r="F58" s="1210" t="s">
        <v>139</v>
      </c>
      <c r="G58" s="104" t="s">
        <v>50</v>
      </c>
      <c r="H58" s="1211" t="s">
        <v>2578</v>
      </c>
      <c r="I58" s="1212" t="b">
        <v>1</v>
      </c>
      <c r="J58" s="109" t="s">
        <v>7</v>
      </c>
      <c r="K58" s="109">
        <f t="shared" si="11"/>
        <v>1</v>
      </c>
      <c r="L58" s="113">
        <v>1.2E7</v>
      </c>
      <c r="M58" s="113">
        <v>60000.0</v>
      </c>
      <c r="N58" s="113">
        <v>3000.0</v>
      </c>
      <c r="O58" s="113">
        <f t="shared" si="13"/>
        <v>200</v>
      </c>
      <c r="P58" s="113">
        <f t="shared" si="14"/>
        <v>4000</v>
      </c>
      <c r="Q58" s="113">
        <f t="shared" si="12"/>
        <v>12000000</v>
      </c>
      <c r="R58" s="1213" t="s">
        <v>2579</v>
      </c>
      <c r="S58" s="115"/>
      <c r="T58" s="115"/>
      <c r="U58" s="105" t="s">
        <v>45</v>
      </c>
      <c r="V58" s="87"/>
      <c r="W58" s="87"/>
      <c r="X58" s="9"/>
      <c r="Y58" s="9"/>
      <c r="Z58" s="9"/>
    </row>
    <row r="59" ht="43.5" customHeight="1" outlineLevel="1">
      <c r="A59" s="72"/>
      <c r="B59" s="72"/>
      <c r="C59" s="72"/>
      <c r="D59" s="72"/>
      <c r="E59" s="72"/>
      <c r="F59" s="72"/>
      <c r="G59" s="72"/>
      <c r="H59" s="1215" t="s">
        <v>2580</v>
      </c>
      <c r="I59" s="1212" t="b">
        <v>1</v>
      </c>
      <c r="J59" s="109" t="s">
        <v>47</v>
      </c>
      <c r="K59" s="109">
        <f t="shared" si="11"/>
        <v>1</v>
      </c>
      <c r="L59" s="113">
        <v>8000000.0</v>
      </c>
      <c r="M59" s="113">
        <v>0.0</v>
      </c>
      <c r="N59" s="113">
        <v>0.0</v>
      </c>
      <c r="O59" s="113" t="str">
        <f t="shared" si="13"/>
        <v>-</v>
      </c>
      <c r="P59" s="113" t="str">
        <f t="shared" si="14"/>
        <v>-</v>
      </c>
      <c r="Q59" s="113">
        <f t="shared" si="12"/>
        <v>8000000</v>
      </c>
      <c r="R59" s="72"/>
      <c r="S59" s="72"/>
      <c r="T59" s="72"/>
      <c r="U59" s="72"/>
      <c r="V59" s="9"/>
      <c r="W59" s="9"/>
      <c r="X59" s="9"/>
      <c r="Y59" s="9"/>
      <c r="Z59" s="9"/>
    </row>
    <row r="60" outlineLevel="1">
      <c r="A60" s="1222" t="s">
        <v>202</v>
      </c>
      <c r="B60" s="1223" t="s">
        <v>203</v>
      </c>
      <c r="C60" s="1226"/>
      <c r="D60" s="1225"/>
      <c r="E60" s="1226"/>
      <c r="F60" s="1226"/>
      <c r="G60" s="1226"/>
      <c r="H60" s="1226"/>
      <c r="I60" s="1226"/>
      <c r="J60" s="1228"/>
      <c r="K60" s="1228"/>
      <c r="L60" s="1228"/>
      <c r="M60" s="1228"/>
      <c r="N60" s="1228"/>
      <c r="O60" s="1228"/>
      <c r="P60" s="1228"/>
      <c r="Q60" s="1228"/>
      <c r="R60" s="1226"/>
      <c r="S60" s="1228"/>
      <c r="T60" s="1228"/>
      <c r="U60" s="1224"/>
      <c r="V60" s="146"/>
      <c r="W60" s="146"/>
      <c r="X60" s="146"/>
      <c r="Y60" s="146"/>
      <c r="Z60" s="146"/>
    </row>
    <row r="61" ht="42.0" customHeight="1" outlineLevel="1">
      <c r="A61" s="1207" t="s">
        <v>101</v>
      </c>
      <c r="B61" s="1229" t="s">
        <v>204</v>
      </c>
      <c r="C61" s="103" t="s">
        <v>38</v>
      </c>
      <c r="D61" s="1209" t="s">
        <v>205</v>
      </c>
      <c r="E61" s="105" t="s">
        <v>146</v>
      </c>
      <c r="F61" s="1210" t="s">
        <v>206</v>
      </c>
      <c r="G61" s="104" t="s">
        <v>105</v>
      </c>
      <c r="H61" s="1211" t="s">
        <v>2581</v>
      </c>
      <c r="I61" s="1212" t="b">
        <v>1</v>
      </c>
      <c r="J61" s="109" t="s">
        <v>7</v>
      </c>
      <c r="K61" s="109">
        <f t="shared" ref="K61:K74" si="15">if(I61=True,1,if(I61=False,0))</f>
        <v>1</v>
      </c>
      <c r="L61" s="113">
        <v>4000000.0</v>
      </c>
      <c r="M61" s="113">
        <v>20000.0</v>
      </c>
      <c r="N61" s="113">
        <v>1500.0</v>
      </c>
      <c r="O61" s="113">
        <f t="shared" ref="O61:O74" si="16">IFERROR(Q61/M61,"-")</f>
        <v>200</v>
      </c>
      <c r="P61" s="113">
        <f t="shared" ref="P61:P74" si="17">IFERROR(Q61/N61,"-")</f>
        <v>2666.666667</v>
      </c>
      <c r="Q61" s="113">
        <f t="shared" ref="Q61:Q74" si="18">iferror(L61*K61,"-")</f>
        <v>4000000</v>
      </c>
      <c r="R61" s="1213" t="s">
        <v>2582</v>
      </c>
      <c r="S61" s="1214" t="s">
        <v>209</v>
      </c>
      <c r="T61" s="115"/>
      <c r="U61" s="105" t="s">
        <v>45</v>
      </c>
      <c r="V61" s="9"/>
      <c r="W61" s="9"/>
      <c r="X61" s="9"/>
      <c r="Y61" s="9"/>
      <c r="Z61" s="9"/>
    </row>
    <row r="62" ht="42.0" customHeight="1" outlineLevel="1">
      <c r="A62" s="72"/>
      <c r="B62" s="72"/>
      <c r="C62" s="72"/>
      <c r="D62" s="72"/>
      <c r="E62" s="72"/>
      <c r="F62" s="72"/>
      <c r="G62" s="72"/>
      <c r="H62" s="1215" t="s">
        <v>2583</v>
      </c>
      <c r="I62" s="1212" t="b">
        <v>1</v>
      </c>
      <c r="J62" s="109" t="s">
        <v>47</v>
      </c>
      <c r="K62" s="109">
        <f t="shared" si="15"/>
        <v>1</v>
      </c>
      <c r="L62" s="113">
        <v>2000000.0</v>
      </c>
      <c r="M62" s="113">
        <v>0.0</v>
      </c>
      <c r="N62" s="113">
        <v>0.0</v>
      </c>
      <c r="O62" s="113" t="str">
        <f t="shared" si="16"/>
        <v>-</v>
      </c>
      <c r="P62" s="113" t="str">
        <f t="shared" si="17"/>
        <v>-</v>
      </c>
      <c r="Q62" s="113">
        <f t="shared" si="18"/>
        <v>2000000</v>
      </c>
      <c r="R62" s="68"/>
      <c r="S62" s="72"/>
      <c r="T62" s="72"/>
      <c r="U62" s="72"/>
      <c r="V62" s="9"/>
      <c r="W62" s="9"/>
      <c r="X62" s="9"/>
      <c r="Y62" s="9"/>
      <c r="Z62" s="9"/>
    </row>
    <row r="63" ht="42.0" customHeight="1" outlineLevel="1">
      <c r="A63" s="1207" t="s">
        <v>101</v>
      </c>
      <c r="B63" s="1216" t="s">
        <v>211</v>
      </c>
      <c r="C63" s="103" t="s">
        <v>38</v>
      </c>
      <c r="D63" s="1209">
        <v>45000.0</v>
      </c>
      <c r="E63" s="105" t="s">
        <v>146</v>
      </c>
      <c r="F63" s="1210" t="s">
        <v>212</v>
      </c>
      <c r="G63" s="104" t="s">
        <v>213</v>
      </c>
      <c r="H63" s="1211" t="s">
        <v>2584</v>
      </c>
      <c r="I63" s="1212" t="b">
        <v>1</v>
      </c>
      <c r="J63" s="109" t="s">
        <v>7</v>
      </c>
      <c r="K63" s="109">
        <f t="shared" si="15"/>
        <v>1</v>
      </c>
      <c r="L63" s="113">
        <v>5000000.0</v>
      </c>
      <c r="M63" s="113">
        <v>20000.0</v>
      </c>
      <c r="N63" s="113">
        <v>1500.0</v>
      </c>
      <c r="O63" s="113">
        <f t="shared" si="16"/>
        <v>250</v>
      </c>
      <c r="P63" s="113">
        <f t="shared" si="17"/>
        <v>3333.333333</v>
      </c>
      <c r="Q63" s="113">
        <f t="shared" si="18"/>
        <v>5000000</v>
      </c>
      <c r="R63" s="68"/>
      <c r="S63" s="1214" t="s">
        <v>215</v>
      </c>
      <c r="T63" s="115"/>
      <c r="U63" s="105" t="s">
        <v>45</v>
      </c>
      <c r="V63" s="9"/>
      <c r="W63" s="9"/>
      <c r="X63" s="9"/>
      <c r="Y63" s="9"/>
      <c r="Z63" s="9"/>
    </row>
    <row r="64" ht="42.0" customHeight="1" outlineLevel="1">
      <c r="A64" s="72"/>
      <c r="B64" s="72"/>
      <c r="C64" s="72"/>
      <c r="D64" s="72"/>
      <c r="E64" s="72"/>
      <c r="F64" s="72"/>
      <c r="G64" s="72"/>
      <c r="H64" s="1215" t="s">
        <v>2585</v>
      </c>
      <c r="I64" s="1212" t="b">
        <v>1</v>
      </c>
      <c r="J64" s="109" t="s">
        <v>47</v>
      </c>
      <c r="K64" s="109">
        <f t="shared" si="15"/>
        <v>1</v>
      </c>
      <c r="L64" s="113">
        <v>2000000.0</v>
      </c>
      <c r="M64" s="113">
        <v>0.0</v>
      </c>
      <c r="N64" s="113">
        <v>0.0</v>
      </c>
      <c r="O64" s="113" t="str">
        <f t="shared" si="16"/>
        <v>-</v>
      </c>
      <c r="P64" s="113" t="str">
        <f t="shared" si="17"/>
        <v>-</v>
      </c>
      <c r="Q64" s="113">
        <f t="shared" si="18"/>
        <v>2000000</v>
      </c>
      <c r="R64" s="68"/>
      <c r="S64" s="72"/>
      <c r="T64" s="72"/>
      <c r="U64" s="72"/>
      <c r="V64" s="87"/>
      <c r="W64" s="87"/>
      <c r="X64" s="9"/>
      <c r="Y64" s="9"/>
      <c r="Z64" s="9"/>
    </row>
    <row r="65" ht="42.0" customHeight="1" outlineLevel="1">
      <c r="A65" s="1207" t="s">
        <v>109</v>
      </c>
      <c r="B65" s="1231" t="s">
        <v>242</v>
      </c>
      <c r="C65" s="103" t="s">
        <v>38</v>
      </c>
      <c r="D65" s="1209" t="s">
        <v>243</v>
      </c>
      <c r="E65" s="105" t="s">
        <v>146</v>
      </c>
      <c r="F65" s="1210" t="s">
        <v>244</v>
      </c>
      <c r="G65" s="104" t="s">
        <v>105</v>
      </c>
      <c r="H65" s="1211" t="s">
        <v>2586</v>
      </c>
      <c r="I65" s="1219" t="b">
        <v>1</v>
      </c>
      <c r="J65" s="109" t="s">
        <v>7</v>
      </c>
      <c r="K65" s="109">
        <f t="shared" si="15"/>
        <v>1</v>
      </c>
      <c r="L65" s="113">
        <v>1.0E7</v>
      </c>
      <c r="M65" s="113">
        <v>35000.0</v>
      </c>
      <c r="N65" s="113">
        <v>1500.0</v>
      </c>
      <c r="O65" s="113">
        <f t="shared" si="16"/>
        <v>285.7142857</v>
      </c>
      <c r="P65" s="113">
        <f t="shared" si="17"/>
        <v>6666.666667</v>
      </c>
      <c r="Q65" s="113">
        <f t="shared" si="18"/>
        <v>10000000</v>
      </c>
      <c r="R65" s="1213" t="s">
        <v>2587</v>
      </c>
      <c r="S65" s="115"/>
      <c r="T65" s="115"/>
      <c r="U65" s="105" t="s">
        <v>45</v>
      </c>
      <c r="V65" s="9"/>
      <c r="W65" s="9"/>
      <c r="X65" s="9"/>
      <c r="Y65" s="9"/>
      <c r="Z65" s="9"/>
    </row>
    <row r="66" ht="42.0" customHeight="1" outlineLevel="1">
      <c r="A66" s="72"/>
      <c r="B66" s="72"/>
      <c r="C66" s="72"/>
      <c r="D66" s="72"/>
      <c r="E66" s="72"/>
      <c r="F66" s="72"/>
      <c r="G66" s="72"/>
      <c r="H66" s="1215" t="s">
        <v>2588</v>
      </c>
      <c r="I66" s="1219" t="b">
        <v>1</v>
      </c>
      <c r="J66" s="109" t="s">
        <v>47</v>
      </c>
      <c r="K66" s="109">
        <f t="shared" si="15"/>
        <v>1</v>
      </c>
      <c r="L66" s="113">
        <v>2000000.0</v>
      </c>
      <c r="M66" s="113">
        <v>0.0</v>
      </c>
      <c r="N66" s="113">
        <v>0.0</v>
      </c>
      <c r="O66" s="113" t="str">
        <f t="shared" si="16"/>
        <v>-</v>
      </c>
      <c r="P66" s="113" t="str">
        <f t="shared" si="17"/>
        <v>-</v>
      </c>
      <c r="Q66" s="113">
        <f t="shared" si="18"/>
        <v>2000000</v>
      </c>
      <c r="R66" s="72"/>
      <c r="S66" s="72"/>
      <c r="T66" s="72"/>
      <c r="U66" s="72"/>
      <c r="V66" s="87"/>
      <c r="W66" s="87"/>
      <c r="X66" s="9"/>
      <c r="Y66" s="9"/>
      <c r="Z66" s="9"/>
    </row>
    <row r="67" ht="42.0" customHeight="1" outlineLevel="1">
      <c r="A67" s="1207" t="s">
        <v>109</v>
      </c>
      <c r="B67" s="1231" t="s">
        <v>254</v>
      </c>
      <c r="C67" s="103" t="s">
        <v>38</v>
      </c>
      <c r="D67" s="1209" t="s">
        <v>255</v>
      </c>
      <c r="E67" s="105" t="s">
        <v>146</v>
      </c>
      <c r="F67" s="1210" t="s">
        <v>256</v>
      </c>
      <c r="G67" s="104" t="s">
        <v>105</v>
      </c>
      <c r="H67" s="1211" t="s">
        <v>2589</v>
      </c>
      <c r="I67" s="1219" t="b">
        <v>1</v>
      </c>
      <c r="J67" s="109" t="s">
        <v>7</v>
      </c>
      <c r="K67" s="109">
        <f t="shared" si="15"/>
        <v>1</v>
      </c>
      <c r="L67" s="113">
        <v>9000000.0</v>
      </c>
      <c r="M67" s="113">
        <v>30000.0</v>
      </c>
      <c r="N67" s="113">
        <v>1500.0</v>
      </c>
      <c r="O67" s="113">
        <f t="shared" si="16"/>
        <v>300</v>
      </c>
      <c r="P67" s="113">
        <f t="shared" si="17"/>
        <v>6000</v>
      </c>
      <c r="Q67" s="113">
        <f t="shared" si="18"/>
        <v>9000000</v>
      </c>
      <c r="R67" s="1213" t="s">
        <v>2590</v>
      </c>
      <c r="S67" s="115"/>
      <c r="T67" s="115"/>
      <c r="U67" s="105" t="s">
        <v>45</v>
      </c>
      <c r="V67" s="9"/>
      <c r="W67" s="9"/>
      <c r="X67" s="9"/>
      <c r="Y67" s="9"/>
      <c r="Z67" s="9"/>
    </row>
    <row r="68" ht="42.0" customHeight="1" outlineLevel="1">
      <c r="A68" s="72"/>
      <c r="B68" s="72"/>
      <c r="C68" s="72"/>
      <c r="D68" s="72"/>
      <c r="E68" s="72"/>
      <c r="F68" s="72"/>
      <c r="G68" s="72"/>
      <c r="H68" s="1215" t="s">
        <v>2591</v>
      </c>
      <c r="I68" s="1219" t="b">
        <v>1</v>
      </c>
      <c r="J68" s="109" t="s">
        <v>47</v>
      </c>
      <c r="K68" s="109">
        <f t="shared" si="15"/>
        <v>1</v>
      </c>
      <c r="L68" s="113">
        <v>3000000.0</v>
      </c>
      <c r="M68" s="113">
        <v>0.0</v>
      </c>
      <c r="N68" s="113">
        <v>0.0</v>
      </c>
      <c r="O68" s="113" t="str">
        <f t="shared" si="16"/>
        <v>-</v>
      </c>
      <c r="P68" s="113" t="str">
        <f t="shared" si="17"/>
        <v>-</v>
      </c>
      <c r="Q68" s="113">
        <f t="shared" si="18"/>
        <v>3000000</v>
      </c>
      <c r="R68" s="72"/>
      <c r="S68" s="72"/>
      <c r="T68" s="72"/>
      <c r="U68" s="72"/>
      <c r="V68" s="9"/>
      <c r="W68" s="9"/>
      <c r="X68" s="9"/>
      <c r="Y68" s="9"/>
      <c r="Z68" s="9"/>
    </row>
    <row r="69" ht="59.25" customHeight="1" outlineLevel="1">
      <c r="A69" s="101" t="s">
        <v>101</v>
      </c>
      <c r="B69" s="1350" t="s">
        <v>648</v>
      </c>
      <c r="C69" s="103" t="s">
        <v>38</v>
      </c>
      <c r="D69" s="1351" t="s">
        <v>649</v>
      </c>
      <c r="E69" s="105" t="s">
        <v>146</v>
      </c>
      <c r="F69" s="1352" t="s">
        <v>650</v>
      </c>
      <c r="G69" s="104" t="s">
        <v>105</v>
      </c>
      <c r="H69" s="107" t="s">
        <v>2592</v>
      </c>
      <c r="I69" s="108" t="b">
        <v>1</v>
      </c>
      <c r="J69" s="109" t="s">
        <v>7</v>
      </c>
      <c r="K69" s="110">
        <f t="shared" si="15"/>
        <v>1</v>
      </c>
      <c r="L69" s="111">
        <v>7000000.0</v>
      </c>
      <c r="M69" s="112">
        <v>30000.0</v>
      </c>
      <c r="N69" s="112">
        <v>1500.0</v>
      </c>
      <c r="O69" s="112">
        <f t="shared" si="16"/>
        <v>233.3333333</v>
      </c>
      <c r="P69" s="112">
        <f t="shared" si="17"/>
        <v>4666.666667</v>
      </c>
      <c r="Q69" s="113">
        <f t="shared" si="18"/>
        <v>7000000</v>
      </c>
      <c r="R69" s="114" t="s">
        <v>2593</v>
      </c>
      <c r="S69" s="115"/>
      <c r="T69" s="115"/>
      <c r="U69" s="1220" t="s">
        <v>122</v>
      </c>
      <c r="V69" s="9"/>
      <c r="W69" s="9"/>
      <c r="X69" s="9"/>
      <c r="Y69" s="9"/>
      <c r="Z69" s="9"/>
    </row>
    <row r="70" ht="59.25" customHeight="1" outlineLevel="1">
      <c r="A70" s="72"/>
      <c r="B70" s="72"/>
      <c r="C70" s="72"/>
      <c r="D70" s="72"/>
      <c r="E70" s="72"/>
      <c r="F70" s="72"/>
      <c r="G70" s="72"/>
      <c r="H70" s="107" t="s">
        <v>2594</v>
      </c>
      <c r="I70" s="108" t="b">
        <v>1</v>
      </c>
      <c r="J70" s="110" t="s">
        <v>47</v>
      </c>
      <c r="K70" s="110">
        <f t="shared" si="15"/>
        <v>1</v>
      </c>
      <c r="L70" s="111">
        <v>3000000.0</v>
      </c>
      <c r="M70" s="112">
        <v>0.0</v>
      </c>
      <c r="N70" s="112">
        <v>0.0</v>
      </c>
      <c r="O70" s="112" t="str">
        <f t="shared" si="16"/>
        <v>-</v>
      </c>
      <c r="P70" s="112" t="str">
        <f t="shared" si="17"/>
        <v>-</v>
      </c>
      <c r="Q70" s="113">
        <f t="shared" si="18"/>
        <v>3000000</v>
      </c>
      <c r="R70" s="72"/>
      <c r="S70" s="72"/>
      <c r="T70" s="72"/>
      <c r="U70" s="72"/>
      <c r="V70" s="9"/>
      <c r="W70" s="9"/>
      <c r="X70" s="9"/>
      <c r="Y70" s="9"/>
      <c r="Z70" s="9"/>
    </row>
    <row r="71" ht="59.25" customHeight="1" outlineLevel="1">
      <c r="A71" s="101" t="s">
        <v>101</v>
      </c>
      <c r="B71" s="1350" t="s">
        <v>2595</v>
      </c>
      <c r="C71" s="103" t="s">
        <v>38</v>
      </c>
      <c r="D71" s="1351" t="s">
        <v>2596</v>
      </c>
      <c r="E71" s="105" t="s">
        <v>146</v>
      </c>
      <c r="F71" s="1352" t="s">
        <v>2597</v>
      </c>
      <c r="G71" s="104" t="s">
        <v>105</v>
      </c>
      <c r="H71" s="107" t="s">
        <v>2598</v>
      </c>
      <c r="I71" s="108" t="b">
        <v>0</v>
      </c>
      <c r="J71" s="109" t="s">
        <v>7</v>
      </c>
      <c r="K71" s="110">
        <f t="shared" si="15"/>
        <v>0</v>
      </c>
      <c r="L71" s="111">
        <v>7000000.0</v>
      </c>
      <c r="M71" s="112">
        <v>30000.0</v>
      </c>
      <c r="N71" s="112">
        <v>1500.0</v>
      </c>
      <c r="O71" s="112">
        <f t="shared" si="16"/>
        <v>0</v>
      </c>
      <c r="P71" s="112">
        <f t="shared" si="17"/>
        <v>0</v>
      </c>
      <c r="Q71" s="113">
        <f t="shared" si="18"/>
        <v>0</v>
      </c>
      <c r="R71" s="114" t="s">
        <v>2599</v>
      </c>
      <c r="S71" s="115"/>
      <c r="T71" s="115"/>
      <c r="U71" s="1220" t="s">
        <v>122</v>
      </c>
      <c r="V71" s="9"/>
      <c r="W71" s="9"/>
      <c r="X71" s="9"/>
      <c r="Y71" s="9"/>
      <c r="Z71" s="9"/>
    </row>
    <row r="72" ht="59.25" customHeight="1" outlineLevel="1">
      <c r="A72" s="72"/>
      <c r="B72" s="72"/>
      <c r="C72" s="72"/>
      <c r="D72" s="72"/>
      <c r="E72" s="72"/>
      <c r="F72" s="72"/>
      <c r="G72" s="72"/>
      <c r="H72" s="107" t="s">
        <v>2600</v>
      </c>
      <c r="I72" s="108" t="b">
        <v>0</v>
      </c>
      <c r="J72" s="110" t="s">
        <v>47</v>
      </c>
      <c r="K72" s="110">
        <f t="shared" si="15"/>
        <v>0</v>
      </c>
      <c r="L72" s="111">
        <v>3000000.0</v>
      </c>
      <c r="M72" s="112">
        <v>0.0</v>
      </c>
      <c r="N72" s="112">
        <v>0.0</v>
      </c>
      <c r="O72" s="112" t="str">
        <f t="shared" si="16"/>
        <v>-</v>
      </c>
      <c r="P72" s="112" t="str">
        <f t="shared" si="17"/>
        <v>-</v>
      </c>
      <c r="Q72" s="113">
        <f t="shared" si="18"/>
        <v>0</v>
      </c>
      <c r="R72" s="72"/>
      <c r="S72" s="72"/>
      <c r="T72" s="72"/>
      <c r="U72" s="72"/>
      <c r="V72" s="9"/>
      <c r="W72" s="9"/>
      <c r="X72" s="9"/>
      <c r="Y72" s="9"/>
      <c r="Z72" s="9"/>
    </row>
    <row r="73" ht="59.25" customHeight="1" outlineLevel="1">
      <c r="A73" s="101" t="s">
        <v>101</v>
      </c>
      <c r="B73" s="1350" t="s">
        <v>2601</v>
      </c>
      <c r="C73" s="103" t="s">
        <v>38</v>
      </c>
      <c r="D73" s="1351" t="s">
        <v>2602</v>
      </c>
      <c r="E73" s="105" t="s">
        <v>146</v>
      </c>
      <c r="F73" s="1352" t="s">
        <v>2603</v>
      </c>
      <c r="G73" s="104" t="s">
        <v>105</v>
      </c>
      <c r="H73" s="107" t="s">
        <v>2604</v>
      </c>
      <c r="I73" s="108" t="b">
        <v>0</v>
      </c>
      <c r="J73" s="109" t="s">
        <v>7</v>
      </c>
      <c r="K73" s="110">
        <f t="shared" si="15"/>
        <v>0</v>
      </c>
      <c r="L73" s="111">
        <v>7000000.0</v>
      </c>
      <c r="M73" s="112">
        <v>30000.0</v>
      </c>
      <c r="N73" s="112">
        <v>1500.0</v>
      </c>
      <c r="O73" s="112">
        <f t="shared" si="16"/>
        <v>0</v>
      </c>
      <c r="P73" s="112">
        <f t="shared" si="17"/>
        <v>0</v>
      </c>
      <c r="Q73" s="113">
        <f t="shared" si="18"/>
        <v>0</v>
      </c>
      <c r="R73" s="114" t="s">
        <v>2605</v>
      </c>
      <c r="S73" s="115"/>
      <c r="T73" s="115"/>
      <c r="U73" s="1220" t="s">
        <v>122</v>
      </c>
      <c r="V73" s="9"/>
      <c r="W73" s="9"/>
      <c r="X73" s="9"/>
      <c r="Y73" s="9"/>
      <c r="Z73" s="9"/>
    </row>
    <row r="74" ht="59.25" customHeight="1" outlineLevel="1">
      <c r="A74" s="72"/>
      <c r="B74" s="72"/>
      <c r="C74" s="72"/>
      <c r="D74" s="72"/>
      <c r="E74" s="72"/>
      <c r="F74" s="72"/>
      <c r="G74" s="72"/>
      <c r="H74" s="107" t="s">
        <v>2606</v>
      </c>
      <c r="I74" s="108" t="b">
        <v>0</v>
      </c>
      <c r="J74" s="110" t="s">
        <v>47</v>
      </c>
      <c r="K74" s="110">
        <f t="shared" si="15"/>
        <v>0</v>
      </c>
      <c r="L74" s="111">
        <v>3000000.0</v>
      </c>
      <c r="M74" s="112">
        <v>0.0</v>
      </c>
      <c r="N74" s="112">
        <v>0.0</v>
      </c>
      <c r="O74" s="112" t="str">
        <f t="shared" si="16"/>
        <v>-</v>
      </c>
      <c r="P74" s="112" t="str">
        <f t="shared" si="17"/>
        <v>-</v>
      </c>
      <c r="Q74" s="113">
        <f t="shared" si="18"/>
        <v>0</v>
      </c>
      <c r="R74" s="72"/>
      <c r="S74" s="72"/>
      <c r="T74" s="72"/>
      <c r="U74" s="72"/>
      <c r="V74" s="9"/>
      <c r="W74" s="9"/>
      <c r="X74" s="9"/>
      <c r="Y74" s="9"/>
      <c r="Z74" s="9"/>
    </row>
    <row r="75" outlineLevel="1">
      <c r="A75" s="1222" t="s">
        <v>270</v>
      </c>
      <c r="B75" s="1223" t="s">
        <v>271</v>
      </c>
      <c r="C75" s="1226"/>
      <c r="D75" s="1225"/>
      <c r="E75" s="1226"/>
      <c r="F75" s="1226"/>
      <c r="G75" s="1226"/>
      <c r="H75" s="1226"/>
      <c r="I75" s="1227" t="b">
        <v>0</v>
      </c>
      <c r="J75" s="1228"/>
      <c r="K75" s="1228"/>
      <c r="L75" s="1228"/>
      <c r="M75" s="1228"/>
      <c r="N75" s="1228"/>
      <c r="O75" s="1228"/>
      <c r="P75" s="1228"/>
      <c r="Q75" s="1228"/>
      <c r="R75" s="1226"/>
      <c r="S75" s="1228"/>
      <c r="T75" s="1228"/>
      <c r="U75" s="1224"/>
      <c r="V75" s="146"/>
      <c r="W75" s="146"/>
      <c r="X75" s="146"/>
      <c r="Y75" s="146"/>
      <c r="Z75" s="146"/>
    </row>
    <row r="76" ht="42.75" customHeight="1" outlineLevel="1">
      <c r="A76" s="1207" t="s">
        <v>45</v>
      </c>
      <c r="B76" s="1229" t="s">
        <v>272</v>
      </c>
      <c r="C76" s="103" t="s">
        <v>38</v>
      </c>
      <c r="D76" s="1209" t="s">
        <v>273</v>
      </c>
      <c r="E76" s="105" t="s">
        <v>146</v>
      </c>
      <c r="F76" s="1210" t="s">
        <v>274</v>
      </c>
      <c r="G76" s="104" t="s">
        <v>275</v>
      </c>
      <c r="H76" s="1211" t="s">
        <v>2607</v>
      </c>
      <c r="I76" s="1212" t="b">
        <v>1</v>
      </c>
      <c r="J76" s="109" t="s">
        <v>7</v>
      </c>
      <c r="K76" s="109">
        <f t="shared" ref="K76:K83" si="19">if(I76=True,1,if(I76=False,0))</f>
        <v>1</v>
      </c>
      <c r="L76" s="113">
        <v>5000000.0</v>
      </c>
      <c r="M76" s="113">
        <v>40000.0</v>
      </c>
      <c r="N76" s="113">
        <v>2000.0</v>
      </c>
      <c r="O76" s="113">
        <f t="shared" ref="O76:O83" si="20">IFERROR(Q76/M76,"-")</f>
        <v>125</v>
      </c>
      <c r="P76" s="113">
        <f t="shared" ref="P76:P83" si="21">IFERROR(Q76/N76,"-")</f>
        <v>2500</v>
      </c>
      <c r="Q76" s="113">
        <f t="shared" ref="Q76:Q83" si="22">iferror(L76*K76,"-")</f>
        <v>5000000</v>
      </c>
      <c r="R76" s="1213" t="s">
        <v>2608</v>
      </c>
      <c r="S76" s="1214" t="s">
        <v>278</v>
      </c>
      <c r="T76" s="115"/>
      <c r="U76" s="105" t="s">
        <v>45</v>
      </c>
      <c r="V76" s="9"/>
      <c r="W76" s="9"/>
      <c r="X76" s="9"/>
      <c r="Y76" s="9"/>
      <c r="Z76" s="9"/>
    </row>
    <row r="77" ht="42.75" customHeight="1" outlineLevel="1">
      <c r="A77" s="72"/>
      <c r="B77" s="72"/>
      <c r="C77" s="72"/>
      <c r="D77" s="72"/>
      <c r="E77" s="72"/>
      <c r="F77" s="72"/>
      <c r="G77" s="72"/>
      <c r="H77" s="1215" t="s">
        <v>2609</v>
      </c>
      <c r="I77" s="1212" t="b">
        <v>1</v>
      </c>
      <c r="J77" s="109" t="s">
        <v>47</v>
      </c>
      <c r="K77" s="109">
        <f t="shared" si="19"/>
        <v>1</v>
      </c>
      <c r="L77" s="113">
        <v>2000000.0</v>
      </c>
      <c r="M77" s="113">
        <v>0.0</v>
      </c>
      <c r="N77" s="113">
        <v>0.0</v>
      </c>
      <c r="O77" s="113" t="str">
        <f t="shared" si="20"/>
        <v>-</v>
      </c>
      <c r="P77" s="113" t="str">
        <f t="shared" si="21"/>
        <v>-</v>
      </c>
      <c r="Q77" s="113">
        <f t="shared" si="22"/>
        <v>2000000</v>
      </c>
      <c r="R77" s="68"/>
      <c r="S77" s="72"/>
      <c r="T77" s="72"/>
      <c r="U77" s="72"/>
      <c r="V77" s="9"/>
      <c r="W77" s="9"/>
      <c r="X77" s="9"/>
      <c r="Y77" s="9"/>
      <c r="Z77" s="9"/>
    </row>
    <row r="78" ht="42.75" customHeight="1" outlineLevel="1">
      <c r="A78" s="1207" t="s">
        <v>73</v>
      </c>
      <c r="B78" s="1217" t="s">
        <v>280</v>
      </c>
      <c r="C78" s="103" t="s">
        <v>38</v>
      </c>
      <c r="D78" s="1209">
        <v>13600.0</v>
      </c>
      <c r="E78" s="105" t="s">
        <v>146</v>
      </c>
      <c r="F78" s="1210" t="s">
        <v>281</v>
      </c>
      <c r="G78" s="104" t="s">
        <v>41</v>
      </c>
      <c r="H78" s="1211" t="s">
        <v>2610</v>
      </c>
      <c r="I78" s="1212" t="b">
        <v>1</v>
      </c>
      <c r="J78" s="109" t="s">
        <v>7</v>
      </c>
      <c r="K78" s="109">
        <f t="shared" si="19"/>
        <v>1</v>
      </c>
      <c r="L78" s="113">
        <v>5000000.0</v>
      </c>
      <c r="M78" s="113">
        <v>25000.0</v>
      </c>
      <c r="N78" s="113">
        <v>1500.0</v>
      </c>
      <c r="O78" s="113">
        <f t="shared" si="20"/>
        <v>200</v>
      </c>
      <c r="P78" s="113">
        <f t="shared" si="21"/>
        <v>3333.333333</v>
      </c>
      <c r="Q78" s="113">
        <f t="shared" si="22"/>
        <v>5000000</v>
      </c>
      <c r="R78" s="68"/>
      <c r="S78" s="1214" t="s">
        <v>283</v>
      </c>
      <c r="T78" s="1214" t="s">
        <v>79</v>
      </c>
      <c r="U78" s="105" t="s">
        <v>45</v>
      </c>
      <c r="V78" s="9"/>
      <c r="W78" s="9"/>
      <c r="X78" s="9"/>
      <c r="Y78" s="9"/>
      <c r="Z78" s="9"/>
    </row>
    <row r="79" ht="42.75" customHeight="1" outlineLevel="1">
      <c r="A79" s="72"/>
      <c r="B79" s="72"/>
      <c r="C79" s="72"/>
      <c r="D79" s="72"/>
      <c r="E79" s="72"/>
      <c r="F79" s="72"/>
      <c r="G79" s="72"/>
      <c r="H79" s="1215" t="s">
        <v>2611</v>
      </c>
      <c r="I79" s="1212" t="b">
        <v>1</v>
      </c>
      <c r="J79" s="109" t="s">
        <v>47</v>
      </c>
      <c r="K79" s="109">
        <f t="shared" si="19"/>
        <v>1</v>
      </c>
      <c r="L79" s="113">
        <v>2000000.0</v>
      </c>
      <c r="M79" s="113">
        <v>0.0</v>
      </c>
      <c r="N79" s="113">
        <v>0.0</v>
      </c>
      <c r="O79" s="113" t="str">
        <f t="shared" si="20"/>
        <v>-</v>
      </c>
      <c r="P79" s="113" t="str">
        <f t="shared" si="21"/>
        <v>-</v>
      </c>
      <c r="Q79" s="113">
        <f t="shared" si="22"/>
        <v>2000000</v>
      </c>
      <c r="R79" s="68"/>
      <c r="S79" s="72"/>
      <c r="T79" s="72"/>
      <c r="U79" s="72"/>
      <c r="V79" s="9"/>
      <c r="W79" s="9"/>
      <c r="X79" s="9"/>
      <c r="Y79" s="9"/>
      <c r="Z79" s="9"/>
    </row>
    <row r="80" ht="42.75" customHeight="1" outlineLevel="1">
      <c r="A80" s="1207" t="s">
        <v>73</v>
      </c>
      <c r="B80" s="1230" t="s">
        <v>285</v>
      </c>
      <c r="C80" s="103" t="s">
        <v>38</v>
      </c>
      <c r="D80" s="1209" t="s">
        <v>286</v>
      </c>
      <c r="E80" s="105" t="s">
        <v>146</v>
      </c>
      <c r="F80" s="1210" t="s">
        <v>287</v>
      </c>
      <c r="G80" s="104" t="s">
        <v>275</v>
      </c>
      <c r="H80" s="1211" t="s">
        <v>2612</v>
      </c>
      <c r="I80" s="1212" t="b">
        <v>1</v>
      </c>
      <c r="J80" s="109" t="s">
        <v>7</v>
      </c>
      <c r="K80" s="109">
        <f t="shared" si="19"/>
        <v>1</v>
      </c>
      <c r="L80" s="113">
        <v>5000000.0</v>
      </c>
      <c r="M80" s="113">
        <v>20000.0</v>
      </c>
      <c r="N80" s="113">
        <v>1000.0</v>
      </c>
      <c r="O80" s="113">
        <f t="shared" si="20"/>
        <v>250</v>
      </c>
      <c r="P80" s="113">
        <f t="shared" si="21"/>
        <v>5000</v>
      </c>
      <c r="Q80" s="113">
        <f t="shared" si="22"/>
        <v>5000000</v>
      </c>
      <c r="R80" s="68"/>
      <c r="S80" s="1214" t="s">
        <v>289</v>
      </c>
      <c r="T80" s="1214" t="s">
        <v>79</v>
      </c>
      <c r="U80" s="105" t="s">
        <v>45</v>
      </c>
      <c r="V80" s="9"/>
      <c r="W80" s="9"/>
      <c r="X80" s="9"/>
      <c r="Y80" s="9"/>
      <c r="Z80" s="9"/>
    </row>
    <row r="81" ht="42.75" customHeight="1" outlineLevel="1">
      <c r="A81" s="72"/>
      <c r="B81" s="72"/>
      <c r="C81" s="72"/>
      <c r="D81" s="72"/>
      <c r="E81" s="72"/>
      <c r="F81" s="72"/>
      <c r="G81" s="72"/>
      <c r="H81" s="1215" t="s">
        <v>2613</v>
      </c>
      <c r="I81" s="1212" t="b">
        <v>1</v>
      </c>
      <c r="J81" s="109" t="s">
        <v>47</v>
      </c>
      <c r="K81" s="109">
        <f t="shared" si="19"/>
        <v>1</v>
      </c>
      <c r="L81" s="113">
        <v>2000000.0</v>
      </c>
      <c r="M81" s="113">
        <v>0.0</v>
      </c>
      <c r="N81" s="113">
        <v>0.0</v>
      </c>
      <c r="O81" s="113" t="str">
        <f t="shared" si="20"/>
        <v>-</v>
      </c>
      <c r="P81" s="113" t="str">
        <f t="shared" si="21"/>
        <v>-</v>
      </c>
      <c r="Q81" s="113">
        <f t="shared" si="22"/>
        <v>2000000</v>
      </c>
      <c r="R81" s="68"/>
      <c r="S81" s="72"/>
      <c r="T81" s="72"/>
      <c r="U81" s="72"/>
      <c r="V81" s="9"/>
      <c r="W81" s="9"/>
      <c r="X81" s="9"/>
      <c r="Y81" s="9"/>
      <c r="Z81" s="9"/>
    </row>
    <row r="82" ht="42.75" customHeight="1" outlineLevel="1">
      <c r="A82" s="1207" t="s">
        <v>101</v>
      </c>
      <c r="B82" s="1233" t="s">
        <v>291</v>
      </c>
      <c r="C82" s="103" t="s">
        <v>38</v>
      </c>
      <c r="D82" s="1234" t="s">
        <v>292</v>
      </c>
      <c r="E82" s="105" t="s">
        <v>146</v>
      </c>
      <c r="F82" s="1210" t="s">
        <v>293</v>
      </c>
      <c r="G82" s="104" t="s">
        <v>41</v>
      </c>
      <c r="H82" s="1211" t="s">
        <v>2614</v>
      </c>
      <c r="I82" s="1212" t="b">
        <v>1</v>
      </c>
      <c r="J82" s="109" t="s">
        <v>7</v>
      </c>
      <c r="K82" s="109">
        <f t="shared" si="19"/>
        <v>1</v>
      </c>
      <c r="L82" s="113">
        <v>5000000.0</v>
      </c>
      <c r="M82" s="113">
        <v>20000.0</v>
      </c>
      <c r="N82" s="113">
        <v>1500.0</v>
      </c>
      <c r="O82" s="113">
        <f t="shared" si="20"/>
        <v>250</v>
      </c>
      <c r="P82" s="113">
        <f t="shared" si="21"/>
        <v>3333.333333</v>
      </c>
      <c r="Q82" s="113">
        <f t="shared" si="22"/>
        <v>5000000</v>
      </c>
      <c r="R82" s="68"/>
      <c r="S82" s="115"/>
      <c r="T82" s="115"/>
      <c r="U82" s="105" t="s">
        <v>45</v>
      </c>
      <c r="V82" s="9"/>
      <c r="W82" s="9"/>
      <c r="X82" s="9"/>
      <c r="Y82" s="9"/>
      <c r="Z82" s="9"/>
    </row>
    <row r="83" ht="42.75" customHeight="1" outlineLevel="1">
      <c r="A83" s="72"/>
      <c r="B83" s="72"/>
      <c r="C83" s="72"/>
      <c r="D83" s="72"/>
      <c r="E83" s="72"/>
      <c r="F83" s="72"/>
      <c r="G83" s="72"/>
      <c r="H83" s="1215" t="s">
        <v>2615</v>
      </c>
      <c r="I83" s="1212" t="b">
        <v>1</v>
      </c>
      <c r="J83" s="109" t="s">
        <v>47</v>
      </c>
      <c r="K83" s="109">
        <f t="shared" si="19"/>
        <v>1</v>
      </c>
      <c r="L83" s="113">
        <v>3000000.0</v>
      </c>
      <c r="M83" s="113">
        <v>0.0</v>
      </c>
      <c r="N83" s="113">
        <v>0.0</v>
      </c>
      <c r="O83" s="113" t="str">
        <f t="shared" si="20"/>
        <v>-</v>
      </c>
      <c r="P83" s="113" t="str">
        <f t="shared" si="21"/>
        <v>-</v>
      </c>
      <c r="Q83" s="113">
        <f t="shared" si="22"/>
        <v>3000000</v>
      </c>
      <c r="R83" s="72"/>
      <c r="S83" s="72"/>
      <c r="T83" s="72"/>
      <c r="U83" s="72"/>
      <c r="V83" s="87"/>
      <c r="W83" s="87"/>
      <c r="X83" s="9"/>
      <c r="Y83" s="9"/>
      <c r="Z83" s="9"/>
    </row>
    <row r="84" ht="42.75" customHeight="1" outlineLevel="1">
      <c r="A84" s="1222" t="s">
        <v>296</v>
      </c>
      <c r="B84" s="1223" t="s">
        <v>297</v>
      </c>
      <c r="C84" s="1224"/>
      <c r="D84" s="1225"/>
      <c r="E84" s="1224"/>
      <c r="F84" s="1226"/>
      <c r="G84" s="1226"/>
      <c r="H84" s="1226"/>
      <c r="I84" s="1227" t="b">
        <v>0</v>
      </c>
      <c r="J84" s="1228"/>
      <c r="K84" s="1228"/>
      <c r="L84" s="1228"/>
      <c r="M84" s="1228"/>
      <c r="N84" s="1228"/>
      <c r="O84" s="1228"/>
      <c r="P84" s="1228"/>
      <c r="Q84" s="1228"/>
      <c r="R84" s="1226"/>
      <c r="S84" s="1228"/>
      <c r="T84" s="1228"/>
      <c r="U84" s="1224"/>
      <c r="V84" s="146"/>
      <c r="W84" s="146"/>
      <c r="X84" s="146"/>
      <c r="Y84" s="146"/>
      <c r="Z84" s="146"/>
    </row>
    <row r="85" ht="42.75" customHeight="1" outlineLevel="1">
      <c r="A85" s="1207" t="s">
        <v>45</v>
      </c>
      <c r="B85" s="1229" t="s">
        <v>298</v>
      </c>
      <c r="C85" s="103" t="s">
        <v>38</v>
      </c>
      <c r="D85" s="1209">
        <v>270000.0</v>
      </c>
      <c r="E85" s="105" t="s">
        <v>40</v>
      </c>
      <c r="F85" s="1210" t="s">
        <v>299</v>
      </c>
      <c r="G85" s="104" t="s">
        <v>300</v>
      </c>
      <c r="H85" s="1211" t="s">
        <v>2616</v>
      </c>
      <c r="I85" s="1212" t="b">
        <v>1</v>
      </c>
      <c r="J85" s="109" t="s">
        <v>7</v>
      </c>
      <c r="K85" s="109">
        <f t="shared" ref="K85:K86" si="23">if(I85=True,1,if(I85=False,0))</f>
        <v>1</v>
      </c>
      <c r="L85" s="113">
        <v>6000000.0</v>
      </c>
      <c r="M85" s="113">
        <v>30000.0</v>
      </c>
      <c r="N85" s="113">
        <v>2000.0</v>
      </c>
      <c r="O85" s="113">
        <f>IFERROR(Q85/M85,"-")</f>
        <v>200</v>
      </c>
      <c r="P85" s="113">
        <f>IFERROR(Q85/N85,"-")</f>
        <v>3000</v>
      </c>
      <c r="Q85" s="113">
        <f t="shared" ref="Q85:Q86" si="24">iferror(L85*K85,"-")</f>
        <v>6000000</v>
      </c>
      <c r="R85" s="1213" t="s">
        <v>2617</v>
      </c>
      <c r="S85" s="1214" t="s">
        <v>303</v>
      </c>
      <c r="T85" s="115"/>
      <c r="U85" s="105" t="s">
        <v>45</v>
      </c>
      <c r="V85" s="9"/>
      <c r="W85" s="9"/>
      <c r="X85" s="9"/>
      <c r="Y85" s="9"/>
      <c r="Z85" s="9"/>
    </row>
    <row r="86" ht="42.75" customHeight="1" outlineLevel="1">
      <c r="A86" s="72"/>
      <c r="B86" s="72"/>
      <c r="C86" s="72"/>
      <c r="D86" s="72"/>
      <c r="E86" s="72"/>
      <c r="F86" s="72"/>
      <c r="G86" s="72"/>
      <c r="H86" s="1215" t="s">
        <v>2618</v>
      </c>
      <c r="I86" s="1212" t="b">
        <v>1</v>
      </c>
      <c r="J86" s="109" t="s">
        <v>47</v>
      </c>
      <c r="K86" s="109">
        <f t="shared" si="23"/>
        <v>1</v>
      </c>
      <c r="L86" s="113">
        <v>2000000.0</v>
      </c>
      <c r="M86" s="113">
        <v>0.0</v>
      </c>
      <c r="N86" s="113">
        <v>0.0</v>
      </c>
      <c r="O86" s="113" t="s">
        <v>81</v>
      </c>
      <c r="P86" s="113" t="s">
        <v>81</v>
      </c>
      <c r="Q86" s="113">
        <f t="shared" si="24"/>
        <v>2000000</v>
      </c>
      <c r="R86" s="72"/>
      <c r="S86" s="72"/>
      <c r="T86" s="72"/>
      <c r="U86" s="72"/>
      <c r="V86" s="9"/>
      <c r="W86" s="9"/>
      <c r="X86" s="9"/>
      <c r="Y86" s="9"/>
      <c r="Z86" s="9"/>
    </row>
    <row r="87" ht="34.5" customHeight="1">
      <c r="A87" s="1235" t="s">
        <v>318</v>
      </c>
      <c r="B87" s="56"/>
      <c r="C87" s="1203"/>
      <c r="D87" s="1203"/>
      <c r="E87" s="1203"/>
      <c r="F87" s="1203"/>
      <c r="G87" s="1203"/>
      <c r="H87" s="1203"/>
      <c r="I87" s="1203"/>
      <c r="J87" s="1204" t="s">
        <v>10</v>
      </c>
      <c r="K87" s="1204">
        <f>SUMIFS(K89:K98,J89:J98,"Photo Post")</f>
        <v>5</v>
      </c>
      <c r="L87" s="1205"/>
      <c r="M87" s="1206">
        <f t="shared" ref="M87:N87" si="25">sum(M89:M98)</f>
        <v>320000</v>
      </c>
      <c r="N87" s="1206">
        <f t="shared" si="25"/>
        <v>23500</v>
      </c>
      <c r="O87" s="1205"/>
      <c r="P87" s="1205"/>
      <c r="Q87" s="1206">
        <f>sum(Q89:Q98)</f>
        <v>216000000</v>
      </c>
      <c r="R87" s="1221"/>
      <c r="S87" s="1221"/>
      <c r="T87" s="1221"/>
      <c r="U87" s="1221"/>
      <c r="V87" s="69"/>
      <c r="W87" s="69"/>
      <c r="X87" s="9"/>
      <c r="Y87" s="9"/>
      <c r="Z87" s="9"/>
    </row>
    <row r="88" ht="34.5" customHeight="1">
      <c r="A88" s="70"/>
      <c r="B88" s="71"/>
      <c r="C88" s="1203"/>
      <c r="D88" s="1203"/>
      <c r="E88" s="1203"/>
      <c r="F88" s="1203"/>
      <c r="G88" s="1203"/>
      <c r="H88" s="1203"/>
      <c r="I88" s="1203"/>
      <c r="J88" s="1204" t="s">
        <v>7</v>
      </c>
      <c r="K88" s="1204">
        <f>SUMIFS(K89:K98,J89:J98,"Video Post")</f>
        <v>5</v>
      </c>
      <c r="L88" s="1205"/>
      <c r="M88" s="72"/>
      <c r="N88" s="72"/>
      <c r="O88" s="1205"/>
      <c r="P88" s="1205"/>
      <c r="Q88" s="72"/>
      <c r="R88" s="1221"/>
      <c r="S88" s="1221"/>
      <c r="T88" s="1221"/>
      <c r="U88" s="1221"/>
      <c r="V88" s="69"/>
      <c r="W88" s="69"/>
      <c r="X88" s="9"/>
      <c r="Y88" s="9"/>
      <c r="Z88" s="9"/>
    </row>
    <row r="89" ht="75.0" customHeight="1" outlineLevel="1">
      <c r="A89" s="1236" t="s">
        <v>45</v>
      </c>
      <c r="B89" s="1237" t="s">
        <v>319</v>
      </c>
      <c r="C89" s="1238" t="s">
        <v>320</v>
      </c>
      <c r="D89" s="1239" t="s">
        <v>321</v>
      </c>
      <c r="E89" s="1240" t="s">
        <v>118</v>
      </c>
      <c r="F89" s="1241" t="s">
        <v>21</v>
      </c>
      <c r="G89" s="1212" t="s">
        <v>322</v>
      </c>
      <c r="H89" s="1238" t="s">
        <v>323</v>
      </c>
      <c r="I89" s="1219" t="b">
        <v>1</v>
      </c>
      <c r="J89" s="110" t="s">
        <v>10</v>
      </c>
      <c r="K89" s="110">
        <f t="shared" ref="K89:K98" si="26">if(I89=True,1,if(I89=False,0))</f>
        <v>1</v>
      </c>
      <c r="L89" s="112">
        <v>3.2E7</v>
      </c>
      <c r="M89" s="112">
        <v>0.0</v>
      </c>
      <c r="N89" s="112">
        <v>3000.0</v>
      </c>
      <c r="O89" s="112" t="str">
        <f t="shared" ref="O89:O98" si="27">IFERROR(Q89/M89,"-")</f>
        <v>-</v>
      </c>
      <c r="P89" s="112">
        <f t="shared" ref="P89:P98" si="28">IFERROR(Q89/N89,"-")</f>
        <v>10666.66667</v>
      </c>
      <c r="Q89" s="112">
        <f t="shared" ref="Q89:Q98" si="29">iferror(L89*K89,"-")</f>
        <v>32000000</v>
      </c>
      <c r="R89" s="1238" t="s">
        <v>2619</v>
      </c>
      <c r="S89" s="1224"/>
      <c r="T89" s="1224"/>
      <c r="U89" s="1236" t="s">
        <v>45</v>
      </c>
      <c r="V89" s="168"/>
      <c r="W89" s="168"/>
      <c r="X89" s="9"/>
      <c r="Y89" s="9"/>
      <c r="Z89" s="9"/>
    </row>
    <row r="90" ht="75.0" customHeight="1" outlineLevel="1">
      <c r="A90" s="1236" t="s">
        <v>45</v>
      </c>
      <c r="B90" s="1237" t="s">
        <v>325</v>
      </c>
      <c r="C90" s="1238" t="s">
        <v>320</v>
      </c>
      <c r="D90" s="1239" t="s">
        <v>326</v>
      </c>
      <c r="E90" s="1240" t="s">
        <v>118</v>
      </c>
      <c r="F90" s="1241" t="s">
        <v>139</v>
      </c>
      <c r="G90" s="1212" t="s">
        <v>322</v>
      </c>
      <c r="H90" s="1238" t="s">
        <v>323</v>
      </c>
      <c r="I90" s="1219" t="b">
        <v>1</v>
      </c>
      <c r="J90" s="110" t="s">
        <v>10</v>
      </c>
      <c r="K90" s="110">
        <f t="shared" si="26"/>
        <v>1</v>
      </c>
      <c r="L90" s="112">
        <v>2.6E7</v>
      </c>
      <c r="M90" s="112">
        <v>0.0</v>
      </c>
      <c r="N90" s="112">
        <v>3000.0</v>
      </c>
      <c r="O90" s="112" t="str">
        <f t="shared" si="27"/>
        <v>-</v>
      </c>
      <c r="P90" s="112">
        <f t="shared" si="28"/>
        <v>8666.666667</v>
      </c>
      <c r="Q90" s="112">
        <f t="shared" si="29"/>
        <v>26000000</v>
      </c>
      <c r="R90" s="1238" t="s">
        <v>2620</v>
      </c>
      <c r="S90" s="1242"/>
      <c r="T90" s="1242"/>
      <c r="U90" s="1236" t="s">
        <v>45</v>
      </c>
      <c r="V90" s="170"/>
      <c r="W90" s="170"/>
      <c r="X90" s="9"/>
      <c r="Y90" s="9"/>
      <c r="Z90" s="9"/>
    </row>
    <row r="91" ht="75.0" customHeight="1" outlineLevel="1">
      <c r="A91" s="1236" t="s">
        <v>45</v>
      </c>
      <c r="B91" s="1237" t="s">
        <v>328</v>
      </c>
      <c r="C91" s="1238" t="s">
        <v>320</v>
      </c>
      <c r="D91" s="1239" t="s">
        <v>329</v>
      </c>
      <c r="E91" s="1240" t="s">
        <v>118</v>
      </c>
      <c r="F91" s="1241" t="s">
        <v>21</v>
      </c>
      <c r="G91" s="1212" t="s">
        <v>322</v>
      </c>
      <c r="H91" s="1238" t="s">
        <v>323</v>
      </c>
      <c r="I91" s="1219" t="b">
        <v>1</v>
      </c>
      <c r="J91" s="110" t="s">
        <v>10</v>
      </c>
      <c r="K91" s="110">
        <f t="shared" si="26"/>
        <v>1</v>
      </c>
      <c r="L91" s="112">
        <v>2.6E7</v>
      </c>
      <c r="M91" s="112">
        <v>0.0</v>
      </c>
      <c r="N91" s="112">
        <v>3000.0</v>
      </c>
      <c r="O91" s="112" t="str">
        <f t="shared" si="27"/>
        <v>-</v>
      </c>
      <c r="P91" s="112">
        <f t="shared" si="28"/>
        <v>8666.666667</v>
      </c>
      <c r="Q91" s="112">
        <f t="shared" si="29"/>
        <v>26000000</v>
      </c>
      <c r="R91" s="1238" t="s">
        <v>2621</v>
      </c>
      <c r="S91" s="1242"/>
      <c r="T91" s="1242"/>
      <c r="U91" s="1236" t="s">
        <v>45</v>
      </c>
      <c r="V91" s="170"/>
      <c r="W91" s="170"/>
      <c r="X91" s="9"/>
      <c r="Y91" s="9"/>
      <c r="Z91" s="9"/>
    </row>
    <row r="92" ht="75.0" customHeight="1" outlineLevel="1">
      <c r="A92" s="1236" t="s">
        <v>45</v>
      </c>
      <c r="B92" s="1237" t="s">
        <v>331</v>
      </c>
      <c r="C92" s="1238" t="s">
        <v>320</v>
      </c>
      <c r="D92" s="1239" t="s">
        <v>332</v>
      </c>
      <c r="E92" s="1240" t="s">
        <v>40</v>
      </c>
      <c r="F92" s="1241" t="s">
        <v>21</v>
      </c>
      <c r="G92" s="1212" t="s">
        <v>50</v>
      </c>
      <c r="H92" s="1238" t="s">
        <v>323</v>
      </c>
      <c r="I92" s="1219" t="b">
        <v>1</v>
      </c>
      <c r="J92" s="110" t="s">
        <v>10</v>
      </c>
      <c r="K92" s="110">
        <f t="shared" si="26"/>
        <v>1</v>
      </c>
      <c r="L92" s="112">
        <v>2.5E7</v>
      </c>
      <c r="M92" s="112">
        <v>0.0</v>
      </c>
      <c r="N92" s="112">
        <v>3000.0</v>
      </c>
      <c r="O92" s="112" t="str">
        <f t="shared" si="27"/>
        <v>-</v>
      </c>
      <c r="P92" s="112">
        <f t="shared" si="28"/>
        <v>8333.333333</v>
      </c>
      <c r="Q92" s="112">
        <f t="shared" si="29"/>
        <v>25000000</v>
      </c>
      <c r="R92" s="1238" t="s">
        <v>2622</v>
      </c>
      <c r="S92" s="1242"/>
      <c r="T92" s="1242"/>
      <c r="U92" s="1236" t="s">
        <v>45</v>
      </c>
      <c r="V92" s="170"/>
      <c r="W92" s="170"/>
      <c r="X92" s="9"/>
      <c r="Y92" s="9"/>
      <c r="Z92" s="9"/>
    </row>
    <row r="93" ht="75.0" customHeight="1" outlineLevel="1">
      <c r="A93" s="1236" t="s">
        <v>45</v>
      </c>
      <c r="B93" s="1237" t="s">
        <v>334</v>
      </c>
      <c r="C93" s="1238" t="s">
        <v>320</v>
      </c>
      <c r="D93" s="1239" t="s">
        <v>335</v>
      </c>
      <c r="E93" s="1240" t="s">
        <v>40</v>
      </c>
      <c r="F93" s="1241" t="s">
        <v>21</v>
      </c>
      <c r="G93" s="1212" t="s">
        <v>322</v>
      </c>
      <c r="H93" s="1238" t="s">
        <v>336</v>
      </c>
      <c r="I93" s="1219" t="b">
        <v>1</v>
      </c>
      <c r="J93" s="110" t="s">
        <v>10</v>
      </c>
      <c r="K93" s="110">
        <f t="shared" si="26"/>
        <v>1</v>
      </c>
      <c r="L93" s="112">
        <v>1.7E7</v>
      </c>
      <c r="M93" s="112">
        <v>0.0</v>
      </c>
      <c r="N93" s="112">
        <v>3000.0</v>
      </c>
      <c r="O93" s="112" t="str">
        <f t="shared" si="27"/>
        <v>-</v>
      </c>
      <c r="P93" s="112">
        <f t="shared" si="28"/>
        <v>5666.666667</v>
      </c>
      <c r="Q93" s="112">
        <f t="shared" si="29"/>
        <v>17000000</v>
      </c>
      <c r="R93" s="1238" t="s">
        <v>2623</v>
      </c>
      <c r="S93" s="1242"/>
      <c r="T93" s="1242"/>
      <c r="U93" s="1236" t="s">
        <v>45</v>
      </c>
      <c r="V93" s="170"/>
      <c r="W93" s="170"/>
      <c r="X93" s="9"/>
      <c r="Y93" s="9"/>
      <c r="Z93" s="9"/>
    </row>
    <row r="94" ht="75.0" customHeight="1" outlineLevel="1">
      <c r="A94" s="1236" t="s">
        <v>45</v>
      </c>
      <c r="B94" s="1237" t="s">
        <v>338</v>
      </c>
      <c r="C94" s="1238" t="s">
        <v>38</v>
      </c>
      <c r="D94" s="1239" t="s">
        <v>339</v>
      </c>
      <c r="E94" s="1240" t="s">
        <v>118</v>
      </c>
      <c r="F94" s="1241" t="s">
        <v>21</v>
      </c>
      <c r="G94" s="1212" t="s">
        <v>105</v>
      </c>
      <c r="H94" s="1238" t="s">
        <v>340</v>
      </c>
      <c r="I94" s="1219" t="b">
        <v>1</v>
      </c>
      <c r="J94" s="110" t="s">
        <v>7</v>
      </c>
      <c r="K94" s="110">
        <f t="shared" si="26"/>
        <v>1</v>
      </c>
      <c r="L94" s="112">
        <v>2.5E7</v>
      </c>
      <c r="M94" s="112">
        <v>80000.0</v>
      </c>
      <c r="N94" s="112">
        <v>2000.0</v>
      </c>
      <c r="O94" s="112">
        <f t="shared" si="27"/>
        <v>312.5</v>
      </c>
      <c r="P94" s="112">
        <f t="shared" si="28"/>
        <v>12500</v>
      </c>
      <c r="Q94" s="112">
        <f t="shared" si="29"/>
        <v>25000000</v>
      </c>
      <c r="R94" s="1238" t="s">
        <v>2624</v>
      </c>
      <c r="S94" s="1242"/>
      <c r="T94" s="1242"/>
      <c r="U94" s="1236" t="s">
        <v>45</v>
      </c>
      <c r="V94" s="170"/>
      <c r="W94" s="170"/>
      <c r="X94" s="9"/>
      <c r="Y94" s="9"/>
      <c r="Z94" s="9"/>
    </row>
    <row r="95" ht="75.0" customHeight="1" outlineLevel="1">
      <c r="A95" s="1236" t="s">
        <v>45</v>
      </c>
      <c r="B95" s="1237" t="s">
        <v>342</v>
      </c>
      <c r="C95" s="1238" t="s">
        <v>38</v>
      </c>
      <c r="D95" s="1239" t="s">
        <v>343</v>
      </c>
      <c r="E95" s="1240" t="s">
        <v>40</v>
      </c>
      <c r="F95" s="1241" t="s">
        <v>21</v>
      </c>
      <c r="G95" s="1212" t="s">
        <v>50</v>
      </c>
      <c r="H95" s="1238" t="s">
        <v>340</v>
      </c>
      <c r="I95" s="1219" t="b">
        <v>1</v>
      </c>
      <c r="J95" s="110" t="s">
        <v>7</v>
      </c>
      <c r="K95" s="110">
        <f t="shared" si="26"/>
        <v>1</v>
      </c>
      <c r="L95" s="112">
        <v>1.5E7</v>
      </c>
      <c r="M95" s="112">
        <v>30000.0</v>
      </c>
      <c r="N95" s="112">
        <v>1500.0</v>
      </c>
      <c r="O95" s="112">
        <f t="shared" si="27"/>
        <v>500</v>
      </c>
      <c r="P95" s="112">
        <f t="shared" si="28"/>
        <v>10000</v>
      </c>
      <c r="Q95" s="112">
        <f t="shared" si="29"/>
        <v>15000000</v>
      </c>
      <c r="R95" s="1238" t="s">
        <v>2625</v>
      </c>
      <c r="S95" s="1242"/>
      <c r="T95" s="1242"/>
      <c r="U95" s="1236" t="s">
        <v>45</v>
      </c>
      <c r="V95" s="170"/>
      <c r="W95" s="170"/>
      <c r="X95" s="9"/>
      <c r="Y95" s="9"/>
      <c r="Z95" s="9"/>
    </row>
    <row r="96" ht="75.0" customHeight="1" outlineLevel="1">
      <c r="A96" s="1236" t="s">
        <v>45</v>
      </c>
      <c r="B96" s="1237" t="s">
        <v>345</v>
      </c>
      <c r="C96" s="1238" t="s">
        <v>38</v>
      </c>
      <c r="D96" s="1239" t="s">
        <v>346</v>
      </c>
      <c r="E96" s="1240" t="s">
        <v>40</v>
      </c>
      <c r="F96" s="1241" t="s">
        <v>21</v>
      </c>
      <c r="G96" s="1212" t="s">
        <v>322</v>
      </c>
      <c r="H96" s="1238" t="s">
        <v>340</v>
      </c>
      <c r="I96" s="1219" t="b">
        <v>1</v>
      </c>
      <c r="J96" s="110" t="s">
        <v>7</v>
      </c>
      <c r="K96" s="110">
        <f t="shared" si="26"/>
        <v>1</v>
      </c>
      <c r="L96" s="112">
        <v>1.8E7</v>
      </c>
      <c r="M96" s="112">
        <v>80000.0</v>
      </c>
      <c r="N96" s="112">
        <v>1500.0</v>
      </c>
      <c r="O96" s="112">
        <f t="shared" si="27"/>
        <v>225</v>
      </c>
      <c r="P96" s="112">
        <f t="shared" si="28"/>
        <v>12000</v>
      </c>
      <c r="Q96" s="112">
        <f t="shared" si="29"/>
        <v>18000000</v>
      </c>
      <c r="R96" s="1238" t="s">
        <v>2626</v>
      </c>
      <c r="S96" s="1242"/>
      <c r="T96" s="1242"/>
      <c r="U96" s="1236" t="s">
        <v>45</v>
      </c>
      <c r="V96" s="170"/>
      <c r="W96" s="170"/>
      <c r="X96" s="9"/>
      <c r="Y96" s="9"/>
      <c r="Z96" s="9"/>
    </row>
    <row r="97" ht="75.0" customHeight="1" outlineLevel="1">
      <c r="A97" s="1236" t="s">
        <v>45</v>
      </c>
      <c r="B97" s="1237" t="s">
        <v>348</v>
      </c>
      <c r="C97" s="1238" t="s">
        <v>38</v>
      </c>
      <c r="D97" s="1239" t="s">
        <v>349</v>
      </c>
      <c r="E97" s="1240" t="s">
        <v>40</v>
      </c>
      <c r="F97" s="1241" t="s">
        <v>21</v>
      </c>
      <c r="G97" s="1212" t="s">
        <v>50</v>
      </c>
      <c r="H97" s="1238" t="s">
        <v>340</v>
      </c>
      <c r="I97" s="1219" t="b">
        <v>1</v>
      </c>
      <c r="J97" s="110" t="s">
        <v>7</v>
      </c>
      <c r="K97" s="110">
        <f t="shared" si="26"/>
        <v>1</v>
      </c>
      <c r="L97" s="112">
        <v>1.2E7</v>
      </c>
      <c r="M97" s="112">
        <v>50000.0</v>
      </c>
      <c r="N97" s="112">
        <v>1500.0</v>
      </c>
      <c r="O97" s="112">
        <f t="shared" si="27"/>
        <v>240</v>
      </c>
      <c r="P97" s="112">
        <f t="shared" si="28"/>
        <v>8000</v>
      </c>
      <c r="Q97" s="112">
        <f t="shared" si="29"/>
        <v>12000000</v>
      </c>
      <c r="R97" s="1238" t="s">
        <v>2627</v>
      </c>
      <c r="S97" s="1242"/>
      <c r="T97" s="1242"/>
      <c r="U97" s="1236" t="s">
        <v>45</v>
      </c>
      <c r="V97" s="170"/>
      <c r="W97" s="170"/>
      <c r="X97" s="9"/>
      <c r="Y97" s="9"/>
      <c r="Z97" s="9"/>
    </row>
    <row r="98" ht="75.0" customHeight="1" outlineLevel="1">
      <c r="A98" s="1236" t="s">
        <v>45</v>
      </c>
      <c r="B98" s="1237" t="s">
        <v>351</v>
      </c>
      <c r="C98" s="1238" t="s">
        <v>38</v>
      </c>
      <c r="D98" s="1239" t="s">
        <v>352</v>
      </c>
      <c r="E98" s="1240" t="s">
        <v>40</v>
      </c>
      <c r="F98" s="1241" t="s">
        <v>21</v>
      </c>
      <c r="G98" s="1212" t="s">
        <v>105</v>
      </c>
      <c r="H98" s="1238" t="s">
        <v>340</v>
      </c>
      <c r="I98" s="1219" t="b">
        <v>1</v>
      </c>
      <c r="J98" s="110" t="s">
        <v>7</v>
      </c>
      <c r="K98" s="110">
        <f t="shared" si="26"/>
        <v>1</v>
      </c>
      <c r="L98" s="112">
        <v>2.0E7</v>
      </c>
      <c r="M98" s="112">
        <v>80000.0</v>
      </c>
      <c r="N98" s="112">
        <v>2000.0</v>
      </c>
      <c r="O98" s="112">
        <f t="shared" si="27"/>
        <v>250</v>
      </c>
      <c r="P98" s="112">
        <f t="shared" si="28"/>
        <v>10000</v>
      </c>
      <c r="Q98" s="112">
        <f t="shared" si="29"/>
        <v>20000000</v>
      </c>
      <c r="R98" s="1238" t="s">
        <v>2628</v>
      </c>
      <c r="S98" s="1224"/>
      <c r="T98" s="1224"/>
      <c r="U98" s="1236" t="s">
        <v>45</v>
      </c>
      <c r="V98" s="168"/>
      <c r="W98" s="168"/>
      <c r="X98" s="9"/>
      <c r="Y98" s="9"/>
      <c r="Z98" s="9"/>
    </row>
    <row r="99" ht="54.0" customHeight="1">
      <c r="A99" s="1353" t="s">
        <v>1028</v>
      </c>
      <c r="B99" s="1244"/>
      <c r="C99" s="1245"/>
      <c r="D99" s="1246"/>
      <c r="E99" s="1245"/>
      <c r="F99" s="1245"/>
      <c r="G99" s="1245"/>
      <c r="H99" s="1245"/>
      <c r="I99" s="1245"/>
      <c r="J99" s="1247"/>
      <c r="K99" s="1247"/>
      <c r="L99" s="1247"/>
      <c r="M99" s="1247"/>
      <c r="N99" s="1248">
        <f>K100</f>
        <v>1</v>
      </c>
      <c r="O99" s="1247"/>
      <c r="P99" s="1247"/>
      <c r="Q99" s="1248">
        <f>Q100</f>
        <v>9000000</v>
      </c>
      <c r="R99" s="1249"/>
      <c r="S99" s="1250"/>
      <c r="T99" s="1250"/>
      <c r="U99" s="1250"/>
      <c r="V99" s="181"/>
      <c r="W99" s="181"/>
      <c r="X99" s="9"/>
      <c r="Y99" s="9"/>
      <c r="Z99" s="9"/>
    </row>
    <row r="100" ht="180.0" customHeight="1" outlineLevel="1">
      <c r="A100" s="820">
        <v>1.0</v>
      </c>
      <c r="B100" s="821" t="s">
        <v>1029</v>
      </c>
      <c r="C100" s="184" t="s">
        <v>1030</v>
      </c>
      <c r="D100" s="185"/>
      <c r="E100" s="185"/>
      <c r="F100" s="185"/>
      <c r="G100" s="185"/>
      <c r="H100" s="186"/>
      <c r="I100" s="187" t="b">
        <v>1</v>
      </c>
      <c r="J100" s="824" t="s">
        <v>890</v>
      </c>
      <c r="K100" s="824">
        <v>1.0</v>
      </c>
      <c r="L100" s="90">
        <v>9000000.0</v>
      </c>
      <c r="M100" s="100"/>
      <c r="N100" s="100"/>
      <c r="O100" s="100" t="str">
        <f>IFERROR(Q100/M100,"-")</f>
        <v>-</v>
      </c>
      <c r="P100" s="100" t="str">
        <f>IFERROR(Q100/N100,"-")</f>
        <v>-</v>
      </c>
      <c r="Q100" s="84">
        <f>iferror(L100*K100,"-")</f>
        <v>9000000</v>
      </c>
      <c r="R100" s="825"/>
      <c r="S100" s="181"/>
      <c r="T100" s="181"/>
      <c r="U100" s="181"/>
      <c r="V100" s="181"/>
      <c r="W100" s="181"/>
      <c r="X100" s="9"/>
      <c r="Y100" s="9"/>
      <c r="Z100" s="9"/>
    </row>
    <row r="101" ht="54.0" customHeight="1">
      <c r="A101" s="1243" t="s">
        <v>354</v>
      </c>
      <c r="B101" s="1244"/>
      <c r="C101" s="1245"/>
      <c r="D101" s="1246"/>
      <c r="E101" s="1245"/>
      <c r="F101" s="1245"/>
      <c r="G101" s="1245"/>
      <c r="H101" s="1245"/>
      <c r="I101" s="1245"/>
      <c r="J101" s="1247"/>
      <c r="K101" s="1247"/>
      <c r="L101" s="1247"/>
      <c r="M101" s="1247"/>
      <c r="N101" s="1248">
        <f>K102</f>
        <v>2000</v>
      </c>
      <c r="O101" s="1247"/>
      <c r="P101" s="1247"/>
      <c r="Q101" s="1248">
        <f>Q102</f>
        <v>20000000</v>
      </c>
      <c r="R101" s="1249"/>
      <c r="S101" s="1250"/>
      <c r="T101" s="1250"/>
      <c r="U101" s="1250"/>
      <c r="V101" s="181"/>
      <c r="W101" s="181"/>
      <c r="X101" s="9"/>
      <c r="Y101" s="9"/>
      <c r="Z101" s="9"/>
    </row>
    <row r="102" ht="67.5" customHeight="1" outlineLevel="1">
      <c r="A102" s="820">
        <v>1.0</v>
      </c>
      <c r="B102" s="183" t="s">
        <v>355</v>
      </c>
      <c r="C102" s="831" t="s">
        <v>356</v>
      </c>
      <c r="D102" s="185"/>
      <c r="E102" s="185"/>
      <c r="F102" s="185"/>
      <c r="G102" s="185"/>
      <c r="H102" s="186"/>
      <c r="I102" s="823" t="b">
        <v>1</v>
      </c>
      <c r="J102" s="188" t="s">
        <v>11</v>
      </c>
      <c r="K102" s="188">
        <v>2000.0</v>
      </c>
      <c r="L102" s="188">
        <v>10000.0</v>
      </c>
      <c r="M102" s="190"/>
      <c r="N102" s="191">
        <f>L102</f>
        <v>10000</v>
      </c>
      <c r="O102" s="190"/>
      <c r="P102" s="190"/>
      <c r="Q102" s="192">
        <f>iferror(L102*K102,"-")</f>
        <v>20000000</v>
      </c>
      <c r="R102" s="825"/>
      <c r="S102" s="181"/>
      <c r="T102" s="181"/>
      <c r="U102" s="181"/>
      <c r="V102" s="181"/>
      <c r="W102" s="181"/>
      <c r="X102" s="9"/>
      <c r="Y102" s="9"/>
      <c r="Z102" s="9"/>
    </row>
    <row r="103" ht="23.25" customHeight="1">
      <c r="A103" s="1251"/>
      <c r="B103" s="1252"/>
      <c r="C103" s="1252"/>
      <c r="D103" s="1252"/>
      <c r="E103" s="1252"/>
      <c r="F103" s="1252"/>
      <c r="G103" s="1252"/>
      <c r="H103" s="1252"/>
      <c r="I103" s="1253" t="s">
        <v>357</v>
      </c>
      <c r="J103" s="1252"/>
      <c r="K103" s="1252"/>
      <c r="L103" s="1252"/>
      <c r="M103" s="1254">
        <f t="shared" ref="M103:N103" si="30">sum(M101,M87,M41,M21)</f>
        <v>1551500</v>
      </c>
      <c r="N103" s="1254">
        <f t="shared" si="30"/>
        <v>84200</v>
      </c>
      <c r="O103" s="1255"/>
      <c r="P103" s="1255"/>
      <c r="Q103" s="1254">
        <f>sum(Q101,Q87,Q41,Q21,Q99)</f>
        <v>625000000</v>
      </c>
      <c r="R103" s="1256"/>
      <c r="S103" s="606"/>
      <c r="T103" s="606"/>
      <c r="U103" s="606"/>
      <c r="V103" s="8"/>
      <c r="W103" s="8"/>
      <c r="X103" s="9"/>
      <c r="Y103" s="9"/>
      <c r="Z103" s="9"/>
    </row>
    <row r="104" ht="25.5" customHeight="1">
      <c r="A104" s="1251"/>
      <c r="B104" s="1252"/>
      <c r="C104" s="1252"/>
      <c r="D104" s="1252"/>
      <c r="E104" s="1252"/>
      <c r="F104" s="1252"/>
      <c r="G104" s="1252"/>
      <c r="H104" s="1252"/>
      <c r="I104" s="1253" t="s">
        <v>358</v>
      </c>
      <c r="J104" s="1252"/>
      <c r="K104" s="1252"/>
      <c r="L104" s="1252"/>
      <c r="M104" s="1252"/>
      <c r="N104" s="1252"/>
      <c r="O104" s="1252"/>
      <c r="P104" s="1257">
        <v>0.12</v>
      </c>
      <c r="Q104" s="1254">
        <f>Q103*P104</f>
        <v>75000000</v>
      </c>
      <c r="R104" s="1256"/>
      <c r="S104" s="606"/>
      <c r="T104" s="606"/>
      <c r="U104" s="606"/>
      <c r="V104" s="8"/>
      <c r="W104" s="8"/>
      <c r="X104" s="9"/>
      <c r="Y104" s="9"/>
      <c r="Z104" s="9"/>
    </row>
    <row r="105" ht="25.5" customHeight="1">
      <c r="A105" s="1258"/>
      <c r="B105" s="1259"/>
      <c r="C105" s="1259"/>
      <c r="D105" s="1259"/>
      <c r="E105" s="1259"/>
      <c r="F105" s="1259"/>
      <c r="G105" s="1259"/>
      <c r="H105" s="1259"/>
      <c r="I105" s="1260" t="s">
        <v>359</v>
      </c>
      <c r="J105" s="1259"/>
      <c r="K105" s="1259"/>
      <c r="L105" s="1259"/>
      <c r="M105" s="1259"/>
      <c r="N105" s="1259"/>
      <c r="O105" s="1259"/>
      <c r="P105" s="1261"/>
      <c r="Q105" s="1262">
        <f>SUM(Q103:Q104)</f>
        <v>700000000</v>
      </c>
      <c r="R105" s="1263"/>
      <c r="S105" s="606"/>
      <c r="T105" s="606"/>
      <c r="U105" s="606"/>
      <c r="V105" s="8"/>
      <c r="W105" s="8"/>
      <c r="X105" s="9"/>
      <c r="Y105" s="9"/>
      <c r="Z105" s="9"/>
    </row>
    <row r="106" ht="25.5" customHeight="1">
      <c r="A106" s="1264"/>
      <c r="B106" s="1265"/>
      <c r="C106" s="1265"/>
      <c r="D106" s="1265"/>
      <c r="E106" s="1265"/>
      <c r="F106" s="1265"/>
      <c r="G106" s="1265"/>
      <c r="H106" s="1265"/>
      <c r="I106" s="1266" t="s">
        <v>360</v>
      </c>
      <c r="J106" s="1265"/>
      <c r="K106" s="1265"/>
      <c r="L106" s="1265"/>
      <c r="M106" s="1265"/>
      <c r="N106" s="1265"/>
      <c r="O106" s="1265"/>
      <c r="P106" s="1267"/>
      <c r="Q106" s="1268">
        <f>Q105*1.08</f>
        <v>756000000</v>
      </c>
      <c r="R106" s="1269"/>
      <c r="S106" s="606"/>
      <c r="T106" s="606"/>
      <c r="U106" s="606"/>
      <c r="V106" s="8"/>
      <c r="W106" s="8"/>
      <c r="X106" s="9"/>
      <c r="Y106" s="9"/>
      <c r="Z106" s="9"/>
    </row>
    <row r="107" ht="25.5" customHeight="1">
      <c r="A107" s="586"/>
      <c r="B107" s="586"/>
      <c r="C107" s="586"/>
      <c r="D107" s="586"/>
      <c r="E107" s="586"/>
      <c r="F107" s="586"/>
      <c r="G107" s="586"/>
      <c r="H107" s="586"/>
      <c r="I107" s="586"/>
      <c r="J107" s="586"/>
      <c r="K107" s="586"/>
      <c r="L107" s="586"/>
      <c r="M107" s="586"/>
      <c r="N107" s="586"/>
      <c r="O107" s="586"/>
      <c r="P107" s="586"/>
      <c r="Q107" s="586"/>
      <c r="R107" s="586"/>
      <c r="S107" s="606"/>
      <c r="T107" s="606"/>
      <c r="U107" s="606"/>
      <c r="V107" s="8"/>
      <c r="W107" s="8"/>
      <c r="X107" s="9"/>
      <c r="Y107" s="9"/>
      <c r="Z107" s="9"/>
    </row>
    <row r="108" ht="25.5" customHeight="1">
      <c r="A108" s="1270"/>
      <c r="B108" s="1270"/>
      <c r="C108" s="1270"/>
      <c r="D108" s="1271"/>
      <c r="E108" s="1270"/>
      <c r="F108" s="1270"/>
      <c r="G108" s="1270"/>
      <c r="H108" s="1270"/>
      <c r="I108" s="1270"/>
      <c r="J108" s="1272"/>
      <c r="K108" s="1272"/>
      <c r="L108" s="1272"/>
      <c r="M108" s="1272"/>
      <c r="N108" s="1272"/>
      <c r="O108" s="1272"/>
      <c r="P108" s="1272"/>
      <c r="Q108" s="1272"/>
      <c r="R108" s="1270"/>
      <c r="S108" s="606"/>
      <c r="T108" s="606"/>
      <c r="U108" s="606"/>
      <c r="V108" s="8"/>
      <c r="W108" s="8"/>
      <c r="X108" s="9"/>
      <c r="Y108" s="9"/>
      <c r="Z108" s="9"/>
    </row>
    <row r="109" ht="29.25" customHeight="1">
      <c r="A109" s="585"/>
      <c r="B109" s="585"/>
      <c r="C109" s="585"/>
      <c r="D109" s="585"/>
      <c r="E109" s="585"/>
      <c r="F109" s="585"/>
      <c r="G109" s="585"/>
      <c r="H109" s="585"/>
      <c r="I109" s="585"/>
      <c r="J109" s="585"/>
      <c r="K109" s="585"/>
      <c r="L109" s="585"/>
      <c r="M109" s="585"/>
      <c r="N109" s="585"/>
      <c r="O109" s="585"/>
      <c r="P109" s="585"/>
      <c r="Q109" s="585"/>
      <c r="R109" s="585"/>
      <c r="S109" s="585"/>
      <c r="T109" s="585"/>
      <c r="U109" s="585"/>
      <c r="V109" s="224"/>
      <c r="W109" s="224"/>
      <c r="X109" s="9"/>
      <c r="Y109" s="9"/>
      <c r="Z109" s="9"/>
    </row>
    <row r="110">
      <c r="A110" s="585"/>
      <c r="B110" s="585"/>
      <c r="C110" s="585"/>
      <c r="D110" s="585"/>
      <c r="E110" s="585"/>
      <c r="F110" s="585"/>
      <c r="G110" s="585"/>
      <c r="H110" s="585"/>
      <c r="I110" s="585"/>
      <c r="J110" s="585"/>
      <c r="K110" s="585"/>
      <c r="L110" s="585"/>
      <c r="M110" s="585"/>
      <c r="N110" s="585"/>
      <c r="O110" s="585"/>
      <c r="P110" s="585"/>
      <c r="Q110" s="585"/>
      <c r="R110" s="585"/>
      <c r="S110" s="585"/>
      <c r="T110" s="585"/>
      <c r="U110" s="585"/>
      <c r="V110" s="224"/>
      <c r="W110" s="224"/>
      <c r="X110" s="9"/>
      <c r="Y110" s="9"/>
      <c r="Z110" s="9"/>
    </row>
    <row r="111">
      <c r="A111" s="585"/>
      <c r="B111" s="585"/>
      <c r="C111" s="1250"/>
      <c r="D111" s="585"/>
      <c r="E111" s="585"/>
      <c r="F111" s="585"/>
      <c r="G111" s="585"/>
      <c r="H111" s="585"/>
      <c r="I111" s="585"/>
      <c r="J111" s="585"/>
      <c r="K111" s="585"/>
      <c r="L111" s="585"/>
      <c r="M111" s="585"/>
      <c r="N111" s="585"/>
      <c r="O111" s="585"/>
      <c r="P111" s="585"/>
      <c r="Q111" s="585"/>
      <c r="R111" s="585"/>
      <c r="S111" s="585"/>
      <c r="T111" s="585"/>
      <c r="U111" s="585"/>
      <c r="V111" s="224"/>
      <c r="W111" s="224"/>
      <c r="X111" s="9"/>
      <c r="Y111" s="9"/>
      <c r="Z111" s="9"/>
    </row>
    <row r="112">
      <c r="A112" s="585"/>
      <c r="B112" s="585"/>
      <c r="C112" s="585"/>
      <c r="D112" s="585"/>
      <c r="E112" s="585"/>
      <c r="F112" s="585"/>
      <c r="G112" s="585"/>
      <c r="H112" s="585"/>
      <c r="I112" s="585"/>
      <c r="J112" s="585"/>
      <c r="K112" s="585"/>
      <c r="L112" s="585"/>
      <c r="M112" s="585"/>
      <c r="N112" s="585"/>
      <c r="O112" s="585"/>
      <c r="P112" s="585"/>
      <c r="Q112" s="585"/>
      <c r="R112" s="585"/>
      <c r="S112" s="585"/>
      <c r="T112" s="585"/>
      <c r="U112" s="585"/>
      <c r="V112" s="224"/>
      <c r="W112" s="224"/>
      <c r="X112" s="9"/>
      <c r="Y112" s="9"/>
      <c r="Z112" s="9"/>
    </row>
    <row r="113">
      <c r="A113" s="585"/>
      <c r="B113" s="585"/>
      <c r="C113" s="585"/>
      <c r="D113" s="585"/>
      <c r="E113" s="585"/>
      <c r="F113" s="585"/>
      <c r="G113" s="585"/>
      <c r="H113" s="585"/>
      <c r="I113" s="585"/>
      <c r="J113" s="585"/>
      <c r="K113" s="585"/>
      <c r="L113" s="585"/>
      <c r="M113" s="585"/>
      <c r="N113" s="585"/>
      <c r="O113" s="585"/>
      <c r="P113" s="585"/>
      <c r="Q113" s="585"/>
      <c r="R113" s="585"/>
      <c r="S113" s="585"/>
      <c r="T113" s="585"/>
      <c r="U113" s="585"/>
      <c r="V113" s="224"/>
      <c r="W113" s="224"/>
      <c r="X113" s="9"/>
      <c r="Y113" s="9"/>
      <c r="Z113" s="9"/>
    </row>
    <row r="114">
      <c r="A114" s="585"/>
      <c r="B114" s="585"/>
      <c r="C114" s="585"/>
      <c r="D114" s="585"/>
      <c r="E114" s="585"/>
      <c r="F114" s="585"/>
      <c r="G114" s="585"/>
      <c r="H114" s="585"/>
      <c r="I114" s="585"/>
      <c r="J114" s="585"/>
      <c r="K114" s="585"/>
      <c r="L114" s="585"/>
      <c r="M114" s="585"/>
      <c r="N114" s="585"/>
      <c r="O114" s="585"/>
      <c r="P114" s="585"/>
      <c r="Q114" s="585"/>
      <c r="R114" s="585"/>
      <c r="S114" s="585"/>
      <c r="T114" s="585"/>
      <c r="U114" s="585"/>
      <c r="V114" s="224"/>
      <c r="W114" s="224"/>
      <c r="X114" s="9"/>
      <c r="Y114" s="9"/>
      <c r="Z114" s="9"/>
    </row>
    <row r="115">
      <c r="A115" s="585"/>
      <c r="B115" s="585"/>
      <c r="C115" s="585"/>
      <c r="D115" s="585"/>
      <c r="E115" s="585"/>
      <c r="F115" s="585"/>
      <c r="G115" s="585"/>
      <c r="H115" s="585"/>
      <c r="I115" s="585"/>
      <c r="J115" s="585"/>
      <c r="K115" s="585"/>
      <c r="L115" s="585"/>
      <c r="M115" s="585"/>
      <c r="N115" s="585"/>
      <c r="O115" s="585"/>
      <c r="P115" s="585"/>
      <c r="Q115" s="585"/>
      <c r="R115" s="585"/>
      <c r="S115" s="585"/>
      <c r="T115" s="585"/>
      <c r="U115" s="585"/>
      <c r="V115" s="224"/>
      <c r="W115" s="224"/>
      <c r="X115" s="9"/>
      <c r="Y115" s="9"/>
      <c r="Z115" s="9"/>
    </row>
    <row r="116">
      <c r="A116" s="585"/>
      <c r="B116" s="585"/>
      <c r="C116" s="585"/>
      <c r="D116" s="585"/>
      <c r="E116" s="585"/>
      <c r="F116" s="585"/>
      <c r="G116" s="585"/>
      <c r="H116" s="585"/>
      <c r="I116" s="585"/>
      <c r="J116" s="585"/>
      <c r="K116" s="585"/>
      <c r="L116" s="585"/>
      <c r="M116" s="585"/>
      <c r="N116" s="585"/>
      <c r="O116" s="585"/>
      <c r="P116" s="585"/>
      <c r="Q116" s="585"/>
      <c r="R116" s="585"/>
      <c r="S116" s="585"/>
      <c r="T116" s="585"/>
      <c r="U116" s="585"/>
      <c r="V116" s="224"/>
      <c r="W116" s="224"/>
      <c r="X116" s="9"/>
      <c r="Y116" s="9"/>
      <c r="Z116" s="9"/>
    </row>
    <row r="117">
      <c r="A117" s="585"/>
      <c r="B117" s="585"/>
      <c r="C117" s="585"/>
      <c r="D117" s="585"/>
      <c r="E117" s="585"/>
      <c r="F117" s="585"/>
      <c r="G117" s="585"/>
      <c r="H117" s="585"/>
      <c r="I117" s="585"/>
      <c r="J117" s="585"/>
      <c r="K117" s="585"/>
      <c r="L117" s="585"/>
      <c r="M117" s="585"/>
      <c r="N117" s="585"/>
      <c r="O117" s="585"/>
      <c r="P117" s="585"/>
      <c r="Q117" s="585"/>
      <c r="R117" s="585"/>
      <c r="S117" s="585"/>
      <c r="T117" s="585"/>
      <c r="U117" s="585"/>
      <c r="V117" s="224"/>
      <c r="W117" s="224"/>
      <c r="X117" s="9"/>
      <c r="Y117" s="9"/>
      <c r="Z117" s="9"/>
    </row>
    <row r="118">
      <c r="A118" s="585"/>
      <c r="B118" s="585"/>
      <c r="C118" s="585"/>
      <c r="D118" s="585"/>
      <c r="E118" s="585"/>
      <c r="F118" s="585"/>
      <c r="G118" s="585"/>
      <c r="H118" s="585"/>
      <c r="I118" s="585"/>
      <c r="J118" s="585"/>
      <c r="K118" s="585"/>
      <c r="L118" s="585"/>
      <c r="M118" s="585"/>
      <c r="N118" s="585"/>
      <c r="O118" s="585"/>
      <c r="P118" s="585"/>
      <c r="Q118" s="585"/>
      <c r="R118" s="585"/>
      <c r="S118" s="585"/>
      <c r="T118" s="585"/>
      <c r="U118" s="585"/>
      <c r="V118" s="224"/>
      <c r="W118" s="224"/>
      <c r="X118" s="9"/>
      <c r="Y118" s="9"/>
      <c r="Z118" s="9"/>
    </row>
    <row r="119">
      <c r="A119" s="585"/>
      <c r="B119" s="585"/>
      <c r="C119" s="585"/>
      <c r="D119" s="585"/>
      <c r="E119" s="585"/>
      <c r="F119" s="585"/>
      <c r="G119" s="585"/>
      <c r="H119" s="585"/>
      <c r="I119" s="585"/>
      <c r="J119" s="585"/>
      <c r="K119" s="585"/>
      <c r="L119" s="585"/>
      <c r="M119" s="585"/>
      <c r="N119" s="585"/>
      <c r="O119" s="585"/>
      <c r="P119" s="585"/>
      <c r="Q119" s="585"/>
      <c r="R119" s="585"/>
      <c r="S119" s="585"/>
      <c r="T119" s="585"/>
      <c r="U119" s="585"/>
      <c r="V119" s="224"/>
      <c r="W119" s="224"/>
      <c r="X119" s="9"/>
      <c r="Y119" s="9"/>
      <c r="Z119" s="9"/>
    </row>
    <row r="120">
      <c r="A120" s="585"/>
      <c r="B120" s="585"/>
      <c r="C120" s="585"/>
      <c r="D120" s="585"/>
      <c r="E120" s="585"/>
      <c r="F120" s="585"/>
      <c r="G120" s="585"/>
      <c r="H120" s="585"/>
      <c r="I120" s="585"/>
      <c r="J120" s="585"/>
      <c r="K120" s="585"/>
      <c r="L120" s="585"/>
      <c r="M120" s="585"/>
      <c r="N120" s="585"/>
      <c r="O120" s="585"/>
      <c r="P120" s="585"/>
      <c r="Q120" s="585"/>
      <c r="R120" s="585"/>
      <c r="S120" s="585"/>
      <c r="T120" s="585"/>
      <c r="U120" s="585"/>
      <c r="V120" s="224"/>
      <c r="W120" s="224"/>
      <c r="X120" s="9"/>
      <c r="Y120" s="9"/>
      <c r="Z120" s="9"/>
    </row>
    <row r="121">
      <c r="A121" s="585"/>
      <c r="B121" s="585"/>
      <c r="C121" s="585"/>
      <c r="D121" s="585"/>
      <c r="E121" s="585"/>
      <c r="F121" s="585"/>
      <c r="G121" s="585"/>
      <c r="H121" s="585"/>
      <c r="I121" s="585"/>
      <c r="J121" s="585"/>
      <c r="K121" s="585"/>
      <c r="L121" s="585"/>
      <c r="M121" s="585"/>
      <c r="N121" s="585"/>
      <c r="O121" s="585"/>
      <c r="P121" s="585"/>
      <c r="Q121" s="585"/>
      <c r="R121" s="585"/>
      <c r="S121" s="585"/>
      <c r="T121" s="585"/>
      <c r="U121" s="585"/>
      <c r="V121" s="224"/>
      <c r="W121" s="224"/>
      <c r="X121" s="9"/>
      <c r="Y121" s="9"/>
      <c r="Z121" s="9"/>
    </row>
    <row r="122">
      <c r="A122" s="585"/>
      <c r="B122" s="585"/>
      <c r="C122" s="585"/>
      <c r="D122" s="585"/>
      <c r="E122" s="585"/>
      <c r="F122" s="585"/>
      <c r="G122" s="585"/>
      <c r="H122" s="585"/>
      <c r="I122" s="585"/>
      <c r="J122" s="585"/>
      <c r="K122" s="585"/>
      <c r="L122" s="585"/>
      <c r="M122" s="585"/>
      <c r="N122" s="585"/>
      <c r="O122" s="585"/>
      <c r="P122" s="585"/>
      <c r="Q122" s="585"/>
      <c r="R122" s="585"/>
      <c r="S122" s="585"/>
      <c r="T122" s="585"/>
      <c r="U122" s="585"/>
      <c r="V122" s="224"/>
      <c r="W122" s="224"/>
      <c r="X122" s="9"/>
      <c r="Y122" s="9"/>
      <c r="Z122" s="9"/>
    </row>
    <row r="123">
      <c r="A123" s="585"/>
      <c r="B123" s="585"/>
      <c r="C123" s="585"/>
      <c r="D123" s="585"/>
      <c r="E123" s="585"/>
      <c r="F123" s="585"/>
      <c r="G123" s="585"/>
      <c r="H123" s="585"/>
      <c r="I123" s="585"/>
      <c r="J123" s="585"/>
      <c r="K123" s="585"/>
      <c r="L123" s="585"/>
      <c r="M123" s="585"/>
      <c r="N123" s="585"/>
      <c r="O123" s="585"/>
      <c r="P123" s="585"/>
      <c r="Q123" s="585"/>
      <c r="R123" s="585"/>
      <c r="S123" s="585"/>
      <c r="T123" s="585"/>
      <c r="U123" s="585"/>
      <c r="V123" s="224"/>
      <c r="W123" s="224"/>
      <c r="X123" s="9"/>
      <c r="Y123" s="9"/>
      <c r="Z123" s="9"/>
    </row>
    <row r="124">
      <c r="A124" s="585"/>
      <c r="B124" s="585"/>
      <c r="C124" s="585"/>
      <c r="D124" s="585"/>
      <c r="E124" s="585"/>
      <c r="F124" s="585"/>
      <c r="G124" s="585"/>
      <c r="H124" s="585"/>
      <c r="I124" s="585"/>
      <c r="J124" s="585"/>
      <c r="K124" s="585"/>
      <c r="L124" s="585"/>
      <c r="M124" s="585"/>
      <c r="N124" s="585"/>
      <c r="O124" s="585"/>
      <c r="P124" s="585"/>
      <c r="Q124" s="585"/>
      <c r="R124" s="585"/>
      <c r="S124" s="585"/>
      <c r="T124" s="585"/>
      <c r="U124" s="585"/>
      <c r="V124" s="224"/>
      <c r="W124" s="224"/>
      <c r="X124" s="9"/>
      <c r="Y124" s="9"/>
      <c r="Z124" s="9"/>
    </row>
    <row r="125">
      <c r="A125" s="585"/>
      <c r="B125" s="585"/>
      <c r="C125" s="585"/>
      <c r="D125" s="585"/>
      <c r="E125" s="585"/>
      <c r="F125" s="585"/>
      <c r="G125" s="585"/>
      <c r="H125" s="585"/>
      <c r="I125" s="585"/>
      <c r="J125" s="585"/>
      <c r="K125" s="585"/>
      <c r="L125" s="585"/>
      <c r="M125" s="585"/>
      <c r="N125" s="585"/>
      <c r="O125" s="585"/>
      <c r="P125" s="585"/>
      <c r="Q125" s="585"/>
      <c r="R125" s="585"/>
      <c r="S125" s="585"/>
      <c r="T125" s="585"/>
      <c r="U125" s="585"/>
      <c r="V125" s="224"/>
      <c r="W125" s="224"/>
      <c r="X125" s="9"/>
      <c r="Y125" s="9"/>
      <c r="Z125" s="9"/>
    </row>
    <row r="126">
      <c r="A126" s="585"/>
      <c r="B126" s="585"/>
      <c r="C126" s="585"/>
      <c r="D126" s="585"/>
      <c r="E126" s="585"/>
      <c r="F126" s="585"/>
      <c r="G126" s="585"/>
      <c r="H126" s="585"/>
      <c r="I126" s="585"/>
      <c r="J126" s="585"/>
      <c r="K126" s="585"/>
      <c r="L126" s="585"/>
      <c r="M126" s="585"/>
      <c r="N126" s="585"/>
      <c r="O126" s="585"/>
      <c r="P126" s="585"/>
      <c r="Q126" s="585"/>
      <c r="R126" s="585"/>
      <c r="S126" s="585"/>
      <c r="T126" s="585"/>
      <c r="U126" s="585"/>
      <c r="V126" s="224"/>
      <c r="W126" s="224"/>
      <c r="X126" s="9"/>
      <c r="Y126" s="9"/>
      <c r="Z126" s="9"/>
    </row>
    <row r="127">
      <c r="A127" s="585"/>
      <c r="B127" s="585"/>
      <c r="C127" s="585"/>
      <c r="D127" s="585"/>
      <c r="E127" s="585"/>
      <c r="F127" s="585"/>
      <c r="G127" s="585"/>
      <c r="H127" s="585"/>
      <c r="I127" s="585"/>
      <c r="J127" s="585"/>
      <c r="K127" s="585"/>
      <c r="L127" s="585"/>
      <c r="M127" s="585"/>
      <c r="N127" s="585"/>
      <c r="O127" s="585"/>
      <c r="P127" s="585"/>
      <c r="Q127" s="585"/>
      <c r="R127" s="585"/>
      <c r="S127" s="585"/>
      <c r="T127" s="585"/>
      <c r="U127" s="585"/>
      <c r="V127" s="224"/>
      <c r="W127" s="224"/>
      <c r="X127" s="9"/>
      <c r="Y127" s="9"/>
      <c r="Z127" s="9"/>
    </row>
    <row r="128">
      <c r="A128" s="585"/>
      <c r="B128" s="585"/>
      <c r="C128" s="585"/>
      <c r="D128" s="585"/>
      <c r="E128" s="585"/>
      <c r="F128" s="585"/>
      <c r="G128" s="585"/>
      <c r="H128" s="585"/>
      <c r="I128" s="585"/>
      <c r="J128" s="585"/>
      <c r="K128" s="585"/>
      <c r="L128" s="585"/>
      <c r="M128" s="585"/>
      <c r="N128" s="585"/>
      <c r="O128" s="585"/>
      <c r="P128" s="585"/>
      <c r="Q128" s="585"/>
      <c r="R128" s="585"/>
      <c r="S128" s="585"/>
      <c r="T128" s="585"/>
      <c r="U128" s="585"/>
      <c r="V128" s="224"/>
      <c r="W128" s="224"/>
      <c r="X128" s="9"/>
      <c r="Y128" s="9"/>
      <c r="Z128" s="9"/>
    </row>
    <row r="129">
      <c r="A129" s="585"/>
      <c r="B129" s="585"/>
      <c r="C129" s="585"/>
      <c r="D129" s="585"/>
      <c r="E129" s="585"/>
      <c r="F129" s="585"/>
      <c r="G129" s="585"/>
      <c r="H129" s="585"/>
      <c r="I129" s="585"/>
      <c r="J129" s="585"/>
      <c r="K129" s="585"/>
      <c r="L129" s="585"/>
      <c r="M129" s="585"/>
      <c r="N129" s="585"/>
      <c r="O129" s="585"/>
      <c r="P129" s="585"/>
      <c r="Q129" s="585"/>
      <c r="R129" s="585"/>
      <c r="S129" s="585"/>
      <c r="T129" s="585"/>
      <c r="U129" s="585"/>
      <c r="V129" s="224"/>
      <c r="W129" s="224"/>
      <c r="X129" s="9"/>
      <c r="Y129" s="9"/>
      <c r="Z129" s="9"/>
    </row>
    <row r="130">
      <c r="A130" s="585"/>
      <c r="B130" s="585"/>
      <c r="C130" s="585"/>
      <c r="D130" s="585"/>
      <c r="E130" s="585"/>
      <c r="F130" s="585"/>
      <c r="G130" s="585"/>
      <c r="H130" s="585"/>
      <c r="I130" s="585"/>
      <c r="J130" s="585"/>
      <c r="K130" s="585"/>
      <c r="L130" s="585"/>
      <c r="M130" s="585"/>
      <c r="N130" s="585"/>
      <c r="O130" s="585"/>
      <c r="P130" s="585"/>
      <c r="Q130" s="585"/>
      <c r="R130" s="585"/>
      <c r="S130" s="585"/>
      <c r="T130" s="585"/>
      <c r="U130" s="585"/>
      <c r="V130" s="224"/>
      <c r="W130" s="224"/>
      <c r="X130" s="9"/>
      <c r="Y130" s="9"/>
      <c r="Z130" s="9"/>
    </row>
    <row r="131">
      <c r="A131" s="585"/>
      <c r="B131" s="585"/>
      <c r="C131" s="585"/>
      <c r="D131" s="585"/>
      <c r="E131" s="585"/>
      <c r="F131" s="585"/>
      <c r="G131" s="585"/>
      <c r="H131" s="585"/>
      <c r="I131" s="585"/>
      <c r="J131" s="585"/>
      <c r="K131" s="585"/>
      <c r="L131" s="585"/>
      <c r="M131" s="585"/>
      <c r="N131" s="585"/>
      <c r="O131" s="585"/>
      <c r="P131" s="585"/>
      <c r="Q131" s="585"/>
      <c r="R131" s="585"/>
      <c r="S131" s="585"/>
      <c r="T131" s="585"/>
      <c r="U131" s="585"/>
      <c r="V131" s="224"/>
      <c r="W131" s="224"/>
      <c r="X131" s="9"/>
      <c r="Y131" s="9"/>
      <c r="Z131" s="9"/>
    </row>
    <row r="132">
      <c r="A132" s="585"/>
      <c r="B132" s="585"/>
      <c r="C132" s="585"/>
      <c r="D132" s="585"/>
      <c r="E132" s="585"/>
      <c r="F132" s="585"/>
      <c r="G132" s="585"/>
      <c r="H132" s="585"/>
      <c r="I132" s="585"/>
      <c r="J132" s="585"/>
      <c r="K132" s="585"/>
      <c r="L132" s="585"/>
      <c r="M132" s="585"/>
      <c r="N132" s="585"/>
      <c r="O132" s="585"/>
      <c r="P132" s="585"/>
      <c r="Q132" s="585"/>
      <c r="R132" s="585"/>
      <c r="S132" s="585"/>
      <c r="T132" s="585"/>
      <c r="U132" s="585"/>
      <c r="V132" s="224"/>
      <c r="W132" s="224"/>
      <c r="X132" s="9"/>
      <c r="Y132" s="9"/>
      <c r="Z132" s="9"/>
    </row>
    <row r="133">
      <c r="A133" s="585"/>
      <c r="B133" s="585"/>
      <c r="C133" s="585"/>
      <c r="D133" s="585"/>
      <c r="E133" s="585"/>
      <c r="F133" s="585"/>
      <c r="G133" s="585"/>
      <c r="H133" s="585"/>
      <c r="I133" s="585"/>
      <c r="J133" s="585"/>
      <c r="K133" s="585"/>
      <c r="L133" s="585"/>
      <c r="M133" s="585"/>
      <c r="N133" s="585"/>
      <c r="O133" s="585"/>
      <c r="P133" s="585"/>
      <c r="Q133" s="585"/>
      <c r="R133" s="585"/>
      <c r="S133" s="585"/>
      <c r="T133" s="585"/>
      <c r="U133" s="585"/>
      <c r="V133" s="224"/>
      <c r="W133" s="224"/>
      <c r="X133" s="9"/>
      <c r="Y133" s="9"/>
      <c r="Z133" s="9"/>
    </row>
    <row r="134">
      <c r="A134" s="585"/>
      <c r="B134" s="585"/>
      <c r="C134" s="585"/>
      <c r="D134" s="585"/>
      <c r="E134" s="585"/>
      <c r="F134" s="585"/>
      <c r="G134" s="585"/>
      <c r="H134" s="585"/>
      <c r="I134" s="585"/>
      <c r="J134" s="585"/>
      <c r="K134" s="585"/>
      <c r="L134" s="585"/>
      <c r="M134" s="585"/>
      <c r="N134" s="585"/>
      <c r="O134" s="585"/>
      <c r="P134" s="585"/>
      <c r="Q134" s="585"/>
      <c r="R134" s="585"/>
      <c r="S134" s="585"/>
      <c r="T134" s="585"/>
      <c r="U134" s="585"/>
      <c r="V134" s="224"/>
      <c r="W134" s="224"/>
      <c r="X134" s="9"/>
      <c r="Y134" s="9"/>
      <c r="Z134" s="9"/>
    </row>
    <row r="135">
      <c r="A135" s="585"/>
      <c r="B135" s="585"/>
      <c r="C135" s="585"/>
      <c r="D135" s="585"/>
      <c r="E135" s="585"/>
      <c r="F135" s="585"/>
      <c r="G135" s="585"/>
      <c r="H135" s="585"/>
      <c r="I135" s="585"/>
      <c r="J135" s="585"/>
      <c r="K135" s="585"/>
      <c r="L135" s="585"/>
      <c r="M135" s="585"/>
      <c r="N135" s="585"/>
      <c r="O135" s="585"/>
      <c r="P135" s="585"/>
      <c r="Q135" s="585"/>
      <c r="R135" s="585"/>
      <c r="S135" s="585"/>
      <c r="T135" s="585"/>
      <c r="U135" s="585"/>
      <c r="V135" s="224"/>
      <c r="W135" s="224"/>
      <c r="X135" s="9"/>
      <c r="Y135" s="9"/>
      <c r="Z135" s="9"/>
    </row>
    <row r="136">
      <c r="A136" s="585"/>
      <c r="B136" s="585"/>
      <c r="C136" s="585"/>
      <c r="D136" s="585"/>
      <c r="E136" s="585"/>
      <c r="F136" s="585"/>
      <c r="G136" s="585"/>
      <c r="H136" s="585"/>
      <c r="I136" s="585"/>
      <c r="J136" s="585"/>
      <c r="K136" s="585"/>
      <c r="L136" s="585"/>
      <c r="M136" s="585"/>
      <c r="N136" s="585"/>
      <c r="O136" s="585"/>
      <c r="P136" s="585"/>
      <c r="Q136" s="585"/>
      <c r="R136" s="585"/>
      <c r="S136" s="585"/>
      <c r="T136" s="585"/>
      <c r="U136" s="585"/>
      <c r="V136" s="224"/>
      <c r="W136" s="224"/>
      <c r="X136" s="9"/>
      <c r="Y136" s="9"/>
      <c r="Z136" s="9"/>
    </row>
    <row r="137">
      <c r="A137" s="585"/>
      <c r="B137" s="585"/>
      <c r="C137" s="585"/>
      <c r="D137" s="585"/>
      <c r="E137" s="585"/>
      <c r="F137" s="585"/>
      <c r="G137" s="585"/>
      <c r="H137" s="585"/>
      <c r="I137" s="585"/>
      <c r="J137" s="585"/>
      <c r="K137" s="585"/>
      <c r="L137" s="585"/>
      <c r="M137" s="585"/>
      <c r="N137" s="585"/>
      <c r="O137" s="585"/>
      <c r="P137" s="585"/>
      <c r="Q137" s="585"/>
      <c r="R137" s="585"/>
      <c r="S137" s="585"/>
      <c r="T137" s="585"/>
      <c r="U137" s="585"/>
      <c r="V137" s="224"/>
      <c r="W137" s="224"/>
      <c r="X137" s="9"/>
      <c r="Y137" s="9"/>
      <c r="Z137" s="9"/>
    </row>
    <row r="138">
      <c r="A138" s="585"/>
      <c r="B138" s="585"/>
      <c r="C138" s="585"/>
      <c r="D138" s="585"/>
      <c r="E138" s="585"/>
      <c r="F138" s="585"/>
      <c r="G138" s="585"/>
      <c r="H138" s="585"/>
      <c r="I138" s="585"/>
      <c r="J138" s="585"/>
      <c r="K138" s="585"/>
      <c r="L138" s="585"/>
      <c r="M138" s="585"/>
      <c r="N138" s="585"/>
      <c r="O138" s="585"/>
      <c r="P138" s="585"/>
      <c r="Q138" s="585"/>
      <c r="R138" s="585"/>
      <c r="S138" s="585"/>
      <c r="T138" s="585"/>
      <c r="U138" s="585"/>
      <c r="V138" s="224"/>
      <c r="W138" s="224"/>
      <c r="X138" s="9"/>
      <c r="Y138" s="9"/>
      <c r="Z138" s="9"/>
    </row>
    <row r="139">
      <c r="A139" s="585"/>
      <c r="B139" s="585"/>
      <c r="C139" s="585"/>
      <c r="D139" s="585"/>
      <c r="E139" s="585"/>
      <c r="F139" s="585"/>
      <c r="G139" s="585"/>
      <c r="H139" s="585"/>
      <c r="I139" s="585"/>
      <c r="J139" s="585"/>
      <c r="K139" s="585"/>
      <c r="L139" s="585"/>
      <c r="M139" s="585"/>
      <c r="N139" s="585"/>
      <c r="O139" s="585"/>
      <c r="P139" s="585"/>
      <c r="Q139" s="585"/>
      <c r="R139" s="585"/>
      <c r="S139" s="585"/>
      <c r="T139" s="585"/>
      <c r="U139" s="585"/>
      <c r="V139" s="224"/>
      <c r="W139" s="224"/>
      <c r="X139" s="9"/>
      <c r="Y139" s="9"/>
      <c r="Z139" s="9"/>
    </row>
    <row r="140">
      <c r="A140" s="585"/>
      <c r="B140" s="585"/>
      <c r="C140" s="585"/>
      <c r="D140" s="585"/>
      <c r="E140" s="585"/>
      <c r="F140" s="585"/>
      <c r="G140" s="585"/>
      <c r="H140" s="585"/>
      <c r="I140" s="585"/>
      <c r="J140" s="585"/>
      <c r="K140" s="585"/>
      <c r="L140" s="585"/>
      <c r="M140" s="585"/>
      <c r="N140" s="585"/>
      <c r="O140" s="585"/>
      <c r="P140" s="585"/>
      <c r="Q140" s="585"/>
      <c r="R140" s="585"/>
      <c r="S140" s="585"/>
      <c r="T140" s="585"/>
      <c r="U140" s="585"/>
      <c r="V140" s="224"/>
      <c r="W140" s="224"/>
      <c r="X140" s="9"/>
      <c r="Y140" s="9"/>
      <c r="Z140" s="9"/>
    </row>
    <row r="141">
      <c r="A141" s="585"/>
      <c r="B141" s="585"/>
      <c r="C141" s="585"/>
      <c r="D141" s="585"/>
      <c r="E141" s="585"/>
      <c r="F141" s="585"/>
      <c r="G141" s="585"/>
      <c r="H141" s="585"/>
      <c r="I141" s="585"/>
      <c r="J141" s="585"/>
      <c r="K141" s="585"/>
      <c r="L141" s="585"/>
      <c r="M141" s="585"/>
      <c r="N141" s="585"/>
      <c r="O141" s="585"/>
      <c r="P141" s="585"/>
      <c r="Q141" s="585"/>
      <c r="R141" s="585"/>
      <c r="S141" s="585"/>
      <c r="T141" s="585"/>
      <c r="U141" s="585"/>
      <c r="V141" s="224"/>
      <c r="W141" s="224"/>
      <c r="X141" s="9"/>
      <c r="Y141" s="9"/>
      <c r="Z141" s="9"/>
    </row>
    <row r="142">
      <c r="A142" s="585"/>
      <c r="B142" s="585"/>
      <c r="C142" s="585"/>
      <c r="D142" s="585"/>
      <c r="E142" s="585"/>
      <c r="F142" s="585"/>
      <c r="G142" s="585"/>
      <c r="H142" s="585"/>
      <c r="I142" s="585"/>
      <c r="J142" s="585"/>
      <c r="K142" s="585"/>
      <c r="L142" s="585"/>
      <c r="M142" s="585"/>
      <c r="N142" s="585"/>
      <c r="O142" s="585"/>
      <c r="P142" s="585"/>
      <c r="Q142" s="585"/>
      <c r="R142" s="585"/>
      <c r="S142" s="1173"/>
      <c r="T142" s="1173"/>
      <c r="U142" s="1173"/>
      <c r="V142" s="226"/>
      <c r="W142" s="226"/>
      <c r="X142" s="9"/>
      <c r="Y142" s="9"/>
      <c r="Z142" s="9"/>
    </row>
    <row r="143">
      <c r="A143" s="585"/>
      <c r="B143" s="585"/>
      <c r="C143" s="585"/>
      <c r="D143" s="585"/>
      <c r="E143" s="585"/>
      <c r="F143" s="585"/>
      <c r="G143" s="585"/>
      <c r="H143" s="585"/>
      <c r="I143" s="585"/>
      <c r="J143" s="585"/>
      <c r="K143" s="585"/>
      <c r="L143" s="585"/>
      <c r="M143" s="585"/>
      <c r="N143" s="585"/>
      <c r="O143" s="585"/>
      <c r="P143" s="585"/>
      <c r="Q143" s="585"/>
      <c r="R143" s="585"/>
      <c r="S143" s="585"/>
      <c r="T143" s="585"/>
      <c r="U143" s="585"/>
      <c r="V143" s="224"/>
      <c r="W143" s="224"/>
      <c r="X143" s="9"/>
      <c r="Y143" s="9"/>
      <c r="Z143" s="9"/>
    </row>
    <row r="144">
      <c r="A144" s="585"/>
      <c r="B144" s="585"/>
      <c r="C144" s="585"/>
      <c r="D144" s="585"/>
      <c r="E144" s="585"/>
      <c r="F144" s="585"/>
      <c r="G144" s="585"/>
      <c r="H144" s="585"/>
      <c r="I144" s="585"/>
      <c r="J144" s="585"/>
      <c r="K144" s="585"/>
      <c r="L144" s="585"/>
      <c r="M144" s="585"/>
      <c r="N144" s="585"/>
      <c r="O144" s="585"/>
      <c r="P144" s="585"/>
      <c r="Q144" s="585"/>
      <c r="R144" s="585"/>
      <c r="S144" s="585"/>
      <c r="T144" s="585"/>
      <c r="U144" s="585"/>
      <c r="V144" s="224"/>
      <c r="W144" s="224"/>
      <c r="X144" s="9"/>
      <c r="Y144" s="9"/>
      <c r="Z144" s="9"/>
    </row>
    <row r="145">
      <c r="A145" s="585"/>
      <c r="B145" s="585"/>
      <c r="C145" s="585"/>
      <c r="D145" s="585"/>
      <c r="E145" s="585"/>
      <c r="F145" s="585"/>
      <c r="G145" s="585"/>
      <c r="H145" s="585"/>
      <c r="I145" s="585"/>
      <c r="J145" s="585"/>
      <c r="K145" s="585"/>
      <c r="L145" s="585"/>
      <c r="M145" s="585"/>
      <c r="N145" s="585"/>
      <c r="O145" s="585"/>
      <c r="P145" s="585"/>
      <c r="Q145" s="585"/>
      <c r="R145" s="585"/>
      <c r="S145" s="585"/>
      <c r="T145" s="585"/>
      <c r="U145" s="585"/>
      <c r="V145" s="224"/>
      <c r="W145" s="224"/>
      <c r="X145" s="9"/>
      <c r="Y145" s="9"/>
      <c r="Z145" s="9"/>
    </row>
    <row r="146">
      <c r="A146" s="585"/>
      <c r="B146" s="585"/>
      <c r="C146" s="585"/>
      <c r="D146" s="585"/>
      <c r="E146" s="585"/>
      <c r="F146" s="585"/>
      <c r="G146" s="585"/>
      <c r="H146" s="585"/>
      <c r="I146" s="585"/>
      <c r="J146" s="585"/>
      <c r="K146" s="585"/>
      <c r="L146" s="585"/>
      <c r="M146" s="585"/>
      <c r="N146" s="585"/>
      <c r="O146" s="585"/>
      <c r="P146" s="585"/>
      <c r="Q146" s="585"/>
      <c r="R146" s="585"/>
      <c r="S146" s="585"/>
      <c r="T146" s="585"/>
      <c r="U146" s="585"/>
      <c r="V146" s="224"/>
      <c r="W146" s="224"/>
      <c r="X146" s="9"/>
      <c r="Y146" s="9"/>
      <c r="Z146" s="9"/>
    </row>
    <row r="147">
      <c r="A147" s="585"/>
      <c r="B147" s="585"/>
      <c r="C147" s="585"/>
      <c r="D147" s="585"/>
      <c r="E147" s="585"/>
      <c r="F147" s="585"/>
      <c r="G147" s="585"/>
      <c r="H147" s="585"/>
      <c r="I147" s="585"/>
      <c r="J147" s="585"/>
      <c r="K147" s="585"/>
      <c r="L147" s="585"/>
      <c r="M147" s="585"/>
      <c r="N147" s="585"/>
      <c r="O147" s="585"/>
      <c r="P147" s="585"/>
      <c r="Q147" s="585"/>
      <c r="R147" s="585"/>
      <c r="S147" s="585"/>
      <c r="T147" s="585"/>
      <c r="U147" s="585"/>
      <c r="V147" s="224"/>
      <c r="W147" s="224"/>
      <c r="X147" s="9"/>
      <c r="Y147" s="9"/>
      <c r="Z147" s="9"/>
    </row>
    <row r="148">
      <c r="A148" s="585"/>
      <c r="B148" s="585"/>
      <c r="C148" s="585"/>
      <c r="D148" s="585"/>
      <c r="E148" s="585"/>
      <c r="F148" s="585"/>
      <c r="G148" s="585"/>
      <c r="H148" s="585"/>
      <c r="I148" s="585"/>
      <c r="J148" s="585"/>
      <c r="K148" s="585"/>
      <c r="L148" s="585"/>
      <c r="M148" s="585"/>
      <c r="N148" s="585"/>
      <c r="O148" s="585"/>
      <c r="P148" s="585"/>
      <c r="Q148" s="585"/>
      <c r="R148" s="585"/>
      <c r="S148" s="585"/>
      <c r="T148" s="585"/>
      <c r="U148" s="585"/>
      <c r="V148" s="224"/>
      <c r="W148" s="224"/>
      <c r="X148" s="9"/>
      <c r="Y148" s="9"/>
      <c r="Z148" s="9"/>
    </row>
    <row r="149">
      <c r="A149" s="585"/>
      <c r="B149" s="585"/>
      <c r="C149" s="585"/>
      <c r="D149" s="585"/>
      <c r="E149" s="585"/>
      <c r="F149" s="585"/>
      <c r="G149" s="585"/>
      <c r="H149" s="585"/>
      <c r="I149" s="585"/>
      <c r="J149" s="585"/>
      <c r="K149" s="585"/>
      <c r="L149" s="585"/>
      <c r="M149" s="585"/>
      <c r="N149" s="585"/>
      <c r="O149" s="585"/>
      <c r="P149" s="585"/>
      <c r="Q149" s="585"/>
      <c r="R149" s="585"/>
      <c r="S149" s="585"/>
      <c r="T149" s="585"/>
      <c r="U149" s="585"/>
      <c r="V149" s="224"/>
      <c r="W149" s="224"/>
      <c r="X149" s="9"/>
      <c r="Y149" s="9"/>
      <c r="Z149" s="9"/>
    </row>
    <row r="150">
      <c r="A150" s="585"/>
      <c r="B150" s="585"/>
      <c r="C150" s="585"/>
      <c r="D150" s="585"/>
      <c r="E150" s="585"/>
      <c r="F150" s="585"/>
      <c r="G150" s="585"/>
      <c r="H150" s="585"/>
      <c r="I150" s="585"/>
      <c r="J150" s="585"/>
      <c r="K150" s="585"/>
      <c r="L150" s="585"/>
      <c r="M150" s="585"/>
      <c r="N150" s="585"/>
      <c r="O150" s="585"/>
      <c r="P150" s="585"/>
      <c r="Q150" s="585"/>
      <c r="R150" s="585"/>
      <c r="S150" s="585"/>
      <c r="T150" s="585"/>
      <c r="U150" s="585"/>
      <c r="V150" s="224"/>
      <c r="W150" s="224"/>
      <c r="X150" s="9"/>
      <c r="Y150" s="9"/>
      <c r="Z150" s="9"/>
    </row>
    <row r="151">
      <c r="A151" s="585"/>
      <c r="B151" s="585"/>
      <c r="C151" s="585"/>
      <c r="D151" s="585"/>
      <c r="E151" s="585"/>
      <c r="F151" s="585"/>
      <c r="G151" s="585"/>
      <c r="H151" s="585"/>
      <c r="I151" s="585"/>
      <c r="J151" s="585"/>
      <c r="K151" s="585"/>
      <c r="L151" s="585"/>
      <c r="M151" s="585"/>
      <c r="N151" s="585"/>
      <c r="O151" s="585"/>
      <c r="P151" s="585"/>
      <c r="Q151" s="585"/>
      <c r="R151" s="585"/>
      <c r="S151" s="585"/>
      <c r="T151" s="585"/>
      <c r="U151" s="585"/>
      <c r="V151" s="224"/>
      <c r="W151" s="224"/>
      <c r="X151" s="9"/>
      <c r="Y151" s="9"/>
      <c r="Z151" s="9"/>
    </row>
    <row r="152">
      <c r="A152" s="585"/>
      <c r="B152" s="585"/>
      <c r="C152" s="585"/>
      <c r="D152" s="585"/>
      <c r="E152" s="585"/>
      <c r="F152" s="585"/>
      <c r="G152" s="585"/>
      <c r="H152" s="585"/>
      <c r="I152" s="585"/>
      <c r="J152" s="585"/>
      <c r="K152" s="585"/>
      <c r="L152" s="585"/>
      <c r="M152" s="585"/>
      <c r="N152" s="585"/>
      <c r="O152" s="585"/>
      <c r="P152" s="585"/>
      <c r="Q152" s="585"/>
      <c r="R152" s="585"/>
      <c r="S152" s="585"/>
      <c r="T152" s="585"/>
      <c r="U152" s="585"/>
      <c r="V152" s="224"/>
      <c r="W152" s="224"/>
      <c r="X152" s="9"/>
      <c r="Y152" s="9"/>
      <c r="Z152" s="9"/>
    </row>
    <row r="153">
      <c r="A153" s="585"/>
      <c r="B153" s="585"/>
      <c r="C153" s="585"/>
      <c r="D153" s="585"/>
      <c r="E153" s="585"/>
      <c r="F153" s="585"/>
      <c r="G153" s="585"/>
      <c r="H153" s="585"/>
      <c r="I153" s="585"/>
      <c r="J153" s="585"/>
      <c r="K153" s="585"/>
      <c r="L153" s="585"/>
      <c r="M153" s="585"/>
      <c r="N153" s="585"/>
      <c r="O153" s="585"/>
      <c r="P153" s="585"/>
      <c r="Q153" s="585"/>
      <c r="R153" s="585"/>
      <c r="S153" s="585"/>
      <c r="T153" s="585"/>
      <c r="U153" s="585"/>
      <c r="V153" s="224"/>
      <c r="W153" s="224"/>
      <c r="X153" s="9"/>
      <c r="Y153" s="9"/>
      <c r="Z153" s="9"/>
    </row>
    <row r="154">
      <c r="A154" s="585"/>
      <c r="B154" s="585"/>
      <c r="C154" s="585"/>
      <c r="D154" s="585"/>
      <c r="E154" s="585"/>
      <c r="F154" s="585"/>
      <c r="G154" s="585"/>
      <c r="H154" s="585"/>
      <c r="I154" s="585"/>
      <c r="J154" s="585"/>
      <c r="K154" s="585"/>
      <c r="L154" s="585"/>
      <c r="M154" s="585"/>
      <c r="N154" s="585"/>
      <c r="O154" s="585"/>
      <c r="P154" s="585"/>
      <c r="Q154" s="585"/>
      <c r="R154" s="585"/>
      <c r="S154" s="585"/>
      <c r="T154" s="585"/>
      <c r="U154" s="585"/>
      <c r="V154" s="224"/>
      <c r="W154" s="224"/>
      <c r="X154" s="9"/>
      <c r="Y154" s="9"/>
      <c r="Z154" s="9"/>
    </row>
    <row r="155">
      <c r="A155" s="585"/>
      <c r="B155" s="585"/>
      <c r="C155" s="585"/>
      <c r="D155" s="585"/>
      <c r="E155" s="585"/>
      <c r="F155" s="585"/>
      <c r="G155" s="585"/>
      <c r="H155" s="585"/>
      <c r="I155" s="585"/>
      <c r="J155" s="585"/>
      <c r="K155" s="585"/>
      <c r="L155" s="585"/>
      <c r="M155" s="585"/>
      <c r="N155" s="585"/>
      <c r="O155" s="585"/>
      <c r="P155" s="585"/>
      <c r="Q155" s="585"/>
      <c r="R155" s="585"/>
      <c r="S155" s="585"/>
      <c r="T155" s="585"/>
      <c r="U155" s="585"/>
      <c r="V155" s="224"/>
      <c r="W155" s="224"/>
      <c r="X155" s="9"/>
      <c r="Y155" s="9"/>
      <c r="Z155" s="9"/>
    </row>
    <row r="156">
      <c r="A156" s="585"/>
      <c r="B156" s="585"/>
      <c r="C156" s="585"/>
      <c r="D156" s="585"/>
      <c r="E156" s="585"/>
      <c r="F156" s="585"/>
      <c r="G156" s="585"/>
      <c r="H156" s="585"/>
      <c r="I156" s="585"/>
      <c r="J156" s="585"/>
      <c r="K156" s="585"/>
      <c r="L156" s="585"/>
      <c r="M156" s="585"/>
      <c r="N156" s="585"/>
      <c r="O156" s="585"/>
      <c r="P156" s="585"/>
      <c r="Q156" s="585"/>
      <c r="R156" s="585"/>
      <c r="S156" s="585"/>
      <c r="T156" s="585"/>
      <c r="U156" s="585"/>
      <c r="V156" s="224"/>
      <c r="W156" s="224"/>
      <c r="X156" s="9"/>
      <c r="Y156" s="9"/>
      <c r="Z156" s="9"/>
    </row>
    <row r="157">
      <c r="A157" s="585"/>
      <c r="B157" s="585"/>
      <c r="C157" s="585"/>
      <c r="D157" s="585"/>
      <c r="E157" s="585"/>
      <c r="F157" s="585"/>
      <c r="G157" s="585"/>
      <c r="H157" s="585"/>
      <c r="I157" s="585"/>
      <c r="J157" s="585"/>
      <c r="K157" s="585"/>
      <c r="L157" s="585"/>
      <c r="M157" s="585"/>
      <c r="N157" s="585"/>
      <c r="O157" s="585"/>
      <c r="P157" s="585"/>
      <c r="Q157" s="585"/>
      <c r="R157" s="585"/>
      <c r="S157" s="585"/>
      <c r="T157" s="585"/>
      <c r="U157" s="585"/>
      <c r="V157" s="224"/>
      <c r="W157" s="224"/>
      <c r="X157" s="9"/>
      <c r="Y157" s="9"/>
      <c r="Z157" s="9"/>
    </row>
    <row r="158">
      <c r="A158" s="585"/>
      <c r="B158" s="585"/>
      <c r="C158" s="585"/>
      <c r="D158" s="585"/>
      <c r="E158" s="585"/>
      <c r="F158" s="585"/>
      <c r="G158" s="585"/>
      <c r="H158" s="585"/>
      <c r="I158" s="585"/>
      <c r="J158" s="585"/>
      <c r="K158" s="585"/>
      <c r="L158" s="585"/>
      <c r="M158" s="585"/>
      <c r="N158" s="585"/>
      <c r="O158" s="585"/>
      <c r="P158" s="585"/>
      <c r="Q158" s="585"/>
      <c r="R158" s="585"/>
      <c r="S158" s="585"/>
      <c r="T158" s="585"/>
      <c r="U158" s="585"/>
      <c r="V158" s="224"/>
      <c r="W158" s="224"/>
      <c r="X158" s="9"/>
      <c r="Y158" s="9"/>
      <c r="Z158" s="9"/>
    </row>
    <row r="159">
      <c r="A159" s="585"/>
      <c r="B159" s="585"/>
      <c r="C159" s="585"/>
      <c r="D159" s="585"/>
      <c r="E159" s="585"/>
      <c r="F159" s="585"/>
      <c r="G159" s="585"/>
      <c r="H159" s="585"/>
      <c r="I159" s="585"/>
      <c r="J159" s="585"/>
      <c r="K159" s="585"/>
      <c r="L159" s="585"/>
      <c r="M159" s="585"/>
      <c r="N159" s="585"/>
      <c r="O159" s="585"/>
      <c r="P159" s="585"/>
      <c r="Q159" s="585"/>
      <c r="R159" s="585"/>
      <c r="S159" s="585"/>
      <c r="T159" s="585"/>
      <c r="U159" s="585"/>
      <c r="V159" s="224"/>
      <c r="W159" s="224"/>
      <c r="X159" s="9"/>
      <c r="Y159" s="9"/>
      <c r="Z159" s="9"/>
    </row>
    <row r="160">
      <c r="A160" s="585"/>
      <c r="B160" s="585"/>
      <c r="C160" s="585"/>
      <c r="D160" s="585"/>
      <c r="E160" s="585"/>
      <c r="F160" s="585"/>
      <c r="G160" s="585"/>
      <c r="H160" s="585"/>
      <c r="I160" s="585"/>
      <c r="J160" s="585"/>
      <c r="K160" s="585"/>
      <c r="L160" s="585"/>
      <c r="M160" s="585"/>
      <c r="N160" s="585"/>
      <c r="O160" s="585"/>
      <c r="P160" s="585"/>
      <c r="Q160" s="585"/>
      <c r="R160" s="585"/>
      <c r="S160" s="585"/>
      <c r="T160" s="585"/>
      <c r="U160" s="585"/>
      <c r="V160" s="224"/>
      <c r="W160" s="224"/>
      <c r="X160" s="9"/>
      <c r="Y160" s="9"/>
      <c r="Z160" s="9"/>
    </row>
    <row r="161">
      <c r="A161" s="585"/>
      <c r="B161" s="585"/>
      <c r="C161" s="585"/>
      <c r="D161" s="585"/>
      <c r="E161" s="585"/>
      <c r="F161" s="585"/>
      <c r="G161" s="585"/>
      <c r="H161" s="585"/>
      <c r="I161" s="585"/>
      <c r="J161" s="585"/>
      <c r="K161" s="585"/>
      <c r="L161" s="585"/>
      <c r="M161" s="585"/>
      <c r="N161" s="585"/>
      <c r="O161" s="585"/>
      <c r="P161" s="585"/>
      <c r="Q161" s="585"/>
      <c r="R161" s="585"/>
      <c r="S161" s="585"/>
      <c r="T161" s="585"/>
      <c r="U161" s="585"/>
      <c r="V161" s="224"/>
      <c r="W161" s="224"/>
      <c r="X161" s="9"/>
      <c r="Y161" s="9"/>
      <c r="Z161" s="9"/>
    </row>
    <row r="162">
      <c r="A162" s="585"/>
      <c r="B162" s="585"/>
      <c r="C162" s="585"/>
      <c r="D162" s="585"/>
      <c r="E162" s="585"/>
      <c r="F162" s="585"/>
      <c r="G162" s="585"/>
      <c r="H162" s="585"/>
      <c r="I162" s="585"/>
      <c r="J162" s="585"/>
      <c r="K162" s="585"/>
      <c r="L162" s="585"/>
      <c r="M162" s="585"/>
      <c r="N162" s="585"/>
      <c r="O162" s="585"/>
      <c r="P162" s="585"/>
      <c r="Q162" s="585"/>
      <c r="R162" s="585"/>
      <c r="S162" s="585"/>
      <c r="T162" s="585"/>
      <c r="U162" s="585"/>
      <c r="V162" s="224"/>
      <c r="W162" s="224"/>
      <c r="X162" s="9"/>
      <c r="Y162" s="9"/>
      <c r="Z162" s="9"/>
    </row>
    <row r="163">
      <c r="A163" s="585"/>
      <c r="B163" s="585"/>
      <c r="C163" s="585"/>
      <c r="D163" s="585"/>
      <c r="E163" s="585"/>
      <c r="F163" s="585"/>
      <c r="G163" s="585"/>
      <c r="H163" s="585"/>
      <c r="I163" s="585"/>
      <c r="J163" s="585"/>
      <c r="K163" s="585"/>
      <c r="L163" s="585"/>
      <c r="M163" s="585"/>
      <c r="N163" s="585"/>
      <c r="O163" s="585"/>
      <c r="P163" s="585"/>
      <c r="Q163" s="585"/>
      <c r="R163" s="585"/>
      <c r="S163" s="585"/>
      <c r="T163" s="585"/>
      <c r="U163" s="585"/>
      <c r="V163" s="224"/>
      <c r="W163" s="224"/>
      <c r="X163" s="9"/>
      <c r="Y163" s="9"/>
      <c r="Z163" s="9"/>
    </row>
    <row r="164">
      <c r="A164" s="585"/>
      <c r="B164" s="585"/>
      <c r="C164" s="585"/>
      <c r="D164" s="585"/>
      <c r="E164" s="585"/>
      <c r="F164" s="585"/>
      <c r="G164" s="585"/>
      <c r="H164" s="585"/>
      <c r="I164" s="585"/>
      <c r="J164" s="585"/>
      <c r="K164" s="585"/>
      <c r="L164" s="585"/>
      <c r="M164" s="585"/>
      <c r="N164" s="585"/>
      <c r="O164" s="585"/>
      <c r="P164" s="585"/>
      <c r="Q164" s="585"/>
      <c r="R164" s="585"/>
      <c r="S164" s="585"/>
      <c r="T164" s="585"/>
      <c r="U164" s="585"/>
      <c r="V164" s="224"/>
      <c r="W164" s="224"/>
      <c r="X164" s="9"/>
      <c r="Y164" s="9"/>
      <c r="Z164" s="9"/>
    </row>
    <row r="165">
      <c r="A165" s="585"/>
      <c r="B165" s="585"/>
      <c r="C165" s="585"/>
      <c r="D165" s="585"/>
      <c r="E165" s="585"/>
      <c r="F165" s="585"/>
      <c r="G165" s="585"/>
      <c r="H165" s="585"/>
      <c r="I165" s="585"/>
      <c r="J165" s="585"/>
      <c r="K165" s="585"/>
      <c r="L165" s="585"/>
      <c r="M165" s="585"/>
      <c r="N165" s="585"/>
      <c r="O165" s="585"/>
      <c r="P165" s="585"/>
      <c r="Q165" s="585"/>
      <c r="R165" s="585"/>
      <c r="S165" s="585"/>
      <c r="T165" s="585"/>
      <c r="U165" s="585"/>
      <c r="V165" s="224"/>
      <c r="W165" s="224"/>
      <c r="X165" s="9"/>
      <c r="Y165" s="9"/>
      <c r="Z165" s="9"/>
    </row>
    <row r="166">
      <c r="A166" s="585"/>
      <c r="B166" s="585"/>
      <c r="C166" s="585"/>
      <c r="D166" s="585"/>
      <c r="E166" s="585"/>
      <c r="F166" s="585"/>
      <c r="G166" s="585"/>
      <c r="H166" s="585"/>
      <c r="I166" s="585"/>
      <c r="J166" s="585"/>
      <c r="K166" s="585"/>
      <c r="L166" s="585"/>
      <c r="M166" s="585"/>
      <c r="N166" s="585"/>
      <c r="O166" s="585"/>
      <c r="P166" s="585"/>
      <c r="Q166" s="585"/>
      <c r="R166" s="585"/>
      <c r="S166" s="585"/>
      <c r="T166" s="585"/>
      <c r="U166" s="585"/>
      <c r="V166" s="224"/>
      <c r="W166" s="224"/>
      <c r="X166" s="9"/>
      <c r="Y166" s="9"/>
      <c r="Z166" s="9"/>
    </row>
    <row r="167">
      <c r="A167" s="585"/>
      <c r="B167" s="585"/>
      <c r="C167" s="585"/>
      <c r="D167" s="585"/>
      <c r="E167" s="585"/>
      <c r="F167" s="585"/>
      <c r="G167" s="585"/>
      <c r="H167" s="585"/>
      <c r="I167" s="585"/>
      <c r="J167" s="585"/>
      <c r="K167" s="585"/>
      <c r="L167" s="585"/>
      <c r="M167" s="585"/>
      <c r="N167" s="585"/>
      <c r="O167" s="585"/>
      <c r="P167" s="585"/>
      <c r="Q167" s="585"/>
      <c r="R167" s="585"/>
      <c r="S167" s="585"/>
      <c r="T167" s="585"/>
      <c r="U167" s="585"/>
      <c r="V167" s="224"/>
      <c r="W167" s="224"/>
      <c r="X167" s="9"/>
      <c r="Y167" s="9"/>
      <c r="Z167" s="9"/>
    </row>
    <row r="168">
      <c r="A168" s="585"/>
      <c r="B168" s="585"/>
      <c r="C168" s="585"/>
      <c r="D168" s="585"/>
      <c r="E168" s="585"/>
      <c r="F168" s="585"/>
      <c r="G168" s="585"/>
      <c r="H168" s="585"/>
      <c r="I168" s="585"/>
      <c r="J168" s="585"/>
      <c r="K168" s="585"/>
      <c r="L168" s="585"/>
      <c r="M168" s="585"/>
      <c r="N168" s="585"/>
      <c r="O168" s="585"/>
      <c r="P168" s="585"/>
      <c r="Q168" s="585"/>
      <c r="R168" s="585"/>
      <c r="S168" s="585"/>
      <c r="T168" s="585"/>
      <c r="U168" s="585"/>
      <c r="V168" s="224"/>
      <c r="W168" s="224"/>
      <c r="X168" s="9"/>
      <c r="Y168" s="9"/>
      <c r="Z168" s="9"/>
    </row>
    <row r="169">
      <c r="A169" s="585"/>
      <c r="B169" s="585"/>
      <c r="C169" s="585"/>
      <c r="D169" s="585"/>
      <c r="E169" s="585"/>
      <c r="F169" s="585"/>
      <c r="G169" s="585"/>
      <c r="H169" s="585"/>
      <c r="I169" s="585"/>
      <c r="J169" s="585"/>
      <c r="K169" s="585"/>
      <c r="L169" s="585"/>
      <c r="M169" s="585"/>
      <c r="N169" s="585"/>
      <c r="O169" s="585"/>
      <c r="P169" s="585"/>
      <c r="Q169" s="585"/>
      <c r="R169" s="585"/>
      <c r="S169" s="585"/>
      <c r="T169" s="585"/>
      <c r="U169" s="585"/>
      <c r="V169" s="224"/>
      <c r="W169" s="224"/>
      <c r="X169" s="9"/>
      <c r="Y169" s="9"/>
      <c r="Z169" s="9"/>
    </row>
    <row r="170">
      <c r="A170" s="585"/>
      <c r="B170" s="585"/>
      <c r="C170" s="585"/>
      <c r="D170" s="585"/>
      <c r="E170" s="585"/>
      <c r="F170" s="585"/>
      <c r="G170" s="585"/>
      <c r="H170" s="585"/>
      <c r="I170" s="585"/>
      <c r="J170" s="585"/>
      <c r="K170" s="585"/>
      <c r="L170" s="585"/>
      <c r="M170" s="585"/>
      <c r="N170" s="585"/>
      <c r="O170" s="585"/>
      <c r="P170" s="585"/>
      <c r="Q170" s="585"/>
      <c r="R170" s="585"/>
      <c r="S170" s="585"/>
      <c r="T170" s="585"/>
      <c r="U170" s="585"/>
      <c r="V170" s="224"/>
      <c r="W170" s="224"/>
      <c r="X170" s="9"/>
      <c r="Y170" s="9"/>
      <c r="Z170" s="9"/>
    </row>
    <row r="171">
      <c r="A171" s="585"/>
      <c r="B171" s="585"/>
      <c r="C171" s="585"/>
      <c r="D171" s="585"/>
      <c r="E171" s="585"/>
      <c r="F171" s="585"/>
      <c r="G171" s="585"/>
      <c r="H171" s="585"/>
      <c r="I171" s="585"/>
      <c r="J171" s="585"/>
      <c r="K171" s="585"/>
      <c r="L171" s="585"/>
      <c r="M171" s="585"/>
      <c r="N171" s="585"/>
      <c r="O171" s="585"/>
      <c r="P171" s="585"/>
      <c r="Q171" s="585"/>
      <c r="R171" s="585"/>
      <c r="S171" s="585"/>
      <c r="T171" s="585"/>
      <c r="U171" s="585"/>
      <c r="V171" s="224"/>
      <c r="W171" s="224"/>
      <c r="X171" s="9"/>
      <c r="Y171" s="9"/>
      <c r="Z171" s="9"/>
    </row>
    <row r="172">
      <c r="A172" s="585"/>
      <c r="B172" s="585"/>
      <c r="C172" s="585"/>
      <c r="D172" s="585"/>
      <c r="E172" s="585"/>
      <c r="F172" s="585"/>
      <c r="G172" s="585"/>
      <c r="H172" s="585"/>
      <c r="I172" s="585"/>
      <c r="J172" s="585"/>
      <c r="K172" s="585"/>
      <c r="L172" s="585"/>
      <c r="M172" s="585"/>
      <c r="N172" s="585"/>
      <c r="O172" s="585"/>
      <c r="P172" s="585"/>
      <c r="Q172" s="585"/>
      <c r="R172" s="585"/>
      <c r="S172" s="585"/>
      <c r="T172" s="585"/>
      <c r="U172" s="585"/>
      <c r="V172" s="224"/>
      <c r="W172" s="224"/>
      <c r="X172" s="9"/>
      <c r="Y172" s="9"/>
      <c r="Z172" s="9"/>
    </row>
    <row r="173">
      <c r="A173" s="585"/>
      <c r="B173" s="585"/>
      <c r="C173" s="585"/>
      <c r="D173" s="585"/>
      <c r="E173" s="585"/>
      <c r="F173" s="585"/>
      <c r="G173" s="585"/>
      <c r="H173" s="585"/>
      <c r="I173" s="585"/>
      <c r="J173" s="585"/>
      <c r="K173" s="585"/>
      <c r="L173" s="585"/>
      <c r="M173" s="585"/>
      <c r="N173" s="585"/>
      <c r="O173" s="585"/>
      <c r="P173" s="585"/>
      <c r="Q173" s="585"/>
      <c r="R173" s="585"/>
      <c r="S173" s="585"/>
      <c r="T173" s="585"/>
      <c r="U173" s="585"/>
      <c r="V173" s="224"/>
      <c r="W173" s="224"/>
      <c r="X173" s="9"/>
      <c r="Y173" s="9"/>
      <c r="Z173" s="9"/>
    </row>
    <row r="174">
      <c r="A174" s="585"/>
      <c r="B174" s="585"/>
      <c r="C174" s="585"/>
      <c r="D174" s="585"/>
      <c r="E174" s="585"/>
      <c r="F174" s="585"/>
      <c r="G174" s="585"/>
      <c r="H174" s="585"/>
      <c r="I174" s="585"/>
      <c r="J174" s="585"/>
      <c r="K174" s="585"/>
      <c r="L174" s="585"/>
      <c r="M174" s="585"/>
      <c r="N174" s="585"/>
      <c r="O174" s="585"/>
      <c r="P174" s="585"/>
      <c r="Q174" s="585"/>
      <c r="R174" s="585"/>
      <c r="S174" s="585"/>
      <c r="T174" s="585"/>
      <c r="U174" s="585"/>
      <c r="V174" s="224"/>
      <c r="W174" s="224"/>
      <c r="X174" s="9"/>
      <c r="Y174" s="9"/>
      <c r="Z174" s="9"/>
    </row>
    <row r="175">
      <c r="A175" s="585"/>
      <c r="B175" s="585"/>
      <c r="C175" s="585"/>
      <c r="D175" s="585"/>
      <c r="E175" s="585"/>
      <c r="F175" s="585"/>
      <c r="G175" s="585"/>
      <c r="H175" s="585"/>
      <c r="I175" s="585"/>
      <c r="J175" s="585"/>
      <c r="K175" s="585"/>
      <c r="L175" s="585"/>
      <c r="M175" s="585"/>
      <c r="N175" s="585"/>
      <c r="O175" s="585"/>
      <c r="P175" s="585"/>
      <c r="Q175" s="585"/>
      <c r="R175" s="585"/>
      <c r="S175" s="585"/>
      <c r="T175" s="585"/>
      <c r="U175" s="585"/>
      <c r="V175" s="224"/>
      <c r="W175" s="224"/>
      <c r="X175" s="9"/>
      <c r="Y175" s="9"/>
      <c r="Z175" s="9"/>
    </row>
    <row r="176">
      <c r="A176" s="585"/>
      <c r="B176" s="585"/>
      <c r="C176" s="585"/>
      <c r="D176" s="585"/>
      <c r="E176" s="585"/>
      <c r="F176" s="585"/>
      <c r="G176" s="585"/>
      <c r="H176" s="585"/>
      <c r="I176" s="585"/>
      <c r="J176" s="585"/>
      <c r="K176" s="585"/>
      <c r="L176" s="585"/>
      <c r="M176" s="585"/>
      <c r="N176" s="585"/>
      <c r="O176" s="585"/>
      <c r="P176" s="585"/>
      <c r="Q176" s="585"/>
      <c r="R176" s="585"/>
      <c r="S176" s="585"/>
      <c r="T176" s="585"/>
      <c r="U176" s="585"/>
      <c r="V176" s="224"/>
      <c r="W176" s="224"/>
      <c r="X176" s="9"/>
      <c r="Y176" s="9"/>
      <c r="Z176" s="9"/>
    </row>
    <row r="177">
      <c r="A177" s="585"/>
      <c r="B177" s="585"/>
      <c r="C177" s="585"/>
      <c r="D177" s="585"/>
      <c r="E177" s="585"/>
      <c r="F177" s="585"/>
      <c r="G177" s="585"/>
      <c r="H177" s="585"/>
      <c r="I177" s="585"/>
      <c r="J177" s="585"/>
      <c r="K177" s="585"/>
      <c r="L177" s="585"/>
      <c r="M177" s="585"/>
      <c r="N177" s="585"/>
      <c r="O177" s="585"/>
      <c r="P177" s="585"/>
      <c r="Q177" s="585"/>
      <c r="R177" s="585"/>
      <c r="S177" s="585"/>
      <c r="T177" s="585"/>
      <c r="U177" s="585"/>
      <c r="V177" s="224"/>
      <c r="W177" s="224"/>
      <c r="X177" s="9"/>
      <c r="Y177" s="9"/>
      <c r="Z177" s="9"/>
    </row>
    <row r="178">
      <c r="A178" s="585"/>
      <c r="B178" s="585"/>
      <c r="C178" s="585"/>
      <c r="D178" s="585"/>
      <c r="E178" s="585"/>
      <c r="F178" s="585"/>
      <c r="G178" s="585"/>
      <c r="H178" s="585"/>
      <c r="I178" s="585"/>
      <c r="J178" s="585"/>
      <c r="K178" s="585"/>
      <c r="L178" s="585"/>
      <c r="M178" s="585"/>
      <c r="N178" s="585"/>
      <c r="O178" s="585"/>
      <c r="P178" s="585"/>
      <c r="Q178" s="585"/>
      <c r="R178" s="585"/>
      <c r="S178" s="585"/>
      <c r="T178" s="585"/>
      <c r="U178" s="585"/>
      <c r="V178" s="224"/>
      <c r="W178" s="224"/>
      <c r="X178" s="9"/>
      <c r="Y178" s="9"/>
      <c r="Z178" s="9"/>
    </row>
    <row r="179">
      <c r="A179" s="585"/>
      <c r="B179" s="585"/>
      <c r="C179" s="585"/>
      <c r="D179" s="585"/>
      <c r="E179" s="585"/>
      <c r="F179" s="585"/>
      <c r="G179" s="585"/>
      <c r="H179" s="585"/>
      <c r="I179" s="585"/>
      <c r="J179" s="585"/>
      <c r="K179" s="585"/>
      <c r="L179" s="585"/>
      <c r="M179" s="585"/>
      <c r="N179" s="585"/>
      <c r="O179" s="585"/>
      <c r="P179" s="585"/>
      <c r="Q179" s="585"/>
      <c r="R179" s="585"/>
      <c r="S179" s="585"/>
      <c r="T179" s="585"/>
      <c r="U179" s="585"/>
      <c r="V179" s="224"/>
      <c r="W179" s="224"/>
      <c r="X179" s="9"/>
      <c r="Y179" s="9"/>
      <c r="Z179" s="9"/>
    </row>
    <row r="180">
      <c r="A180" s="585"/>
      <c r="B180" s="585"/>
      <c r="C180" s="585"/>
      <c r="D180" s="585"/>
      <c r="E180" s="585"/>
      <c r="F180" s="585"/>
      <c r="G180" s="585"/>
      <c r="H180" s="585"/>
      <c r="I180" s="585"/>
      <c r="J180" s="585"/>
      <c r="K180" s="585"/>
      <c r="L180" s="585"/>
      <c r="M180" s="585"/>
      <c r="N180" s="585"/>
      <c r="O180" s="585"/>
      <c r="P180" s="585"/>
      <c r="Q180" s="585"/>
      <c r="R180" s="585"/>
      <c r="S180" s="585"/>
      <c r="T180" s="585"/>
      <c r="U180" s="585"/>
      <c r="V180" s="224"/>
      <c r="W180" s="224"/>
      <c r="X180" s="9"/>
      <c r="Y180" s="9"/>
      <c r="Z180" s="9"/>
    </row>
    <row r="181">
      <c r="A181" s="585"/>
      <c r="B181" s="585"/>
      <c r="C181" s="585"/>
      <c r="D181" s="585"/>
      <c r="E181" s="585"/>
      <c r="F181" s="585"/>
      <c r="G181" s="585"/>
      <c r="H181" s="585"/>
      <c r="I181" s="585"/>
      <c r="J181" s="585"/>
      <c r="K181" s="585"/>
      <c r="L181" s="585"/>
      <c r="M181" s="585"/>
      <c r="N181" s="585"/>
      <c r="O181" s="585"/>
      <c r="P181" s="585"/>
      <c r="Q181" s="585"/>
      <c r="R181" s="585"/>
      <c r="S181" s="585"/>
      <c r="T181" s="585"/>
      <c r="U181" s="585"/>
      <c r="V181" s="224"/>
      <c r="W181" s="224"/>
      <c r="X181" s="9"/>
      <c r="Y181" s="9"/>
      <c r="Z181" s="9"/>
    </row>
    <row r="182">
      <c r="A182" s="585"/>
      <c r="B182" s="585"/>
      <c r="C182" s="585"/>
      <c r="D182" s="585"/>
      <c r="E182" s="585"/>
      <c r="F182" s="585"/>
      <c r="G182" s="585"/>
      <c r="H182" s="585"/>
      <c r="I182" s="585"/>
      <c r="J182" s="585"/>
      <c r="K182" s="585"/>
      <c r="L182" s="585"/>
      <c r="M182" s="585"/>
      <c r="N182" s="585"/>
      <c r="O182" s="585"/>
      <c r="P182" s="585"/>
      <c r="Q182" s="585"/>
      <c r="R182" s="585"/>
      <c r="S182" s="585"/>
      <c r="T182" s="585"/>
      <c r="U182" s="585"/>
      <c r="V182" s="224"/>
      <c r="W182" s="224"/>
      <c r="X182" s="9"/>
      <c r="Y182" s="9"/>
      <c r="Z182" s="9"/>
    </row>
    <row r="183">
      <c r="A183" s="585"/>
      <c r="B183" s="585"/>
      <c r="C183" s="585"/>
      <c r="D183" s="585"/>
      <c r="E183" s="585"/>
      <c r="F183" s="585"/>
      <c r="G183" s="585"/>
      <c r="H183" s="585"/>
      <c r="I183" s="585"/>
      <c r="J183" s="585"/>
      <c r="K183" s="585"/>
      <c r="L183" s="585"/>
      <c r="M183" s="585"/>
      <c r="N183" s="585"/>
      <c r="O183" s="585"/>
      <c r="P183" s="585"/>
      <c r="Q183" s="585"/>
      <c r="R183" s="585"/>
      <c r="S183" s="585"/>
      <c r="T183" s="585"/>
      <c r="U183" s="585"/>
      <c r="V183" s="224"/>
      <c r="W183" s="224"/>
      <c r="X183" s="9"/>
      <c r="Y183" s="9"/>
      <c r="Z183" s="9"/>
    </row>
    <row r="184">
      <c r="A184" s="585"/>
      <c r="B184" s="585"/>
      <c r="C184" s="585"/>
      <c r="D184" s="585"/>
      <c r="E184" s="585"/>
      <c r="F184" s="585"/>
      <c r="G184" s="585"/>
      <c r="H184" s="585"/>
      <c r="I184" s="585"/>
      <c r="J184" s="585"/>
      <c r="K184" s="585"/>
      <c r="L184" s="585"/>
      <c r="M184" s="585"/>
      <c r="N184" s="585"/>
      <c r="O184" s="585"/>
      <c r="P184" s="585"/>
      <c r="Q184" s="585"/>
      <c r="R184" s="585"/>
      <c r="S184" s="585"/>
      <c r="T184" s="585"/>
      <c r="U184" s="585"/>
      <c r="V184" s="224"/>
      <c r="W184" s="224"/>
      <c r="X184" s="9"/>
      <c r="Y184" s="9"/>
      <c r="Z184" s="9"/>
    </row>
    <row r="185">
      <c r="A185" s="585"/>
      <c r="B185" s="585"/>
      <c r="C185" s="585"/>
      <c r="D185" s="585"/>
      <c r="E185" s="585"/>
      <c r="F185" s="585"/>
      <c r="G185" s="585"/>
      <c r="H185" s="585"/>
      <c r="I185" s="585"/>
      <c r="J185" s="585"/>
      <c r="K185" s="585"/>
      <c r="L185" s="585"/>
      <c r="M185" s="585"/>
      <c r="N185" s="585"/>
      <c r="O185" s="585"/>
      <c r="P185" s="585"/>
      <c r="Q185" s="585"/>
      <c r="R185" s="585"/>
      <c r="S185" s="585"/>
      <c r="T185" s="585"/>
      <c r="U185" s="585"/>
      <c r="V185" s="224"/>
      <c r="W185" s="224"/>
      <c r="X185" s="9"/>
      <c r="Y185" s="9"/>
      <c r="Z185" s="9"/>
    </row>
    <row r="186">
      <c r="A186" s="585"/>
      <c r="B186" s="585"/>
      <c r="C186" s="585"/>
      <c r="D186" s="585"/>
      <c r="E186" s="585"/>
      <c r="F186" s="585"/>
      <c r="G186" s="585"/>
      <c r="H186" s="585"/>
      <c r="I186" s="585"/>
      <c r="J186" s="585"/>
      <c r="K186" s="585"/>
      <c r="L186" s="585"/>
      <c r="M186" s="585"/>
      <c r="N186" s="585"/>
      <c r="O186" s="585"/>
      <c r="P186" s="585"/>
      <c r="Q186" s="585"/>
      <c r="R186" s="585"/>
      <c r="S186" s="585"/>
      <c r="T186" s="585"/>
      <c r="U186" s="585"/>
      <c r="V186" s="224"/>
      <c r="W186" s="224"/>
      <c r="X186" s="9"/>
      <c r="Y186" s="9"/>
      <c r="Z186" s="9"/>
    </row>
    <row r="187">
      <c r="A187" s="585"/>
      <c r="B187" s="585"/>
      <c r="C187" s="585"/>
      <c r="D187" s="585"/>
      <c r="E187" s="585"/>
      <c r="F187" s="585"/>
      <c r="G187" s="585"/>
      <c r="H187" s="585"/>
      <c r="I187" s="585"/>
      <c r="J187" s="585"/>
      <c r="K187" s="585"/>
      <c r="L187" s="585"/>
      <c r="M187" s="585"/>
      <c r="N187" s="585"/>
      <c r="O187" s="585"/>
      <c r="P187" s="585"/>
      <c r="Q187" s="585"/>
      <c r="R187" s="585"/>
      <c r="S187" s="585"/>
      <c r="T187" s="585"/>
      <c r="U187" s="585"/>
      <c r="V187" s="224"/>
      <c r="W187" s="224"/>
      <c r="X187" s="9"/>
      <c r="Y187" s="9"/>
      <c r="Z187" s="9"/>
    </row>
    <row r="188">
      <c r="A188" s="585"/>
      <c r="B188" s="585"/>
      <c r="C188" s="585"/>
      <c r="D188" s="585"/>
      <c r="E188" s="585"/>
      <c r="F188" s="585"/>
      <c r="G188" s="585"/>
      <c r="H188" s="585"/>
      <c r="I188" s="585"/>
      <c r="J188" s="585"/>
      <c r="K188" s="585"/>
      <c r="L188" s="585"/>
      <c r="M188" s="585"/>
      <c r="N188" s="585"/>
      <c r="O188" s="585"/>
      <c r="P188" s="585"/>
      <c r="Q188" s="585"/>
      <c r="R188" s="585"/>
      <c r="S188" s="585"/>
      <c r="T188" s="585"/>
      <c r="U188" s="585"/>
      <c r="V188" s="224"/>
      <c r="W188" s="224"/>
      <c r="X188" s="9"/>
      <c r="Y188" s="9"/>
      <c r="Z188" s="9"/>
    </row>
    <row r="189">
      <c r="A189" s="585"/>
      <c r="B189" s="585"/>
      <c r="C189" s="585"/>
      <c r="D189" s="585"/>
      <c r="E189" s="585"/>
      <c r="F189" s="585"/>
      <c r="G189" s="585"/>
      <c r="H189" s="585"/>
      <c r="I189" s="585"/>
      <c r="J189" s="585"/>
      <c r="K189" s="585"/>
      <c r="L189" s="585"/>
      <c r="M189" s="585"/>
      <c r="N189" s="585"/>
      <c r="O189" s="585"/>
      <c r="P189" s="585"/>
      <c r="Q189" s="585"/>
      <c r="R189" s="585"/>
      <c r="S189" s="585"/>
      <c r="T189" s="585"/>
      <c r="U189" s="585"/>
      <c r="V189" s="224"/>
      <c r="W189" s="224"/>
      <c r="X189" s="9"/>
      <c r="Y189" s="9"/>
      <c r="Z189" s="9"/>
    </row>
    <row r="190">
      <c r="A190" s="585"/>
      <c r="B190" s="585"/>
      <c r="C190" s="585"/>
      <c r="D190" s="585"/>
      <c r="E190" s="585"/>
      <c r="F190" s="585"/>
      <c r="G190" s="585"/>
      <c r="H190" s="585"/>
      <c r="I190" s="585"/>
      <c r="J190" s="585"/>
      <c r="K190" s="585"/>
      <c r="L190" s="585"/>
      <c r="M190" s="585"/>
      <c r="N190" s="585"/>
      <c r="O190" s="585"/>
      <c r="P190" s="585"/>
      <c r="Q190" s="585"/>
      <c r="R190" s="585"/>
      <c r="S190" s="585"/>
      <c r="T190" s="585"/>
      <c r="U190" s="585"/>
      <c r="V190" s="224"/>
      <c r="W190" s="224"/>
      <c r="X190" s="9"/>
      <c r="Y190" s="9"/>
      <c r="Z190" s="9"/>
    </row>
    <row r="191">
      <c r="A191" s="585"/>
      <c r="B191" s="585"/>
      <c r="C191" s="585"/>
      <c r="D191" s="585"/>
      <c r="E191" s="585"/>
      <c r="F191" s="585"/>
      <c r="G191" s="585"/>
      <c r="H191" s="585"/>
      <c r="I191" s="585"/>
      <c r="J191" s="585"/>
      <c r="K191" s="585"/>
      <c r="L191" s="585"/>
      <c r="M191" s="585"/>
      <c r="N191" s="585"/>
      <c r="O191" s="585"/>
      <c r="P191" s="585"/>
      <c r="Q191" s="585"/>
      <c r="R191" s="585"/>
      <c r="S191" s="585"/>
      <c r="T191" s="585"/>
      <c r="U191" s="585"/>
      <c r="V191" s="224"/>
      <c r="W191" s="224"/>
      <c r="X191" s="9"/>
      <c r="Y191" s="9"/>
      <c r="Z191" s="9"/>
    </row>
    <row r="192">
      <c r="A192" s="585"/>
      <c r="B192" s="585"/>
      <c r="C192" s="585"/>
      <c r="D192" s="585"/>
      <c r="E192" s="585"/>
      <c r="F192" s="585"/>
      <c r="G192" s="585"/>
      <c r="H192" s="585"/>
      <c r="I192" s="585"/>
      <c r="J192" s="585"/>
      <c r="K192" s="585"/>
      <c r="L192" s="585"/>
      <c r="M192" s="585"/>
      <c r="N192" s="585"/>
      <c r="O192" s="585"/>
      <c r="P192" s="585"/>
      <c r="Q192" s="585"/>
      <c r="R192" s="585"/>
      <c r="S192" s="585"/>
      <c r="T192" s="585"/>
      <c r="U192" s="585"/>
      <c r="V192" s="224"/>
      <c r="W192" s="224"/>
      <c r="X192" s="9"/>
      <c r="Y192" s="9"/>
      <c r="Z192" s="9"/>
    </row>
    <row r="193">
      <c r="A193" s="585"/>
      <c r="B193" s="585"/>
      <c r="C193" s="585"/>
      <c r="D193" s="585"/>
      <c r="E193" s="585"/>
      <c r="F193" s="585"/>
      <c r="G193" s="585"/>
      <c r="H193" s="585"/>
      <c r="I193" s="585"/>
      <c r="J193" s="585"/>
      <c r="K193" s="585"/>
      <c r="L193" s="585"/>
      <c r="M193" s="585"/>
      <c r="N193" s="585"/>
      <c r="O193" s="585"/>
      <c r="P193" s="585"/>
      <c r="Q193" s="585"/>
      <c r="R193" s="585"/>
      <c r="S193" s="585"/>
      <c r="T193" s="585"/>
      <c r="U193" s="585"/>
      <c r="V193" s="224"/>
      <c r="W193" s="224"/>
      <c r="X193" s="9"/>
      <c r="Y193" s="9"/>
      <c r="Z193" s="9"/>
    </row>
    <row r="194">
      <c r="A194" s="585"/>
      <c r="B194" s="585"/>
      <c r="C194" s="585"/>
      <c r="D194" s="585"/>
      <c r="E194" s="585"/>
      <c r="F194" s="585"/>
      <c r="G194" s="585"/>
      <c r="H194" s="585"/>
      <c r="I194" s="585"/>
      <c r="J194" s="585"/>
      <c r="K194" s="585"/>
      <c r="L194" s="585"/>
      <c r="M194" s="585"/>
      <c r="N194" s="585"/>
      <c r="O194" s="585"/>
      <c r="P194" s="585"/>
      <c r="Q194" s="585"/>
      <c r="R194" s="585"/>
      <c r="S194" s="585"/>
      <c r="T194" s="585"/>
      <c r="U194" s="585"/>
      <c r="V194" s="224"/>
      <c r="W194" s="224"/>
      <c r="X194" s="9"/>
      <c r="Y194" s="9"/>
      <c r="Z194" s="9"/>
    </row>
    <row r="195">
      <c r="A195" s="585"/>
      <c r="B195" s="585"/>
      <c r="C195" s="585"/>
      <c r="D195" s="585"/>
      <c r="E195" s="585"/>
      <c r="F195" s="585"/>
      <c r="G195" s="585"/>
      <c r="H195" s="585"/>
      <c r="I195" s="585"/>
      <c r="J195" s="585"/>
      <c r="K195" s="585"/>
      <c r="L195" s="585"/>
      <c r="M195" s="585"/>
      <c r="N195" s="585"/>
      <c r="O195" s="585"/>
      <c r="P195" s="585"/>
      <c r="Q195" s="585"/>
      <c r="R195" s="585"/>
      <c r="S195" s="585"/>
      <c r="T195" s="585"/>
      <c r="U195" s="585"/>
      <c r="V195" s="224"/>
      <c r="W195" s="224"/>
      <c r="X195" s="9"/>
      <c r="Y195" s="9"/>
      <c r="Z195" s="9"/>
    </row>
    <row r="196">
      <c r="A196" s="585"/>
      <c r="B196" s="585"/>
      <c r="C196" s="585"/>
      <c r="D196" s="585"/>
      <c r="E196" s="585"/>
      <c r="F196" s="585"/>
      <c r="G196" s="585"/>
      <c r="H196" s="585"/>
      <c r="I196" s="585"/>
      <c r="J196" s="585"/>
      <c r="K196" s="585"/>
      <c r="L196" s="585"/>
      <c r="M196" s="585"/>
      <c r="N196" s="585"/>
      <c r="O196" s="585"/>
      <c r="P196" s="585"/>
      <c r="Q196" s="585"/>
      <c r="R196" s="585"/>
      <c r="S196" s="585"/>
      <c r="T196" s="585"/>
      <c r="U196" s="585"/>
      <c r="V196" s="224"/>
      <c r="W196" s="224"/>
      <c r="X196" s="9"/>
      <c r="Y196" s="9"/>
      <c r="Z196" s="9"/>
    </row>
    <row r="197">
      <c r="A197" s="585"/>
      <c r="B197" s="585"/>
      <c r="C197" s="585"/>
      <c r="D197" s="585"/>
      <c r="E197" s="585"/>
      <c r="F197" s="585"/>
      <c r="G197" s="585"/>
      <c r="H197" s="585"/>
      <c r="I197" s="585"/>
      <c r="J197" s="585"/>
      <c r="K197" s="585"/>
      <c r="L197" s="585"/>
      <c r="M197" s="585"/>
      <c r="N197" s="585"/>
      <c r="O197" s="585"/>
      <c r="P197" s="585"/>
      <c r="Q197" s="585"/>
      <c r="R197" s="585"/>
      <c r="S197" s="585"/>
      <c r="T197" s="585"/>
      <c r="U197" s="585"/>
      <c r="V197" s="224"/>
      <c r="W197" s="224"/>
      <c r="X197" s="9"/>
      <c r="Y197" s="9"/>
      <c r="Z197" s="9"/>
    </row>
    <row r="198">
      <c r="A198" s="585"/>
      <c r="B198" s="585"/>
      <c r="C198" s="585"/>
      <c r="D198" s="585"/>
      <c r="E198" s="585"/>
      <c r="F198" s="585"/>
      <c r="G198" s="585"/>
      <c r="H198" s="585"/>
      <c r="I198" s="585"/>
      <c r="J198" s="585"/>
      <c r="K198" s="585"/>
      <c r="L198" s="585"/>
      <c r="M198" s="585"/>
      <c r="N198" s="585"/>
      <c r="O198" s="585"/>
      <c r="P198" s="585"/>
      <c r="Q198" s="585"/>
      <c r="R198" s="585"/>
      <c r="S198" s="585"/>
      <c r="T198" s="585"/>
      <c r="U198" s="585"/>
      <c r="V198" s="224"/>
      <c r="W198" s="224"/>
      <c r="X198" s="9"/>
      <c r="Y198" s="9"/>
      <c r="Z198" s="9"/>
    </row>
    <row r="199">
      <c r="A199" s="585"/>
      <c r="B199" s="585"/>
      <c r="C199" s="585"/>
      <c r="D199" s="585"/>
      <c r="E199" s="585"/>
      <c r="F199" s="585"/>
      <c r="G199" s="585"/>
      <c r="H199" s="585"/>
      <c r="I199" s="585"/>
      <c r="J199" s="585"/>
      <c r="K199" s="585"/>
      <c r="L199" s="585"/>
      <c r="M199" s="585"/>
      <c r="N199" s="585"/>
      <c r="O199" s="585"/>
      <c r="P199" s="585"/>
      <c r="Q199" s="585"/>
      <c r="R199" s="585"/>
      <c r="S199" s="585"/>
      <c r="T199" s="585"/>
      <c r="U199" s="585"/>
      <c r="V199" s="224"/>
      <c r="W199" s="224"/>
      <c r="X199" s="9"/>
      <c r="Y199" s="9"/>
      <c r="Z199" s="9"/>
    </row>
    <row r="200">
      <c r="A200" s="585"/>
      <c r="B200" s="585"/>
      <c r="C200" s="585"/>
      <c r="D200" s="585"/>
      <c r="E200" s="585"/>
      <c r="F200" s="585"/>
      <c r="G200" s="585"/>
      <c r="H200" s="585"/>
      <c r="I200" s="585"/>
      <c r="J200" s="585"/>
      <c r="K200" s="585"/>
      <c r="L200" s="585"/>
      <c r="M200" s="585"/>
      <c r="N200" s="585"/>
      <c r="O200" s="585"/>
      <c r="P200" s="585"/>
      <c r="Q200" s="585"/>
      <c r="R200" s="585"/>
      <c r="S200" s="585"/>
      <c r="T200" s="585"/>
      <c r="U200" s="585"/>
      <c r="V200" s="224"/>
      <c r="W200" s="224"/>
      <c r="X200" s="9"/>
      <c r="Y200" s="9"/>
      <c r="Z200" s="9"/>
    </row>
    <row r="201">
      <c r="A201" s="585"/>
      <c r="B201" s="585"/>
      <c r="C201" s="585"/>
      <c r="D201" s="585"/>
      <c r="E201" s="585"/>
      <c r="F201" s="585"/>
      <c r="G201" s="585"/>
      <c r="H201" s="585"/>
      <c r="I201" s="585"/>
      <c r="J201" s="585"/>
      <c r="K201" s="585"/>
      <c r="L201" s="585"/>
      <c r="M201" s="585"/>
      <c r="N201" s="585"/>
      <c r="O201" s="585"/>
      <c r="P201" s="585"/>
      <c r="Q201" s="585"/>
      <c r="R201" s="585"/>
      <c r="S201" s="585"/>
      <c r="T201" s="585"/>
      <c r="U201" s="585"/>
      <c r="V201" s="224"/>
      <c r="W201" s="224"/>
      <c r="X201" s="9"/>
      <c r="Y201" s="9"/>
      <c r="Z201" s="9"/>
    </row>
    <row r="202">
      <c r="A202" s="585"/>
      <c r="B202" s="585"/>
      <c r="C202" s="585"/>
      <c r="D202" s="585"/>
      <c r="E202" s="585"/>
      <c r="F202" s="585"/>
      <c r="G202" s="585"/>
      <c r="H202" s="585"/>
      <c r="I202" s="585"/>
      <c r="J202" s="585"/>
      <c r="K202" s="585"/>
      <c r="L202" s="585"/>
      <c r="M202" s="585"/>
      <c r="N202" s="585"/>
      <c r="O202" s="585"/>
      <c r="P202" s="585"/>
      <c r="Q202" s="585"/>
      <c r="R202" s="585"/>
      <c r="S202" s="585"/>
      <c r="T202" s="585"/>
      <c r="U202" s="585"/>
      <c r="V202" s="224"/>
      <c r="W202" s="224"/>
      <c r="X202" s="9"/>
      <c r="Y202" s="9"/>
      <c r="Z202" s="9"/>
    </row>
    <row r="203">
      <c r="A203" s="585"/>
      <c r="B203" s="585"/>
      <c r="C203" s="585"/>
      <c r="D203" s="585"/>
      <c r="E203" s="585"/>
      <c r="F203" s="585"/>
      <c r="G203" s="585"/>
      <c r="H203" s="585"/>
      <c r="I203" s="585"/>
      <c r="J203" s="585"/>
      <c r="K203" s="585"/>
      <c r="L203" s="585"/>
      <c r="M203" s="585"/>
      <c r="N203" s="585"/>
      <c r="O203" s="585"/>
      <c r="P203" s="585"/>
      <c r="Q203" s="585"/>
      <c r="R203" s="585"/>
      <c r="S203" s="585"/>
      <c r="T203" s="585"/>
      <c r="U203" s="585"/>
      <c r="V203" s="224"/>
      <c r="W203" s="224"/>
      <c r="X203" s="9"/>
      <c r="Y203" s="9"/>
      <c r="Z203" s="9"/>
    </row>
    <row r="204">
      <c r="A204" s="585"/>
      <c r="B204" s="585"/>
      <c r="C204" s="585"/>
      <c r="D204" s="585"/>
      <c r="E204" s="585"/>
      <c r="F204" s="585"/>
      <c r="G204" s="585"/>
      <c r="H204" s="585"/>
      <c r="I204" s="585"/>
      <c r="J204" s="585"/>
      <c r="K204" s="585"/>
      <c r="L204" s="585"/>
      <c r="M204" s="585"/>
      <c r="N204" s="585"/>
      <c r="O204" s="585"/>
      <c r="P204" s="585"/>
      <c r="Q204" s="585"/>
      <c r="R204" s="585"/>
      <c r="S204" s="585"/>
      <c r="T204" s="585"/>
      <c r="U204" s="585"/>
      <c r="V204" s="224"/>
      <c r="W204" s="224"/>
      <c r="X204" s="9"/>
      <c r="Y204" s="9"/>
      <c r="Z204" s="9"/>
    </row>
    <row r="205">
      <c r="A205" s="585"/>
      <c r="B205" s="585"/>
      <c r="C205" s="585"/>
      <c r="D205" s="585"/>
      <c r="E205" s="585"/>
      <c r="F205" s="585"/>
      <c r="G205" s="585"/>
      <c r="H205" s="585"/>
      <c r="I205" s="585"/>
      <c r="J205" s="585"/>
      <c r="K205" s="585"/>
      <c r="L205" s="585"/>
      <c r="M205" s="585"/>
      <c r="N205" s="585"/>
      <c r="O205" s="585"/>
      <c r="P205" s="585"/>
      <c r="Q205" s="585"/>
      <c r="R205" s="585"/>
      <c r="S205" s="585"/>
      <c r="T205" s="585"/>
      <c r="U205" s="585"/>
      <c r="V205" s="224"/>
      <c r="W205" s="224"/>
      <c r="X205" s="9"/>
      <c r="Y205" s="9"/>
      <c r="Z205" s="9"/>
    </row>
    <row r="206">
      <c r="A206" s="585"/>
      <c r="B206" s="585"/>
      <c r="C206" s="585"/>
      <c r="D206" s="585"/>
      <c r="E206" s="585"/>
      <c r="F206" s="585"/>
      <c r="G206" s="585"/>
      <c r="H206" s="585"/>
      <c r="I206" s="585"/>
      <c r="J206" s="585"/>
      <c r="K206" s="585"/>
      <c r="L206" s="585"/>
      <c r="M206" s="585"/>
      <c r="N206" s="585"/>
      <c r="O206" s="585"/>
      <c r="P206" s="585"/>
      <c r="Q206" s="585"/>
      <c r="R206" s="585"/>
      <c r="S206" s="585"/>
      <c r="T206" s="585"/>
      <c r="U206" s="585"/>
      <c r="V206" s="224"/>
      <c r="W206" s="224"/>
      <c r="X206" s="9"/>
      <c r="Y206" s="9"/>
      <c r="Z206" s="9"/>
    </row>
    <row r="207">
      <c r="A207" s="585"/>
      <c r="B207" s="585"/>
      <c r="C207" s="585"/>
      <c r="D207" s="585"/>
      <c r="E207" s="585"/>
      <c r="F207" s="585"/>
      <c r="G207" s="585"/>
      <c r="H207" s="585"/>
      <c r="I207" s="585"/>
      <c r="J207" s="585"/>
      <c r="K207" s="585"/>
      <c r="L207" s="585"/>
      <c r="M207" s="585"/>
      <c r="N207" s="585"/>
      <c r="O207" s="585"/>
      <c r="P207" s="585"/>
      <c r="Q207" s="585"/>
      <c r="R207" s="585"/>
      <c r="S207" s="585"/>
      <c r="T207" s="585"/>
      <c r="U207" s="585"/>
      <c r="V207" s="224"/>
      <c r="W207" s="224"/>
      <c r="X207" s="9"/>
      <c r="Y207" s="9"/>
      <c r="Z207" s="9"/>
    </row>
    <row r="208">
      <c r="A208" s="585"/>
      <c r="B208" s="585"/>
      <c r="C208" s="585"/>
      <c r="D208" s="585"/>
      <c r="E208" s="585"/>
      <c r="F208" s="585"/>
      <c r="G208" s="585"/>
      <c r="H208" s="585"/>
      <c r="I208" s="585"/>
      <c r="J208" s="585"/>
      <c r="K208" s="585"/>
      <c r="L208" s="585"/>
      <c r="M208" s="585"/>
      <c r="N208" s="585"/>
      <c r="O208" s="585"/>
      <c r="P208" s="585"/>
      <c r="Q208" s="585"/>
      <c r="R208" s="585"/>
      <c r="S208" s="585"/>
      <c r="T208" s="585"/>
      <c r="U208" s="585"/>
      <c r="V208" s="224"/>
      <c r="W208" s="224"/>
      <c r="X208" s="9"/>
      <c r="Y208" s="9"/>
      <c r="Z208" s="9"/>
    </row>
    <row r="209">
      <c r="A209" s="585"/>
      <c r="B209" s="585"/>
      <c r="C209" s="585"/>
      <c r="D209" s="585"/>
      <c r="E209" s="585"/>
      <c r="F209" s="585"/>
      <c r="G209" s="585"/>
      <c r="H209" s="585"/>
      <c r="I209" s="585"/>
      <c r="J209" s="585"/>
      <c r="K209" s="585"/>
      <c r="L209" s="585"/>
      <c r="M209" s="585"/>
      <c r="N209" s="585"/>
      <c r="O209" s="585"/>
      <c r="P209" s="585"/>
      <c r="Q209" s="585"/>
      <c r="R209" s="585"/>
      <c r="S209" s="585"/>
      <c r="T209" s="585"/>
      <c r="U209" s="585"/>
      <c r="V209" s="224"/>
      <c r="W209" s="224"/>
      <c r="X209" s="9"/>
      <c r="Y209" s="9"/>
      <c r="Z209" s="9"/>
    </row>
    <row r="210">
      <c r="A210" s="585"/>
      <c r="B210" s="585"/>
      <c r="C210" s="585"/>
      <c r="D210" s="585"/>
      <c r="E210" s="585"/>
      <c r="F210" s="585"/>
      <c r="G210" s="585"/>
      <c r="H210" s="585"/>
      <c r="I210" s="585"/>
      <c r="J210" s="585"/>
      <c r="K210" s="585"/>
      <c r="L210" s="585"/>
      <c r="M210" s="585"/>
      <c r="N210" s="585"/>
      <c r="O210" s="585"/>
      <c r="P210" s="585"/>
      <c r="Q210" s="585"/>
      <c r="R210" s="585"/>
      <c r="S210" s="585"/>
      <c r="T210" s="585"/>
      <c r="U210" s="585"/>
      <c r="V210" s="224"/>
      <c r="W210" s="224"/>
      <c r="X210" s="9"/>
      <c r="Y210" s="9"/>
      <c r="Z210" s="9"/>
    </row>
    <row r="211">
      <c r="A211" s="585"/>
      <c r="B211" s="585"/>
      <c r="C211" s="585"/>
      <c r="D211" s="585"/>
      <c r="E211" s="585"/>
      <c r="F211" s="585"/>
      <c r="G211" s="585"/>
      <c r="H211" s="585"/>
      <c r="I211" s="585"/>
      <c r="J211" s="585"/>
      <c r="K211" s="585"/>
      <c r="L211" s="585"/>
      <c r="M211" s="585"/>
      <c r="N211" s="585"/>
      <c r="O211" s="585"/>
      <c r="P211" s="585"/>
      <c r="Q211" s="585"/>
      <c r="R211" s="585"/>
      <c r="S211" s="585"/>
      <c r="T211" s="585"/>
      <c r="U211" s="585"/>
      <c r="V211" s="224"/>
      <c r="W211" s="224"/>
      <c r="X211" s="9"/>
      <c r="Y211" s="9"/>
      <c r="Z211" s="9"/>
    </row>
    <row r="212">
      <c r="A212" s="585"/>
      <c r="B212" s="585"/>
      <c r="C212" s="585"/>
      <c r="D212" s="585"/>
      <c r="E212" s="585"/>
      <c r="F212" s="585"/>
      <c r="G212" s="585"/>
      <c r="H212" s="585"/>
      <c r="I212" s="585"/>
      <c r="J212" s="585"/>
      <c r="K212" s="585"/>
      <c r="L212" s="585"/>
      <c r="M212" s="585"/>
      <c r="N212" s="585"/>
      <c r="O212" s="585"/>
      <c r="P212" s="585"/>
      <c r="Q212" s="585"/>
      <c r="R212" s="585"/>
      <c r="S212" s="585"/>
      <c r="T212" s="585"/>
      <c r="U212" s="585"/>
      <c r="V212" s="224"/>
      <c r="W212" s="224"/>
      <c r="X212" s="9"/>
      <c r="Y212" s="9"/>
      <c r="Z212" s="9"/>
    </row>
    <row r="213">
      <c r="A213" s="585"/>
      <c r="B213" s="585"/>
      <c r="C213" s="585"/>
      <c r="D213" s="585"/>
      <c r="E213" s="585"/>
      <c r="F213" s="585"/>
      <c r="G213" s="585"/>
      <c r="H213" s="585"/>
      <c r="I213" s="585"/>
      <c r="J213" s="585"/>
      <c r="K213" s="585"/>
      <c r="L213" s="585"/>
      <c r="M213" s="585"/>
      <c r="N213" s="585"/>
      <c r="O213" s="585"/>
      <c r="P213" s="585"/>
      <c r="Q213" s="585"/>
      <c r="R213" s="585"/>
      <c r="S213" s="585"/>
      <c r="T213" s="585"/>
      <c r="U213" s="585"/>
      <c r="V213" s="224"/>
      <c r="W213" s="224"/>
      <c r="X213" s="9"/>
      <c r="Y213" s="9"/>
      <c r="Z213" s="9"/>
    </row>
    <row r="214">
      <c r="A214" s="585"/>
      <c r="B214" s="585"/>
      <c r="C214" s="585"/>
      <c r="D214" s="585"/>
      <c r="E214" s="585"/>
      <c r="F214" s="585"/>
      <c r="G214" s="585"/>
      <c r="H214" s="585"/>
      <c r="I214" s="585"/>
      <c r="J214" s="585"/>
      <c r="K214" s="585"/>
      <c r="L214" s="585"/>
      <c r="M214" s="585"/>
      <c r="N214" s="585"/>
      <c r="O214" s="585"/>
      <c r="P214" s="585"/>
      <c r="Q214" s="585"/>
      <c r="R214" s="585"/>
      <c r="S214" s="585"/>
      <c r="T214" s="585"/>
      <c r="U214" s="585"/>
      <c r="V214" s="224"/>
      <c r="W214" s="224"/>
      <c r="X214" s="9"/>
      <c r="Y214" s="9"/>
      <c r="Z214" s="9"/>
    </row>
    <row r="215">
      <c r="A215" s="585"/>
      <c r="B215" s="585"/>
      <c r="C215" s="585"/>
      <c r="D215" s="585"/>
      <c r="E215" s="585"/>
      <c r="F215" s="585"/>
      <c r="G215" s="585"/>
      <c r="H215" s="585"/>
      <c r="I215" s="585"/>
      <c r="J215" s="585"/>
      <c r="K215" s="585"/>
      <c r="L215" s="585"/>
      <c r="M215" s="585"/>
      <c r="N215" s="585"/>
      <c r="O215" s="585"/>
      <c r="P215" s="585"/>
      <c r="Q215" s="585"/>
      <c r="R215" s="585"/>
      <c r="S215" s="585"/>
      <c r="T215" s="585"/>
      <c r="U215" s="585"/>
      <c r="V215" s="224"/>
      <c r="W215" s="224"/>
      <c r="X215" s="9"/>
      <c r="Y215" s="9"/>
      <c r="Z215" s="9"/>
    </row>
    <row r="216">
      <c r="A216" s="585"/>
      <c r="B216" s="585"/>
      <c r="C216" s="585"/>
      <c r="D216" s="585"/>
      <c r="E216" s="585"/>
      <c r="F216" s="585"/>
      <c r="G216" s="585"/>
      <c r="H216" s="585"/>
      <c r="I216" s="585"/>
      <c r="J216" s="585"/>
      <c r="K216" s="585"/>
      <c r="L216" s="585"/>
      <c r="M216" s="585"/>
      <c r="N216" s="585"/>
      <c r="O216" s="585"/>
      <c r="P216" s="585"/>
      <c r="Q216" s="585"/>
      <c r="R216" s="585"/>
      <c r="S216" s="585"/>
      <c r="T216" s="585"/>
      <c r="U216" s="585"/>
      <c r="V216" s="224"/>
      <c r="W216" s="224"/>
      <c r="X216" s="9"/>
      <c r="Y216" s="9"/>
      <c r="Z216" s="9"/>
    </row>
    <row r="217">
      <c r="A217" s="585"/>
      <c r="B217" s="585"/>
      <c r="C217" s="585"/>
      <c r="D217" s="585"/>
      <c r="E217" s="585"/>
      <c r="F217" s="585"/>
      <c r="G217" s="585"/>
      <c r="H217" s="585"/>
      <c r="I217" s="585"/>
      <c r="J217" s="585"/>
      <c r="K217" s="585"/>
      <c r="L217" s="585"/>
      <c r="M217" s="585"/>
      <c r="N217" s="585"/>
      <c r="O217" s="585"/>
      <c r="P217" s="585"/>
      <c r="Q217" s="585"/>
      <c r="R217" s="585"/>
      <c r="S217" s="585"/>
      <c r="T217" s="585"/>
      <c r="U217" s="585"/>
      <c r="V217" s="224"/>
      <c r="W217" s="224"/>
      <c r="X217" s="9"/>
      <c r="Y217" s="9"/>
      <c r="Z217" s="9"/>
    </row>
    <row r="218">
      <c r="A218" s="585"/>
      <c r="B218" s="585"/>
      <c r="C218" s="585"/>
      <c r="D218" s="585"/>
      <c r="E218" s="585"/>
      <c r="F218" s="585"/>
      <c r="G218" s="585"/>
      <c r="H218" s="585"/>
      <c r="I218" s="585"/>
      <c r="J218" s="585"/>
      <c r="K218" s="585"/>
      <c r="L218" s="585"/>
      <c r="M218" s="585"/>
      <c r="N218" s="585"/>
      <c r="O218" s="585"/>
      <c r="P218" s="585"/>
      <c r="Q218" s="585"/>
      <c r="R218" s="585"/>
      <c r="S218" s="585"/>
      <c r="T218" s="585"/>
      <c r="U218" s="585"/>
      <c r="V218" s="224"/>
      <c r="W218" s="224"/>
      <c r="X218" s="9"/>
      <c r="Y218" s="9"/>
      <c r="Z218" s="9"/>
    </row>
    <row r="219">
      <c r="A219" s="585"/>
      <c r="B219" s="585"/>
      <c r="C219" s="585"/>
      <c r="D219" s="585"/>
      <c r="E219" s="585"/>
      <c r="F219" s="585"/>
      <c r="G219" s="585"/>
      <c r="H219" s="585"/>
      <c r="I219" s="585"/>
      <c r="J219" s="585"/>
      <c r="K219" s="585"/>
      <c r="L219" s="585"/>
      <c r="M219" s="585"/>
      <c r="N219" s="585"/>
      <c r="O219" s="585"/>
      <c r="P219" s="585"/>
      <c r="Q219" s="585"/>
      <c r="R219" s="585"/>
      <c r="S219" s="585"/>
      <c r="T219" s="585"/>
      <c r="U219" s="585"/>
      <c r="V219" s="224"/>
      <c r="W219" s="224"/>
      <c r="X219" s="9"/>
      <c r="Y219" s="9"/>
      <c r="Z219" s="9"/>
    </row>
    <row r="220">
      <c r="A220" s="585"/>
      <c r="B220" s="585"/>
      <c r="C220" s="585"/>
      <c r="D220" s="585"/>
      <c r="E220" s="585"/>
      <c r="F220" s="585"/>
      <c r="G220" s="585"/>
      <c r="H220" s="585"/>
      <c r="I220" s="585"/>
      <c r="J220" s="585"/>
      <c r="K220" s="585"/>
      <c r="L220" s="585"/>
      <c r="M220" s="585"/>
      <c r="N220" s="585"/>
      <c r="O220" s="585"/>
      <c r="P220" s="585"/>
      <c r="Q220" s="585"/>
      <c r="R220" s="585"/>
      <c r="S220" s="585"/>
      <c r="T220" s="585"/>
      <c r="U220" s="585"/>
      <c r="V220" s="224"/>
      <c r="W220" s="224"/>
      <c r="X220" s="9"/>
      <c r="Y220" s="9"/>
      <c r="Z220" s="9"/>
    </row>
    <row r="221">
      <c r="A221" s="585"/>
      <c r="B221" s="585"/>
      <c r="C221" s="585"/>
      <c r="D221" s="585"/>
      <c r="E221" s="585"/>
      <c r="F221" s="585"/>
      <c r="G221" s="585"/>
      <c r="H221" s="585"/>
      <c r="I221" s="585"/>
      <c r="J221" s="585"/>
      <c r="K221" s="585"/>
      <c r="L221" s="585"/>
      <c r="M221" s="585"/>
      <c r="N221" s="585"/>
      <c r="O221" s="585"/>
      <c r="P221" s="585"/>
      <c r="Q221" s="585"/>
      <c r="R221" s="585"/>
      <c r="S221" s="585"/>
      <c r="T221" s="585"/>
      <c r="U221" s="585"/>
      <c r="V221" s="224"/>
      <c r="W221" s="224"/>
      <c r="X221" s="9"/>
      <c r="Y221" s="9"/>
      <c r="Z221" s="9"/>
    </row>
    <row r="222">
      <c r="A222" s="585"/>
      <c r="B222" s="585"/>
      <c r="C222" s="585"/>
      <c r="D222" s="585"/>
      <c r="E222" s="585"/>
      <c r="F222" s="585"/>
      <c r="G222" s="585"/>
      <c r="H222" s="585"/>
      <c r="I222" s="585"/>
      <c r="J222" s="585"/>
      <c r="K222" s="585"/>
      <c r="L222" s="585"/>
      <c r="M222" s="585"/>
      <c r="N222" s="585"/>
      <c r="O222" s="585"/>
      <c r="P222" s="585"/>
      <c r="Q222" s="585"/>
      <c r="R222" s="585"/>
      <c r="S222" s="585"/>
      <c r="T222" s="585"/>
      <c r="U222" s="585"/>
      <c r="V222" s="224"/>
      <c r="W222" s="224"/>
      <c r="X222" s="9"/>
      <c r="Y222" s="9"/>
      <c r="Z222" s="9"/>
    </row>
    <row r="223">
      <c r="A223" s="585"/>
      <c r="B223" s="585"/>
      <c r="C223" s="585"/>
      <c r="D223" s="585"/>
      <c r="E223" s="585"/>
      <c r="F223" s="585"/>
      <c r="G223" s="585"/>
      <c r="H223" s="585"/>
      <c r="I223" s="585"/>
      <c r="J223" s="585"/>
      <c r="K223" s="585"/>
      <c r="L223" s="585"/>
      <c r="M223" s="585"/>
      <c r="N223" s="585"/>
      <c r="O223" s="585"/>
      <c r="P223" s="585"/>
      <c r="Q223" s="585"/>
      <c r="R223" s="585"/>
      <c r="S223" s="585"/>
      <c r="T223" s="585"/>
      <c r="U223" s="585"/>
      <c r="V223" s="224"/>
      <c r="W223" s="224"/>
      <c r="X223" s="9"/>
      <c r="Y223" s="9"/>
      <c r="Z223" s="9"/>
    </row>
    <row r="224">
      <c r="A224" s="585"/>
      <c r="B224" s="585"/>
      <c r="C224" s="585"/>
      <c r="D224" s="585"/>
      <c r="E224" s="585"/>
      <c r="F224" s="585"/>
      <c r="G224" s="585"/>
      <c r="H224" s="585"/>
      <c r="I224" s="585"/>
      <c r="J224" s="585"/>
      <c r="K224" s="585"/>
      <c r="L224" s="585"/>
      <c r="M224" s="585"/>
      <c r="N224" s="585"/>
      <c r="O224" s="585"/>
      <c r="P224" s="585"/>
      <c r="Q224" s="585"/>
      <c r="R224" s="585"/>
      <c r="S224" s="585"/>
      <c r="T224" s="585"/>
      <c r="U224" s="585"/>
      <c r="V224" s="224"/>
      <c r="W224" s="224"/>
      <c r="X224" s="9"/>
      <c r="Y224" s="9"/>
      <c r="Z224" s="9"/>
    </row>
    <row r="225">
      <c r="A225" s="585"/>
      <c r="B225" s="585"/>
      <c r="C225" s="585"/>
      <c r="D225" s="585"/>
      <c r="E225" s="585"/>
      <c r="F225" s="585"/>
      <c r="G225" s="585"/>
      <c r="H225" s="585"/>
      <c r="I225" s="585"/>
      <c r="J225" s="585"/>
      <c r="K225" s="585"/>
      <c r="L225" s="585"/>
      <c r="M225" s="585"/>
      <c r="N225" s="585"/>
      <c r="O225" s="585"/>
      <c r="P225" s="585"/>
      <c r="Q225" s="585"/>
      <c r="R225" s="585"/>
      <c r="S225" s="585"/>
      <c r="T225" s="585"/>
      <c r="U225" s="585"/>
      <c r="V225" s="224"/>
      <c r="W225" s="224"/>
      <c r="X225" s="9"/>
      <c r="Y225" s="9"/>
      <c r="Z225" s="9"/>
    </row>
    <row r="226">
      <c r="A226" s="585"/>
      <c r="B226" s="585"/>
      <c r="C226" s="585"/>
      <c r="D226" s="585"/>
      <c r="E226" s="585"/>
      <c r="F226" s="585"/>
      <c r="G226" s="585"/>
      <c r="H226" s="585"/>
      <c r="I226" s="585"/>
      <c r="J226" s="585"/>
      <c r="K226" s="585"/>
      <c r="L226" s="585"/>
      <c r="M226" s="585"/>
      <c r="N226" s="585"/>
      <c r="O226" s="585"/>
      <c r="P226" s="585"/>
      <c r="Q226" s="585"/>
      <c r="R226" s="585"/>
      <c r="S226" s="585"/>
      <c r="T226" s="585"/>
      <c r="U226" s="585"/>
      <c r="V226" s="224"/>
      <c r="W226" s="224"/>
      <c r="X226" s="9"/>
      <c r="Y226" s="9"/>
      <c r="Z226" s="9"/>
    </row>
    <row r="227">
      <c r="A227" s="585"/>
      <c r="B227" s="585"/>
      <c r="C227" s="585"/>
      <c r="D227" s="585"/>
      <c r="E227" s="585"/>
      <c r="F227" s="585"/>
      <c r="G227" s="585"/>
      <c r="H227" s="585"/>
      <c r="I227" s="585"/>
      <c r="J227" s="585"/>
      <c r="K227" s="585"/>
      <c r="L227" s="585"/>
      <c r="M227" s="585"/>
      <c r="N227" s="585"/>
      <c r="O227" s="585"/>
      <c r="P227" s="585"/>
      <c r="Q227" s="585"/>
      <c r="R227" s="585"/>
      <c r="S227" s="585"/>
      <c r="T227" s="585"/>
      <c r="U227" s="585"/>
      <c r="V227" s="224"/>
      <c r="W227" s="224"/>
      <c r="X227" s="9"/>
      <c r="Y227" s="9"/>
      <c r="Z227" s="9"/>
    </row>
    <row r="228">
      <c r="A228" s="585"/>
      <c r="B228" s="585"/>
      <c r="C228" s="585"/>
      <c r="D228" s="585"/>
      <c r="E228" s="585"/>
      <c r="F228" s="585"/>
      <c r="G228" s="585"/>
      <c r="H228" s="585"/>
      <c r="I228" s="585"/>
      <c r="J228" s="585"/>
      <c r="K228" s="585"/>
      <c r="L228" s="585"/>
      <c r="M228" s="585"/>
      <c r="N228" s="585"/>
      <c r="O228" s="585"/>
      <c r="P228" s="585"/>
      <c r="Q228" s="585"/>
      <c r="R228" s="585"/>
      <c r="S228" s="585"/>
      <c r="T228" s="585"/>
      <c r="U228" s="585"/>
      <c r="V228" s="224"/>
      <c r="W228" s="224"/>
      <c r="X228" s="9"/>
      <c r="Y228" s="9"/>
      <c r="Z228" s="9"/>
    </row>
    <row r="229">
      <c r="A229" s="585"/>
      <c r="B229" s="585"/>
      <c r="C229" s="585"/>
      <c r="D229" s="585"/>
      <c r="E229" s="585"/>
      <c r="F229" s="585"/>
      <c r="G229" s="585"/>
      <c r="H229" s="585"/>
      <c r="I229" s="585"/>
      <c r="J229" s="585"/>
      <c r="K229" s="585"/>
      <c r="L229" s="585"/>
      <c r="M229" s="585"/>
      <c r="N229" s="585"/>
      <c r="O229" s="585"/>
      <c r="P229" s="585"/>
      <c r="Q229" s="585"/>
      <c r="R229" s="585"/>
      <c r="S229" s="585"/>
      <c r="T229" s="585"/>
      <c r="U229" s="585"/>
      <c r="V229" s="224"/>
      <c r="W229" s="224"/>
      <c r="X229" s="9"/>
      <c r="Y229" s="9"/>
      <c r="Z229" s="9"/>
    </row>
    <row r="230">
      <c r="A230" s="585"/>
      <c r="B230" s="585"/>
      <c r="C230" s="585"/>
      <c r="D230" s="585"/>
      <c r="E230" s="585"/>
      <c r="F230" s="585"/>
      <c r="G230" s="585"/>
      <c r="H230" s="585"/>
      <c r="I230" s="585"/>
      <c r="J230" s="585"/>
      <c r="K230" s="585"/>
      <c r="L230" s="585"/>
      <c r="M230" s="585"/>
      <c r="N230" s="585"/>
      <c r="O230" s="585"/>
      <c r="P230" s="585"/>
      <c r="Q230" s="585"/>
      <c r="R230" s="585"/>
      <c r="S230" s="585"/>
      <c r="T230" s="585"/>
      <c r="U230" s="585"/>
      <c r="V230" s="224"/>
      <c r="W230" s="224"/>
      <c r="X230" s="9"/>
      <c r="Y230" s="9"/>
      <c r="Z230" s="9"/>
    </row>
    <row r="231">
      <c r="A231" s="585"/>
      <c r="B231" s="585"/>
      <c r="C231" s="585"/>
      <c r="D231" s="585"/>
      <c r="E231" s="585"/>
      <c r="F231" s="585"/>
      <c r="G231" s="585"/>
      <c r="H231" s="585"/>
      <c r="I231" s="585"/>
      <c r="J231" s="585"/>
      <c r="K231" s="585"/>
      <c r="L231" s="585"/>
      <c r="M231" s="585"/>
      <c r="N231" s="585"/>
      <c r="O231" s="585"/>
      <c r="P231" s="585"/>
      <c r="Q231" s="585"/>
      <c r="R231" s="585"/>
      <c r="S231" s="585"/>
      <c r="T231" s="585"/>
      <c r="U231" s="585"/>
      <c r="V231" s="224"/>
      <c r="W231" s="224"/>
      <c r="X231" s="9"/>
      <c r="Y231" s="9"/>
      <c r="Z231" s="9"/>
    </row>
    <row r="232">
      <c r="A232" s="585"/>
      <c r="B232" s="585"/>
      <c r="C232" s="585"/>
      <c r="D232" s="585"/>
      <c r="E232" s="585"/>
      <c r="F232" s="585"/>
      <c r="G232" s="585"/>
      <c r="H232" s="585"/>
      <c r="I232" s="585"/>
      <c r="J232" s="585"/>
      <c r="K232" s="585"/>
      <c r="L232" s="585"/>
      <c r="M232" s="585"/>
      <c r="N232" s="585"/>
      <c r="O232" s="585"/>
      <c r="P232" s="585"/>
      <c r="Q232" s="585"/>
      <c r="R232" s="585"/>
      <c r="S232" s="585"/>
      <c r="T232" s="585"/>
      <c r="U232" s="585"/>
      <c r="V232" s="224"/>
      <c r="W232" s="224"/>
      <c r="X232" s="9"/>
      <c r="Y232" s="9"/>
      <c r="Z232" s="9"/>
    </row>
    <row r="233">
      <c r="A233" s="585"/>
      <c r="B233" s="585"/>
      <c r="C233" s="585"/>
      <c r="D233" s="585"/>
      <c r="E233" s="585"/>
      <c r="F233" s="585"/>
      <c r="G233" s="585"/>
      <c r="H233" s="585"/>
      <c r="I233" s="585"/>
      <c r="J233" s="585"/>
      <c r="K233" s="585"/>
      <c r="L233" s="585"/>
      <c r="M233" s="585"/>
      <c r="N233" s="585"/>
      <c r="O233" s="585"/>
      <c r="P233" s="585"/>
      <c r="Q233" s="585"/>
      <c r="R233" s="585"/>
      <c r="S233" s="585"/>
      <c r="T233" s="585"/>
      <c r="U233" s="585"/>
      <c r="V233" s="224"/>
      <c r="W233" s="224"/>
      <c r="X233" s="9"/>
      <c r="Y233" s="9"/>
      <c r="Z233" s="9"/>
    </row>
    <row r="234">
      <c r="A234" s="585"/>
      <c r="B234" s="585"/>
      <c r="C234" s="585"/>
      <c r="D234" s="585"/>
      <c r="E234" s="585"/>
      <c r="F234" s="585"/>
      <c r="G234" s="585"/>
      <c r="H234" s="585"/>
      <c r="I234" s="585"/>
      <c r="J234" s="585"/>
      <c r="K234" s="585"/>
      <c r="L234" s="585"/>
      <c r="M234" s="585"/>
      <c r="N234" s="585"/>
      <c r="O234" s="585"/>
      <c r="P234" s="585"/>
      <c r="Q234" s="585"/>
      <c r="R234" s="585"/>
      <c r="S234" s="585"/>
      <c r="T234" s="585"/>
      <c r="U234" s="585"/>
      <c r="V234" s="224"/>
      <c r="W234" s="224"/>
      <c r="X234" s="9"/>
      <c r="Y234" s="9"/>
      <c r="Z234" s="9"/>
    </row>
    <row r="235">
      <c r="A235" s="585"/>
      <c r="B235" s="585"/>
      <c r="C235" s="585"/>
      <c r="D235" s="585"/>
      <c r="E235" s="585"/>
      <c r="F235" s="585"/>
      <c r="G235" s="585"/>
      <c r="H235" s="585"/>
      <c r="I235" s="585"/>
      <c r="J235" s="585"/>
      <c r="K235" s="585"/>
      <c r="L235" s="585"/>
      <c r="M235" s="585"/>
      <c r="N235" s="585"/>
      <c r="O235" s="585"/>
      <c r="P235" s="585"/>
      <c r="Q235" s="585"/>
      <c r="R235" s="585"/>
      <c r="S235" s="585"/>
      <c r="T235" s="585"/>
      <c r="U235" s="585"/>
      <c r="V235" s="224"/>
      <c r="W235" s="224"/>
      <c r="X235" s="9"/>
      <c r="Y235" s="9"/>
      <c r="Z235" s="9"/>
    </row>
    <row r="236">
      <c r="A236" s="585"/>
      <c r="B236" s="585"/>
      <c r="C236" s="585"/>
      <c r="D236" s="585"/>
      <c r="E236" s="585"/>
      <c r="F236" s="585"/>
      <c r="G236" s="585"/>
      <c r="H236" s="585"/>
      <c r="I236" s="585"/>
      <c r="J236" s="585"/>
      <c r="K236" s="585"/>
      <c r="L236" s="585"/>
      <c r="M236" s="585"/>
      <c r="N236" s="585"/>
      <c r="O236" s="585"/>
      <c r="P236" s="585"/>
      <c r="Q236" s="585"/>
      <c r="R236" s="585"/>
      <c r="S236" s="585"/>
      <c r="T236" s="585"/>
      <c r="U236" s="585"/>
      <c r="V236" s="224"/>
      <c r="W236" s="224"/>
      <c r="X236" s="9"/>
      <c r="Y236" s="9"/>
      <c r="Z236" s="9"/>
    </row>
    <row r="237">
      <c r="A237" s="585"/>
      <c r="B237" s="585"/>
      <c r="C237" s="585"/>
      <c r="D237" s="585"/>
      <c r="E237" s="585"/>
      <c r="F237" s="585"/>
      <c r="G237" s="585"/>
      <c r="H237" s="585"/>
      <c r="I237" s="585"/>
      <c r="J237" s="585"/>
      <c r="K237" s="585"/>
      <c r="L237" s="585"/>
      <c r="M237" s="585"/>
      <c r="N237" s="585"/>
      <c r="O237" s="585"/>
      <c r="P237" s="585"/>
      <c r="Q237" s="585"/>
      <c r="R237" s="585"/>
      <c r="S237" s="585"/>
      <c r="T237" s="585"/>
      <c r="U237" s="585"/>
      <c r="V237" s="224"/>
      <c r="W237" s="224"/>
      <c r="X237" s="9"/>
      <c r="Y237" s="9"/>
      <c r="Z237" s="9"/>
    </row>
    <row r="238">
      <c r="A238" s="585"/>
      <c r="B238" s="585"/>
      <c r="C238" s="585"/>
      <c r="D238" s="585"/>
      <c r="E238" s="585"/>
      <c r="F238" s="585"/>
      <c r="G238" s="585"/>
      <c r="H238" s="585"/>
      <c r="I238" s="585"/>
      <c r="J238" s="585"/>
      <c r="K238" s="585"/>
      <c r="L238" s="585"/>
      <c r="M238" s="585"/>
      <c r="N238" s="585"/>
      <c r="O238" s="585"/>
      <c r="P238" s="585"/>
      <c r="Q238" s="585"/>
      <c r="R238" s="585"/>
      <c r="S238" s="585"/>
      <c r="T238" s="585"/>
      <c r="U238" s="585"/>
      <c r="V238" s="224"/>
      <c r="W238" s="224"/>
      <c r="X238" s="9"/>
      <c r="Y238" s="9"/>
      <c r="Z238" s="9"/>
    </row>
    <row r="239">
      <c r="A239" s="585"/>
      <c r="B239" s="585"/>
      <c r="C239" s="585"/>
      <c r="D239" s="585"/>
      <c r="E239" s="585"/>
      <c r="F239" s="585"/>
      <c r="G239" s="585"/>
      <c r="H239" s="585"/>
      <c r="I239" s="585"/>
      <c r="J239" s="585"/>
      <c r="K239" s="585"/>
      <c r="L239" s="585"/>
      <c r="M239" s="585"/>
      <c r="N239" s="585"/>
      <c r="O239" s="585"/>
      <c r="P239" s="585"/>
      <c r="Q239" s="585"/>
      <c r="R239" s="585"/>
      <c r="S239" s="585"/>
      <c r="T239" s="585"/>
      <c r="U239" s="585"/>
      <c r="V239" s="224"/>
      <c r="W239" s="224"/>
      <c r="X239" s="9"/>
      <c r="Y239" s="9"/>
      <c r="Z239" s="9"/>
    </row>
    <row r="240">
      <c r="A240" s="585"/>
      <c r="B240" s="585"/>
      <c r="C240" s="585"/>
      <c r="D240" s="585"/>
      <c r="E240" s="585"/>
      <c r="F240" s="585"/>
      <c r="G240" s="585"/>
      <c r="H240" s="585"/>
      <c r="I240" s="585"/>
      <c r="J240" s="585"/>
      <c r="K240" s="585"/>
      <c r="L240" s="585"/>
      <c r="M240" s="585"/>
      <c r="N240" s="585"/>
      <c r="O240" s="585"/>
      <c r="P240" s="585"/>
      <c r="Q240" s="585"/>
      <c r="R240" s="585"/>
      <c r="S240" s="585"/>
      <c r="T240" s="585"/>
      <c r="U240" s="585"/>
      <c r="V240" s="224"/>
      <c r="W240" s="224"/>
      <c r="X240" s="9"/>
      <c r="Y240" s="9"/>
      <c r="Z240" s="9"/>
    </row>
    <row r="241">
      <c r="A241" s="585"/>
      <c r="B241" s="585"/>
      <c r="C241" s="585"/>
      <c r="D241" s="585"/>
      <c r="E241" s="585"/>
      <c r="F241" s="585"/>
      <c r="G241" s="585"/>
      <c r="H241" s="585"/>
      <c r="I241" s="585"/>
      <c r="J241" s="585"/>
      <c r="K241" s="585"/>
      <c r="L241" s="585"/>
      <c r="M241" s="585"/>
      <c r="N241" s="585"/>
      <c r="O241" s="585"/>
      <c r="P241" s="585"/>
      <c r="Q241" s="585"/>
      <c r="R241" s="585"/>
      <c r="S241" s="585"/>
      <c r="T241" s="585"/>
      <c r="U241" s="585"/>
      <c r="V241" s="224"/>
      <c r="W241" s="224"/>
      <c r="X241" s="9"/>
      <c r="Y241" s="9"/>
      <c r="Z241" s="9"/>
    </row>
    <row r="242">
      <c r="A242" s="585"/>
      <c r="B242" s="585"/>
      <c r="C242" s="585"/>
      <c r="D242" s="585"/>
      <c r="E242" s="585"/>
      <c r="F242" s="585"/>
      <c r="G242" s="585"/>
      <c r="H242" s="585"/>
      <c r="I242" s="585"/>
      <c r="J242" s="585"/>
      <c r="K242" s="585"/>
      <c r="L242" s="585"/>
      <c r="M242" s="585"/>
      <c r="N242" s="585"/>
      <c r="O242" s="585"/>
      <c r="P242" s="585"/>
      <c r="Q242" s="585"/>
      <c r="R242" s="585"/>
      <c r="S242" s="585"/>
      <c r="T242" s="585"/>
      <c r="U242" s="585"/>
      <c r="V242" s="224"/>
      <c r="W242" s="224"/>
      <c r="X242" s="9"/>
      <c r="Y242" s="9"/>
      <c r="Z242" s="9"/>
    </row>
    <row r="243">
      <c r="A243" s="585"/>
      <c r="B243" s="585"/>
      <c r="C243" s="585"/>
      <c r="D243" s="585"/>
      <c r="E243" s="585"/>
      <c r="F243" s="585"/>
      <c r="G243" s="585"/>
      <c r="H243" s="585"/>
      <c r="I243" s="585"/>
      <c r="J243" s="585"/>
      <c r="K243" s="585"/>
      <c r="L243" s="585"/>
      <c r="M243" s="585"/>
      <c r="N243" s="585"/>
      <c r="O243" s="585"/>
      <c r="P243" s="585"/>
      <c r="Q243" s="585"/>
      <c r="R243" s="585"/>
      <c r="S243" s="585"/>
      <c r="T243" s="585"/>
      <c r="U243" s="585"/>
      <c r="V243" s="224"/>
      <c r="W243" s="224"/>
      <c r="X243" s="9"/>
      <c r="Y243" s="9"/>
      <c r="Z243" s="9"/>
    </row>
    <row r="244">
      <c r="A244" s="585"/>
      <c r="B244" s="585"/>
      <c r="C244" s="585"/>
      <c r="D244" s="585"/>
      <c r="E244" s="585"/>
      <c r="F244" s="585"/>
      <c r="G244" s="585"/>
      <c r="H244" s="585"/>
      <c r="I244" s="585"/>
      <c r="J244" s="585"/>
      <c r="K244" s="585"/>
      <c r="L244" s="585"/>
      <c r="M244" s="585"/>
      <c r="N244" s="585"/>
      <c r="O244" s="585"/>
      <c r="P244" s="585"/>
      <c r="Q244" s="585"/>
      <c r="R244" s="585"/>
      <c r="S244" s="585"/>
      <c r="T244" s="585"/>
      <c r="U244" s="585"/>
      <c r="V244" s="224"/>
      <c r="W244" s="224"/>
      <c r="X244" s="9"/>
      <c r="Y244" s="9"/>
      <c r="Z244" s="9"/>
    </row>
    <row r="245">
      <c r="A245" s="585"/>
      <c r="B245" s="585"/>
      <c r="C245" s="585"/>
      <c r="D245" s="585"/>
      <c r="E245" s="585"/>
      <c r="F245" s="585"/>
      <c r="G245" s="585"/>
      <c r="H245" s="585"/>
      <c r="I245" s="585"/>
      <c r="J245" s="585"/>
      <c r="K245" s="585"/>
      <c r="L245" s="585"/>
      <c r="M245" s="585"/>
      <c r="N245" s="585"/>
      <c r="O245" s="585"/>
      <c r="P245" s="585"/>
      <c r="Q245" s="585"/>
      <c r="R245" s="585"/>
      <c r="S245" s="585"/>
      <c r="T245" s="585"/>
      <c r="U245" s="585"/>
      <c r="V245" s="224"/>
      <c r="W245" s="224"/>
      <c r="X245" s="9"/>
      <c r="Y245" s="9"/>
      <c r="Z245" s="9"/>
    </row>
    <row r="246">
      <c r="A246" s="585"/>
      <c r="B246" s="585"/>
      <c r="C246" s="585"/>
      <c r="D246" s="585"/>
      <c r="E246" s="585"/>
      <c r="F246" s="585"/>
      <c r="G246" s="585"/>
      <c r="H246" s="585"/>
      <c r="I246" s="585"/>
      <c r="J246" s="585"/>
      <c r="K246" s="585"/>
      <c r="L246" s="585"/>
      <c r="M246" s="585"/>
      <c r="N246" s="585"/>
      <c r="O246" s="585"/>
      <c r="P246" s="585"/>
      <c r="Q246" s="585"/>
      <c r="R246" s="585"/>
      <c r="S246" s="585"/>
      <c r="T246" s="585"/>
      <c r="U246" s="585"/>
      <c r="V246" s="224"/>
      <c r="W246" s="224"/>
      <c r="X246" s="9"/>
      <c r="Y246" s="9"/>
      <c r="Z246" s="9"/>
    </row>
    <row r="247">
      <c r="A247" s="585"/>
      <c r="B247" s="585"/>
      <c r="C247" s="585"/>
      <c r="D247" s="585"/>
      <c r="E247" s="585"/>
      <c r="F247" s="585"/>
      <c r="G247" s="585"/>
      <c r="H247" s="585"/>
      <c r="I247" s="585"/>
      <c r="J247" s="585"/>
      <c r="K247" s="585"/>
      <c r="L247" s="585"/>
      <c r="M247" s="585"/>
      <c r="N247" s="585"/>
      <c r="O247" s="585"/>
      <c r="P247" s="585"/>
      <c r="Q247" s="585"/>
      <c r="R247" s="585"/>
      <c r="S247" s="585"/>
      <c r="T247" s="585"/>
      <c r="U247" s="585"/>
      <c r="V247" s="224"/>
      <c r="W247" s="224"/>
      <c r="X247" s="9"/>
      <c r="Y247" s="9"/>
      <c r="Z247" s="9"/>
    </row>
    <row r="248">
      <c r="A248" s="585"/>
      <c r="B248" s="585"/>
      <c r="C248" s="585"/>
      <c r="D248" s="585"/>
      <c r="E248" s="585"/>
      <c r="F248" s="585"/>
      <c r="G248" s="585"/>
      <c r="H248" s="585"/>
      <c r="I248" s="585"/>
      <c r="J248" s="585"/>
      <c r="K248" s="585"/>
      <c r="L248" s="585"/>
      <c r="M248" s="585"/>
      <c r="N248" s="585"/>
      <c r="O248" s="585"/>
      <c r="P248" s="585"/>
      <c r="Q248" s="585"/>
      <c r="R248" s="585"/>
      <c r="S248" s="585"/>
      <c r="T248" s="585"/>
      <c r="U248" s="585"/>
      <c r="V248" s="224"/>
      <c r="W248" s="224"/>
      <c r="X248" s="9"/>
      <c r="Y248" s="9"/>
      <c r="Z248" s="9"/>
    </row>
    <row r="249">
      <c r="A249" s="585"/>
      <c r="B249" s="585"/>
      <c r="C249" s="585"/>
      <c r="D249" s="585"/>
      <c r="E249" s="585"/>
      <c r="F249" s="585"/>
      <c r="G249" s="585"/>
      <c r="H249" s="585"/>
      <c r="I249" s="585"/>
      <c r="J249" s="585"/>
      <c r="K249" s="585"/>
      <c r="L249" s="585"/>
      <c r="M249" s="585"/>
      <c r="N249" s="585"/>
      <c r="O249" s="585"/>
      <c r="P249" s="585"/>
      <c r="Q249" s="585"/>
      <c r="R249" s="585"/>
      <c r="S249" s="585"/>
      <c r="T249" s="585"/>
      <c r="U249" s="585"/>
      <c r="V249" s="224"/>
      <c r="W249" s="224"/>
      <c r="X249" s="9"/>
      <c r="Y249" s="9"/>
      <c r="Z249" s="9"/>
    </row>
    <row r="250">
      <c r="A250" s="585"/>
      <c r="B250" s="585"/>
      <c r="C250" s="585"/>
      <c r="D250" s="585"/>
      <c r="E250" s="585"/>
      <c r="F250" s="585"/>
      <c r="G250" s="585"/>
      <c r="H250" s="585"/>
      <c r="I250" s="585"/>
      <c r="J250" s="585"/>
      <c r="K250" s="585"/>
      <c r="L250" s="585"/>
      <c r="M250" s="585"/>
      <c r="N250" s="585"/>
      <c r="O250" s="585"/>
      <c r="P250" s="585"/>
      <c r="Q250" s="585"/>
      <c r="R250" s="585"/>
      <c r="S250" s="585"/>
      <c r="T250" s="585"/>
      <c r="U250" s="585"/>
      <c r="V250" s="224"/>
      <c r="W250" s="224"/>
      <c r="X250" s="9"/>
      <c r="Y250" s="9"/>
      <c r="Z250" s="9"/>
    </row>
    <row r="251">
      <c r="A251" s="585"/>
      <c r="B251" s="585"/>
      <c r="C251" s="585"/>
      <c r="D251" s="585"/>
      <c r="E251" s="585"/>
      <c r="F251" s="585"/>
      <c r="G251" s="585"/>
      <c r="H251" s="585"/>
      <c r="I251" s="585"/>
      <c r="J251" s="585"/>
      <c r="K251" s="585"/>
      <c r="L251" s="585"/>
      <c r="M251" s="585"/>
      <c r="N251" s="585"/>
      <c r="O251" s="585"/>
      <c r="P251" s="585"/>
      <c r="Q251" s="585"/>
      <c r="R251" s="585"/>
      <c r="S251" s="585"/>
      <c r="T251" s="585"/>
      <c r="U251" s="585"/>
      <c r="V251" s="224"/>
      <c r="W251" s="224"/>
      <c r="X251" s="9"/>
      <c r="Y251" s="9"/>
      <c r="Z251" s="9"/>
    </row>
    <row r="252">
      <c r="A252" s="585"/>
      <c r="B252" s="585"/>
      <c r="C252" s="585"/>
      <c r="D252" s="585"/>
      <c r="E252" s="585"/>
      <c r="F252" s="585"/>
      <c r="G252" s="585"/>
      <c r="H252" s="585"/>
      <c r="I252" s="585"/>
      <c r="J252" s="585"/>
      <c r="K252" s="585"/>
      <c r="L252" s="585"/>
      <c r="M252" s="585"/>
      <c r="N252" s="585"/>
      <c r="O252" s="585"/>
      <c r="P252" s="585"/>
      <c r="Q252" s="585"/>
      <c r="R252" s="585"/>
      <c r="S252" s="585"/>
      <c r="T252" s="585"/>
      <c r="U252" s="585"/>
      <c r="V252" s="224"/>
      <c r="W252" s="224"/>
      <c r="X252" s="9"/>
      <c r="Y252" s="9"/>
      <c r="Z252" s="9"/>
    </row>
    <row r="253">
      <c r="A253" s="585"/>
      <c r="B253" s="585"/>
      <c r="C253" s="585"/>
      <c r="D253" s="585"/>
      <c r="E253" s="585"/>
      <c r="F253" s="585"/>
      <c r="G253" s="585"/>
      <c r="H253" s="585"/>
      <c r="I253" s="585"/>
      <c r="J253" s="585"/>
      <c r="K253" s="585"/>
      <c r="L253" s="585"/>
      <c r="M253" s="585"/>
      <c r="N253" s="585"/>
      <c r="O253" s="585"/>
      <c r="P253" s="585"/>
      <c r="Q253" s="585"/>
      <c r="R253" s="585"/>
      <c r="S253" s="585"/>
      <c r="T253" s="585"/>
      <c r="U253" s="585"/>
      <c r="V253" s="224"/>
      <c r="W253" s="224"/>
      <c r="X253" s="9"/>
      <c r="Y253" s="9"/>
      <c r="Z253" s="9"/>
    </row>
    <row r="254">
      <c r="A254" s="585"/>
      <c r="B254" s="585"/>
      <c r="C254" s="585"/>
      <c r="D254" s="585"/>
      <c r="E254" s="585"/>
      <c r="F254" s="585"/>
      <c r="G254" s="585"/>
      <c r="H254" s="585"/>
      <c r="I254" s="585"/>
      <c r="J254" s="585"/>
      <c r="K254" s="585"/>
      <c r="L254" s="585"/>
      <c r="M254" s="585"/>
      <c r="N254" s="585"/>
      <c r="O254" s="585"/>
      <c r="P254" s="585"/>
      <c r="Q254" s="585"/>
      <c r="R254" s="585"/>
      <c r="S254" s="585"/>
      <c r="T254" s="585"/>
      <c r="U254" s="585"/>
      <c r="V254" s="224"/>
      <c r="W254" s="224"/>
      <c r="X254" s="9"/>
      <c r="Y254" s="9"/>
      <c r="Z254" s="9"/>
    </row>
    <row r="255">
      <c r="A255" s="585"/>
      <c r="B255" s="585"/>
      <c r="C255" s="585"/>
      <c r="D255" s="585"/>
      <c r="E255" s="585"/>
      <c r="F255" s="585"/>
      <c r="G255" s="585"/>
      <c r="H255" s="585"/>
      <c r="I255" s="585"/>
      <c r="J255" s="585"/>
      <c r="K255" s="585"/>
      <c r="L255" s="585"/>
      <c r="M255" s="585"/>
      <c r="N255" s="585"/>
      <c r="O255" s="585"/>
      <c r="P255" s="585"/>
      <c r="Q255" s="585"/>
      <c r="R255" s="585"/>
      <c r="S255" s="585"/>
      <c r="T255" s="585"/>
      <c r="U255" s="585"/>
      <c r="V255" s="224"/>
      <c r="W255" s="224"/>
      <c r="X255" s="9"/>
      <c r="Y255" s="9"/>
      <c r="Z255" s="9"/>
    </row>
    <row r="256">
      <c r="A256" s="585"/>
      <c r="B256" s="585"/>
      <c r="C256" s="585"/>
      <c r="D256" s="585"/>
      <c r="E256" s="585"/>
      <c r="F256" s="585"/>
      <c r="G256" s="585"/>
      <c r="H256" s="585"/>
      <c r="I256" s="585"/>
      <c r="J256" s="585"/>
      <c r="K256" s="585"/>
      <c r="L256" s="585"/>
      <c r="M256" s="585"/>
      <c r="N256" s="585"/>
      <c r="O256" s="585"/>
      <c r="P256" s="585"/>
      <c r="Q256" s="585"/>
      <c r="R256" s="585"/>
      <c r="S256" s="585"/>
      <c r="T256" s="585"/>
      <c r="U256" s="585"/>
      <c r="V256" s="224"/>
      <c r="W256" s="224"/>
      <c r="X256" s="9"/>
      <c r="Y256" s="9"/>
      <c r="Z256" s="9"/>
    </row>
    <row r="257">
      <c r="A257" s="585"/>
      <c r="B257" s="585"/>
      <c r="C257" s="585"/>
      <c r="D257" s="585"/>
      <c r="E257" s="585"/>
      <c r="F257" s="585"/>
      <c r="G257" s="585"/>
      <c r="H257" s="585"/>
      <c r="I257" s="585"/>
      <c r="J257" s="585"/>
      <c r="K257" s="585"/>
      <c r="L257" s="585"/>
      <c r="M257" s="585"/>
      <c r="N257" s="585"/>
      <c r="O257" s="585"/>
      <c r="P257" s="585"/>
      <c r="Q257" s="585"/>
      <c r="R257" s="585"/>
      <c r="S257" s="585"/>
      <c r="T257" s="585"/>
      <c r="U257" s="585"/>
      <c r="V257" s="224"/>
      <c r="W257" s="224"/>
      <c r="X257" s="9"/>
      <c r="Y257" s="9"/>
      <c r="Z257" s="9"/>
    </row>
    <row r="258">
      <c r="A258" s="585"/>
      <c r="B258" s="585"/>
      <c r="C258" s="585"/>
      <c r="D258" s="585"/>
      <c r="E258" s="585"/>
      <c r="F258" s="585"/>
      <c r="G258" s="585"/>
      <c r="H258" s="585"/>
      <c r="I258" s="585"/>
      <c r="J258" s="585"/>
      <c r="K258" s="585"/>
      <c r="L258" s="585"/>
      <c r="M258" s="585"/>
      <c r="N258" s="585"/>
      <c r="O258" s="585"/>
      <c r="P258" s="585"/>
      <c r="Q258" s="585"/>
      <c r="R258" s="585"/>
      <c r="S258" s="585"/>
      <c r="T258" s="585"/>
      <c r="U258" s="585"/>
      <c r="V258" s="224"/>
      <c r="W258" s="224"/>
      <c r="X258" s="9"/>
      <c r="Y258" s="9"/>
      <c r="Z258" s="9"/>
    </row>
    <row r="259">
      <c r="A259" s="585"/>
      <c r="B259" s="585"/>
      <c r="C259" s="585"/>
      <c r="D259" s="585"/>
      <c r="E259" s="585"/>
      <c r="F259" s="585"/>
      <c r="G259" s="585"/>
      <c r="H259" s="585"/>
      <c r="I259" s="585"/>
      <c r="J259" s="585"/>
      <c r="K259" s="585"/>
      <c r="L259" s="585"/>
      <c r="M259" s="585"/>
      <c r="N259" s="585"/>
      <c r="O259" s="585"/>
      <c r="P259" s="585"/>
      <c r="Q259" s="585"/>
      <c r="R259" s="585"/>
      <c r="S259" s="585"/>
      <c r="T259" s="585"/>
      <c r="U259" s="585"/>
      <c r="V259" s="224"/>
      <c r="W259" s="224"/>
      <c r="X259" s="9"/>
      <c r="Y259" s="9"/>
      <c r="Z259" s="9"/>
    </row>
    <row r="260">
      <c r="A260" s="585"/>
      <c r="B260" s="585"/>
      <c r="C260" s="585"/>
      <c r="D260" s="585"/>
      <c r="E260" s="585"/>
      <c r="F260" s="585"/>
      <c r="G260" s="585"/>
      <c r="H260" s="585"/>
      <c r="I260" s="585"/>
      <c r="J260" s="585"/>
      <c r="K260" s="585"/>
      <c r="L260" s="585"/>
      <c r="M260" s="585"/>
      <c r="N260" s="585"/>
      <c r="O260" s="585"/>
      <c r="P260" s="585"/>
      <c r="Q260" s="585"/>
      <c r="R260" s="585"/>
      <c r="S260" s="585"/>
      <c r="T260" s="585"/>
      <c r="U260" s="585"/>
      <c r="V260" s="224"/>
      <c r="W260" s="224"/>
      <c r="X260" s="9"/>
      <c r="Y260" s="9"/>
      <c r="Z260" s="9"/>
    </row>
    <row r="261">
      <c r="A261" s="585"/>
      <c r="B261" s="585"/>
      <c r="C261" s="585"/>
      <c r="D261" s="585"/>
      <c r="E261" s="585"/>
      <c r="F261" s="585"/>
      <c r="G261" s="585"/>
      <c r="H261" s="585"/>
      <c r="I261" s="585"/>
      <c r="J261" s="585"/>
      <c r="K261" s="585"/>
      <c r="L261" s="585"/>
      <c r="M261" s="585"/>
      <c r="N261" s="585"/>
      <c r="O261" s="585"/>
      <c r="P261" s="585"/>
      <c r="Q261" s="585"/>
      <c r="R261" s="585"/>
      <c r="S261" s="585"/>
      <c r="T261" s="585"/>
      <c r="U261" s="585"/>
      <c r="V261" s="224"/>
      <c r="W261" s="224"/>
      <c r="X261" s="9"/>
      <c r="Y261" s="9"/>
      <c r="Z261" s="9"/>
    </row>
    <row r="262">
      <c r="A262" s="585"/>
      <c r="B262" s="585"/>
      <c r="C262" s="585"/>
      <c r="D262" s="585"/>
      <c r="E262" s="585"/>
      <c r="F262" s="585"/>
      <c r="G262" s="585"/>
      <c r="H262" s="585"/>
      <c r="I262" s="585"/>
      <c r="J262" s="585"/>
      <c r="K262" s="585"/>
      <c r="L262" s="585"/>
      <c r="M262" s="585"/>
      <c r="N262" s="585"/>
      <c r="O262" s="585"/>
      <c r="P262" s="585"/>
      <c r="Q262" s="585"/>
      <c r="R262" s="585"/>
      <c r="S262" s="585"/>
      <c r="T262" s="585"/>
      <c r="U262" s="585"/>
      <c r="V262" s="224"/>
      <c r="W262" s="224"/>
      <c r="X262" s="9"/>
      <c r="Y262" s="9"/>
      <c r="Z262" s="9"/>
    </row>
    <row r="263">
      <c r="A263" s="585"/>
      <c r="B263" s="585"/>
      <c r="C263" s="585"/>
      <c r="D263" s="585"/>
      <c r="E263" s="585"/>
      <c r="F263" s="585"/>
      <c r="G263" s="585"/>
      <c r="H263" s="585"/>
      <c r="I263" s="585"/>
      <c r="J263" s="585"/>
      <c r="K263" s="585"/>
      <c r="L263" s="585"/>
      <c r="M263" s="585"/>
      <c r="N263" s="585"/>
      <c r="O263" s="585"/>
      <c r="P263" s="585"/>
      <c r="Q263" s="585"/>
      <c r="R263" s="585"/>
      <c r="S263" s="585"/>
      <c r="T263" s="585"/>
      <c r="U263" s="585"/>
      <c r="V263" s="224"/>
      <c r="W263" s="224"/>
      <c r="X263" s="9"/>
      <c r="Y263" s="9"/>
      <c r="Z263" s="9"/>
    </row>
    <row r="264">
      <c r="A264" s="585"/>
      <c r="B264" s="585"/>
      <c r="C264" s="585"/>
      <c r="D264" s="585"/>
      <c r="E264" s="585"/>
      <c r="F264" s="585"/>
      <c r="G264" s="585"/>
      <c r="H264" s="585"/>
      <c r="I264" s="585"/>
      <c r="J264" s="585"/>
      <c r="K264" s="585"/>
      <c r="L264" s="585"/>
      <c r="M264" s="585"/>
      <c r="N264" s="585"/>
      <c r="O264" s="585"/>
      <c r="P264" s="585"/>
      <c r="Q264" s="585"/>
      <c r="R264" s="585"/>
      <c r="S264" s="585"/>
      <c r="T264" s="585"/>
      <c r="U264" s="585"/>
      <c r="V264" s="224"/>
      <c r="W264" s="224"/>
      <c r="X264" s="9"/>
      <c r="Y264" s="9"/>
      <c r="Z264" s="9"/>
    </row>
    <row r="265">
      <c r="A265" s="585"/>
      <c r="B265" s="585"/>
      <c r="C265" s="585"/>
      <c r="D265" s="585"/>
      <c r="E265" s="585"/>
      <c r="F265" s="585"/>
      <c r="G265" s="585"/>
      <c r="H265" s="585"/>
      <c r="I265" s="585"/>
      <c r="J265" s="585"/>
      <c r="K265" s="585"/>
      <c r="L265" s="585"/>
      <c r="M265" s="585"/>
      <c r="N265" s="585"/>
      <c r="O265" s="585"/>
      <c r="P265" s="585"/>
      <c r="Q265" s="585"/>
      <c r="R265" s="585"/>
      <c r="S265" s="585"/>
      <c r="T265" s="585"/>
      <c r="U265" s="585"/>
      <c r="V265" s="224"/>
      <c r="W265" s="224"/>
      <c r="X265" s="9"/>
      <c r="Y265" s="9"/>
      <c r="Z265" s="9"/>
    </row>
    <row r="266">
      <c r="A266" s="585"/>
      <c r="B266" s="585"/>
      <c r="C266" s="585"/>
      <c r="D266" s="585"/>
      <c r="E266" s="585"/>
      <c r="F266" s="585"/>
      <c r="G266" s="585"/>
      <c r="H266" s="585"/>
      <c r="I266" s="585"/>
      <c r="J266" s="585"/>
      <c r="K266" s="585"/>
      <c r="L266" s="585"/>
      <c r="M266" s="585"/>
      <c r="N266" s="585"/>
      <c r="O266" s="585"/>
      <c r="P266" s="585"/>
      <c r="Q266" s="585"/>
      <c r="R266" s="585"/>
      <c r="S266" s="585"/>
      <c r="T266" s="585"/>
      <c r="U266" s="585"/>
      <c r="V266" s="224"/>
      <c r="W266" s="224"/>
      <c r="X266" s="9"/>
      <c r="Y266" s="9"/>
      <c r="Z266" s="9"/>
    </row>
    <row r="267">
      <c r="A267" s="585"/>
      <c r="B267" s="585"/>
      <c r="C267" s="585"/>
      <c r="D267" s="585"/>
      <c r="E267" s="585"/>
      <c r="F267" s="585"/>
      <c r="G267" s="585"/>
      <c r="H267" s="585"/>
      <c r="I267" s="585"/>
      <c r="J267" s="585"/>
      <c r="K267" s="585"/>
      <c r="L267" s="585"/>
      <c r="M267" s="585"/>
      <c r="N267" s="585"/>
      <c r="O267" s="585"/>
      <c r="P267" s="585"/>
      <c r="Q267" s="585"/>
      <c r="R267" s="585"/>
      <c r="S267" s="585"/>
      <c r="T267" s="585"/>
      <c r="U267" s="585"/>
      <c r="V267" s="224"/>
      <c r="W267" s="224"/>
      <c r="X267" s="9"/>
      <c r="Y267" s="9"/>
      <c r="Z267" s="9"/>
    </row>
    <row r="268">
      <c r="A268" s="585"/>
      <c r="B268" s="585"/>
      <c r="C268" s="585"/>
      <c r="D268" s="585"/>
      <c r="E268" s="585"/>
      <c r="F268" s="585"/>
      <c r="G268" s="585"/>
      <c r="H268" s="585"/>
      <c r="I268" s="585"/>
      <c r="J268" s="585"/>
      <c r="K268" s="585"/>
      <c r="L268" s="585"/>
      <c r="M268" s="585"/>
      <c r="N268" s="585"/>
      <c r="O268" s="585"/>
      <c r="P268" s="585"/>
      <c r="Q268" s="585"/>
      <c r="R268" s="585"/>
      <c r="S268" s="585"/>
      <c r="T268" s="585"/>
      <c r="U268" s="585"/>
      <c r="V268" s="224"/>
      <c r="W268" s="224"/>
      <c r="X268" s="9"/>
      <c r="Y268" s="9"/>
      <c r="Z268" s="9"/>
    </row>
    <row r="269">
      <c r="A269" s="585"/>
      <c r="B269" s="585"/>
      <c r="C269" s="585"/>
      <c r="D269" s="585"/>
      <c r="E269" s="585"/>
      <c r="F269" s="585"/>
      <c r="G269" s="585"/>
      <c r="H269" s="585"/>
      <c r="I269" s="585"/>
      <c r="J269" s="585"/>
      <c r="K269" s="585"/>
      <c r="L269" s="585"/>
      <c r="M269" s="585"/>
      <c r="N269" s="585"/>
      <c r="O269" s="585"/>
      <c r="P269" s="585"/>
      <c r="Q269" s="585"/>
      <c r="R269" s="585"/>
      <c r="S269" s="585"/>
      <c r="T269" s="585"/>
      <c r="U269" s="585"/>
      <c r="V269" s="224"/>
      <c r="W269" s="224"/>
      <c r="X269" s="9"/>
      <c r="Y269" s="9"/>
      <c r="Z269" s="9"/>
    </row>
    <row r="270">
      <c r="A270" s="585"/>
      <c r="B270" s="585"/>
      <c r="C270" s="585"/>
      <c r="D270" s="585"/>
      <c r="E270" s="585"/>
      <c r="F270" s="585"/>
      <c r="G270" s="585"/>
      <c r="H270" s="585"/>
      <c r="I270" s="585"/>
      <c r="J270" s="585"/>
      <c r="K270" s="585"/>
      <c r="L270" s="585"/>
      <c r="M270" s="585"/>
      <c r="N270" s="585"/>
      <c r="O270" s="585"/>
      <c r="P270" s="585"/>
      <c r="Q270" s="585"/>
      <c r="R270" s="585"/>
      <c r="S270" s="585"/>
      <c r="T270" s="585"/>
      <c r="U270" s="585"/>
      <c r="V270" s="224"/>
      <c r="W270" s="224"/>
      <c r="X270" s="9"/>
      <c r="Y270" s="9"/>
      <c r="Z270" s="9"/>
    </row>
    <row r="271">
      <c r="A271" s="585"/>
      <c r="B271" s="585"/>
      <c r="C271" s="585"/>
      <c r="D271" s="585"/>
      <c r="E271" s="585"/>
      <c r="F271" s="585"/>
      <c r="G271" s="585"/>
      <c r="H271" s="585"/>
      <c r="I271" s="585"/>
      <c r="J271" s="585"/>
      <c r="K271" s="585"/>
      <c r="L271" s="585"/>
      <c r="M271" s="585"/>
      <c r="N271" s="585"/>
      <c r="O271" s="585"/>
      <c r="P271" s="585"/>
      <c r="Q271" s="585"/>
      <c r="R271" s="585"/>
      <c r="S271" s="585"/>
      <c r="T271" s="585"/>
      <c r="U271" s="585"/>
      <c r="V271" s="224"/>
      <c r="W271" s="224"/>
      <c r="X271" s="9"/>
      <c r="Y271" s="9"/>
      <c r="Z271" s="9"/>
    </row>
    <row r="272">
      <c r="A272" s="585"/>
      <c r="B272" s="585"/>
      <c r="C272" s="585"/>
      <c r="D272" s="585"/>
      <c r="E272" s="585"/>
      <c r="F272" s="585"/>
      <c r="G272" s="585"/>
      <c r="H272" s="585"/>
      <c r="I272" s="585"/>
      <c r="J272" s="585"/>
      <c r="K272" s="585"/>
      <c r="L272" s="585"/>
      <c r="M272" s="585"/>
      <c r="N272" s="585"/>
      <c r="O272" s="585"/>
      <c r="P272" s="585"/>
      <c r="Q272" s="585"/>
      <c r="R272" s="585"/>
      <c r="S272" s="585"/>
      <c r="T272" s="585"/>
      <c r="U272" s="585"/>
      <c r="V272" s="224"/>
      <c r="W272" s="224"/>
      <c r="X272" s="9"/>
      <c r="Y272" s="9"/>
      <c r="Z272" s="9"/>
    </row>
    <row r="273">
      <c r="A273" s="585"/>
      <c r="B273" s="585"/>
      <c r="C273" s="585"/>
      <c r="D273" s="585"/>
      <c r="E273" s="585"/>
      <c r="F273" s="585"/>
      <c r="G273" s="585"/>
      <c r="H273" s="585"/>
      <c r="I273" s="585"/>
      <c r="J273" s="585"/>
      <c r="K273" s="585"/>
      <c r="L273" s="585"/>
      <c r="M273" s="585"/>
      <c r="N273" s="585"/>
      <c r="O273" s="585"/>
      <c r="P273" s="585"/>
      <c r="Q273" s="585"/>
      <c r="R273" s="585"/>
      <c r="S273" s="585"/>
      <c r="T273" s="585"/>
      <c r="U273" s="585"/>
      <c r="V273" s="224"/>
      <c r="W273" s="224"/>
      <c r="X273" s="9"/>
      <c r="Y273" s="9"/>
      <c r="Z273" s="9"/>
    </row>
    <row r="274">
      <c r="A274" s="585"/>
      <c r="B274" s="585"/>
      <c r="C274" s="585"/>
      <c r="D274" s="585"/>
      <c r="E274" s="585"/>
      <c r="F274" s="585"/>
      <c r="G274" s="585"/>
      <c r="H274" s="585"/>
      <c r="I274" s="585"/>
      <c r="J274" s="585"/>
      <c r="K274" s="585"/>
      <c r="L274" s="585"/>
      <c r="M274" s="585"/>
      <c r="N274" s="585"/>
      <c r="O274" s="585"/>
      <c r="P274" s="585"/>
      <c r="Q274" s="585"/>
      <c r="R274" s="585"/>
      <c r="S274" s="585"/>
      <c r="T274" s="585"/>
      <c r="U274" s="585"/>
      <c r="V274" s="224"/>
      <c r="W274" s="224"/>
      <c r="X274" s="9"/>
      <c r="Y274" s="9"/>
      <c r="Z274" s="9"/>
    </row>
    <row r="275">
      <c r="A275" s="585"/>
      <c r="B275" s="585"/>
      <c r="C275" s="585"/>
      <c r="D275" s="585"/>
      <c r="E275" s="585"/>
      <c r="F275" s="585"/>
      <c r="G275" s="585"/>
      <c r="H275" s="585"/>
      <c r="I275" s="585"/>
      <c r="J275" s="585"/>
      <c r="K275" s="585"/>
      <c r="L275" s="585"/>
      <c r="M275" s="585"/>
      <c r="N275" s="585"/>
      <c r="O275" s="585"/>
      <c r="P275" s="585"/>
      <c r="Q275" s="585"/>
      <c r="R275" s="585"/>
      <c r="S275" s="585"/>
      <c r="T275" s="585"/>
      <c r="U275" s="585"/>
      <c r="V275" s="224"/>
      <c r="W275" s="224"/>
      <c r="X275" s="9"/>
      <c r="Y275" s="9"/>
      <c r="Z275" s="9"/>
    </row>
    <row r="276">
      <c r="A276" s="585"/>
      <c r="B276" s="585"/>
      <c r="C276" s="585"/>
      <c r="D276" s="585"/>
      <c r="E276" s="585"/>
      <c r="F276" s="585"/>
      <c r="G276" s="585"/>
      <c r="H276" s="585"/>
      <c r="I276" s="585"/>
      <c r="J276" s="585"/>
      <c r="K276" s="585"/>
      <c r="L276" s="585"/>
      <c r="M276" s="585"/>
      <c r="N276" s="585"/>
      <c r="O276" s="585"/>
      <c r="P276" s="585"/>
      <c r="Q276" s="585"/>
      <c r="R276" s="585"/>
      <c r="S276" s="585"/>
      <c r="T276" s="585"/>
      <c r="U276" s="585"/>
      <c r="V276" s="224"/>
      <c r="W276" s="224"/>
      <c r="X276" s="9"/>
      <c r="Y276" s="9"/>
      <c r="Z276" s="9"/>
    </row>
    <row r="277">
      <c r="A277" s="585"/>
      <c r="B277" s="585"/>
      <c r="C277" s="585"/>
      <c r="D277" s="585"/>
      <c r="E277" s="585"/>
      <c r="F277" s="585"/>
      <c r="G277" s="585"/>
      <c r="H277" s="585"/>
      <c r="I277" s="585"/>
      <c r="J277" s="585"/>
      <c r="K277" s="585"/>
      <c r="L277" s="585"/>
      <c r="M277" s="585"/>
      <c r="N277" s="585"/>
      <c r="O277" s="585"/>
      <c r="P277" s="585"/>
      <c r="Q277" s="585"/>
      <c r="R277" s="585"/>
      <c r="S277" s="585"/>
      <c r="T277" s="585"/>
      <c r="U277" s="585"/>
      <c r="V277" s="224"/>
      <c r="W277" s="224"/>
      <c r="X277" s="9"/>
      <c r="Y277" s="9"/>
      <c r="Z277" s="9"/>
    </row>
    <row r="278">
      <c r="A278" s="585"/>
      <c r="B278" s="585"/>
      <c r="C278" s="585"/>
      <c r="D278" s="585"/>
      <c r="E278" s="585"/>
      <c r="F278" s="585"/>
      <c r="G278" s="585"/>
      <c r="H278" s="585"/>
      <c r="I278" s="585"/>
      <c r="J278" s="585"/>
      <c r="K278" s="585"/>
      <c r="L278" s="585"/>
      <c r="M278" s="585"/>
      <c r="N278" s="585"/>
      <c r="O278" s="585"/>
      <c r="P278" s="585"/>
      <c r="Q278" s="585"/>
      <c r="R278" s="585"/>
      <c r="S278" s="585"/>
      <c r="T278" s="585"/>
      <c r="U278" s="585"/>
      <c r="V278" s="224"/>
      <c r="W278" s="224"/>
      <c r="X278" s="9"/>
      <c r="Y278" s="9"/>
      <c r="Z278" s="9"/>
    </row>
    <row r="279">
      <c r="A279" s="585"/>
      <c r="B279" s="585"/>
      <c r="C279" s="585"/>
      <c r="D279" s="585"/>
      <c r="E279" s="585"/>
      <c r="F279" s="585"/>
      <c r="G279" s="585"/>
      <c r="H279" s="585"/>
      <c r="I279" s="585"/>
      <c r="J279" s="585"/>
      <c r="K279" s="585"/>
      <c r="L279" s="585"/>
      <c r="M279" s="585"/>
      <c r="N279" s="585"/>
      <c r="O279" s="585"/>
      <c r="P279" s="585"/>
      <c r="Q279" s="585"/>
      <c r="R279" s="585"/>
      <c r="S279" s="585"/>
      <c r="T279" s="585"/>
      <c r="U279" s="585"/>
      <c r="V279" s="224"/>
      <c r="W279" s="224"/>
      <c r="X279" s="9"/>
      <c r="Y279" s="9"/>
      <c r="Z279" s="9"/>
    </row>
    <row r="280">
      <c r="A280" s="585"/>
      <c r="B280" s="585"/>
      <c r="C280" s="585"/>
      <c r="D280" s="585"/>
      <c r="E280" s="585"/>
      <c r="F280" s="585"/>
      <c r="G280" s="585"/>
      <c r="H280" s="585"/>
      <c r="I280" s="585"/>
      <c r="J280" s="585"/>
      <c r="K280" s="585"/>
      <c r="L280" s="585"/>
      <c r="M280" s="585"/>
      <c r="N280" s="585"/>
      <c r="O280" s="585"/>
      <c r="P280" s="585"/>
      <c r="Q280" s="585"/>
      <c r="R280" s="585"/>
      <c r="S280" s="585"/>
      <c r="T280" s="585"/>
      <c r="U280" s="585"/>
      <c r="V280" s="224"/>
      <c r="W280" s="224"/>
      <c r="X280" s="9"/>
      <c r="Y280" s="9"/>
      <c r="Z280" s="9"/>
    </row>
    <row r="281">
      <c r="A281" s="585"/>
      <c r="B281" s="585"/>
      <c r="C281" s="585"/>
      <c r="D281" s="585"/>
      <c r="E281" s="585"/>
      <c r="F281" s="585"/>
      <c r="G281" s="585"/>
      <c r="H281" s="585"/>
      <c r="I281" s="585"/>
      <c r="J281" s="585"/>
      <c r="K281" s="585"/>
      <c r="L281" s="585"/>
      <c r="M281" s="585"/>
      <c r="N281" s="585"/>
      <c r="O281" s="585"/>
      <c r="P281" s="585"/>
      <c r="Q281" s="585"/>
      <c r="R281" s="585"/>
      <c r="S281" s="585"/>
      <c r="T281" s="585"/>
      <c r="U281" s="585"/>
      <c r="V281" s="224"/>
      <c r="W281" s="224"/>
      <c r="X281" s="9"/>
      <c r="Y281" s="9"/>
      <c r="Z281" s="9"/>
    </row>
    <row r="282">
      <c r="A282" s="585"/>
      <c r="B282" s="585"/>
      <c r="C282" s="585"/>
      <c r="D282" s="585"/>
      <c r="E282" s="585"/>
      <c r="F282" s="585"/>
      <c r="G282" s="585"/>
      <c r="H282" s="585"/>
      <c r="I282" s="585"/>
      <c r="J282" s="585"/>
      <c r="K282" s="585"/>
      <c r="L282" s="585"/>
      <c r="M282" s="585"/>
      <c r="N282" s="585"/>
      <c r="O282" s="585"/>
      <c r="P282" s="585"/>
      <c r="Q282" s="585"/>
      <c r="R282" s="585"/>
      <c r="S282" s="585"/>
      <c r="T282" s="585"/>
      <c r="U282" s="585"/>
      <c r="V282" s="224"/>
      <c r="W282" s="224"/>
      <c r="X282" s="9"/>
      <c r="Y282" s="9"/>
      <c r="Z282" s="9"/>
    </row>
    <row r="283">
      <c r="A283" s="585"/>
      <c r="B283" s="585"/>
      <c r="C283" s="585"/>
      <c r="D283" s="585"/>
      <c r="E283" s="585"/>
      <c r="F283" s="585"/>
      <c r="G283" s="585"/>
      <c r="H283" s="585"/>
      <c r="I283" s="585"/>
      <c r="J283" s="585"/>
      <c r="K283" s="585"/>
      <c r="L283" s="585"/>
      <c r="M283" s="585"/>
      <c r="N283" s="585"/>
      <c r="O283" s="585"/>
      <c r="P283" s="585"/>
      <c r="Q283" s="585"/>
      <c r="R283" s="585"/>
      <c r="S283" s="585"/>
      <c r="T283" s="585"/>
      <c r="U283" s="585"/>
      <c r="V283" s="224"/>
      <c r="W283" s="224"/>
      <c r="X283" s="9"/>
      <c r="Y283" s="9"/>
      <c r="Z283" s="9"/>
    </row>
    <row r="284">
      <c r="A284" s="585"/>
      <c r="B284" s="585"/>
      <c r="C284" s="585"/>
      <c r="D284" s="585"/>
      <c r="E284" s="585"/>
      <c r="F284" s="585"/>
      <c r="G284" s="585"/>
      <c r="H284" s="585"/>
      <c r="I284" s="585"/>
      <c r="J284" s="585"/>
      <c r="K284" s="585"/>
      <c r="L284" s="585"/>
      <c r="M284" s="585"/>
      <c r="N284" s="585"/>
      <c r="O284" s="585"/>
      <c r="P284" s="585"/>
      <c r="Q284" s="585"/>
      <c r="R284" s="585"/>
      <c r="S284" s="585"/>
      <c r="T284" s="585"/>
      <c r="U284" s="585"/>
      <c r="V284" s="224"/>
      <c r="W284" s="224"/>
      <c r="X284" s="9"/>
      <c r="Y284" s="9"/>
      <c r="Z284" s="9"/>
    </row>
    <row r="285">
      <c r="A285" s="585"/>
      <c r="B285" s="585"/>
      <c r="C285" s="585"/>
      <c r="D285" s="585"/>
      <c r="E285" s="585"/>
      <c r="F285" s="585"/>
      <c r="G285" s="585"/>
      <c r="H285" s="585"/>
      <c r="I285" s="585"/>
      <c r="J285" s="585"/>
      <c r="K285" s="585"/>
      <c r="L285" s="585"/>
      <c r="M285" s="585"/>
      <c r="N285" s="585"/>
      <c r="O285" s="585"/>
      <c r="P285" s="585"/>
      <c r="Q285" s="585"/>
      <c r="R285" s="585"/>
      <c r="S285" s="585"/>
      <c r="T285" s="585"/>
      <c r="U285" s="585"/>
      <c r="V285" s="224"/>
      <c r="W285" s="224"/>
      <c r="X285" s="9"/>
      <c r="Y285" s="9"/>
      <c r="Z285" s="9"/>
    </row>
    <row r="286">
      <c r="A286" s="585"/>
      <c r="B286" s="585"/>
      <c r="C286" s="585"/>
      <c r="D286" s="585"/>
      <c r="E286" s="585"/>
      <c r="F286" s="585"/>
      <c r="G286" s="585"/>
      <c r="H286" s="585"/>
      <c r="I286" s="585"/>
      <c r="J286" s="585"/>
      <c r="K286" s="585"/>
      <c r="L286" s="585"/>
      <c r="M286" s="585"/>
      <c r="N286" s="585"/>
      <c r="O286" s="585"/>
      <c r="P286" s="585"/>
      <c r="Q286" s="585"/>
      <c r="R286" s="585"/>
      <c r="S286" s="585"/>
      <c r="T286" s="585"/>
      <c r="U286" s="585"/>
      <c r="V286" s="224"/>
      <c r="W286" s="224"/>
      <c r="X286" s="9"/>
      <c r="Y286" s="9"/>
      <c r="Z286" s="9"/>
    </row>
    <row r="287">
      <c r="A287" s="585"/>
      <c r="B287" s="585"/>
      <c r="C287" s="585"/>
      <c r="D287" s="585"/>
      <c r="E287" s="585"/>
      <c r="F287" s="585"/>
      <c r="G287" s="585"/>
      <c r="H287" s="585"/>
      <c r="I287" s="585"/>
      <c r="J287" s="585"/>
      <c r="K287" s="585"/>
      <c r="L287" s="585"/>
      <c r="M287" s="585"/>
      <c r="N287" s="585"/>
      <c r="O287" s="585"/>
      <c r="P287" s="585"/>
      <c r="Q287" s="585"/>
      <c r="R287" s="585"/>
      <c r="S287" s="585"/>
      <c r="T287" s="585"/>
      <c r="U287" s="585"/>
      <c r="V287" s="224"/>
      <c r="W287" s="224"/>
      <c r="X287" s="9"/>
      <c r="Y287" s="9"/>
      <c r="Z287" s="9"/>
    </row>
    <row r="288">
      <c r="A288" s="585"/>
      <c r="B288" s="585"/>
      <c r="C288" s="585"/>
      <c r="D288" s="585"/>
      <c r="E288" s="585"/>
      <c r="F288" s="585"/>
      <c r="G288" s="585"/>
      <c r="H288" s="585"/>
      <c r="I288" s="585"/>
      <c r="J288" s="585"/>
      <c r="K288" s="585"/>
      <c r="L288" s="585"/>
      <c r="M288" s="585"/>
      <c r="N288" s="585"/>
      <c r="O288" s="585"/>
      <c r="P288" s="585"/>
      <c r="Q288" s="585"/>
      <c r="R288" s="585"/>
      <c r="S288" s="585"/>
      <c r="T288" s="585"/>
      <c r="U288" s="585"/>
      <c r="V288" s="224"/>
      <c r="W288" s="224"/>
      <c r="X288" s="9"/>
      <c r="Y288" s="9"/>
      <c r="Z288" s="9"/>
    </row>
    <row r="289">
      <c r="A289" s="585"/>
      <c r="B289" s="585"/>
      <c r="C289" s="585"/>
      <c r="D289" s="585"/>
      <c r="E289" s="585"/>
      <c r="F289" s="585"/>
      <c r="G289" s="585"/>
      <c r="H289" s="585"/>
      <c r="I289" s="585"/>
      <c r="J289" s="585"/>
      <c r="K289" s="585"/>
      <c r="L289" s="585"/>
      <c r="M289" s="585"/>
      <c r="N289" s="585"/>
      <c r="O289" s="585"/>
      <c r="P289" s="585"/>
      <c r="Q289" s="585"/>
      <c r="R289" s="585"/>
      <c r="S289" s="585"/>
      <c r="T289" s="585"/>
      <c r="U289" s="585"/>
      <c r="V289" s="224"/>
      <c r="W289" s="224"/>
      <c r="X289" s="9"/>
      <c r="Y289" s="9"/>
      <c r="Z289" s="9"/>
    </row>
    <row r="290">
      <c r="A290" s="585"/>
      <c r="B290" s="585"/>
      <c r="C290" s="585"/>
      <c r="D290" s="585"/>
      <c r="E290" s="585"/>
      <c r="F290" s="585"/>
      <c r="G290" s="585"/>
      <c r="H290" s="585"/>
      <c r="I290" s="585"/>
      <c r="J290" s="585"/>
      <c r="K290" s="585"/>
      <c r="L290" s="585"/>
      <c r="M290" s="585"/>
      <c r="N290" s="585"/>
      <c r="O290" s="585"/>
      <c r="P290" s="585"/>
      <c r="Q290" s="585"/>
      <c r="R290" s="585"/>
      <c r="S290" s="585"/>
      <c r="T290" s="585"/>
      <c r="U290" s="585"/>
      <c r="V290" s="224"/>
      <c r="W290" s="224"/>
      <c r="X290" s="9"/>
      <c r="Y290" s="9"/>
      <c r="Z290" s="9"/>
    </row>
    <row r="291">
      <c r="A291" s="585"/>
      <c r="B291" s="585"/>
      <c r="C291" s="585"/>
      <c r="D291" s="585"/>
      <c r="E291" s="585"/>
      <c r="F291" s="585"/>
      <c r="G291" s="585"/>
      <c r="H291" s="585"/>
      <c r="I291" s="585"/>
      <c r="J291" s="585"/>
      <c r="K291" s="585"/>
      <c r="L291" s="585"/>
      <c r="M291" s="585"/>
      <c r="N291" s="585"/>
      <c r="O291" s="585"/>
      <c r="P291" s="585"/>
      <c r="Q291" s="585"/>
      <c r="R291" s="585"/>
      <c r="S291" s="585"/>
      <c r="T291" s="585"/>
      <c r="U291" s="585"/>
      <c r="V291" s="224"/>
      <c r="W291" s="224"/>
      <c r="X291" s="9"/>
      <c r="Y291" s="9"/>
      <c r="Z291" s="9"/>
    </row>
    <row r="292">
      <c r="A292" s="585"/>
      <c r="B292" s="585"/>
      <c r="C292" s="585"/>
      <c r="D292" s="585"/>
      <c r="E292" s="585"/>
      <c r="F292" s="585"/>
      <c r="G292" s="585"/>
      <c r="H292" s="585"/>
      <c r="I292" s="585"/>
      <c r="J292" s="585"/>
      <c r="K292" s="585"/>
      <c r="L292" s="585"/>
      <c r="M292" s="585"/>
      <c r="N292" s="585"/>
      <c r="O292" s="585"/>
      <c r="P292" s="585"/>
      <c r="Q292" s="585"/>
      <c r="R292" s="585"/>
      <c r="S292" s="585"/>
      <c r="T292" s="585"/>
      <c r="U292" s="585"/>
      <c r="V292" s="224"/>
      <c r="W292" s="224"/>
      <c r="X292" s="9"/>
      <c r="Y292" s="9"/>
      <c r="Z292" s="9"/>
    </row>
    <row r="293">
      <c r="A293" s="585"/>
      <c r="B293" s="585"/>
      <c r="C293" s="585"/>
      <c r="D293" s="585"/>
      <c r="E293" s="585"/>
      <c r="F293" s="585"/>
      <c r="G293" s="585"/>
      <c r="H293" s="585"/>
      <c r="I293" s="585"/>
      <c r="J293" s="585"/>
      <c r="K293" s="585"/>
      <c r="L293" s="585"/>
      <c r="M293" s="585"/>
      <c r="N293" s="585"/>
      <c r="O293" s="585"/>
      <c r="P293" s="585"/>
      <c r="Q293" s="585"/>
      <c r="R293" s="585"/>
      <c r="S293" s="585"/>
      <c r="T293" s="585"/>
      <c r="U293" s="585"/>
      <c r="V293" s="224"/>
      <c r="W293" s="224"/>
      <c r="X293" s="9"/>
      <c r="Y293" s="9"/>
      <c r="Z293" s="9"/>
    </row>
    <row r="294">
      <c r="A294" s="585"/>
      <c r="B294" s="585"/>
      <c r="C294" s="585"/>
      <c r="D294" s="585"/>
      <c r="E294" s="585"/>
      <c r="F294" s="585"/>
      <c r="G294" s="585"/>
      <c r="H294" s="585"/>
      <c r="I294" s="585"/>
      <c r="J294" s="585"/>
      <c r="K294" s="585"/>
      <c r="L294" s="585"/>
      <c r="M294" s="585"/>
      <c r="N294" s="585"/>
      <c r="O294" s="585"/>
      <c r="P294" s="585"/>
      <c r="Q294" s="585"/>
      <c r="R294" s="585"/>
      <c r="S294" s="585"/>
      <c r="T294" s="585"/>
      <c r="U294" s="585"/>
      <c r="V294" s="224"/>
      <c r="W294" s="224"/>
      <c r="X294" s="9"/>
      <c r="Y294" s="9"/>
      <c r="Z294" s="9"/>
    </row>
    <row r="295">
      <c r="A295" s="585"/>
      <c r="B295" s="585"/>
      <c r="C295" s="585"/>
      <c r="D295" s="585"/>
      <c r="E295" s="585"/>
      <c r="F295" s="585"/>
      <c r="G295" s="585"/>
      <c r="H295" s="585"/>
      <c r="I295" s="585"/>
      <c r="J295" s="585"/>
      <c r="K295" s="585"/>
      <c r="L295" s="585"/>
      <c r="M295" s="585"/>
      <c r="N295" s="585"/>
      <c r="O295" s="585"/>
      <c r="P295" s="585"/>
      <c r="Q295" s="585"/>
      <c r="R295" s="585"/>
      <c r="S295" s="585"/>
      <c r="T295" s="585"/>
      <c r="U295" s="585"/>
      <c r="V295" s="224"/>
      <c r="W295" s="224"/>
      <c r="X295" s="9"/>
      <c r="Y295" s="9"/>
      <c r="Z295" s="9"/>
    </row>
    <row r="296">
      <c r="A296" s="585"/>
      <c r="B296" s="585"/>
      <c r="C296" s="585"/>
      <c r="D296" s="585"/>
      <c r="E296" s="585"/>
      <c r="F296" s="585"/>
      <c r="G296" s="585"/>
      <c r="H296" s="585"/>
      <c r="I296" s="585"/>
      <c r="J296" s="585"/>
      <c r="K296" s="585"/>
      <c r="L296" s="585"/>
      <c r="M296" s="585"/>
      <c r="N296" s="585"/>
      <c r="O296" s="585"/>
      <c r="P296" s="585"/>
      <c r="Q296" s="585"/>
      <c r="R296" s="585"/>
      <c r="S296" s="585"/>
      <c r="T296" s="585"/>
      <c r="U296" s="585"/>
      <c r="V296" s="224"/>
      <c r="W296" s="224"/>
      <c r="X296" s="9"/>
      <c r="Y296" s="9"/>
      <c r="Z296" s="9"/>
    </row>
    <row r="297">
      <c r="A297" s="585"/>
      <c r="B297" s="585"/>
      <c r="C297" s="585"/>
      <c r="D297" s="585"/>
      <c r="E297" s="585"/>
      <c r="F297" s="585"/>
      <c r="G297" s="585"/>
      <c r="H297" s="585"/>
      <c r="I297" s="585"/>
      <c r="J297" s="585"/>
      <c r="K297" s="585"/>
      <c r="L297" s="585"/>
      <c r="M297" s="585"/>
      <c r="N297" s="585"/>
      <c r="O297" s="585"/>
      <c r="P297" s="585"/>
      <c r="Q297" s="585"/>
      <c r="R297" s="585"/>
      <c r="S297" s="585"/>
      <c r="T297" s="585"/>
      <c r="U297" s="585"/>
      <c r="V297" s="224"/>
      <c r="W297" s="224"/>
      <c r="X297" s="9"/>
      <c r="Y297" s="9"/>
      <c r="Z297" s="9"/>
    </row>
    <row r="298">
      <c r="A298" s="585"/>
      <c r="B298" s="585"/>
      <c r="C298" s="585"/>
      <c r="D298" s="585"/>
      <c r="E298" s="585"/>
      <c r="F298" s="585"/>
      <c r="G298" s="585"/>
      <c r="H298" s="585"/>
      <c r="I298" s="585"/>
      <c r="J298" s="585"/>
      <c r="K298" s="585"/>
      <c r="L298" s="585"/>
      <c r="M298" s="585"/>
      <c r="N298" s="585"/>
      <c r="O298" s="585"/>
      <c r="P298" s="585"/>
      <c r="Q298" s="585"/>
      <c r="R298" s="585"/>
      <c r="S298" s="585"/>
      <c r="T298" s="585"/>
      <c r="U298" s="585"/>
      <c r="V298" s="224"/>
      <c r="W298" s="224"/>
      <c r="X298" s="9"/>
      <c r="Y298" s="9"/>
      <c r="Z298" s="9"/>
    </row>
    <row r="299">
      <c r="A299" s="585"/>
      <c r="B299" s="585"/>
      <c r="C299" s="585"/>
      <c r="D299" s="585"/>
      <c r="E299" s="585"/>
      <c r="F299" s="585"/>
      <c r="G299" s="585"/>
      <c r="H299" s="585"/>
      <c r="I299" s="585"/>
      <c r="J299" s="585"/>
      <c r="K299" s="585"/>
      <c r="L299" s="585"/>
      <c r="M299" s="585"/>
      <c r="N299" s="585"/>
      <c r="O299" s="585"/>
      <c r="P299" s="585"/>
      <c r="Q299" s="585"/>
      <c r="R299" s="585"/>
      <c r="S299" s="585"/>
      <c r="T299" s="585"/>
      <c r="U299" s="585"/>
      <c r="V299" s="224"/>
      <c r="W299" s="224"/>
      <c r="X299" s="9"/>
      <c r="Y299" s="9"/>
      <c r="Z299" s="9"/>
    </row>
    <row r="300">
      <c r="A300" s="585"/>
      <c r="B300" s="585"/>
      <c r="C300" s="585"/>
      <c r="D300" s="585"/>
      <c r="E300" s="585"/>
      <c r="F300" s="585"/>
      <c r="G300" s="585"/>
      <c r="H300" s="585"/>
      <c r="I300" s="585"/>
      <c r="J300" s="585"/>
      <c r="K300" s="585"/>
      <c r="L300" s="585"/>
      <c r="M300" s="585"/>
      <c r="N300" s="585"/>
      <c r="O300" s="585"/>
      <c r="P300" s="585"/>
      <c r="Q300" s="585"/>
      <c r="R300" s="585"/>
      <c r="S300" s="585"/>
      <c r="T300" s="585"/>
      <c r="U300" s="585"/>
      <c r="V300" s="224"/>
      <c r="W300" s="224"/>
      <c r="X300" s="9"/>
      <c r="Y300" s="9"/>
      <c r="Z300" s="9"/>
    </row>
    <row r="301">
      <c r="A301" s="585"/>
      <c r="B301" s="585"/>
      <c r="C301" s="585"/>
      <c r="D301" s="585"/>
      <c r="E301" s="585"/>
      <c r="F301" s="585"/>
      <c r="G301" s="585"/>
      <c r="H301" s="585"/>
      <c r="I301" s="585"/>
      <c r="J301" s="585"/>
      <c r="K301" s="585"/>
      <c r="L301" s="585"/>
      <c r="M301" s="585"/>
      <c r="N301" s="585"/>
      <c r="O301" s="585"/>
      <c r="P301" s="585"/>
      <c r="Q301" s="585"/>
      <c r="R301" s="585"/>
      <c r="S301" s="585"/>
      <c r="T301" s="585"/>
      <c r="U301" s="585"/>
      <c r="V301" s="224"/>
      <c r="W301" s="224"/>
      <c r="X301" s="9"/>
      <c r="Y301" s="9"/>
      <c r="Z301" s="9"/>
    </row>
    <row r="302">
      <c r="A302" s="585"/>
      <c r="B302" s="585"/>
      <c r="C302" s="585"/>
      <c r="D302" s="585"/>
      <c r="E302" s="585"/>
      <c r="F302" s="585"/>
      <c r="G302" s="585"/>
      <c r="H302" s="585"/>
      <c r="I302" s="585"/>
      <c r="J302" s="585"/>
      <c r="K302" s="585"/>
      <c r="L302" s="585"/>
      <c r="M302" s="585"/>
      <c r="N302" s="585"/>
      <c r="O302" s="585"/>
      <c r="P302" s="585"/>
      <c r="Q302" s="585"/>
      <c r="R302" s="585"/>
      <c r="S302" s="585"/>
      <c r="T302" s="585"/>
      <c r="U302" s="585"/>
      <c r="V302" s="224"/>
      <c r="W302" s="224"/>
      <c r="X302" s="9"/>
      <c r="Y302" s="9"/>
      <c r="Z302" s="9"/>
    </row>
    <row r="303">
      <c r="A303" s="585"/>
      <c r="B303" s="585"/>
      <c r="C303" s="585"/>
      <c r="D303" s="585"/>
      <c r="E303" s="585"/>
      <c r="F303" s="585"/>
      <c r="G303" s="585"/>
      <c r="H303" s="585"/>
      <c r="I303" s="585"/>
      <c r="J303" s="585"/>
      <c r="K303" s="585"/>
      <c r="L303" s="585"/>
      <c r="M303" s="585"/>
      <c r="N303" s="585"/>
      <c r="O303" s="585"/>
      <c r="P303" s="585"/>
      <c r="Q303" s="585"/>
      <c r="R303" s="585"/>
      <c r="S303" s="585"/>
      <c r="T303" s="585"/>
      <c r="U303" s="585"/>
      <c r="V303" s="224"/>
      <c r="W303" s="224"/>
      <c r="X303" s="9"/>
      <c r="Y303" s="9"/>
      <c r="Z303" s="9"/>
    </row>
    <row r="304">
      <c r="A304" s="585"/>
      <c r="B304" s="585"/>
      <c r="C304" s="585"/>
      <c r="D304" s="585"/>
      <c r="E304" s="585"/>
      <c r="F304" s="585"/>
      <c r="G304" s="585"/>
      <c r="H304" s="585"/>
      <c r="I304" s="585"/>
      <c r="J304" s="585"/>
      <c r="K304" s="585"/>
      <c r="L304" s="585"/>
      <c r="M304" s="585"/>
      <c r="N304" s="585"/>
      <c r="O304" s="585"/>
      <c r="P304" s="585"/>
      <c r="Q304" s="585"/>
      <c r="R304" s="585"/>
      <c r="S304" s="585"/>
      <c r="T304" s="585"/>
      <c r="U304" s="585"/>
      <c r="V304" s="224"/>
      <c r="W304" s="224"/>
      <c r="X304" s="9"/>
      <c r="Y304" s="9"/>
      <c r="Z304" s="9"/>
    </row>
    <row r="305">
      <c r="A305" s="585"/>
      <c r="B305" s="585"/>
      <c r="C305" s="585"/>
      <c r="D305" s="585"/>
      <c r="E305" s="585"/>
      <c r="F305" s="585"/>
      <c r="G305" s="585"/>
      <c r="H305" s="585"/>
      <c r="I305" s="585"/>
      <c r="J305" s="585"/>
      <c r="K305" s="585"/>
      <c r="L305" s="585"/>
      <c r="M305" s="585"/>
      <c r="N305" s="585"/>
      <c r="O305" s="585"/>
      <c r="P305" s="585"/>
      <c r="Q305" s="585"/>
      <c r="R305" s="585"/>
      <c r="S305" s="585"/>
      <c r="T305" s="585"/>
      <c r="U305" s="585"/>
      <c r="V305" s="224"/>
      <c r="W305" s="224"/>
      <c r="X305" s="9"/>
      <c r="Y305" s="9"/>
      <c r="Z305" s="9"/>
    </row>
    <row r="306">
      <c r="A306" s="585"/>
      <c r="B306" s="585"/>
      <c r="C306" s="585"/>
      <c r="D306" s="585"/>
      <c r="E306" s="585"/>
      <c r="F306" s="585"/>
      <c r="G306" s="585"/>
      <c r="H306" s="585"/>
      <c r="I306" s="585"/>
      <c r="J306" s="585"/>
      <c r="K306" s="585"/>
      <c r="L306" s="585"/>
      <c r="M306" s="585"/>
      <c r="N306" s="585"/>
      <c r="O306" s="585"/>
      <c r="P306" s="585"/>
      <c r="Q306" s="585"/>
      <c r="R306" s="585"/>
      <c r="S306" s="585"/>
      <c r="T306" s="585"/>
      <c r="U306" s="585"/>
      <c r="V306" s="224"/>
      <c r="W306" s="224"/>
      <c r="X306" s="9"/>
      <c r="Y306" s="9"/>
      <c r="Z306" s="9"/>
    </row>
    <row r="307">
      <c r="A307" s="585"/>
      <c r="B307" s="585"/>
      <c r="C307" s="585"/>
      <c r="D307" s="585"/>
      <c r="E307" s="585"/>
      <c r="F307" s="585"/>
      <c r="G307" s="585"/>
      <c r="H307" s="585"/>
      <c r="I307" s="585"/>
      <c r="J307" s="585"/>
      <c r="K307" s="585"/>
      <c r="L307" s="585"/>
      <c r="M307" s="585"/>
      <c r="N307" s="585"/>
      <c r="O307" s="585"/>
      <c r="P307" s="585"/>
      <c r="Q307" s="585"/>
      <c r="R307" s="585"/>
      <c r="S307" s="585"/>
      <c r="T307" s="585"/>
      <c r="U307" s="585"/>
      <c r="V307" s="224"/>
      <c r="W307" s="224"/>
      <c r="X307" s="9"/>
      <c r="Y307" s="9"/>
      <c r="Z307" s="9"/>
    </row>
    <row r="308">
      <c r="A308" s="585"/>
      <c r="B308" s="585"/>
      <c r="C308" s="585"/>
      <c r="D308" s="585"/>
      <c r="E308" s="585"/>
      <c r="F308" s="585"/>
      <c r="G308" s="585"/>
      <c r="H308" s="585"/>
      <c r="I308" s="585"/>
      <c r="J308" s="585"/>
      <c r="K308" s="585"/>
      <c r="L308" s="585"/>
      <c r="M308" s="585"/>
      <c r="N308" s="585"/>
      <c r="O308" s="585"/>
      <c r="P308" s="585"/>
      <c r="Q308" s="585"/>
      <c r="R308" s="585"/>
      <c r="S308" s="585"/>
      <c r="T308" s="585"/>
      <c r="U308" s="585"/>
      <c r="V308" s="224"/>
      <c r="W308" s="224"/>
      <c r="X308" s="9"/>
      <c r="Y308" s="9"/>
      <c r="Z308" s="9"/>
    </row>
    <row r="309">
      <c r="A309" s="585"/>
      <c r="B309" s="585"/>
      <c r="C309" s="585"/>
      <c r="D309" s="585"/>
      <c r="E309" s="585"/>
      <c r="F309" s="585"/>
      <c r="G309" s="585"/>
      <c r="H309" s="585"/>
      <c r="I309" s="585"/>
      <c r="J309" s="585"/>
      <c r="K309" s="585"/>
      <c r="L309" s="585"/>
      <c r="M309" s="585"/>
      <c r="N309" s="585"/>
      <c r="O309" s="585"/>
      <c r="P309" s="585"/>
      <c r="Q309" s="585"/>
      <c r="R309" s="585"/>
      <c r="S309" s="585"/>
      <c r="T309" s="585"/>
      <c r="U309" s="585"/>
      <c r="V309" s="224"/>
      <c r="W309" s="224"/>
      <c r="X309" s="9"/>
      <c r="Y309" s="9"/>
      <c r="Z309" s="9"/>
    </row>
    <row r="310">
      <c r="A310" s="585"/>
      <c r="B310" s="585"/>
      <c r="C310" s="585"/>
      <c r="D310" s="585"/>
      <c r="E310" s="585"/>
      <c r="F310" s="585"/>
      <c r="G310" s="585"/>
      <c r="H310" s="585"/>
      <c r="I310" s="585"/>
      <c r="J310" s="585"/>
      <c r="K310" s="585"/>
      <c r="L310" s="585"/>
      <c r="M310" s="585"/>
      <c r="N310" s="585"/>
      <c r="O310" s="585"/>
      <c r="P310" s="585"/>
      <c r="Q310" s="585"/>
      <c r="R310" s="585"/>
      <c r="S310" s="585"/>
      <c r="T310" s="585"/>
      <c r="U310" s="585"/>
      <c r="V310" s="224"/>
      <c r="W310" s="224"/>
      <c r="X310" s="9"/>
      <c r="Y310" s="9"/>
      <c r="Z310" s="9"/>
    </row>
    <row r="311">
      <c r="A311" s="585"/>
      <c r="B311" s="585"/>
      <c r="C311" s="585"/>
      <c r="D311" s="585"/>
      <c r="E311" s="585"/>
      <c r="F311" s="585"/>
      <c r="G311" s="585"/>
      <c r="H311" s="585"/>
      <c r="I311" s="585"/>
      <c r="J311" s="585"/>
      <c r="K311" s="585"/>
      <c r="L311" s="585"/>
      <c r="M311" s="585"/>
      <c r="N311" s="585"/>
      <c r="O311" s="585"/>
      <c r="P311" s="585"/>
      <c r="Q311" s="585"/>
      <c r="R311" s="585"/>
      <c r="S311" s="585"/>
      <c r="T311" s="585"/>
      <c r="U311" s="585"/>
      <c r="V311" s="224"/>
      <c r="W311" s="224"/>
      <c r="X311" s="9"/>
      <c r="Y311" s="9"/>
      <c r="Z311" s="9"/>
    </row>
    <row r="312">
      <c r="A312" s="585"/>
      <c r="B312" s="585"/>
      <c r="C312" s="585"/>
      <c r="D312" s="585"/>
      <c r="E312" s="585"/>
      <c r="F312" s="585"/>
      <c r="G312" s="585"/>
      <c r="H312" s="585"/>
      <c r="I312" s="585"/>
      <c r="J312" s="585"/>
      <c r="K312" s="585"/>
      <c r="L312" s="585"/>
      <c r="M312" s="585"/>
      <c r="N312" s="585"/>
      <c r="O312" s="585"/>
      <c r="P312" s="585"/>
      <c r="Q312" s="585"/>
      <c r="R312" s="585"/>
      <c r="S312" s="585"/>
      <c r="T312" s="585"/>
      <c r="U312" s="585"/>
      <c r="V312" s="224"/>
      <c r="W312" s="224"/>
      <c r="X312" s="9"/>
      <c r="Y312" s="9"/>
      <c r="Z312" s="9"/>
    </row>
    <row r="313">
      <c r="A313" s="585"/>
      <c r="B313" s="585"/>
      <c r="C313" s="585"/>
      <c r="D313" s="585"/>
      <c r="E313" s="585"/>
      <c r="F313" s="585"/>
      <c r="G313" s="585"/>
      <c r="H313" s="585"/>
      <c r="I313" s="585"/>
      <c r="J313" s="585"/>
      <c r="K313" s="585"/>
      <c r="L313" s="585"/>
      <c r="M313" s="585"/>
      <c r="N313" s="585"/>
      <c r="O313" s="585"/>
      <c r="P313" s="585"/>
      <c r="Q313" s="585"/>
      <c r="R313" s="585"/>
      <c r="S313" s="585"/>
      <c r="T313" s="585"/>
      <c r="U313" s="585"/>
      <c r="V313" s="224"/>
      <c r="W313" s="224"/>
      <c r="X313" s="9"/>
      <c r="Y313" s="9"/>
      <c r="Z313" s="9"/>
    </row>
    <row r="314">
      <c r="A314" s="585"/>
      <c r="B314" s="585"/>
      <c r="C314" s="585"/>
      <c r="D314" s="585"/>
      <c r="E314" s="585"/>
      <c r="F314" s="585"/>
      <c r="G314" s="585"/>
      <c r="H314" s="585"/>
      <c r="I314" s="585"/>
      <c r="J314" s="585"/>
      <c r="K314" s="585"/>
      <c r="L314" s="585"/>
      <c r="M314" s="585"/>
      <c r="N314" s="585"/>
      <c r="O314" s="585"/>
      <c r="P314" s="585"/>
      <c r="Q314" s="585"/>
      <c r="R314" s="585"/>
      <c r="S314" s="585"/>
      <c r="T314" s="585"/>
      <c r="U314" s="585"/>
      <c r="V314" s="224"/>
      <c r="W314" s="224"/>
      <c r="X314" s="9"/>
      <c r="Y314" s="9"/>
      <c r="Z314" s="9"/>
    </row>
    <row r="315">
      <c r="A315" s="585"/>
      <c r="B315" s="585"/>
      <c r="C315" s="585"/>
      <c r="D315" s="585"/>
      <c r="E315" s="585"/>
      <c r="F315" s="585"/>
      <c r="G315" s="585"/>
      <c r="H315" s="585"/>
      <c r="I315" s="585"/>
      <c r="J315" s="585"/>
      <c r="K315" s="585"/>
      <c r="L315" s="585"/>
      <c r="M315" s="585"/>
      <c r="N315" s="585"/>
      <c r="O315" s="585"/>
      <c r="P315" s="585"/>
      <c r="Q315" s="585"/>
      <c r="R315" s="585"/>
      <c r="S315" s="585"/>
      <c r="T315" s="585"/>
      <c r="U315" s="585"/>
      <c r="V315" s="224"/>
      <c r="W315" s="224"/>
      <c r="X315" s="9"/>
      <c r="Y315" s="9"/>
      <c r="Z315" s="9"/>
    </row>
    <row r="316">
      <c r="A316" s="585"/>
      <c r="B316" s="585"/>
      <c r="C316" s="585"/>
      <c r="D316" s="585"/>
      <c r="E316" s="585"/>
      <c r="F316" s="585"/>
      <c r="G316" s="585"/>
      <c r="H316" s="585"/>
      <c r="I316" s="585"/>
      <c r="J316" s="585"/>
      <c r="K316" s="585"/>
      <c r="L316" s="585"/>
      <c r="M316" s="585"/>
      <c r="N316" s="585"/>
      <c r="O316" s="585"/>
      <c r="P316" s="585"/>
      <c r="Q316" s="585"/>
      <c r="R316" s="585"/>
      <c r="S316" s="585"/>
      <c r="T316" s="585"/>
      <c r="U316" s="585"/>
      <c r="V316" s="224"/>
      <c r="W316" s="224"/>
      <c r="X316" s="9"/>
      <c r="Y316" s="9"/>
      <c r="Z316" s="9"/>
    </row>
    <row r="317">
      <c r="A317" s="585"/>
      <c r="B317" s="585"/>
      <c r="C317" s="585"/>
      <c r="D317" s="585"/>
      <c r="E317" s="585"/>
      <c r="F317" s="585"/>
      <c r="G317" s="585"/>
      <c r="H317" s="585"/>
      <c r="I317" s="585"/>
      <c r="J317" s="585"/>
      <c r="K317" s="585"/>
      <c r="L317" s="585"/>
      <c r="M317" s="585"/>
      <c r="N317" s="585"/>
      <c r="O317" s="585"/>
      <c r="P317" s="585"/>
      <c r="Q317" s="585"/>
      <c r="R317" s="585"/>
      <c r="S317" s="585"/>
      <c r="T317" s="585"/>
      <c r="U317" s="585"/>
      <c r="V317" s="224"/>
      <c r="W317" s="224"/>
      <c r="X317" s="9"/>
      <c r="Y317" s="9"/>
      <c r="Z317" s="9"/>
    </row>
    <row r="318">
      <c r="A318" s="585"/>
      <c r="B318" s="585"/>
      <c r="C318" s="585"/>
      <c r="D318" s="585"/>
      <c r="E318" s="585"/>
      <c r="F318" s="585"/>
      <c r="G318" s="585"/>
      <c r="H318" s="585"/>
      <c r="I318" s="585"/>
      <c r="J318" s="585"/>
      <c r="K318" s="585"/>
      <c r="L318" s="585"/>
      <c r="M318" s="585"/>
      <c r="N318" s="585"/>
      <c r="O318" s="585"/>
      <c r="P318" s="585"/>
      <c r="Q318" s="585"/>
      <c r="R318" s="585"/>
      <c r="S318" s="585"/>
      <c r="T318" s="585"/>
      <c r="U318" s="585"/>
      <c r="V318" s="224"/>
      <c r="W318" s="224"/>
      <c r="X318" s="9"/>
      <c r="Y318" s="9"/>
      <c r="Z318" s="9"/>
    </row>
    <row r="319">
      <c r="A319" s="585"/>
      <c r="B319" s="585"/>
      <c r="C319" s="585"/>
      <c r="D319" s="585"/>
      <c r="E319" s="585"/>
      <c r="F319" s="585"/>
      <c r="G319" s="585"/>
      <c r="H319" s="585"/>
      <c r="I319" s="585"/>
      <c r="J319" s="585"/>
      <c r="K319" s="585"/>
      <c r="L319" s="585"/>
      <c r="M319" s="585"/>
      <c r="N319" s="585"/>
      <c r="O319" s="585"/>
      <c r="P319" s="585"/>
      <c r="Q319" s="585"/>
      <c r="R319" s="585"/>
      <c r="S319" s="585"/>
      <c r="T319" s="585"/>
      <c r="U319" s="585"/>
      <c r="V319" s="224"/>
      <c r="W319" s="224"/>
      <c r="X319" s="9"/>
      <c r="Y319" s="9"/>
      <c r="Z319" s="9"/>
    </row>
    <row r="320">
      <c r="A320" s="585"/>
      <c r="B320" s="585"/>
      <c r="C320" s="585"/>
      <c r="D320" s="585"/>
      <c r="E320" s="585"/>
      <c r="F320" s="585"/>
      <c r="G320" s="585"/>
      <c r="H320" s="585"/>
      <c r="I320" s="585"/>
      <c r="J320" s="585"/>
      <c r="K320" s="585"/>
      <c r="L320" s="585"/>
      <c r="M320" s="585"/>
      <c r="N320" s="585"/>
      <c r="O320" s="585"/>
      <c r="P320" s="585"/>
      <c r="Q320" s="585"/>
      <c r="R320" s="585"/>
      <c r="S320" s="585"/>
      <c r="T320" s="585"/>
      <c r="U320" s="585"/>
      <c r="V320" s="224"/>
      <c r="W320" s="224"/>
      <c r="X320" s="9"/>
      <c r="Y320" s="9"/>
      <c r="Z320" s="9"/>
    </row>
    <row r="321">
      <c r="A321" s="585"/>
      <c r="B321" s="585"/>
      <c r="C321" s="585"/>
      <c r="D321" s="585"/>
      <c r="E321" s="585"/>
      <c r="F321" s="585"/>
      <c r="G321" s="585"/>
      <c r="H321" s="585"/>
      <c r="I321" s="585"/>
      <c r="J321" s="585"/>
      <c r="K321" s="585"/>
      <c r="L321" s="585"/>
      <c r="M321" s="585"/>
      <c r="N321" s="585"/>
      <c r="O321" s="585"/>
      <c r="P321" s="585"/>
      <c r="Q321" s="585"/>
      <c r="R321" s="585"/>
      <c r="S321" s="585"/>
      <c r="T321" s="585"/>
      <c r="U321" s="585"/>
      <c r="V321" s="224"/>
      <c r="W321" s="224"/>
      <c r="X321" s="9"/>
      <c r="Y321" s="9"/>
      <c r="Z321" s="9"/>
    </row>
    <row r="322">
      <c r="A322" s="585"/>
      <c r="B322" s="585"/>
      <c r="C322" s="585"/>
      <c r="D322" s="585"/>
      <c r="E322" s="585"/>
      <c r="F322" s="585"/>
      <c r="G322" s="585"/>
      <c r="H322" s="585"/>
      <c r="I322" s="585"/>
      <c r="J322" s="585"/>
      <c r="K322" s="585"/>
      <c r="L322" s="585"/>
      <c r="M322" s="585"/>
      <c r="N322" s="585"/>
      <c r="O322" s="585"/>
      <c r="P322" s="585"/>
      <c r="Q322" s="585"/>
      <c r="R322" s="585"/>
      <c r="S322" s="585"/>
      <c r="T322" s="585"/>
      <c r="U322" s="585"/>
      <c r="V322" s="224"/>
      <c r="W322" s="224"/>
      <c r="X322" s="9"/>
      <c r="Y322" s="9"/>
      <c r="Z322" s="9"/>
    </row>
    <row r="323">
      <c r="A323" s="585"/>
      <c r="B323" s="585"/>
      <c r="C323" s="585"/>
      <c r="D323" s="585"/>
      <c r="E323" s="585"/>
      <c r="F323" s="585"/>
      <c r="G323" s="585"/>
      <c r="H323" s="585"/>
      <c r="I323" s="585"/>
      <c r="J323" s="585"/>
      <c r="K323" s="585"/>
      <c r="L323" s="585"/>
      <c r="M323" s="585"/>
      <c r="N323" s="585"/>
      <c r="O323" s="585"/>
      <c r="P323" s="585"/>
      <c r="Q323" s="585"/>
      <c r="R323" s="585"/>
      <c r="S323" s="585"/>
      <c r="T323" s="585"/>
      <c r="U323" s="585"/>
      <c r="V323" s="224"/>
      <c r="W323" s="224"/>
      <c r="X323" s="9"/>
      <c r="Y323" s="9"/>
      <c r="Z323" s="9"/>
    </row>
    <row r="324">
      <c r="A324" s="585"/>
      <c r="B324" s="585"/>
      <c r="C324" s="585"/>
      <c r="D324" s="585"/>
      <c r="E324" s="585"/>
      <c r="F324" s="585"/>
      <c r="G324" s="585"/>
      <c r="H324" s="585"/>
      <c r="I324" s="585"/>
      <c r="J324" s="585"/>
      <c r="K324" s="585"/>
      <c r="L324" s="585"/>
      <c r="M324" s="585"/>
      <c r="N324" s="585"/>
      <c r="O324" s="585"/>
      <c r="P324" s="585"/>
      <c r="Q324" s="585"/>
      <c r="R324" s="585"/>
      <c r="S324" s="585"/>
      <c r="T324" s="585"/>
      <c r="U324" s="585"/>
      <c r="V324" s="224"/>
      <c r="W324" s="224"/>
      <c r="X324" s="9"/>
      <c r="Y324" s="9"/>
      <c r="Z324" s="9"/>
    </row>
    <row r="325">
      <c r="A325" s="585"/>
      <c r="B325" s="585"/>
      <c r="C325" s="585"/>
      <c r="D325" s="585"/>
      <c r="E325" s="585"/>
      <c r="F325" s="585"/>
      <c r="G325" s="585"/>
      <c r="H325" s="585"/>
      <c r="I325" s="585"/>
      <c r="J325" s="585"/>
      <c r="K325" s="585"/>
      <c r="L325" s="585"/>
      <c r="M325" s="585"/>
      <c r="N325" s="585"/>
      <c r="O325" s="585"/>
      <c r="P325" s="585"/>
      <c r="Q325" s="585"/>
      <c r="R325" s="585"/>
      <c r="S325" s="585"/>
      <c r="T325" s="585"/>
      <c r="U325" s="585"/>
      <c r="V325" s="224"/>
      <c r="W325" s="224"/>
      <c r="X325" s="9"/>
      <c r="Y325" s="9"/>
      <c r="Z325" s="9"/>
    </row>
    <row r="326">
      <c r="A326" s="585"/>
      <c r="B326" s="585"/>
      <c r="C326" s="585"/>
      <c r="D326" s="585"/>
      <c r="E326" s="585"/>
      <c r="F326" s="585"/>
      <c r="G326" s="585"/>
      <c r="H326" s="585"/>
      <c r="I326" s="585"/>
      <c r="J326" s="585"/>
      <c r="K326" s="585"/>
      <c r="L326" s="585"/>
      <c r="M326" s="585"/>
      <c r="N326" s="585"/>
      <c r="O326" s="585"/>
      <c r="P326" s="585"/>
      <c r="Q326" s="585"/>
      <c r="R326" s="585"/>
      <c r="S326" s="585"/>
      <c r="T326" s="585"/>
      <c r="U326" s="585"/>
      <c r="V326" s="224"/>
      <c r="W326" s="224"/>
      <c r="X326" s="9"/>
      <c r="Y326" s="9"/>
      <c r="Z326" s="9"/>
    </row>
    <row r="327">
      <c r="A327" s="585"/>
      <c r="B327" s="585"/>
      <c r="C327" s="585"/>
      <c r="D327" s="585"/>
      <c r="E327" s="585"/>
      <c r="F327" s="585"/>
      <c r="G327" s="585"/>
      <c r="H327" s="585"/>
      <c r="I327" s="585"/>
      <c r="J327" s="585"/>
      <c r="K327" s="585"/>
      <c r="L327" s="585"/>
      <c r="M327" s="585"/>
      <c r="N327" s="585"/>
      <c r="O327" s="585"/>
      <c r="P327" s="585"/>
      <c r="Q327" s="585"/>
      <c r="R327" s="585"/>
      <c r="S327" s="585"/>
      <c r="T327" s="585"/>
      <c r="U327" s="585"/>
      <c r="V327" s="224"/>
      <c r="W327" s="224"/>
      <c r="X327" s="9"/>
      <c r="Y327" s="9"/>
      <c r="Z327" s="9"/>
    </row>
    <row r="328">
      <c r="A328" s="585"/>
      <c r="B328" s="585"/>
      <c r="C328" s="585"/>
      <c r="D328" s="585"/>
      <c r="E328" s="585"/>
      <c r="F328" s="585"/>
      <c r="G328" s="585"/>
      <c r="H328" s="585"/>
      <c r="I328" s="585"/>
      <c r="J328" s="585"/>
      <c r="K328" s="585"/>
      <c r="L328" s="585"/>
      <c r="M328" s="585"/>
      <c r="N328" s="585"/>
      <c r="O328" s="585"/>
      <c r="P328" s="585"/>
      <c r="Q328" s="585"/>
      <c r="R328" s="585"/>
      <c r="S328" s="585"/>
      <c r="T328" s="585"/>
      <c r="U328" s="585"/>
      <c r="V328" s="224"/>
      <c r="W328" s="224"/>
      <c r="X328" s="9"/>
      <c r="Y328" s="9"/>
      <c r="Z328" s="9"/>
    </row>
    <row r="329">
      <c r="A329" s="585"/>
      <c r="B329" s="585"/>
      <c r="C329" s="585"/>
      <c r="D329" s="585"/>
      <c r="E329" s="585"/>
      <c r="F329" s="585"/>
      <c r="G329" s="585"/>
      <c r="H329" s="585"/>
      <c r="I329" s="585"/>
      <c r="J329" s="585"/>
      <c r="K329" s="585"/>
      <c r="L329" s="585"/>
      <c r="M329" s="585"/>
      <c r="N329" s="585"/>
      <c r="O329" s="585"/>
      <c r="P329" s="585"/>
      <c r="Q329" s="585"/>
      <c r="R329" s="585"/>
      <c r="S329" s="585"/>
      <c r="T329" s="585"/>
      <c r="U329" s="585"/>
      <c r="V329" s="224"/>
      <c r="W329" s="224"/>
      <c r="X329" s="9"/>
      <c r="Y329" s="9"/>
      <c r="Z329" s="9"/>
    </row>
    <row r="330">
      <c r="A330" s="585"/>
      <c r="B330" s="585"/>
      <c r="C330" s="585"/>
      <c r="D330" s="585"/>
      <c r="E330" s="585"/>
      <c r="F330" s="585"/>
      <c r="G330" s="585"/>
      <c r="H330" s="585"/>
      <c r="I330" s="585"/>
      <c r="J330" s="585"/>
      <c r="K330" s="585"/>
      <c r="L330" s="585"/>
      <c r="M330" s="585"/>
      <c r="N330" s="585"/>
      <c r="O330" s="585"/>
      <c r="P330" s="585"/>
      <c r="Q330" s="585"/>
      <c r="R330" s="585"/>
      <c r="S330" s="585"/>
      <c r="T330" s="585"/>
      <c r="U330" s="585"/>
      <c r="V330" s="224"/>
      <c r="W330" s="224"/>
      <c r="X330" s="9"/>
      <c r="Y330" s="9"/>
      <c r="Z330" s="9"/>
    </row>
    <row r="331">
      <c r="A331" s="585"/>
      <c r="B331" s="585"/>
      <c r="C331" s="585"/>
      <c r="D331" s="585"/>
      <c r="E331" s="585"/>
      <c r="F331" s="585"/>
      <c r="G331" s="585"/>
      <c r="H331" s="585"/>
      <c r="I331" s="585"/>
      <c r="J331" s="585"/>
      <c r="K331" s="585"/>
      <c r="L331" s="585"/>
      <c r="M331" s="585"/>
      <c r="N331" s="585"/>
      <c r="O331" s="585"/>
      <c r="P331" s="585"/>
      <c r="Q331" s="585"/>
      <c r="R331" s="585"/>
      <c r="S331" s="585"/>
      <c r="T331" s="585"/>
      <c r="U331" s="585"/>
      <c r="V331" s="224"/>
      <c r="W331" s="224"/>
      <c r="X331" s="9"/>
      <c r="Y331" s="9"/>
      <c r="Z331" s="9"/>
    </row>
    <row r="332">
      <c r="A332" s="585"/>
      <c r="B332" s="585"/>
      <c r="C332" s="585"/>
      <c r="D332" s="585"/>
      <c r="E332" s="585"/>
      <c r="F332" s="585"/>
      <c r="G332" s="585"/>
      <c r="H332" s="585"/>
      <c r="I332" s="585"/>
      <c r="J332" s="585"/>
      <c r="K332" s="585"/>
      <c r="L332" s="585"/>
      <c r="M332" s="585"/>
      <c r="N332" s="585"/>
      <c r="O332" s="585"/>
      <c r="P332" s="585"/>
      <c r="Q332" s="585"/>
      <c r="R332" s="585"/>
      <c r="S332" s="585"/>
      <c r="T332" s="585"/>
      <c r="U332" s="585"/>
      <c r="V332" s="224"/>
      <c r="W332" s="224"/>
      <c r="X332" s="9"/>
      <c r="Y332" s="9"/>
      <c r="Z332" s="9"/>
    </row>
    <row r="333">
      <c r="A333" s="585"/>
      <c r="B333" s="585"/>
      <c r="C333" s="585"/>
      <c r="D333" s="585"/>
      <c r="E333" s="585"/>
      <c r="F333" s="585"/>
      <c r="G333" s="585"/>
      <c r="H333" s="585"/>
      <c r="I333" s="585"/>
      <c r="J333" s="585"/>
      <c r="K333" s="585"/>
      <c r="L333" s="585"/>
      <c r="M333" s="585"/>
      <c r="N333" s="585"/>
      <c r="O333" s="585"/>
      <c r="P333" s="585"/>
      <c r="Q333" s="585"/>
      <c r="R333" s="585"/>
      <c r="S333" s="585"/>
      <c r="T333" s="585"/>
      <c r="U333" s="585"/>
      <c r="V333" s="224"/>
      <c r="W333" s="224"/>
      <c r="X333" s="9"/>
      <c r="Y333" s="9"/>
      <c r="Z333" s="9"/>
    </row>
    <row r="334">
      <c r="A334" s="585"/>
      <c r="B334" s="585"/>
      <c r="C334" s="585"/>
      <c r="D334" s="585"/>
      <c r="E334" s="585"/>
      <c r="F334" s="585"/>
      <c r="G334" s="585"/>
      <c r="H334" s="585"/>
      <c r="I334" s="585"/>
      <c r="J334" s="585"/>
      <c r="K334" s="585"/>
      <c r="L334" s="585"/>
      <c r="M334" s="585"/>
      <c r="N334" s="585"/>
      <c r="O334" s="585"/>
      <c r="P334" s="585"/>
      <c r="Q334" s="585"/>
      <c r="R334" s="585"/>
      <c r="S334" s="585"/>
      <c r="T334" s="585"/>
      <c r="U334" s="585"/>
      <c r="V334" s="224"/>
      <c r="W334" s="224"/>
      <c r="X334" s="9"/>
      <c r="Y334" s="9"/>
      <c r="Z334" s="9"/>
    </row>
    <row r="335">
      <c r="A335" s="585"/>
      <c r="B335" s="585"/>
      <c r="C335" s="585"/>
      <c r="D335" s="585"/>
      <c r="E335" s="585"/>
      <c r="F335" s="585"/>
      <c r="G335" s="585"/>
      <c r="H335" s="585"/>
      <c r="I335" s="585"/>
      <c r="J335" s="585"/>
      <c r="K335" s="585"/>
      <c r="L335" s="585"/>
      <c r="M335" s="585"/>
      <c r="N335" s="585"/>
      <c r="O335" s="585"/>
      <c r="P335" s="585"/>
      <c r="Q335" s="585"/>
      <c r="R335" s="585"/>
      <c r="S335" s="585"/>
      <c r="T335" s="585"/>
      <c r="U335" s="585"/>
      <c r="V335" s="224"/>
      <c r="W335" s="224"/>
      <c r="X335" s="9"/>
      <c r="Y335" s="9"/>
      <c r="Z335" s="9"/>
    </row>
    <row r="336">
      <c r="A336" s="585"/>
      <c r="B336" s="585"/>
      <c r="C336" s="585"/>
      <c r="D336" s="585"/>
      <c r="E336" s="585"/>
      <c r="F336" s="585"/>
      <c r="G336" s="585"/>
      <c r="H336" s="585"/>
      <c r="I336" s="585"/>
      <c r="J336" s="585"/>
      <c r="K336" s="585"/>
      <c r="L336" s="585"/>
      <c r="M336" s="585"/>
      <c r="N336" s="585"/>
      <c r="O336" s="585"/>
      <c r="P336" s="585"/>
      <c r="Q336" s="585"/>
      <c r="R336" s="585"/>
      <c r="S336" s="585"/>
      <c r="T336" s="585"/>
      <c r="U336" s="585"/>
      <c r="V336" s="224"/>
      <c r="W336" s="224"/>
      <c r="X336" s="9"/>
      <c r="Y336" s="9"/>
      <c r="Z336" s="9"/>
    </row>
    <row r="337">
      <c r="A337" s="585"/>
      <c r="B337" s="585"/>
      <c r="C337" s="585"/>
      <c r="D337" s="585"/>
      <c r="E337" s="585"/>
      <c r="F337" s="585"/>
      <c r="G337" s="585"/>
      <c r="H337" s="585"/>
      <c r="I337" s="585"/>
      <c r="J337" s="585"/>
      <c r="K337" s="585"/>
      <c r="L337" s="585"/>
      <c r="M337" s="585"/>
      <c r="N337" s="585"/>
      <c r="O337" s="585"/>
      <c r="P337" s="585"/>
      <c r="Q337" s="585"/>
      <c r="R337" s="585"/>
      <c r="S337" s="585"/>
      <c r="T337" s="585"/>
      <c r="U337" s="585"/>
      <c r="V337" s="224"/>
      <c r="W337" s="224"/>
      <c r="X337" s="9"/>
      <c r="Y337" s="9"/>
      <c r="Z337" s="9"/>
    </row>
    <row r="338">
      <c r="A338" s="585"/>
      <c r="B338" s="585"/>
      <c r="C338" s="585"/>
      <c r="D338" s="585"/>
      <c r="E338" s="585"/>
      <c r="F338" s="585"/>
      <c r="G338" s="585"/>
      <c r="H338" s="585"/>
      <c r="I338" s="585"/>
      <c r="J338" s="585"/>
      <c r="K338" s="585"/>
      <c r="L338" s="585"/>
      <c r="M338" s="585"/>
      <c r="N338" s="585"/>
      <c r="O338" s="585"/>
      <c r="P338" s="585"/>
      <c r="Q338" s="585"/>
      <c r="R338" s="585"/>
      <c r="S338" s="585"/>
      <c r="T338" s="585"/>
      <c r="U338" s="585"/>
      <c r="V338" s="224"/>
      <c r="W338" s="224"/>
      <c r="X338" s="9"/>
      <c r="Y338" s="9"/>
      <c r="Z338" s="9"/>
    </row>
    <row r="339">
      <c r="A339" s="585"/>
      <c r="B339" s="585"/>
      <c r="C339" s="585"/>
      <c r="D339" s="585"/>
      <c r="E339" s="585"/>
      <c r="F339" s="585"/>
      <c r="G339" s="585"/>
      <c r="H339" s="585"/>
      <c r="I339" s="585"/>
      <c r="J339" s="585"/>
      <c r="K339" s="585"/>
      <c r="L339" s="585"/>
      <c r="M339" s="585"/>
      <c r="N339" s="585"/>
      <c r="O339" s="585"/>
      <c r="P339" s="585"/>
      <c r="Q339" s="585"/>
      <c r="R339" s="585"/>
      <c r="S339" s="585"/>
      <c r="T339" s="585"/>
      <c r="U339" s="585"/>
      <c r="V339" s="224"/>
      <c r="W339" s="224"/>
      <c r="X339" s="9"/>
      <c r="Y339" s="9"/>
      <c r="Z339" s="9"/>
    </row>
    <row r="340">
      <c r="A340" s="585"/>
      <c r="B340" s="585"/>
      <c r="C340" s="585"/>
      <c r="D340" s="585"/>
      <c r="E340" s="585"/>
      <c r="F340" s="585"/>
      <c r="G340" s="585"/>
      <c r="H340" s="585"/>
      <c r="I340" s="585"/>
      <c r="J340" s="585"/>
      <c r="K340" s="585"/>
      <c r="L340" s="585"/>
      <c r="M340" s="585"/>
      <c r="N340" s="585"/>
      <c r="O340" s="585"/>
      <c r="P340" s="585"/>
      <c r="Q340" s="585"/>
      <c r="R340" s="585"/>
      <c r="S340" s="585"/>
      <c r="T340" s="585"/>
      <c r="U340" s="585"/>
      <c r="V340" s="224"/>
      <c r="W340" s="224"/>
      <c r="X340" s="9"/>
      <c r="Y340" s="9"/>
      <c r="Z340" s="9"/>
    </row>
    <row r="341">
      <c r="A341" s="585"/>
      <c r="B341" s="585"/>
      <c r="C341" s="585"/>
      <c r="D341" s="585"/>
      <c r="E341" s="585"/>
      <c r="F341" s="585"/>
      <c r="G341" s="585"/>
      <c r="H341" s="585"/>
      <c r="I341" s="585"/>
      <c r="J341" s="585"/>
      <c r="K341" s="585"/>
      <c r="L341" s="585"/>
      <c r="M341" s="585"/>
      <c r="N341" s="585"/>
      <c r="O341" s="585"/>
      <c r="P341" s="585"/>
      <c r="Q341" s="585"/>
      <c r="R341" s="585"/>
      <c r="S341" s="585"/>
      <c r="T341" s="585"/>
      <c r="U341" s="585"/>
      <c r="V341" s="224"/>
      <c r="W341" s="224"/>
      <c r="X341" s="9"/>
      <c r="Y341" s="9"/>
      <c r="Z341" s="9"/>
    </row>
    <row r="342">
      <c r="A342" s="585"/>
      <c r="B342" s="585"/>
      <c r="C342" s="585"/>
      <c r="D342" s="585"/>
      <c r="E342" s="585"/>
      <c r="F342" s="585"/>
      <c r="G342" s="585"/>
      <c r="H342" s="585"/>
      <c r="I342" s="585"/>
      <c r="J342" s="585"/>
      <c r="K342" s="585"/>
      <c r="L342" s="585"/>
      <c r="M342" s="585"/>
      <c r="N342" s="585"/>
      <c r="O342" s="585"/>
      <c r="P342" s="585"/>
      <c r="Q342" s="585"/>
      <c r="R342" s="585"/>
      <c r="S342" s="585"/>
      <c r="T342" s="585"/>
      <c r="U342" s="585"/>
      <c r="V342" s="224"/>
      <c r="W342" s="224"/>
      <c r="X342" s="9"/>
      <c r="Y342" s="9"/>
      <c r="Z342" s="9"/>
    </row>
    <row r="343">
      <c r="A343" s="585"/>
      <c r="B343" s="585"/>
      <c r="C343" s="585"/>
      <c r="D343" s="585"/>
      <c r="E343" s="585"/>
      <c r="F343" s="585"/>
      <c r="G343" s="585"/>
      <c r="H343" s="585"/>
      <c r="I343" s="585"/>
      <c r="J343" s="585"/>
      <c r="K343" s="585"/>
      <c r="L343" s="585"/>
      <c r="M343" s="585"/>
      <c r="N343" s="585"/>
      <c r="O343" s="585"/>
      <c r="P343" s="585"/>
      <c r="Q343" s="585"/>
      <c r="R343" s="585"/>
      <c r="S343" s="585"/>
      <c r="T343" s="585"/>
      <c r="U343" s="585"/>
      <c r="V343" s="224"/>
      <c r="W343" s="224"/>
      <c r="X343" s="9"/>
      <c r="Y343" s="9"/>
      <c r="Z343" s="9"/>
    </row>
    <row r="344">
      <c r="A344" s="585"/>
      <c r="B344" s="585"/>
      <c r="C344" s="585"/>
      <c r="D344" s="585"/>
      <c r="E344" s="585"/>
      <c r="F344" s="585"/>
      <c r="G344" s="585"/>
      <c r="H344" s="585"/>
      <c r="I344" s="585"/>
      <c r="J344" s="585"/>
      <c r="K344" s="585"/>
      <c r="L344" s="585"/>
      <c r="M344" s="585"/>
      <c r="N344" s="585"/>
      <c r="O344" s="585"/>
      <c r="P344" s="585"/>
      <c r="Q344" s="585"/>
      <c r="R344" s="585"/>
      <c r="S344" s="585"/>
      <c r="T344" s="585"/>
      <c r="U344" s="585"/>
      <c r="V344" s="224"/>
      <c r="W344" s="224"/>
      <c r="X344" s="9"/>
      <c r="Y344" s="9"/>
      <c r="Z344" s="9"/>
    </row>
    <row r="345">
      <c r="A345" s="585"/>
      <c r="B345" s="585"/>
      <c r="C345" s="585"/>
      <c r="D345" s="585"/>
      <c r="E345" s="585"/>
      <c r="F345" s="585"/>
      <c r="G345" s="585"/>
      <c r="H345" s="585"/>
      <c r="I345" s="585"/>
      <c r="J345" s="585"/>
      <c r="K345" s="585"/>
      <c r="L345" s="585"/>
      <c r="M345" s="585"/>
      <c r="N345" s="585"/>
      <c r="O345" s="585"/>
      <c r="P345" s="585"/>
      <c r="Q345" s="585"/>
      <c r="R345" s="585"/>
      <c r="S345" s="585"/>
      <c r="T345" s="585"/>
      <c r="U345" s="585"/>
      <c r="V345" s="224"/>
      <c r="W345" s="224"/>
      <c r="X345" s="9"/>
      <c r="Y345" s="9"/>
      <c r="Z345" s="9"/>
    </row>
    <row r="346">
      <c r="A346" s="585"/>
      <c r="B346" s="585"/>
      <c r="C346" s="585"/>
      <c r="D346" s="585"/>
      <c r="E346" s="585"/>
      <c r="F346" s="585"/>
      <c r="G346" s="585"/>
      <c r="H346" s="585"/>
      <c r="I346" s="585"/>
      <c r="J346" s="585"/>
      <c r="K346" s="585"/>
      <c r="L346" s="585"/>
      <c r="M346" s="585"/>
      <c r="N346" s="585"/>
      <c r="O346" s="585"/>
      <c r="P346" s="585"/>
      <c r="Q346" s="585"/>
      <c r="R346" s="585"/>
      <c r="S346" s="585"/>
      <c r="T346" s="585"/>
      <c r="U346" s="585"/>
      <c r="V346" s="224"/>
      <c r="W346" s="224"/>
      <c r="X346" s="9"/>
      <c r="Y346" s="9"/>
      <c r="Z346" s="9"/>
    </row>
    <row r="347">
      <c r="A347" s="585"/>
      <c r="B347" s="585"/>
      <c r="C347" s="585"/>
      <c r="D347" s="585"/>
      <c r="E347" s="585"/>
      <c r="F347" s="585"/>
      <c r="G347" s="585"/>
      <c r="H347" s="585"/>
      <c r="I347" s="585"/>
      <c r="J347" s="585"/>
      <c r="K347" s="585"/>
      <c r="L347" s="585"/>
      <c r="M347" s="585"/>
      <c r="N347" s="585"/>
      <c r="O347" s="585"/>
      <c r="P347" s="585"/>
      <c r="Q347" s="585"/>
      <c r="R347" s="585"/>
      <c r="S347" s="585"/>
      <c r="T347" s="585"/>
      <c r="U347" s="585"/>
      <c r="V347" s="224"/>
      <c r="W347" s="224"/>
      <c r="X347" s="9"/>
      <c r="Y347" s="9"/>
      <c r="Z347" s="9"/>
    </row>
    <row r="348">
      <c r="A348" s="585"/>
      <c r="B348" s="585"/>
      <c r="C348" s="585"/>
      <c r="D348" s="585"/>
      <c r="E348" s="585"/>
      <c r="F348" s="585"/>
      <c r="G348" s="585"/>
      <c r="H348" s="585"/>
      <c r="I348" s="585"/>
      <c r="J348" s="585"/>
      <c r="K348" s="585"/>
      <c r="L348" s="585"/>
      <c r="M348" s="585"/>
      <c r="N348" s="585"/>
      <c r="O348" s="585"/>
      <c r="P348" s="585"/>
      <c r="Q348" s="585"/>
      <c r="R348" s="585"/>
      <c r="S348" s="585"/>
      <c r="T348" s="585"/>
      <c r="U348" s="585"/>
      <c r="V348" s="224"/>
      <c r="W348" s="224"/>
      <c r="X348" s="9"/>
      <c r="Y348" s="9"/>
      <c r="Z348" s="9"/>
    </row>
    <row r="349">
      <c r="A349" s="585"/>
      <c r="B349" s="585"/>
      <c r="C349" s="585"/>
      <c r="D349" s="585"/>
      <c r="E349" s="585"/>
      <c r="F349" s="585"/>
      <c r="G349" s="585"/>
      <c r="H349" s="585"/>
      <c r="I349" s="585"/>
      <c r="J349" s="585"/>
      <c r="K349" s="585"/>
      <c r="L349" s="585"/>
      <c r="M349" s="585"/>
      <c r="N349" s="585"/>
      <c r="O349" s="585"/>
      <c r="P349" s="585"/>
      <c r="Q349" s="585"/>
      <c r="R349" s="585"/>
      <c r="S349" s="585"/>
      <c r="T349" s="585"/>
      <c r="U349" s="585"/>
      <c r="V349" s="224"/>
      <c r="W349" s="224"/>
      <c r="X349" s="9"/>
      <c r="Y349" s="9"/>
      <c r="Z349" s="9"/>
    </row>
    <row r="350">
      <c r="A350" s="585"/>
      <c r="B350" s="585"/>
      <c r="C350" s="585"/>
      <c r="D350" s="585"/>
      <c r="E350" s="585"/>
      <c r="F350" s="585"/>
      <c r="G350" s="585"/>
      <c r="H350" s="585"/>
      <c r="I350" s="585"/>
      <c r="J350" s="585"/>
      <c r="K350" s="585"/>
      <c r="L350" s="585"/>
      <c r="M350" s="585"/>
      <c r="N350" s="585"/>
      <c r="O350" s="585"/>
      <c r="P350" s="585"/>
      <c r="Q350" s="585"/>
      <c r="R350" s="585"/>
      <c r="S350" s="585"/>
      <c r="T350" s="585"/>
      <c r="U350" s="585"/>
      <c r="V350" s="224"/>
      <c r="W350" s="224"/>
      <c r="X350" s="9"/>
      <c r="Y350" s="9"/>
      <c r="Z350" s="9"/>
    </row>
    <row r="351">
      <c r="A351" s="585"/>
      <c r="B351" s="585"/>
      <c r="C351" s="585"/>
      <c r="D351" s="585"/>
      <c r="E351" s="585"/>
      <c r="F351" s="585"/>
      <c r="G351" s="585"/>
      <c r="H351" s="585"/>
      <c r="I351" s="585"/>
      <c r="J351" s="585"/>
      <c r="K351" s="585"/>
      <c r="L351" s="585"/>
      <c r="M351" s="585"/>
      <c r="N351" s="585"/>
      <c r="O351" s="585"/>
      <c r="P351" s="585"/>
      <c r="Q351" s="585"/>
      <c r="R351" s="585"/>
      <c r="S351" s="585"/>
      <c r="T351" s="585"/>
      <c r="U351" s="585"/>
      <c r="V351" s="224"/>
      <c r="W351" s="224"/>
      <c r="X351" s="9"/>
      <c r="Y351" s="9"/>
      <c r="Z351" s="9"/>
    </row>
    <row r="352">
      <c r="A352" s="585"/>
      <c r="B352" s="585"/>
      <c r="C352" s="585"/>
      <c r="D352" s="585"/>
      <c r="E352" s="585"/>
      <c r="F352" s="585"/>
      <c r="G352" s="585"/>
      <c r="H352" s="585"/>
      <c r="I352" s="585"/>
      <c r="J352" s="585"/>
      <c r="K352" s="585"/>
      <c r="L352" s="585"/>
      <c r="M352" s="585"/>
      <c r="N352" s="585"/>
      <c r="O352" s="585"/>
      <c r="P352" s="585"/>
      <c r="Q352" s="585"/>
      <c r="R352" s="585"/>
      <c r="S352" s="585"/>
      <c r="T352" s="585"/>
      <c r="U352" s="585"/>
      <c r="V352" s="224"/>
      <c r="W352" s="224"/>
      <c r="X352" s="9"/>
      <c r="Y352" s="9"/>
      <c r="Z352" s="9"/>
    </row>
    <row r="353">
      <c r="A353" s="585"/>
      <c r="B353" s="585"/>
      <c r="C353" s="585"/>
      <c r="D353" s="585"/>
      <c r="E353" s="585"/>
      <c r="F353" s="585"/>
      <c r="G353" s="585"/>
      <c r="H353" s="585"/>
      <c r="I353" s="585"/>
      <c r="J353" s="585"/>
      <c r="K353" s="585"/>
      <c r="L353" s="585"/>
      <c r="M353" s="585"/>
      <c r="N353" s="585"/>
      <c r="O353" s="585"/>
      <c r="P353" s="585"/>
      <c r="Q353" s="585"/>
      <c r="R353" s="585"/>
      <c r="S353" s="585"/>
      <c r="T353" s="585"/>
      <c r="U353" s="585"/>
      <c r="V353" s="224"/>
      <c r="W353" s="224"/>
      <c r="X353" s="9"/>
      <c r="Y353" s="9"/>
      <c r="Z353" s="9"/>
    </row>
    <row r="354">
      <c r="A354" s="585"/>
      <c r="B354" s="585"/>
      <c r="C354" s="585"/>
      <c r="D354" s="585"/>
      <c r="E354" s="585"/>
      <c r="F354" s="585"/>
      <c r="G354" s="585"/>
      <c r="H354" s="585"/>
      <c r="I354" s="585"/>
      <c r="J354" s="585"/>
      <c r="K354" s="585"/>
      <c r="L354" s="585"/>
      <c r="M354" s="585"/>
      <c r="N354" s="585"/>
      <c r="O354" s="585"/>
      <c r="P354" s="585"/>
      <c r="Q354" s="585"/>
      <c r="R354" s="585"/>
      <c r="S354" s="585"/>
      <c r="T354" s="585"/>
      <c r="U354" s="585"/>
      <c r="V354" s="224"/>
      <c r="W354" s="224"/>
      <c r="X354" s="9"/>
      <c r="Y354" s="9"/>
      <c r="Z354" s="9"/>
    </row>
    <row r="355">
      <c r="A355" s="585"/>
      <c r="B355" s="585"/>
      <c r="C355" s="585"/>
      <c r="D355" s="585"/>
      <c r="E355" s="585"/>
      <c r="F355" s="585"/>
      <c r="G355" s="585"/>
      <c r="H355" s="585"/>
      <c r="I355" s="585"/>
      <c r="J355" s="585"/>
      <c r="K355" s="585"/>
      <c r="L355" s="585"/>
      <c r="M355" s="585"/>
      <c r="N355" s="585"/>
      <c r="O355" s="585"/>
      <c r="P355" s="585"/>
      <c r="Q355" s="585"/>
      <c r="R355" s="585"/>
      <c r="S355" s="585"/>
      <c r="T355" s="585"/>
      <c r="U355" s="585"/>
      <c r="V355" s="224"/>
      <c r="W355" s="224"/>
      <c r="X355" s="9"/>
      <c r="Y355" s="9"/>
      <c r="Z355" s="9"/>
    </row>
    <row r="356">
      <c r="A356" s="585"/>
      <c r="B356" s="585"/>
      <c r="C356" s="585"/>
      <c r="D356" s="585"/>
      <c r="E356" s="585"/>
      <c r="F356" s="585"/>
      <c r="G356" s="585"/>
      <c r="H356" s="585"/>
      <c r="I356" s="585"/>
      <c r="J356" s="585"/>
      <c r="K356" s="585"/>
      <c r="L356" s="585"/>
      <c r="M356" s="585"/>
      <c r="N356" s="585"/>
      <c r="O356" s="585"/>
      <c r="P356" s="585"/>
      <c r="Q356" s="585"/>
      <c r="R356" s="585"/>
      <c r="S356" s="585"/>
      <c r="T356" s="585"/>
      <c r="U356" s="585"/>
      <c r="V356" s="224"/>
      <c r="W356" s="224"/>
      <c r="X356" s="9"/>
      <c r="Y356" s="9"/>
      <c r="Z356" s="9"/>
    </row>
    <row r="357">
      <c r="A357" s="585"/>
      <c r="B357" s="585"/>
      <c r="C357" s="585"/>
      <c r="D357" s="585"/>
      <c r="E357" s="585"/>
      <c r="F357" s="585"/>
      <c r="G357" s="585"/>
      <c r="H357" s="585"/>
      <c r="I357" s="585"/>
      <c r="J357" s="585"/>
      <c r="K357" s="585"/>
      <c r="L357" s="585"/>
      <c r="M357" s="585"/>
      <c r="N357" s="585"/>
      <c r="O357" s="585"/>
      <c r="P357" s="585"/>
      <c r="Q357" s="585"/>
      <c r="R357" s="585"/>
      <c r="S357" s="585"/>
      <c r="T357" s="585"/>
      <c r="U357" s="585"/>
      <c r="V357" s="224"/>
      <c r="W357" s="224"/>
      <c r="X357" s="9"/>
      <c r="Y357" s="9"/>
      <c r="Z357" s="9"/>
    </row>
    <row r="358">
      <c r="A358" s="585"/>
      <c r="B358" s="585"/>
      <c r="C358" s="585"/>
      <c r="D358" s="585"/>
      <c r="E358" s="585"/>
      <c r="F358" s="585"/>
      <c r="G358" s="585"/>
      <c r="H358" s="585"/>
      <c r="I358" s="585"/>
      <c r="J358" s="585"/>
      <c r="K358" s="585"/>
      <c r="L358" s="585"/>
      <c r="M358" s="585"/>
      <c r="N358" s="585"/>
      <c r="O358" s="585"/>
      <c r="P358" s="585"/>
      <c r="Q358" s="585"/>
      <c r="R358" s="585"/>
      <c r="S358" s="585"/>
      <c r="T358" s="585"/>
      <c r="U358" s="585"/>
      <c r="V358" s="224"/>
      <c r="W358" s="224"/>
      <c r="X358" s="9"/>
      <c r="Y358" s="9"/>
      <c r="Z358" s="9"/>
    </row>
    <row r="359">
      <c r="A359" s="585"/>
      <c r="B359" s="585"/>
      <c r="C359" s="585"/>
      <c r="D359" s="585"/>
      <c r="E359" s="585"/>
      <c r="F359" s="585"/>
      <c r="G359" s="585"/>
      <c r="H359" s="585"/>
      <c r="I359" s="585"/>
      <c r="J359" s="585"/>
      <c r="K359" s="585"/>
      <c r="L359" s="585"/>
      <c r="M359" s="585"/>
      <c r="N359" s="585"/>
      <c r="O359" s="585"/>
      <c r="P359" s="585"/>
      <c r="Q359" s="585"/>
      <c r="R359" s="585"/>
      <c r="S359" s="585"/>
      <c r="T359" s="585"/>
      <c r="U359" s="585"/>
      <c r="V359" s="224"/>
      <c r="W359" s="224"/>
      <c r="X359" s="9"/>
      <c r="Y359" s="9"/>
      <c r="Z359" s="9"/>
    </row>
    <row r="360">
      <c r="A360" s="585"/>
      <c r="B360" s="585"/>
      <c r="C360" s="585"/>
      <c r="D360" s="585"/>
      <c r="E360" s="585"/>
      <c r="F360" s="585"/>
      <c r="G360" s="585"/>
      <c r="H360" s="585"/>
      <c r="I360" s="585"/>
      <c r="J360" s="585"/>
      <c r="K360" s="585"/>
      <c r="L360" s="585"/>
      <c r="M360" s="585"/>
      <c r="N360" s="585"/>
      <c r="O360" s="585"/>
      <c r="P360" s="585"/>
      <c r="Q360" s="585"/>
      <c r="R360" s="585"/>
      <c r="S360" s="585"/>
      <c r="T360" s="585"/>
      <c r="U360" s="585"/>
      <c r="V360" s="224"/>
      <c r="W360" s="224"/>
      <c r="X360" s="9"/>
      <c r="Y360" s="9"/>
      <c r="Z360" s="9"/>
    </row>
    <row r="361">
      <c r="A361" s="585"/>
      <c r="B361" s="585"/>
      <c r="C361" s="585"/>
      <c r="D361" s="585"/>
      <c r="E361" s="585"/>
      <c r="F361" s="585"/>
      <c r="G361" s="585"/>
      <c r="H361" s="585"/>
      <c r="I361" s="585"/>
      <c r="J361" s="585"/>
      <c r="K361" s="585"/>
      <c r="L361" s="585"/>
      <c r="M361" s="585"/>
      <c r="N361" s="585"/>
      <c r="O361" s="585"/>
      <c r="P361" s="585"/>
      <c r="Q361" s="585"/>
      <c r="R361" s="585"/>
      <c r="S361" s="585"/>
      <c r="T361" s="585"/>
      <c r="U361" s="585"/>
      <c r="V361" s="224"/>
      <c r="W361" s="224"/>
      <c r="X361" s="9"/>
      <c r="Y361" s="9"/>
      <c r="Z361" s="9"/>
    </row>
    <row r="362">
      <c r="A362" s="585"/>
      <c r="B362" s="585"/>
      <c r="C362" s="585"/>
      <c r="D362" s="585"/>
      <c r="E362" s="585"/>
      <c r="F362" s="585"/>
      <c r="G362" s="585"/>
      <c r="H362" s="585"/>
      <c r="I362" s="585"/>
      <c r="J362" s="585"/>
      <c r="K362" s="585"/>
      <c r="L362" s="585"/>
      <c r="M362" s="585"/>
      <c r="N362" s="585"/>
      <c r="O362" s="585"/>
      <c r="P362" s="585"/>
      <c r="Q362" s="585"/>
      <c r="R362" s="585"/>
      <c r="S362" s="585"/>
      <c r="T362" s="585"/>
      <c r="U362" s="585"/>
      <c r="V362" s="224"/>
      <c r="W362" s="224"/>
      <c r="X362" s="9"/>
      <c r="Y362" s="9"/>
      <c r="Z362" s="9"/>
    </row>
    <row r="363">
      <c r="A363" s="585"/>
      <c r="B363" s="585"/>
      <c r="C363" s="585"/>
      <c r="D363" s="585"/>
      <c r="E363" s="585"/>
      <c r="F363" s="585"/>
      <c r="G363" s="585"/>
      <c r="H363" s="585"/>
      <c r="I363" s="585"/>
      <c r="J363" s="585"/>
      <c r="K363" s="585"/>
      <c r="L363" s="585"/>
      <c r="M363" s="585"/>
      <c r="N363" s="585"/>
      <c r="O363" s="585"/>
      <c r="P363" s="585"/>
      <c r="Q363" s="585"/>
      <c r="R363" s="585"/>
      <c r="S363" s="585"/>
      <c r="T363" s="585"/>
      <c r="U363" s="585"/>
      <c r="V363" s="224"/>
      <c r="W363" s="224"/>
      <c r="X363" s="9"/>
      <c r="Y363" s="9"/>
      <c r="Z363" s="9"/>
    </row>
    <row r="364">
      <c r="A364" s="585"/>
      <c r="B364" s="585"/>
      <c r="C364" s="585"/>
      <c r="D364" s="585"/>
      <c r="E364" s="585"/>
      <c r="F364" s="585"/>
      <c r="G364" s="585"/>
      <c r="H364" s="585"/>
      <c r="I364" s="585"/>
      <c r="J364" s="585"/>
      <c r="K364" s="585"/>
      <c r="L364" s="585"/>
      <c r="M364" s="585"/>
      <c r="N364" s="585"/>
      <c r="O364" s="585"/>
      <c r="P364" s="585"/>
      <c r="Q364" s="585"/>
      <c r="R364" s="585"/>
      <c r="S364" s="585"/>
      <c r="T364" s="585"/>
      <c r="U364" s="585"/>
      <c r="V364" s="224"/>
      <c r="W364" s="224"/>
      <c r="X364" s="9"/>
      <c r="Y364" s="9"/>
      <c r="Z364" s="9"/>
    </row>
    <row r="365">
      <c r="A365" s="585"/>
      <c r="B365" s="585"/>
      <c r="C365" s="585"/>
      <c r="D365" s="585"/>
      <c r="E365" s="585"/>
      <c r="F365" s="585"/>
      <c r="G365" s="585"/>
      <c r="H365" s="585"/>
      <c r="I365" s="585"/>
      <c r="J365" s="585"/>
      <c r="K365" s="585"/>
      <c r="L365" s="585"/>
      <c r="M365" s="585"/>
      <c r="N365" s="585"/>
      <c r="O365" s="585"/>
      <c r="P365" s="585"/>
      <c r="Q365" s="585"/>
      <c r="R365" s="585"/>
      <c r="S365" s="585"/>
      <c r="T365" s="585"/>
      <c r="U365" s="585"/>
      <c r="V365" s="224"/>
      <c r="W365" s="224"/>
      <c r="X365" s="9"/>
      <c r="Y365" s="9"/>
      <c r="Z365" s="9"/>
    </row>
    <row r="366">
      <c r="A366" s="585"/>
      <c r="B366" s="585"/>
      <c r="C366" s="585"/>
      <c r="D366" s="585"/>
      <c r="E366" s="585"/>
      <c r="F366" s="585"/>
      <c r="G366" s="585"/>
      <c r="H366" s="585"/>
      <c r="I366" s="585"/>
      <c r="J366" s="585"/>
      <c r="K366" s="585"/>
      <c r="L366" s="585"/>
      <c r="M366" s="585"/>
      <c r="N366" s="585"/>
      <c r="O366" s="585"/>
      <c r="P366" s="585"/>
      <c r="Q366" s="585"/>
      <c r="R366" s="585"/>
      <c r="S366" s="585"/>
      <c r="T366" s="585"/>
      <c r="U366" s="585"/>
      <c r="V366" s="224"/>
      <c r="W366" s="224"/>
      <c r="X366" s="9"/>
      <c r="Y366" s="9"/>
      <c r="Z366" s="9"/>
    </row>
    <row r="367">
      <c r="A367" s="585"/>
      <c r="B367" s="585"/>
      <c r="C367" s="585"/>
      <c r="D367" s="585"/>
      <c r="E367" s="585"/>
      <c r="F367" s="585"/>
      <c r="G367" s="585"/>
      <c r="H367" s="585"/>
      <c r="I367" s="585"/>
      <c r="J367" s="585"/>
      <c r="K367" s="585"/>
      <c r="L367" s="585"/>
      <c r="M367" s="585"/>
      <c r="N367" s="585"/>
      <c r="O367" s="585"/>
      <c r="P367" s="585"/>
      <c r="Q367" s="585"/>
      <c r="R367" s="585"/>
      <c r="S367" s="585"/>
      <c r="T367" s="585"/>
      <c r="U367" s="585"/>
      <c r="V367" s="224"/>
      <c r="W367" s="224"/>
      <c r="X367" s="9"/>
      <c r="Y367" s="9"/>
      <c r="Z367" s="9"/>
    </row>
    <row r="368">
      <c r="A368" s="585"/>
      <c r="B368" s="585"/>
      <c r="C368" s="585"/>
      <c r="D368" s="585"/>
      <c r="E368" s="585"/>
      <c r="F368" s="585"/>
      <c r="G368" s="585"/>
      <c r="H368" s="585"/>
      <c r="I368" s="585"/>
      <c r="J368" s="585"/>
      <c r="K368" s="585"/>
      <c r="L368" s="585"/>
      <c r="M368" s="585"/>
      <c r="N368" s="585"/>
      <c r="O368" s="585"/>
      <c r="P368" s="585"/>
      <c r="Q368" s="585"/>
      <c r="R368" s="585"/>
      <c r="S368" s="585"/>
      <c r="T368" s="585"/>
      <c r="U368" s="585"/>
      <c r="V368" s="224"/>
      <c r="W368" s="224"/>
      <c r="X368" s="9"/>
      <c r="Y368" s="9"/>
      <c r="Z368" s="9"/>
    </row>
    <row r="369">
      <c r="A369" s="585"/>
      <c r="B369" s="585"/>
      <c r="C369" s="585"/>
      <c r="D369" s="585"/>
      <c r="E369" s="585"/>
      <c r="F369" s="585"/>
      <c r="G369" s="585"/>
      <c r="H369" s="585"/>
      <c r="I369" s="585"/>
      <c r="J369" s="585"/>
      <c r="K369" s="585"/>
      <c r="L369" s="585"/>
      <c r="M369" s="585"/>
      <c r="N369" s="585"/>
      <c r="O369" s="585"/>
      <c r="P369" s="585"/>
      <c r="Q369" s="585"/>
      <c r="R369" s="585"/>
      <c r="S369" s="585"/>
      <c r="T369" s="585"/>
      <c r="U369" s="585"/>
      <c r="V369" s="224"/>
      <c r="W369" s="224"/>
      <c r="X369" s="9"/>
      <c r="Y369" s="9"/>
      <c r="Z369" s="9"/>
    </row>
    <row r="370">
      <c r="A370" s="585"/>
      <c r="B370" s="585"/>
      <c r="C370" s="585"/>
      <c r="D370" s="585"/>
      <c r="E370" s="585"/>
      <c r="F370" s="585"/>
      <c r="G370" s="585"/>
      <c r="H370" s="585"/>
      <c r="I370" s="585"/>
      <c r="J370" s="585"/>
      <c r="K370" s="585"/>
      <c r="L370" s="585"/>
      <c r="M370" s="585"/>
      <c r="N370" s="585"/>
      <c r="O370" s="585"/>
      <c r="P370" s="585"/>
      <c r="Q370" s="585"/>
      <c r="R370" s="585"/>
      <c r="S370" s="585"/>
      <c r="T370" s="585"/>
      <c r="U370" s="585"/>
      <c r="V370" s="224"/>
      <c r="W370" s="224"/>
      <c r="X370" s="9"/>
      <c r="Y370" s="9"/>
      <c r="Z370" s="9"/>
    </row>
    <row r="371">
      <c r="A371" s="585"/>
      <c r="B371" s="585"/>
      <c r="C371" s="585"/>
      <c r="D371" s="585"/>
      <c r="E371" s="585"/>
      <c r="F371" s="585"/>
      <c r="G371" s="585"/>
      <c r="H371" s="585"/>
      <c r="I371" s="585"/>
      <c r="J371" s="585"/>
      <c r="K371" s="585"/>
      <c r="L371" s="585"/>
      <c r="M371" s="585"/>
      <c r="N371" s="585"/>
      <c r="O371" s="585"/>
      <c r="P371" s="585"/>
      <c r="Q371" s="585"/>
      <c r="R371" s="585"/>
      <c r="S371" s="585"/>
      <c r="T371" s="585"/>
      <c r="U371" s="585"/>
      <c r="V371" s="224"/>
      <c r="W371" s="224"/>
      <c r="X371" s="9"/>
      <c r="Y371" s="9"/>
      <c r="Z371" s="9"/>
    </row>
    <row r="372">
      <c r="A372" s="585"/>
      <c r="B372" s="585"/>
      <c r="C372" s="585"/>
      <c r="D372" s="585"/>
      <c r="E372" s="585"/>
      <c r="F372" s="585"/>
      <c r="G372" s="585"/>
      <c r="H372" s="585"/>
      <c r="I372" s="585"/>
      <c r="J372" s="585"/>
      <c r="K372" s="585"/>
      <c r="L372" s="585"/>
      <c r="M372" s="585"/>
      <c r="N372" s="585"/>
      <c r="O372" s="585"/>
      <c r="P372" s="585"/>
      <c r="Q372" s="585"/>
      <c r="R372" s="585"/>
      <c r="S372" s="585"/>
      <c r="T372" s="585"/>
      <c r="U372" s="585"/>
      <c r="V372" s="224"/>
      <c r="W372" s="224"/>
      <c r="X372" s="9"/>
      <c r="Y372" s="9"/>
      <c r="Z372" s="9"/>
    </row>
    <row r="373">
      <c r="A373" s="585"/>
      <c r="B373" s="585"/>
      <c r="C373" s="585"/>
      <c r="D373" s="585"/>
      <c r="E373" s="585"/>
      <c r="F373" s="585"/>
      <c r="G373" s="585"/>
      <c r="H373" s="585"/>
      <c r="I373" s="585"/>
      <c r="J373" s="585"/>
      <c r="K373" s="585"/>
      <c r="L373" s="585"/>
      <c r="M373" s="585"/>
      <c r="N373" s="585"/>
      <c r="O373" s="585"/>
      <c r="P373" s="585"/>
      <c r="Q373" s="585"/>
      <c r="R373" s="585"/>
      <c r="S373" s="585"/>
      <c r="T373" s="585"/>
      <c r="U373" s="585"/>
      <c r="V373" s="224"/>
      <c r="W373" s="224"/>
      <c r="X373" s="9"/>
      <c r="Y373" s="9"/>
      <c r="Z373" s="9"/>
    </row>
    <row r="374">
      <c r="A374" s="585"/>
      <c r="B374" s="585"/>
      <c r="C374" s="585"/>
      <c r="D374" s="585"/>
      <c r="E374" s="585"/>
      <c r="F374" s="585"/>
      <c r="G374" s="585"/>
      <c r="H374" s="585"/>
      <c r="I374" s="585"/>
      <c r="J374" s="585"/>
      <c r="K374" s="585"/>
      <c r="L374" s="585"/>
      <c r="M374" s="585"/>
      <c r="N374" s="585"/>
      <c r="O374" s="585"/>
      <c r="P374" s="585"/>
      <c r="Q374" s="585"/>
      <c r="R374" s="585"/>
      <c r="S374" s="585"/>
      <c r="T374" s="585"/>
      <c r="U374" s="585"/>
      <c r="V374" s="224"/>
      <c r="W374" s="224"/>
      <c r="X374" s="9"/>
      <c r="Y374" s="9"/>
      <c r="Z374" s="9"/>
    </row>
    <row r="375">
      <c r="A375" s="585"/>
      <c r="B375" s="585"/>
      <c r="C375" s="585"/>
      <c r="D375" s="585"/>
      <c r="E375" s="585"/>
      <c r="F375" s="585"/>
      <c r="G375" s="585"/>
      <c r="H375" s="585"/>
      <c r="I375" s="585"/>
      <c r="J375" s="585"/>
      <c r="K375" s="585"/>
      <c r="L375" s="585"/>
      <c r="M375" s="585"/>
      <c r="N375" s="585"/>
      <c r="O375" s="585"/>
      <c r="P375" s="585"/>
      <c r="Q375" s="585"/>
      <c r="R375" s="585"/>
      <c r="S375" s="585"/>
      <c r="T375" s="585"/>
      <c r="U375" s="585"/>
      <c r="V375" s="224"/>
      <c r="W375" s="224"/>
      <c r="X375" s="9"/>
      <c r="Y375" s="9"/>
      <c r="Z375" s="9"/>
    </row>
    <row r="376">
      <c r="A376" s="585"/>
      <c r="B376" s="585"/>
      <c r="C376" s="585"/>
      <c r="D376" s="585"/>
      <c r="E376" s="585"/>
      <c r="F376" s="585"/>
      <c r="G376" s="585"/>
      <c r="H376" s="585"/>
      <c r="I376" s="585"/>
      <c r="J376" s="585"/>
      <c r="K376" s="585"/>
      <c r="L376" s="585"/>
      <c r="M376" s="585"/>
      <c r="N376" s="585"/>
      <c r="O376" s="585"/>
      <c r="P376" s="585"/>
      <c r="Q376" s="585"/>
      <c r="R376" s="585"/>
      <c r="S376" s="585"/>
      <c r="T376" s="585"/>
      <c r="U376" s="585"/>
      <c r="V376" s="224"/>
      <c r="W376" s="224"/>
      <c r="X376" s="9"/>
      <c r="Y376" s="9"/>
      <c r="Z376" s="9"/>
    </row>
    <row r="377">
      <c r="A377" s="585"/>
      <c r="B377" s="585"/>
      <c r="C377" s="585"/>
      <c r="D377" s="585"/>
      <c r="E377" s="585"/>
      <c r="F377" s="585"/>
      <c r="G377" s="585"/>
      <c r="H377" s="585"/>
      <c r="I377" s="585"/>
      <c r="J377" s="585"/>
      <c r="K377" s="585"/>
      <c r="L377" s="585"/>
      <c r="M377" s="585"/>
      <c r="N377" s="585"/>
      <c r="O377" s="585"/>
      <c r="P377" s="585"/>
      <c r="Q377" s="585"/>
      <c r="R377" s="585"/>
      <c r="S377" s="585"/>
      <c r="T377" s="585"/>
      <c r="U377" s="585"/>
      <c r="V377" s="224"/>
      <c r="W377" s="224"/>
      <c r="X377" s="9"/>
      <c r="Y377" s="9"/>
      <c r="Z377" s="9"/>
    </row>
    <row r="378">
      <c r="A378" s="585"/>
      <c r="B378" s="585"/>
      <c r="C378" s="585"/>
      <c r="D378" s="585"/>
      <c r="E378" s="585"/>
      <c r="F378" s="585"/>
      <c r="G378" s="585"/>
      <c r="H378" s="585"/>
      <c r="I378" s="585"/>
      <c r="J378" s="585"/>
      <c r="K378" s="585"/>
      <c r="L378" s="585"/>
      <c r="M378" s="585"/>
      <c r="N378" s="585"/>
      <c r="O378" s="585"/>
      <c r="P378" s="585"/>
      <c r="Q378" s="585"/>
      <c r="R378" s="585"/>
      <c r="S378" s="585"/>
      <c r="T378" s="585"/>
      <c r="U378" s="585"/>
      <c r="V378" s="224"/>
      <c r="W378" s="224"/>
      <c r="X378" s="9"/>
      <c r="Y378" s="9"/>
      <c r="Z378" s="9"/>
    </row>
    <row r="379">
      <c r="A379" s="585"/>
      <c r="B379" s="585"/>
      <c r="C379" s="585"/>
      <c r="D379" s="585"/>
      <c r="E379" s="585"/>
      <c r="F379" s="585"/>
      <c r="G379" s="585"/>
      <c r="H379" s="585"/>
      <c r="I379" s="585"/>
      <c r="J379" s="585"/>
      <c r="K379" s="585"/>
      <c r="L379" s="585"/>
      <c r="M379" s="585"/>
      <c r="N379" s="585"/>
      <c r="O379" s="585"/>
      <c r="P379" s="585"/>
      <c r="Q379" s="585"/>
      <c r="R379" s="585"/>
      <c r="S379" s="585"/>
      <c r="T379" s="585"/>
      <c r="U379" s="585"/>
      <c r="V379" s="224"/>
      <c r="W379" s="224"/>
      <c r="X379" s="9"/>
      <c r="Y379" s="9"/>
      <c r="Z379" s="9"/>
    </row>
    <row r="380">
      <c r="A380" s="585"/>
      <c r="B380" s="585"/>
      <c r="C380" s="585"/>
      <c r="D380" s="585"/>
      <c r="E380" s="585"/>
      <c r="F380" s="585"/>
      <c r="G380" s="585"/>
      <c r="H380" s="585"/>
      <c r="I380" s="585"/>
      <c r="J380" s="585"/>
      <c r="K380" s="585"/>
      <c r="L380" s="585"/>
      <c r="M380" s="585"/>
      <c r="N380" s="585"/>
      <c r="O380" s="585"/>
      <c r="P380" s="585"/>
      <c r="Q380" s="585"/>
      <c r="R380" s="585"/>
      <c r="S380" s="585"/>
      <c r="T380" s="585"/>
      <c r="U380" s="585"/>
      <c r="V380" s="224"/>
      <c r="W380" s="224"/>
      <c r="X380" s="9"/>
      <c r="Y380" s="9"/>
      <c r="Z380" s="9"/>
    </row>
    <row r="381">
      <c r="A381" s="585"/>
      <c r="B381" s="585"/>
      <c r="C381" s="585"/>
      <c r="D381" s="585"/>
      <c r="E381" s="585"/>
      <c r="F381" s="585"/>
      <c r="G381" s="585"/>
      <c r="H381" s="585"/>
      <c r="I381" s="585"/>
      <c r="J381" s="585"/>
      <c r="K381" s="585"/>
      <c r="L381" s="585"/>
      <c r="M381" s="585"/>
      <c r="N381" s="585"/>
      <c r="O381" s="585"/>
      <c r="P381" s="585"/>
      <c r="Q381" s="585"/>
      <c r="R381" s="585"/>
      <c r="S381" s="585"/>
      <c r="T381" s="585"/>
      <c r="U381" s="585"/>
      <c r="V381" s="224"/>
      <c r="W381" s="224"/>
      <c r="X381" s="9"/>
      <c r="Y381" s="9"/>
      <c r="Z381" s="9"/>
    </row>
    <row r="382">
      <c r="A382" s="585"/>
      <c r="B382" s="585"/>
      <c r="C382" s="585"/>
      <c r="D382" s="585"/>
      <c r="E382" s="585"/>
      <c r="F382" s="585"/>
      <c r="G382" s="585"/>
      <c r="H382" s="585"/>
      <c r="I382" s="585"/>
      <c r="J382" s="585"/>
      <c r="K382" s="585"/>
      <c r="L382" s="585"/>
      <c r="M382" s="585"/>
      <c r="N382" s="585"/>
      <c r="O382" s="585"/>
      <c r="P382" s="585"/>
      <c r="Q382" s="585"/>
      <c r="R382" s="585"/>
      <c r="S382" s="585"/>
      <c r="T382" s="585"/>
      <c r="U382" s="585"/>
      <c r="V382" s="224"/>
      <c r="W382" s="224"/>
      <c r="X382" s="9"/>
      <c r="Y382" s="9"/>
      <c r="Z382" s="9"/>
    </row>
    <row r="383">
      <c r="A383" s="585"/>
      <c r="B383" s="585"/>
      <c r="C383" s="585"/>
      <c r="D383" s="585"/>
      <c r="E383" s="585"/>
      <c r="F383" s="585"/>
      <c r="G383" s="585"/>
      <c r="H383" s="585"/>
      <c r="I383" s="585"/>
      <c r="J383" s="585"/>
      <c r="K383" s="585"/>
      <c r="L383" s="585"/>
      <c r="M383" s="585"/>
      <c r="N383" s="585"/>
      <c r="O383" s="585"/>
      <c r="P383" s="585"/>
      <c r="Q383" s="585"/>
      <c r="R383" s="585"/>
      <c r="S383" s="585"/>
      <c r="T383" s="585"/>
      <c r="U383" s="585"/>
      <c r="V383" s="224"/>
      <c r="W383" s="224"/>
      <c r="X383" s="9"/>
      <c r="Y383" s="9"/>
      <c r="Z383" s="9"/>
    </row>
    <row r="384">
      <c r="A384" s="585"/>
      <c r="B384" s="585"/>
      <c r="C384" s="585"/>
      <c r="D384" s="585"/>
      <c r="E384" s="585"/>
      <c r="F384" s="585"/>
      <c r="G384" s="585"/>
      <c r="H384" s="585"/>
      <c r="I384" s="585"/>
      <c r="J384" s="585"/>
      <c r="K384" s="585"/>
      <c r="L384" s="585"/>
      <c r="M384" s="585"/>
      <c r="N384" s="585"/>
      <c r="O384" s="585"/>
      <c r="P384" s="585"/>
      <c r="Q384" s="585"/>
      <c r="R384" s="585"/>
      <c r="S384" s="585"/>
      <c r="T384" s="585"/>
      <c r="U384" s="585"/>
      <c r="V384" s="224"/>
      <c r="W384" s="224"/>
      <c r="X384" s="9"/>
      <c r="Y384" s="9"/>
      <c r="Z384" s="9"/>
    </row>
    <row r="385">
      <c r="A385" s="585"/>
      <c r="B385" s="585"/>
      <c r="C385" s="585"/>
      <c r="D385" s="585"/>
      <c r="E385" s="585"/>
      <c r="F385" s="585"/>
      <c r="G385" s="585"/>
      <c r="H385" s="585"/>
      <c r="I385" s="585"/>
      <c r="J385" s="585"/>
      <c r="K385" s="585"/>
      <c r="L385" s="585"/>
      <c r="M385" s="585"/>
      <c r="N385" s="585"/>
      <c r="O385" s="585"/>
      <c r="P385" s="585"/>
      <c r="Q385" s="585"/>
      <c r="R385" s="585"/>
      <c r="S385" s="585"/>
      <c r="T385" s="585"/>
      <c r="U385" s="585"/>
      <c r="V385" s="224"/>
      <c r="W385" s="224"/>
      <c r="X385" s="9"/>
      <c r="Y385" s="9"/>
      <c r="Z385" s="9"/>
    </row>
    <row r="386">
      <c r="A386" s="585"/>
      <c r="B386" s="585"/>
      <c r="C386" s="585"/>
      <c r="D386" s="585"/>
      <c r="E386" s="585"/>
      <c r="F386" s="585"/>
      <c r="G386" s="585"/>
      <c r="H386" s="585"/>
      <c r="I386" s="585"/>
      <c r="J386" s="585"/>
      <c r="K386" s="585"/>
      <c r="L386" s="585"/>
      <c r="M386" s="585"/>
      <c r="N386" s="585"/>
      <c r="O386" s="585"/>
      <c r="P386" s="585"/>
      <c r="Q386" s="585"/>
      <c r="R386" s="585"/>
      <c r="S386" s="585"/>
      <c r="T386" s="585"/>
      <c r="U386" s="585"/>
      <c r="V386" s="224"/>
      <c r="W386" s="224"/>
      <c r="X386" s="9"/>
      <c r="Y386" s="9"/>
      <c r="Z386" s="9"/>
    </row>
    <row r="387">
      <c r="A387" s="585"/>
      <c r="B387" s="585"/>
      <c r="C387" s="585"/>
      <c r="D387" s="585"/>
      <c r="E387" s="585"/>
      <c r="F387" s="585"/>
      <c r="G387" s="585"/>
      <c r="H387" s="585"/>
      <c r="I387" s="585"/>
      <c r="J387" s="585"/>
      <c r="K387" s="585"/>
      <c r="L387" s="585"/>
      <c r="M387" s="585"/>
      <c r="N387" s="585"/>
      <c r="O387" s="585"/>
      <c r="P387" s="585"/>
      <c r="Q387" s="585"/>
      <c r="R387" s="585"/>
      <c r="S387" s="585"/>
      <c r="T387" s="585"/>
      <c r="U387" s="585"/>
      <c r="V387" s="224"/>
      <c r="W387" s="224"/>
      <c r="X387" s="9"/>
      <c r="Y387" s="9"/>
      <c r="Z387" s="9"/>
    </row>
    <row r="388">
      <c r="A388" s="585"/>
      <c r="B388" s="585"/>
      <c r="C388" s="585"/>
      <c r="D388" s="585"/>
      <c r="E388" s="585"/>
      <c r="F388" s="585"/>
      <c r="G388" s="585"/>
      <c r="H388" s="585"/>
      <c r="I388" s="585"/>
      <c r="J388" s="585"/>
      <c r="K388" s="585"/>
      <c r="L388" s="585"/>
      <c r="M388" s="585"/>
      <c r="N388" s="585"/>
      <c r="O388" s="585"/>
      <c r="P388" s="585"/>
      <c r="Q388" s="585"/>
      <c r="R388" s="585"/>
      <c r="S388" s="585"/>
      <c r="T388" s="585"/>
      <c r="U388" s="585"/>
      <c r="V388" s="224"/>
      <c r="W388" s="224"/>
      <c r="X388" s="9"/>
      <c r="Y388" s="9"/>
      <c r="Z388" s="9"/>
    </row>
    <row r="389">
      <c r="A389" s="585"/>
      <c r="B389" s="585"/>
      <c r="C389" s="585"/>
      <c r="D389" s="585"/>
      <c r="E389" s="585"/>
      <c r="F389" s="585"/>
      <c r="G389" s="585"/>
      <c r="H389" s="585"/>
      <c r="I389" s="585"/>
      <c r="J389" s="585"/>
      <c r="K389" s="585"/>
      <c r="L389" s="585"/>
      <c r="M389" s="585"/>
      <c r="N389" s="585"/>
      <c r="O389" s="585"/>
      <c r="P389" s="585"/>
      <c r="Q389" s="585"/>
      <c r="R389" s="585"/>
      <c r="S389" s="585"/>
      <c r="T389" s="585"/>
      <c r="U389" s="585"/>
      <c r="V389" s="224"/>
      <c r="W389" s="224"/>
      <c r="X389" s="9"/>
      <c r="Y389" s="9"/>
      <c r="Z389" s="9"/>
    </row>
    <row r="390">
      <c r="A390" s="585"/>
      <c r="B390" s="585"/>
      <c r="C390" s="585"/>
      <c r="D390" s="585"/>
      <c r="E390" s="585"/>
      <c r="F390" s="585"/>
      <c r="G390" s="585"/>
      <c r="H390" s="585"/>
      <c r="I390" s="585"/>
      <c r="J390" s="585"/>
      <c r="K390" s="585"/>
      <c r="L390" s="585"/>
      <c r="M390" s="585"/>
      <c r="N390" s="585"/>
      <c r="O390" s="585"/>
      <c r="P390" s="585"/>
      <c r="Q390" s="585"/>
      <c r="R390" s="585"/>
      <c r="S390" s="585"/>
      <c r="T390" s="585"/>
      <c r="U390" s="585"/>
      <c r="V390" s="224"/>
      <c r="W390" s="224"/>
      <c r="X390" s="9"/>
      <c r="Y390" s="9"/>
      <c r="Z390" s="9"/>
    </row>
    <row r="391">
      <c r="A391" s="585"/>
      <c r="B391" s="585"/>
      <c r="C391" s="585"/>
      <c r="D391" s="585"/>
      <c r="E391" s="585"/>
      <c r="F391" s="585"/>
      <c r="G391" s="585"/>
      <c r="H391" s="585"/>
      <c r="I391" s="585"/>
      <c r="J391" s="585"/>
      <c r="K391" s="585"/>
      <c r="L391" s="585"/>
      <c r="M391" s="585"/>
      <c r="N391" s="585"/>
      <c r="O391" s="585"/>
      <c r="P391" s="585"/>
      <c r="Q391" s="585"/>
      <c r="R391" s="585"/>
      <c r="S391" s="585"/>
      <c r="T391" s="585"/>
      <c r="U391" s="585"/>
      <c r="V391" s="224"/>
      <c r="W391" s="224"/>
      <c r="X391" s="9"/>
      <c r="Y391" s="9"/>
      <c r="Z391" s="9"/>
    </row>
    <row r="392">
      <c r="A392" s="585"/>
      <c r="B392" s="585"/>
      <c r="C392" s="585"/>
      <c r="D392" s="585"/>
      <c r="E392" s="585"/>
      <c r="F392" s="585"/>
      <c r="G392" s="585"/>
      <c r="H392" s="585"/>
      <c r="I392" s="585"/>
      <c r="J392" s="585"/>
      <c r="K392" s="585"/>
      <c r="L392" s="585"/>
      <c r="M392" s="585"/>
      <c r="N392" s="585"/>
      <c r="O392" s="585"/>
      <c r="P392" s="585"/>
      <c r="Q392" s="585"/>
      <c r="R392" s="585"/>
      <c r="S392" s="585"/>
      <c r="T392" s="585"/>
      <c r="U392" s="585"/>
      <c r="V392" s="224"/>
      <c r="W392" s="224"/>
      <c r="X392" s="9"/>
      <c r="Y392" s="9"/>
      <c r="Z392" s="9"/>
    </row>
    <row r="393">
      <c r="A393" s="585"/>
      <c r="B393" s="585"/>
      <c r="C393" s="585"/>
      <c r="D393" s="585"/>
      <c r="E393" s="585"/>
      <c r="F393" s="585"/>
      <c r="G393" s="585"/>
      <c r="H393" s="585"/>
      <c r="I393" s="585"/>
      <c r="J393" s="585"/>
      <c r="K393" s="585"/>
      <c r="L393" s="585"/>
      <c r="M393" s="585"/>
      <c r="N393" s="585"/>
      <c r="O393" s="585"/>
      <c r="P393" s="585"/>
      <c r="Q393" s="585"/>
      <c r="R393" s="585"/>
      <c r="S393" s="585"/>
      <c r="T393" s="585"/>
      <c r="U393" s="585"/>
      <c r="V393" s="224"/>
      <c r="W393" s="224"/>
      <c r="X393" s="9"/>
      <c r="Y393" s="9"/>
      <c r="Z393" s="9"/>
    </row>
    <row r="394">
      <c r="A394" s="585"/>
      <c r="B394" s="585"/>
      <c r="C394" s="585"/>
      <c r="D394" s="585"/>
      <c r="E394" s="585"/>
      <c r="F394" s="585"/>
      <c r="G394" s="585"/>
      <c r="H394" s="585"/>
      <c r="I394" s="585"/>
      <c r="J394" s="585"/>
      <c r="K394" s="585"/>
      <c r="L394" s="585"/>
      <c r="M394" s="585"/>
      <c r="N394" s="585"/>
      <c r="O394" s="585"/>
      <c r="P394" s="585"/>
      <c r="Q394" s="585"/>
      <c r="R394" s="585"/>
      <c r="S394" s="585"/>
      <c r="T394" s="585"/>
      <c r="U394" s="585"/>
      <c r="V394" s="224"/>
      <c r="W394" s="224"/>
      <c r="X394" s="9"/>
      <c r="Y394" s="9"/>
      <c r="Z394" s="9"/>
    </row>
    <row r="395">
      <c r="A395" s="585"/>
      <c r="B395" s="585"/>
      <c r="C395" s="585"/>
      <c r="D395" s="585"/>
      <c r="E395" s="585"/>
      <c r="F395" s="585"/>
      <c r="G395" s="585"/>
      <c r="H395" s="585"/>
      <c r="I395" s="585"/>
      <c r="J395" s="585"/>
      <c r="K395" s="585"/>
      <c r="L395" s="585"/>
      <c r="M395" s="585"/>
      <c r="N395" s="585"/>
      <c r="O395" s="585"/>
      <c r="P395" s="585"/>
      <c r="Q395" s="585"/>
      <c r="R395" s="585"/>
      <c r="S395" s="585"/>
      <c r="T395" s="585"/>
      <c r="U395" s="585"/>
      <c r="V395" s="224"/>
      <c r="W395" s="224"/>
      <c r="X395" s="9"/>
      <c r="Y395" s="9"/>
      <c r="Z395" s="9"/>
    </row>
    <row r="396">
      <c r="A396" s="585"/>
      <c r="B396" s="585"/>
      <c r="C396" s="585"/>
      <c r="D396" s="585"/>
      <c r="E396" s="585"/>
      <c r="F396" s="585"/>
      <c r="G396" s="585"/>
      <c r="H396" s="585"/>
      <c r="I396" s="585"/>
      <c r="J396" s="585"/>
      <c r="K396" s="585"/>
      <c r="L396" s="585"/>
      <c r="M396" s="585"/>
      <c r="N396" s="585"/>
      <c r="O396" s="585"/>
      <c r="P396" s="585"/>
      <c r="Q396" s="585"/>
      <c r="R396" s="585"/>
      <c r="S396" s="585"/>
      <c r="T396" s="585"/>
      <c r="U396" s="585"/>
      <c r="V396" s="224"/>
      <c r="W396" s="224"/>
      <c r="X396" s="9"/>
      <c r="Y396" s="9"/>
      <c r="Z396" s="9"/>
    </row>
    <row r="397">
      <c r="A397" s="585"/>
      <c r="B397" s="585"/>
      <c r="C397" s="585"/>
      <c r="D397" s="585"/>
      <c r="E397" s="585"/>
      <c r="F397" s="585"/>
      <c r="G397" s="585"/>
      <c r="H397" s="585"/>
      <c r="I397" s="585"/>
      <c r="J397" s="585"/>
      <c r="K397" s="585"/>
      <c r="L397" s="585"/>
      <c r="M397" s="585"/>
      <c r="N397" s="585"/>
      <c r="O397" s="585"/>
      <c r="P397" s="585"/>
      <c r="Q397" s="585"/>
      <c r="R397" s="585"/>
      <c r="S397" s="585"/>
      <c r="T397" s="585"/>
      <c r="U397" s="585"/>
      <c r="V397" s="224"/>
      <c r="W397" s="224"/>
      <c r="X397" s="9"/>
      <c r="Y397" s="9"/>
      <c r="Z397" s="9"/>
    </row>
    <row r="398">
      <c r="A398" s="585"/>
      <c r="B398" s="585"/>
      <c r="C398" s="585"/>
      <c r="D398" s="585"/>
      <c r="E398" s="585"/>
      <c r="F398" s="585"/>
      <c r="G398" s="585"/>
      <c r="H398" s="585"/>
      <c r="I398" s="585"/>
      <c r="J398" s="585"/>
      <c r="K398" s="585"/>
      <c r="L398" s="585"/>
      <c r="M398" s="585"/>
      <c r="N398" s="585"/>
      <c r="O398" s="585"/>
      <c r="P398" s="585"/>
      <c r="Q398" s="585"/>
      <c r="R398" s="585"/>
      <c r="S398" s="585"/>
      <c r="T398" s="585"/>
      <c r="U398" s="585"/>
      <c r="V398" s="224"/>
      <c r="W398" s="224"/>
      <c r="X398" s="9"/>
      <c r="Y398" s="9"/>
      <c r="Z398" s="9"/>
    </row>
    <row r="399">
      <c r="A399" s="585"/>
      <c r="B399" s="585"/>
      <c r="C399" s="585"/>
      <c r="D399" s="585"/>
      <c r="E399" s="585"/>
      <c r="F399" s="585"/>
      <c r="G399" s="585"/>
      <c r="H399" s="585"/>
      <c r="I399" s="585"/>
      <c r="J399" s="585"/>
      <c r="K399" s="585"/>
      <c r="L399" s="585"/>
      <c r="M399" s="585"/>
      <c r="N399" s="585"/>
      <c r="O399" s="585"/>
      <c r="P399" s="585"/>
      <c r="Q399" s="585"/>
      <c r="R399" s="585"/>
      <c r="S399" s="585"/>
      <c r="T399" s="585"/>
      <c r="U399" s="585"/>
      <c r="V399" s="224"/>
      <c r="W399" s="224"/>
      <c r="X399" s="9"/>
      <c r="Y399" s="9"/>
      <c r="Z399" s="9"/>
    </row>
    <row r="400">
      <c r="A400" s="585"/>
      <c r="B400" s="585"/>
      <c r="C400" s="585"/>
      <c r="D400" s="585"/>
      <c r="E400" s="585"/>
      <c r="F400" s="585"/>
      <c r="G400" s="585"/>
      <c r="H400" s="585"/>
      <c r="I400" s="585"/>
      <c r="J400" s="585"/>
      <c r="K400" s="585"/>
      <c r="L400" s="585"/>
      <c r="M400" s="585"/>
      <c r="N400" s="585"/>
      <c r="O400" s="585"/>
      <c r="P400" s="585"/>
      <c r="Q400" s="585"/>
      <c r="R400" s="585"/>
      <c r="S400" s="585"/>
      <c r="T400" s="585"/>
      <c r="U400" s="585"/>
      <c r="V400" s="224"/>
      <c r="W400" s="224"/>
      <c r="X400" s="9"/>
      <c r="Y400" s="9"/>
      <c r="Z400" s="9"/>
    </row>
    <row r="401">
      <c r="A401" s="585"/>
      <c r="B401" s="585"/>
      <c r="C401" s="585"/>
      <c r="D401" s="585"/>
      <c r="E401" s="585"/>
      <c r="F401" s="585"/>
      <c r="G401" s="585"/>
      <c r="H401" s="585"/>
      <c r="I401" s="585"/>
      <c r="J401" s="585"/>
      <c r="K401" s="585"/>
      <c r="L401" s="585"/>
      <c r="M401" s="585"/>
      <c r="N401" s="585"/>
      <c r="O401" s="585"/>
      <c r="P401" s="585"/>
      <c r="Q401" s="585"/>
      <c r="R401" s="585"/>
      <c r="S401" s="585"/>
      <c r="T401" s="585"/>
      <c r="U401" s="585"/>
      <c r="V401" s="224"/>
      <c r="W401" s="224"/>
      <c r="X401" s="9"/>
      <c r="Y401" s="9"/>
      <c r="Z401" s="9"/>
    </row>
    <row r="402">
      <c r="A402" s="585"/>
      <c r="B402" s="585"/>
      <c r="C402" s="585"/>
      <c r="D402" s="585"/>
      <c r="E402" s="585"/>
      <c r="F402" s="585"/>
      <c r="G402" s="585"/>
      <c r="H402" s="585"/>
      <c r="I402" s="585"/>
      <c r="J402" s="585"/>
      <c r="K402" s="585"/>
      <c r="L402" s="585"/>
      <c r="M402" s="585"/>
      <c r="N402" s="585"/>
      <c r="O402" s="585"/>
      <c r="P402" s="585"/>
      <c r="Q402" s="585"/>
      <c r="R402" s="585"/>
      <c r="S402" s="585"/>
      <c r="T402" s="585"/>
      <c r="U402" s="585"/>
      <c r="V402" s="224"/>
      <c r="W402" s="224"/>
      <c r="X402" s="9"/>
      <c r="Y402" s="9"/>
      <c r="Z402" s="9"/>
    </row>
    <row r="403">
      <c r="A403" s="585"/>
      <c r="B403" s="585"/>
      <c r="C403" s="585"/>
      <c r="D403" s="585"/>
      <c r="E403" s="585"/>
      <c r="F403" s="585"/>
      <c r="G403" s="585"/>
      <c r="H403" s="585"/>
      <c r="I403" s="585"/>
      <c r="J403" s="585"/>
      <c r="K403" s="585"/>
      <c r="L403" s="585"/>
      <c r="M403" s="585"/>
      <c r="N403" s="585"/>
      <c r="O403" s="585"/>
      <c r="P403" s="585"/>
      <c r="Q403" s="585"/>
      <c r="R403" s="585"/>
      <c r="S403" s="585"/>
      <c r="T403" s="585"/>
      <c r="U403" s="585"/>
      <c r="V403" s="224"/>
      <c r="W403" s="224"/>
      <c r="X403" s="9"/>
      <c r="Y403" s="9"/>
      <c r="Z403" s="9"/>
    </row>
    <row r="404">
      <c r="A404" s="585"/>
      <c r="B404" s="585"/>
      <c r="C404" s="585"/>
      <c r="D404" s="585"/>
      <c r="E404" s="585"/>
      <c r="F404" s="585"/>
      <c r="G404" s="585"/>
      <c r="H404" s="585"/>
      <c r="I404" s="585"/>
      <c r="J404" s="585"/>
      <c r="K404" s="585"/>
      <c r="L404" s="585"/>
      <c r="M404" s="585"/>
      <c r="N404" s="585"/>
      <c r="O404" s="585"/>
      <c r="P404" s="585"/>
      <c r="Q404" s="585"/>
      <c r="R404" s="585"/>
      <c r="S404" s="585"/>
      <c r="T404" s="585"/>
      <c r="U404" s="585"/>
      <c r="V404" s="224"/>
      <c r="W404" s="224"/>
      <c r="X404" s="9"/>
      <c r="Y404" s="9"/>
      <c r="Z404" s="9"/>
    </row>
    <row r="405">
      <c r="A405" s="585"/>
      <c r="B405" s="585"/>
      <c r="C405" s="585"/>
      <c r="D405" s="585"/>
      <c r="E405" s="585"/>
      <c r="F405" s="585"/>
      <c r="G405" s="585"/>
      <c r="H405" s="585"/>
      <c r="I405" s="585"/>
      <c r="J405" s="585"/>
      <c r="K405" s="585"/>
      <c r="L405" s="585"/>
      <c r="M405" s="585"/>
      <c r="N405" s="585"/>
      <c r="O405" s="585"/>
      <c r="P405" s="585"/>
      <c r="Q405" s="585"/>
      <c r="R405" s="585"/>
      <c r="S405" s="585"/>
      <c r="T405" s="585"/>
      <c r="U405" s="585"/>
      <c r="V405" s="224"/>
      <c r="W405" s="224"/>
      <c r="X405" s="9"/>
      <c r="Y405" s="9"/>
      <c r="Z405" s="9"/>
    </row>
    <row r="406">
      <c r="A406" s="585"/>
      <c r="B406" s="585"/>
      <c r="C406" s="585"/>
      <c r="D406" s="585"/>
      <c r="E406" s="585"/>
      <c r="F406" s="585"/>
      <c r="G406" s="585"/>
      <c r="H406" s="585"/>
      <c r="I406" s="585"/>
      <c r="J406" s="585"/>
      <c r="K406" s="585"/>
      <c r="L406" s="585"/>
      <c r="M406" s="585"/>
      <c r="N406" s="585"/>
      <c r="O406" s="585"/>
      <c r="P406" s="585"/>
      <c r="Q406" s="585"/>
      <c r="R406" s="585"/>
      <c r="S406" s="585"/>
      <c r="T406" s="585"/>
      <c r="U406" s="585"/>
      <c r="V406" s="224"/>
      <c r="W406" s="224"/>
      <c r="X406" s="9"/>
      <c r="Y406" s="9"/>
      <c r="Z406" s="9"/>
    </row>
    <row r="407">
      <c r="A407" s="585"/>
      <c r="B407" s="585"/>
      <c r="C407" s="585"/>
      <c r="D407" s="585"/>
      <c r="E407" s="585"/>
      <c r="F407" s="585"/>
      <c r="G407" s="585"/>
      <c r="H407" s="585"/>
      <c r="I407" s="585"/>
      <c r="J407" s="585"/>
      <c r="K407" s="585"/>
      <c r="L407" s="585"/>
      <c r="M407" s="585"/>
      <c r="N407" s="585"/>
      <c r="O407" s="585"/>
      <c r="P407" s="585"/>
      <c r="Q407" s="585"/>
      <c r="R407" s="585"/>
      <c r="S407" s="585"/>
      <c r="T407" s="585"/>
      <c r="U407" s="585"/>
      <c r="V407" s="224"/>
      <c r="W407" s="224"/>
      <c r="X407" s="9"/>
      <c r="Y407" s="9"/>
      <c r="Z407" s="9"/>
    </row>
    <row r="408">
      <c r="A408" s="585"/>
      <c r="B408" s="585"/>
      <c r="C408" s="585"/>
      <c r="D408" s="585"/>
      <c r="E408" s="585"/>
      <c r="F408" s="585"/>
      <c r="G408" s="585"/>
      <c r="H408" s="585"/>
      <c r="I408" s="585"/>
      <c r="J408" s="585"/>
      <c r="K408" s="585"/>
      <c r="L408" s="585"/>
      <c r="M408" s="585"/>
      <c r="N408" s="585"/>
      <c r="O408" s="585"/>
      <c r="P408" s="585"/>
      <c r="Q408" s="585"/>
      <c r="R408" s="585"/>
      <c r="S408" s="585"/>
      <c r="T408" s="585"/>
      <c r="U408" s="585"/>
      <c r="V408" s="224"/>
      <c r="W408" s="224"/>
      <c r="X408" s="9"/>
      <c r="Y408" s="9"/>
      <c r="Z408" s="9"/>
    </row>
    <row r="409">
      <c r="A409" s="585"/>
      <c r="B409" s="585"/>
      <c r="C409" s="585"/>
      <c r="D409" s="585"/>
      <c r="E409" s="585"/>
      <c r="F409" s="585"/>
      <c r="G409" s="585"/>
      <c r="H409" s="585"/>
      <c r="I409" s="585"/>
      <c r="J409" s="585"/>
      <c r="K409" s="585"/>
      <c r="L409" s="585"/>
      <c r="M409" s="585"/>
      <c r="N409" s="585"/>
      <c r="O409" s="585"/>
      <c r="P409" s="585"/>
      <c r="Q409" s="585"/>
      <c r="R409" s="585"/>
      <c r="S409" s="585"/>
      <c r="T409" s="585"/>
      <c r="U409" s="585"/>
      <c r="V409" s="224"/>
      <c r="W409" s="224"/>
      <c r="X409" s="9"/>
      <c r="Y409" s="9"/>
      <c r="Z409" s="9"/>
    </row>
    <row r="410">
      <c r="A410" s="585"/>
      <c r="B410" s="585"/>
      <c r="C410" s="585"/>
      <c r="D410" s="585"/>
      <c r="E410" s="585"/>
      <c r="F410" s="585"/>
      <c r="G410" s="585"/>
      <c r="H410" s="585"/>
      <c r="I410" s="585"/>
      <c r="J410" s="585"/>
      <c r="K410" s="585"/>
      <c r="L410" s="585"/>
      <c r="M410" s="585"/>
      <c r="N410" s="585"/>
      <c r="O410" s="585"/>
      <c r="P410" s="585"/>
      <c r="Q410" s="585"/>
      <c r="R410" s="585"/>
      <c r="S410" s="585"/>
      <c r="T410" s="585"/>
      <c r="U410" s="585"/>
      <c r="V410" s="224"/>
      <c r="W410" s="224"/>
      <c r="X410" s="9"/>
      <c r="Y410" s="9"/>
      <c r="Z410" s="9"/>
    </row>
    <row r="411">
      <c r="A411" s="585"/>
      <c r="B411" s="585"/>
      <c r="C411" s="585"/>
      <c r="D411" s="585"/>
      <c r="E411" s="585"/>
      <c r="F411" s="585"/>
      <c r="G411" s="585"/>
      <c r="H411" s="585"/>
      <c r="I411" s="585"/>
      <c r="J411" s="585"/>
      <c r="K411" s="585"/>
      <c r="L411" s="585"/>
      <c r="M411" s="585"/>
      <c r="N411" s="585"/>
      <c r="O411" s="585"/>
      <c r="P411" s="585"/>
      <c r="Q411" s="585"/>
      <c r="R411" s="585"/>
      <c r="S411" s="585"/>
      <c r="T411" s="585"/>
      <c r="U411" s="585"/>
      <c r="V411" s="224"/>
      <c r="W411" s="224"/>
      <c r="X411" s="9"/>
      <c r="Y411" s="9"/>
      <c r="Z411" s="9"/>
    </row>
    <row r="412">
      <c r="A412" s="585"/>
      <c r="B412" s="585"/>
      <c r="C412" s="585"/>
      <c r="D412" s="585"/>
      <c r="E412" s="585"/>
      <c r="F412" s="585"/>
      <c r="G412" s="585"/>
      <c r="H412" s="585"/>
      <c r="I412" s="585"/>
      <c r="J412" s="585"/>
      <c r="K412" s="585"/>
      <c r="L412" s="585"/>
      <c r="M412" s="585"/>
      <c r="N412" s="585"/>
      <c r="O412" s="585"/>
      <c r="P412" s="585"/>
      <c r="Q412" s="585"/>
      <c r="R412" s="585"/>
      <c r="S412" s="585"/>
      <c r="T412" s="585"/>
      <c r="U412" s="585"/>
      <c r="V412" s="224"/>
      <c r="W412" s="224"/>
      <c r="X412" s="9"/>
      <c r="Y412" s="9"/>
      <c r="Z412" s="9"/>
    </row>
    <row r="413">
      <c r="A413" s="585"/>
      <c r="B413" s="585"/>
      <c r="C413" s="585"/>
      <c r="D413" s="585"/>
      <c r="E413" s="585"/>
      <c r="F413" s="585"/>
      <c r="G413" s="585"/>
      <c r="H413" s="585"/>
      <c r="I413" s="585"/>
      <c r="J413" s="585"/>
      <c r="K413" s="585"/>
      <c r="L413" s="585"/>
      <c r="M413" s="585"/>
      <c r="N413" s="585"/>
      <c r="O413" s="585"/>
      <c r="P413" s="585"/>
      <c r="Q413" s="585"/>
      <c r="R413" s="585"/>
      <c r="S413" s="585"/>
      <c r="T413" s="585"/>
      <c r="U413" s="585"/>
      <c r="V413" s="224"/>
      <c r="W413" s="224"/>
      <c r="X413" s="9"/>
      <c r="Y413" s="9"/>
      <c r="Z413" s="9"/>
    </row>
    <row r="414">
      <c r="A414" s="585"/>
      <c r="B414" s="585"/>
      <c r="C414" s="585"/>
      <c r="D414" s="585"/>
      <c r="E414" s="585"/>
      <c r="F414" s="585"/>
      <c r="G414" s="585"/>
      <c r="H414" s="585"/>
      <c r="I414" s="585"/>
      <c r="J414" s="585"/>
      <c r="K414" s="585"/>
      <c r="L414" s="585"/>
      <c r="M414" s="585"/>
      <c r="N414" s="585"/>
      <c r="O414" s="585"/>
      <c r="P414" s="585"/>
      <c r="Q414" s="585"/>
      <c r="R414" s="585"/>
      <c r="S414" s="585"/>
      <c r="T414" s="585"/>
      <c r="U414" s="585"/>
      <c r="V414" s="224"/>
      <c r="W414" s="224"/>
      <c r="X414" s="9"/>
      <c r="Y414" s="9"/>
      <c r="Z414" s="9"/>
    </row>
    <row r="415">
      <c r="A415" s="585"/>
      <c r="B415" s="585"/>
      <c r="C415" s="585"/>
      <c r="D415" s="585"/>
      <c r="E415" s="585"/>
      <c r="F415" s="585"/>
      <c r="G415" s="585"/>
      <c r="H415" s="585"/>
      <c r="I415" s="585"/>
      <c r="J415" s="585"/>
      <c r="K415" s="585"/>
      <c r="L415" s="585"/>
      <c r="M415" s="585"/>
      <c r="N415" s="585"/>
      <c r="O415" s="585"/>
      <c r="P415" s="585"/>
      <c r="Q415" s="585"/>
      <c r="R415" s="585"/>
      <c r="S415" s="585"/>
      <c r="T415" s="585"/>
      <c r="U415" s="585"/>
      <c r="V415" s="224"/>
      <c r="W415" s="224"/>
      <c r="X415" s="9"/>
      <c r="Y415" s="9"/>
      <c r="Z415" s="9"/>
    </row>
    <row r="416">
      <c r="A416" s="585"/>
      <c r="B416" s="585"/>
      <c r="C416" s="585"/>
      <c r="D416" s="585"/>
      <c r="E416" s="585"/>
      <c r="F416" s="585"/>
      <c r="G416" s="585"/>
      <c r="H416" s="585"/>
      <c r="I416" s="585"/>
      <c r="J416" s="585"/>
      <c r="K416" s="585"/>
      <c r="L416" s="585"/>
      <c r="M416" s="585"/>
      <c r="N416" s="585"/>
      <c r="O416" s="585"/>
      <c r="P416" s="585"/>
      <c r="Q416" s="585"/>
      <c r="R416" s="585"/>
      <c r="S416" s="585"/>
      <c r="T416" s="585"/>
      <c r="U416" s="585"/>
      <c r="V416" s="224"/>
      <c r="W416" s="224"/>
      <c r="X416" s="9"/>
      <c r="Y416" s="9"/>
      <c r="Z416" s="9"/>
    </row>
    <row r="417">
      <c r="A417" s="585"/>
      <c r="B417" s="585"/>
      <c r="C417" s="585"/>
      <c r="D417" s="585"/>
      <c r="E417" s="585"/>
      <c r="F417" s="585"/>
      <c r="G417" s="585"/>
      <c r="H417" s="585"/>
      <c r="I417" s="585"/>
      <c r="J417" s="585"/>
      <c r="K417" s="585"/>
      <c r="L417" s="585"/>
      <c r="M417" s="585"/>
      <c r="N417" s="585"/>
      <c r="O417" s="585"/>
      <c r="P417" s="585"/>
      <c r="Q417" s="585"/>
      <c r="R417" s="585"/>
      <c r="S417" s="585"/>
      <c r="T417" s="585"/>
      <c r="U417" s="585"/>
      <c r="V417" s="224"/>
      <c r="W417" s="224"/>
      <c r="X417" s="9"/>
      <c r="Y417" s="9"/>
      <c r="Z417" s="9"/>
    </row>
    <row r="418">
      <c r="A418" s="585"/>
      <c r="B418" s="585"/>
      <c r="C418" s="585"/>
      <c r="D418" s="585"/>
      <c r="E418" s="585"/>
      <c r="F418" s="585"/>
      <c r="G418" s="585"/>
      <c r="H418" s="585"/>
      <c r="I418" s="585"/>
      <c r="J418" s="585"/>
      <c r="K418" s="585"/>
      <c r="L418" s="585"/>
      <c r="M418" s="585"/>
      <c r="N418" s="585"/>
      <c r="O418" s="585"/>
      <c r="P418" s="585"/>
      <c r="Q418" s="585"/>
      <c r="R418" s="585"/>
      <c r="S418" s="585"/>
      <c r="T418" s="585"/>
      <c r="U418" s="585"/>
      <c r="V418" s="224"/>
      <c r="W418" s="224"/>
      <c r="X418" s="9"/>
      <c r="Y418" s="9"/>
      <c r="Z418" s="9"/>
    </row>
    <row r="419">
      <c r="A419" s="585"/>
      <c r="B419" s="585"/>
      <c r="C419" s="585"/>
      <c r="D419" s="585"/>
      <c r="E419" s="585"/>
      <c r="F419" s="585"/>
      <c r="G419" s="585"/>
      <c r="H419" s="585"/>
      <c r="I419" s="585"/>
      <c r="J419" s="585"/>
      <c r="K419" s="585"/>
      <c r="L419" s="585"/>
      <c r="M419" s="585"/>
      <c r="N419" s="585"/>
      <c r="O419" s="585"/>
      <c r="P419" s="585"/>
      <c r="Q419" s="585"/>
      <c r="R419" s="585"/>
      <c r="S419" s="585"/>
      <c r="T419" s="585"/>
      <c r="U419" s="585"/>
      <c r="V419" s="224"/>
      <c r="W419" s="224"/>
      <c r="X419" s="9"/>
      <c r="Y419" s="9"/>
      <c r="Z419" s="9"/>
    </row>
    <row r="420">
      <c r="A420" s="585"/>
      <c r="B420" s="585"/>
      <c r="C420" s="585"/>
      <c r="D420" s="585"/>
      <c r="E420" s="585"/>
      <c r="F420" s="585"/>
      <c r="G420" s="585"/>
      <c r="H420" s="585"/>
      <c r="I420" s="585"/>
      <c r="J420" s="585"/>
      <c r="K420" s="585"/>
      <c r="L420" s="585"/>
      <c r="M420" s="585"/>
      <c r="N420" s="585"/>
      <c r="O420" s="585"/>
      <c r="P420" s="585"/>
      <c r="Q420" s="585"/>
      <c r="R420" s="585"/>
      <c r="S420" s="585"/>
      <c r="T420" s="585"/>
      <c r="U420" s="585"/>
      <c r="V420" s="224"/>
      <c r="W420" s="224"/>
      <c r="X420" s="9"/>
      <c r="Y420" s="9"/>
      <c r="Z420" s="9"/>
    </row>
    <row r="421">
      <c r="A421" s="585"/>
      <c r="B421" s="585"/>
      <c r="C421" s="585"/>
      <c r="D421" s="585"/>
      <c r="E421" s="585"/>
      <c r="F421" s="585"/>
      <c r="G421" s="585"/>
      <c r="H421" s="585"/>
      <c r="I421" s="585"/>
      <c r="J421" s="585"/>
      <c r="K421" s="585"/>
      <c r="L421" s="585"/>
      <c r="M421" s="585"/>
      <c r="N421" s="585"/>
      <c r="O421" s="585"/>
      <c r="P421" s="585"/>
      <c r="Q421" s="585"/>
      <c r="R421" s="585"/>
      <c r="S421" s="585"/>
      <c r="T421" s="585"/>
      <c r="U421" s="585"/>
      <c r="V421" s="224"/>
      <c r="W421" s="224"/>
      <c r="X421" s="9"/>
      <c r="Y421" s="9"/>
      <c r="Z421" s="9"/>
    </row>
    <row r="422">
      <c r="A422" s="585"/>
      <c r="B422" s="585"/>
      <c r="C422" s="585"/>
      <c r="D422" s="585"/>
      <c r="E422" s="585"/>
      <c r="F422" s="585"/>
      <c r="G422" s="585"/>
      <c r="H422" s="585"/>
      <c r="I422" s="585"/>
      <c r="J422" s="585"/>
      <c r="K422" s="585"/>
      <c r="L422" s="585"/>
      <c r="M422" s="585"/>
      <c r="N422" s="585"/>
      <c r="O422" s="585"/>
      <c r="P422" s="585"/>
      <c r="Q422" s="585"/>
      <c r="R422" s="585"/>
      <c r="S422" s="585"/>
      <c r="T422" s="585"/>
      <c r="U422" s="585"/>
      <c r="V422" s="224"/>
      <c r="W422" s="224"/>
      <c r="X422" s="9"/>
      <c r="Y422" s="9"/>
      <c r="Z422" s="9"/>
    </row>
    <row r="423">
      <c r="A423" s="585"/>
      <c r="B423" s="585"/>
      <c r="C423" s="585"/>
      <c r="D423" s="585"/>
      <c r="E423" s="585"/>
      <c r="F423" s="585"/>
      <c r="G423" s="585"/>
      <c r="H423" s="585"/>
      <c r="I423" s="585"/>
      <c r="J423" s="585"/>
      <c r="K423" s="585"/>
      <c r="L423" s="585"/>
      <c r="M423" s="585"/>
      <c r="N423" s="585"/>
      <c r="O423" s="585"/>
      <c r="P423" s="585"/>
      <c r="Q423" s="585"/>
      <c r="R423" s="585"/>
      <c r="S423" s="585"/>
      <c r="T423" s="585"/>
      <c r="U423" s="585"/>
      <c r="V423" s="224"/>
      <c r="W423" s="224"/>
      <c r="X423" s="9"/>
      <c r="Y423" s="9"/>
      <c r="Z423" s="9"/>
    </row>
    <row r="424">
      <c r="A424" s="585"/>
      <c r="B424" s="585"/>
      <c r="C424" s="585"/>
      <c r="D424" s="585"/>
      <c r="E424" s="585"/>
      <c r="F424" s="585"/>
      <c r="G424" s="585"/>
      <c r="H424" s="585"/>
      <c r="I424" s="585"/>
      <c r="J424" s="585"/>
      <c r="K424" s="585"/>
      <c r="L424" s="585"/>
      <c r="M424" s="585"/>
      <c r="N424" s="585"/>
      <c r="O424" s="585"/>
      <c r="P424" s="585"/>
      <c r="Q424" s="585"/>
      <c r="R424" s="585"/>
      <c r="S424" s="585"/>
      <c r="T424" s="585"/>
      <c r="U424" s="585"/>
      <c r="V424" s="224"/>
      <c r="W424" s="224"/>
      <c r="X424" s="9"/>
      <c r="Y424" s="9"/>
      <c r="Z424" s="9"/>
    </row>
    <row r="425">
      <c r="A425" s="585"/>
      <c r="B425" s="585"/>
      <c r="C425" s="585"/>
      <c r="D425" s="585"/>
      <c r="E425" s="585"/>
      <c r="F425" s="585"/>
      <c r="G425" s="585"/>
      <c r="H425" s="585"/>
      <c r="I425" s="585"/>
      <c r="J425" s="585"/>
      <c r="K425" s="585"/>
      <c r="L425" s="585"/>
      <c r="M425" s="585"/>
      <c r="N425" s="585"/>
      <c r="O425" s="585"/>
      <c r="P425" s="585"/>
      <c r="Q425" s="585"/>
      <c r="R425" s="585"/>
      <c r="S425" s="585"/>
      <c r="T425" s="585"/>
      <c r="U425" s="585"/>
      <c r="V425" s="224"/>
      <c r="W425" s="224"/>
      <c r="X425" s="9"/>
      <c r="Y425" s="9"/>
      <c r="Z425" s="9"/>
    </row>
    <row r="426">
      <c r="A426" s="585"/>
      <c r="B426" s="585"/>
      <c r="C426" s="585"/>
      <c r="D426" s="585"/>
      <c r="E426" s="585"/>
      <c r="F426" s="585"/>
      <c r="G426" s="585"/>
      <c r="H426" s="585"/>
      <c r="I426" s="585"/>
      <c r="J426" s="585"/>
      <c r="K426" s="585"/>
      <c r="L426" s="585"/>
      <c r="M426" s="585"/>
      <c r="N426" s="585"/>
      <c r="O426" s="585"/>
      <c r="P426" s="585"/>
      <c r="Q426" s="585"/>
      <c r="R426" s="585"/>
      <c r="S426" s="585"/>
      <c r="T426" s="585"/>
      <c r="U426" s="585"/>
      <c r="V426" s="224"/>
      <c r="W426" s="224"/>
      <c r="X426" s="9"/>
      <c r="Y426" s="9"/>
      <c r="Z426" s="9"/>
    </row>
    <row r="427">
      <c r="A427" s="585"/>
      <c r="B427" s="585"/>
      <c r="C427" s="585"/>
      <c r="D427" s="585"/>
      <c r="E427" s="585"/>
      <c r="F427" s="585"/>
      <c r="G427" s="585"/>
      <c r="H427" s="585"/>
      <c r="I427" s="585"/>
      <c r="J427" s="585"/>
      <c r="K427" s="585"/>
      <c r="L427" s="585"/>
      <c r="M427" s="585"/>
      <c r="N427" s="585"/>
      <c r="O427" s="585"/>
      <c r="P427" s="585"/>
      <c r="Q427" s="585"/>
      <c r="R427" s="585"/>
      <c r="S427" s="585"/>
      <c r="T427" s="585"/>
      <c r="U427" s="585"/>
      <c r="V427" s="224"/>
      <c r="W427" s="224"/>
      <c r="X427" s="9"/>
      <c r="Y427" s="9"/>
      <c r="Z427" s="9"/>
    </row>
    <row r="428">
      <c r="A428" s="585"/>
      <c r="B428" s="585"/>
      <c r="C428" s="585"/>
      <c r="D428" s="585"/>
      <c r="E428" s="585"/>
      <c r="F428" s="585"/>
      <c r="G428" s="585"/>
      <c r="H428" s="585"/>
      <c r="I428" s="585"/>
      <c r="J428" s="585"/>
      <c r="K428" s="585"/>
      <c r="L428" s="585"/>
      <c r="M428" s="585"/>
      <c r="N428" s="585"/>
      <c r="O428" s="585"/>
      <c r="P428" s="585"/>
      <c r="Q428" s="585"/>
      <c r="R428" s="585"/>
      <c r="S428" s="585"/>
      <c r="T428" s="585"/>
      <c r="U428" s="585"/>
      <c r="V428" s="224"/>
      <c r="W428" s="224"/>
      <c r="X428" s="9"/>
      <c r="Y428" s="9"/>
      <c r="Z428" s="9"/>
    </row>
    <row r="429">
      <c r="A429" s="585"/>
      <c r="B429" s="585"/>
      <c r="C429" s="585"/>
      <c r="D429" s="585"/>
      <c r="E429" s="585"/>
      <c r="F429" s="585"/>
      <c r="G429" s="585"/>
      <c r="H429" s="585"/>
      <c r="I429" s="585"/>
      <c r="J429" s="585"/>
      <c r="K429" s="585"/>
      <c r="L429" s="585"/>
      <c r="M429" s="585"/>
      <c r="N429" s="585"/>
      <c r="O429" s="585"/>
      <c r="P429" s="585"/>
      <c r="Q429" s="585"/>
      <c r="R429" s="585"/>
      <c r="S429" s="585"/>
      <c r="T429" s="585"/>
      <c r="U429" s="585"/>
      <c r="V429" s="224"/>
      <c r="W429" s="224"/>
      <c r="X429" s="9"/>
      <c r="Y429" s="9"/>
      <c r="Z429" s="9"/>
    </row>
    <row r="430">
      <c r="A430" s="585"/>
      <c r="B430" s="585"/>
      <c r="C430" s="585"/>
      <c r="D430" s="585"/>
      <c r="E430" s="585"/>
      <c r="F430" s="585"/>
      <c r="G430" s="585"/>
      <c r="H430" s="585"/>
      <c r="I430" s="585"/>
      <c r="J430" s="585"/>
      <c r="K430" s="585"/>
      <c r="L430" s="585"/>
      <c r="M430" s="585"/>
      <c r="N430" s="585"/>
      <c r="O430" s="585"/>
      <c r="P430" s="585"/>
      <c r="Q430" s="585"/>
      <c r="R430" s="585"/>
      <c r="S430" s="585"/>
      <c r="T430" s="585"/>
      <c r="U430" s="585"/>
      <c r="V430" s="224"/>
      <c r="W430" s="224"/>
      <c r="X430" s="9"/>
      <c r="Y430" s="9"/>
      <c r="Z430" s="9"/>
    </row>
    <row r="431">
      <c r="A431" s="585"/>
      <c r="B431" s="585"/>
      <c r="C431" s="585"/>
      <c r="D431" s="585"/>
      <c r="E431" s="585"/>
      <c r="F431" s="585"/>
      <c r="G431" s="585"/>
      <c r="H431" s="585"/>
      <c r="I431" s="585"/>
      <c r="J431" s="585"/>
      <c r="K431" s="585"/>
      <c r="L431" s="585"/>
      <c r="M431" s="585"/>
      <c r="N431" s="585"/>
      <c r="O431" s="585"/>
      <c r="P431" s="585"/>
      <c r="Q431" s="585"/>
      <c r="R431" s="585"/>
      <c r="S431" s="585"/>
      <c r="T431" s="585"/>
      <c r="U431" s="585"/>
      <c r="V431" s="224"/>
      <c r="W431" s="224"/>
      <c r="X431" s="9"/>
      <c r="Y431" s="9"/>
      <c r="Z431" s="9"/>
    </row>
    <row r="432">
      <c r="A432" s="585"/>
      <c r="B432" s="585"/>
      <c r="C432" s="585"/>
      <c r="D432" s="585"/>
      <c r="E432" s="585"/>
      <c r="F432" s="585"/>
      <c r="G432" s="585"/>
      <c r="H432" s="585"/>
      <c r="I432" s="585"/>
      <c r="J432" s="585"/>
      <c r="K432" s="585"/>
      <c r="L432" s="585"/>
      <c r="M432" s="585"/>
      <c r="N432" s="585"/>
      <c r="O432" s="585"/>
      <c r="P432" s="585"/>
      <c r="Q432" s="585"/>
      <c r="R432" s="585"/>
      <c r="S432" s="585"/>
      <c r="T432" s="585"/>
      <c r="U432" s="585"/>
      <c r="V432" s="224"/>
      <c r="W432" s="224"/>
      <c r="X432" s="9"/>
      <c r="Y432" s="9"/>
      <c r="Z432" s="9"/>
    </row>
    <row r="433">
      <c r="A433" s="585"/>
      <c r="B433" s="585"/>
      <c r="C433" s="585"/>
      <c r="D433" s="585"/>
      <c r="E433" s="585"/>
      <c r="F433" s="585"/>
      <c r="G433" s="585"/>
      <c r="H433" s="585"/>
      <c r="I433" s="585"/>
      <c r="J433" s="585"/>
      <c r="K433" s="585"/>
      <c r="L433" s="585"/>
      <c r="M433" s="585"/>
      <c r="N433" s="585"/>
      <c r="O433" s="585"/>
      <c r="P433" s="585"/>
      <c r="Q433" s="585"/>
      <c r="R433" s="585"/>
      <c r="S433" s="585"/>
      <c r="T433" s="585"/>
      <c r="U433" s="585"/>
      <c r="V433" s="224"/>
      <c r="W433" s="224"/>
      <c r="X433" s="9"/>
      <c r="Y433" s="9"/>
      <c r="Z433" s="9"/>
    </row>
    <row r="434">
      <c r="A434" s="585"/>
      <c r="B434" s="585"/>
      <c r="C434" s="585"/>
      <c r="D434" s="585"/>
      <c r="E434" s="585"/>
      <c r="F434" s="585"/>
      <c r="G434" s="585"/>
      <c r="H434" s="585"/>
      <c r="I434" s="585"/>
      <c r="J434" s="585"/>
      <c r="K434" s="585"/>
      <c r="L434" s="585"/>
      <c r="M434" s="585"/>
      <c r="N434" s="585"/>
      <c r="O434" s="585"/>
      <c r="P434" s="585"/>
      <c r="Q434" s="585"/>
      <c r="R434" s="585"/>
      <c r="S434" s="585"/>
      <c r="T434" s="585"/>
      <c r="U434" s="585"/>
      <c r="V434" s="224"/>
      <c r="W434" s="224"/>
      <c r="X434" s="9"/>
      <c r="Y434" s="9"/>
      <c r="Z434" s="9"/>
    </row>
    <row r="435">
      <c r="A435" s="585"/>
      <c r="B435" s="585"/>
      <c r="C435" s="585"/>
      <c r="D435" s="585"/>
      <c r="E435" s="585"/>
      <c r="F435" s="585"/>
      <c r="G435" s="585"/>
      <c r="H435" s="585"/>
      <c r="I435" s="585"/>
      <c r="J435" s="585"/>
      <c r="K435" s="585"/>
      <c r="L435" s="585"/>
      <c r="M435" s="585"/>
      <c r="N435" s="585"/>
      <c r="O435" s="585"/>
      <c r="P435" s="585"/>
      <c r="Q435" s="585"/>
      <c r="R435" s="585"/>
      <c r="S435" s="585"/>
      <c r="T435" s="585"/>
      <c r="U435" s="585"/>
      <c r="V435" s="224"/>
      <c r="W435" s="224"/>
      <c r="X435" s="9"/>
      <c r="Y435" s="9"/>
      <c r="Z435" s="9"/>
    </row>
    <row r="436">
      <c r="A436" s="585"/>
      <c r="B436" s="585"/>
      <c r="C436" s="585"/>
      <c r="D436" s="585"/>
      <c r="E436" s="585"/>
      <c r="F436" s="585"/>
      <c r="G436" s="585"/>
      <c r="H436" s="585"/>
      <c r="I436" s="585"/>
      <c r="J436" s="585"/>
      <c r="K436" s="585"/>
      <c r="L436" s="585"/>
      <c r="M436" s="585"/>
      <c r="N436" s="585"/>
      <c r="O436" s="585"/>
      <c r="P436" s="585"/>
      <c r="Q436" s="585"/>
      <c r="R436" s="585"/>
      <c r="S436" s="585"/>
      <c r="T436" s="585"/>
      <c r="U436" s="585"/>
      <c r="V436" s="224"/>
      <c r="W436" s="224"/>
      <c r="X436" s="9"/>
      <c r="Y436" s="9"/>
      <c r="Z436" s="9"/>
    </row>
    <row r="437">
      <c r="A437" s="585"/>
      <c r="B437" s="585"/>
      <c r="C437" s="585"/>
      <c r="D437" s="585"/>
      <c r="E437" s="585"/>
      <c r="F437" s="585"/>
      <c r="G437" s="585"/>
      <c r="H437" s="585"/>
      <c r="I437" s="585"/>
      <c r="J437" s="585"/>
      <c r="K437" s="585"/>
      <c r="L437" s="585"/>
      <c r="M437" s="585"/>
      <c r="N437" s="585"/>
      <c r="O437" s="585"/>
      <c r="P437" s="585"/>
      <c r="Q437" s="585"/>
      <c r="R437" s="585"/>
      <c r="S437" s="585"/>
      <c r="T437" s="585"/>
      <c r="U437" s="585"/>
      <c r="V437" s="224"/>
      <c r="W437" s="224"/>
      <c r="X437" s="9"/>
      <c r="Y437" s="9"/>
      <c r="Z437" s="9"/>
    </row>
    <row r="438">
      <c r="A438" s="585"/>
      <c r="B438" s="585"/>
      <c r="C438" s="585"/>
      <c r="D438" s="585"/>
      <c r="E438" s="585"/>
      <c r="F438" s="585"/>
      <c r="G438" s="585"/>
      <c r="H438" s="585"/>
      <c r="I438" s="585"/>
      <c r="J438" s="585"/>
      <c r="K438" s="585"/>
      <c r="L438" s="585"/>
      <c r="M438" s="585"/>
      <c r="N438" s="585"/>
      <c r="O438" s="585"/>
      <c r="P438" s="585"/>
      <c r="Q438" s="585"/>
      <c r="R438" s="585"/>
      <c r="S438" s="585"/>
      <c r="T438" s="585"/>
      <c r="U438" s="585"/>
      <c r="V438" s="224"/>
      <c r="W438" s="224"/>
      <c r="X438" s="9"/>
      <c r="Y438" s="9"/>
      <c r="Z438" s="9"/>
    </row>
    <row r="439">
      <c r="A439" s="585"/>
      <c r="B439" s="585"/>
      <c r="C439" s="585"/>
      <c r="D439" s="585"/>
      <c r="E439" s="585"/>
      <c r="F439" s="585"/>
      <c r="G439" s="585"/>
      <c r="H439" s="585"/>
      <c r="I439" s="585"/>
      <c r="J439" s="585"/>
      <c r="K439" s="585"/>
      <c r="L439" s="585"/>
      <c r="M439" s="585"/>
      <c r="N439" s="585"/>
      <c r="O439" s="585"/>
      <c r="P439" s="585"/>
      <c r="Q439" s="585"/>
      <c r="R439" s="585"/>
      <c r="S439" s="585"/>
      <c r="T439" s="585"/>
      <c r="U439" s="585"/>
      <c r="V439" s="224"/>
      <c r="W439" s="224"/>
      <c r="X439" s="9"/>
      <c r="Y439" s="9"/>
      <c r="Z439" s="9"/>
    </row>
    <row r="440">
      <c r="A440" s="585"/>
      <c r="B440" s="585"/>
      <c r="C440" s="585"/>
      <c r="D440" s="585"/>
      <c r="E440" s="585"/>
      <c r="F440" s="585"/>
      <c r="G440" s="585"/>
      <c r="H440" s="585"/>
      <c r="I440" s="585"/>
      <c r="J440" s="585"/>
      <c r="K440" s="585"/>
      <c r="L440" s="585"/>
      <c r="M440" s="585"/>
      <c r="N440" s="585"/>
      <c r="O440" s="585"/>
      <c r="P440" s="585"/>
      <c r="Q440" s="585"/>
      <c r="R440" s="585"/>
      <c r="S440" s="585"/>
      <c r="T440" s="585"/>
      <c r="U440" s="585"/>
      <c r="V440" s="224"/>
      <c r="W440" s="224"/>
      <c r="X440" s="9"/>
      <c r="Y440" s="9"/>
      <c r="Z440" s="9"/>
    </row>
    <row r="441">
      <c r="A441" s="585"/>
      <c r="B441" s="585"/>
      <c r="C441" s="585"/>
      <c r="D441" s="585"/>
      <c r="E441" s="585"/>
      <c r="F441" s="585"/>
      <c r="G441" s="585"/>
      <c r="H441" s="585"/>
      <c r="I441" s="585"/>
      <c r="J441" s="585"/>
      <c r="K441" s="585"/>
      <c r="L441" s="585"/>
      <c r="M441" s="585"/>
      <c r="N441" s="585"/>
      <c r="O441" s="585"/>
      <c r="P441" s="585"/>
      <c r="Q441" s="585"/>
      <c r="R441" s="585"/>
      <c r="S441" s="585"/>
      <c r="T441" s="585"/>
      <c r="U441" s="585"/>
      <c r="V441" s="224"/>
      <c r="W441" s="224"/>
      <c r="X441" s="9"/>
      <c r="Y441" s="9"/>
      <c r="Z441" s="9"/>
    </row>
    <row r="442">
      <c r="A442" s="585"/>
      <c r="B442" s="585"/>
      <c r="C442" s="585"/>
      <c r="D442" s="585"/>
      <c r="E442" s="585"/>
      <c r="F442" s="585"/>
      <c r="G442" s="585"/>
      <c r="H442" s="585"/>
      <c r="I442" s="585"/>
      <c r="J442" s="585"/>
      <c r="K442" s="585"/>
      <c r="L442" s="585"/>
      <c r="M442" s="585"/>
      <c r="N442" s="585"/>
      <c r="O442" s="585"/>
      <c r="P442" s="585"/>
      <c r="Q442" s="585"/>
      <c r="R442" s="585"/>
      <c r="S442" s="585"/>
      <c r="T442" s="585"/>
      <c r="U442" s="585"/>
      <c r="V442" s="224"/>
      <c r="W442" s="224"/>
      <c r="X442" s="9"/>
      <c r="Y442" s="9"/>
      <c r="Z442" s="9"/>
    </row>
    <row r="443">
      <c r="A443" s="585"/>
      <c r="B443" s="585"/>
      <c r="C443" s="585"/>
      <c r="D443" s="585"/>
      <c r="E443" s="585"/>
      <c r="F443" s="585"/>
      <c r="G443" s="585"/>
      <c r="H443" s="585"/>
      <c r="I443" s="585"/>
      <c r="J443" s="585"/>
      <c r="K443" s="585"/>
      <c r="L443" s="585"/>
      <c r="M443" s="585"/>
      <c r="N443" s="585"/>
      <c r="O443" s="585"/>
      <c r="P443" s="585"/>
      <c r="Q443" s="585"/>
      <c r="R443" s="585"/>
      <c r="S443" s="585"/>
      <c r="T443" s="585"/>
      <c r="U443" s="585"/>
      <c r="V443" s="224"/>
      <c r="W443" s="224"/>
      <c r="X443" s="9"/>
      <c r="Y443" s="9"/>
      <c r="Z443" s="9"/>
    </row>
    <row r="444">
      <c r="A444" s="585"/>
      <c r="B444" s="585"/>
      <c r="C444" s="585"/>
      <c r="D444" s="585"/>
      <c r="E444" s="585"/>
      <c r="F444" s="585"/>
      <c r="G444" s="585"/>
      <c r="H444" s="585"/>
      <c r="I444" s="585"/>
      <c r="J444" s="585"/>
      <c r="K444" s="585"/>
      <c r="L444" s="585"/>
      <c r="M444" s="585"/>
      <c r="N444" s="585"/>
      <c r="O444" s="585"/>
      <c r="P444" s="585"/>
      <c r="Q444" s="585"/>
      <c r="R444" s="585"/>
      <c r="S444" s="585"/>
      <c r="T444" s="585"/>
      <c r="U444" s="585"/>
      <c r="V444" s="224"/>
      <c r="W444" s="224"/>
      <c r="X444" s="9"/>
      <c r="Y444" s="9"/>
      <c r="Z444" s="9"/>
    </row>
    <row r="445">
      <c r="A445" s="585"/>
      <c r="B445" s="585"/>
      <c r="C445" s="585"/>
      <c r="D445" s="585"/>
      <c r="E445" s="585"/>
      <c r="F445" s="585"/>
      <c r="G445" s="585"/>
      <c r="H445" s="585"/>
      <c r="I445" s="585"/>
      <c r="J445" s="585"/>
      <c r="K445" s="585"/>
      <c r="L445" s="585"/>
      <c r="M445" s="585"/>
      <c r="N445" s="585"/>
      <c r="O445" s="585"/>
      <c r="P445" s="585"/>
      <c r="Q445" s="585"/>
      <c r="R445" s="585"/>
      <c r="S445" s="585"/>
      <c r="T445" s="585"/>
      <c r="U445" s="585"/>
      <c r="V445" s="224"/>
      <c r="W445" s="224"/>
      <c r="X445" s="9"/>
      <c r="Y445" s="9"/>
      <c r="Z445" s="9"/>
    </row>
    <row r="446">
      <c r="A446" s="585"/>
      <c r="B446" s="585"/>
      <c r="C446" s="585"/>
      <c r="D446" s="585"/>
      <c r="E446" s="585"/>
      <c r="F446" s="585"/>
      <c r="G446" s="585"/>
      <c r="H446" s="585"/>
      <c r="I446" s="585"/>
      <c r="J446" s="585"/>
      <c r="K446" s="585"/>
      <c r="L446" s="585"/>
      <c r="M446" s="585"/>
      <c r="N446" s="585"/>
      <c r="O446" s="585"/>
      <c r="P446" s="585"/>
      <c r="Q446" s="585"/>
      <c r="R446" s="585"/>
      <c r="S446" s="585"/>
      <c r="T446" s="585"/>
      <c r="U446" s="585"/>
      <c r="V446" s="224"/>
      <c r="W446" s="224"/>
      <c r="X446" s="9"/>
      <c r="Y446" s="9"/>
      <c r="Z446" s="9"/>
    </row>
    <row r="447">
      <c r="A447" s="585"/>
      <c r="B447" s="585"/>
      <c r="C447" s="585"/>
      <c r="D447" s="585"/>
      <c r="E447" s="585"/>
      <c r="F447" s="585"/>
      <c r="G447" s="585"/>
      <c r="H447" s="585"/>
      <c r="I447" s="585"/>
      <c r="J447" s="585"/>
      <c r="K447" s="585"/>
      <c r="L447" s="585"/>
      <c r="M447" s="585"/>
      <c r="N447" s="585"/>
      <c r="O447" s="585"/>
      <c r="P447" s="585"/>
      <c r="Q447" s="585"/>
      <c r="R447" s="585"/>
      <c r="S447" s="585"/>
      <c r="T447" s="585"/>
      <c r="U447" s="585"/>
      <c r="V447" s="224"/>
      <c r="W447" s="224"/>
      <c r="X447" s="9"/>
      <c r="Y447" s="9"/>
      <c r="Z447" s="9"/>
    </row>
    <row r="448">
      <c r="A448" s="585"/>
      <c r="B448" s="585"/>
      <c r="C448" s="585"/>
      <c r="D448" s="585"/>
      <c r="E448" s="585"/>
      <c r="F448" s="585"/>
      <c r="G448" s="585"/>
      <c r="H448" s="585"/>
      <c r="I448" s="585"/>
      <c r="J448" s="585"/>
      <c r="K448" s="585"/>
      <c r="L448" s="585"/>
      <c r="M448" s="585"/>
      <c r="N448" s="585"/>
      <c r="O448" s="585"/>
      <c r="P448" s="585"/>
      <c r="Q448" s="585"/>
      <c r="R448" s="585"/>
      <c r="S448" s="585"/>
      <c r="T448" s="585"/>
      <c r="U448" s="585"/>
      <c r="V448" s="224"/>
      <c r="W448" s="224"/>
      <c r="X448" s="9"/>
      <c r="Y448" s="9"/>
      <c r="Z448" s="9"/>
    </row>
    <row r="449">
      <c r="A449" s="585"/>
      <c r="B449" s="585"/>
      <c r="C449" s="585"/>
      <c r="D449" s="585"/>
      <c r="E449" s="585"/>
      <c r="F449" s="585"/>
      <c r="G449" s="585"/>
      <c r="H449" s="585"/>
      <c r="I449" s="585"/>
      <c r="J449" s="585"/>
      <c r="K449" s="585"/>
      <c r="L449" s="585"/>
      <c r="M449" s="585"/>
      <c r="N449" s="585"/>
      <c r="O449" s="585"/>
      <c r="P449" s="585"/>
      <c r="Q449" s="585"/>
      <c r="R449" s="585"/>
      <c r="S449" s="585"/>
      <c r="T449" s="585"/>
      <c r="U449" s="585"/>
      <c r="V449" s="224"/>
      <c r="W449" s="224"/>
      <c r="X449" s="9"/>
      <c r="Y449" s="9"/>
      <c r="Z449" s="9"/>
    </row>
    <row r="450">
      <c r="A450" s="585"/>
      <c r="B450" s="585"/>
      <c r="C450" s="585"/>
      <c r="D450" s="585"/>
      <c r="E450" s="585"/>
      <c r="F450" s="585"/>
      <c r="G450" s="585"/>
      <c r="H450" s="585"/>
      <c r="I450" s="585"/>
      <c r="J450" s="585"/>
      <c r="K450" s="585"/>
      <c r="L450" s="585"/>
      <c r="M450" s="585"/>
      <c r="N450" s="585"/>
      <c r="O450" s="585"/>
      <c r="P450" s="585"/>
      <c r="Q450" s="585"/>
      <c r="R450" s="585"/>
      <c r="S450" s="585"/>
      <c r="T450" s="585"/>
      <c r="U450" s="585"/>
      <c r="V450" s="224"/>
      <c r="W450" s="224"/>
      <c r="X450" s="9"/>
      <c r="Y450" s="9"/>
      <c r="Z450" s="9"/>
    </row>
    <row r="451">
      <c r="A451" s="585"/>
      <c r="B451" s="585"/>
      <c r="C451" s="585"/>
      <c r="D451" s="585"/>
      <c r="E451" s="585"/>
      <c r="F451" s="585"/>
      <c r="G451" s="585"/>
      <c r="H451" s="585"/>
      <c r="I451" s="585"/>
      <c r="J451" s="585"/>
      <c r="K451" s="585"/>
      <c r="L451" s="585"/>
      <c r="M451" s="585"/>
      <c r="N451" s="585"/>
      <c r="O451" s="585"/>
      <c r="P451" s="585"/>
      <c r="Q451" s="585"/>
      <c r="R451" s="585"/>
      <c r="S451" s="585"/>
      <c r="T451" s="585"/>
      <c r="U451" s="585"/>
      <c r="V451" s="224"/>
      <c r="W451" s="224"/>
      <c r="X451" s="9"/>
      <c r="Y451" s="9"/>
      <c r="Z451" s="9"/>
    </row>
    <row r="452">
      <c r="A452" s="585"/>
      <c r="B452" s="585"/>
      <c r="C452" s="585"/>
      <c r="D452" s="585"/>
      <c r="E452" s="585"/>
      <c r="F452" s="585"/>
      <c r="G452" s="585"/>
      <c r="H452" s="585"/>
      <c r="I452" s="585"/>
      <c r="J452" s="585"/>
      <c r="K452" s="585"/>
      <c r="L452" s="585"/>
      <c r="M452" s="585"/>
      <c r="N452" s="585"/>
      <c r="O452" s="585"/>
      <c r="P452" s="585"/>
      <c r="Q452" s="585"/>
      <c r="R452" s="585"/>
      <c r="S452" s="585"/>
      <c r="T452" s="585"/>
      <c r="U452" s="585"/>
      <c r="V452" s="224"/>
      <c r="W452" s="224"/>
      <c r="X452" s="9"/>
      <c r="Y452" s="9"/>
      <c r="Z452" s="9"/>
    </row>
    <row r="453">
      <c r="A453" s="585"/>
      <c r="B453" s="585"/>
      <c r="C453" s="585"/>
      <c r="D453" s="585"/>
      <c r="E453" s="585"/>
      <c r="F453" s="585"/>
      <c r="G453" s="585"/>
      <c r="H453" s="585"/>
      <c r="I453" s="585"/>
      <c r="J453" s="585"/>
      <c r="K453" s="585"/>
      <c r="L453" s="585"/>
      <c r="M453" s="585"/>
      <c r="N453" s="585"/>
      <c r="O453" s="585"/>
      <c r="P453" s="585"/>
      <c r="Q453" s="585"/>
      <c r="R453" s="585"/>
      <c r="S453" s="585"/>
      <c r="T453" s="585"/>
      <c r="U453" s="585"/>
      <c r="V453" s="224"/>
      <c r="W453" s="224"/>
      <c r="X453" s="9"/>
      <c r="Y453" s="9"/>
      <c r="Z453" s="9"/>
    </row>
    <row r="454">
      <c r="A454" s="585"/>
      <c r="B454" s="585"/>
      <c r="C454" s="585"/>
      <c r="D454" s="585"/>
      <c r="E454" s="585"/>
      <c r="F454" s="585"/>
      <c r="G454" s="585"/>
      <c r="H454" s="585"/>
      <c r="I454" s="585"/>
      <c r="J454" s="585"/>
      <c r="K454" s="585"/>
      <c r="L454" s="585"/>
      <c r="M454" s="585"/>
      <c r="N454" s="585"/>
      <c r="O454" s="585"/>
      <c r="P454" s="585"/>
      <c r="Q454" s="585"/>
      <c r="R454" s="585"/>
      <c r="S454" s="585"/>
      <c r="T454" s="585"/>
      <c r="U454" s="585"/>
      <c r="V454" s="224"/>
      <c r="W454" s="224"/>
      <c r="X454" s="9"/>
      <c r="Y454" s="9"/>
      <c r="Z454" s="9"/>
    </row>
    <row r="455">
      <c r="A455" s="585"/>
      <c r="B455" s="585"/>
      <c r="C455" s="585"/>
      <c r="D455" s="585"/>
      <c r="E455" s="585"/>
      <c r="F455" s="585"/>
      <c r="G455" s="585"/>
      <c r="H455" s="585"/>
      <c r="I455" s="585"/>
      <c r="J455" s="585"/>
      <c r="K455" s="585"/>
      <c r="L455" s="585"/>
      <c r="M455" s="585"/>
      <c r="N455" s="585"/>
      <c r="O455" s="585"/>
      <c r="P455" s="585"/>
      <c r="Q455" s="585"/>
      <c r="R455" s="585"/>
      <c r="S455" s="585"/>
      <c r="T455" s="585"/>
      <c r="U455" s="585"/>
      <c r="V455" s="224"/>
      <c r="W455" s="224"/>
      <c r="X455" s="9"/>
      <c r="Y455" s="9"/>
      <c r="Z455" s="9"/>
    </row>
    <row r="456">
      <c r="A456" s="585"/>
      <c r="B456" s="585"/>
      <c r="C456" s="585"/>
      <c r="D456" s="585"/>
      <c r="E456" s="585"/>
      <c r="F456" s="585"/>
      <c r="G456" s="585"/>
      <c r="H456" s="585"/>
      <c r="I456" s="585"/>
      <c r="J456" s="585"/>
      <c r="K456" s="585"/>
      <c r="L456" s="585"/>
      <c r="M456" s="585"/>
      <c r="N456" s="585"/>
      <c r="O456" s="585"/>
      <c r="P456" s="585"/>
      <c r="Q456" s="585"/>
      <c r="R456" s="585"/>
      <c r="S456" s="585"/>
      <c r="T456" s="585"/>
      <c r="U456" s="585"/>
      <c r="V456" s="224"/>
      <c r="W456" s="224"/>
      <c r="X456" s="9"/>
      <c r="Y456" s="9"/>
      <c r="Z456" s="9"/>
    </row>
    <row r="457">
      <c r="A457" s="585"/>
      <c r="B457" s="585"/>
      <c r="C457" s="585"/>
      <c r="D457" s="585"/>
      <c r="E457" s="585"/>
      <c r="F457" s="585"/>
      <c r="G457" s="585"/>
      <c r="H457" s="585"/>
      <c r="I457" s="585"/>
      <c r="J457" s="585"/>
      <c r="K457" s="585"/>
      <c r="L457" s="585"/>
      <c r="M457" s="585"/>
      <c r="N457" s="585"/>
      <c r="O457" s="585"/>
      <c r="P457" s="585"/>
      <c r="Q457" s="585"/>
      <c r="R457" s="585"/>
      <c r="S457" s="585"/>
      <c r="T457" s="585"/>
      <c r="U457" s="585"/>
      <c r="V457" s="224"/>
      <c r="W457" s="224"/>
      <c r="X457" s="9"/>
      <c r="Y457" s="9"/>
      <c r="Z457" s="9"/>
    </row>
    <row r="458">
      <c r="A458" s="585"/>
      <c r="B458" s="585"/>
      <c r="C458" s="585"/>
      <c r="D458" s="585"/>
      <c r="E458" s="585"/>
      <c r="F458" s="585"/>
      <c r="G458" s="585"/>
      <c r="H458" s="585"/>
      <c r="I458" s="585"/>
      <c r="J458" s="585"/>
      <c r="K458" s="585"/>
      <c r="L458" s="585"/>
      <c r="M458" s="585"/>
      <c r="N458" s="585"/>
      <c r="O458" s="585"/>
      <c r="P458" s="585"/>
      <c r="Q458" s="585"/>
      <c r="R458" s="585"/>
      <c r="S458" s="585"/>
      <c r="T458" s="585"/>
      <c r="U458" s="585"/>
      <c r="V458" s="224"/>
      <c r="W458" s="224"/>
      <c r="X458" s="9"/>
      <c r="Y458" s="9"/>
      <c r="Z458" s="9"/>
    </row>
    <row r="459">
      <c r="A459" s="585"/>
      <c r="B459" s="585"/>
      <c r="C459" s="585"/>
      <c r="D459" s="585"/>
      <c r="E459" s="585"/>
      <c r="F459" s="585"/>
      <c r="G459" s="585"/>
      <c r="H459" s="585"/>
      <c r="I459" s="585"/>
      <c r="J459" s="585"/>
      <c r="K459" s="585"/>
      <c r="L459" s="585"/>
      <c r="M459" s="585"/>
      <c r="N459" s="585"/>
      <c r="O459" s="585"/>
      <c r="P459" s="585"/>
      <c r="Q459" s="585"/>
      <c r="R459" s="585"/>
      <c r="S459" s="585"/>
      <c r="T459" s="585"/>
      <c r="U459" s="585"/>
      <c r="V459" s="224"/>
      <c r="W459" s="224"/>
      <c r="X459" s="9"/>
      <c r="Y459" s="9"/>
      <c r="Z459" s="9"/>
    </row>
    <row r="460">
      <c r="A460" s="585"/>
      <c r="B460" s="585"/>
      <c r="C460" s="585"/>
      <c r="D460" s="585"/>
      <c r="E460" s="585"/>
      <c r="F460" s="585"/>
      <c r="G460" s="585"/>
      <c r="H460" s="585"/>
      <c r="I460" s="585"/>
      <c r="J460" s="585"/>
      <c r="K460" s="585"/>
      <c r="L460" s="585"/>
      <c r="M460" s="585"/>
      <c r="N460" s="585"/>
      <c r="O460" s="585"/>
      <c r="P460" s="585"/>
      <c r="Q460" s="585"/>
      <c r="R460" s="585"/>
      <c r="S460" s="585"/>
      <c r="T460" s="585"/>
      <c r="U460" s="585"/>
      <c r="V460" s="224"/>
      <c r="W460" s="224"/>
      <c r="X460" s="9"/>
      <c r="Y460" s="9"/>
      <c r="Z460" s="9"/>
    </row>
    <row r="461">
      <c r="A461" s="585"/>
      <c r="B461" s="585"/>
      <c r="C461" s="585"/>
      <c r="D461" s="585"/>
      <c r="E461" s="585"/>
      <c r="F461" s="585"/>
      <c r="G461" s="585"/>
      <c r="H461" s="585"/>
      <c r="I461" s="585"/>
      <c r="J461" s="585"/>
      <c r="K461" s="585"/>
      <c r="L461" s="585"/>
      <c r="M461" s="585"/>
      <c r="N461" s="585"/>
      <c r="O461" s="585"/>
      <c r="P461" s="585"/>
      <c r="Q461" s="585"/>
      <c r="R461" s="585"/>
      <c r="S461" s="585"/>
      <c r="T461" s="585"/>
      <c r="U461" s="585"/>
      <c r="V461" s="224"/>
      <c r="W461" s="224"/>
      <c r="X461" s="9"/>
      <c r="Y461" s="9"/>
      <c r="Z461" s="9"/>
    </row>
    <row r="462">
      <c r="A462" s="585"/>
      <c r="B462" s="585"/>
      <c r="C462" s="585"/>
      <c r="D462" s="585"/>
      <c r="E462" s="585"/>
      <c r="F462" s="585"/>
      <c r="G462" s="585"/>
      <c r="H462" s="585"/>
      <c r="I462" s="585"/>
      <c r="J462" s="585"/>
      <c r="K462" s="585"/>
      <c r="L462" s="585"/>
      <c r="M462" s="585"/>
      <c r="N462" s="585"/>
      <c r="O462" s="585"/>
      <c r="P462" s="585"/>
      <c r="Q462" s="585"/>
      <c r="R462" s="585"/>
      <c r="S462" s="585"/>
      <c r="T462" s="585"/>
      <c r="U462" s="585"/>
      <c r="V462" s="224"/>
      <c r="W462" s="224"/>
      <c r="X462" s="9"/>
      <c r="Y462" s="9"/>
      <c r="Z462" s="9"/>
    </row>
    <row r="463">
      <c r="A463" s="585"/>
      <c r="B463" s="585"/>
      <c r="C463" s="585"/>
      <c r="D463" s="585"/>
      <c r="E463" s="585"/>
      <c r="F463" s="585"/>
      <c r="G463" s="585"/>
      <c r="H463" s="585"/>
      <c r="I463" s="585"/>
      <c r="J463" s="585"/>
      <c r="K463" s="585"/>
      <c r="L463" s="585"/>
      <c r="M463" s="585"/>
      <c r="N463" s="585"/>
      <c r="O463" s="585"/>
      <c r="P463" s="585"/>
      <c r="Q463" s="585"/>
      <c r="R463" s="585"/>
      <c r="S463" s="585"/>
      <c r="T463" s="585"/>
      <c r="U463" s="585"/>
      <c r="V463" s="224"/>
      <c r="W463" s="224"/>
      <c r="X463" s="9"/>
      <c r="Y463" s="9"/>
      <c r="Z463" s="9"/>
    </row>
    <row r="464">
      <c r="A464" s="585"/>
      <c r="B464" s="585"/>
      <c r="C464" s="585"/>
      <c r="D464" s="585"/>
      <c r="E464" s="585"/>
      <c r="F464" s="585"/>
      <c r="G464" s="585"/>
      <c r="H464" s="585"/>
      <c r="I464" s="585"/>
      <c r="J464" s="585"/>
      <c r="K464" s="585"/>
      <c r="L464" s="585"/>
      <c r="M464" s="585"/>
      <c r="N464" s="585"/>
      <c r="O464" s="585"/>
      <c r="P464" s="585"/>
      <c r="Q464" s="585"/>
      <c r="R464" s="585"/>
      <c r="S464" s="585"/>
      <c r="T464" s="585"/>
      <c r="U464" s="585"/>
      <c r="V464" s="224"/>
      <c r="W464" s="224"/>
      <c r="X464" s="9"/>
      <c r="Y464" s="9"/>
      <c r="Z464" s="9"/>
    </row>
    <row r="465">
      <c r="A465" s="585"/>
      <c r="B465" s="585"/>
      <c r="C465" s="585"/>
      <c r="D465" s="585"/>
      <c r="E465" s="585"/>
      <c r="F465" s="585"/>
      <c r="G465" s="585"/>
      <c r="H465" s="585"/>
      <c r="I465" s="585"/>
      <c r="J465" s="585"/>
      <c r="K465" s="585"/>
      <c r="L465" s="585"/>
      <c r="M465" s="585"/>
      <c r="N465" s="585"/>
      <c r="O465" s="585"/>
      <c r="P465" s="585"/>
      <c r="Q465" s="585"/>
      <c r="R465" s="585"/>
      <c r="S465" s="585"/>
      <c r="T465" s="585"/>
      <c r="U465" s="585"/>
      <c r="V465" s="224"/>
      <c r="W465" s="224"/>
      <c r="X465" s="9"/>
      <c r="Y465" s="9"/>
      <c r="Z465" s="9"/>
    </row>
    <row r="466">
      <c r="A466" s="585"/>
      <c r="B466" s="585"/>
      <c r="C466" s="585"/>
      <c r="D466" s="585"/>
      <c r="E466" s="585"/>
      <c r="F466" s="585"/>
      <c r="G466" s="585"/>
      <c r="H466" s="585"/>
      <c r="I466" s="585"/>
      <c r="J466" s="585"/>
      <c r="K466" s="585"/>
      <c r="L466" s="585"/>
      <c r="M466" s="585"/>
      <c r="N466" s="585"/>
      <c r="O466" s="585"/>
      <c r="P466" s="585"/>
      <c r="Q466" s="585"/>
      <c r="R466" s="585"/>
      <c r="S466" s="585"/>
      <c r="T466" s="585"/>
      <c r="U466" s="585"/>
      <c r="V466" s="224"/>
      <c r="W466" s="224"/>
      <c r="X466" s="9"/>
      <c r="Y466" s="9"/>
      <c r="Z466" s="9"/>
    </row>
    <row r="467">
      <c r="A467" s="585"/>
      <c r="B467" s="585"/>
      <c r="C467" s="585"/>
      <c r="D467" s="585"/>
      <c r="E467" s="585"/>
      <c r="F467" s="585"/>
      <c r="G467" s="585"/>
      <c r="H467" s="585"/>
      <c r="I467" s="585"/>
      <c r="J467" s="585"/>
      <c r="K467" s="585"/>
      <c r="L467" s="585"/>
      <c r="M467" s="585"/>
      <c r="N467" s="585"/>
      <c r="O467" s="585"/>
      <c r="P467" s="585"/>
      <c r="Q467" s="585"/>
      <c r="R467" s="585"/>
      <c r="S467" s="585"/>
      <c r="T467" s="585"/>
      <c r="U467" s="585"/>
      <c r="V467" s="224"/>
      <c r="W467" s="224"/>
      <c r="X467" s="9"/>
      <c r="Y467" s="9"/>
      <c r="Z467" s="9"/>
    </row>
    <row r="468">
      <c r="A468" s="585"/>
      <c r="B468" s="585"/>
      <c r="C468" s="585"/>
      <c r="D468" s="585"/>
      <c r="E468" s="585"/>
      <c r="F468" s="585"/>
      <c r="G468" s="585"/>
      <c r="H468" s="585"/>
      <c r="I468" s="585"/>
      <c r="J468" s="585"/>
      <c r="K468" s="585"/>
      <c r="L468" s="585"/>
      <c r="M468" s="585"/>
      <c r="N468" s="585"/>
      <c r="O468" s="585"/>
      <c r="P468" s="585"/>
      <c r="Q468" s="585"/>
      <c r="R468" s="585"/>
      <c r="S468" s="585"/>
      <c r="T468" s="585"/>
      <c r="U468" s="585"/>
      <c r="V468" s="224"/>
      <c r="W468" s="224"/>
      <c r="X468" s="9"/>
      <c r="Y468" s="9"/>
      <c r="Z468" s="9"/>
    </row>
    <row r="469">
      <c r="A469" s="585"/>
      <c r="B469" s="585"/>
      <c r="C469" s="585"/>
      <c r="D469" s="585"/>
      <c r="E469" s="585"/>
      <c r="F469" s="585"/>
      <c r="G469" s="585"/>
      <c r="H469" s="585"/>
      <c r="I469" s="585"/>
      <c r="J469" s="585"/>
      <c r="K469" s="585"/>
      <c r="L469" s="585"/>
      <c r="M469" s="585"/>
      <c r="N469" s="585"/>
      <c r="O469" s="585"/>
      <c r="P469" s="585"/>
      <c r="Q469" s="585"/>
      <c r="R469" s="585"/>
      <c r="S469" s="585"/>
      <c r="T469" s="585"/>
      <c r="U469" s="585"/>
      <c r="V469" s="224"/>
      <c r="W469" s="224"/>
      <c r="X469" s="9"/>
      <c r="Y469" s="9"/>
      <c r="Z469" s="9"/>
    </row>
    <row r="470">
      <c r="A470" s="585"/>
      <c r="B470" s="585"/>
      <c r="C470" s="585"/>
      <c r="D470" s="585"/>
      <c r="E470" s="585"/>
      <c r="F470" s="585"/>
      <c r="G470" s="585"/>
      <c r="H470" s="585"/>
      <c r="I470" s="585"/>
      <c r="J470" s="585"/>
      <c r="K470" s="585"/>
      <c r="L470" s="585"/>
      <c r="M470" s="585"/>
      <c r="N470" s="585"/>
      <c r="O470" s="585"/>
      <c r="P470" s="585"/>
      <c r="Q470" s="585"/>
      <c r="R470" s="585"/>
      <c r="S470" s="585"/>
      <c r="T470" s="585"/>
      <c r="U470" s="585"/>
      <c r="V470" s="224"/>
      <c r="W470" s="224"/>
      <c r="X470" s="9"/>
      <c r="Y470" s="9"/>
      <c r="Z470" s="9"/>
    </row>
    <row r="471">
      <c r="A471" s="585"/>
      <c r="B471" s="585"/>
      <c r="C471" s="585"/>
      <c r="D471" s="585"/>
      <c r="E471" s="585"/>
      <c r="F471" s="585"/>
      <c r="G471" s="585"/>
      <c r="H471" s="585"/>
      <c r="I471" s="585"/>
      <c r="J471" s="585"/>
      <c r="K471" s="585"/>
      <c r="L471" s="585"/>
      <c r="M471" s="585"/>
      <c r="N471" s="585"/>
      <c r="O471" s="585"/>
      <c r="P471" s="585"/>
      <c r="Q471" s="585"/>
      <c r="R471" s="585"/>
      <c r="S471" s="585"/>
      <c r="T471" s="585"/>
      <c r="U471" s="585"/>
      <c r="V471" s="224"/>
      <c r="W471" s="224"/>
      <c r="X471" s="9"/>
      <c r="Y471" s="9"/>
      <c r="Z471" s="9"/>
    </row>
    <row r="472">
      <c r="A472" s="585"/>
      <c r="B472" s="585"/>
      <c r="C472" s="585"/>
      <c r="D472" s="585"/>
      <c r="E472" s="585"/>
      <c r="F472" s="585"/>
      <c r="G472" s="585"/>
      <c r="H472" s="585"/>
      <c r="I472" s="585"/>
      <c r="J472" s="585"/>
      <c r="K472" s="585"/>
      <c r="L472" s="585"/>
      <c r="M472" s="585"/>
      <c r="N472" s="585"/>
      <c r="O472" s="585"/>
      <c r="P472" s="585"/>
      <c r="Q472" s="585"/>
      <c r="R472" s="585"/>
      <c r="S472" s="585"/>
      <c r="T472" s="585"/>
      <c r="U472" s="585"/>
      <c r="V472" s="224"/>
      <c r="W472" s="224"/>
      <c r="X472" s="9"/>
      <c r="Y472" s="9"/>
      <c r="Z472" s="9"/>
    </row>
    <row r="473">
      <c r="A473" s="585"/>
      <c r="B473" s="585"/>
      <c r="C473" s="585"/>
      <c r="D473" s="585"/>
      <c r="E473" s="585"/>
      <c r="F473" s="585"/>
      <c r="G473" s="585"/>
      <c r="H473" s="585"/>
      <c r="I473" s="585"/>
      <c r="J473" s="585"/>
      <c r="K473" s="585"/>
      <c r="L473" s="585"/>
      <c r="M473" s="585"/>
      <c r="N473" s="585"/>
      <c r="O473" s="585"/>
      <c r="P473" s="585"/>
      <c r="Q473" s="585"/>
      <c r="R473" s="585"/>
      <c r="S473" s="585"/>
      <c r="T473" s="585"/>
      <c r="U473" s="585"/>
      <c r="V473" s="224"/>
      <c r="W473" s="224"/>
      <c r="X473" s="9"/>
      <c r="Y473" s="9"/>
      <c r="Z473" s="9"/>
    </row>
    <row r="474">
      <c r="A474" s="585"/>
      <c r="B474" s="585"/>
      <c r="C474" s="585"/>
      <c r="D474" s="585"/>
      <c r="E474" s="585"/>
      <c r="F474" s="585"/>
      <c r="G474" s="585"/>
      <c r="H474" s="585"/>
      <c r="I474" s="585"/>
      <c r="J474" s="585"/>
      <c r="K474" s="585"/>
      <c r="L474" s="585"/>
      <c r="M474" s="585"/>
      <c r="N474" s="585"/>
      <c r="O474" s="585"/>
      <c r="P474" s="585"/>
      <c r="Q474" s="585"/>
      <c r="R474" s="585"/>
      <c r="S474" s="585"/>
      <c r="T474" s="585"/>
      <c r="U474" s="585"/>
      <c r="V474" s="224"/>
      <c r="W474" s="224"/>
      <c r="X474" s="9"/>
      <c r="Y474" s="9"/>
      <c r="Z474" s="9"/>
    </row>
    <row r="475">
      <c r="A475" s="585"/>
      <c r="B475" s="585"/>
      <c r="C475" s="585"/>
      <c r="D475" s="585"/>
      <c r="E475" s="585"/>
      <c r="F475" s="585"/>
      <c r="G475" s="585"/>
      <c r="H475" s="585"/>
      <c r="I475" s="585"/>
      <c r="J475" s="585"/>
      <c r="K475" s="585"/>
      <c r="L475" s="585"/>
      <c r="M475" s="585"/>
      <c r="N475" s="585"/>
      <c r="O475" s="585"/>
      <c r="P475" s="585"/>
      <c r="Q475" s="585"/>
      <c r="R475" s="585"/>
      <c r="S475" s="585"/>
      <c r="T475" s="585"/>
      <c r="U475" s="585"/>
      <c r="V475" s="224"/>
      <c r="W475" s="224"/>
      <c r="X475" s="9"/>
      <c r="Y475" s="9"/>
      <c r="Z475" s="9"/>
    </row>
    <row r="476">
      <c r="A476" s="585"/>
      <c r="B476" s="585"/>
      <c r="C476" s="585"/>
      <c r="D476" s="585"/>
      <c r="E476" s="585"/>
      <c r="F476" s="585"/>
      <c r="G476" s="585"/>
      <c r="H476" s="585"/>
      <c r="I476" s="585"/>
      <c r="J476" s="585"/>
      <c r="K476" s="585"/>
      <c r="L476" s="585"/>
      <c r="M476" s="585"/>
      <c r="N476" s="585"/>
      <c r="O476" s="585"/>
      <c r="P476" s="585"/>
      <c r="Q476" s="585"/>
      <c r="R476" s="585"/>
      <c r="S476" s="585"/>
      <c r="T476" s="585"/>
      <c r="U476" s="585"/>
      <c r="V476" s="224"/>
      <c r="W476" s="224"/>
      <c r="X476" s="9"/>
      <c r="Y476" s="9"/>
      <c r="Z476" s="9"/>
    </row>
    <row r="477">
      <c r="A477" s="585"/>
      <c r="B477" s="585"/>
      <c r="C477" s="585"/>
      <c r="D477" s="585"/>
      <c r="E477" s="585"/>
      <c r="F477" s="585"/>
      <c r="G477" s="585"/>
      <c r="H477" s="585"/>
      <c r="I477" s="585"/>
      <c r="J477" s="585"/>
      <c r="K477" s="585"/>
      <c r="L477" s="585"/>
      <c r="M477" s="585"/>
      <c r="N477" s="585"/>
      <c r="O477" s="585"/>
      <c r="P477" s="585"/>
      <c r="Q477" s="585"/>
      <c r="R477" s="585"/>
      <c r="S477" s="585"/>
      <c r="T477" s="585"/>
      <c r="U477" s="585"/>
      <c r="V477" s="224"/>
      <c r="W477" s="224"/>
      <c r="X477" s="9"/>
      <c r="Y477" s="9"/>
      <c r="Z477" s="9"/>
    </row>
    <row r="478">
      <c r="A478" s="585"/>
      <c r="B478" s="585"/>
      <c r="C478" s="585"/>
      <c r="D478" s="585"/>
      <c r="E478" s="585"/>
      <c r="F478" s="585"/>
      <c r="G478" s="585"/>
      <c r="H478" s="585"/>
      <c r="I478" s="585"/>
      <c r="J478" s="585"/>
      <c r="K478" s="585"/>
      <c r="L478" s="585"/>
      <c r="M478" s="585"/>
      <c r="N478" s="585"/>
      <c r="O478" s="585"/>
      <c r="P478" s="585"/>
      <c r="Q478" s="585"/>
      <c r="R478" s="585"/>
      <c r="S478" s="585"/>
      <c r="T478" s="585"/>
      <c r="U478" s="585"/>
      <c r="V478" s="224"/>
      <c r="W478" s="224"/>
      <c r="X478" s="9"/>
      <c r="Y478" s="9"/>
      <c r="Z478" s="9"/>
    </row>
    <row r="479">
      <c r="A479" s="585"/>
      <c r="B479" s="585"/>
      <c r="C479" s="585"/>
      <c r="D479" s="585"/>
      <c r="E479" s="585"/>
      <c r="F479" s="585"/>
      <c r="G479" s="585"/>
      <c r="H479" s="585"/>
      <c r="I479" s="585"/>
      <c r="J479" s="585"/>
      <c r="K479" s="585"/>
      <c r="L479" s="585"/>
      <c r="M479" s="585"/>
      <c r="N479" s="585"/>
      <c r="O479" s="585"/>
      <c r="P479" s="585"/>
      <c r="Q479" s="585"/>
      <c r="R479" s="585"/>
      <c r="S479" s="585"/>
      <c r="T479" s="585"/>
      <c r="U479" s="585"/>
      <c r="V479" s="224"/>
      <c r="W479" s="224"/>
      <c r="X479" s="9"/>
      <c r="Y479" s="9"/>
      <c r="Z479" s="9"/>
    </row>
    <row r="480">
      <c r="A480" s="585"/>
      <c r="B480" s="585"/>
      <c r="C480" s="585"/>
      <c r="D480" s="585"/>
      <c r="E480" s="585"/>
      <c r="F480" s="585"/>
      <c r="G480" s="585"/>
      <c r="H480" s="585"/>
      <c r="I480" s="585"/>
      <c r="J480" s="585"/>
      <c r="K480" s="585"/>
      <c r="L480" s="585"/>
      <c r="M480" s="585"/>
      <c r="N480" s="585"/>
      <c r="O480" s="585"/>
      <c r="P480" s="585"/>
      <c r="Q480" s="585"/>
      <c r="R480" s="585"/>
      <c r="S480" s="585"/>
      <c r="T480" s="585"/>
      <c r="U480" s="585"/>
      <c r="V480" s="224"/>
      <c r="W480" s="224"/>
      <c r="X480" s="9"/>
      <c r="Y480" s="9"/>
      <c r="Z480" s="9"/>
    </row>
    <row r="481">
      <c r="A481" s="585"/>
      <c r="B481" s="585"/>
      <c r="C481" s="585"/>
      <c r="D481" s="585"/>
      <c r="E481" s="585"/>
      <c r="F481" s="585"/>
      <c r="G481" s="585"/>
      <c r="H481" s="585"/>
      <c r="I481" s="585"/>
      <c r="J481" s="585"/>
      <c r="K481" s="585"/>
      <c r="L481" s="585"/>
      <c r="M481" s="585"/>
      <c r="N481" s="585"/>
      <c r="O481" s="585"/>
      <c r="P481" s="585"/>
      <c r="Q481" s="585"/>
      <c r="R481" s="585"/>
      <c r="S481" s="585"/>
      <c r="T481" s="585"/>
      <c r="U481" s="585"/>
      <c r="V481" s="224"/>
      <c r="W481" s="224"/>
      <c r="X481" s="9"/>
      <c r="Y481" s="9"/>
      <c r="Z481" s="9"/>
    </row>
    <row r="482">
      <c r="A482" s="585"/>
      <c r="B482" s="585"/>
      <c r="C482" s="585"/>
      <c r="D482" s="585"/>
      <c r="E482" s="585"/>
      <c r="F482" s="585"/>
      <c r="G482" s="585"/>
      <c r="H482" s="585"/>
      <c r="I482" s="585"/>
      <c r="J482" s="585"/>
      <c r="K482" s="585"/>
      <c r="L482" s="585"/>
      <c r="M482" s="585"/>
      <c r="N482" s="585"/>
      <c r="O482" s="585"/>
      <c r="P482" s="585"/>
      <c r="Q482" s="585"/>
      <c r="R482" s="585"/>
      <c r="S482" s="585"/>
      <c r="T482" s="585"/>
      <c r="U482" s="585"/>
      <c r="V482" s="224"/>
      <c r="W482" s="224"/>
      <c r="X482" s="9"/>
      <c r="Y482" s="9"/>
      <c r="Z482" s="9"/>
    </row>
    <row r="483">
      <c r="A483" s="585"/>
      <c r="B483" s="585"/>
      <c r="C483" s="585"/>
      <c r="D483" s="585"/>
      <c r="E483" s="585"/>
      <c r="F483" s="585"/>
      <c r="G483" s="585"/>
      <c r="H483" s="585"/>
      <c r="I483" s="585"/>
      <c r="J483" s="585"/>
      <c r="K483" s="585"/>
      <c r="L483" s="585"/>
      <c r="M483" s="585"/>
      <c r="N483" s="585"/>
      <c r="O483" s="585"/>
      <c r="P483" s="585"/>
      <c r="Q483" s="585"/>
      <c r="R483" s="585"/>
      <c r="S483" s="585"/>
      <c r="T483" s="585"/>
      <c r="U483" s="585"/>
      <c r="V483" s="224"/>
      <c r="W483" s="224"/>
      <c r="X483" s="9"/>
      <c r="Y483" s="9"/>
      <c r="Z483" s="9"/>
    </row>
    <row r="484">
      <c r="A484" s="585"/>
      <c r="B484" s="585"/>
      <c r="C484" s="585"/>
      <c r="D484" s="585"/>
      <c r="E484" s="585"/>
      <c r="F484" s="585"/>
      <c r="G484" s="585"/>
      <c r="H484" s="585"/>
      <c r="I484" s="585"/>
      <c r="J484" s="585"/>
      <c r="K484" s="585"/>
      <c r="L484" s="585"/>
      <c r="M484" s="585"/>
      <c r="N484" s="585"/>
      <c r="O484" s="585"/>
      <c r="P484" s="585"/>
      <c r="Q484" s="585"/>
      <c r="R484" s="585"/>
      <c r="S484" s="585"/>
      <c r="T484" s="585"/>
      <c r="U484" s="585"/>
      <c r="V484" s="224"/>
      <c r="W484" s="224"/>
      <c r="X484" s="9"/>
      <c r="Y484" s="9"/>
      <c r="Z484" s="9"/>
    </row>
    <row r="485">
      <c r="A485" s="585"/>
      <c r="B485" s="585"/>
      <c r="C485" s="585"/>
      <c r="D485" s="585"/>
      <c r="E485" s="585"/>
      <c r="F485" s="585"/>
      <c r="G485" s="585"/>
      <c r="H485" s="585"/>
      <c r="I485" s="585"/>
      <c r="J485" s="585"/>
      <c r="K485" s="585"/>
      <c r="L485" s="585"/>
      <c r="M485" s="585"/>
      <c r="N485" s="585"/>
      <c r="O485" s="585"/>
      <c r="P485" s="585"/>
      <c r="Q485" s="585"/>
      <c r="R485" s="585"/>
      <c r="S485" s="585"/>
      <c r="T485" s="585"/>
      <c r="U485" s="585"/>
      <c r="V485" s="224"/>
      <c r="W485" s="224"/>
      <c r="X485" s="9"/>
      <c r="Y485" s="9"/>
      <c r="Z485" s="9"/>
    </row>
    <row r="486">
      <c r="A486" s="585"/>
      <c r="B486" s="585"/>
      <c r="C486" s="585"/>
      <c r="D486" s="585"/>
      <c r="E486" s="585"/>
      <c r="F486" s="585"/>
      <c r="G486" s="585"/>
      <c r="H486" s="585"/>
      <c r="I486" s="585"/>
      <c r="J486" s="585"/>
      <c r="K486" s="585"/>
      <c r="L486" s="585"/>
      <c r="M486" s="585"/>
      <c r="N486" s="585"/>
      <c r="O486" s="585"/>
      <c r="P486" s="585"/>
      <c r="Q486" s="585"/>
      <c r="R486" s="585"/>
      <c r="S486" s="585"/>
      <c r="T486" s="585"/>
      <c r="U486" s="585"/>
      <c r="V486" s="224"/>
      <c r="W486" s="224"/>
      <c r="X486" s="9"/>
      <c r="Y486" s="9"/>
      <c r="Z486" s="9"/>
    </row>
    <row r="487">
      <c r="A487" s="585"/>
      <c r="B487" s="585"/>
      <c r="C487" s="585"/>
      <c r="D487" s="585"/>
      <c r="E487" s="585"/>
      <c r="F487" s="585"/>
      <c r="G487" s="585"/>
      <c r="H487" s="585"/>
      <c r="I487" s="585"/>
      <c r="J487" s="585"/>
      <c r="K487" s="585"/>
      <c r="L487" s="585"/>
      <c r="M487" s="585"/>
      <c r="N487" s="585"/>
      <c r="O487" s="585"/>
      <c r="P487" s="585"/>
      <c r="Q487" s="585"/>
      <c r="R487" s="585"/>
      <c r="S487" s="585"/>
      <c r="T487" s="585"/>
      <c r="U487" s="585"/>
      <c r="V487" s="224"/>
      <c r="W487" s="224"/>
      <c r="X487" s="9"/>
      <c r="Y487" s="9"/>
      <c r="Z487" s="9"/>
    </row>
    <row r="488">
      <c r="A488" s="585"/>
      <c r="B488" s="585"/>
      <c r="C488" s="585"/>
      <c r="D488" s="585"/>
      <c r="E488" s="585"/>
      <c r="F488" s="585"/>
      <c r="G488" s="585"/>
      <c r="H488" s="585"/>
      <c r="I488" s="585"/>
      <c r="J488" s="585"/>
      <c r="K488" s="585"/>
      <c r="L488" s="585"/>
      <c r="M488" s="585"/>
      <c r="N488" s="585"/>
      <c r="O488" s="585"/>
      <c r="P488" s="585"/>
      <c r="Q488" s="585"/>
      <c r="R488" s="585"/>
      <c r="S488" s="585"/>
      <c r="T488" s="585"/>
      <c r="U488" s="585"/>
      <c r="V488" s="224"/>
      <c r="W488" s="224"/>
      <c r="X488" s="9"/>
      <c r="Y488" s="9"/>
      <c r="Z488" s="9"/>
    </row>
    <row r="489">
      <c r="A489" s="585"/>
      <c r="B489" s="585"/>
      <c r="C489" s="585"/>
      <c r="D489" s="585"/>
      <c r="E489" s="585"/>
      <c r="F489" s="585"/>
      <c r="G489" s="585"/>
      <c r="H489" s="585"/>
      <c r="I489" s="585"/>
      <c r="J489" s="585"/>
      <c r="K489" s="585"/>
      <c r="L489" s="585"/>
      <c r="M489" s="585"/>
      <c r="N489" s="585"/>
      <c r="O489" s="585"/>
      <c r="P489" s="585"/>
      <c r="Q489" s="585"/>
      <c r="R489" s="585"/>
      <c r="S489" s="585"/>
      <c r="T489" s="585"/>
      <c r="U489" s="585"/>
      <c r="V489" s="224"/>
      <c r="W489" s="224"/>
      <c r="X489" s="9"/>
      <c r="Y489" s="9"/>
      <c r="Z489" s="9"/>
    </row>
    <row r="490">
      <c r="A490" s="585"/>
      <c r="B490" s="585"/>
      <c r="C490" s="585"/>
      <c r="D490" s="585"/>
      <c r="E490" s="585"/>
      <c r="F490" s="585"/>
      <c r="G490" s="585"/>
      <c r="H490" s="585"/>
      <c r="I490" s="585"/>
      <c r="J490" s="585"/>
      <c r="K490" s="585"/>
      <c r="L490" s="585"/>
      <c r="M490" s="585"/>
      <c r="N490" s="585"/>
      <c r="O490" s="585"/>
      <c r="P490" s="585"/>
      <c r="Q490" s="585"/>
      <c r="R490" s="585"/>
      <c r="S490" s="585"/>
      <c r="T490" s="585"/>
      <c r="U490" s="585"/>
      <c r="V490" s="224"/>
      <c r="W490" s="224"/>
      <c r="X490" s="9"/>
      <c r="Y490" s="9"/>
      <c r="Z490" s="9"/>
    </row>
    <row r="491">
      <c r="A491" s="585"/>
      <c r="B491" s="585"/>
      <c r="C491" s="585"/>
      <c r="D491" s="585"/>
      <c r="E491" s="585"/>
      <c r="F491" s="585"/>
      <c r="G491" s="585"/>
      <c r="H491" s="585"/>
      <c r="I491" s="585"/>
      <c r="J491" s="585"/>
      <c r="K491" s="585"/>
      <c r="L491" s="585"/>
      <c r="M491" s="585"/>
      <c r="N491" s="585"/>
      <c r="O491" s="585"/>
      <c r="P491" s="585"/>
      <c r="Q491" s="585"/>
      <c r="R491" s="585"/>
      <c r="S491" s="585"/>
      <c r="T491" s="585"/>
      <c r="U491" s="585"/>
      <c r="V491" s="224"/>
      <c r="W491" s="224"/>
      <c r="X491" s="9"/>
      <c r="Y491" s="9"/>
      <c r="Z491" s="9"/>
    </row>
    <row r="492">
      <c r="A492" s="585"/>
      <c r="B492" s="585"/>
      <c r="C492" s="585"/>
      <c r="D492" s="585"/>
      <c r="E492" s="585"/>
      <c r="F492" s="585"/>
      <c r="G492" s="585"/>
      <c r="H492" s="585"/>
      <c r="I492" s="585"/>
      <c r="J492" s="585"/>
      <c r="K492" s="585"/>
      <c r="L492" s="585"/>
      <c r="M492" s="585"/>
      <c r="N492" s="585"/>
      <c r="O492" s="585"/>
      <c r="P492" s="585"/>
      <c r="Q492" s="585"/>
      <c r="R492" s="585"/>
      <c r="S492" s="585"/>
      <c r="T492" s="585"/>
      <c r="U492" s="585"/>
      <c r="V492" s="224"/>
      <c r="W492" s="224"/>
      <c r="X492" s="9"/>
      <c r="Y492" s="9"/>
      <c r="Z492" s="9"/>
    </row>
    <row r="493">
      <c r="A493" s="585"/>
      <c r="B493" s="585"/>
      <c r="C493" s="585"/>
      <c r="D493" s="585"/>
      <c r="E493" s="585"/>
      <c r="F493" s="585"/>
      <c r="G493" s="585"/>
      <c r="H493" s="585"/>
      <c r="I493" s="585"/>
      <c r="J493" s="585"/>
      <c r="K493" s="585"/>
      <c r="L493" s="585"/>
      <c r="M493" s="585"/>
      <c r="N493" s="585"/>
      <c r="O493" s="585"/>
      <c r="P493" s="585"/>
      <c r="Q493" s="585"/>
      <c r="R493" s="585"/>
      <c r="S493" s="585"/>
      <c r="T493" s="585"/>
      <c r="U493" s="585"/>
      <c r="V493" s="224"/>
      <c r="W493" s="224"/>
      <c r="X493" s="9"/>
      <c r="Y493" s="9"/>
      <c r="Z493" s="9"/>
    </row>
    <row r="494">
      <c r="A494" s="585"/>
      <c r="B494" s="585"/>
      <c r="C494" s="585"/>
      <c r="D494" s="585"/>
      <c r="E494" s="585"/>
      <c r="F494" s="585"/>
      <c r="G494" s="585"/>
      <c r="H494" s="585"/>
      <c r="I494" s="585"/>
      <c r="J494" s="585"/>
      <c r="K494" s="585"/>
      <c r="L494" s="585"/>
      <c r="M494" s="585"/>
      <c r="N494" s="585"/>
      <c r="O494" s="585"/>
      <c r="P494" s="585"/>
      <c r="Q494" s="585"/>
      <c r="R494" s="585"/>
      <c r="S494" s="585"/>
      <c r="T494" s="585"/>
      <c r="U494" s="585"/>
      <c r="V494" s="224"/>
      <c r="W494" s="224"/>
      <c r="X494" s="9"/>
      <c r="Y494" s="9"/>
      <c r="Z494" s="9"/>
    </row>
    <row r="495">
      <c r="A495" s="585"/>
      <c r="B495" s="585"/>
      <c r="C495" s="585"/>
      <c r="D495" s="585"/>
      <c r="E495" s="585"/>
      <c r="F495" s="585"/>
      <c r="G495" s="585"/>
      <c r="H495" s="585"/>
      <c r="I495" s="585"/>
      <c r="J495" s="585"/>
      <c r="K495" s="585"/>
      <c r="L495" s="585"/>
      <c r="M495" s="585"/>
      <c r="N495" s="585"/>
      <c r="O495" s="585"/>
      <c r="P495" s="585"/>
      <c r="Q495" s="585"/>
      <c r="R495" s="585"/>
      <c r="S495" s="585"/>
      <c r="T495" s="585"/>
      <c r="U495" s="585"/>
      <c r="V495" s="224"/>
      <c r="W495" s="224"/>
      <c r="X495" s="9"/>
      <c r="Y495" s="9"/>
      <c r="Z495" s="9"/>
    </row>
    <row r="496">
      <c r="A496" s="585"/>
      <c r="B496" s="585"/>
      <c r="C496" s="585"/>
      <c r="D496" s="585"/>
      <c r="E496" s="585"/>
      <c r="F496" s="585"/>
      <c r="G496" s="585"/>
      <c r="H496" s="585"/>
      <c r="I496" s="585"/>
      <c r="J496" s="585"/>
      <c r="K496" s="585"/>
      <c r="L496" s="585"/>
      <c r="M496" s="585"/>
      <c r="N496" s="585"/>
      <c r="O496" s="585"/>
      <c r="P496" s="585"/>
      <c r="Q496" s="585"/>
      <c r="R496" s="585"/>
      <c r="S496" s="585"/>
      <c r="T496" s="585"/>
      <c r="U496" s="585"/>
      <c r="V496" s="224"/>
      <c r="W496" s="224"/>
      <c r="X496" s="9"/>
      <c r="Y496" s="9"/>
      <c r="Z496" s="9"/>
    </row>
    <row r="497">
      <c r="A497" s="585"/>
      <c r="B497" s="585"/>
      <c r="C497" s="585"/>
      <c r="D497" s="585"/>
      <c r="E497" s="585"/>
      <c r="F497" s="585"/>
      <c r="G497" s="585"/>
      <c r="H497" s="585"/>
      <c r="I497" s="585"/>
      <c r="J497" s="585"/>
      <c r="K497" s="585"/>
      <c r="L497" s="585"/>
      <c r="M497" s="585"/>
      <c r="N497" s="585"/>
      <c r="O497" s="585"/>
      <c r="P497" s="585"/>
      <c r="Q497" s="585"/>
      <c r="R497" s="585"/>
      <c r="S497" s="585"/>
      <c r="T497" s="585"/>
      <c r="U497" s="585"/>
      <c r="V497" s="224"/>
      <c r="W497" s="224"/>
      <c r="X497" s="9"/>
      <c r="Y497" s="9"/>
      <c r="Z497" s="9"/>
    </row>
    <row r="498">
      <c r="A498" s="585"/>
      <c r="B498" s="585"/>
      <c r="C498" s="585"/>
      <c r="D498" s="585"/>
      <c r="E498" s="585"/>
      <c r="F498" s="585"/>
      <c r="G498" s="585"/>
      <c r="H498" s="585"/>
      <c r="I498" s="585"/>
      <c r="J498" s="585"/>
      <c r="K498" s="585"/>
      <c r="L498" s="585"/>
      <c r="M498" s="585"/>
      <c r="N498" s="585"/>
      <c r="O498" s="585"/>
      <c r="P498" s="585"/>
      <c r="Q498" s="585"/>
      <c r="R498" s="585"/>
      <c r="S498" s="585"/>
      <c r="T498" s="585"/>
      <c r="U498" s="585"/>
      <c r="V498" s="224"/>
      <c r="W498" s="224"/>
      <c r="X498" s="9"/>
      <c r="Y498" s="9"/>
      <c r="Z498" s="9"/>
    </row>
    <row r="499">
      <c r="A499" s="585"/>
      <c r="B499" s="585"/>
      <c r="C499" s="585"/>
      <c r="D499" s="585"/>
      <c r="E499" s="585"/>
      <c r="F499" s="585"/>
      <c r="G499" s="585"/>
      <c r="H499" s="585"/>
      <c r="I499" s="585"/>
      <c r="J499" s="585"/>
      <c r="K499" s="585"/>
      <c r="L499" s="585"/>
      <c r="M499" s="585"/>
      <c r="N499" s="585"/>
      <c r="O499" s="585"/>
      <c r="P499" s="585"/>
      <c r="Q499" s="585"/>
      <c r="R499" s="585"/>
      <c r="S499" s="585"/>
      <c r="T499" s="585"/>
      <c r="U499" s="585"/>
      <c r="V499" s="224"/>
      <c r="W499" s="224"/>
      <c r="X499" s="9"/>
      <c r="Y499" s="9"/>
      <c r="Z499" s="9"/>
    </row>
    <row r="500">
      <c r="A500" s="585"/>
      <c r="B500" s="585"/>
      <c r="C500" s="585"/>
      <c r="D500" s="585"/>
      <c r="E500" s="585"/>
      <c r="F500" s="585"/>
      <c r="G500" s="585"/>
      <c r="H500" s="585"/>
      <c r="I500" s="585"/>
      <c r="J500" s="585"/>
      <c r="K500" s="585"/>
      <c r="L500" s="585"/>
      <c r="M500" s="585"/>
      <c r="N500" s="585"/>
      <c r="O500" s="585"/>
      <c r="P500" s="585"/>
      <c r="Q500" s="585"/>
      <c r="R500" s="585"/>
      <c r="S500" s="585"/>
      <c r="T500" s="585"/>
      <c r="U500" s="585"/>
      <c r="V500" s="224"/>
      <c r="W500" s="224"/>
      <c r="X500" s="9"/>
      <c r="Y500" s="9"/>
      <c r="Z500" s="9"/>
    </row>
    <row r="501">
      <c r="A501" s="585"/>
      <c r="B501" s="585"/>
      <c r="C501" s="585"/>
      <c r="D501" s="585"/>
      <c r="E501" s="585"/>
      <c r="F501" s="585"/>
      <c r="G501" s="585"/>
      <c r="H501" s="585"/>
      <c r="I501" s="585"/>
      <c r="J501" s="585"/>
      <c r="K501" s="585"/>
      <c r="L501" s="585"/>
      <c r="M501" s="585"/>
      <c r="N501" s="585"/>
      <c r="O501" s="585"/>
      <c r="P501" s="585"/>
      <c r="Q501" s="585"/>
      <c r="R501" s="585"/>
      <c r="S501" s="585"/>
      <c r="T501" s="585"/>
      <c r="U501" s="585"/>
      <c r="V501" s="224"/>
      <c r="W501" s="224"/>
      <c r="X501" s="9"/>
      <c r="Y501" s="9"/>
      <c r="Z501" s="9"/>
    </row>
    <row r="502">
      <c r="A502" s="585"/>
      <c r="B502" s="585"/>
      <c r="C502" s="585"/>
      <c r="D502" s="585"/>
      <c r="E502" s="585"/>
      <c r="F502" s="585"/>
      <c r="G502" s="585"/>
      <c r="H502" s="585"/>
      <c r="I502" s="585"/>
      <c r="J502" s="585"/>
      <c r="K502" s="585"/>
      <c r="L502" s="585"/>
      <c r="M502" s="585"/>
      <c r="N502" s="585"/>
      <c r="O502" s="585"/>
      <c r="P502" s="585"/>
      <c r="Q502" s="585"/>
      <c r="R502" s="585"/>
      <c r="S502" s="585"/>
      <c r="T502" s="585"/>
      <c r="U502" s="585"/>
      <c r="V502" s="224"/>
      <c r="W502" s="224"/>
      <c r="X502" s="9"/>
      <c r="Y502" s="9"/>
      <c r="Z502" s="9"/>
    </row>
    <row r="503">
      <c r="A503" s="585"/>
      <c r="B503" s="585"/>
      <c r="C503" s="585"/>
      <c r="D503" s="585"/>
      <c r="E503" s="585"/>
      <c r="F503" s="585"/>
      <c r="G503" s="585"/>
      <c r="H503" s="585"/>
      <c r="I503" s="585"/>
      <c r="J503" s="585"/>
      <c r="K503" s="585"/>
      <c r="L503" s="585"/>
      <c r="M503" s="585"/>
      <c r="N503" s="585"/>
      <c r="O503" s="585"/>
      <c r="P503" s="585"/>
      <c r="Q503" s="585"/>
      <c r="R503" s="585"/>
      <c r="S503" s="585"/>
      <c r="T503" s="585"/>
      <c r="U503" s="585"/>
      <c r="V503" s="224"/>
      <c r="W503" s="224"/>
      <c r="X503" s="9"/>
      <c r="Y503" s="9"/>
      <c r="Z503" s="9"/>
    </row>
    <row r="504">
      <c r="A504" s="585"/>
      <c r="B504" s="585"/>
      <c r="C504" s="585"/>
      <c r="D504" s="585"/>
      <c r="E504" s="585"/>
      <c r="F504" s="585"/>
      <c r="G504" s="585"/>
      <c r="H504" s="585"/>
      <c r="I504" s="585"/>
      <c r="J504" s="585"/>
      <c r="K504" s="585"/>
      <c r="L504" s="585"/>
      <c r="M504" s="585"/>
      <c r="N504" s="585"/>
      <c r="O504" s="585"/>
      <c r="P504" s="585"/>
      <c r="Q504" s="585"/>
      <c r="R504" s="585"/>
      <c r="S504" s="585"/>
      <c r="T504" s="585"/>
      <c r="U504" s="585"/>
      <c r="V504" s="224"/>
      <c r="W504" s="224"/>
      <c r="X504" s="9"/>
      <c r="Y504" s="9"/>
      <c r="Z504" s="9"/>
    </row>
    <row r="505">
      <c r="A505" s="585"/>
      <c r="B505" s="585"/>
      <c r="C505" s="585"/>
      <c r="D505" s="585"/>
      <c r="E505" s="585"/>
      <c r="F505" s="585"/>
      <c r="G505" s="585"/>
      <c r="H505" s="585"/>
      <c r="I505" s="585"/>
      <c r="J505" s="585"/>
      <c r="K505" s="585"/>
      <c r="L505" s="585"/>
      <c r="M505" s="585"/>
      <c r="N505" s="585"/>
      <c r="O505" s="585"/>
      <c r="P505" s="585"/>
      <c r="Q505" s="585"/>
      <c r="R505" s="585"/>
      <c r="S505" s="585"/>
      <c r="T505" s="585"/>
      <c r="U505" s="585"/>
      <c r="V505" s="224"/>
      <c r="W505" s="224"/>
      <c r="X505" s="9"/>
      <c r="Y505" s="9"/>
      <c r="Z505" s="9"/>
    </row>
    <row r="506">
      <c r="A506" s="585"/>
      <c r="B506" s="585"/>
      <c r="C506" s="585"/>
      <c r="D506" s="585"/>
      <c r="E506" s="585"/>
      <c r="F506" s="585"/>
      <c r="G506" s="585"/>
      <c r="H506" s="585"/>
      <c r="I506" s="585"/>
      <c r="J506" s="585"/>
      <c r="K506" s="585"/>
      <c r="L506" s="585"/>
      <c r="M506" s="585"/>
      <c r="N506" s="585"/>
      <c r="O506" s="585"/>
      <c r="P506" s="585"/>
      <c r="Q506" s="585"/>
      <c r="R506" s="585"/>
      <c r="S506" s="585"/>
      <c r="T506" s="585"/>
      <c r="U506" s="585"/>
      <c r="V506" s="224"/>
      <c r="W506" s="224"/>
      <c r="X506" s="9"/>
      <c r="Y506" s="9"/>
      <c r="Z506" s="9"/>
    </row>
    <row r="507">
      <c r="A507" s="585"/>
      <c r="B507" s="585"/>
      <c r="C507" s="585"/>
      <c r="D507" s="585"/>
      <c r="E507" s="585"/>
      <c r="F507" s="585"/>
      <c r="G507" s="585"/>
      <c r="H507" s="585"/>
      <c r="I507" s="585"/>
      <c r="J507" s="585"/>
      <c r="K507" s="585"/>
      <c r="L507" s="585"/>
      <c r="M507" s="585"/>
      <c r="N507" s="585"/>
      <c r="O507" s="585"/>
      <c r="P507" s="585"/>
      <c r="Q507" s="585"/>
      <c r="R507" s="585"/>
      <c r="S507" s="585"/>
      <c r="T507" s="585"/>
      <c r="U507" s="585"/>
      <c r="V507" s="224"/>
      <c r="W507" s="224"/>
      <c r="X507" s="9"/>
      <c r="Y507" s="9"/>
      <c r="Z507" s="9"/>
    </row>
    <row r="508">
      <c r="A508" s="585"/>
      <c r="B508" s="585"/>
      <c r="C508" s="585"/>
      <c r="D508" s="585"/>
      <c r="E508" s="585"/>
      <c r="F508" s="585"/>
      <c r="G508" s="585"/>
      <c r="H508" s="585"/>
      <c r="I508" s="585"/>
      <c r="J508" s="585"/>
      <c r="K508" s="585"/>
      <c r="L508" s="585"/>
      <c r="M508" s="585"/>
      <c r="N508" s="585"/>
      <c r="O508" s="585"/>
      <c r="P508" s="585"/>
      <c r="Q508" s="585"/>
      <c r="R508" s="585"/>
      <c r="S508" s="585"/>
      <c r="T508" s="585"/>
      <c r="U508" s="585"/>
      <c r="V508" s="224"/>
      <c r="W508" s="224"/>
      <c r="X508" s="9"/>
      <c r="Y508" s="9"/>
      <c r="Z508" s="9"/>
    </row>
    <row r="509">
      <c r="A509" s="585"/>
      <c r="B509" s="585"/>
      <c r="C509" s="585"/>
      <c r="D509" s="585"/>
      <c r="E509" s="585"/>
      <c r="F509" s="585"/>
      <c r="G509" s="585"/>
      <c r="H509" s="585"/>
      <c r="I509" s="585"/>
      <c r="J509" s="585"/>
      <c r="K509" s="585"/>
      <c r="L509" s="585"/>
      <c r="M509" s="585"/>
      <c r="N509" s="585"/>
      <c r="O509" s="585"/>
      <c r="P509" s="585"/>
      <c r="Q509" s="585"/>
      <c r="R509" s="585"/>
      <c r="S509" s="585"/>
      <c r="T509" s="585"/>
      <c r="U509" s="585"/>
      <c r="V509" s="224"/>
      <c r="W509" s="224"/>
      <c r="X509" s="9"/>
      <c r="Y509" s="9"/>
      <c r="Z509" s="9"/>
    </row>
    <row r="510">
      <c r="A510" s="585"/>
      <c r="B510" s="585"/>
      <c r="C510" s="585"/>
      <c r="D510" s="585"/>
      <c r="E510" s="585"/>
      <c r="F510" s="585"/>
      <c r="G510" s="585"/>
      <c r="H510" s="585"/>
      <c r="I510" s="585"/>
      <c r="J510" s="585"/>
      <c r="K510" s="585"/>
      <c r="L510" s="585"/>
      <c r="M510" s="585"/>
      <c r="N510" s="585"/>
      <c r="O510" s="585"/>
      <c r="P510" s="585"/>
      <c r="Q510" s="585"/>
      <c r="R510" s="585"/>
      <c r="S510" s="585"/>
      <c r="T510" s="585"/>
      <c r="U510" s="585"/>
      <c r="V510" s="224"/>
      <c r="W510" s="224"/>
      <c r="X510" s="9"/>
      <c r="Y510" s="9"/>
      <c r="Z510" s="9"/>
    </row>
    <row r="511">
      <c r="A511" s="585"/>
      <c r="B511" s="585"/>
      <c r="C511" s="585"/>
      <c r="D511" s="585"/>
      <c r="E511" s="585"/>
      <c r="F511" s="585"/>
      <c r="G511" s="585"/>
      <c r="H511" s="585"/>
      <c r="I511" s="585"/>
      <c r="J511" s="585"/>
      <c r="K511" s="585"/>
      <c r="L511" s="585"/>
      <c r="M511" s="585"/>
      <c r="N511" s="585"/>
      <c r="O511" s="585"/>
      <c r="P511" s="585"/>
      <c r="Q511" s="585"/>
      <c r="R511" s="585"/>
      <c r="S511" s="585"/>
      <c r="T511" s="585"/>
      <c r="U511" s="585"/>
      <c r="V511" s="224"/>
      <c r="W511" s="224"/>
      <c r="X511" s="9"/>
      <c r="Y511" s="9"/>
      <c r="Z511" s="9"/>
    </row>
    <row r="512">
      <c r="A512" s="585"/>
      <c r="B512" s="585"/>
      <c r="C512" s="585"/>
      <c r="D512" s="585"/>
      <c r="E512" s="585"/>
      <c r="F512" s="585"/>
      <c r="G512" s="585"/>
      <c r="H512" s="585"/>
      <c r="I512" s="585"/>
      <c r="J512" s="585"/>
      <c r="K512" s="585"/>
      <c r="L512" s="585"/>
      <c r="M512" s="585"/>
      <c r="N512" s="585"/>
      <c r="O512" s="585"/>
      <c r="P512" s="585"/>
      <c r="Q512" s="585"/>
      <c r="R512" s="585"/>
      <c r="S512" s="585"/>
      <c r="T512" s="585"/>
      <c r="U512" s="585"/>
      <c r="V512" s="224"/>
      <c r="W512" s="224"/>
      <c r="X512" s="9"/>
      <c r="Y512" s="9"/>
      <c r="Z512" s="9"/>
    </row>
    <row r="513">
      <c r="A513" s="585"/>
      <c r="B513" s="585"/>
      <c r="C513" s="585"/>
      <c r="D513" s="585"/>
      <c r="E513" s="585"/>
      <c r="F513" s="585"/>
      <c r="G513" s="585"/>
      <c r="H513" s="585"/>
      <c r="I513" s="585"/>
      <c r="J513" s="585"/>
      <c r="K513" s="585"/>
      <c r="L513" s="585"/>
      <c r="M513" s="585"/>
      <c r="N513" s="585"/>
      <c r="O513" s="585"/>
      <c r="P513" s="585"/>
      <c r="Q513" s="585"/>
      <c r="R513" s="585"/>
      <c r="S513" s="585"/>
      <c r="T513" s="585"/>
      <c r="U513" s="585"/>
      <c r="V513" s="224"/>
      <c r="W513" s="224"/>
      <c r="X513" s="9"/>
      <c r="Y513" s="9"/>
      <c r="Z513" s="9"/>
    </row>
    <row r="514">
      <c r="A514" s="585"/>
      <c r="B514" s="585"/>
      <c r="C514" s="585"/>
      <c r="D514" s="585"/>
      <c r="E514" s="585"/>
      <c r="F514" s="585"/>
      <c r="G514" s="585"/>
      <c r="H514" s="585"/>
      <c r="I514" s="585"/>
      <c r="J514" s="585"/>
      <c r="K514" s="585"/>
      <c r="L514" s="585"/>
      <c r="M514" s="585"/>
      <c r="N514" s="585"/>
      <c r="O514" s="585"/>
      <c r="P514" s="585"/>
      <c r="Q514" s="585"/>
      <c r="R514" s="585"/>
      <c r="S514" s="585"/>
      <c r="T514" s="585"/>
      <c r="U514" s="585"/>
      <c r="V514" s="224"/>
      <c r="W514" s="224"/>
      <c r="X514" s="9"/>
      <c r="Y514" s="9"/>
      <c r="Z514" s="9"/>
    </row>
    <row r="515">
      <c r="A515" s="585"/>
      <c r="B515" s="585"/>
      <c r="C515" s="585"/>
      <c r="D515" s="585"/>
      <c r="E515" s="585"/>
      <c r="F515" s="585"/>
      <c r="G515" s="585"/>
      <c r="H515" s="585"/>
      <c r="I515" s="585"/>
      <c r="J515" s="585"/>
      <c r="K515" s="585"/>
      <c r="L515" s="585"/>
      <c r="M515" s="585"/>
      <c r="N515" s="585"/>
      <c r="O515" s="585"/>
      <c r="P515" s="585"/>
      <c r="Q515" s="585"/>
      <c r="R515" s="585"/>
      <c r="S515" s="585"/>
      <c r="T515" s="585"/>
      <c r="U515" s="585"/>
      <c r="V515" s="224"/>
      <c r="W515" s="224"/>
      <c r="X515" s="9"/>
      <c r="Y515" s="9"/>
      <c r="Z515" s="9"/>
    </row>
    <row r="516">
      <c r="A516" s="585"/>
      <c r="B516" s="585"/>
      <c r="C516" s="585"/>
      <c r="D516" s="585"/>
      <c r="E516" s="585"/>
      <c r="F516" s="585"/>
      <c r="G516" s="585"/>
      <c r="H516" s="585"/>
      <c r="I516" s="585"/>
      <c r="J516" s="585"/>
      <c r="K516" s="585"/>
      <c r="L516" s="585"/>
      <c r="M516" s="585"/>
      <c r="N516" s="585"/>
      <c r="O516" s="585"/>
      <c r="P516" s="585"/>
      <c r="Q516" s="585"/>
      <c r="R516" s="585"/>
      <c r="S516" s="585"/>
      <c r="T516" s="585"/>
      <c r="U516" s="585"/>
      <c r="V516" s="224"/>
      <c r="W516" s="224"/>
      <c r="X516" s="9"/>
      <c r="Y516" s="9"/>
      <c r="Z516" s="9"/>
    </row>
    <row r="517">
      <c r="A517" s="585"/>
      <c r="B517" s="585"/>
      <c r="C517" s="585"/>
      <c r="D517" s="585"/>
      <c r="E517" s="585"/>
      <c r="F517" s="585"/>
      <c r="G517" s="585"/>
      <c r="H517" s="585"/>
      <c r="I517" s="585"/>
      <c r="J517" s="585"/>
      <c r="K517" s="585"/>
      <c r="L517" s="585"/>
      <c r="M517" s="585"/>
      <c r="N517" s="585"/>
      <c r="O517" s="585"/>
      <c r="P517" s="585"/>
      <c r="Q517" s="585"/>
      <c r="R517" s="585"/>
      <c r="S517" s="585"/>
      <c r="T517" s="585"/>
      <c r="U517" s="585"/>
      <c r="V517" s="224"/>
      <c r="W517" s="224"/>
      <c r="X517" s="9"/>
      <c r="Y517" s="9"/>
      <c r="Z517" s="9"/>
    </row>
    <row r="518">
      <c r="A518" s="585"/>
      <c r="B518" s="585"/>
      <c r="C518" s="585"/>
      <c r="D518" s="585"/>
      <c r="E518" s="585"/>
      <c r="F518" s="585"/>
      <c r="G518" s="585"/>
      <c r="H518" s="585"/>
      <c r="I518" s="585"/>
      <c r="J518" s="585"/>
      <c r="K518" s="585"/>
      <c r="L518" s="585"/>
      <c r="M518" s="585"/>
      <c r="N518" s="585"/>
      <c r="O518" s="585"/>
      <c r="P518" s="585"/>
      <c r="Q518" s="585"/>
      <c r="R518" s="585"/>
      <c r="S518" s="585"/>
      <c r="T518" s="585"/>
      <c r="U518" s="585"/>
      <c r="V518" s="224"/>
      <c r="W518" s="224"/>
      <c r="X518" s="9"/>
      <c r="Y518" s="9"/>
      <c r="Z518" s="9"/>
    </row>
    <row r="519">
      <c r="A519" s="585"/>
      <c r="B519" s="585"/>
      <c r="C519" s="585"/>
      <c r="D519" s="585"/>
      <c r="E519" s="585"/>
      <c r="F519" s="585"/>
      <c r="G519" s="585"/>
      <c r="H519" s="585"/>
      <c r="I519" s="585"/>
      <c r="J519" s="585"/>
      <c r="K519" s="585"/>
      <c r="L519" s="585"/>
      <c r="M519" s="585"/>
      <c r="N519" s="585"/>
      <c r="O519" s="585"/>
      <c r="P519" s="585"/>
      <c r="Q519" s="585"/>
      <c r="R519" s="585"/>
      <c r="S519" s="585"/>
      <c r="T519" s="585"/>
      <c r="U519" s="585"/>
      <c r="V519" s="224"/>
      <c r="W519" s="224"/>
      <c r="X519" s="9"/>
      <c r="Y519" s="9"/>
      <c r="Z519" s="9"/>
    </row>
    <row r="520">
      <c r="A520" s="585"/>
      <c r="B520" s="585"/>
      <c r="C520" s="585"/>
      <c r="D520" s="585"/>
      <c r="E520" s="585"/>
      <c r="F520" s="585"/>
      <c r="G520" s="585"/>
      <c r="H520" s="585"/>
      <c r="I520" s="585"/>
      <c r="J520" s="585"/>
      <c r="K520" s="585"/>
      <c r="L520" s="585"/>
      <c r="M520" s="585"/>
      <c r="N520" s="585"/>
      <c r="O520" s="585"/>
      <c r="P520" s="585"/>
      <c r="Q520" s="585"/>
      <c r="R520" s="585"/>
      <c r="S520" s="585"/>
      <c r="T520" s="585"/>
      <c r="U520" s="585"/>
      <c r="V520" s="224"/>
      <c r="W520" s="224"/>
      <c r="X520" s="9"/>
      <c r="Y520" s="9"/>
      <c r="Z520" s="9"/>
    </row>
    <row r="521">
      <c r="A521" s="585"/>
      <c r="B521" s="585"/>
      <c r="C521" s="585"/>
      <c r="D521" s="585"/>
      <c r="E521" s="585"/>
      <c r="F521" s="585"/>
      <c r="G521" s="585"/>
      <c r="H521" s="585"/>
      <c r="I521" s="585"/>
      <c r="J521" s="585"/>
      <c r="K521" s="585"/>
      <c r="L521" s="585"/>
      <c r="M521" s="585"/>
      <c r="N521" s="585"/>
      <c r="O521" s="585"/>
      <c r="P521" s="585"/>
      <c r="Q521" s="585"/>
      <c r="R521" s="585"/>
      <c r="S521" s="585"/>
      <c r="T521" s="585"/>
      <c r="U521" s="585"/>
      <c r="V521" s="224"/>
      <c r="W521" s="224"/>
      <c r="X521" s="9"/>
      <c r="Y521" s="9"/>
      <c r="Z521" s="9"/>
    </row>
    <row r="522">
      <c r="A522" s="585"/>
      <c r="B522" s="585"/>
      <c r="C522" s="585"/>
      <c r="D522" s="585"/>
      <c r="E522" s="585"/>
      <c r="F522" s="585"/>
      <c r="G522" s="585"/>
      <c r="H522" s="585"/>
      <c r="I522" s="585"/>
      <c r="J522" s="585"/>
      <c r="K522" s="585"/>
      <c r="L522" s="585"/>
      <c r="M522" s="585"/>
      <c r="N522" s="585"/>
      <c r="O522" s="585"/>
      <c r="P522" s="585"/>
      <c r="Q522" s="585"/>
      <c r="R522" s="585"/>
      <c r="S522" s="585"/>
      <c r="T522" s="585"/>
      <c r="U522" s="585"/>
      <c r="V522" s="224"/>
      <c r="W522" s="224"/>
      <c r="X522" s="9"/>
      <c r="Y522" s="9"/>
      <c r="Z522" s="9"/>
    </row>
    <row r="523">
      <c r="A523" s="585"/>
      <c r="B523" s="585"/>
      <c r="C523" s="585"/>
      <c r="D523" s="585"/>
      <c r="E523" s="585"/>
      <c r="F523" s="585"/>
      <c r="G523" s="585"/>
      <c r="H523" s="585"/>
      <c r="I523" s="585"/>
      <c r="J523" s="585"/>
      <c r="K523" s="585"/>
      <c r="L523" s="585"/>
      <c r="M523" s="585"/>
      <c r="N523" s="585"/>
      <c r="O523" s="585"/>
      <c r="P523" s="585"/>
      <c r="Q523" s="585"/>
      <c r="R523" s="585"/>
      <c r="S523" s="585"/>
      <c r="T523" s="585"/>
      <c r="U523" s="585"/>
      <c r="V523" s="224"/>
      <c r="W523" s="224"/>
      <c r="X523" s="9"/>
      <c r="Y523" s="9"/>
      <c r="Z523" s="9"/>
    </row>
    <row r="524">
      <c r="A524" s="585"/>
      <c r="B524" s="585"/>
      <c r="C524" s="585"/>
      <c r="D524" s="585"/>
      <c r="E524" s="585"/>
      <c r="F524" s="585"/>
      <c r="G524" s="585"/>
      <c r="H524" s="585"/>
      <c r="I524" s="585"/>
      <c r="J524" s="585"/>
      <c r="K524" s="585"/>
      <c r="L524" s="585"/>
      <c r="M524" s="585"/>
      <c r="N524" s="585"/>
      <c r="O524" s="585"/>
      <c r="P524" s="585"/>
      <c r="Q524" s="585"/>
      <c r="R524" s="585"/>
      <c r="S524" s="585"/>
      <c r="T524" s="585"/>
      <c r="U524" s="585"/>
      <c r="V524" s="224"/>
      <c r="W524" s="224"/>
      <c r="X524" s="9"/>
      <c r="Y524" s="9"/>
      <c r="Z524" s="9"/>
    </row>
    <row r="525">
      <c r="A525" s="585"/>
      <c r="B525" s="585"/>
      <c r="C525" s="585"/>
      <c r="D525" s="585"/>
      <c r="E525" s="585"/>
      <c r="F525" s="585"/>
      <c r="G525" s="585"/>
      <c r="H525" s="585"/>
      <c r="I525" s="585"/>
      <c r="J525" s="585"/>
      <c r="K525" s="585"/>
      <c r="L525" s="585"/>
      <c r="M525" s="585"/>
      <c r="N525" s="585"/>
      <c r="O525" s="585"/>
      <c r="P525" s="585"/>
      <c r="Q525" s="585"/>
      <c r="R525" s="585"/>
      <c r="S525" s="585"/>
      <c r="T525" s="585"/>
      <c r="U525" s="585"/>
      <c r="V525" s="224"/>
      <c r="W525" s="224"/>
      <c r="X525" s="9"/>
      <c r="Y525" s="9"/>
      <c r="Z525" s="9"/>
    </row>
    <row r="526">
      <c r="A526" s="585"/>
      <c r="B526" s="585"/>
      <c r="C526" s="585"/>
      <c r="D526" s="585"/>
      <c r="E526" s="585"/>
      <c r="F526" s="585"/>
      <c r="G526" s="585"/>
      <c r="H526" s="585"/>
      <c r="I526" s="585"/>
      <c r="J526" s="585"/>
      <c r="K526" s="585"/>
      <c r="L526" s="585"/>
      <c r="M526" s="585"/>
      <c r="N526" s="585"/>
      <c r="O526" s="585"/>
      <c r="P526" s="585"/>
      <c r="Q526" s="585"/>
      <c r="R526" s="585"/>
      <c r="S526" s="585"/>
      <c r="T526" s="585"/>
      <c r="U526" s="585"/>
      <c r="V526" s="224"/>
      <c r="W526" s="224"/>
      <c r="X526" s="9"/>
      <c r="Y526" s="9"/>
      <c r="Z526" s="9"/>
    </row>
    <row r="527">
      <c r="A527" s="585"/>
      <c r="B527" s="585"/>
      <c r="C527" s="585"/>
      <c r="D527" s="585"/>
      <c r="E527" s="585"/>
      <c r="F527" s="585"/>
      <c r="G527" s="585"/>
      <c r="H527" s="585"/>
      <c r="I527" s="585"/>
      <c r="J527" s="585"/>
      <c r="K527" s="585"/>
      <c r="L527" s="585"/>
      <c r="M527" s="585"/>
      <c r="N527" s="585"/>
      <c r="O527" s="585"/>
      <c r="P527" s="585"/>
      <c r="Q527" s="585"/>
      <c r="R527" s="585"/>
      <c r="S527" s="585"/>
      <c r="T527" s="585"/>
      <c r="U527" s="585"/>
      <c r="V527" s="224"/>
      <c r="W527" s="224"/>
      <c r="X527" s="9"/>
      <c r="Y527" s="9"/>
      <c r="Z527" s="9"/>
    </row>
    <row r="528">
      <c r="A528" s="585"/>
      <c r="B528" s="585"/>
      <c r="C528" s="585"/>
      <c r="D528" s="585"/>
      <c r="E528" s="585"/>
      <c r="F528" s="585"/>
      <c r="G528" s="585"/>
      <c r="H528" s="585"/>
      <c r="I528" s="585"/>
      <c r="J528" s="585"/>
      <c r="K528" s="585"/>
      <c r="L528" s="585"/>
      <c r="M528" s="585"/>
      <c r="N528" s="585"/>
      <c r="O528" s="585"/>
      <c r="P528" s="585"/>
      <c r="Q528" s="585"/>
      <c r="R528" s="585"/>
      <c r="S528" s="585"/>
      <c r="T528" s="585"/>
      <c r="U528" s="585"/>
      <c r="V528" s="224"/>
      <c r="W528" s="224"/>
      <c r="X528" s="9"/>
      <c r="Y528" s="9"/>
      <c r="Z528" s="9"/>
    </row>
    <row r="529">
      <c r="A529" s="585"/>
      <c r="B529" s="585"/>
      <c r="C529" s="585"/>
      <c r="D529" s="585"/>
      <c r="E529" s="585"/>
      <c r="F529" s="585"/>
      <c r="G529" s="585"/>
      <c r="H529" s="585"/>
      <c r="I529" s="585"/>
      <c r="J529" s="585"/>
      <c r="K529" s="585"/>
      <c r="L529" s="585"/>
      <c r="M529" s="585"/>
      <c r="N529" s="585"/>
      <c r="O529" s="585"/>
      <c r="P529" s="585"/>
      <c r="Q529" s="585"/>
      <c r="R529" s="585"/>
      <c r="S529" s="585"/>
      <c r="T529" s="585"/>
      <c r="U529" s="585"/>
      <c r="V529" s="224"/>
      <c r="W529" s="224"/>
      <c r="X529" s="9"/>
      <c r="Y529" s="9"/>
      <c r="Z529" s="9"/>
    </row>
    <row r="530">
      <c r="A530" s="585"/>
      <c r="B530" s="585"/>
      <c r="C530" s="585"/>
      <c r="D530" s="585"/>
      <c r="E530" s="585"/>
      <c r="F530" s="585"/>
      <c r="G530" s="585"/>
      <c r="H530" s="585"/>
      <c r="I530" s="585"/>
      <c r="J530" s="585"/>
      <c r="K530" s="585"/>
      <c r="L530" s="585"/>
      <c r="M530" s="585"/>
      <c r="N530" s="585"/>
      <c r="O530" s="585"/>
      <c r="P530" s="585"/>
      <c r="Q530" s="585"/>
      <c r="R530" s="585"/>
      <c r="S530" s="585"/>
      <c r="T530" s="585"/>
      <c r="U530" s="585"/>
      <c r="V530" s="224"/>
      <c r="W530" s="224"/>
      <c r="X530" s="9"/>
      <c r="Y530" s="9"/>
      <c r="Z530" s="9"/>
    </row>
    <row r="531">
      <c r="A531" s="585"/>
      <c r="B531" s="585"/>
      <c r="C531" s="585"/>
      <c r="D531" s="585"/>
      <c r="E531" s="585"/>
      <c r="F531" s="585"/>
      <c r="G531" s="585"/>
      <c r="H531" s="585"/>
      <c r="I531" s="585"/>
      <c r="J531" s="585"/>
      <c r="K531" s="585"/>
      <c r="L531" s="585"/>
      <c r="M531" s="585"/>
      <c r="N531" s="585"/>
      <c r="O531" s="585"/>
      <c r="P531" s="585"/>
      <c r="Q531" s="585"/>
      <c r="R531" s="585"/>
      <c r="S531" s="585"/>
      <c r="T531" s="585"/>
      <c r="U531" s="585"/>
      <c r="V531" s="224"/>
      <c r="W531" s="224"/>
      <c r="X531" s="9"/>
      <c r="Y531" s="9"/>
      <c r="Z531" s="9"/>
    </row>
    <row r="532">
      <c r="A532" s="585"/>
      <c r="B532" s="585"/>
      <c r="C532" s="585"/>
      <c r="D532" s="585"/>
      <c r="E532" s="585"/>
      <c r="F532" s="585"/>
      <c r="G532" s="585"/>
      <c r="H532" s="585"/>
      <c r="I532" s="585"/>
      <c r="J532" s="585"/>
      <c r="K532" s="585"/>
      <c r="L532" s="585"/>
      <c r="M532" s="585"/>
      <c r="N532" s="585"/>
      <c r="O532" s="585"/>
      <c r="P532" s="585"/>
      <c r="Q532" s="585"/>
      <c r="R532" s="585"/>
      <c r="S532" s="585"/>
      <c r="T532" s="585"/>
      <c r="U532" s="585"/>
      <c r="V532" s="224"/>
      <c r="W532" s="224"/>
      <c r="X532" s="9"/>
      <c r="Y532" s="9"/>
      <c r="Z532" s="9"/>
    </row>
    <row r="533">
      <c r="A533" s="585"/>
      <c r="B533" s="585"/>
      <c r="C533" s="585"/>
      <c r="D533" s="585"/>
      <c r="E533" s="585"/>
      <c r="F533" s="585"/>
      <c r="G533" s="585"/>
      <c r="H533" s="585"/>
      <c r="I533" s="585"/>
      <c r="J533" s="585"/>
      <c r="K533" s="585"/>
      <c r="L533" s="585"/>
      <c r="M533" s="585"/>
      <c r="N533" s="585"/>
      <c r="O533" s="585"/>
      <c r="P533" s="585"/>
      <c r="Q533" s="585"/>
      <c r="R533" s="585"/>
      <c r="S533" s="585"/>
      <c r="T533" s="585"/>
      <c r="U533" s="585"/>
      <c r="V533" s="224"/>
      <c r="W533" s="224"/>
      <c r="X533" s="9"/>
      <c r="Y533" s="9"/>
      <c r="Z533" s="9"/>
    </row>
    <row r="534">
      <c r="A534" s="585"/>
      <c r="B534" s="585"/>
      <c r="C534" s="585"/>
      <c r="D534" s="585"/>
      <c r="E534" s="585"/>
      <c r="F534" s="585"/>
      <c r="G534" s="585"/>
      <c r="H534" s="585"/>
      <c r="I534" s="585"/>
      <c r="J534" s="585"/>
      <c r="K534" s="585"/>
      <c r="L534" s="585"/>
      <c r="M534" s="585"/>
      <c r="N534" s="585"/>
      <c r="O534" s="585"/>
      <c r="P534" s="585"/>
      <c r="Q534" s="585"/>
      <c r="R534" s="585"/>
      <c r="S534" s="585"/>
      <c r="T534" s="585"/>
      <c r="U534" s="585"/>
      <c r="V534" s="224"/>
      <c r="W534" s="224"/>
      <c r="X534" s="9"/>
      <c r="Y534" s="9"/>
      <c r="Z534" s="9"/>
    </row>
    <row r="535">
      <c r="A535" s="585"/>
      <c r="B535" s="585"/>
      <c r="C535" s="585"/>
      <c r="D535" s="585"/>
      <c r="E535" s="585"/>
      <c r="F535" s="585"/>
      <c r="G535" s="585"/>
      <c r="H535" s="585"/>
      <c r="I535" s="585"/>
      <c r="J535" s="585"/>
      <c r="K535" s="585"/>
      <c r="L535" s="585"/>
      <c r="M535" s="585"/>
      <c r="N535" s="585"/>
      <c r="O535" s="585"/>
      <c r="P535" s="585"/>
      <c r="Q535" s="585"/>
      <c r="R535" s="585"/>
      <c r="S535" s="585"/>
      <c r="T535" s="585"/>
      <c r="U535" s="585"/>
      <c r="V535" s="224"/>
      <c r="W535" s="224"/>
      <c r="X535" s="9"/>
      <c r="Y535" s="9"/>
      <c r="Z535" s="9"/>
    </row>
    <row r="536">
      <c r="A536" s="585"/>
      <c r="B536" s="585"/>
      <c r="C536" s="585"/>
      <c r="D536" s="585"/>
      <c r="E536" s="585"/>
      <c r="F536" s="585"/>
      <c r="G536" s="585"/>
      <c r="H536" s="585"/>
      <c r="I536" s="585"/>
      <c r="J536" s="585"/>
      <c r="K536" s="585"/>
      <c r="L536" s="585"/>
      <c r="M536" s="585"/>
      <c r="N536" s="585"/>
      <c r="O536" s="585"/>
      <c r="P536" s="585"/>
      <c r="Q536" s="585"/>
      <c r="R536" s="585"/>
      <c r="S536" s="585"/>
      <c r="T536" s="585"/>
      <c r="U536" s="585"/>
      <c r="V536" s="224"/>
      <c r="W536" s="224"/>
      <c r="X536" s="9"/>
      <c r="Y536" s="9"/>
      <c r="Z536" s="9"/>
    </row>
    <row r="537">
      <c r="A537" s="585"/>
      <c r="B537" s="585"/>
      <c r="C537" s="585"/>
      <c r="D537" s="585"/>
      <c r="E537" s="585"/>
      <c r="F537" s="585"/>
      <c r="G537" s="585"/>
      <c r="H537" s="585"/>
      <c r="I537" s="585"/>
      <c r="J537" s="585"/>
      <c r="K537" s="585"/>
      <c r="L537" s="585"/>
      <c r="M537" s="585"/>
      <c r="N537" s="585"/>
      <c r="O537" s="585"/>
      <c r="P537" s="585"/>
      <c r="Q537" s="585"/>
      <c r="R537" s="585"/>
      <c r="S537" s="585"/>
      <c r="T537" s="585"/>
      <c r="U537" s="585"/>
      <c r="V537" s="224"/>
      <c r="W537" s="224"/>
      <c r="X537" s="9"/>
      <c r="Y537" s="9"/>
      <c r="Z537" s="9"/>
    </row>
    <row r="538">
      <c r="A538" s="585"/>
      <c r="B538" s="585"/>
      <c r="C538" s="585"/>
      <c r="D538" s="585"/>
      <c r="E538" s="585"/>
      <c r="F538" s="585"/>
      <c r="G538" s="585"/>
      <c r="H538" s="585"/>
      <c r="I538" s="585"/>
      <c r="J538" s="585"/>
      <c r="K538" s="585"/>
      <c r="L538" s="585"/>
      <c r="M538" s="585"/>
      <c r="N538" s="585"/>
      <c r="O538" s="585"/>
      <c r="P538" s="585"/>
      <c r="Q538" s="585"/>
      <c r="R538" s="585"/>
      <c r="S538" s="585"/>
      <c r="T538" s="585"/>
      <c r="U538" s="585"/>
      <c r="V538" s="224"/>
      <c r="W538" s="224"/>
      <c r="X538" s="9"/>
      <c r="Y538" s="9"/>
      <c r="Z538" s="9"/>
    </row>
    <row r="539">
      <c r="A539" s="585"/>
      <c r="B539" s="585"/>
      <c r="C539" s="585"/>
      <c r="D539" s="585"/>
      <c r="E539" s="585"/>
      <c r="F539" s="585"/>
      <c r="G539" s="585"/>
      <c r="H539" s="585"/>
      <c r="I539" s="585"/>
      <c r="J539" s="585"/>
      <c r="K539" s="585"/>
      <c r="L539" s="585"/>
      <c r="M539" s="585"/>
      <c r="N539" s="585"/>
      <c r="O539" s="585"/>
      <c r="P539" s="585"/>
      <c r="Q539" s="585"/>
      <c r="R539" s="585"/>
      <c r="S539" s="585"/>
      <c r="T539" s="585"/>
      <c r="U539" s="585"/>
      <c r="V539" s="224"/>
      <c r="W539" s="224"/>
      <c r="X539" s="9"/>
      <c r="Y539" s="9"/>
      <c r="Z539" s="9"/>
    </row>
    <row r="540">
      <c r="A540" s="585"/>
      <c r="B540" s="585"/>
      <c r="C540" s="585"/>
      <c r="D540" s="585"/>
      <c r="E540" s="585"/>
      <c r="F540" s="585"/>
      <c r="G540" s="585"/>
      <c r="H540" s="585"/>
      <c r="I540" s="585"/>
      <c r="J540" s="585"/>
      <c r="K540" s="585"/>
      <c r="L540" s="585"/>
      <c r="M540" s="585"/>
      <c r="N540" s="585"/>
      <c r="O540" s="585"/>
      <c r="P540" s="585"/>
      <c r="Q540" s="585"/>
      <c r="R540" s="585"/>
      <c r="S540" s="585"/>
      <c r="T540" s="585"/>
      <c r="U540" s="585"/>
      <c r="V540" s="224"/>
      <c r="W540" s="224"/>
      <c r="X540" s="9"/>
      <c r="Y540" s="9"/>
      <c r="Z540" s="9"/>
    </row>
    <row r="541">
      <c r="A541" s="585"/>
      <c r="B541" s="585"/>
      <c r="C541" s="585"/>
      <c r="D541" s="585"/>
      <c r="E541" s="585"/>
      <c r="F541" s="585"/>
      <c r="G541" s="585"/>
      <c r="H541" s="585"/>
      <c r="I541" s="585"/>
      <c r="J541" s="585"/>
      <c r="K541" s="585"/>
      <c r="L541" s="585"/>
      <c r="M541" s="585"/>
      <c r="N541" s="585"/>
      <c r="O541" s="585"/>
      <c r="P541" s="585"/>
      <c r="Q541" s="585"/>
      <c r="R541" s="585"/>
      <c r="S541" s="585"/>
      <c r="T541" s="585"/>
      <c r="U541" s="585"/>
      <c r="V541" s="224"/>
      <c r="W541" s="224"/>
      <c r="X541" s="9"/>
      <c r="Y541" s="9"/>
      <c r="Z541" s="9"/>
    </row>
    <row r="542">
      <c r="A542" s="585"/>
      <c r="B542" s="585"/>
      <c r="C542" s="585"/>
      <c r="D542" s="585"/>
      <c r="E542" s="585"/>
      <c r="F542" s="585"/>
      <c r="G542" s="585"/>
      <c r="H542" s="585"/>
      <c r="I542" s="585"/>
      <c r="J542" s="585"/>
      <c r="K542" s="585"/>
      <c r="L542" s="585"/>
      <c r="M542" s="585"/>
      <c r="N542" s="585"/>
      <c r="O542" s="585"/>
      <c r="P542" s="585"/>
      <c r="Q542" s="585"/>
      <c r="R542" s="585"/>
      <c r="S542" s="585"/>
      <c r="T542" s="585"/>
      <c r="U542" s="585"/>
      <c r="V542" s="224"/>
      <c r="W542" s="224"/>
      <c r="X542" s="9"/>
      <c r="Y542" s="9"/>
      <c r="Z542" s="9"/>
    </row>
    <row r="543">
      <c r="A543" s="585"/>
      <c r="B543" s="585"/>
      <c r="C543" s="585"/>
      <c r="D543" s="585"/>
      <c r="E543" s="585"/>
      <c r="F543" s="585"/>
      <c r="G543" s="585"/>
      <c r="H543" s="585"/>
      <c r="I543" s="585"/>
      <c r="J543" s="585"/>
      <c r="K543" s="585"/>
      <c r="L543" s="585"/>
      <c r="M543" s="585"/>
      <c r="N543" s="585"/>
      <c r="O543" s="585"/>
      <c r="P543" s="585"/>
      <c r="Q543" s="585"/>
      <c r="R543" s="585"/>
      <c r="S543" s="585"/>
      <c r="T543" s="585"/>
      <c r="U543" s="585"/>
      <c r="V543" s="224"/>
      <c r="W543" s="224"/>
      <c r="X543" s="9"/>
      <c r="Y543" s="9"/>
      <c r="Z543" s="9"/>
    </row>
    <row r="544">
      <c r="A544" s="585"/>
      <c r="B544" s="585"/>
      <c r="C544" s="585"/>
      <c r="D544" s="585"/>
      <c r="E544" s="585"/>
      <c r="F544" s="585"/>
      <c r="G544" s="585"/>
      <c r="H544" s="585"/>
      <c r="I544" s="585"/>
      <c r="J544" s="585"/>
      <c r="K544" s="585"/>
      <c r="L544" s="585"/>
      <c r="M544" s="585"/>
      <c r="N544" s="585"/>
      <c r="O544" s="585"/>
      <c r="P544" s="585"/>
      <c r="Q544" s="585"/>
      <c r="R544" s="585"/>
      <c r="S544" s="585"/>
      <c r="T544" s="585"/>
      <c r="U544" s="585"/>
      <c r="V544" s="224"/>
      <c r="W544" s="224"/>
      <c r="X544" s="9"/>
      <c r="Y544" s="9"/>
      <c r="Z544" s="9"/>
    </row>
    <row r="545">
      <c r="A545" s="585"/>
      <c r="B545" s="585"/>
      <c r="C545" s="585"/>
      <c r="D545" s="585"/>
      <c r="E545" s="585"/>
      <c r="F545" s="585"/>
      <c r="G545" s="585"/>
      <c r="H545" s="585"/>
      <c r="I545" s="585"/>
      <c r="J545" s="585"/>
      <c r="K545" s="585"/>
      <c r="L545" s="585"/>
      <c r="M545" s="585"/>
      <c r="N545" s="585"/>
      <c r="O545" s="585"/>
      <c r="P545" s="585"/>
      <c r="Q545" s="585"/>
      <c r="R545" s="585"/>
      <c r="S545" s="585"/>
      <c r="T545" s="585"/>
      <c r="U545" s="585"/>
      <c r="V545" s="224"/>
      <c r="W545" s="224"/>
      <c r="X545" s="9"/>
      <c r="Y545" s="9"/>
      <c r="Z545" s="9"/>
    </row>
    <row r="546">
      <c r="A546" s="585"/>
      <c r="B546" s="585"/>
      <c r="C546" s="585"/>
      <c r="D546" s="585"/>
      <c r="E546" s="585"/>
      <c r="F546" s="585"/>
      <c r="G546" s="585"/>
      <c r="H546" s="585"/>
      <c r="I546" s="585"/>
      <c r="J546" s="585"/>
      <c r="K546" s="585"/>
      <c r="L546" s="585"/>
      <c r="M546" s="585"/>
      <c r="N546" s="585"/>
      <c r="O546" s="585"/>
      <c r="P546" s="585"/>
      <c r="Q546" s="585"/>
      <c r="R546" s="585"/>
      <c r="S546" s="585"/>
      <c r="T546" s="585"/>
      <c r="U546" s="585"/>
      <c r="V546" s="224"/>
      <c r="W546" s="224"/>
      <c r="X546" s="9"/>
      <c r="Y546" s="9"/>
      <c r="Z546" s="9"/>
    </row>
    <row r="547">
      <c r="A547" s="585"/>
      <c r="B547" s="585"/>
      <c r="C547" s="585"/>
      <c r="D547" s="585"/>
      <c r="E547" s="585"/>
      <c r="F547" s="585"/>
      <c r="G547" s="585"/>
      <c r="H547" s="585"/>
      <c r="I547" s="585"/>
      <c r="J547" s="585"/>
      <c r="K547" s="585"/>
      <c r="L547" s="585"/>
      <c r="M547" s="585"/>
      <c r="N547" s="585"/>
      <c r="O547" s="585"/>
      <c r="P547" s="585"/>
      <c r="Q547" s="585"/>
      <c r="R547" s="585"/>
      <c r="S547" s="585"/>
      <c r="T547" s="585"/>
      <c r="U547" s="585"/>
      <c r="V547" s="224"/>
      <c r="W547" s="224"/>
      <c r="X547" s="9"/>
      <c r="Y547" s="9"/>
      <c r="Z547" s="9"/>
    </row>
    <row r="548">
      <c r="A548" s="585"/>
      <c r="B548" s="585"/>
      <c r="C548" s="585"/>
      <c r="D548" s="585"/>
      <c r="E548" s="585"/>
      <c r="F548" s="585"/>
      <c r="G548" s="585"/>
      <c r="H548" s="585"/>
      <c r="I548" s="585"/>
      <c r="J548" s="585"/>
      <c r="K548" s="585"/>
      <c r="L548" s="585"/>
      <c r="M548" s="585"/>
      <c r="N548" s="585"/>
      <c r="O548" s="585"/>
      <c r="P548" s="585"/>
      <c r="Q548" s="585"/>
      <c r="R548" s="585"/>
      <c r="S548" s="585"/>
      <c r="T548" s="585"/>
      <c r="U548" s="585"/>
      <c r="V548" s="224"/>
      <c r="W548" s="224"/>
      <c r="X548" s="9"/>
      <c r="Y548" s="9"/>
      <c r="Z548" s="9"/>
    </row>
    <row r="549">
      <c r="A549" s="585"/>
      <c r="B549" s="585"/>
      <c r="C549" s="585"/>
      <c r="D549" s="585"/>
      <c r="E549" s="585"/>
      <c r="F549" s="585"/>
      <c r="G549" s="585"/>
      <c r="H549" s="585"/>
      <c r="I549" s="585"/>
      <c r="J549" s="585"/>
      <c r="K549" s="585"/>
      <c r="L549" s="585"/>
      <c r="M549" s="585"/>
      <c r="N549" s="585"/>
      <c r="O549" s="585"/>
      <c r="P549" s="585"/>
      <c r="Q549" s="585"/>
      <c r="R549" s="585"/>
      <c r="S549" s="585"/>
      <c r="T549" s="585"/>
      <c r="U549" s="585"/>
      <c r="V549" s="224"/>
      <c r="W549" s="224"/>
      <c r="X549" s="9"/>
      <c r="Y549" s="9"/>
      <c r="Z549" s="9"/>
    </row>
    <row r="550">
      <c r="A550" s="585"/>
      <c r="B550" s="585"/>
      <c r="C550" s="585"/>
      <c r="D550" s="585"/>
      <c r="E550" s="585"/>
      <c r="F550" s="585"/>
      <c r="G550" s="585"/>
      <c r="H550" s="585"/>
      <c r="I550" s="585"/>
      <c r="J550" s="585"/>
      <c r="K550" s="585"/>
      <c r="L550" s="585"/>
      <c r="M550" s="585"/>
      <c r="N550" s="585"/>
      <c r="O550" s="585"/>
      <c r="P550" s="585"/>
      <c r="Q550" s="585"/>
      <c r="R550" s="585"/>
      <c r="S550" s="585"/>
      <c r="T550" s="585"/>
      <c r="U550" s="585"/>
      <c r="V550" s="224"/>
      <c r="W550" s="224"/>
      <c r="X550" s="9"/>
      <c r="Y550" s="9"/>
      <c r="Z550" s="9"/>
    </row>
    <row r="551">
      <c r="A551" s="585"/>
      <c r="B551" s="585"/>
      <c r="C551" s="585"/>
      <c r="D551" s="585"/>
      <c r="E551" s="585"/>
      <c r="F551" s="585"/>
      <c r="G551" s="585"/>
      <c r="H551" s="585"/>
      <c r="I551" s="585"/>
      <c r="J551" s="585"/>
      <c r="K551" s="585"/>
      <c r="L551" s="585"/>
      <c r="M551" s="585"/>
      <c r="N551" s="585"/>
      <c r="O551" s="585"/>
      <c r="P551" s="585"/>
      <c r="Q551" s="585"/>
      <c r="R551" s="585"/>
      <c r="S551" s="585"/>
      <c r="T551" s="585"/>
      <c r="U551" s="585"/>
      <c r="V551" s="224"/>
      <c r="W551" s="224"/>
      <c r="X551" s="9"/>
      <c r="Y551" s="9"/>
      <c r="Z551" s="9"/>
    </row>
    <row r="552">
      <c r="A552" s="585"/>
      <c r="B552" s="585"/>
      <c r="C552" s="585"/>
      <c r="D552" s="585"/>
      <c r="E552" s="585"/>
      <c r="F552" s="585"/>
      <c r="G552" s="585"/>
      <c r="H552" s="585"/>
      <c r="I552" s="585"/>
      <c r="J552" s="585"/>
      <c r="K552" s="585"/>
      <c r="L552" s="585"/>
      <c r="M552" s="585"/>
      <c r="N552" s="585"/>
      <c r="O552" s="585"/>
      <c r="P552" s="585"/>
      <c r="Q552" s="585"/>
      <c r="R552" s="585"/>
      <c r="S552" s="585"/>
      <c r="T552" s="585"/>
      <c r="U552" s="585"/>
      <c r="V552" s="224"/>
      <c r="W552" s="224"/>
      <c r="X552" s="9"/>
      <c r="Y552" s="9"/>
      <c r="Z552" s="9"/>
    </row>
    <row r="553">
      <c r="A553" s="585"/>
      <c r="B553" s="585"/>
      <c r="C553" s="585"/>
      <c r="D553" s="585"/>
      <c r="E553" s="585"/>
      <c r="F553" s="585"/>
      <c r="G553" s="585"/>
      <c r="H553" s="585"/>
      <c r="I553" s="585"/>
      <c r="J553" s="585"/>
      <c r="K553" s="585"/>
      <c r="L553" s="585"/>
      <c r="M553" s="585"/>
      <c r="N553" s="585"/>
      <c r="O553" s="585"/>
      <c r="P553" s="585"/>
      <c r="Q553" s="585"/>
      <c r="R553" s="585"/>
      <c r="S553" s="585"/>
      <c r="T553" s="585"/>
      <c r="U553" s="585"/>
      <c r="V553" s="224"/>
      <c r="W553" s="224"/>
      <c r="X553" s="9"/>
      <c r="Y553" s="9"/>
      <c r="Z553" s="9"/>
    </row>
    <row r="554">
      <c r="A554" s="585"/>
      <c r="B554" s="585"/>
      <c r="C554" s="585"/>
      <c r="D554" s="585"/>
      <c r="E554" s="585"/>
      <c r="F554" s="585"/>
      <c r="G554" s="585"/>
      <c r="H554" s="585"/>
      <c r="I554" s="585"/>
      <c r="J554" s="585"/>
      <c r="K554" s="585"/>
      <c r="L554" s="585"/>
      <c r="M554" s="585"/>
      <c r="N554" s="585"/>
      <c r="O554" s="585"/>
      <c r="P554" s="585"/>
      <c r="Q554" s="585"/>
      <c r="R554" s="585"/>
      <c r="S554" s="585"/>
      <c r="T554" s="585"/>
      <c r="U554" s="585"/>
      <c r="V554" s="224"/>
      <c r="W554" s="224"/>
      <c r="X554" s="9"/>
      <c r="Y554" s="9"/>
      <c r="Z554" s="9"/>
    </row>
    <row r="555">
      <c r="A555" s="585"/>
      <c r="B555" s="585"/>
      <c r="C555" s="585"/>
      <c r="D555" s="585"/>
      <c r="E555" s="585"/>
      <c r="F555" s="585"/>
      <c r="G555" s="585"/>
      <c r="H555" s="585"/>
      <c r="I555" s="585"/>
      <c r="J555" s="585"/>
      <c r="K555" s="585"/>
      <c r="L555" s="585"/>
      <c r="M555" s="585"/>
      <c r="N555" s="585"/>
      <c r="O555" s="585"/>
      <c r="P555" s="585"/>
      <c r="Q555" s="585"/>
      <c r="R555" s="585"/>
      <c r="S555" s="585"/>
      <c r="T555" s="585"/>
      <c r="U555" s="585"/>
      <c r="V555" s="224"/>
      <c r="W555" s="224"/>
      <c r="X555" s="9"/>
      <c r="Y555" s="9"/>
      <c r="Z555" s="9"/>
    </row>
    <row r="556">
      <c r="A556" s="585"/>
      <c r="B556" s="585"/>
      <c r="C556" s="585"/>
      <c r="D556" s="585"/>
      <c r="E556" s="585"/>
      <c r="F556" s="585"/>
      <c r="G556" s="585"/>
      <c r="H556" s="585"/>
      <c r="I556" s="585"/>
      <c r="J556" s="585"/>
      <c r="K556" s="585"/>
      <c r="L556" s="585"/>
      <c r="M556" s="585"/>
      <c r="N556" s="585"/>
      <c r="O556" s="585"/>
      <c r="P556" s="585"/>
      <c r="Q556" s="585"/>
      <c r="R556" s="585"/>
      <c r="S556" s="585"/>
      <c r="T556" s="585"/>
      <c r="U556" s="585"/>
      <c r="V556" s="224"/>
      <c r="W556" s="224"/>
      <c r="X556" s="9"/>
      <c r="Y556" s="9"/>
      <c r="Z556" s="9"/>
    </row>
    <row r="557">
      <c r="A557" s="585"/>
      <c r="B557" s="585"/>
      <c r="C557" s="585"/>
      <c r="D557" s="585"/>
      <c r="E557" s="585"/>
      <c r="F557" s="585"/>
      <c r="G557" s="585"/>
      <c r="H557" s="585"/>
      <c r="I557" s="585"/>
      <c r="J557" s="585"/>
      <c r="K557" s="585"/>
      <c r="L557" s="585"/>
      <c r="M557" s="585"/>
      <c r="N557" s="585"/>
      <c r="O557" s="585"/>
      <c r="P557" s="585"/>
      <c r="Q557" s="585"/>
      <c r="R557" s="585"/>
      <c r="S557" s="585"/>
      <c r="T557" s="585"/>
      <c r="U557" s="585"/>
      <c r="V557" s="224"/>
      <c r="W557" s="224"/>
      <c r="X557" s="9"/>
      <c r="Y557" s="9"/>
      <c r="Z557" s="9"/>
    </row>
    <row r="558">
      <c r="A558" s="585"/>
      <c r="B558" s="585"/>
      <c r="C558" s="585"/>
      <c r="D558" s="585"/>
      <c r="E558" s="585"/>
      <c r="F558" s="585"/>
      <c r="G558" s="585"/>
      <c r="H558" s="585"/>
      <c r="I558" s="585"/>
      <c r="J558" s="585"/>
      <c r="K558" s="585"/>
      <c r="L558" s="585"/>
      <c r="M558" s="585"/>
      <c r="N558" s="585"/>
      <c r="O558" s="585"/>
      <c r="P558" s="585"/>
      <c r="Q558" s="585"/>
      <c r="R558" s="585"/>
      <c r="S558" s="585"/>
      <c r="T558" s="585"/>
      <c r="U558" s="585"/>
      <c r="V558" s="224"/>
      <c r="W558" s="224"/>
      <c r="X558" s="9"/>
      <c r="Y558" s="9"/>
      <c r="Z558" s="9"/>
    </row>
    <row r="559">
      <c r="A559" s="585"/>
      <c r="B559" s="585"/>
      <c r="C559" s="585"/>
      <c r="D559" s="585"/>
      <c r="E559" s="585"/>
      <c r="F559" s="585"/>
      <c r="G559" s="585"/>
      <c r="H559" s="585"/>
      <c r="I559" s="585"/>
      <c r="J559" s="585"/>
      <c r="K559" s="585"/>
      <c r="L559" s="585"/>
      <c r="M559" s="585"/>
      <c r="N559" s="585"/>
      <c r="O559" s="585"/>
      <c r="P559" s="585"/>
      <c r="Q559" s="585"/>
      <c r="R559" s="585"/>
      <c r="S559" s="585"/>
      <c r="T559" s="585"/>
      <c r="U559" s="585"/>
      <c r="V559" s="224"/>
      <c r="W559" s="224"/>
      <c r="X559" s="9"/>
      <c r="Y559" s="9"/>
      <c r="Z559" s="9"/>
    </row>
    <row r="560">
      <c r="A560" s="585"/>
      <c r="B560" s="585"/>
      <c r="C560" s="585"/>
      <c r="D560" s="585"/>
      <c r="E560" s="585"/>
      <c r="F560" s="585"/>
      <c r="G560" s="585"/>
      <c r="H560" s="585"/>
      <c r="I560" s="585"/>
      <c r="J560" s="585"/>
      <c r="K560" s="585"/>
      <c r="L560" s="585"/>
      <c r="M560" s="585"/>
      <c r="N560" s="585"/>
      <c r="O560" s="585"/>
      <c r="P560" s="585"/>
      <c r="Q560" s="585"/>
      <c r="R560" s="585"/>
      <c r="S560" s="585"/>
      <c r="T560" s="585"/>
      <c r="U560" s="585"/>
      <c r="V560" s="224"/>
      <c r="W560" s="224"/>
      <c r="X560" s="9"/>
      <c r="Y560" s="9"/>
      <c r="Z560" s="9"/>
    </row>
    <row r="561">
      <c r="A561" s="585"/>
      <c r="B561" s="585"/>
      <c r="C561" s="585"/>
      <c r="D561" s="585"/>
      <c r="E561" s="585"/>
      <c r="F561" s="585"/>
      <c r="G561" s="585"/>
      <c r="H561" s="585"/>
      <c r="I561" s="585"/>
      <c r="J561" s="585"/>
      <c r="K561" s="585"/>
      <c r="L561" s="585"/>
      <c r="M561" s="585"/>
      <c r="N561" s="585"/>
      <c r="O561" s="585"/>
      <c r="P561" s="585"/>
      <c r="Q561" s="585"/>
      <c r="R561" s="585"/>
      <c r="S561" s="585"/>
      <c r="T561" s="585"/>
      <c r="U561" s="585"/>
      <c r="V561" s="224"/>
      <c r="W561" s="224"/>
      <c r="X561" s="9"/>
      <c r="Y561" s="9"/>
      <c r="Z561" s="9"/>
    </row>
    <row r="562">
      <c r="A562" s="585"/>
      <c r="B562" s="585"/>
      <c r="C562" s="585"/>
      <c r="D562" s="585"/>
      <c r="E562" s="585"/>
      <c r="F562" s="585"/>
      <c r="G562" s="585"/>
      <c r="H562" s="585"/>
      <c r="I562" s="585"/>
      <c r="J562" s="585"/>
      <c r="K562" s="585"/>
      <c r="L562" s="585"/>
      <c r="M562" s="585"/>
      <c r="N562" s="585"/>
      <c r="O562" s="585"/>
      <c r="P562" s="585"/>
      <c r="Q562" s="585"/>
      <c r="R562" s="585"/>
      <c r="S562" s="585"/>
      <c r="T562" s="585"/>
      <c r="U562" s="585"/>
      <c r="V562" s="224"/>
      <c r="W562" s="224"/>
      <c r="X562" s="9"/>
      <c r="Y562" s="9"/>
      <c r="Z562" s="9"/>
    </row>
    <row r="563">
      <c r="A563" s="585"/>
      <c r="B563" s="585"/>
      <c r="C563" s="585"/>
      <c r="D563" s="585"/>
      <c r="E563" s="585"/>
      <c r="F563" s="585"/>
      <c r="G563" s="585"/>
      <c r="H563" s="585"/>
      <c r="I563" s="585"/>
      <c r="J563" s="585"/>
      <c r="K563" s="585"/>
      <c r="L563" s="585"/>
      <c r="M563" s="585"/>
      <c r="N563" s="585"/>
      <c r="O563" s="585"/>
      <c r="P563" s="585"/>
      <c r="Q563" s="585"/>
      <c r="R563" s="585"/>
      <c r="S563" s="585"/>
      <c r="T563" s="585"/>
      <c r="U563" s="585"/>
      <c r="V563" s="224"/>
      <c r="W563" s="224"/>
      <c r="X563" s="9"/>
      <c r="Y563" s="9"/>
      <c r="Z563" s="9"/>
    </row>
    <row r="564">
      <c r="A564" s="585"/>
      <c r="B564" s="585"/>
      <c r="C564" s="585"/>
      <c r="D564" s="585"/>
      <c r="E564" s="585"/>
      <c r="F564" s="585"/>
      <c r="G564" s="585"/>
      <c r="H564" s="585"/>
      <c r="I564" s="585"/>
      <c r="J564" s="585"/>
      <c r="K564" s="585"/>
      <c r="L564" s="585"/>
      <c r="M564" s="585"/>
      <c r="N564" s="585"/>
      <c r="O564" s="585"/>
      <c r="P564" s="585"/>
      <c r="Q564" s="585"/>
      <c r="R564" s="585"/>
      <c r="S564" s="585"/>
      <c r="T564" s="585"/>
      <c r="U564" s="585"/>
      <c r="V564" s="224"/>
      <c r="W564" s="224"/>
      <c r="X564" s="9"/>
      <c r="Y564" s="9"/>
      <c r="Z564" s="9"/>
    </row>
    <row r="565">
      <c r="A565" s="585"/>
      <c r="B565" s="585"/>
      <c r="C565" s="585"/>
      <c r="D565" s="585"/>
      <c r="E565" s="585"/>
      <c r="F565" s="585"/>
      <c r="G565" s="585"/>
      <c r="H565" s="585"/>
      <c r="I565" s="585"/>
      <c r="J565" s="585"/>
      <c r="K565" s="585"/>
      <c r="L565" s="585"/>
      <c r="M565" s="585"/>
      <c r="N565" s="585"/>
      <c r="O565" s="585"/>
      <c r="P565" s="585"/>
      <c r="Q565" s="585"/>
      <c r="R565" s="585"/>
      <c r="S565" s="585"/>
      <c r="T565" s="585"/>
      <c r="U565" s="585"/>
      <c r="V565" s="224"/>
      <c r="W565" s="224"/>
      <c r="X565" s="9"/>
      <c r="Y565" s="9"/>
      <c r="Z565" s="9"/>
    </row>
    <row r="566">
      <c r="A566" s="585"/>
      <c r="B566" s="585"/>
      <c r="C566" s="585"/>
      <c r="D566" s="585"/>
      <c r="E566" s="585"/>
      <c r="F566" s="585"/>
      <c r="G566" s="585"/>
      <c r="H566" s="585"/>
      <c r="I566" s="585"/>
      <c r="J566" s="585"/>
      <c r="K566" s="585"/>
      <c r="L566" s="585"/>
      <c r="M566" s="585"/>
      <c r="N566" s="585"/>
      <c r="O566" s="585"/>
      <c r="P566" s="585"/>
      <c r="Q566" s="585"/>
      <c r="R566" s="585"/>
      <c r="S566" s="585"/>
      <c r="T566" s="585"/>
      <c r="U566" s="585"/>
      <c r="V566" s="224"/>
      <c r="W566" s="224"/>
      <c r="X566" s="9"/>
      <c r="Y566" s="9"/>
      <c r="Z566" s="9"/>
    </row>
    <row r="567">
      <c r="A567" s="585"/>
      <c r="B567" s="585"/>
      <c r="C567" s="585"/>
      <c r="D567" s="585"/>
      <c r="E567" s="585"/>
      <c r="F567" s="585"/>
      <c r="G567" s="585"/>
      <c r="H567" s="585"/>
      <c r="I567" s="585"/>
      <c r="J567" s="585"/>
      <c r="K567" s="585"/>
      <c r="L567" s="585"/>
      <c r="M567" s="585"/>
      <c r="N567" s="585"/>
      <c r="O567" s="585"/>
      <c r="P567" s="585"/>
      <c r="Q567" s="585"/>
      <c r="R567" s="585"/>
      <c r="S567" s="585"/>
      <c r="T567" s="585"/>
      <c r="U567" s="585"/>
      <c r="V567" s="224"/>
      <c r="W567" s="224"/>
      <c r="X567" s="9"/>
      <c r="Y567" s="9"/>
      <c r="Z567" s="9"/>
    </row>
    <row r="568">
      <c r="A568" s="585"/>
      <c r="B568" s="585"/>
      <c r="C568" s="585"/>
      <c r="D568" s="585"/>
      <c r="E568" s="585"/>
      <c r="F568" s="585"/>
      <c r="G568" s="585"/>
      <c r="H568" s="585"/>
      <c r="I568" s="585"/>
      <c r="J568" s="585"/>
      <c r="K568" s="585"/>
      <c r="L568" s="585"/>
      <c r="M568" s="585"/>
      <c r="N568" s="585"/>
      <c r="O568" s="585"/>
      <c r="P568" s="585"/>
      <c r="Q568" s="585"/>
      <c r="R568" s="585"/>
      <c r="S568" s="585"/>
      <c r="T568" s="585"/>
      <c r="U568" s="585"/>
      <c r="V568" s="224"/>
      <c r="W568" s="224"/>
      <c r="X568" s="9"/>
      <c r="Y568" s="9"/>
      <c r="Z568" s="9"/>
    </row>
    <row r="569">
      <c r="A569" s="585"/>
      <c r="B569" s="585"/>
      <c r="C569" s="585"/>
      <c r="D569" s="585"/>
      <c r="E569" s="585"/>
      <c r="F569" s="585"/>
      <c r="G569" s="585"/>
      <c r="H569" s="585"/>
      <c r="I569" s="585"/>
      <c r="J569" s="585"/>
      <c r="K569" s="585"/>
      <c r="L569" s="585"/>
      <c r="M569" s="585"/>
      <c r="N569" s="585"/>
      <c r="O569" s="585"/>
      <c r="P569" s="585"/>
      <c r="Q569" s="585"/>
      <c r="R569" s="585"/>
      <c r="S569" s="585"/>
      <c r="T569" s="585"/>
      <c r="U569" s="585"/>
      <c r="V569" s="224"/>
      <c r="W569" s="224"/>
      <c r="X569" s="9"/>
      <c r="Y569" s="9"/>
      <c r="Z569" s="9"/>
    </row>
    <row r="570">
      <c r="A570" s="585"/>
      <c r="B570" s="585"/>
      <c r="C570" s="585"/>
      <c r="D570" s="585"/>
      <c r="E570" s="585"/>
      <c r="F570" s="585"/>
      <c r="G570" s="585"/>
      <c r="H570" s="585"/>
      <c r="I570" s="585"/>
      <c r="J570" s="585"/>
      <c r="K570" s="585"/>
      <c r="L570" s="585"/>
      <c r="M570" s="585"/>
      <c r="N570" s="585"/>
      <c r="O570" s="585"/>
      <c r="P570" s="585"/>
      <c r="Q570" s="585"/>
      <c r="R570" s="585"/>
      <c r="S570" s="585"/>
      <c r="T570" s="585"/>
      <c r="U570" s="585"/>
      <c r="V570" s="224"/>
      <c r="W570" s="224"/>
      <c r="X570" s="9"/>
      <c r="Y570" s="9"/>
      <c r="Z570" s="9"/>
    </row>
    <row r="571">
      <c r="A571" s="585"/>
      <c r="B571" s="585"/>
      <c r="C571" s="585"/>
      <c r="D571" s="585"/>
      <c r="E571" s="585"/>
      <c r="F571" s="585"/>
      <c r="G571" s="585"/>
      <c r="H571" s="585"/>
      <c r="I571" s="585"/>
      <c r="J571" s="585"/>
      <c r="K571" s="585"/>
      <c r="L571" s="585"/>
      <c r="M571" s="585"/>
      <c r="N571" s="585"/>
      <c r="O571" s="585"/>
      <c r="P571" s="585"/>
      <c r="Q571" s="585"/>
      <c r="R571" s="585"/>
      <c r="S571" s="585"/>
      <c r="T571" s="585"/>
      <c r="U571" s="585"/>
      <c r="V571" s="224"/>
      <c r="W571" s="224"/>
      <c r="X571" s="9"/>
      <c r="Y571" s="9"/>
      <c r="Z571" s="9"/>
    </row>
    <row r="572">
      <c r="A572" s="585"/>
      <c r="B572" s="585"/>
      <c r="C572" s="585"/>
      <c r="D572" s="585"/>
      <c r="E572" s="585"/>
      <c r="F572" s="585"/>
      <c r="G572" s="585"/>
      <c r="H572" s="585"/>
      <c r="I572" s="585"/>
      <c r="J572" s="585"/>
      <c r="K572" s="585"/>
      <c r="L572" s="585"/>
      <c r="M572" s="585"/>
      <c r="N572" s="585"/>
      <c r="O572" s="585"/>
      <c r="P572" s="585"/>
      <c r="Q572" s="585"/>
      <c r="R572" s="585"/>
      <c r="S572" s="585"/>
      <c r="T572" s="585"/>
      <c r="U572" s="585"/>
      <c r="V572" s="224"/>
      <c r="W572" s="224"/>
      <c r="X572" s="9"/>
      <c r="Y572" s="9"/>
      <c r="Z572" s="9"/>
    </row>
    <row r="573">
      <c r="A573" s="585"/>
      <c r="B573" s="585"/>
      <c r="C573" s="585"/>
      <c r="D573" s="585"/>
      <c r="E573" s="585"/>
      <c r="F573" s="585"/>
      <c r="G573" s="585"/>
      <c r="H573" s="585"/>
      <c r="I573" s="585"/>
      <c r="J573" s="585"/>
      <c r="K573" s="585"/>
      <c r="L573" s="585"/>
      <c r="M573" s="585"/>
      <c r="N573" s="585"/>
      <c r="O573" s="585"/>
      <c r="P573" s="585"/>
      <c r="Q573" s="585"/>
      <c r="R573" s="585"/>
      <c r="S573" s="585"/>
      <c r="T573" s="585"/>
      <c r="U573" s="585"/>
      <c r="V573" s="224"/>
      <c r="W573" s="224"/>
      <c r="X573" s="9"/>
      <c r="Y573" s="9"/>
      <c r="Z573" s="9"/>
    </row>
    <row r="574">
      <c r="A574" s="585"/>
      <c r="B574" s="585"/>
      <c r="C574" s="585"/>
      <c r="D574" s="585"/>
      <c r="E574" s="585"/>
      <c r="F574" s="585"/>
      <c r="G574" s="585"/>
      <c r="H574" s="585"/>
      <c r="I574" s="585"/>
      <c r="J574" s="585"/>
      <c r="K574" s="585"/>
      <c r="L574" s="585"/>
      <c r="M574" s="585"/>
      <c r="N574" s="585"/>
      <c r="O574" s="585"/>
      <c r="P574" s="585"/>
      <c r="Q574" s="585"/>
      <c r="R574" s="585"/>
      <c r="S574" s="585"/>
      <c r="T574" s="585"/>
      <c r="U574" s="585"/>
      <c r="V574" s="224"/>
      <c r="W574" s="224"/>
      <c r="X574" s="9"/>
      <c r="Y574" s="9"/>
      <c r="Z574" s="9"/>
    </row>
    <row r="575">
      <c r="A575" s="585"/>
      <c r="B575" s="585"/>
      <c r="C575" s="585"/>
      <c r="D575" s="585"/>
      <c r="E575" s="585"/>
      <c r="F575" s="585"/>
      <c r="G575" s="585"/>
      <c r="H575" s="585"/>
      <c r="I575" s="585"/>
      <c r="J575" s="585"/>
      <c r="K575" s="585"/>
      <c r="L575" s="585"/>
      <c r="M575" s="585"/>
      <c r="N575" s="585"/>
      <c r="O575" s="585"/>
      <c r="P575" s="585"/>
      <c r="Q575" s="585"/>
      <c r="R575" s="585"/>
      <c r="S575" s="585"/>
      <c r="T575" s="585"/>
      <c r="U575" s="585"/>
      <c r="V575" s="224"/>
      <c r="W575" s="224"/>
      <c r="X575" s="9"/>
      <c r="Y575" s="9"/>
      <c r="Z575" s="9"/>
    </row>
    <row r="576">
      <c r="A576" s="585"/>
      <c r="B576" s="585"/>
      <c r="C576" s="585"/>
      <c r="D576" s="585"/>
      <c r="E576" s="585"/>
      <c r="F576" s="585"/>
      <c r="G576" s="585"/>
      <c r="H576" s="585"/>
      <c r="I576" s="585"/>
      <c r="J576" s="585"/>
      <c r="K576" s="585"/>
      <c r="L576" s="585"/>
      <c r="M576" s="585"/>
      <c r="N576" s="585"/>
      <c r="O576" s="585"/>
      <c r="P576" s="585"/>
      <c r="Q576" s="585"/>
      <c r="R576" s="585"/>
      <c r="S576" s="585"/>
      <c r="T576" s="585"/>
      <c r="U576" s="585"/>
      <c r="V576" s="224"/>
      <c r="W576" s="224"/>
      <c r="X576" s="9"/>
      <c r="Y576" s="9"/>
      <c r="Z576" s="9"/>
    </row>
    <row r="577">
      <c r="A577" s="585"/>
      <c r="B577" s="585"/>
      <c r="C577" s="585"/>
      <c r="D577" s="585"/>
      <c r="E577" s="585"/>
      <c r="F577" s="585"/>
      <c r="G577" s="585"/>
      <c r="H577" s="585"/>
      <c r="I577" s="585"/>
      <c r="J577" s="585"/>
      <c r="K577" s="585"/>
      <c r="L577" s="585"/>
      <c r="M577" s="585"/>
      <c r="N577" s="585"/>
      <c r="O577" s="585"/>
      <c r="P577" s="585"/>
      <c r="Q577" s="585"/>
      <c r="R577" s="585"/>
      <c r="S577" s="585"/>
      <c r="T577" s="585"/>
      <c r="U577" s="585"/>
      <c r="V577" s="224"/>
      <c r="W577" s="224"/>
      <c r="X577" s="9"/>
      <c r="Y577" s="9"/>
      <c r="Z577" s="9"/>
    </row>
    <row r="578">
      <c r="A578" s="585"/>
      <c r="B578" s="585"/>
      <c r="C578" s="585"/>
      <c r="D578" s="585"/>
      <c r="E578" s="585"/>
      <c r="F578" s="585"/>
      <c r="G578" s="585"/>
      <c r="H578" s="585"/>
      <c r="I578" s="585"/>
      <c r="J578" s="585"/>
      <c r="K578" s="585"/>
      <c r="L578" s="585"/>
      <c r="M578" s="585"/>
      <c r="N578" s="585"/>
      <c r="O578" s="585"/>
      <c r="P578" s="585"/>
      <c r="Q578" s="585"/>
      <c r="R578" s="585"/>
      <c r="S578" s="585"/>
      <c r="T578" s="585"/>
      <c r="U578" s="585"/>
      <c r="V578" s="224"/>
      <c r="W578" s="224"/>
      <c r="X578" s="9"/>
      <c r="Y578" s="9"/>
      <c r="Z578" s="9"/>
    </row>
    <row r="579">
      <c r="A579" s="585"/>
      <c r="B579" s="585"/>
      <c r="C579" s="585"/>
      <c r="D579" s="585"/>
      <c r="E579" s="585"/>
      <c r="F579" s="585"/>
      <c r="G579" s="585"/>
      <c r="H579" s="585"/>
      <c r="I579" s="585"/>
      <c r="J579" s="585"/>
      <c r="K579" s="585"/>
      <c r="L579" s="585"/>
      <c r="M579" s="585"/>
      <c r="N579" s="585"/>
      <c r="O579" s="585"/>
      <c r="P579" s="585"/>
      <c r="Q579" s="585"/>
      <c r="R579" s="585"/>
      <c r="S579" s="585"/>
      <c r="T579" s="585"/>
      <c r="U579" s="585"/>
      <c r="V579" s="224"/>
      <c r="W579" s="224"/>
      <c r="X579" s="9"/>
      <c r="Y579" s="9"/>
      <c r="Z579" s="9"/>
    </row>
    <row r="580">
      <c r="A580" s="585"/>
      <c r="B580" s="585"/>
      <c r="C580" s="585"/>
      <c r="D580" s="585"/>
      <c r="E580" s="585"/>
      <c r="F580" s="585"/>
      <c r="G580" s="585"/>
      <c r="H580" s="585"/>
      <c r="I580" s="585"/>
      <c r="J580" s="585"/>
      <c r="K580" s="585"/>
      <c r="L580" s="585"/>
      <c r="M580" s="585"/>
      <c r="N580" s="585"/>
      <c r="O580" s="585"/>
      <c r="P580" s="585"/>
      <c r="Q580" s="585"/>
      <c r="R580" s="585"/>
      <c r="S580" s="585"/>
      <c r="T580" s="585"/>
      <c r="U580" s="585"/>
      <c r="V580" s="224"/>
      <c r="W580" s="224"/>
      <c r="X580" s="9"/>
      <c r="Y580" s="9"/>
      <c r="Z580" s="9"/>
    </row>
    <row r="581">
      <c r="A581" s="585"/>
      <c r="B581" s="585"/>
      <c r="C581" s="585"/>
      <c r="D581" s="585"/>
      <c r="E581" s="585"/>
      <c r="F581" s="585"/>
      <c r="G581" s="585"/>
      <c r="H581" s="585"/>
      <c r="I581" s="585"/>
      <c r="J581" s="585"/>
      <c r="K581" s="585"/>
      <c r="L581" s="585"/>
      <c r="M581" s="585"/>
      <c r="N581" s="585"/>
      <c r="O581" s="585"/>
      <c r="P581" s="585"/>
      <c r="Q581" s="585"/>
      <c r="R581" s="585"/>
      <c r="S581" s="585"/>
      <c r="T581" s="585"/>
      <c r="U581" s="585"/>
      <c r="V581" s="224"/>
      <c r="W581" s="224"/>
      <c r="X581" s="9"/>
      <c r="Y581" s="9"/>
      <c r="Z581" s="9"/>
    </row>
    <row r="582">
      <c r="A582" s="585"/>
      <c r="B582" s="585"/>
      <c r="C582" s="585"/>
      <c r="D582" s="585"/>
      <c r="E582" s="585"/>
      <c r="F582" s="585"/>
      <c r="G582" s="585"/>
      <c r="H582" s="585"/>
      <c r="I582" s="585"/>
      <c r="J582" s="585"/>
      <c r="K582" s="585"/>
      <c r="L582" s="585"/>
      <c r="M582" s="585"/>
      <c r="N582" s="585"/>
      <c r="O582" s="585"/>
      <c r="P582" s="585"/>
      <c r="Q582" s="585"/>
      <c r="R582" s="585"/>
      <c r="S582" s="585"/>
      <c r="T582" s="585"/>
      <c r="U582" s="585"/>
      <c r="V582" s="224"/>
      <c r="W582" s="224"/>
      <c r="X582" s="9"/>
      <c r="Y582" s="9"/>
      <c r="Z582" s="9"/>
    </row>
    <row r="583">
      <c r="A583" s="585"/>
      <c r="B583" s="585"/>
      <c r="C583" s="585"/>
      <c r="D583" s="585"/>
      <c r="E583" s="585"/>
      <c r="F583" s="585"/>
      <c r="G583" s="585"/>
      <c r="H583" s="585"/>
      <c r="I583" s="585"/>
      <c r="J583" s="585"/>
      <c r="K583" s="585"/>
      <c r="L583" s="585"/>
      <c r="M583" s="585"/>
      <c r="N583" s="585"/>
      <c r="O583" s="585"/>
      <c r="P583" s="585"/>
      <c r="Q583" s="585"/>
      <c r="R583" s="585"/>
      <c r="S583" s="585"/>
      <c r="T583" s="585"/>
      <c r="U583" s="585"/>
      <c r="V583" s="224"/>
      <c r="W583" s="224"/>
      <c r="X583" s="9"/>
      <c r="Y583" s="9"/>
      <c r="Z583" s="9"/>
    </row>
    <row r="584">
      <c r="A584" s="585"/>
      <c r="B584" s="585"/>
      <c r="C584" s="585"/>
      <c r="D584" s="585"/>
      <c r="E584" s="585"/>
      <c r="F584" s="585"/>
      <c r="G584" s="585"/>
      <c r="H584" s="585"/>
      <c r="I584" s="585"/>
      <c r="J584" s="585"/>
      <c r="K584" s="585"/>
      <c r="L584" s="585"/>
      <c r="M584" s="585"/>
      <c r="N584" s="585"/>
      <c r="O584" s="585"/>
      <c r="P584" s="585"/>
      <c r="Q584" s="585"/>
      <c r="R584" s="585"/>
      <c r="S584" s="585"/>
      <c r="T584" s="585"/>
      <c r="U584" s="585"/>
      <c r="V584" s="224"/>
      <c r="W584" s="224"/>
      <c r="X584" s="9"/>
      <c r="Y584" s="9"/>
      <c r="Z584" s="9"/>
    </row>
    <row r="585">
      <c r="A585" s="585"/>
      <c r="B585" s="585"/>
      <c r="C585" s="585"/>
      <c r="D585" s="585"/>
      <c r="E585" s="585"/>
      <c r="F585" s="585"/>
      <c r="G585" s="585"/>
      <c r="H585" s="585"/>
      <c r="I585" s="585"/>
      <c r="J585" s="585"/>
      <c r="K585" s="585"/>
      <c r="L585" s="585"/>
      <c r="M585" s="585"/>
      <c r="N585" s="585"/>
      <c r="O585" s="585"/>
      <c r="P585" s="585"/>
      <c r="Q585" s="585"/>
      <c r="R585" s="585"/>
      <c r="S585" s="585"/>
      <c r="T585" s="585"/>
      <c r="U585" s="585"/>
      <c r="V585" s="224"/>
      <c r="W585" s="224"/>
      <c r="X585" s="9"/>
      <c r="Y585" s="9"/>
      <c r="Z585" s="9"/>
    </row>
    <row r="586">
      <c r="A586" s="585"/>
      <c r="B586" s="585"/>
      <c r="C586" s="585"/>
      <c r="D586" s="585"/>
      <c r="E586" s="585"/>
      <c r="F586" s="585"/>
      <c r="G586" s="585"/>
      <c r="H586" s="585"/>
      <c r="I586" s="585"/>
      <c r="J586" s="585"/>
      <c r="K586" s="585"/>
      <c r="L586" s="585"/>
      <c r="M586" s="585"/>
      <c r="N586" s="585"/>
      <c r="O586" s="585"/>
      <c r="P586" s="585"/>
      <c r="Q586" s="585"/>
      <c r="R586" s="585"/>
      <c r="S586" s="585"/>
      <c r="T586" s="585"/>
      <c r="U586" s="585"/>
      <c r="V586" s="224"/>
      <c r="W586" s="224"/>
      <c r="X586" s="9"/>
      <c r="Y586" s="9"/>
      <c r="Z586" s="9"/>
    </row>
    <row r="587">
      <c r="A587" s="585"/>
      <c r="B587" s="585"/>
      <c r="C587" s="585"/>
      <c r="D587" s="585"/>
      <c r="E587" s="585"/>
      <c r="F587" s="585"/>
      <c r="G587" s="585"/>
      <c r="H587" s="585"/>
      <c r="I587" s="585"/>
      <c r="J587" s="585"/>
      <c r="K587" s="585"/>
      <c r="L587" s="585"/>
      <c r="M587" s="585"/>
      <c r="N587" s="585"/>
      <c r="O587" s="585"/>
      <c r="P587" s="585"/>
      <c r="Q587" s="585"/>
      <c r="R587" s="585"/>
      <c r="S587" s="585"/>
      <c r="T587" s="585"/>
      <c r="U587" s="585"/>
      <c r="V587" s="224"/>
      <c r="W587" s="224"/>
      <c r="X587" s="9"/>
      <c r="Y587" s="9"/>
      <c r="Z587" s="9"/>
    </row>
    <row r="588">
      <c r="A588" s="585"/>
      <c r="B588" s="585"/>
      <c r="C588" s="585"/>
      <c r="D588" s="585"/>
      <c r="E588" s="585"/>
      <c r="F588" s="585"/>
      <c r="G588" s="585"/>
      <c r="H588" s="585"/>
      <c r="I588" s="585"/>
      <c r="J588" s="585"/>
      <c r="K588" s="585"/>
      <c r="L588" s="585"/>
      <c r="M588" s="585"/>
      <c r="N588" s="585"/>
      <c r="O588" s="585"/>
      <c r="P588" s="585"/>
      <c r="Q588" s="585"/>
      <c r="R588" s="585"/>
      <c r="S588" s="585"/>
      <c r="T588" s="585"/>
      <c r="U588" s="585"/>
      <c r="V588" s="224"/>
      <c r="W588" s="224"/>
      <c r="X588" s="9"/>
      <c r="Y588" s="9"/>
      <c r="Z588" s="9"/>
    </row>
    <row r="589">
      <c r="A589" s="585"/>
      <c r="B589" s="585"/>
      <c r="C589" s="585"/>
      <c r="D589" s="585"/>
      <c r="E589" s="585"/>
      <c r="F589" s="585"/>
      <c r="G589" s="585"/>
      <c r="H589" s="585"/>
      <c r="I589" s="585"/>
      <c r="J589" s="585"/>
      <c r="K589" s="585"/>
      <c r="L589" s="585"/>
      <c r="M589" s="585"/>
      <c r="N589" s="585"/>
      <c r="O589" s="585"/>
      <c r="P589" s="585"/>
      <c r="Q589" s="585"/>
      <c r="R589" s="585"/>
      <c r="S589" s="585"/>
      <c r="T589" s="585"/>
      <c r="U589" s="585"/>
      <c r="V589" s="224"/>
      <c r="W589" s="224"/>
      <c r="X589" s="9"/>
      <c r="Y589" s="9"/>
      <c r="Z589" s="9"/>
    </row>
    <row r="590">
      <c r="A590" s="585"/>
      <c r="B590" s="585"/>
      <c r="C590" s="585"/>
      <c r="D590" s="585"/>
      <c r="E590" s="585"/>
      <c r="F590" s="585"/>
      <c r="G590" s="585"/>
      <c r="H590" s="585"/>
      <c r="I590" s="585"/>
      <c r="J590" s="585"/>
      <c r="K590" s="585"/>
      <c r="L590" s="585"/>
      <c r="M590" s="585"/>
      <c r="N590" s="585"/>
      <c r="O590" s="585"/>
      <c r="P590" s="585"/>
      <c r="Q590" s="585"/>
      <c r="R590" s="585"/>
      <c r="S590" s="585"/>
      <c r="T590" s="585"/>
      <c r="U590" s="585"/>
      <c r="V590" s="224"/>
      <c r="W590" s="224"/>
      <c r="X590" s="9"/>
      <c r="Y590" s="9"/>
      <c r="Z590" s="9"/>
    </row>
    <row r="591">
      <c r="A591" s="585"/>
      <c r="B591" s="585"/>
      <c r="C591" s="585"/>
      <c r="D591" s="585"/>
      <c r="E591" s="585"/>
      <c r="F591" s="585"/>
      <c r="G591" s="585"/>
      <c r="H591" s="585"/>
      <c r="I591" s="585"/>
      <c r="J591" s="585"/>
      <c r="K591" s="585"/>
      <c r="L591" s="585"/>
      <c r="M591" s="585"/>
      <c r="N591" s="585"/>
      <c r="O591" s="585"/>
      <c r="P591" s="585"/>
      <c r="Q591" s="585"/>
      <c r="R591" s="585"/>
      <c r="S591" s="585"/>
      <c r="T591" s="585"/>
      <c r="U591" s="585"/>
      <c r="V591" s="224"/>
      <c r="W591" s="224"/>
      <c r="X591" s="9"/>
      <c r="Y591" s="9"/>
      <c r="Z591" s="9"/>
    </row>
    <row r="592">
      <c r="A592" s="585"/>
      <c r="B592" s="585"/>
      <c r="C592" s="585"/>
      <c r="D592" s="585"/>
      <c r="E592" s="585"/>
      <c r="F592" s="585"/>
      <c r="G592" s="585"/>
      <c r="H592" s="585"/>
      <c r="I592" s="585"/>
      <c r="J592" s="585"/>
      <c r="K592" s="585"/>
      <c r="L592" s="585"/>
      <c r="M592" s="585"/>
      <c r="N592" s="585"/>
      <c r="O592" s="585"/>
      <c r="P592" s="585"/>
      <c r="Q592" s="585"/>
      <c r="R592" s="585"/>
      <c r="S592" s="585"/>
      <c r="T592" s="585"/>
      <c r="U592" s="585"/>
      <c r="V592" s="224"/>
      <c r="W592" s="224"/>
      <c r="X592" s="9"/>
      <c r="Y592" s="9"/>
      <c r="Z592" s="9"/>
    </row>
    <row r="593">
      <c r="A593" s="585"/>
      <c r="B593" s="585"/>
      <c r="C593" s="585"/>
      <c r="D593" s="585"/>
      <c r="E593" s="585"/>
      <c r="F593" s="585"/>
      <c r="G593" s="585"/>
      <c r="H593" s="585"/>
      <c r="I593" s="585"/>
      <c r="J593" s="585"/>
      <c r="K593" s="585"/>
      <c r="L593" s="585"/>
      <c r="M593" s="585"/>
      <c r="N593" s="585"/>
      <c r="O593" s="585"/>
      <c r="P593" s="585"/>
      <c r="Q593" s="585"/>
      <c r="R593" s="585"/>
      <c r="S593" s="585"/>
      <c r="T593" s="585"/>
      <c r="U593" s="585"/>
      <c r="V593" s="224"/>
      <c r="W593" s="224"/>
      <c r="X593" s="9"/>
      <c r="Y593" s="9"/>
      <c r="Z593" s="9"/>
    </row>
    <row r="594">
      <c r="A594" s="585"/>
      <c r="B594" s="585"/>
      <c r="C594" s="585"/>
      <c r="D594" s="585"/>
      <c r="E594" s="585"/>
      <c r="F594" s="585"/>
      <c r="G594" s="585"/>
      <c r="H594" s="585"/>
      <c r="I594" s="585"/>
      <c r="J594" s="585"/>
      <c r="K594" s="585"/>
      <c r="L594" s="585"/>
      <c r="M594" s="585"/>
      <c r="N594" s="585"/>
      <c r="O594" s="585"/>
      <c r="P594" s="585"/>
      <c r="Q594" s="585"/>
      <c r="R594" s="585"/>
      <c r="S594" s="585"/>
      <c r="T594" s="585"/>
      <c r="U594" s="585"/>
      <c r="V594" s="224"/>
      <c r="W594" s="224"/>
      <c r="X594" s="9"/>
      <c r="Y594" s="9"/>
      <c r="Z594" s="9"/>
    </row>
    <row r="595">
      <c r="A595" s="585"/>
      <c r="B595" s="585"/>
      <c r="C595" s="585"/>
      <c r="D595" s="585"/>
      <c r="E595" s="585"/>
      <c r="F595" s="585"/>
      <c r="G595" s="585"/>
      <c r="H595" s="585"/>
      <c r="I595" s="585"/>
      <c r="J595" s="585"/>
      <c r="K595" s="585"/>
      <c r="L595" s="585"/>
      <c r="M595" s="585"/>
      <c r="N595" s="585"/>
      <c r="O595" s="585"/>
      <c r="P595" s="585"/>
      <c r="Q595" s="585"/>
      <c r="R595" s="585"/>
      <c r="S595" s="585"/>
      <c r="T595" s="585"/>
      <c r="U595" s="585"/>
      <c r="V595" s="224"/>
      <c r="W595" s="224"/>
      <c r="X595" s="9"/>
      <c r="Y595" s="9"/>
      <c r="Z595" s="9"/>
    </row>
    <row r="596">
      <c r="A596" s="585"/>
      <c r="B596" s="585"/>
      <c r="C596" s="585"/>
      <c r="D596" s="585"/>
      <c r="E596" s="585"/>
      <c r="F596" s="585"/>
      <c r="G596" s="585"/>
      <c r="H596" s="585"/>
      <c r="I596" s="585"/>
      <c r="J596" s="585"/>
      <c r="K596" s="585"/>
      <c r="L596" s="585"/>
      <c r="M596" s="585"/>
      <c r="N596" s="585"/>
      <c r="O596" s="585"/>
      <c r="P596" s="585"/>
      <c r="Q596" s="585"/>
      <c r="R596" s="585"/>
      <c r="S596" s="585"/>
      <c r="T596" s="585"/>
      <c r="U596" s="585"/>
      <c r="V596" s="224"/>
      <c r="W596" s="224"/>
      <c r="X596" s="9"/>
      <c r="Y596" s="9"/>
      <c r="Z596" s="9"/>
    </row>
    <row r="597">
      <c r="A597" s="585"/>
      <c r="B597" s="585"/>
      <c r="C597" s="585"/>
      <c r="D597" s="585"/>
      <c r="E597" s="585"/>
      <c r="F597" s="585"/>
      <c r="G597" s="585"/>
      <c r="H597" s="585"/>
      <c r="I597" s="585"/>
      <c r="J597" s="585"/>
      <c r="K597" s="585"/>
      <c r="L597" s="585"/>
      <c r="M597" s="585"/>
      <c r="N597" s="585"/>
      <c r="O597" s="585"/>
      <c r="P597" s="585"/>
      <c r="Q597" s="585"/>
      <c r="R597" s="585"/>
      <c r="S597" s="585"/>
      <c r="T597" s="585"/>
      <c r="U597" s="585"/>
      <c r="V597" s="224"/>
      <c r="W597" s="224"/>
      <c r="X597" s="9"/>
      <c r="Y597" s="9"/>
      <c r="Z597" s="9"/>
    </row>
    <row r="598">
      <c r="A598" s="585"/>
      <c r="B598" s="585"/>
      <c r="C598" s="585"/>
      <c r="D598" s="585"/>
      <c r="E598" s="585"/>
      <c r="F598" s="585"/>
      <c r="G598" s="585"/>
      <c r="H598" s="585"/>
      <c r="I598" s="585"/>
      <c r="J598" s="585"/>
      <c r="K598" s="585"/>
      <c r="L598" s="585"/>
      <c r="M598" s="585"/>
      <c r="N598" s="585"/>
      <c r="O598" s="585"/>
      <c r="P598" s="585"/>
      <c r="Q598" s="585"/>
      <c r="R598" s="585"/>
      <c r="S598" s="585"/>
      <c r="T598" s="585"/>
      <c r="U598" s="585"/>
      <c r="V598" s="224"/>
      <c r="W598" s="224"/>
      <c r="X598" s="9"/>
      <c r="Y598" s="9"/>
      <c r="Z598" s="9"/>
    </row>
    <row r="599">
      <c r="A599" s="585"/>
      <c r="B599" s="585"/>
      <c r="C599" s="585"/>
      <c r="D599" s="585"/>
      <c r="E599" s="585"/>
      <c r="F599" s="585"/>
      <c r="G599" s="585"/>
      <c r="H599" s="585"/>
      <c r="I599" s="585"/>
      <c r="J599" s="585"/>
      <c r="K599" s="585"/>
      <c r="L599" s="585"/>
      <c r="M599" s="585"/>
      <c r="N599" s="585"/>
      <c r="O599" s="585"/>
      <c r="P599" s="585"/>
      <c r="Q599" s="585"/>
      <c r="R599" s="585"/>
      <c r="S599" s="585"/>
      <c r="T599" s="585"/>
      <c r="U599" s="585"/>
      <c r="V599" s="224"/>
      <c r="W599" s="224"/>
      <c r="X599" s="9"/>
      <c r="Y599" s="9"/>
      <c r="Z599" s="9"/>
    </row>
    <row r="600">
      <c r="A600" s="585"/>
      <c r="B600" s="585"/>
      <c r="C600" s="585"/>
      <c r="D600" s="585"/>
      <c r="E600" s="585"/>
      <c r="F600" s="585"/>
      <c r="G600" s="585"/>
      <c r="H600" s="585"/>
      <c r="I600" s="585"/>
      <c r="J600" s="585"/>
      <c r="K600" s="585"/>
      <c r="L600" s="585"/>
      <c r="M600" s="585"/>
      <c r="N600" s="585"/>
      <c r="O600" s="585"/>
      <c r="P600" s="585"/>
      <c r="Q600" s="585"/>
      <c r="R600" s="585"/>
      <c r="S600" s="585"/>
      <c r="T600" s="585"/>
      <c r="U600" s="585"/>
      <c r="V600" s="224"/>
      <c r="W600" s="224"/>
      <c r="X600" s="9"/>
      <c r="Y600" s="9"/>
      <c r="Z600" s="9"/>
    </row>
    <row r="601">
      <c r="A601" s="585"/>
      <c r="B601" s="585"/>
      <c r="C601" s="585"/>
      <c r="D601" s="585"/>
      <c r="E601" s="585"/>
      <c r="F601" s="585"/>
      <c r="G601" s="585"/>
      <c r="H601" s="585"/>
      <c r="I601" s="585"/>
      <c r="J601" s="585"/>
      <c r="K601" s="585"/>
      <c r="L601" s="585"/>
      <c r="M601" s="585"/>
      <c r="N601" s="585"/>
      <c r="O601" s="585"/>
      <c r="P601" s="585"/>
      <c r="Q601" s="585"/>
      <c r="R601" s="585"/>
      <c r="S601" s="585"/>
      <c r="T601" s="585"/>
      <c r="U601" s="585"/>
      <c r="V601" s="224"/>
      <c r="W601" s="224"/>
      <c r="X601" s="9"/>
      <c r="Y601" s="9"/>
      <c r="Z601" s="9"/>
    </row>
    <row r="602">
      <c r="A602" s="585"/>
      <c r="B602" s="585"/>
      <c r="C602" s="585"/>
      <c r="D602" s="585"/>
      <c r="E602" s="585"/>
      <c r="F602" s="585"/>
      <c r="G602" s="585"/>
      <c r="H602" s="585"/>
      <c r="I602" s="585"/>
      <c r="J602" s="585"/>
      <c r="K602" s="585"/>
      <c r="L602" s="585"/>
      <c r="M602" s="585"/>
      <c r="N602" s="585"/>
      <c r="O602" s="585"/>
      <c r="P602" s="585"/>
      <c r="Q602" s="585"/>
      <c r="R602" s="585"/>
      <c r="S602" s="585"/>
      <c r="T602" s="585"/>
      <c r="U602" s="585"/>
      <c r="V602" s="224"/>
      <c r="W602" s="224"/>
      <c r="X602" s="9"/>
      <c r="Y602" s="9"/>
      <c r="Z602" s="9"/>
    </row>
    <row r="603">
      <c r="A603" s="585"/>
      <c r="B603" s="585"/>
      <c r="C603" s="585"/>
      <c r="D603" s="585"/>
      <c r="E603" s="585"/>
      <c r="F603" s="585"/>
      <c r="G603" s="585"/>
      <c r="H603" s="585"/>
      <c r="I603" s="585"/>
      <c r="J603" s="585"/>
      <c r="K603" s="585"/>
      <c r="L603" s="585"/>
      <c r="M603" s="585"/>
      <c r="N603" s="585"/>
      <c r="O603" s="585"/>
      <c r="P603" s="585"/>
      <c r="Q603" s="585"/>
      <c r="R603" s="585"/>
      <c r="S603" s="585"/>
      <c r="T603" s="585"/>
      <c r="U603" s="585"/>
      <c r="V603" s="224"/>
      <c r="W603" s="224"/>
      <c r="X603" s="9"/>
      <c r="Y603" s="9"/>
      <c r="Z603" s="9"/>
    </row>
    <row r="604">
      <c r="A604" s="585"/>
      <c r="B604" s="585"/>
      <c r="C604" s="585"/>
      <c r="D604" s="585"/>
      <c r="E604" s="585"/>
      <c r="F604" s="585"/>
      <c r="G604" s="585"/>
      <c r="H604" s="585"/>
      <c r="I604" s="585"/>
      <c r="J604" s="585"/>
      <c r="K604" s="585"/>
      <c r="L604" s="585"/>
      <c r="M604" s="585"/>
      <c r="N604" s="585"/>
      <c r="O604" s="585"/>
      <c r="P604" s="585"/>
      <c r="Q604" s="585"/>
      <c r="R604" s="585"/>
      <c r="S604" s="585"/>
      <c r="T604" s="585"/>
      <c r="U604" s="585"/>
      <c r="V604" s="224"/>
      <c r="W604" s="224"/>
      <c r="X604" s="9"/>
      <c r="Y604" s="9"/>
      <c r="Z604" s="9"/>
    </row>
    <row r="605">
      <c r="A605" s="585"/>
      <c r="B605" s="585"/>
      <c r="C605" s="585"/>
      <c r="D605" s="585"/>
      <c r="E605" s="585"/>
      <c r="F605" s="585"/>
      <c r="G605" s="585"/>
      <c r="H605" s="585"/>
      <c r="I605" s="585"/>
      <c r="J605" s="585"/>
      <c r="K605" s="585"/>
      <c r="L605" s="585"/>
      <c r="M605" s="585"/>
      <c r="N605" s="585"/>
      <c r="O605" s="585"/>
      <c r="P605" s="585"/>
      <c r="Q605" s="585"/>
      <c r="R605" s="585"/>
      <c r="S605" s="585"/>
      <c r="T605" s="585"/>
      <c r="U605" s="585"/>
      <c r="V605" s="224"/>
      <c r="W605" s="224"/>
      <c r="X605" s="9"/>
      <c r="Y605" s="9"/>
      <c r="Z605" s="9"/>
    </row>
    <row r="606">
      <c r="A606" s="585"/>
      <c r="B606" s="585"/>
      <c r="C606" s="585"/>
      <c r="D606" s="585"/>
      <c r="E606" s="585"/>
      <c r="F606" s="585"/>
      <c r="G606" s="585"/>
      <c r="H606" s="585"/>
      <c r="I606" s="585"/>
      <c r="J606" s="585"/>
      <c r="K606" s="585"/>
      <c r="L606" s="585"/>
      <c r="M606" s="585"/>
      <c r="N606" s="585"/>
      <c r="O606" s="585"/>
      <c r="P606" s="585"/>
      <c r="Q606" s="585"/>
      <c r="R606" s="585"/>
      <c r="S606" s="585"/>
      <c r="T606" s="585"/>
      <c r="U606" s="585"/>
      <c r="V606" s="224"/>
      <c r="W606" s="224"/>
      <c r="X606" s="9"/>
      <c r="Y606" s="9"/>
      <c r="Z606" s="9"/>
    </row>
    <row r="607">
      <c r="A607" s="585"/>
      <c r="B607" s="585"/>
      <c r="C607" s="585"/>
      <c r="D607" s="585"/>
      <c r="E607" s="585"/>
      <c r="F607" s="585"/>
      <c r="G607" s="585"/>
      <c r="H607" s="585"/>
      <c r="I607" s="585"/>
      <c r="J607" s="585"/>
      <c r="K607" s="585"/>
      <c r="L607" s="585"/>
      <c r="M607" s="585"/>
      <c r="N607" s="585"/>
      <c r="O607" s="585"/>
      <c r="P607" s="585"/>
      <c r="Q607" s="585"/>
      <c r="R607" s="585"/>
      <c r="S607" s="585"/>
      <c r="T607" s="585"/>
      <c r="U607" s="585"/>
      <c r="V607" s="224"/>
      <c r="W607" s="224"/>
      <c r="X607" s="9"/>
      <c r="Y607" s="9"/>
      <c r="Z607" s="9"/>
    </row>
    <row r="608">
      <c r="A608" s="585"/>
      <c r="B608" s="585"/>
      <c r="C608" s="585"/>
      <c r="D608" s="585"/>
      <c r="E608" s="585"/>
      <c r="F608" s="585"/>
      <c r="G608" s="585"/>
      <c r="H608" s="585"/>
      <c r="I608" s="585"/>
      <c r="J608" s="585"/>
      <c r="K608" s="585"/>
      <c r="L608" s="585"/>
      <c r="M608" s="585"/>
      <c r="N608" s="585"/>
      <c r="O608" s="585"/>
      <c r="P608" s="585"/>
      <c r="Q608" s="585"/>
      <c r="R608" s="585"/>
      <c r="S608" s="585"/>
      <c r="T608" s="585"/>
      <c r="U608" s="585"/>
      <c r="V608" s="224"/>
      <c r="W608" s="224"/>
      <c r="X608" s="9"/>
      <c r="Y608" s="9"/>
      <c r="Z608" s="9"/>
    </row>
    <row r="609">
      <c r="A609" s="585"/>
      <c r="B609" s="585"/>
      <c r="C609" s="585"/>
      <c r="D609" s="585"/>
      <c r="E609" s="585"/>
      <c r="F609" s="585"/>
      <c r="G609" s="585"/>
      <c r="H609" s="585"/>
      <c r="I609" s="585"/>
      <c r="J609" s="585"/>
      <c r="K609" s="585"/>
      <c r="L609" s="585"/>
      <c r="M609" s="585"/>
      <c r="N609" s="585"/>
      <c r="O609" s="585"/>
      <c r="P609" s="585"/>
      <c r="Q609" s="585"/>
      <c r="R609" s="585"/>
      <c r="S609" s="585"/>
      <c r="T609" s="585"/>
      <c r="U609" s="585"/>
      <c r="V609" s="224"/>
      <c r="W609" s="224"/>
      <c r="X609" s="9"/>
      <c r="Y609" s="9"/>
      <c r="Z609" s="9"/>
    </row>
    <row r="610">
      <c r="A610" s="585"/>
      <c r="B610" s="585"/>
      <c r="C610" s="585"/>
      <c r="D610" s="585"/>
      <c r="E610" s="585"/>
      <c r="F610" s="585"/>
      <c r="G610" s="585"/>
      <c r="H610" s="585"/>
      <c r="I610" s="585"/>
      <c r="J610" s="585"/>
      <c r="K610" s="585"/>
      <c r="L610" s="585"/>
      <c r="M610" s="585"/>
      <c r="N610" s="585"/>
      <c r="O610" s="585"/>
      <c r="P610" s="585"/>
      <c r="Q610" s="585"/>
      <c r="R610" s="585"/>
      <c r="S610" s="585"/>
      <c r="T610" s="585"/>
      <c r="U610" s="585"/>
      <c r="V610" s="224"/>
      <c r="W610" s="224"/>
      <c r="X610" s="9"/>
      <c r="Y610" s="9"/>
      <c r="Z610" s="9"/>
    </row>
    <row r="611">
      <c r="A611" s="585"/>
      <c r="B611" s="585"/>
      <c r="C611" s="585"/>
      <c r="D611" s="585"/>
      <c r="E611" s="585"/>
      <c r="F611" s="585"/>
      <c r="G611" s="585"/>
      <c r="H611" s="585"/>
      <c r="I611" s="585"/>
      <c r="J611" s="585"/>
      <c r="K611" s="585"/>
      <c r="L611" s="585"/>
      <c r="M611" s="585"/>
      <c r="N611" s="585"/>
      <c r="O611" s="585"/>
      <c r="P611" s="585"/>
      <c r="Q611" s="585"/>
      <c r="R611" s="585"/>
      <c r="S611" s="585"/>
      <c r="T611" s="585"/>
      <c r="U611" s="585"/>
      <c r="V611" s="224"/>
      <c r="W611" s="224"/>
      <c r="X611" s="9"/>
      <c r="Y611" s="9"/>
      <c r="Z611" s="9"/>
    </row>
    <row r="612">
      <c r="A612" s="585"/>
      <c r="B612" s="585"/>
      <c r="C612" s="585"/>
      <c r="D612" s="585"/>
      <c r="E612" s="585"/>
      <c r="F612" s="585"/>
      <c r="G612" s="585"/>
      <c r="H612" s="585"/>
      <c r="I612" s="585"/>
      <c r="J612" s="585"/>
      <c r="K612" s="585"/>
      <c r="L612" s="585"/>
      <c r="M612" s="585"/>
      <c r="N612" s="585"/>
      <c r="O612" s="585"/>
      <c r="P612" s="585"/>
      <c r="Q612" s="585"/>
      <c r="R612" s="585"/>
      <c r="S612" s="585"/>
      <c r="T612" s="585"/>
      <c r="U612" s="585"/>
      <c r="V612" s="224"/>
      <c r="W612" s="224"/>
      <c r="X612" s="9"/>
      <c r="Y612" s="9"/>
      <c r="Z612" s="9"/>
    </row>
    <row r="613">
      <c r="A613" s="585"/>
      <c r="B613" s="585"/>
      <c r="C613" s="585"/>
      <c r="D613" s="585"/>
      <c r="E613" s="585"/>
      <c r="F613" s="585"/>
      <c r="G613" s="585"/>
      <c r="H613" s="585"/>
      <c r="I613" s="585"/>
      <c r="J613" s="585"/>
      <c r="K613" s="585"/>
      <c r="L613" s="585"/>
      <c r="M613" s="585"/>
      <c r="N613" s="585"/>
      <c r="O613" s="585"/>
      <c r="P613" s="585"/>
      <c r="Q613" s="585"/>
      <c r="R613" s="585"/>
      <c r="S613" s="585"/>
      <c r="T613" s="585"/>
      <c r="U613" s="585"/>
      <c r="V613" s="224"/>
      <c r="W613" s="224"/>
      <c r="X613" s="9"/>
      <c r="Y613" s="9"/>
      <c r="Z613" s="9"/>
    </row>
    <row r="614">
      <c r="A614" s="585"/>
      <c r="B614" s="585"/>
      <c r="C614" s="585"/>
      <c r="D614" s="585"/>
      <c r="E614" s="585"/>
      <c r="F614" s="585"/>
      <c r="G614" s="585"/>
      <c r="H614" s="585"/>
      <c r="I614" s="585"/>
      <c r="J614" s="585"/>
      <c r="K614" s="585"/>
      <c r="L614" s="585"/>
      <c r="M614" s="585"/>
      <c r="N614" s="585"/>
      <c r="O614" s="585"/>
      <c r="P614" s="585"/>
      <c r="Q614" s="585"/>
      <c r="R614" s="585"/>
      <c r="S614" s="585"/>
      <c r="T614" s="585"/>
      <c r="U614" s="585"/>
      <c r="V614" s="224"/>
      <c r="W614" s="224"/>
      <c r="X614" s="9"/>
      <c r="Y614" s="9"/>
      <c r="Z614" s="9"/>
    </row>
    <row r="615">
      <c r="A615" s="585"/>
      <c r="B615" s="585"/>
      <c r="C615" s="585"/>
      <c r="D615" s="585"/>
      <c r="E615" s="585"/>
      <c r="F615" s="585"/>
      <c r="G615" s="585"/>
      <c r="H615" s="585"/>
      <c r="I615" s="585"/>
      <c r="J615" s="585"/>
      <c r="K615" s="585"/>
      <c r="L615" s="585"/>
      <c r="M615" s="585"/>
      <c r="N615" s="585"/>
      <c r="O615" s="585"/>
      <c r="P615" s="585"/>
      <c r="Q615" s="585"/>
      <c r="R615" s="585"/>
      <c r="S615" s="585"/>
      <c r="T615" s="585"/>
      <c r="U615" s="585"/>
      <c r="V615" s="224"/>
      <c r="W615" s="224"/>
      <c r="X615" s="9"/>
      <c r="Y615" s="9"/>
      <c r="Z615" s="9"/>
    </row>
    <row r="616">
      <c r="A616" s="585"/>
      <c r="B616" s="585"/>
      <c r="C616" s="585"/>
      <c r="D616" s="585"/>
      <c r="E616" s="585"/>
      <c r="F616" s="585"/>
      <c r="G616" s="585"/>
      <c r="H616" s="585"/>
      <c r="I616" s="585"/>
      <c r="J616" s="585"/>
      <c r="K616" s="585"/>
      <c r="L616" s="585"/>
      <c r="M616" s="585"/>
      <c r="N616" s="585"/>
      <c r="O616" s="585"/>
      <c r="P616" s="585"/>
      <c r="Q616" s="585"/>
      <c r="R616" s="585"/>
      <c r="S616" s="585"/>
      <c r="T616" s="585"/>
      <c r="U616" s="585"/>
      <c r="V616" s="224"/>
      <c r="W616" s="224"/>
      <c r="X616" s="9"/>
      <c r="Y616" s="9"/>
      <c r="Z616" s="9"/>
    </row>
    <row r="617">
      <c r="A617" s="585"/>
      <c r="B617" s="585"/>
      <c r="C617" s="585"/>
      <c r="D617" s="585"/>
      <c r="E617" s="585"/>
      <c r="F617" s="585"/>
      <c r="G617" s="585"/>
      <c r="H617" s="585"/>
      <c r="I617" s="585"/>
      <c r="J617" s="585"/>
      <c r="K617" s="585"/>
      <c r="L617" s="585"/>
      <c r="M617" s="585"/>
      <c r="N617" s="585"/>
      <c r="O617" s="585"/>
      <c r="P617" s="585"/>
      <c r="Q617" s="585"/>
      <c r="R617" s="585"/>
      <c r="S617" s="585"/>
      <c r="T617" s="585"/>
      <c r="U617" s="585"/>
      <c r="V617" s="224"/>
      <c r="W617" s="224"/>
      <c r="X617" s="9"/>
      <c r="Y617" s="9"/>
      <c r="Z617" s="9"/>
    </row>
    <row r="618">
      <c r="A618" s="585"/>
      <c r="B618" s="585"/>
      <c r="C618" s="585"/>
      <c r="D618" s="585"/>
      <c r="E618" s="585"/>
      <c r="F618" s="585"/>
      <c r="G618" s="585"/>
      <c r="H618" s="585"/>
      <c r="I618" s="585"/>
      <c r="J618" s="585"/>
      <c r="K618" s="585"/>
      <c r="L618" s="585"/>
      <c r="M618" s="585"/>
      <c r="N618" s="585"/>
      <c r="O618" s="585"/>
      <c r="P618" s="585"/>
      <c r="Q618" s="585"/>
      <c r="R618" s="585"/>
      <c r="S618" s="585"/>
      <c r="T618" s="585"/>
      <c r="U618" s="585"/>
      <c r="V618" s="224"/>
      <c r="W618" s="224"/>
      <c r="X618" s="9"/>
      <c r="Y618" s="9"/>
      <c r="Z618" s="9"/>
    </row>
    <row r="619">
      <c r="A619" s="585"/>
      <c r="B619" s="585"/>
      <c r="C619" s="585"/>
      <c r="D619" s="585"/>
      <c r="E619" s="585"/>
      <c r="F619" s="585"/>
      <c r="G619" s="585"/>
      <c r="H619" s="585"/>
      <c r="I619" s="585"/>
      <c r="J619" s="585"/>
      <c r="K619" s="585"/>
      <c r="L619" s="585"/>
      <c r="M619" s="585"/>
      <c r="N619" s="585"/>
      <c r="O619" s="585"/>
      <c r="P619" s="585"/>
      <c r="Q619" s="585"/>
      <c r="R619" s="585"/>
      <c r="S619" s="585"/>
      <c r="T619" s="585"/>
      <c r="U619" s="585"/>
      <c r="V619" s="224"/>
      <c r="W619" s="224"/>
      <c r="X619" s="9"/>
      <c r="Y619" s="9"/>
      <c r="Z619" s="9"/>
    </row>
    <row r="620">
      <c r="A620" s="585"/>
      <c r="B620" s="585"/>
      <c r="C620" s="585"/>
      <c r="D620" s="585"/>
      <c r="E620" s="585"/>
      <c r="F620" s="585"/>
      <c r="G620" s="585"/>
      <c r="H620" s="585"/>
      <c r="I620" s="585"/>
      <c r="J620" s="585"/>
      <c r="K620" s="585"/>
      <c r="L620" s="585"/>
      <c r="M620" s="585"/>
      <c r="N620" s="585"/>
      <c r="O620" s="585"/>
      <c r="P620" s="585"/>
      <c r="Q620" s="585"/>
      <c r="R620" s="585"/>
      <c r="S620" s="585"/>
      <c r="T620" s="585"/>
      <c r="U620" s="585"/>
      <c r="V620" s="224"/>
      <c r="W620" s="224"/>
      <c r="X620" s="9"/>
      <c r="Y620" s="9"/>
      <c r="Z620" s="9"/>
    </row>
    <row r="621">
      <c r="A621" s="585"/>
      <c r="B621" s="585"/>
      <c r="C621" s="585"/>
      <c r="D621" s="585"/>
      <c r="E621" s="585"/>
      <c r="F621" s="585"/>
      <c r="G621" s="585"/>
      <c r="H621" s="585"/>
      <c r="I621" s="585"/>
      <c r="J621" s="585"/>
      <c r="K621" s="585"/>
      <c r="L621" s="585"/>
      <c r="M621" s="585"/>
      <c r="N621" s="585"/>
      <c r="O621" s="585"/>
      <c r="P621" s="585"/>
      <c r="Q621" s="585"/>
      <c r="R621" s="585"/>
      <c r="S621" s="585"/>
      <c r="T621" s="585"/>
      <c r="U621" s="585"/>
      <c r="V621" s="224"/>
      <c r="W621" s="224"/>
      <c r="X621" s="9"/>
      <c r="Y621" s="9"/>
      <c r="Z621" s="9"/>
    </row>
    <row r="622">
      <c r="A622" s="585"/>
      <c r="B622" s="585"/>
      <c r="C622" s="585"/>
      <c r="D622" s="585"/>
      <c r="E622" s="585"/>
      <c r="F622" s="585"/>
      <c r="G622" s="585"/>
      <c r="H622" s="585"/>
      <c r="I622" s="585"/>
      <c r="J622" s="585"/>
      <c r="K622" s="585"/>
      <c r="L622" s="585"/>
      <c r="M622" s="585"/>
      <c r="N622" s="585"/>
      <c r="O622" s="585"/>
      <c r="P622" s="585"/>
      <c r="Q622" s="585"/>
      <c r="R622" s="585"/>
      <c r="S622" s="585"/>
      <c r="T622" s="585"/>
      <c r="U622" s="585"/>
      <c r="V622" s="224"/>
      <c r="W622" s="224"/>
      <c r="X622" s="9"/>
      <c r="Y622" s="9"/>
      <c r="Z622" s="9"/>
    </row>
    <row r="623">
      <c r="A623" s="585"/>
      <c r="B623" s="585"/>
      <c r="C623" s="585"/>
      <c r="D623" s="585"/>
      <c r="E623" s="585"/>
      <c r="F623" s="585"/>
      <c r="G623" s="585"/>
      <c r="H623" s="585"/>
      <c r="I623" s="585"/>
      <c r="J623" s="585"/>
      <c r="K623" s="585"/>
      <c r="L623" s="585"/>
      <c r="M623" s="585"/>
      <c r="N623" s="585"/>
      <c r="O623" s="585"/>
      <c r="P623" s="585"/>
      <c r="Q623" s="585"/>
      <c r="R623" s="585"/>
      <c r="S623" s="585"/>
      <c r="T623" s="585"/>
      <c r="U623" s="585"/>
      <c r="V623" s="224"/>
      <c r="W623" s="224"/>
      <c r="X623" s="9"/>
      <c r="Y623" s="9"/>
      <c r="Z623" s="9"/>
    </row>
    <row r="624">
      <c r="A624" s="585"/>
      <c r="B624" s="585"/>
      <c r="C624" s="585"/>
      <c r="D624" s="585"/>
      <c r="E624" s="585"/>
      <c r="F624" s="585"/>
      <c r="G624" s="585"/>
      <c r="H624" s="585"/>
      <c r="I624" s="585"/>
      <c r="J624" s="585"/>
      <c r="K624" s="585"/>
      <c r="L624" s="585"/>
      <c r="M624" s="585"/>
      <c r="N624" s="585"/>
      <c r="O624" s="585"/>
      <c r="P624" s="585"/>
      <c r="Q624" s="585"/>
      <c r="R624" s="585"/>
      <c r="S624" s="585"/>
      <c r="T624" s="585"/>
      <c r="U624" s="585"/>
      <c r="V624" s="224"/>
      <c r="W624" s="224"/>
      <c r="X624" s="9"/>
      <c r="Y624" s="9"/>
      <c r="Z624" s="9"/>
    </row>
    <row r="625">
      <c r="A625" s="585"/>
      <c r="B625" s="585"/>
      <c r="C625" s="585"/>
      <c r="D625" s="585"/>
      <c r="E625" s="585"/>
      <c r="F625" s="585"/>
      <c r="G625" s="585"/>
      <c r="H625" s="585"/>
      <c r="I625" s="585"/>
      <c r="J625" s="585"/>
      <c r="K625" s="585"/>
      <c r="L625" s="585"/>
      <c r="M625" s="585"/>
      <c r="N625" s="585"/>
      <c r="O625" s="585"/>
      <c r="P625" s="585"/>
      <c r="Q625" s="585"/>
      <c r="R625" s="585"/>
      <c r="S625" s="585"/>
      <c r="T625" s="585"/>
      <c r="U625" s="585"/>
      <c r="V625" s="224"/>
      <c r="W625" s="224"/>
      <c r="X625" s="9"/>
      <c r="Y625" s="9"/>
      <c r="Z625" s="9"/>
    </row>
    <row r="626">
      <c r="A626" s="585"/>
      <c r="B626" s="585"/>
      <c r="C626" s="585"/>
      <c r="D626" s="585"/>
      <c r="E626" s="585"/>
      <c r="F626" s="585"/>
      <c r="G626" s="585"/>
      <c r="H626" s="585"/>
      <c r="I626" s="585"/>
      <c r="J626" s="585"/>
      <c r="K626" s="585"/>
      <c r="L626" s="585"/>
      <c r="M626" s="585"/>
      <c r="N626" s="585"/>
      <c r="O626" s="585"/>
      <c r="P626" s="585"/>
      <c r="Q626" s="585"/>
      <c r="R626" s="585"/>
      <c r="S626" s="585"/>
      <c r="T626" s="585"/>
      <c r="U626" s="585"/>
      <c r="V626" s="224"/>
      <c r="W626" s="224"/>
      <c r="X626" s="9"/>
      <c r="Y626" s="9"/>
      <c r="Z626" s="9"/>
    </row>
    <row r="627">
      <c r="A627" s="585"/>
      <c r="B627" s="585"/>
      <c r="C627" s="585"/>
      <c r="D627" s="585"/>
      <c r="E627" s="585"/>
      <c r="F627" s="585"/>
      <c r="G627" s="585"/>
      <c r="H627" s="585"/>
      <c r="I627" s="585"/>
      <c r="J627" s="585"/>
      <c r="K627" s="585"/>
      <c r="L627" s="585"/>
      <c r="M627" s="585"/>
      <c r="N627" s="585"/>
      <c r="O627" s="585"/>
      <c r="P627" s="585"/>
      <c r="Q627" s="585"/>
      <c r="R627" s="585"/>
      <c r="S627" s="585"/>
      <c r="T627" s="585"/>
      <c r="U627" s="585"/>
      <c r="V627" s="224"/>
      <c r="W627" s="224"/>
      <c r="X627" s="9"/>
      <c r="Y627" s="9"/>
      <c r="Z627" s="9"/>
    </row>
    <row r="628">
      <c r="A628" s="585"/>
      <c r="B628" s="585"/>
      <c r="C628" s="585"/>
      <c r="D628" s="585"/>
      <c r="E628" s="585"/>
      <c r="F628" s="585"/>
      <c r="G628" s="585"/>
      <c r="H628" s="585"/>
      <c r="I628" s="585"/>
      <c r="J628" s="585"/>
      <c r="K628" s="585"/>
      <c r="L628" s="585"/>
      <c r="M628" s="585"/>
      <c r="N628" s="585"/>
      <c r="O628" s="585"/>
      <c r="P628" s="585"/>
      <c r="Q628" s="585"/>
      <c r="R628" s="585"/>
      <c r="S628" s="585"/>
      <c r="T628" s="585"/>
      <c r="U628" s="585"/>
      <c r="V628" s="224"/>
      <c r="W628" s="224"/>
      <c r="X628" s="9"/>
      <c r="Y628" s="9"/>
      <c r="Z628" s="9"/>
    </row>
    <row r="629">
      <c r="A629" s="585"/>
      <c r="B629" s="585"/>
      <c r="C629" s="585"/>
      <c r="D629" s="585"/>
      <c r="E629" s="585"/>
      <c r="F629" s="585"/>
      <c r="G629" s="585"/>
      <c r="H629" s="585"/>
      <c r="I629" s="585"/>
      <c r="J629" s="585"/>
      <c r="K629" s="585"/>
      <c r="L629" s="585"/>
      <c r="M629" s="585"/>
      <c r="N629" s="585"/>
      <c r="O629" s="585"/>
      <c r="P629" s="585"/>
      <c r="Q629" s="585"/>
      <c r="R629" s="585"/>
      <c r="S629" s="585"/>
      <c r="T629" s="585"/>
      <c r="U629" s="585"/>
      <c r="V629" s="224"/>
      <c r="W629" s="224"/>
      <c r="X629" s="9"/>
      <c r="Y629" s="9"/>
      <c r="Z629" s="9"/>
    </row>
    <row r="630">
      <c r="A630" s="585"/>
      <c r="B630" s="585"/>
      <c r="C630" s="585"/>
      <c r="D630" s="585"/>
      <c r="E630" s="585"/>
      <c r="F630" s="585"/>
      <c r="G630" s="585"/>
      <c r="H630" s="585"/>
      <c r="I630" s="585"/>
      <c r="J630" s="585"/>
      <c r="K630" s="585"/>
      <c r="L630" s="585"/>
      <c r="M630" s="585"/>
      <c r="N630" s="585"/>
      <c r="O630" s="585"/>
      <c r="P630" s="585"/>
      <c r="Q630" s="585"/>
      <c r="R630" s="585"/>
      <c r="S630" s="585"/>
      <c r="T630" s="585"/>
      <c r="U630" s="585"/>
      <c r="V630" s="224"/>
      <c r="W630" s="224"/>
      <c r="X630" s="9"/>
      <c r="Y630" s="9"/>
      <c r="Z630" s="9"/>
    </row>
    <row r="631">
      <c r="A631" s="585"/>
      <c r="B631" s="585"/>
      <c r="C631" s="585"/>
      <c r="D631" s="585"/>
      <c r="E631" s="585"/>
      <c r="F631" s="585"/>
      <c r="G631" s="585"/>
      <c r="H631" s="585"/>
      <c r="I631" s="585"/>
      <c r="J631" s="585"/>
      <c r="K631" s="585"/>
      <c r="L631" s="585"/>
      <c r="M631" s="585"/>
      <c r="N631" s="585"/>
      <c r="O631" s="585"/>
      <c r="P631" s="585"/>
      <c r="Q631" s="585"/>
      <c r="R631" s="585"/>
      <c r="S631" s="585"/>
      <c r="T631" s="585"/>
      <c r="U631" s="585"/>
      <c r="V631" s="224"/>
      <c r="W631" s="224"/>
      <c r="X631" s="9"/>
      <c r="Y631" s="9"/>
      <c r="Z631" s="9"/>
    </row>
    <row r="632">
      <c r="A632" s="585"/>
      <c r="B632" s="585"/>
      <c r="C632" s="585"/>
      <c r="D632" s="585"/>
      <c r="E632" s="585"/>
      <c r="F632" s="585"/>
      <c r="G632" s="585"/>
      <c r="H632" s="585"/>
      <c r="I632" s="585"/>
      <c r="J632" s="585"/>
      <c r="K632" s="585"/>
      <c r="L632" s="585"/>
      <c r="M632" s="585"/>
      <c r="N632" s="585"/>
      <c r="O632" s="585"/>
      <c r="P632" s="585"/>
      <c r="Q632" s="585"/>
      <c r="R632" s="585"/>
      <c r="S632" s="585"/>
      <c r="T632" s="585"/>
      <c r="U632" s="585"/>
      <c r="V632" s="224"/>
      <c r="W632" s="224"/>
      <c r="X632" s="9"/>
      <c r="Y632" s="9"/>
      <c r="Z632" s="9"/>
    </row>
    <row r="633">
      <c r="A633" s="585"/>
      <c r="B633" s="585"/>
      <c r="C633" s="585"/>
      <c r="D633" s="585"/>
      <c r="E633" s="585"/>
      <c r="F633" s="585"/>
      <c r="G633" s="585"/>
      <c r="H633" s="585"/>
      <c r="I633" s="585"/>
      <c r="J633" s="585"/>
      <c r="K633" s="585"/>
      <c r="L633" s="585"/>
      <c r="M633" s="585"/>
      <c r="N633" s="585"/>
      <c r="O633" s="585"/>
      <c r="P633" s="585"/>
      <c r="Q633" s="585"/>
      <c r="R633" s="585"/>
      <c r="S633" s="585"/>
      <c r="T633" s="585"/>
      <c r="U633" s="585"/>
      <c r="V633" s="224"/>
      <c r="W633" s="224"/>
      <c r="X633" s="9"/>
      <c r="Y633" s="9"/>
      <c r="Z633" s="9"/>
    </row>
    <row r="634">
      <c r="A634" s="585"/>
      <c r="B634" s="585"/>
      <c r="C634" s="585"/>
      <c r="D634" s="585"/>
      <c r="E634" s="585"/>
      <c r="F634" s="585"/>
      <c r="G634" s="585"/>
      <c r="H634" s="585"/>
      <c r="I634" s="585"/>
      <c r="J634" s="585"/>
      <c r="K634" s="585"/>
      <c r="L634" s="585"/>
      <c r="M634" s="585"/>
      <c r="N634" s="585"/>
      <c r="O634" s="585"/>
      <c r="P634" s="585"/>
      <c r="Q634" s="585"/>
      <c r="R634" s="585"/>
      <c r="S634" s="585"/>
      <c r="T634" s="585"/>
      <c r="U634" s="585"/>
      <c r="V634" s="224"/>
      <c r="W634" s="224"/>
      <c r="X634" s="9"/>
      <c r="Y634" s="9"/>
      <c r="Z634" s="9"/>
    </row>
    <row r="635">
      <c r="A635" s="585"/>
      <c r="B635" s="585"/>
      <c r="C635" s="585"/>
      <c r="D635" s="585"/>
      <c r="E635" s="585"/>
      <c r="F635" s="585"/>
      <c r="G635" s="585"/>
      <c r="H635" s="585"/>
      <c r="I635" s="585"/>
      <c r="J635" s="585"/>
      <c r="K635" s="585"/>
      <c r="L635" s="585"/>
      <c r="M635" s="585"/>
      <c r="N635" s="585"/>
      <c r="O635" s="585"/>
      <c r="P635" s="585"/>
      <c r="Q635" s="585"/>
      <c r="R635" s="585"/>
      <c r="S635" s="585"/>
      <c r="T635" s="585"/>
      <c r="U635" s="585"/>
      <c r="V635" s="224"/>
      <c r="W635" s="224"/>
      <c r="X635" s="9"/>
      <c r="Y635" s="9"/>
      <c r="Z635" s="9"/>
    </row>
    <row r="636">
      <c r="A636" s="585"/>
      <c r="B636" s="585"/>
      <c r="C636" s="585"/>
      <c r="D636" s="585"/>
      <c r="E636" s="585"/>
      <c r="F636" s="585"/>
      <c r="G636" s="585"/>
      <c r="H636" s="585"/>
      <c r="I636" s="585"/>
      <c r="J636" s="585"/>
      <c r="K636" s="585"/>
      <c r="L636" s="585"/>
      <c r="M636" s="585"/>
      <c r="N636" s="585"/>
      <c r="O636" s="585"/>
      <c r="P636" s="585"/>
      <c r="Q636" s="585"/>
      <c r="R636" s="585"/>
      <c r="S636" s="585"/>
      <c r="T636" s="585"/>
      <c r="U636" s="585"/>
      <c r="V636" s="224"/>
      <c r="W636" s="224"/>
      <c r="X636" s="9"/>
      <c r="Y636" s="9"/>
      <c r="Z636" s="9"/>
    </row>
    <row r="637">
      <c r="A637" s="585"/>
      <c r="B637" s="585"/>
      <c r="C637" s="585"/>
      <c r="D637" s="585"/>
      <c r="E637" s="585"/>
      <c r="F637" s="585"/>
      <c r="G637" s="585"/>
      <c r="H637" s="585"/>
      <c r="I637" s="585"/>
      <c r="J637" s="585"/>
      <c r="K637" s="585"/>
      <c r="L637" s="585"/>
      <c r="M637" s="585"/>
      <c r="N637" s="585"/>
      <c r="O637" s="585"/>
      <c r="P637" s="585"/>
      <c r="Q637" s="585"/>
      <c r="R637" s="585"/>
      <c r="S637" s="585"/>
      <c r="T637" s="585"/>
      <c r="U637" s="585"/>
      <c r="V637" s="224"/>
      <c r="W637" s="224"/>
      <c r="X637" s="9"/>
      <c r="Y637" s="9"/>
      <c r="Z637" s="9"/>
    </row>
    <row r="638">
      <c r="A638" s="585"/>
      <c r="B638" s="585"/>
      <c r="C638" s="585"/>
      <c r="D638" s="585"/>
      <c r="E638" s="585"/>
      <c r="F638" s="585"/>
      <c r="G638" s="585"/>
      <c r="H638" s="585"/>
      <c r="I638" s="585"/>
      <c r="J638" s="585"/>
      <c r="K638" s="585"/>
      <c r="L638" s="585"/>
      <c r="M638" s="585"/>
      <c r="N638" s="585"/>
      <c r="O638" s="585"/>
      <c r="P638" s="585"/>
      <c r="Q638" s="585"/>
      <c r="R638" s="585"/>
      <c r="S638" s="585"/>
      <c r="T638" s="585"/>
      <c r="U638" s="585"/>
      <c r="V638" s="224"/>
      <c r="W638" s="224"/>
      <c r="X638" s="9"/>
      <c r="Y638" s="9"/>
      <c r="Z638" s="9"/>
    </row>
    <row r="639">
      <c r="A639" s="585"/>
      <c r="B639" s="585"/>
      <c r="C639" s="585"/>
      <c r="D639" s="585"/>
      <c r="E639" s="585"/>
      <c r="F639" s="585"/>
      <c r="G639" s="585"/>
      <c r="H639" s="585"/>
      <c r="I639" s="585"/>
      <c r="J639" s="585"/>
      <c r="K639" s="585"/>
      <c r="L639" s="585"/>
      <c r="M639" s="585"/>
      <c r="N639" s="585"/>
      <c r="O639" s="585"/>
      <c r="P639" s="585"/>
      <c r="Q639" s="585"/>
      <c r="R639" s="585"/>
      <c r="S639" s="585"/>
      <c r="T639" s="585"/>
      <c r="U639" s="585"/>
      <c r="V639" s="224"/>
      <c r="W639" s="224"/>
      <c r="X639" s="9"/>
      <c r="Y639" s="9"/>
      <c r="Z639" s="9"/>
    </row>
    <row r="640">
      <c r="A640" s="585"/>
      <c r="B640" s="585"/>
      <c r="C640" s="585"/>
      <c r="D640" s="585"/>
      <c r="E640" s="585"/>
      <c r="F640" s="585"/>
      <c r="G640" s="585"/>
      <c r="H640" s="585"/>
      <c r="I640" s="585"/>
      <c r="J640" s="585"/>
      <c r="K640" s="585"/>
      <c r="L640" s="585"/>
      <c r="M640" s="585"/>
      <c r="N640" s="585"/>
      <c r="O640" s="585"/>
      <c r="P640" s="585"/>
      <c r="Q640" s="585"/>
      <c r="R640" s="585"/>
      <c r="S640" s="585"/>
      <c r="T640" s="585"/>
      <c r="U640" s="585"/>
      <c r="V640" s="224"/>
      <c r="W640" s="224"/>
      <c r="X640" s="9"/>
      <c r="Y640" s="9"/>
      <c r="Z640" s="9"/>
    </row>
    <row r="641">
      <c r="A641" s="585"/>
      <c r="B641" s="585"/>
      <c r="C641" s="585"/>
      <c r="D641" s="585"/>
      <c r="E641" s="585"/>
      <c r="F641" s="585"/>
      <c r="G641" s="585"/>
      <c r="H641" s="585"/>
      <c r="I641" s="585"/>
      <c r="J641" s="585"/>
      <c r="K641" s="585"/>
      <c r="L641" s="585"/>
      <c r="M641" s="585"/>
      <c r="N641" s="585"/>
      <c r="O641" s="585"/>
      <c r="P641" s="585"/>
      <c r="Q641" s="585"/>
      <c r="R641" s="585"/>
      <c r="S641" s="585"/>
      <c r="T641" s="585"/>
      <c r="U641" s="585"/>
      <c r="V641" s="224"/>
      <c r="W641" s="224"/>
      <c r="X641" s="9"/>
      <c r="Y641" s="9"/>
      <c r="Z641" s="9"/>
    </row>
    <row r="642">
      <c r="A642" s="585"/>
      <c r="B642" s="585"/>
      <c r="C642" s="585"/>
      <c r="D642" s="585"/>
      <c r="E642" s="585"/>
      <c r="F642" s="585"/>
      <c r="G642" s="585"/>
      <c r="H642" s="585"/>
      <c r="I642" s="585"/>
      <c r="J642" s="585"/>
      <c r="K642" s="585"/>
      <c r="L642" s="585"/>
      <c r="M642" s="585"/>
      <c r="N642" s="585"/>
      <c r="O642" s="585"/>
      <c r="P642" s="585"/>
      <c r="Q642" s="585"/>
      <c r="R642" s="585"/>
      <c r="S642" s="585"/>
      <c r="T642" s="585"/>
      <c r="U642" s="585"/>
      <c r="V642" s="224"/>
      <c r="W642" s="224"/>
      <c r="X642" s="9"/>
      <c r="Y642" s="9"/>
      <c r="Z642" s="9"/>
    </row>
    <row r="643">
      <c r="A643" s="585"/>
      <c r="B643" s="585"/>
      <c r="C643" s="585"/>
      <c r="D643" s="585"/>
      <c r="E643" s="585"/>
      <c r="F643" s="585"/>
      <c r="G643" s="585"/>
      <c r="H643" s="585"/>
      <c r="I643" s="585"/>
      <c r="J643" s="585"/>
      <c r="K643" s="585"/>
      <c r="L643" s="585"/>
      <c r="M643" s="585"/>
      <c r="N643" s="585"/>
      <c r="O643" s="585"/>
      <c r="P643" s="585"/>
      <c r="Q643" s="585"/>
      <c r="R643" s="585"/>
      <c r="S643" s="585"/>
      <c r="T643" s="585"/>
      <c r="U643" s="585"/>
      <c r="V643" s="224"/>
      <c r="W643" s="224"/>
      <c r="X643" s="9"/>
      <c r="Y643" s="9"/>
      <c r="Z643" s="9"/>
    </row>
    <row r="644">
      <c r="A644" s="585"/>
      <c r="B644" s="585"/>
      <c r="C644" s="585"/>
      <c r="D644" s="585"/>
      <c r="E644" s="585"/>
      <c r="F644" s="585"/>
      <c r="G644" s="585"/>
      <c r="H644" s="585"/>
      <c r="I644" s="585"/>
      <c r="J644" s="585"/>
      <c r="K644" s="585"/>
      <c r="L644" s="585"/>
      <c r="M644" s="585"/>
      <c r="N644" s="585"/>
      <c r="O644" s="585"/>
      <c r="P644" s="585"/>
      <c r="Q644" s="585"/>
      <c r="R644" s="585"/>
      <c r="S644" s="585"/>
      <c r="T644" s="585"/>
      <c r="U644" s="585"/>
      <c r="V644" s="224"/>
      <c r="W644" s="224"/>
      <c r="X644" s="9"/>
      <c r="Y644" s="9"/>
      <c r="Z644" s="9"/>
    </row>
    <row r="645">
      <c r="A645" s="585"/>
      <c r="B645" s="585"/>
      <c r="C645" s="585"/>
      <c r="D645" s="585"/>
      <c r="E645" s="585"/>
      <c r="F645" s="585"/>
      <c r="G645" s="585"/>
      <c r="H645" s="585"/>
      <c r="I645" s="585"/>
      <c r="J645" s="585"/>
      <c r="K645" s="585"/>
      <c r="L645" s="585"/>
      <c r="M645" s="585"/>
      <c r="N645" s="585"/>
      <c r="O645" s="585"/>
      <c r="P645" s="585"/>
      <c r="Q645" s="585"/>
      <c r="R645" s="585"/>
      <c r="S645" s="585"/>
      <c r="T645" s="585"/>
      <c r="U645" s="585"/>
      <c r="V645" s="224"/>
      <c r="W645" s="224"/>
      <c r="X645" s="9"/>
      <c r="Y645" s="9"/>
      <c r="Z645" s="9"/>
    </row>
    <row r="646">
      <c r="A646" s="585"/>
      <c r="B646" s="585"/>
      <c r="C646" s="585"/>
      <c r="D646" s="585"/>
      <c r="E646" s="585"/>
      <c r="F646" s="585"/>
      <c r="G646" s="585"/>
      <c r="H646" s="585"/>
      <c r="I646" s="585"/>
      <c r="J646" s="585"/>
      <c r="K646" s="585"/>
      <c r="L646" s="585"/>
      <c r="M646" s="585"/>
      <c r="N646" s="585"/>
      <c r="O646" s="585"/>
      <c r="P646" s="585"/>
      <c r="Q646" s="585"/>
      <c r="R646" s="585"/>
      <c r="S646" s="585"/>
      <c r="T646" s="585"/>
      <c r="U646" s="585"/>
      <c r="V646" s="224"/>
      <c r="W646" s="224"/>
      <c r="X646" s="9"/>
      <c r="Y646" s="9"/>
      <c r="Z646" s="9"/>
    </row>
    <row r="647">
      <c r="A647" s="585"/>
      <c r="B647" s="585"/>
      <c r="C647" s="585"/>
      <c r="D647" s="585"/>
      <c r="E647" s="585"/>
      <c r="F647" s="585"/>
      <c r="G647" s="585"/>
      <c r="H647" s="585"/>
      <c r="I647" s="585"/>
      <c r="J647" s="585"/>
      <c r="K647" s="585"/>
      <c r="L647" s="585"/>
      <c r="M647" s="585"/>
      <c r="N647" s="585"/>
      <c r="O647" s="585"/>
      <c r="P647" s="585"/>
      <c r="Q647" s="585"/>
      <c r="R647" s="585"/>
      <c r="S647" s="585"/>
      <c r="T647" s="585"/>
      <c r="U647" s="585"/>
      <c r="V647" s="224"/>
      <c r="W647" s="224"/>
      <c r="X647" s="9"/>
      <c r="Y647" s="9"/>
      <c r="Z647" s="9"/>
    </row>
    <row r="648">
      <c r="A648" s="585"/>
      <c r="B648" s="585"/>
      <c r="C648" s="585"/>
      <c r="D648" s="585"/>
      <c r="E648" s="585"/>
      <c r="F648" s="585"/>
      <c r="G648" s="585"/>
      <c r="H648" s="585"/>
      <c r="I648" s="585"/>
      <c r="J648" s="585"/>
      <c r="K648" s="585"/>
      <c r="L648" s="585"/>
      <c r="M648" s="585"/>
      <c r="N648" s="585"/>
      <c r="O648" s="585"/>
      <c r="P648" s="585"/>
      <c r="Q648" s="585"/>
      <c r="R648" s="585"/>
      <c r="S648" s="585"/>
      <c r="T648" s="585"/>
      <c r="U648" s="585"/>
      <c r="V648" s="224"/>
      <c r="W648" s="224"/>
      <c r="X648" s="9"/>
      <c r="Y648" s="9"/>
      <c r="Z648" s="9"/>
    </row>
    <row r="649">
      <c r="A649" s="585"/>
      <c r="B649" s="585"/>
      <c r="C649" s="585"/>
      <c r="D649" s="585"/>
      <c r="E649" s="585"/>
      <c r="F649" s="585"/>
      <c r="G649" s="585"/>
      <c r="H649" s="585"/>
      <c r="I649" s="585"/>
      <c r="J649" s="585"/>
      <c r="K649" s="585"/>
      <c r="L649" s="585"/>
      <c r="M649" s="585"/>
      <c r="N649" s="585"/>
      <c r="O649" s="585"/>
      <c r="P649" s="585"/>
      <c r="Q649" s="585"/>
      <c r="R649" s="585"/>
      <c r="S649" s="585"/>
      <c r="T649" s="585"/>
      <c r="U649" s="585"/>
      <c r="V649" s="224"/>
      <c r="W649" s="224"/>
      <c r="X649" s="9"/>
      <c r="Y649" s="9"/>
      <c r="Z649" s="9"/>
    </row>
    <row r="650">
      <c r="A650" s="585"/>
      <c r="B650" s="585"/>
      <c r="C650" s="585"/>
      <c r="D650" s="585"/>
      <c r="E650" s="585"/>
      <c r="F650" s="585"/>
      <c r="G650" s="585"/>
      <c r="H650" s="585"/>
      <c r="I650" s="585"/>
      <c r="J650" s="585"/>
      <c r="K650" s="585"/>
      <c r="L650" s="585"/>
      <c r="M650" s="585"/>
      <c r="N650" s="585"/>
      <c r="O650" s="585"/>
      <c r="P650" s="585"/>
      <c r="Q650" s="585"/>
      <c r="R650" s="585"/>
      <c r="S650" s="585"/>
      <c r="T650" s="585"/>
      <c r="U650" s="585"/>
      <c r="V650" s="224"/>
      <c r="W650" s="224"/>
      <c r="X650" s="9"/>
      <c r="Y650" s="9"/>
      <c r="Z650" s="9"/>
    </row>
    <row r="651">
      <c r="A651" s="585"/>
      <c r="B651" s="585"/>
      <c r="C651" s="585"/>
      <c r="D651" s="585"/>
      <c r="E651" s="585"/>
      <c r="F651" s="585"/>
      <c r="G651" s="585"/>
      <c r="H651" s="585"/>
      <c r="I651" s="585"/>
      <c r="J651" s="585"/>
      <c r="K651" s="585"/>
      <c r="L651" s="585"/>
      <c r="M651" s="585"/>
      <c r="N651" s="585"/>
      <c r="O651" s="585"/>
      <c r="P651" s="585"/>
      <c r="Q651" s="585"/>
      <c r="R651" s="585"/>
      <c r="S651" s="585"/>
      <c r="T651" s="585"/>
      <c r="U651" s="585"/>
      <c r="V651" s="224"/>
      <c r="W651" s="224"/>
      <c r="X651" s="9"/>
      <c r="Y651" s="9"/>
      <c r="Z651" s="9"/>
    </row>
    <row r="652">
      <c r="A652" s="585"/>
      <c r="B652" s="585"/>
      <c r="C652" s="585"/>
      <c r="D652" s="585"/>
      <c r="E652" s="585"/>
      <c r="F652" s="585"/>
      <c r="G652" s="585"/>
      <c r="H652" s="585"/>
      <c r="I652" s="585"/>
      <c r="J652" s="585"/>
      <c r="K652" s="585"/>
      <c r="L652" s="585"/>
      <c r="M652" s="585"/>
      <c r="N652" s="585"/>
      <c r="O652" s="585"/>
      <c r="P652" s="585"/>
      <c r="Q652" s="585"/>
      <c r="R652" s="585"/>
      <c r="S652" s="585"/>
      <c r="T652" s="585"/>
      <c r="U652" s="585"/>
      <c r="V652" s="224"/>
      <c r="W652" s="224"/>
      <c r="X652" s="9"/>
      <c r="Y652" s="9"/>
      <c r="Z652" s="9"/>
    </row>
    <row r="653">
      <c r="A653" s="585"/>
      <c r="B653" s="585"/>
      <c r="C653" s="585"/>
      <c r="D653" s="585"/>
      <c r="E653" s="585"/>
      <c r="F653" s="585"/>
      <c r="G653" s="585"/>
      <c r="H653" s="585"/>
      <c r="I653" s="585"/>
      <c r="J653" s="585"/>
      <c r="K653" s="585"/>
      <c r="L653" s="585"/>
      <c r="M653" s="585"/>
      <c r="N653" s="585"/>
      <c r="O653" s="585"/>
      <c r="P653" s="585"/>
      <c r="Q653" s="585"/>
      <c r="R653" s="585"/>
      <c r="S653" s="585"/>
      <c r="T653" s="585"/>
      <c r="U653" s="585"/>
      <c r="V653" s="224"/>
      <c r="W653" s="224"/>
      <c r="X653" s="9"/>
      <c r="Y653" s="9"/>
      <c r="Z653" s="9"/>
    </row>
    <row r="654">
      <c r="A654" s="585"/>
      <c r="B654" s="585"/>
      <c r="C654" s="585"/>
      <c r="D654" s="585"/>
      <c r="E654" s="585"/>
      <c r="F654" s="585"/>
      <c r="G654" s="585"/>
      <c r="H654" s="585"/>
      <c r="I654" s="585"/>
      <c r="J654" s="585"/>
      <c r="K654" s="585"/>
      <c r="L654" s="585"/>
      <c r="M654" s="585"/>
      <c r="N654" s="585"/>
      <c r="O654" s="585"/>
      <c r="P654" s="585"/>
      <c r="Q654" s="585"/>
      <c r="R654" s="585"/>
      <c r="S654" s="585"/>
      <c r="T654" s="585"/>
      <c r="U654" s="585"/>
      <c r="V654" s="224"/>
      <c r="W654" s="224"/>
      <c r="X654" s="9"/>
      <c r="Y654" s="9"/>
      <c r="Z654" s="9"/>
    </row>
    <row r="655">
      <c r="A655" s="585"/>
      <c r="B655" s="585"/>
      <c r="C655" s="585"/>
      <c r="D655" s="585"/>
      <c r="E655" s="585"/>
      <c r="F655" s="585"/>
      <c r="G655" s="585"/>
      <c r="H655" s="585"/>
      <c r="I655" s="585"/>
      <c r="J655" s="585"/>
      <c r="K655" s="585"/>
      <c r="L655" s="585"/>
      <c r="M655" s="585"/>
      <c r="N655" s="585"/>
      <c r="O655" s="585"/>
      <c r="P655" s="585"/>
      <c r="Q655" s="585"/>
      <c r="R655" s="585"/>
      <c r="S655" s="585"/>
      <c r="T655" s="585"/>
      <c r="U655" s="585"/>
      <c r="V655" s="224"/>
      <c r="W655" s="224"/>
      <c r="X655" s="9"/>
      <c r="Y655" s="9"/>
      <c r="Z655" s="9"/>
    </row>
    <row r="656">
      <c r="A656" s="585"/>
      <c r="B656" s="585"/>
      <c r="C656" s="585"/>
      <c r="D656" s="585"/>
      <c r="E656" s="585"/>
      <c r="F656" s="585"/>
      <c r="G656" s="585"/>
      <c r="H656" s="585"/>
      <c r="I656" s="585"/>
      <c r="J656" s="585"/>
      <c r="K656" s="585"/>
      <c r="L656" s="585"/>
      <c r="M656" s="585"/>
      <c r="N656" s="585"/>
      <c r="O656" s="585"/>
      <c r="P656" s="585"/>
      <c r="Q656" s="585"/>
      <c r="R656" s="585"/>
      <c r="S656" s="585"/>
      <c r="T656" s="585"/>
      <c r="U656" s="585"/>
      <c r="V656" s="224"/>
      <c r="W656" s="224"/>
      <c r="X656" s="9"/>
      <c r="Y656" s="9"/>
      <c r="Z656" s="9"/>
    </row>
    <row r="657">
      <c r="A657" s="585"/>
      <c r="B657" s="585"/>
      <c r="C657" s="585"/>
      <c r="D657" s="585"/>
      <c r="E657" s="585"/>
      <c r="F657" s="585"/>
      <c r="G657" s="585"/>
      <c r="H657" s="585"/>
      <c r="I657" s="585"/>
      <c r="J657" s="585"/>
      <c r="K657" s="585"/>
      <c r="L657" s="585"/>
      <c r="M657" s="585"/>
      <c r="N657" s="585"/>
      <c r="O657" s="585"/>
      <c r="P657" s="585"/>
      <c r="Q657" s="585"/>
      <c r="R657" s="585"/>
      <c r="S657" s="585"/>
      <c r="T657" s="585"/>
      <c r="U657" s="585"/>
      <c r="V657" s="224"/>
      <c r="W657" s="224"/>
      <c r="X657" s="9"/>
      <c r="Y657" s="9"/>
      <c r="Z657" s="9"/>
    </row>
    <row r="658">
      <c r="A658" s="585"/>
      <c r="B658" s="585"/>
      <c r="C658" s="585"/>
      <c r="D658" s="585"/>
      <c r="E658" s="585"/>
      <c r="F658" s="585"/>
      <c r="G658" s="585"/>
      <c r="H658" s="585"/>
      <c r="I658" s="585"/>
      <c r="J658" s="585"/>
      <c r="K658" s="585"/>
      <c r="L658" s="585"/>
      <c r="M658" s="585"/>
      <c r="N658" s="585"/>
      <c r="O658" s="585"/>
      <c r="P658" s="585"/>
      <c r="Q658" s="585"/>
      <c r="R658" s="585"/>
      <c r="S658" s="585"/>
      <c r="T658" s="585"/>
      <c r="U658" s="585"/>
      <c r="V658" s="224"/>
      <c r="W658" s="224"/>
      <c r="X658" s="9"/>
      <c r="Y658" s="9"/>
      <c r="Z658" s="9"/>
    </row>
    <row r="659">
      <c r="A659" s="585"/>
      <c r="B659" s="585"/>
      <c r="C659" s="585"/>
      <c r="D659" s="585"/>
      <c r="E659" s="585"/>
      <c r="F659" s="585"/>
      <c r="G659" s="585"/>
      <c r="H659" s="585"/>
      <c r="I659" s="585"/>
      <c r="J659" s="585"/>
      <c r="K659" s="585"/>
      <c r="L659" s="585"/>
      <c r="M659" s="585"/>
      <c r="N659" s="585"/>
      <c r="O659" s="585"/>
      <c r="P659" s="585"/>
      <c r="Q659" s="585"/>
      <c r="R659" s="585"/>
      <c r="S659" s="585"/>
      <c r="T659" s="585"/>
      <c r="U659" s="585"/>
      <c r="V659" s="224"/>
      <c r="W659" s="224"/>
      <c r="X659" s="9"/>
      <c r="Y659" s="9"/>
      <c r="Z659" s="9"/>
    </row>
    <row r="660">
      <c r="A660" s="585"/>
      <c r="B660" s="585"/>
      <c r="C660" s="585"/>
      <c r="D660" s="585"/>
      <c r="E660" s="585"/>
      <c r="F660" s="585"/>
      <c r="G660" s="585"/>
      <c r="H660" s="585"/>
      <c r="I660" s="585"/>
      <c r="J660" s="585"/>
      <c r="K660" s="585"/>
      <c r="L660" s="585"/>
      <c r="M660" s="585"/>
      <c r="N660" s="585"/>
      <c r="O660" s="585"/>
      <c r="P660" s="585"/>
      <c r="Q660" s="585"/>
      <c r="R660" s="585"/>
      <c r="S660" s="585"/>
      <c r="T660" s="585"/>
      <c r="U660" s="585"/>
      <c r="V660" s="224"/>
      <c r="W660" s="224"/>
      <c r="X660" s="9"/>
      <c r="Y660" s="9"/>
      <c r="Z660" s="9"/>
    </row>
    <row r="661">
      <c r="A661" s="585"/>
      <c r="B661" s="585"/>
      <c r="C661" s="585"/>
      <c r="D661" s="585"/>
      <c r="E661" s="585"/>
      <c r="F661" s="585"/>
      <c r="G661" s="585"/>
      <c r="H661" s="585"/>
      <c r="I661" s="585"/>
      <c r="J661" s="585"/>
      <c r="K661" s="585"/>
      <c r="L661" s="585"/>
      <c r="M661" s="585"/>
      <c r="N661" s="585"/>
      <c r="O661" s="585"/>
      <c r="P661" s="585"/>
      <c r="Q661" s="585"/>
      <c r="R661" s="585"/>
      <c r="S661" s="585"/>
      <c r="T661" s="585"/>
      <c r="U661" s="585"/>
      <c r="V661" s="224"/>
      <c r="W661" s="224"/>
      <c r="X661" s="9"/>
      <c r="Y661" s="9"/>
      <c r="Z661" s="9"/>
    </row>
    <row r="662">
      <c r="A662" s="585"/>
      <c r="B662" s="585"/>
      <c r="C662" s="585"/>
      <c r="D662" s="585"/>
      <c r="E662" s="585"/>
      <c r="F662" s="585"/>
      <c r="G662" s="585"/>
      <c r="H662" s="585"/>
      <c r="I662" s="585"/>
      <c r="J662" s="585"/>
      <c r="K662" s="585"/>
      <c r="L662" s="585"/>
      <c r="M662" s="585"/>
      <c r="N662" s="585"/>
      <c r="O662" s="585"/>
      <c r="P662" s="585"/>
      <c r="Q662" s="585"/>
      <c r="R662" s="585"/>
      <c r="S662" s="585"/>
      <c r="T662" s="585"/>
      <c r="U662" s="585"/>
      <c r="V662" s="224"/>
      <c r="W662" s="224"/>
      <c r="X662" s="9"/>
      <c r="Y662" s="9"/>
      <c r="Z662" s="9"/>
    </row>
    <row r="663">
      <c r="A663" s="585"/>
      <c r="B663" s="585"/>
      <c r="C663" s="585"/>
      <c r="D663" s="585"/>
      <c r="E663" s="585"/>
      <c r="F663" s="585"/>
      <c r="G663" s="585"/>
      <c r="H663" s="585"/>
      <c r="I663" s="585"/>
      <c r="J663" s="585"/>
      <c r="K663" s="585"/>
      <c r="L663" s="585"/>
      <c r="M663" s="585"/>
      <c r="N663" s="585"/>
      <c r="O663" s="585"/>
      <c r="P663" s="585"/>
      <c r="Q663" s="585"/>
      <c r="R663" s="585"/>
      <c r="S663" s="585"/>
      <c r="T663" s="585"/>
      <c r="U663" s="585"/>
      <c r="V663" s="224"/>
      <c r="W663" s="224"/>
      <c r="X663" s="9"/>
      <c r="Y663" s="9"/>
      <c r="Z663" s="9"/>
    </row>
    <row r="664">
      <c r="A664" s="585"/>
      <c r="B664" s="585"/>
      <c r="C664" s="585"/>
      <c r="D664" s="585"/>
      <c r="E664" s="585"/>
      <c r="F664" s="585"/>
      <c r="G664" s="585"/>
      <c r="H664" s="585"/>
      <c r="I664" s="585"/>
      <c r="J664" s="585"/>
      <c r="K664" s="585"/>
      <c r="L664" s="585"/>
      <c r="M664" s="585"/>
      <c r="N664" s="585"/>
      <c r="O664" s="585"/>
      <c r="P664" s="585"/>
      <c r="Q664" s="585"/>
      <c r="R664" s="585"/>
      <c r="S664" s="585"/>
      <c r="T664" s="585"/>
      <c r="U664" s="585"/>
      <c r="V664" s="224"/>
      <c r="W664" s="224"/>
      <c r="X664" s="9"/>
      <c r="Y664" s="9"/>
      <c r="Z664" s="9"/>
    </row>
    <row r="665">
      <c r="A665" s="585"/>
      <c r="B665" s="585"/>
      <c r="C665" s="585"/>
      <c r="D665" s="585"/>
      <c r="E665" s="585"/>
      <c r="F665" s="585"/>
      <c r="G665" s="585"/>
      <c r="H665" s="585"/>
      <c r="I665" s="585"/>
      <c r="J665" s="585"/>
      <c r="K665" s="585"/>
      <c r="L665" s="585"/>
      <c r="M665" s="585"/>
      <c r="N665" s="585"/>
      <c r="O665" s="585"/>
      <c r="P665" s="585"/>
      <c r="Q665" s="585"/>
      <c r="R665" s="585"/>
      <c r="S665" s="585"/>
      <c r="T665" s="585"/>
      <c r="U665" s="585"/>
      <c r="V665" s="224"/>
      <c r="W665" s="224"/>
      <c r="X665" s="9"/>
      <c r="Y665" s="9"/>
      <c r="Z665" s="9"/>
    </row>
    <row r="666">
      <c r="A666" s="585"/>
      <c r="B666" s="585"/>
      <c r="C666" s="585"/>
      <c r="D666" s="585"/>
      <c r="E666" s="585"/>
      <c r="F666" s="585"/>
      <c r="G666" s="585"/>
      <c r="H666" s="585"/>
      <c r="I666" s="585"/>
      <c r="J666" s="585"/>
      <c r="K666" s="585"/>
      <c r="L666" s="585"/>
      <c r="M666" s="585"/>
      <c r="N666" s="585"/>
      <c r="O666" s="585"/>
      <c r="P666" s="585"/>
      <c r="Q666" s="585"/>
      <c r="R666" s="585"/>
      <c r="S666" s="585"/>
      <c r="T666" s="585"/>
      <c r="U666" s="585"/>
      <c r="V666" s="224"/>
      <c r="W666" s="224"/>
      <c r="X666" s="9"/>
      <c r="Y666" s="9"/>
      <c r="Z666" s="9"/>
    </row>
    <row r="667">
      <c r="A667" s="585"/>
      <c r="B667" s="585"/>
      <c r="C667" s="585"/>
      <c r="D667" s="585"/>
      <c r="E667" s="585"/>
      <c r="F667" s="585"/>
      <c r="G667" s="585"/>
      <c r="H667" s="585"/>
      <c r="I667" s="585"/>
      <c r="J667" s="585"/>
      <c r="K667" s="585"/>
      <c r="L667" s="585"/>
      <c r="M667" s="585"/>
      <c r="N667" s="585"/>
      <c r="O667" s="585"/>
      <c r="P667" s="585"/>
      <c r="Q667" s="585"/>
      <c r="R667" s="585"/>
      <c r="S667" s="585"/>
      <c r="T667" s="585"/>
      <c r="U667" s="585"/>
      <c r="V667" s="224"/>
      <c r="W667" s="224"/>
      <c r="X667" s="9"/>
      <c r="Y667" s="9"/>
      <c r="Z667" s="9"/>
    </row>
    <row r="668">
      <c r="A668" s="585"/>
      <c r="B668" s="585"/>
      <c r="C668" s="585"/>
      <c r="D668" s="585"/>
      <c r="E668" s="585"/>
      <c r="F668" s="585"/>
      <c r="G668" s="585"/>
      <c r="H668" s="585"/>
      <c r="I668" s="585"/>
      <c r="J668" s="585"/>
      <c r="K668" s="585"/>
      <c r="L668" s="585"/>
      <c r="M668" s="585"/>
      <c r="N668" s="585"/>
      <c r="O668" s="585"/>
      <c r="P668" s="585"/>
      <c r="Q668" s="585"/>
      <c r="R668" s="585"/>
      <c r="S668" s="585"/>
      <c r="T668" s="585"/>
      <c r="U668" s="585"/>
      <c r="V668" s="224"/>
      <c r="W668" s="224"/>
      <c r="X668" s="9"/>
      <c r="Y668" s="9"/>
      <c r="Z668" s="9"/>
    </row>
    <row r="669">
      <c r="A669" s="585"/>
      <c r="B669" s="585"/>
      <c r="C669" s="585"/>
      <c r="D669" s="585"/>
      <c r="E669" s="585"/>
      <c r="F669" s="585"/>
      <c r="G669" s="585"/>
      <c r="H669" s="585"/>
      <c r="I669" s="585"/>
      <c r="J669" s="585"/>
      <c r="K669" s="585"/>
      <c r="L669" s="585"/>
      <c r="M669" s="585"/>
      <c r="N669" s="585"/>
      <c r="O669" s="585"/>
      <c r="P669" s="585"/>
      <c r="Q669" s="585"/>
      <c r="R669" s="585"/>
      <c r="S669" s="585"/>
      <c r="T669" s="585"/>
      <c r="U669" s="585"/>
      <c r="V669" s="224"/>
      <c r="W669" s="224"/>
      <c r="X669" s="9"/>
      <c r="Y669" s="9"/>
      <c r="Z669" s="9"/>
    </row>
    <row r="670">
      <c r="A670" s="585"/>
      <c r="B670" s="585"/>
      <c r="C670" s="585"/>
      <c r="D670" s="585"/>
      <c r="E670" s="585"/>
      <c r="F670" s="585"/>
      <c r="G670" s="585"/>
      <c r="H670" s="585"/>
      <c r="I670" s="585"/>
      <c r="J670" s="585"/>
      <c r="K670" s="585"/>
      <c r="L670" s="585"/>
      <c r="M670" s="585"/>
      <c r="N670" s="585"/>
      <c r="O670" s="585"/>
      <c r="P670" s="585"/>
      <c r="Q670" s="585"/>
      <c r="R670" s="585"/>
      <c r="S670" s="585"/>
      <c r="T670" s="585"/>
      <c r="U670" s="585"/>
      <c r="V670" s="224"/>
      <c r="W670" s="224"/>
      <c r="X670" s="9"/>
      <c r="Y670" s="9"/>
      <c r="Z670" s="9"/>
    </row>
    <row r="671">
      <c r="A671" s="585"/>
      <c r="B671" s="585"/>
      <c r="C671" s="585"/>
      <c r="D671" s="585"/>
      <c r="E671" s="585"/>
      <c r="F671" s="585"/>
      <c r="G671" s="585"/>
      <c r="H671" s="585"/>
      <c r="I671" s="585"/>
      <c r="J671" s="585"/>
      <c r="K671" s="585"/>
      <c r="L671" s="585"/>
      <c r="M671" s="585"/>
      <c r="N671" s="585"/>
      <c r="O671" s="585"/>
      <c r="P671" s="585"/>
      <c r="Q671" s="585"/>
      <c r="R671" s="585"/>
      <c r="S671" s="585"/>
      <c r="T671" s="585"/>
      <c r="U671" s="585"/>
      <c r="V671" s="224"/>
      <c r="W671" s="224"/>
      <c r="X671" s="9"/>
      <c r="Y671" s="9"/>
      <c r="Z671" s="9"/>
    </row>
    <row r="672">
      <c r="A672" s="585"/>
      <c r="B672" s="585"/>
      <c r="C672" s="585"/>
      <c r="D672" s="585"/>
      <c r="E672" s="585"/>
      <c r="F672" s="585"/>
      <c r="G672" s="585"/>
      <c r="H672" s="585"/>
      <c r="I672" s="585"/>
      <c r="J672" s="585"/>
      <c r="K672" s="585"/>
      <c r="L672" s="585"/>
      <c r="M672" s="585"/>
      <c r="N672" s="585"/>
      <c r="O672" s="585"/>
      <c r="P672" s="585"/>
      <c r="Q672" s="585"/>
      <c r="R672" s="585"/>
      <c r="S672" s="585"/>
      <c r="T672" s="585"/>
      <c r="U672" s="585"/>
      <c r="V672" s="224"/>
      <c r="W672" s="224"/>
      <c r="X672" s="9"/>
      <c r="Y672" s="9"/>
      <c r="Z672" s="9"/>
    </row>
    <row r="673">
      <c r="A673" s="585"/>
      <c r="B673" s="585"/>
      <c r="C673" s="585"/>
      <c r="D673" s="585"/>
      <c r="E673" s="585"/>
      <c r="F673" s="585"/>
      <c r="G673" s="585"/>
      <c r="H673" s="585"/>
      <c r="I673" s="585"/>
      <c r="J673" s="585"/>
      <c r="K673" s="585"/>
      <c r="L673" s="585"/>
      <c r="M673" s="585"/>
      <c r="N673" s="585"/>
      <c r="O673" s="585"/>
      <c r="P673" s="585"/>
      <c r="Q673" s="585"/>
      <c r="R673" s="585"/>
      <c r="S673" s="585"/>
      <c r="T673" s="585"/>
      <c r="U673" s="585"/>
      <c r="V673" s="224"/>
      <c r="W673" s="224"/>
      <c r="X673" s="9"/>
      <c r="Y673" s="9"/>
      <c r="Z673" s="9"/>
    </row>
    <row r="674">
      <c r="A674" s="585"/>
      <c r="B674" s="585"/>
      <c r="C674" s="585"/>
      <c r="D674" s="585"/>
      <c r="E674" s="585"/>
      <c r="F674" s="585"/>
      <c r="G674" s="585"/>
      <c r="H674" s="585"/>
      <c r="I674" s="585"/>
      <c r="J674" s="585"/>
      <c r="K674" s="585"/>
      <c r="L674" s="585"/>
      <c r="M674" s="585"/>
      <c r="N674" s="585"/>
      <c r="O674" s="585"/>
      <c r="P674" s="585"/>
      <c r="Q674" s="585"/>
      <c r="R674" s="585"/>
      <c r="S674" s="585"/>
      <c r="T674" s="585"/>
      <c r="U674" s="585"/>
      <c r="V674" s="224"/>
      <c r="W674" s="224"/>
      <c r="X674" s="9"/>
      <c r="Y674" s="9"/>
      <c r="Z674" s="9"/>
    </row>
    <row r="675">
      <c r="A675" s="585"/>
      <c r="B675" s="585"/>
      <c r="C675" s="585"/>
      <c r="D675" s="585"/>
      <c r="E675" s="585"/>
      <c r="F675" s="585"/>
      <c r="G675" s="585"/>
      <c r="H675" s="585"/>
      <c r="I675" s="585"/>
      <c r="J675" s="585"/>
      <c r="K675" s="585"/>
      <c r="L675" s="585"/>
      <c r="M675" s="585"/>
      <c r="N675" s="585"/>
      <c r="O675" s="585"/>
      <c r="P675" s="585"/>
      <c r="Q675" s="585"/>
      <c r="R675" s="585"/>
      <c r="S675" s="585"/>
      <c r="T675" s="585"/>
      <c r="U675" s="585"/>
      <c r="V675" s="224"/>
      <c r="W675" s="224"/>
      <c r="X675" s="9"/>
      <c r="Y675" s="9"/>
      <c r="Z675" s="9"/>
    </row>
    <row r="676">
      <c r="A676" s="585"/>
      <c r="B676" s="585"/>
      <c r="C676" s="585"/>
      <c r="D676" s="585"/>
      <c r="E676" s="585"/>
      <c r="F676" s="585"/>
      <c r="G676" s="585"/>
      <c r="H676" s="585"/>
      <c r="I676" s="585"/>
      <c r="J676" s="585"/>
      <c r="K676" s="585"/>
      <c r="L676" s="585"/>
      <c r="M676" s="585"/>
      <c r="N676" s="585"/>
      <c r="O676" s="585"/>
      <c r="P676" s="585"/>
      <c r="Q676" s="585"/>
      <c r="R676" s="585"/>
      <c r="S676" s="585"/>
      <c r="T676" s="585"/>
      <c r="U676" s="585"/>
      <c r="V676" s="224"/>
      <c r="W676" s="224"/>
      <c r="X676" s="9"/>
      <c r="Y676" s="9"/>
      <c r="Z676" s="9"/>
    </row>
    <row r="677">
      <c r="A677" s="585"/>
      <c r="B677" s="585"/>
      <c r="C677" s="585"/>
      <c r="D677" s="585"/>
      <c r="E677" s="585"/>
      <c r="F677" s="585"/>
      <c r="G677" s="585"/>
      <c r="H677" s="585"/>
      <c r="I677" s="585"/>
      <c r="J677" s="585"/>
      <c r="K677" s="585"/>
      <c r="L677" s="585"/>
      <c r="M677" s="585"/>
      <c r="N677" s="585"/>
      <c r="O677" s="585"/>
      <c r="P677" s="585"/>
      <c r="Q677" s="585"/>
      <c r="R677" s="585"/>
      <c r="S677" s="585"/>
      <c r="T677" s="585"/>
      <c r="U677" s="585"/>
      <c r="V677" s="224"/>
      <c r="W677" s="224"/>
      <c r="X677" s="9"/>
      <c r="Y677" s="9"/>
      <c r="Z677" s="9"/>
    </row>
    <row r="678">
      <c r="A678" s="585"/>
      <c r="B678" s="585"/>
      <c r="C678" s="585"/>
      <c r="D678" s="585"/>
      <c r="E678" s="585"/>
      <c r="F678" s="585"/>
      <c r="G678" s="585"/>
      <c r="H678" s="585"/>
      <c r="I678" s="585"/>
      <c r="J678" s="585"/>
      <c r="K678" s="585"/>
      <c r="L678" s="585"/>
      <c r="M678" s="585"/>
      <c r="N678" s="585"/>
      <c r="O678" s="585"/>
      <c r="P678" s="585"/>
      <c r="Q678" s="585"/>
      <c r="R678" s="585"/>
      <c r="S678" s="585"/>
      <c r="T678" s="585"/>
      <c r="U678" s="585"/>
      <c r="V678" s="224"/>
      <c r="W678" s="224"/>
      <c r="X678" s="9"/>
      <c r="Y678" s="9"/>
      <c r="Z678" s="9"/>
    </row>
    <row r="679">
      <c r="A679" s="585"/>
      <c r="B679" s="585"/>
      <c r="C679" s="585"/>
      <c r="D679" s="585"/>
      <c r="E679" s="585"/>
      <c r="F679" s="585"/>
      <c r="G679" s="585"/>
      <c r="H679" s="585"/>
      <c r="I679" s="585"/>
      <c r="J679" s="585"/>
      <c r="K679" s="585"/>
      <c r="L679" s="585"/>
      <c r="M679" s="585"/>
      <c r="N679" s="585"/>
      <c r="O679" s="585"/>
      <c r="P679" s="585"/>
      <c r="Q679" s="585"/>
      <c r="R679" s="585"/>
      <c r="S679" s="585"/>
      <c r="T679" s="585"/>
      <c r="U679" s="585"/>
      <c r="V679" s="224"/>
      <c r="W679" s="224"/>
      <c r="X679" s="9"/>
      <c r="Y679" s="9"/>
      <c r="Z679" s="9"/>
    </row>
    <row r="680">
      <c r="A680" s="585"/>
      <c r="B680" s="585"/>
      <c r="C680" s="585"/>
      <c r="D680" s="585"/>
      <c r="E680" s="585"/>
      <c r="F680" s="585"/>
      <c r="G680" s="585"/>
      <c r="H680" s="585"/>
      <c r="I680" s="585"/>
      <c r="J680" s="585"/>
      <c r="K680" s="585"/>
      <c r="L680" s="585"/>
      <c r="M680" s="585"/>
      <c r="N680" s="585"/>
      <c r="O680" s="585"/>
      <c r="P680" s="585"/>
      <c r="Q680" s="585"/>
      <c r="R680" s="585"/>
      <c r="S680" s="585"/>
      <c r="T680" s="585"/>
      <c r="U680" s="585"/>
      <c r="V680" s="224"/>
      <c r="W680" s="224"/>
      <c r="X680" s="9"/>
      <c r="Y680" s="9"/>
      <c r="Z680" s="9"/>
    </row>
    <row r="681">
      <c r="A681" s="585"/>
      <c r="B681" s="585"/>
      <c r="C681" s="585"/>
      <c r="D681" s="585"/>
      <c r="E681" s="585"/>
      <c r="F681" s="585"/>
      <c r="G681" s="585"/>
      <c r="H681" s="585"/>
      <c r="I681" s="585"/>
      <c r="J681" s="585"/>
      <c r="K681" s="585"/>
      <c r="L681" s="585"/>
      <c r="M681" s="585"/>
      <c r="N681" s="585"/>
      <c r="O681" s="585"/>
      <c r="P681" s="585"/>
      <c r="Q681" s="585"/>
      <c r="R681" s="585"/>
      <c r="S681" s="585"/>
      <c r="T681" s="585"/>
      <c r="U681" s="585"/>
      <c r="V681" s="224"/>
      <c r="W681" s="224"/>
      <c r="X681" s="9"/>
      <c r="Y681" s="9"/>
      <c r="Z681" s="9"/>
    </row>
    <row r="682">
      <c r="A682" s="585"/>
      <c r="B682" s="585"/>
      <c r="C682" s="585"/>
      <c r="D682" s="585"/>
      <c r="E682" s="585"/>
      <c r="F682" s="585"/>
      <c r="G682" s="585"/>
      <c r="H682" s="585"/>
      <c r="I682" s="585"/>
      <c r="J682" s="585"/>
      <c r="K682" s="585"/>
      <c r="L682" s="585"/>
      <c r="M682" s="585"/>
      <c r="N682" s="585"/>
      <c r="O682" s="585"/>
      <c r="P682" s="585"/>
      <c r="Q682" s="585"/>
      <c r="R682" s="585"/>
      <c r="S682" s="585"/>
      <c r="T682" s="585"/>
      <c r="U682" s="585"/>
      <c r="V682" s="224"/>
      <c r="W682" s="224"/>
      <c r="X682" s="9"/>
      <c r="Y682" s="9"/>
      <c r="Z682" s="9"/>
    </row>
    <row r="683">
      <c r="A683" s="585"/>
      <c r="B683" s="585"/>
      <c r="C683" s="585"/>
      <c r="D683" s="585"/>
      <c r="E683" s="585"/>
      <c r="F683" s="585"/>
      <c r="G683" s="585"/>
      <c r="H683" s="585"/>
      <c r="I683" s="585"/>
      <c r="J683" s="585"/>
      <c r="K683" s="585"/>
      <c r="L683" s="585"/>
      <c r="M683" s="585"/>
      <c r="N683" s="585"/>
      <c r="O683" s="585"/>
      <c r="P683" s="585"/>
      <c r="Q683" s="585"/>
      <c r="R683" s="585"/>
      <c r="S683" s="585"/>
      <c r="T683" s="585"/>
      <c r="U683" s="585"/>
      <c r="V683" s="224"/>
      <c r="W683" s="224"/>
      <c r="X683" s="9"/>
      <c r="Y683" s="9"/>
      <c r="Z683" s="9"/>
    </row>
    <row r="684">
      <c r="A684" s="585"/>
      <c r="B684" s="585"/>
      <c r="C684" s="585"/>
      <c r="D684" s="585"/>
      <c r="E684" s="585"/>
      <c r="F684" s="585"/>
      <c r="G684" s="585"/>
      <c r="H684" s="585"/>
      <c r="I684" s="585"/>
      <c r="J684" s="585"/>
      <c r="K684" s="585"/>
      <c r="L684" s="585"/>
      <c r="M684" s="585"/>
      <c r="N684" s="585"/>
      <c r="O684" s="585"/>
      <c r="P684" s="585"/>
      <c r="Q684" s="585"/>
      <c r="R684" s="585"/>
      <c r="S684" s="585"/>
      <c r="T684" s="585"/>
      <c r="U684" s="585"/>
      <c r="V684" s="224"/>
      <c r="W684" s="224"/>
      <c r="X684" s="9"/>
      <c r="Y684" s="9"/>
      <c r="Z684" s="9"/>
    </row>
    <row r="685">
      <c r="A685" s="585"/>
      <c r="B685" s="585"/>
      <c r="C685" s="585"/>
      <c r="D685" s="585"/>
      <c r="E685" s="585"/>
      <c r="F685" s="585"/>
      <c r="G685" s="585"/>
      <c r="H685" s="585"/>
      <c r="I685" s="585"/>
      <c r="J685" s="585"/>
      <c r="K685" s="585"/>
      <c r="L685" s="585"/>
      <c r="M685" s="585"/>
      <c r="N685" s="585"/>
      <c r="O685" s="585"/>
      <c r="P685" s="585"/>
      <c r="Q685" s="585"/>
      <c r="R685" s="585"/>
      <c r="S685" s="585"/>
      <c r="T685" s="585"/>
      <c r="U685" s="585"/>
      <c r="V685" s="224"/>
      <c r="W685" s="224"/>
      <c r="X685" s="9"/>
      <c r="Y685" s="9"/>
      <c r="Z685" s="9"/>
    </row>
    <row r="686">
      <c r="A686" s="585"/>
      <c r="B686" s="585"/>
      <c r="C686" s="585"/>
      <c r="D686" s="585"/>
      <c r="E686" s="585"/>
      <c r="F686" s="585"/>
      <c r="G686" s="585"/>
      <c r="H686" s="585"/>
      <c r="I686" s="585"/>
      <c r="J686" s="585"/>
      <c r="K686" s="585"/>
      <c r="L686" s="585"/>
      <c r="M686" s="585"/>
      <c r="N686" s="585"/>
      <c r="O686" s="585"/>
      <c r="P686" s="585"/>
      <c r="Q686" s="585"/>
      <c r="R686" s="585"/>
      <c r="S686" s="585"/>
      <c r="T686" s="585"/>
      <c r="U686" s="585"/>
      <c r="V686" s="224"/>
      <c r="W686" s="224"/>
      <c r="X686" s="9"/>
      <c r="Y686" s="9"/>
      <c r="Z686" s="9"/>
    </row>
    <row r="687">
      <c r="A687" s="585"/>
      <c r="B687" s="585"/>
      <c r="C687" s="585"/>
      <c r="D687" s="585"/>
      <c r="E687" s="585"/>
      <c r="F687" s="585"/>
      <c r="G687" s="585"/>
      <c r="H687" s="585"/>
      <c r="I687" s="585"/>
      <c r="J687" s="585"/>
      <c r="K687" s="585"/>
      <c r="L687" s="585"/>
      <c r="M687" s="585"/>
      <c r="N687" s="585"/>
      <c r="O687" s="585"/>
      <c r="P687" s="585"/>
      <c r="Q687" s="585"/>
      <c r="R687" s="585"/>
      <c r="S687" s="585"/>
      <c r="T687" s="585"/>
      <c r="U687" s="585"/>
      <c r="V687" s="224"/>
      <c r="W687" s="224"/>
      <c r="X687" s="9"/>
      <c r="Y687" s="9"/>
      <c r="Z687" s="9"/>
    </row>
    <row r="688">
      <c r="A688" s="585"/>
      <c r="B688" s="585"/>
      <c r="C688" s="585"/>
      <c r="D688" s="585"/>
      <c r="E688" s="585"/>
      <c r="F688" s="585"/>
      <c r="G688" s="585"/>
      <c r="H688" s="585"/>
      <c r="I688" s="585"/>
      <c r="J688" s="585"/>
      <c r="K688" s="585"/>
      <c r="L688" s="585"/>
      <c r="M688" s="585"/>
      <c r="N688" s="585"/>
      <c r="O688" s="585"/>
      <c r="P688" s="585"/>
      <c r="Q688" s="585"/>
      <c r="R688" s="585"/>
      <c r="S688" s="585"/>
      <c r="T688" s="585"/>
      <c r="U688" s="585"/>
      <c r="V688" s="224"/>
      <c r="W688" s="224"/>
      <c r="X688" s="9"/>
      <c r="Y688" s="9"/>
      <c r="Z688" s="9"/>
    </row>
    <row r="689">
      <c r="A689" s="585"/>
      <c r="B689" s="585"/>
      <c r="C689" s="585"/>
      <c r="D689" s="585"/>
      <c r="E689" s="585"/>
      <c r="F689" s="585"/>
      <c r="G689" s="585"/>
      <c r="H689" s="585"/>
      <c r="I689" s="585"/>
      <c r="J689" s="585"/>
      <c r="K689" s="585"/>
      <c r="L689" s="585"/>
      <c r="M689" s="585"/>
      <c r="N689" s="585"/>
      <c r="O689" s="585"/>
      <c r="P689" s="585"/>
      <c r="Q689" s="585"/>
      <c r="R689" s="585"/>
      <c r="S689" s="585"/>
      <c r="T689" s="585"/>
      <c r="U689" s="585"/>
      <c r="V689" s="224"/>
      <c r="W689" s="224"/>
      <c r="X689" s="9"/>
      <c r="Y689" s="9"/>
      <c r="Z689" s="9"/>
    </row>
    <row r="690">
      <c r="A690" s="585"/>
      <c r="B690" s="585"/>
      <c r="C690" s="585"/>
      <c r="D690" s="585"/>
      <c r="E690" s="585"/>
      <c r="F690" s="585"/>
      <c r="G690" s="585"/>
      <c r="H690" s="585"/>
      <c r="I690" s="585"/>
      <c r="J690" s="585"/>
      <c r="K690" s="585"/>
      <c r="L690" s="585"/>
      <c r="M690" s="585"/>
      <c r="N690" s="585"/>
      <c r="O690" s="585"/>
      <c r="P690" s="585"/>
      <c r="Q690" s="585"/>
      <c r="R690" s="585"/>
      <c r="S690" s="585"/>
      <c r="T690" s="585"/>
      <c r="U690" s="585"/>
      <c r="V690" s="224"/>
      <c r="W690" s="224"/>
      <c r="X690" s="9"/>
      <c r="Y690" s="9"/>
      <c r="Z690" s="9"/>
    </row>
    <row r="691">
      <c r="A691" s="585"/>
      <c r="B691" s="585"/>
      <c r="C691" s="585"/>
      <c r="D691" s="585"/>
      <c r="E691" s="585"/>
      <c r="F691" s="585"/>
      <c r="G691" s="585"/>
      <c r="H691" s="585"/>
      <c r="I691" s="585"/>
      <c r="J691" s="585"/>
      <c r="K691" s="585"/>
      <c r="L691" s="585"/>
      <c r="M691" s="585"/>
      <c r="N691" s="585"/>
      <c r="O691" s="585"/>
      <c r="P691" s="585"/>
      <c r="Q691" s="585"/>
      <c r="R691" s="585"/>
      <c r="S691" s="585"/>
      <c r="T691" s="585"/>
      <c r="U691" s="585"/>
      <c r="V691" s="224"/>
      <c r="W691" s="224"/>
      <c r="X691" s="9"/>
      <c r="Y691" s="9"/>
      <c r="Z691" s="9"/>
    </row>
    <row r="692">
      <c r="A692" s="585"/>
      <c r="B692" s="585"/>
      <c r="C692" s="585"/>
      <c r="D692" s="585"/>
      <c r="E692" s="585"/>
      <c r="F692" s="585"/>
      <c r="G692" s="585"/>
      <c r="H692" s="585"/>
      <c r="I692" s="585"/>
      <c r="J692" s="585"/>
      <c r="K692" s="585"/>
      <c r="L692" s="585"/>
      <c r="M692" s="585"/>
      <c r="N692" s="585"/>
      <c r="O692" s="585"/>
      <c r="P692" s="585"/>
      <c r="Q692" s="585"/>
      <c r="R692" s="585"/>
      <c r="S692" s="585"/>
      <c r="T692" s="585"/>
      <c r="U692" s="585"/>
      <c r="V692" s="224"/>
      <c r="W692" s="224"/>
      <c r="X692" s="9"/>
      <c r="Y692" s="9"/>
      <c r="Z692" s="9"/>
    </row>
    <row r="693">
      <c r="A693" s="585"/>
      <c r="B693" s="585"/>
      <c r="C693" s="585"/>
      <c r="D693" s="585"/>
      <c r="E693" s="585"/>
      <c r="F693" s="585"/>
      <c r="G693" s="585"/>
      <c r="H693" s="585"/>
      <c r="I693" s="585"/>
      <c r="J693" s="585"/>
      <c r="K693" s="585"/>
      <c r="L693" s="585"/>
      <c r="M693" s="585"/>
      <c r="N693" s="585"/>
      <c r="O693" s="585"/>
      <c r="P693" s="585"/>
      <c r="Q693" s="585"/>
      <c r="R693" s="585"/>
      <c r="S693" s="585"/>
      <c r="T693" s="585"/>
      <c r="U693" s="585"/>
      <c r="V693" s="224"/>
      <c r="W693" s="224"/>
      <c r="X693" s="9"/>
      <c r="Y693" s="9"/>
      <c r="Z693" s="9"/>
    </row>
    <row r="694">
      <c r="A694" s="585"/>
      <c r="B694" s="585"/>
      <c r="C694" s="585"/>
      <c r="D694" s="585"/>
      <c r="E694" s="585"/>
      <c r="F694" s="585"/>
      <c r="G694" s="585"/>
      <c r="H694" s="585"/>
      <c r="I694" s="585"/>
      <c r="J694" s="585"/>
      <c r="K694" s="585"/>
      <c r="L694" s="585"/>
      <c r="M694" s="585"/>
      <c r="N694" s="585"/>
      <c r="O694" s="585"/>
      <c r="P694" s="585"/>
      <c r="Q694" s="585"/>
      <c r="R694" s="585"/>
      <c r="S694" s="585"/>
      <c r="T694" s="585"/>
      <c r="U694" s="585"/>
      <c r="V694" s="224"/>
      <c r="W694" s="224"/>
      <c r="X694" s="9"/>
      <c r="Y694" s="9"/>
      <c r="Z694" s="9"/>
    </row>
    <row r="695">
      <c r="A695" s="585"/>
      <c r="B695" s="585"/>
      <c r="C695" s="585"/>
      <c r="D695" s="585"/>
      <c r="E695" s="585"/>
      <c r="F695" s="585"/>
      <c r="G695" s="585"/>
      <c r="H695" s="585"/>
      <c r="I695" s="585"/>
      <c r="J695" s="585"/>
      <c r="K695" s="585"/>
      <c r="L695" s="585"/>
      <c r="M695" s="585"/>
      <c r="N695" s="585"/>
      <c r="O695" s="585"/>
      <c r="P695" s="585"/>
      <c r="Q695" s="585"/>
      <c r="R695" s="585"/>
      <c r="S695" s="585"/>
      <c r="T695" s="585"/>
      <c r="U695" s="585"/>
      <c r="V695" s="224"/>
      <c r="W695" s="224"/>
      <c r="X695" s="9"/>
      <c r="Y695" s="9"/>
      <c r="Z695" s="9"/>
    </row>
    <row r="696">
      <c r="A696" s="585"/>
      <c r="B696" s="585"/>
      <c r="C696" s="585"/>
      <c r="D696" s="585"/>
      <c r="E696" s="585"/>
      <c r="F696" s="585"/>
      <c r="G696" s="585"/>
      <c r="H696" s="585"/>
      <c r="I696" s="585"/>
      <c r="J696" s="585"/>
      <c r="K696" s="585"/>
      <c r="L696" s="585"/>
      <c r="M696" s="585"/>
      <c r="N696" s="585"/>
      <c r="O696" s="585"/>
      <c r="P696" s="585"/>
      <c r="Q696" s="585"/>
      <c r="R696" s="585"/>
      <c r="S696" s="585"/>
      <c r="T696" s="585"/>
      <c r="U696" s="585"/>
      <c r="V696" s="224"/>
      <c r="W696" s="224"/>
      <c r="X696" s="9"/>
      <c r="Y696" s="9"/>
      <c r="Z696" s="9"/>
    </row>
    <row r="697">
      <c r="A697" s="585"/>
      <c r="B697" s="585"/>
      <c r="C697" s="585"/>
      <c r="D697" s="585"/>
      <c r="E697" s="585"/>
      <c r="F697" s="585"/>
      <c r="G697" s="585"/>
      <c r="H697" s="585"/>
      <c r="I697" s="585"/>
      <c r="J697" s="585"/>
      <c r="K697" s="585"/>
      <c r="L697" s="585"/>
      <c r="M697" s="585"/>
      <c r="N697" s="585"/>
      <c r="O697" s="585"/>
      <c r="P697" s="585"/>
      <c r="Q697" s="585"/>
      <c r="R697" s="585"/>
      <c r="S697" s="585"/>
      <c r="T697" s="585"/>
      <c r="U697" s="585"/>
      <c r="V697" s="224"/>
      <c r="W697" s="224"/>
      <c r="X697" s="9"/>
      <c r="Y697" s="9"/>
      <c r="Z697" s="9"/>
    </row>
    <row r="698">
      <c r="A698" s="585"/>
      <c r="B698" s="585"/>
      <c r="C698" s="585"/>
      <c r="D698" s="585"/>
      <c r="E698" s="585"/>
      <c r="F698" s="585"/>
      <c r="G698" s="585"/>
      <c r="H698" s="585"/>
      <c r="I698" s="585"/>
      <c r="J698" s="585"/>
      <c r="K698" s="585"/>
      <c r="L698" s="585"/>
      <c r="M698" s="585"/>
      <c r="N698" s="585"/>
      <c r="O698" s="585"/>
      <c r="P698" s="585"/>
      <c r="Q698" s="585"/>
      <c r="R698" s="585"/>
      <c r="S698" s="585"/>
      <c r="T698" s="585"/>
      <c r="U698" s="585"/>
      <c r="V698" s="224"/>
      <c r="W698" s="224"/>
      <c r="X698" s="9"/>
      <c r="Y698" s="9"/>
      <c r="Z698" s="9"/>
    </row>
    <row r="699">
      <c r="A699" s="585"/>
      <c r="B699" s="585"/>
      <c r="C699" s="585"/>
      <c r="D699" s="585"/>
      <c r="E699" s="585"/>
      <c r="F699" s="585"/>
      <c r="G699" s="585"/>
      <c r="H699" s="585"/>
      <c r="I699" s="585"/>
      <c r="J699" s="585"/>
      <c r="K699" s="585"/>
      <c r="L699" s="585"/>
      <c r="M699" s="585"/>
      <c r="N699" s="585"/>
      <c r="O699" s="585"/>
      <c r="P699" s="585"/>
      <c r="Q699" s="585"/>
      <c r="R699" s="585"/>
      <c r="S699" s="585"/>
      <c r="T699" s="585"/>
      <c r="U699" s="585"/>
      <c r="V699" s="224"/>
      <c r="W699" s="224"/>
      <c r="X699" s="9"/>
      <c r="Y699" s="9"/>
      <c r="Z699" s="9"/>
    </row>
    <row r="700">
      <c r="A700" s="585"/>
      <c r="B700" s="585"/>
      <c r="C700" s="585"/>
      <c r="D700" s="585"/>
      <c r="E700" s="585"/>
      <c r="F700" s="585"/>
      <c r="G700" s="585"/>
      <c r="H700" s="585"/>
      <c r="I700" s="585"/>
      <c r="J700" s="585"/>
      <c r="K700" s="585"/>
      <c r="L700" s="585"/>
      <c r="M700" s="585"/>
      <c r="N700" s="585"/>
      <c r="O700" s="585"/>
      <c r="P700" s="585"/>
      <c r="Q700" s="585"/>
      <c r="R700" s="585"/>
      <c r="S700" s="585"/>
      <c r="T700" s="585"/>
      <c r="U700" s="585"/>
      <c r="V700" s="224"/>
      <c r="W700" s="224"/>
      <c r="X700" s="9"/>
      <c r="Y700" s="9"/>
      <c r="Z700" s="9"/>
    </row>
    <row r="701">
      <c r="A701" s="585"/>
      <c r="B701" s="585"/>
      <c r="C701" s="585"/>
      <c r="D701" s="585"/>
      <c r="E701" s="585"/>
      <c r="F701" s="585"/>
      <c r="G701" s="585"/>
      <c r="H701" s="585"/>
      <c r="I701" s="585"/>
      <c r="J701" s="585"/>
      <c r="K701" s="585"/>
      <c r="L701" s="585"/>
      <c r="M701" s="585"/>
      <c r="N701" s="585"/>
      <c r="O701" s="585"/>
      <c r="P701" s="585"/>
      <c r="Q701" s="585"/>
      <c r="R701" s="585"/>
      <c r="S701" s="585"/>
      <c r="T701" s="585"/>
      <c r="U701" s="585"/>
      <c r="V701" s="224"/>
      <c r="W701" s="224"/>
      <c r="X701" s="9"/>
      <c r="Y701" s="9"/>
      <c r="Z701" s="9"/>
    </row>
    <row r="702">
      <c r="A702" s="585"/>
      <c r="B702" s="585"/>
      <c r="C702" s="585"/>
      <c r="D702" s="585"/>
      <c r="E702" s="585"/>
      <c r="F702" s="585"/>
      <c r="G702" s="585"/>
      <c r="H702" s="585"/>
      <c r="I702" s="585"/>
      <c r="J702" s="585"/>
      <c r="K702" s="585"/>
      <c r="L702" s="585"/>
      <c r="M702" s="585"/>
      <c r="N702" s="585"/>
      <c r="O702" s="585"/>
      <c r="P702" s="585"/>
      <c r="Q702" s="585"/>
      <c r="R702" s="585"/>
      <c r="S702" s="585"/>
      <c r="T702" s="585"/>
      <c r="U702" s="585"/>
      <c r="V702" s="224"/>
      <c r="W702" s="224"/>
      <c r="X702" s="9"/>
      <c r="Y702" s="9"/>
      <c r="Z702" s="9"/>
    </row>
    <row r="703">
      <c r="A703" s="585"/>
      <c r="B703" s="585"/>
      <c r="C703" s="585"/>
      <c r="D703" s="585"/>
      <c r="E703" s="585"/>
      <c r="F703" s="585"/>
      <c r="G703" s="585"/>
      <c r="H703" s="585"/>
      <c r="I703" s="585"/>
      <c r="J703" s="585"/>
      <c r="K703" s="585"/>
      <c r="L703" s="585"/>
      <c r="M703" s="585"/>
      <c r="N703" s="585"/>
      <c r="O703" s="585"/>
      <c r="P703" s="585"/>
      <c r="Q703" s="585"/>
      <c r="R703" s="585"/>
      <c r="S703" s="585"/>
      <c r="T703" s="585"/>
      <c r="U703" s="585"/>
      <c r="V703" s="224"/>
      <c r="W703" s="224"/>
      <c r="X703" s="9"/>
      <c r="Y703" s="9"/>
      <c r="Z703" s="9"/>
    </row>
    <row r="704">
      <c r="A704" s="585"/>
      <c r="B704" s="585"/>
      <c r="C704" s="585"/>
      <c r="D704" s="585"/>
      <c r="E704" s="585"/>
      <c r="F704" s="585"/>
      <c r="G704" s="585"/>
      <c r="H704" s="585"/>
      <c r="I704" s="585"/>
      <c r="J704" s="585"/>
      <c r="K704" s="585"/>
      <c r="L704" s="585"/>
      <c r="M704" s="585"/>
      <c r="N704" s="585"/>
      <c r="O704" s="585"/>
      <c r="P704" s="585"/>
      <c r="Q704" s="585"/>
      <c r="R704" s="585"/>
      <c r="S704" s="585"/>
      <c r="T704" s="585"/>
      <c r="U704" s="585"/>
      <c r="V704" s="224"/>
      <c r="W704" s="224"/>
      <c r="X704" s="9"/>
      <c r="Y704" s="9"/>
      <c r="Z704" s="9"/>
    </row>
    <row r="705">
      <c r="A705" s="585"/>
      <c r="B705" s="585"/>
      <c r="C705" s="585"/>
      <c r="D705" s="585"/>
      <c r="E705" s="585"/>
      <c r="F705" s="585"/>
      <c r="G705" s="585"/>
      <c r="H705" s="585"/>
      <c r="I705" s="585"/>
      <c r="J705" s="585"/>
      <c r="K705" s="585"/>
      <c r="L705" s="585"/>
      <c r="M705" s="585"/>
      <c r="N705" s="585"/>
      <c r="O705" s="585"/>
      <c r="P705" s="585"/>
      <c r="Q705" s="585"/>
      <c r="R705" s="585"/>
      <c r="S705" s="585"/>
      <c r="T705" s="585"/>
      <c r="U705" s="585"/>
      <c r="V705" s="224"/>
      <c r="W705" s="224"/>
      <c r="X705" s="9"/>
      <c r="Y705" s="9"/>
      <c r="Z705" s="9"/>
    </row>
    <row r="706">
      <c r="A706" s="585"/>
      <c r="B706" s="585"/>
      <c r="C706" s="585"/>
      <c r="D706" s="585"/>
      <c r="E706" s="585"/>
      <c r="F706" s="585"/>
      <c r="G706" s="585"/>
      <c r="H706" s="585"/>
      <c r="I706" s="585"/>
      <c r="J706" s="585"/>
      <c r="K706" s="585"/>
      <c r="L706" s="585"/>
      <c r="M706" s="585"/>
      <c r="N706" s="585"/>
      <c r="O706" s="585"/>
      <c r="P706" s="585"/>
      <c r="Q706" s="585"/>
      <c r="R706" s="585"/>
      <c r="S706" s="585"/>
      <c r="T706" s="585"/>
      <c r="U706" s="585"/>
      <c r="V706" s="224"/>
      <c r="W706" s="224"/>
      <c r="X706" s="9"/>
      <c r="Y706" s="9"/>
      <c r="Z706" s="9"/>
    </row>
    <row r="707">
      <c r="A707" s="585"/>
      <c r="B707" s="585"/>
      <c r="C707" s="585"/>
      <c r="D707" s="585"/>
      <c r="E707" s="585"/>
      <c r="F707" s="585"/>
      <c r="G707" s="585"/>
      <c r="H707" s="585"/>
      <c r="I707" s="585"/>
      <c r="J707" s="585"/>
      <c r="K707" s="585"/>
      <c r="L707" s="585"/>
      <c r="M707" s="585"/>
      <c r="N707" s="585"/>
      <c r="O707" s="585"/>
      <c r="P707" s="585"/>
      <c r="Q707" s="585"/>
      <c r="R707" s="585"/>
      <c r="S707" s="585"/>
      <c r="T707" s="585"/>
      <c r="U707" s="585"/>
      <c r="V707" s="224"/>
      <c r="W707" s="224"/>
      <c r="X707" s="9"/>
      <c r="Y707" s="9"/>
      <c r="Z707" s="9"/>
    </row>
    <row r="708">
      <c r="A708" s="585"/>
      <c r="B708" s="585"/>
      <c r="C708" s="585"/>
      <c r="D708" s="585"/>
      <c r="E708" s="585"/>
      <c r="F708" s="585"/>
      <c r="G708" s="585"/>
      <c r="H708" s="585"/>
      <c r="I708" s="585"/>
      <c r="J708" s="585"/>
      <c r="K708" s="585"/>
      <c r="L708" s="585"/>
      <c r="M708" s="585"/>
      <c r="N708" s="585"/>
      <c r="O708" s="585"/>
      <c r="P708" s="585"/>
      <c r="Q708" s="585"/>
      <c r="R708" s="585"/>
      <c r="S708" s="585"/>
      <c r="T708" s="585"/>
      <c r="U708" s="585"/>
      <c r="V708" s="224"/>
      <c r="W708" s="224"/>
      <c r="X708" s="9"/>
      <c r="Y708" s="9"/>
      <c r="Z708" s="9"/>
    </row>
    <row r="709">
      <c r="A709" s="585"/>
      <c r="B709" s="585"/>
      <c r="C709" s="585"/>
      <c r="D709" s="585"/>
      <c r="E709" s="585"/>
      <c r="F709" s="585"/>
      <c r="G709" s="585"/>
      <c r="H709" s="585"/>
      <c r="I709" s="585"/>
      <c r="J709" s="585"/>
      <c r="K709" s="585"/>
      <c r="L709" s="585"/>
      <c r="M709" s="585"/>
      <c r="N709" s="585"/>
      <c r="O709" s="585"/>
      <c r="P709" s="585"/>
      <c r="Q709" s="585"/>
      <c r="R709" s="585"/>
      <c r="S709" s="585"/>
      <c r="T709" s="585"/>
      <c r="U709" s="585"/>
      <c r="V709" s="224"/>
      <c r="W709" s="224"/>
      <c r="X709" s="9"/>
      <c r="Y709" s="9"/>
      <c r="Z709" s="9"/>
    </row>
    <row r="710">
      <c r="A710" s="585"/>
      <c r="B710" s="585"/>
      <c r="C710" s="585"/>
      <c r="D710" s="585"/>
      <c r="E710" s="585"/>
      <c r="F710" s="585"/>
      <c r="G710" s="585"/>
      <c r="H710" s="585"/>
      <c r="I710" s="585"/>
      <c r="J710" s="585"/>
      <c r="K710" s="585"/>
      <c r="L710" s="585"/>
      <c r="M710" s="585"/>
      <c r="N710" s="585"/>
      <c r="O710" s="585"/>
      <c r="P710" s="585"/>
      <c r="Q710" s="585"/>
      <c r="R710" s="585"/>
      <c r="S710" s="585"/>
      <c r="T710" s="585"/>
      <c r="U710" s="585"/>
      <c r="V710" s="224"/>
      <c r="W710" s="224"/>
      <c r="X710" s="9"/>
      <c r="Y710" s="9"/>
      <c r="Z710" s="9"/>
    </row>
    <row r="711">
      <c r="A711" s="585"/>
      <c r="B711" s="585"/>
      <c r="C711" s="585"/>
      <c r="D711" s="585"/>
      <c r="E711" s="585"/>
      <c r="F711" s="585"/>
      <c r="G711" s="585"/>
      <c r="H711" s="585"/>
      <c r="I711" s="585"/>
      <c r="J711" s="585"/>
      <c r="K711" s="585"/>
      <c r="L711" s="585"/>
      <c r="M711" s="585"/>
      <c r="N711" s="585"/>
      <c r="O711" s="585"/>
      <c r="P711" s="585"/>
      <c r="Q711" s="585"/>
      <c r="R711" s="585"/>
      <c r="S711" s="585"/>
      <c r="T711" s="585"/>
      <c r="U711" s="585"/>
      <c r="V711" s="224"/>
      <c r="W711" s="224"/>
      <c r="X711" s="9"/>
      <c r="Y711" s="9"/>
      <c r="Z711" s="9"/>
    </row>
    <row r="712">
      <c r="A712" s="585"/>
      <c r="B712" s="585"/>
      <c r="C712" s="585"/>
      <c r="D712" s="585"/>
      <c r="E712" s="585"/>
      <c r="F712" s="585"/>
      <c r="G712" s="585"/>
      <c r="H712" s="585"/>
      <c r="I712" s="585"/>
      <c r="J712" s="585"/>
      <c r="K712" s="585"/>
      <c r="L712" s="585"/>
      <c r="M712" s="585"/>
      <c r="N712" s="585"/>
      <c r="O712" s="585"/>
      <c r="P712" s="585"/>
      <c r="Q712" s="585"/>
      <c r="R712" s="585"/>
      <c r="S712" s="585"/>
      <c r="T712" s="585"/>
      <c r="U712" s="585"/>
      <c r="V712" s="224"/>
      <c r="W712" s="224"/>
      <c r="X712" s="9"/>
      <c r="Y712" s="9"/>
      <c r="Z712" s="9"/>
    </row>
    <row r="713">
      <c r="A713" s="585"/>
      <c r="B713" s="585"/>
      <c r="C713" s="585"/>
      <c r="D713" s="585"/>
      <c r="E713" s="585"/>
      <c r="F713" s="585"/>
      <c r="G713" s="585"/>
      <c r="H713" s="585"/>
      <c r="I713" s="585"/>
      <c r="J713" s="585"/>
      <c r="K713" s="585"/>
      <c r="L713" s="585"/>
      <c r="M713" s="585"/>
      <c r="N713" s="585"/>
      <c r="O713" s="585"/>
      <c r="P713" s="585"/>
      <c r="Q713" s="585"/>
      <c r="R713" s="585"/>
      <c r="S713" s="585"/>
      <c r="T713" s="585"/>
      <c r="U713" s="585"/>
      <c r="V713" s="224"/>
      <c r="W713" s="224"/>
      <c r="X713" s="9"/>
      <c r="Y713" s="9"/>
      <c r="Z713" s="9"/>
    </row>
    <row r="714">
      <c r="A714" s="585"/>
      <c r="B714" s="585"/>
      <c r="C714" s="585"/>
      <c r="D714" s="585"/>
      <c r="E714" s="585"/>
      <c r="F714" s="585"/>
      <c r="G714" s="585"/>
      <c r="H714" s="585"/>
      <c r="I714" s="585"/>
      <c r="J714" s="585"/>
      <c r="K714" s="585"/>
      <c r="L714" s="585"/>
      <c r="M714" s="585"/>
      <c r="N714" s="585"/>
      <c r="O714" s="585"/>
      <c r="P714" s="585"/>
      <c r="Q714" s="585"/>
      <c r="R714" s="585"/>
      <c r="S714" s="585"/>
      <c r="T714" s="585"/>
      <c r="U714" s="585"/>
      <c r="V714" s="224"/>
      <c r="W714" s="224"/>
      <c r="X714" s="9"/>
      <c r="Y714" s="9"/>
      <c r="Z714" s="9"/>
    </row>
    <row r="715">
      <c r="A715" s="585"/>
      <c r="B715" s="585"/>
      <c r="C715" s="585"/>
      <c r="D715" s="585"/>
      <c r="E715" s="585"/>
      <c r="F715" s="585"/>
      <c r="G715" s="585"/>
      <c r="H715" s="585"/>
      <c r="I715" s="585"/>
      <c r="J715" s="585"/>
      <c r="K715" s="585"/>
      <c r="L715" s="585"/>
      <c r="M715" s="585"/>
      <c r="N715" s="585"/>
      <c r="O715" s="585"/>
      <c r="P715" s="585"/>
      <c r="Q715" s="585"/>
      <c r="R715" s="585"/>
      <c r="S715" s="585"/>
      <c r="T715" s="585"/>
      <c r="U715" s="585"/>
      <c r="V715" s="224"/>
      <c r="W715" s="224"/>
      <c r="X715" s="9"/>
      <c r="Y715" s="9"/>
      <c r="Z715" s="9"/>
    </row>
    <row r="716">
      <c r="A716" s="585"/>
      <c r="B716" s="585"/>
      <c r="C716" s="585"/>
      <c r="D716" s="585"/>
      <c r="E716" s="585"/>
      <c r="F716" s="585"/>
      <c r="G716" s="585"/>
      <c r="H716" s="585"/>
      <c r="I716" s="585"/>
      <c r="J716" s="585"/>
      <c r="K716" s="585"/>
      <c r="L716" s="585"/>
      <c r="M716" s="585"/>
      <c r="N716" s="585"/>
      <c r="O716" s="585"/>
      <c r="P716" s="585"/>
      <c r="Q716" s="585"/>
      <c r="R716" s="585"/>
      <c r="S716" s="585"/>
      <c r="T716" s="585"/>
      <c r="U716" s="585"/>
      <c r="V716" s="224"/>
      <c r="W716" s="224"/>
      <c r="X716" s="9"/>
      <c r="Y716" s="9"/>
      <c r="Z716" s="9"/>
    </row>
    <row r="717">
      <c r="A717" s="585"/>
      <c r="B717" s="585"/>
      <c r="C717" s="585"/>
      <c r="D717" s="585"/>
      <c r="E717" s="585"/>
      <c r="F717" s="585"/>
      <c r="G717" s="585"/>
      <c r="H717" s="585"/>
      <c r="I717" s="585"/>
      <c r="J717" s="585"/>
      <c r="K717" s="585"/>
      <c r="L717" s="585"/>
      <c r="M717" s="585"/>
      <c r="N717" s="585"/>
      <c r="O717" s="585"/>
      <c r="P717" s="585"/>
      <c r="Q717" s="585"/>
      <c r="R717" s="585"/>
      <c r="S717" s="585"/>
      <c r="T717" s="585"/>
      <c r="U717" s="585"/>
      <c r="V717" s="224"/>
      <c r="W717" s="224"/>
      <c r="X717" s="9"/>
      <c r="Y717" s="9"/>
      <c r="Z717" s="9"/>
    </row>
    <row r="718">
      <c r="A718" s="585"/>
      <c r="B718" s="585"/>
      <c r="C718" s="585"/>
      <c r="D718" s="585"/>
      <c r="E718" s="585"/>
      <c r="F718" s="585"/>
      <c r="G718" s="585"/>
      <c r="H718" s="585"/>
      <c r="I718" s="585"/>
      <c r="J718" s="585"/>
      <c r="K718" s="585"/>
      <c r="L718" s="585"/>
      <c r="M718" s="585"/>
      <c r="N718" s="585"/>
      <c r="O718" s="585"/>
      <c r="P718" s="585"/>
      <c r="Q718" s="585"/>
      <c r="R718" s="585"/>
      <c r="S718" s="585"/>
      <c r="T718" s="585"/>
      <c r="U718" s="585"/>
      <c r="V718" s="224"/>
      <c r="W718" s="224"/>
      <c r="X718" s="9"/>
      <c r="Y718" s="9"/>
      <c r="Z718" s="9"/>
    </row>
    <row r="719">
      <c r="A719" s="585"/>
      <c r="B719" s="585"/>
      <c r="C719" s="585"/>
      <c r="D719" s="585"/>
      <c r="E719" s="585"/>
      <c r="F719" s="585"/>
      <c r="G719" s="585"/>
      <c r="H719" s="585"/>
      <c r="I719" s="585"/>
      <c r="J719" s="585"/>
      <c r="K719" s="585"/>
      <c r="L719" s="585"/>
      <c r="M719" s="585"/>
      <c r="N719" s="585"/>
      <c r="O719" s="585"/>
      <c r="P719" s="585"/>
      <c r="Q719" s="585"/>
      <c r="R719" s="585"/>
      <c r="S719" s="585"/>
      <c r="T719" s="585"/>
      <c r="U719" s="585"/>
      <c r="V719" s="224"/>
      <c r="W719" s="224"/>
      <c r="X719" s="9"/>
      <c r="Y719" s="9"/>
      <c r="Z719" s="9"/>
    </row>
    <row r="720">
      <c r="A720" s="585"/>
      <c r="B720" s="585"/>
      <c r="C720" s="585"/>
      <c r="D720" s="585"/>
      <c r="E720" s="585"/>
      <c r="F720" s="585"/>
      <c r="G720" s="585"/>
      <c r="H720" s="585"/>
      <c r="I720" s="585"/>
      <c r="J720" s="585"/>
      <c r="K720" s="585"/>
      <c r="L720" s="585"/>
      <c r="M720" s="585"/>
      <c r="N720" s="585"/>
      <c r="O720" s="585"/>
      <c r="P720" s="585"/>
      <c r="Q720" s="585"/>
      <c r="R720" s="585"/>
      <c r="S720" s="585"/>
      <c r="T720" s="585"/>
      <c r="U720" s="585"/>
      <c r="V720" s="224"/>
      <c r="W720" s="224"/>
      <c r="X720" s="9"/>
      <c r="Y720" s="9"/>
      <c r="Z720" s="9"/>
    </row>
    <row r="721">
      <c r="A721" s="585"/>
      <c r="B721" s="585"/>
      <c r="C721" s="585"/>
      <c r="D721" s="585"/>
      <c r="E721" s="585"/>
      <c r="F721" s="585"/>
      <c r="G721" s="585"/>
      <c r="H721" s="585"/>
      <c r="I721" s="585"/>
      <c r="J721" s="585"/>
      <c r="K721" s="585"/>
      <c r="L721" s="585"/>
      <c r="M721" s="585"/>
      <c r="N721" s="585"/>
      <c r="O721" s="585"/>
      <c r="P721" s="585"/>
      <c r="Q721" s="585"/>
      <c r="R721" s="585"/>
      <c r="S721" s="585"/>
      <c r="T721" s="585"/>
      <c r="U721" s="585"/>
      <c r="V721" s="224"/>
      <c r="W721" s="224"/>
      <c r="X721" s="9"/>
      <c r="Y721" s="9"/>
      <c r="Z721" s="9"/>
    </row>
    <row r="722">
      <c r="A722" s="585"/>
      <c r="B722" s="585"/>
      <c r="C722" s="585"/>
      <c r="D722" s="585"/>
      <c r="E722" s="585"/>
      <c r="F722" s="585"/>
      <c r="G722" s="585"/>
      <c r="H722" s="585"/>
      <c r="I722" s="585"/>
      <c r="J722" s="585"/>
      <c r="K722" s="585"/>
      <c r="L722" s="585"/>
      <c r="M722" s="585"/>
      <c r="N722" s="585"/>
      <c r="O722" s="585"/>
      <c r="P722" s="585"/>
      <c r="Q722" s="585"/>
      <c r="R722" s="585"/>
      <c r="S722" s="585"/>
      <c r="T722" s="585"/>
      <c r="U722" s="585"/>
      <c r="V722" s="224"/>
      <c r="W722" s="224"/>
      <c r="X722" s="9"/>
      <c r="Y722" s="9"/>
      <c r="Z722" s="9"/>
    </row>
    <row r="723">
      <c r="A723" s="585"/>
      <c r="B723" s="585"/>
      <c r="C723" s="585"/>
      <c r="D723" s="585"/>
      <c r="E723" s="585"/>
      <c r="F723" s="585"/>
      <c r="G723" s="585"/>
      <c r="H723" s="585"/>
      <c r="I723" s="585"/>
      <c r="J723" s="585"/>
      <c r="K723" s="585"/>
      <c r="L723" s="585"/>
      <c r="M723" s="585"/>
      <c r="N723" s="585"/>
      <c r="O723" s="585"/>
      <c r="P723" s="585"/>
      <c r="Q723" s="585"/>
      <c r="R723" s="585"/>
      <c r="S723" s="585"/>
      <c r="T723" s="585"/>
      <c r="U723" s="585"/>
      <c r="V723" s="224"/>
      <c r="W723" s="224"/>
      <c r="X723" s="9"/>
      <c r="Y723" s="9"/>
      <c r="Z723" s="9"/>
    </row>
    <row r="724">
      <c r="A724" s="585"/>
      <c r="B724" s="585"/>
      <c r="C724" s="585"/>
      <c r="D724" s="585"/>
      <c r="E724" s="585"/>
      <c r="F724" s="585"/>
      <c r="G724" s="585"/>
      <c r="H724" s="585"/>
      <c r="I724" s="585"/>
      <c r="J724" s="585"/>
      <c r="K724" s="585"/>
      <c r="L724" s="585"/>
      <c r="M724" s="585"/>
      <c r="N724" s="585"/>
      <c r="O724" s="585"/>
      <c r="P724" s="585"/>
      <c r="Q724" s="585"/>
      <c r="R724" s="585"/>
      <c r="S724" s="585"/>
      <c r="T724" s="585"/>
      <c r="U724" s="585"/>
      <c r="V724" s="224"/>
      <c r="W724" s="224"/>
      <c r="X724" s="9"/>
      <c r="Y724" s="9"/>
      <c r="Z724" s="9"/>
    </row>
    <row r="725">
      <c r="A725" s="585"/>
      <c r="B725" s="585"/>
      <c r="C725" s="585"/>
      <c r="D725" s="585"/>
      <c r="E725" s="585"/>
      <c r="F725" s="585"/>
      <c r="G725" s="585"/>
      <c r="H725" s="585"/>
      <c r="I725" s="585"/>
      <c r="J725" s="585"/>
      <c r="K725" s="585"/>
      <c r="L725" s="585"/>
      <c r="M725" s="585"/>
      <c r="N725" s="585"/>
      <c r="O725" s="585"/>
      <c r="P725" s="585"/>
      <c r="Q725" s="585"/>
      <c r="R725" s="585"/>
      <c r="S725" s="585"/>
      <c r="T725" s="585"/>
      <c r="U725" s="585"/>
      <c r="V725" s="224"/>
      <c r="W725" s="224"/>
      <c r="X725" s="9"/>
      <c r="Y725" s="9"/>
      <c r="Z725" s="9"/>
    </row>
    <row r="726">
      <c r="A726" s="585"/>
      <c r="B726" s="585"/>
      <c r="C726" s="585"/>
      <c r="D726" s="585"/>
      <c r="E726" s="585"/>
      <c r="F726" s="585"/>
      <c r="G726" s="585"/>
      <c r="H726" s="585"/>
      <c r="I726" s="585"/>
      <c r="J726" s="585"/>
      <c r="K726" s="585"/>
      <c r="L726" s="585"/>
      <c r="M726" s="585"/>
      <c r="N726" s="585"/>
      <c r="O726" s="585"/>
      <c r="P726" s="585"/>
      <c r="Q726" s="585"/>
      <c r="R726" s="585"/>
      <c r="S726" s="585"/>
      <c r="T726" s="585"/>
      <c r="U726" s="585"/>
      <c r="V726" s="224"/>
      <c r="W726" s="224"/>
      <c r="X726" s="9"/>
      <c r="Y726" s="9"/>
      <c r="Z726" s="9"/>
    </row>
    <row r="727">
      <c r="A727" s="585"/>
      <c r="B727" s="585"/>
      <c r="C727" s="585"/>
      <c r="D727" s="585"/>
      <c r="E727" s="585"/>
      <c r="F727" s="585"/>
      <c r="G727" s="585"/>
      <c r="H727" s="585"/>
      <c r="I727" s="585"/>
      <c r="J727" s="585"/>
      <c r="K727" s="585"/>
      <c r="L727" s="585"/>
      <c r="M727" s="585"/>
      <c r="N727" s="585"/>
      <c r="O727" s="585"/>
      <c r="P727" s="585"/>
      <c r="Q727" s="585"/>
      <c r="R727" s="585"/>
      <c r="S727" s="585"/>
      <c r="T727" s="585"/>
      <c r="U727" s="585"/>
      <c r="V727" s="224"/>
      <c r="W727" s="224"/>
      <c r="X727" s="9"/>
      <c r="Y727" s="9"/>
      <c r="Z727" s="9"/>
    </row>
    <row r="728">
      <c r="A728" s="585"/>
      <c r="B728" s="585"/>
      <c r="C728" s="585"/>
      <c r="D728" s="585"/>
      <c r="E728" s="585"/>
      <c r="F728" s="585"/>
      <c r="G728" s="585"/>
      <c r="H728" s="585"/>
      <c r="I728" s="585"/>
      <c r="J728" s="585"/>
      <c r="K728" s="585"/>
      <c r="L728" s="585"/>
      <c r="M728" s="585"/>
      <c r="N728" s="585"/>
      <c r="O728" s="585"/>
      <c r="P728" s="585"/>
      <c r="Q728" s="585"/>
      <c r="R728" s="585"/>
      <c r="S728" s="585"/>
      <c r="T728" s="585"/>
      <c r="U728" s="585"/>
      <c r="V728" s="224"/>
      <c r="W728" s="224"/>
      <c r="X728" s="9"/>
      <c r="Y728" s="9"/>
      <c r="Z728" s="9"/>
    </row>
    <row r="729">
      <c r="A729" s="585"/>
      <c r="B729" s="585"/>
      <c r="C729" s="585"/>
      <c r="D729" s="585"/>
      <c r="E729" s="585"/>
      <c r="F729" s="585"/>
      <c r="G729" s="585"/>
      <c r="H729" s="585"/>
      <c r="I729" s="585"/>
      <c r="J729" s="585"/>
      <c r="K729" s="585"/>
      <c r="L729" s="585"/>
      <c r="M729" s="585"/>
      <c r="N729" s="585"/>
      <c r="O729" s="585"/>
      <c r="P729" s="585"/>
      <c r="Q729" s="585"/>
      <c r="R729" s="585"/>
      <c r="S729" s="585"/>
      <c r="T729" s="585"/>
      <c r="U729" s="585"/>
      <c r="V729" s="224"/>
      <c r="W729" s="224"/>
      <c r="X729" s="9"/>
      <c r="Y729" s="9"/>
      <c r="Z729" s="9"/>
    </row>
    <row r="730">
      <c r="A730" s="585"/>
      <c r="B730" s="585"/>
      <c r="C730" s="585"/>
      <c r="D730" s="585"/>
      <c r="E730" s="585"/>
      <c r="F730" s="585"/>
      <c r="G730" s="585"/>
      <c r="H730" s="585"/>
      <c r="I730" s="585"/>
      <c r="J730" s="585"/>
      <c r="K730" s="585"/>
      <c r="L730" s="585"/>
      <c r="M730" s="585"/>
      <c r="N730" s="585"/>
      <c r="O730" s="585"/>
      <c r="P730" s="585"/>
      <c r="Q730" s="585"/>
      <c r="R730" s="585"/>
      <c r="S730" s="585"/>
      <c r="T730" s="585"/>
      <c r="U730" s="585"/>
      <c r="V730" s="224"/>
      <c r="W730" s="224"/>
      <c r="X730" s="9"/>
      <c r="Y730" s="9"/>
      <c r="Z730" s="9"/>
    </row>
    <row r="731">
      <c r="A731" s="585"/>
      <c r="B731" s="585"/>
      <c r="C731" s="585"/>
      <c r="D731" s="585"/>
      <c r="E731" s="585"/>
      <c r="F731" s="585"/>
      <c r="G731" s="585"/>
      <c r="H731" s="585"/>
      <c r="I731" s="585"/>
      <c r="J731" s="585"/>
      <c r="K731" s="585"/>
      <c r="L731" s="585"/>
      <c r="M731" s="585"/>
      <c r="N731" s="585"/>
      <c r="O731" s="585"/>
      <c r="P731" s="585"/>
      <c r="Q731" s="585"/>
      <c r="R731" s="585"/>
      <c r="S731" s="585"/>
      <c r="T731" s="585"/>
      <c r="U731" s="585"/>
      <c r="V731" s="224"/>
      <c r="W731" s="224"/>
      <c r="X731" s="9"/>
      <c r="Y731" s="9"/>
      <c r="Z731" s="9"/>
    </row>
    <row r="732">
      <c r="A732" s="585"/>
      <c r="B732" s="585"/>
      <c r="C732" s="585"/>
      <c r="D732" s="585"/>
      <c r="E732" s="585"/>
      <c r="F732" s="585"/>
      <c r="G732" s="585"/>
      <c r="H732" s="585"/>
      <c r="I732" s="585"/>
      <c r="J732" s="585"/>
      <c r="K732" s="585"/>
      <c r="L732" s="585"/>
      <c r="M732" s="585"/>
      <c r="N732" s="585"/>
      <c r="O732" s="585"/>
      <c r="P732" s="585"/>
      <c r="Q732" s="585"/>
      <c r="R732" s="585"/>
      <c r="S732" s="585"/>
      <c r="T732" s="585"/>
      <c r="U732" s="585"/>
      <c r="V732" s="224"/>
      <c r="W732" s="224"/>
      <c r="X732" s="9"/>
      <c r="Y732" s="9"/>
      <c r="Z732" s="9"/>
    </row>
    <row r="733">
      <c r="A733" s="585"/>
      <c r="B733" s="585"/>
      <c r="C733" s="585"/>
      <c r="D733" s="585"/>
      <c r="E733" s="585"/>
      <c r="F733" s="585"/>
      <c r="G733" s="585"/>
      <c r="H733" s="585"/>
      <c r="I733" s="585"/>
      <c r="J733" s="585"/>
      <c r="K733" s="585"/>
      <c r="L733" s="585"/>
      <c r="M733" s="585"/>
      <c r="N733" s="585"/>
      <c r="O733" s="585"/>
      <c r="P733" s="585"/>
      <c r="Q733" s="585"/>
      <c r="R733" s="585"/>
      <c r="S733" s="585"/>
      <c r="T733" s="585"/>
      <c r="U733" s="585"/>
      <c r="V733" s="224"/>
      <c r="W733" s="224"/>
      <c r="X733" s="9"/>
      <c r="Y733" s="9"/>
      <c r="Z733" s="9"/>
    </row>
    <row r="734">
      <c r="A734" s="585"/>
      <c r="B734" s="585"/>
      <c r="C734" s="585"/>
      <c r="D734" s="585"/>
      <c r="E734" s="585"/>
      <c r="F734" s="585"/>
      <c r="G734" s="585"/>
      <c r="H734" s="585"/>
      <c r="I734" s="585"/>
      <c r="J734" s="585"/>
      <c r="K734" s="585"/>
      <c r="L734" s="585"/>
      <c r="M734" s="585"/>
      <c r="N734" s="585"/>
      <c r="O734" s="585"/>
      <c r="P734" s="585"/>
      <c r="Q734" s="585"/>
      <c r="R734" s="585"/>
      <c r="S734" s="585"/>
      <c r="T734" s="585"/>
      <c r="U734" s="585"/>
      <c r="V734" s="224"/>
      <c r="W734" s="224"/>
      <c r="X734" s="9"/>
      <c r="Y734" s="9"/>
      <c r="Z734" s="9"/>
    </row>
    <row r="735">
      <c r="A735" s="585"/>
      <c r="B735" s="585"/>
      <c r="C735" s="585"/>
      <c r="D735" s="585"/>
      <c r="E735" s="585"/>
      <c r="F735" s="585"/>
      <c r="G735" s="585"/>
      <c r="H735" s="585"/>
      <c r="I735" s="585"/>
      <c r="J735" s="585"/>
      <c r="K735" s="585"/>
      <c r="L735" s="585"/>
      <c r="M735" s="585"/>
      <c r="N735" s="585"/>
      <c r="O735" s="585"/>
      <c r="P735" s="585"/>
      <c r="Q735" s="585"/>
      <c r="R735" s="585"/>
      <c r="S735" s="585"/>
      <c r="T735" s="585"/>
      <c r="U735" s="585"/>
      <c r="V735" s="224"/>
      <c r="W735" s="224"/>
      <c r="X735" s="9"/>
      <c r="Y735" s="9"/>
      <c r="Z735" s="9"/>
    </row>
    <row r="736">
      <c r="A736" s="585"/>
      <c r="B736" s="585"/>
      <c r="C736" s="585"/>
      <c r="D736" s="585"/>
      <c r="E736" s="585"/>
      <c r="F736" s="585"/>
      <c r="G736" s="585"/>
      <c r="H736" s="585"/>
      <c r="I736" s="585"/>
      <c r="J736" s="585"/>
      <c r="K736" s="585"/>
      <c r="L736" s="585"/>
      <c r="M736" s="585"/>
      <c r="N736" s="585"/>
      <c r="O736" s="585"/>
      <c r="P736" s="585"/>
      <c r="Q736" s="585"/>
      <c r="R736" s="585"/>
      <c r="S736" s="585"/>
      <c r="T736" s="585"/>
      <c r="U736" s="585"/>
      <c r="V736" s="224"/>
      <c r="W736" s="224"/>
      <c r="X736" s="9"/>
      <c r="Y736" s="9"/>
      <c r="Z736" s="9"/>
    </row>
    <row r="737">
      <c r="A737" s="585"/>
      <c r="B737" s="585"/>
      <c r="C737" s="585"/>
      <c r="D737" s="585"/>
      <c r="E737" s="585"/>
      <c r="F737" s="585"/>
      <c r="G737" s="585"/>
      <c r="H737" s="585"/>
      <c r="I737" s="585"/>
      <c r="J737" s="585"/>
      <c r="K737" s="585"/>
      <c r="L737" s="585"/>
      <c r="M737" s="585"/>
      <c r="N737" s="585"/>
      <c r="O737" s="585"/>
      <c r="P737" s="585"/>
      <c r="Q737" s="585"/>
      <c r="R737" s="585"/>
      <c r="S737" s="585"/>
      <c r="T737" s="585"/>
      <c r="U737" s="585"/>
      <c r="V737" s="224"/>
      <c r="W737" s="224"/>
      <c r="X737" s="9"/>
      <c r="Y737" s="9"/>
      <c r="Z737" s="9"/>
    </row>
    <row r="738">
      <c r="A738" s="585"/>
      <c r="B738" s="585"/>
      <c r="C738" s="585"/>
      <c r="D738" s="585"/>
      <c r="E738" s="585"/>
      <c r="F738" s="585"/>
      <c r="G738" s="585"/>
      <c r="H738" s="585"/>
      <c r="I738" s="585"/>
      <c r="J738" s="585"/>
      <c r="K738" s="585"/>
      <c r="L738" s="585"/>
      <c r="M738" s="585"/>
      <c r="N738" s="585"/>
      <c r="O738" s="585"/>
      <c r="P738" s="585"/>
      <c r="Q738" s="585"/>
      <c r="R738" s="585"/>
      <c r="S738" s="585"/>
      <c r="T738" s="585"/>
      <c r="U738" s="585"/>
      <c r="V738" s="224"/>
      <c r="W738" s="224"/>
      <c r="X738" s="9"/>
      <c r="Y738" s="9"/>
      <c r="Z738" s="9"/>
    </row>
    <row r="739">
      <c r="A739" s="585"/>
      <c r="B739" s="585"/>
      <c r="C739" s="585"/>
      <c r="D739" s="585"/>
      <c r="E739" s="585"/>
      <c r="F739" s="585"/>
      <c r="G739" s="585"/>
      <c r="H739" s="585"/>
      <c r="I739" s="585"/>
      <c r="J739" s="585"/>
      <c r="K739" s="585"/>
      <c r="L739" s="585"/>
      <c r="M739" s="585"/>
      <c r="N739" s="585"/>
      <c r="O739" s="585"/>
      <c r="P739" s="585"/>
      <c r="Q739" s="585"/>
      <c r="R739" s="585"/>
      <c r="S739" s="585"/>
      <c r="T739" s="585"/>
      <c r="U739" s="585"/>
      <c r="V739" s="224"/>
      <c r="W739" s="224"/>
      <c r="X739" s="9"/>
      <c r="Y739" s="9"/>
      <c r="Z739" s="9"/>
    </row>
    <row r="740">
      <c r="A740" s="585"/>
      <c r="B740" s="585"/>
      <c r="C740" s="585"/>
      <c r="D740" s="585"/>
      <c r="E740" s="585"/>
      <c r="F740" s="585"/>
      <c r="G740" s="585"/>
      <c r="H740" s="585"/>
      <c r="I740" s="585"/>
      <c r="J740" s="585"/>
      <c r="K740" s="585"/>
      <c r="L740" s="585"/>
      <c r="M740" s="585"/>
      <c r="N740" s="585"/>
      <c r="O740" s="585"/>
      <c r="P740" s="585"/>
      <c r="Q740" s="585"/>
      <c r="R740" s="585"/>
      <c r="S740" s="585"/>
      <c r="T740" s="585"/>
      <c r="U740" s="585"/>
      <c r="V740" s="224"/>
      <c r="W740" s="224"/>
      <c r="X740" s="9"/>
      <c r="Y740" s="9"/>
      <c r="Z740" s="9"/>
    </row>
    <row r="741">
      <c r="A741" s="585"/>
      <c r="B741" s="585"/>
      <c r="C741" s="585"/>
      <c r="D741" s="585"/>
      <c r="E741" s="585"/>
      <c r="F741" s="585"/>
      <c r="G741" s="585"/>
      <c r="H741" s="585"/>
      <c r="I741" s="585"/>
      <c r="J741" s="585"/>
      <c r="K741" s="585"/>
      <c r="L741" s="585"/>
      <c r="M741" s="585"/>
      <c r="N741" s="585"/>
      <c r="O741" s="585"/>
      <c r="P741" s="585"/>
      <c r="Q741" s="585"/>
      <c r="R741" s="585"/>
      <c r="S741" s="585"/>
      <c r="T741" s="585"/>
      <c r="U741" s="585"/>
      <c r="V741" s="224"/>
      <c r="W741" s="224"/>
      <c r="X741" s="9"/>
      <c r="Y741" s="9"/>
      <c r="Z741" s="9"/>
    </row>
    <row r="742">
      <c r="A742" s="585"/>
      <c r="B742" s="585"/>
      <c r="C742" s="585"/>
      <c r="D742" s="585"/>
      <c r="E742" s="585"/>
      <c r="F742" s="585"/>
      <c r="G742" s="585"/>
      <c r="H742" s="585"/>
      <c r="I742" s="585"/>
      <c r="J742" s="585"/>
      <c r="K742" s="585"/>
      <c r="L742" s="585"/>
      <c r="M742" s="585"/>
      <c r="N742" s="585"/>
      <c r="O742" s="585"/>
      <c r="P742" s="585"/>
      <c r="Q742" s="585"/>
      <c r="R742" s="585"/>
      <c r="S742" s="585"/>
      <c r="T742" s="585"/>
      <c r="U742" s="585"/>
      <c r="V742" s="224"/>
      <c r="W742" s="224"/>
      <c r="X742" s="9"/>
      <c r="Y742" s="9"/>
      <c r="Z742" s="9"/>
    </row>
    <row r="743">
      <c r="A743" s="585"/>
      <c r="B743" s="585"/>
      <c r="C743" s="585"/>
      <c r="D743" s="585"/>
      <c r="E743" s="585"/>
      <c r="F743" s="585"/>
      <c r="G743" s="585"/>
      <c r="H743" s="585"/>
      <c r="I743" s="585"/>
      <c r="J743" s="585"/>
      <c r="K743" s="585"/>
      <c r="L743" s="585"/>
      <c r="M743" s="585"/>
      <c r="N743" s="585"/>
      <c r="O743" s="585"/>
      <c r="P743" s="585"/>
      <c r="Q743" s="585"/>
      <c r="R743" s="585"/>
      <c r="S743" s="585"/>
      <c r="T743" s="585"/>
      <c r="U743" s="585"/>
      <c r="V743" s="224"/>
      <c r="W743" s="224"/>
      <c r="X743" s="9"/>
      <c r="Y743" s="9"/>
      <c r="Z743" s="9"/>
    </row>
    <row r="744">
      <c r="A744" s="585"/>
      <c r="B744" s="585"/>
      <c r="C744" s="585"/>
      <c r="D744" s="585"/>
      <c r="E744" s="585"/>
      <c r="F744" s="585"/>
      <c r="G744" s="585"/>
      <c r="H744" s="585"/>
      <c r="I744" s="585"/>
      <c r="J744" s="585"/>
      <c r="K744" s="585"/>
      <c r="L744" s="585"/>
      <c r="M744" s="585"/>
      <c r="N744" s="585"/>
      <c r="O744" s="585"/>
      <c r="P744" s="585"/>
      <c r="Q744" s="585"/>
      <c r="R744" s="585"/>
      <c r="S744" s="585"/>
      <c r="T744" s="585"/>
      <c r="U744" s="585"/>
      <c r="V744" s="224"/>
      <c r="W744" s="224"/>
      <c r="X744" s="9"/>
      <c r="Y744" s="9"/>
      <c r="Z744" s="9"/>
    </row>
    <row r="745">
      <c r="A745" s="585"/>
      <c r="B745" s="585"/>
      <c r="C745" s="585"/>
      <c r="D745" s="585"/>
      <c r="E745" s="585"/>
      <c r="F745" s="585"/>
      <c r="G745" s="585"/>
      <c r="H745" s="585"/>
      <c r="I745" s="585"/>
      <c r="J745" s="585"/>
      <c r="K745" s="585"/>
      <c r="L745" s="585"/>
      <c r="M745" s="585"/>
      <c r="N745" s="585"/>
      <c r="O745" s="585"/>
      <c r="P745" s="585"/>
      <c r="Q745" s="585"/>
      <c r="R745" s="585"/>
      <c r="S745" s="585"/>
      <c r="T745" s="585"/>
      <c r="U745" s="585"/>
      <c r="V745" s="224"/>
      <c r="W745" s="224"/>
      <c r="X745" s="9"/>
      <c r="Y745" s="9"/>
      <c r="Z745" s="9"/>
    </row>
    <row r="746">
      <c r="A746" s="585"/>
      <c r="B746" s="585"/>
      <c r="C746" s="585"/>
      <c r="D746" s="585"/>
      <c r="E746" s="585"/>
      <c r="F746" s="585"/>
      <c r="G746" s="585"/>
      <c r="H746" s="585"/>
      <c r="I746" s="585"/>
      <c r="J746" s="585"/>
      <c r="K746" s="585"/>
      <c r="L746" s="585"/>
      <c r="M746" s="585"/>
      <c r="N746" s="585"/>
      <c r="O746" s="585"/>
      <c r="P746" s="585"/>
      <c r="Q746" s="585"/>
      <c r="R746" s="585"/>
      <c r="S746" s="585"/>
      <c r="T746" s="585"/>
      <c r="U746" s="585"/>
      <c r="V746" s="224"/>
      <c r="W746" s="224"/>
      <c r="X746" s="9"/>
      <c r="Y746" s="9"/>
      <c r="Z746" s="9"/>
    </row>
    <row r="747">
      <c r="A747" s="585"/>
      <c r="B747" s="585"/>
      <c r="C747" s="585"/>
      <c r="D747" s="585"/>
      <c r="E747" s="585"/>
      <c r="F747" s="585"/>
      <c r="G747" s="585"/>
      <c r="H747" s="585"/>
      <c r="I747" s="585"/>
      <c r="J747" s="585"/>
      <c r="K747" s="585"/>
      <c r="L747" s="585"/>
      <c r="M747" s="585"/>
      <c r="N747" s="585"/>
      <c r="O747" s="585"/>
      <c r="P747" s="585"/>
      <c r="Q747" s="585"/>
      <c r="R747" s="585"/>
      <c r="S747" s="585"/>
      <c r="T747" s="585"/>
      <c r="U747" s="585"/>
      <c r="V747" s="224"/>
      <c r="W747" s="224"/>
      <c r="X747" s="9"/>
      <c r="Y747" s="9"/>
      <c r="Z747" s="9"/>
    </row>
    <row r="748">
      <c r="A748" s="585"/>
      <c r="B748" s="585"/>
      <c r="C748" s="585"/>
      <c r="D748" s="585"/>
      <c r="E748" s="585"/>
      <c r="F748" s="585"/>
      <c r="G748" s="585"/>
      <c r="H748" s="585"/>
      <c r="I748" s="585"/>
      <c r="J748" s="585"/>
      <c r="K748" s="585"/>
      <c r="L748" s="585"/>
      <c r="M748" s="585"/>
      <c r="N748" s="585"/>
      <c r="O748" s="585"/>
      <c r="P748" s="585"/>
      <c r="Q748" s="585"/>
      <c r="R748" s="585"/>
      <c r="S748" s="585"/>
      <c r="T748" s="585"/>
      <c r="U748" s="585"/>
      <c r="V748" s="224"/>
      <c r="W748" s="224"/>
      <c r="X748" s="9"/>
      <c r="Y748" s="9"/>
      <c r="Z748" s="9"/>
    </row>
    <row r="749">
      <c r="A749" s="585"/>
      <c r="B749" s="585"/>
      <c r="C749" s="585"/>
      <c r="D749" s="585"/>
      <c r="E749" s="585"/>
      <c r="F749" s="585"/>
      <c r="G749" s="585"/>
      <c r="H749" s="585"/>
      <c r="I749" s="585"/>
      <c r="J749" s="585"/>
      <c r="K749" s="585"/>
      <c r="L749" s="585"/>
      <c r="M749" s="585"/>
      <c r="N749" s="585"/>
      <c r="O749" s="585"/>
      <c r="P749" s="585"/>
      <c r="Q749" s="585"/>
      <c r="R749" s="585"/>
      <c r="S749" s="585"/>
      <c r="T749" s="585"/>
      <c r="U749" s="585"/>
      <c r="V749" s="224"/>
      <c r="W749" s="224"/>
      <c r="X749" s="9"/>
      <c r="Y749" s="9"/>
      <c r="Z749" s="9"/>
    </row>
    <row r="750">
      <c r="A750" s="585"/>
      <c r="B750" s="585"/>
      <c r="C750" s="585"/>
      <c r="D750" s="585"/>
      <c r="E750" s="585"/>
      <c r="F750" s="585"/>
      <c r="G750" s="585"/>
      <c r="H750" s="585"/>
      <c r="I750" s="585"/>
      <c r="J750" s="585"/>
      <c r="K750" s="585"/>
      <c r="L750" s="585"/>
      <c r="M750" s="585"/>
      <c r="N750" s="585"/>
      <c r="O750" s="585"/>
      <c r="P750" s="585"/>
      <c r="Q750" s="585"/>
      <c r="R750" s="585"/>
      <c r="S750" s="585"/>
      <c r="T750" s="585"/>
      <c r="U750" s="585"/>
      <c r="V750" s="224"/>
      <c r="W750" s="224"/>
      <c r="X750" s="9"/>
      <c r="Y750" s="9"/>
      <c r="Z750" s="9"/>
    </row>
    <row r="751">
      <c r="A751" s="585"/>
      <c r="B751" s="585"/>
      <c r="C751" s="585"/>
      <c r="D751" s="585"/>
      <c r="E751" s="585"/>
      <c r="F751" s="585"/>
      <c r="G751" s="585"/>
      <c r="H751" s="585"/>
      <c r="I751" s="585"/>
      <c r="J751" s="585"/>
      <c r="K751" s="585"/>
      <c r="L751" s="585"/>
      <c r="M751" s="585"/>
      <c r="N751" s="585"/>
      <c r="O751" s="585"/>
      <c r="P751" s="585"/>
      <c r="Q751" s="585"/>
      <c r="R751" s="585"/>
      <c r="S751" s="585"/>
      <c r="T751" s="585"/>
      <c r="U751" s="585"/>
      <c r="V751" s="224"/>
      <c r="W751" s="224"/>
      <c r="X751" s="9"/>
      <c r="Y751" s="9"/>
      <c r="Z751" s="9"/>
    </row>
    <row r="752">
      <c r="A752" s="585"/>
      <c r="B752" s="585"/>
      <c r="C752" s="585"/>
      <c r="D752" s="585"/>
      <c r="E752" s="585"/>
      <c r="F752" s="585"/>
      <c r="G752" s="585"/>
      <c r="H752" s="585"/>
      <c r="I752" s="585"/>
      <c r="J752" s="585"/>
      <c r="K752" s="585"/>
      <c r="L752" s="585"/>
      <c r="M752" s="585"/>
      <c r="N752" s="585"/>
      <c r="O752" s="585"/>
      <c r="P752" s="585"/>
      <c r="Q752" s="585"/>
      <c r="R752" s="585"/>
      <c r="S752" s="585"/>
      <c r="T752" s="585"/>
      <c r="U752" s="585"/>
      <c r="V752" s="224"/>
      <c r="W752" s="224"/>
      <c r="X752" s="9"/>
      <c r="Y752" s="9"/>
      <c r="Z752" s="9"/>
    </row>
    <row r="753">
      <c r="A753" s="585"/>
      <c r="B753" s="585"/>
      <c r="C753" s="585"/>
      <c r="D753" s="585"/>
      <c r="E753" s="585"/>
      <c r="F753" s="585"/>
      <c r="G753" s="585"/>
      <c r="H753" s="585"/>
      <c r="I753" s="585"/>
      <c r="J753" s="585"/>
      <c r="K753" s="585"/>
      <c r="L753" s="585"/>
      <c r="M753" s="585"/>
      <c r="N753" s="585"/>
      <c r="O753" s="585"/>
      <c r="P753" s="585"/>
      <c r="Q753" s="585"/>
      <c r="R753" s="585"/>
      <c r="S753" s="585"/>
      <c r="T753" s="585"/>
      <c r="U753" s="585"/>
      <c r="V753" s="224"/>
      <c r="W753" s="224"/>
      <c r="X753" s="9"/>
      <c r="Y753" s="9"/>
      <c r="Z753" s="9"/>
    </row>
    <row r="754">
      <c r="A754" s="585"/>
      <c r="B754" s="585"/>
      <c r="C754" s="585"/>
      <c r="D754" s="585"/>
      <c r="E754" s="585"/>
      <c r="F754" s="585"/>
      <c r="G754" s="585"/>
      <c r="H754" s="585"/>
      <c r="I754" s="585"/>
      <c r="J754" s="585"/>
      <c r="K754" s="585"/>
      <c r="L754" s="585"/>
      <c r="M754" s="585"/>
      <c r="N754" s="585"/>
      <c r="O754" s="585"/>
      <c r="P754" s="585"/>
      <c r="Q754" s="585"/>
      <c r="R754" s="585"/>
      <c r="S754" s="585"/>
      <c r="T754" s="585"/>
      <c r="U754" s="585"/>
      <c r="V754" s="224"/>
      <c r="W754" s="224"/>
      <c r="X754" s="9"/>
      <c r="Y754" s="9"/>
      <c r="Z754" s="9"/>
    </row>
    <row r="755">
      <c r="A755" s="585"/>
      <c r="B755" s="585"/>
      <c r="C755" s="585"/>
      <c r="D755" s="585"/>
      <c r="E755" s="585"/>
      <c r="F755" s="585"/>
      <c r="G755" s="585"/>
      <c r="H755" s="585"/>
      <c r="I755" s="585"/>
      <c r="J755" s="585"/>
      <c r="K755" s="585"/>
      <c r="L755" s="585"/>
      <c r="M755" s="585"/>
      <c r="N755" s="585"/>
      <c r="O755" s="585"/>
      <c r="P755" s="585"/>
      <c r="Q755" s="585"/>
      <c r="R755" s="585"/>
      <c r="S755" s="585"/>
      <c r="T755" s="585"/>
      <c r="U755" s="585"/>
      <c r="V755" s="224"/>
      <c r="W755" s="224"/>
      <c r="X755" s="9"/>
      <c r="Y755" s="9"/>
      <c r="Z755" s="9"/>
    </row>
    <row r="756">
      <c r="A756" s="585"/>
      <c r="B756" s="585"/>
      <c r="C756" s="585"/>
      <c r="D756" s="585"/>
      <c r="E756" s="585"/>
      <c r="F756" s="585"/>
      <c r="G756" s="585"/>
      <c r="H756" s="585"/>
      <c r="I756" s="585"/>
      <c r="J756" s="585"/>
      <c r="K756" s="585"/>
      <c r="L756" s="585"/>
      <c r="M756" s="585"/>
      <c r="N756" s="585"/>
      <c r="O756" s="585"/>
      <c r="P756" s="585"/>
      <c r="Q756" s="585"/>
      <c r="R756" s="585"/>
      <c r="S756" s="585"/>
      <c r="T756" s="585"/>
      <c r="U756" s="585"/>
      <c r="V756" s="224"/>
      <c r="W756" s="224"/>
      <c r="X756" s="9"/>
      <c r="Y756" s="9"/>
      <c r="Z756" s="9"/>
    </row>
    <row r="757">
      <c r="A757" s="585"/>
      <c r="B757" s="585"/>
      <c r="C757" s="585"/>
      <c r="D757" s="585"/>
      <c r="E757" s="585"/>
      <c r="F757" s="585"/>
      <c r="G757" s="585"/>
      <c r="H757" s="585"/>
      <c r="I757" s="585"/>
      <c r="J757" s="585"/>
      <c r="K757" s="585"/>
      <c r="L757" s="585"/>
      <c r="M757" s="585"/>
      <c r="N757" s="585"/>
      <c r="O757" s="585"/>
      <c r="P757" s="585"/>
      <c r="Q757" s="585"/>
      <c r="R757" s="585"/>
      <c r="S757" s="585"/>
      <c r="T757" s="585"/>
      <c r="U757" s="585"/>
      <c r="V757" s="224"/>
      <c r="W757" s="224"/>
      <c r="X757" s="9"/>
      <c r="Y757" s="9"/>
      <c r="Z757" s="9"/>
    </row>
    <row r="758">
      <c r="A758" s="585"/>
      <c r="B758" s="585"/>
      <c r="C758" s="585"/>
      <c r="D758" s="585"/>
      <c r="E758" s="585"/>
      <c r="F758" s="585"/>
      <c r="G758" s="585"/>
      <c r="H758" s="585"/>
      <c r="I758" s="585"/>
      <c r="J758" s="585"/>
      <c r="K758" s="585"/>
      <c r="L758" s="585"/>
      <c r="M758" s="585"/>
      <c r="N758" s="585"/>
      <c r="O758" s="585"/>
      <c r="P758" s="585"/>
      <c r="Q758" s="585"/>
      <c r="R758" s="585"/>
      <c r="S758" s="585"/>
      <c r="T758" s="585"/>
      <c r="U758" s="585"/>
      <c r="V758" s="224"/>
      <c r="W758" s="224"/>
      <c r="X758" s="9"/>
      <c r="Y758" s="9"/>
      <c r="Z758" s="9"/>
    </row>
    <row r="759">
      <c r="A759" s="585"/>
      <c r="B759" s="585"/>
      <c r="C759" s="585"/>
      <c r="D759" s="585"/>
      <c r="E759" s="585"/>
      <c r="F759" s="585"/>
      <c r="G759" s="585"/>
      <c r="H759" s="585"/>
      <c r="I759" s="585"/>
      <c r="J759" s="585"/>
      <c r="K759" s="585"/>
      <c r="L759" s="585"/>
      <c r="M759" s="585"/>
      <c r="N759" s="585"/>
      <c r="O759" s="585"/>
      <c r="P759" s="585"/>
      <c r="Q759" s="585"/>
      <c r="R759" s="585"/>
      <c r="S759" s="585"/>
      <c r="T759" s="585"/>
      <c r="U759" s="585"/>
      <c r="V759" s="224"/>
      <c r="W759" s="224"/>
      <c r="X759" s="9"/>
      <c r="Y759" s="9"/>
      <c r="Z759" s="9"/>
    </row>
    <row r="760">
      <c r="A760" s="585"/>
      <c r="B760" s="585"/>
      <c r="C760" s="585"/>
      <c r="D760" s="585"/>
      <c r="E760" s="585"/>
      <c r="F760" s="585"/>
      <c r="G760" s="585"/>
      <c r="H760" s="585"/>
      <c r="I760" s="585"/>
      <c r="J760" s="585"/>
      <c r="K760" s="585"/>
      <c r="L760" s="585"/>
      <c r="M760" s="585"/>
      <c r="N760" s="585"/>
      <c r="O760" s="585"/>
      <c r="P760" s="585"/>
      <c r="Q760" s="585"/>
      <c r="R760" s="585"/>
      <c r="S760" s="585"/>
      <c r="T760" s="585"/>
      <c r="U760" s="585"/>
      <c r="V760" s="224"/>
      <c r="W760" s="224"/>
      <c r="X760" s="9"/>
      <c r="Y760" s="9"/>
      <c r="Z760" s="9"/>
    </row>
    <row r="761">
      <c r="A761" s="585"/>
      <c r="B761" s="585"/>
      <c r="C761" s="585"/>
      <c r="D761" s="585"/>
      <c r="E761" s="585"/>
      <c r="F761" s="585"/>
      <c r="G761" s="585"/>
      <c r="H761" s="585"/>
      <c r="I761" s="585"/>
      <c r="J761" s="585"/>
      <c r="K761" s="585"/>
      <c r="L761" s="585"/>
      <c r="M761" s="585"/>
      <c r="N761" s="585"/>
      <c r="O761" s="585"/>
      <c r="P761" s="585"/>
      <c r="Q761" s="585"/>
      <c r="R761" s="585"/>
      <c r="S761" s="585"/>
      <c r="T761" s="585"/>
      <c r="U761" s="585"/>
      <c r="V761" s="224"/>
      <c r="W761" s="224"/>
      <c r="X761" s="9"/>
      <c r="Y761" s="9"/>
      <c r="Z761" s="9"/>
    </row>
    <row r="762">
      <c r="A762" s="585"/>
      <c r="B762" s="585"/>
      <c r="C762" s="585"/>
      <c r="D762" s="585"/>
      <c r="E762" s="585"/>
      <c r="F762" s="585"/>
      <c r="G762" s="585"/>
      <c r="H762" s="585"/>
      <c r="I762" s="585"/>
      <c r="J762" s="585"/>
      <c r="K762" s="585"/>
      <c r="L762" s="585"/>
      <c r="M762" s="585"/>
      <c r="N762" s="585"/>
      <c r="O762" s="585"/>
      <c r="P762" s="585"/>
      <c r="Q762" s="585"/>
      <c r="R762" s="585"/>
      <c r="S762" s="585"/>
      <c r="T762" s="585"/>
      <c r="U762" s="585"/>
      <c r="V762" s="224"/>
      <c r="W762" s="224"/>
      <c r="X762" s="9"/>
      <c r="Y762" s="9"/>
      <c r="Z762" s="9"/>
    </row>
    <row r="763">
      <c r="A763" s="585"/>
      <c r="B763" s="585"/>
      <c r="C763" s="585"/>
      <c r="D763" s="585"/>
      <c r="E763" s="585"/>
      <c r="F763" s="585"/>
      <c r="G763" s="585"/>
      <c r="H763" s="585"/>
      <c r="I763" s="585"/>
      <c r="J763" s="585"/>
      <c r="K763" s="585"/>
      <c r="L763" s="585"/>
      <c r="M763" s="585"/>
      <c r="N763" s="585"/>
      <c r="O763" s="585"/>
      <c r="P763" s="585"/>
      <c r="Q763" s="585"/>
      <c r="R763" s="585"/>
      <c r="S763" s="585"/>
      <c r="T763" s="585"/>
      <c r="U763" s="585"/>
      <c r="V763" s="224"/>
      <c r="W763" s="224"/>
      <c r="X763" s="9"/>
      <c r="Y763" s="9"/>
      <c r="Z763" s="9"/>
    </row>
    <row r="764">
      <c r="A764" s="585"/>
      <c r="B764" s="585"/>
      <c r="C764" s="585"/>
      <c r="D764" s="585"/>
      <c r="E764" s="585"/>
      <c r="F764" s="585"/>
      <c r="G764" s="585"/>
      <c r="H764" s="585"/>
      <c r="I764" s="585"/>
      <c r="J764" s="585"/>
      <c r="K764" s="585"/>
      <c r="L764" s="585"/>
      <c r="M764" s="585"/>
      <c r="N764" s="585"/>
      <c r="O764" s="585"/>
      <c r="P764" s="585"/>
      <c r="Q764" s="585"/>
      <c r="R764" s="585"/>
      <c r="S764" s="585"/>
      <c r="T764" s="585"/>
      <c r="U764" s="585"/>
      <c r="V764" s="224"/>
      <c r="W764" s="224"/>
      <c r="X764" s="9"/>
      <c r="Y764" s="9"/>
      <c r="Z764" s="9"/>
    </row>
    <row r="765">
      <c r="A765" s="585"/>
      <c r="B765" s="585"/>
      <c r="C765" s="585"/>
      <c r="D765" s="585"/>
      <c r="E765" s="585"/>
      <c r="F765" s="585"/>
      <c r="G765" s="585"/>
      <c r="H765" s="585"/>
      <c r="I765" s="585"/>
      <c r="J765" s="585"/>
      <c r="K765" s="585"/>
      <c r="L765" s="585"/>
      <c r="M765" s="585"/>
      <c r="N765" s="585"/>
      <c r="O765" s="585"/>
      <c r="P765" s="585"/>
      <c r="Q765" s="585"/>
      <c r="R765" s="585"/>
      <c r="S765" s="585"/>
      <c r="T765" s="585"/>
      <c r="U765" s="585"/>
      <c r="V765" s="224"/>
      <c r="W765" s="224"/>
      <c r="X765" s="9"/>
      <c r="Y765" s="9"/>
      <c r="Z765" s="9"/>
    </row>
    <row r="766">
      <c r="A766" s="585"/>
      <c r="B766" s="585"/>
      <c r="C766" s="585"/>
      <c r="D766" s="585"/>
      <c r="E766" s="585"/>
      <c r="F766" s="585"/>
      <c r="G766" s="585"/>
      <c r="H766" s="585"/>
      <c r="I766" s="585"/>
      <c r="J766" s="585"/>
      <c r="K766" s="585"/>
      <c r="L766" s="585"/>
      <c r="M766" s="585"/>
      <c r="N766" s="585"/>
      <c r="O766" s="585"/>
      <c r="P766" s="585"/>
      <c r="Q766" s="585"/>
      <c r="R766" s="585"/>
      <c r="S766" s="585"/>
      <c r="T766" s="585"/>
      <c r="U766" s="585"/>
      <c r="V766" s="224"/>
      <c r="W766" s="224"/>
      <c r="X766" s="9"/>
      <c r="Y766" s="9"/>
      <c r="Z766" s="9"/>
    </row>
    <row r="767">
      <c r="A767" s="585"/>
      <c r="B767" s="585"/>
      <c r="C767" s="585"/>
      <c r="D767" s="585"/>
      <c r="E767" s="585"/>
      <c r="F767" s="585"/>
      <c r="G767" s="585"/>
      <c r="H767" s="585"/>
      <c r="I767" s="585"/>
      <c r="J767" s="585"/>
      <c r="K767" s="585"/>
      <c r="L767" s="585"/>
      <c r="M767" s="585"/>
      <c r="N767" s="585"/>
      <c r="O767" s="585"/>
      <c r="P767" s="585"/>
      <c r="Q767" s="585"/>
      <c r="R767" s="585"/>
      <c r="S767" s="585"/>
      <c r="T767" s="585"/>
      <c r="U767" s="585"/>
      <c r="V767" s="224"/>
      <c r="W767" s="224"/>
      <c r="X767" s="9"/>
      <c r="Y767" s="9"/>
      <c r="Z767" s="9"/>
    </row>
    <row r="768">
      <c r="A768" s="585"/>
      <c r="B768" s="585"/>
      <c r="C768" s="585"/>
      <c r="D768" s="585"/>
      <c r="E768" s="585"/>
      <c r="F768" s="585"/>
      <c r="G768" s="585"/>
      <c r="H768" s="585"/>
      <c r="I768" s="585"/>
      <c r="J768" s="585"/>
      <c r="K768" s="585"/>
      <c r="L768" s="585"/>
      <c r="M768" s="585"/>
      <c r="N768" s="585"/>
      <c r="O768" s="585"/>
      <c r="P768" s="585"/>
      <c r="Q768" s="585"/>
      <c r="R768" s="585"/>
      <c r="S768" s="585"/>
      <c r="T768" s="585"/>
      <c r="U768" s="585"/>
      <c r="V768" s="224"/>
      <c r="W768" s="224"/>
      <c r="X768" s="9"/>
      <c r="Y768" s="9"/>
      <c r="Z768" s="9"/>
    </row>
    <row r="769">
      <c r="A769" s="585"/>
      <c r="B769" s="585"/>
      <c r="C769" s="585"/>
      <c r="D769" s="585"/>
      <c r="E769" s="585"/>
      <c r="F769" s="585"/>
      <c r="G769" s="585"/>
      <c r="H769" s="585"/>
      <c r="I769" s="585"/>
      <c r="J769" s="585"/>
      <c r="K769" s="585"/>
      <c r="L769" s="585"/>
      <c r="M769" s="585"/>
      <c r="N769" s="585"/>
      <c r="O769" s="585"/>
      <c r="P769" s="585"/>
      <c r="Q769" s="585"/>
      <c r="R769" s="585"/>
      <c r="S769" s="585"/>
      <c r="T769" s="585"/>
      <c r="U769" s="585"/>
      <c r="V769" s="224"/>
      <c r="W769" s="224"/>
      <c r="X769" s="9"/>
      <c r="Y769" s="9"/>
      <c r="Z769" s="9"/>
    </row>
    <row r="770">
      <c r="A770" s="585"/>
      <c r="B770" s="585"/>
      <c r="C770" s="585"/>
      <c r="D770" s="585"/>
      <c r="E770" s="585"/>
      <c r="F770" s="585"/>
      <c r="G770" s="585"/>
      <c r="H770" s="585"/>
      <c r="I770" s="585"/>
      <c r="J770" s="585"/>
      <c r="K770" s="585"/>
      <c r="L770" s="585"/>
      <c r="M770" s="585"/>
      <c r="N770" s="585"/>
      <c r="O770" s="585"/>
      <c r="P770" s="585"/>
      <c r="Q770" s="585"/>
      <c r="R770" s="585"/>
      <c r="S770" s="585"/>
      <c r="T770" s="585"/>
      <c r="U770" s="585"/>
      <c r="V770" s="224"/>
      <c r="W770" s="224"/>
      <c r="X770" s="9"/>
      <c r="Y770" s="9"/>
      <c r="Z770" s="9"/>
    </row>
    <row r="771">
      <c r="A771" s="585"/>
      <c r="B771" s="585"/>
      <c r="C771" s="585"/>
      <c r="D771" s="585"/>
      <c r="E771" s="585"/>
      <c r="F771" s="585"/>
      <c r="G771" s="585"/>
      <c r="H771" s="585"/>
      <c r="I771" s="585"/>
      <c r="J771" s="585"/>
      <c r="K771" s="585"/>
      <c r="L771" s="585"/>
      <c r="M771" s="585"/>
      <c r="N771" s="585"/>
      <c r="O771" s="585"/>
      <c r="P771" s="585"/>
      <c r="Q771" s="585"/>
      <c r="R771" s="585"/>
      <c r="S771" s="585"/>
      <c r="T771" s="585"/>
      <c r="U771" s="585"/>
      <c r="V771" s="224"/>
      <c r="W771" s="224"/>
      <c r="X771" s="9"/>
      <c r="Y771" s="9"/>
      <c r="Z771" s="9"/>
    </row>
    <row r="772">
      <c r="A772" s="585"/>
      <c r="B772" s="585"/>
      <c r="C772" s="585"/>
      <c r="D772" s="585"/>
      <c r="E772" s="585"/>
      <c r="F772" s="585"/>
      <c r="G772" s="585"/>
      <c r="H772" s="585"/>
      <c r="I772" s="585"/>
      <c r="J772" s="585"/>
      <c r="K772" s="585"/>
      <c r="L772" s="585"/>
      <c r="M772" s="585"/>
      <c r="N772" s="585"/>
      <c r="O772" s="585"/>
      <c r="P772" s="585"/>
      <c r="Q772" s="585"/>
      <c r="R772" s="585"/>
      <c r="S772" s="585"/>
      <c r="T772" s="585"/>
      <c r="U772" s="585"/>
      <c r="V772" s="224"/>
      <c r="W772" s="224"/>
      <c r="X772" s="9"/>
      <c r="Y772" s="9"/>
      <c r="Z772" s="9"/>
    </row>
    <row r="773">
      <c r="A773" s="585"/>
      <c r="B773" s="585"/>
      <c r="C773" s="585"/>
      <c r="D773" s="585"/>
      <c r="E773" s="585"/>
      <c r="F773" s="585"/>
      <c r="G773" s="585"/>
      <c r="H773" s="585"/>
      <c r="I773" s="585"/>
      <c r="J773" s="585"/>
      <c r="K773" s="585"/>
      <c r="L773" s="585"/>
      <c r="M773" s="585"/>
      <c r="N773" s="585"/>
      <c r="O773" s="585"/>
      <c r="P773" s="585"/>
      <c r="Q773" s="585"/>
      <c r="R773" s="585"/>
      <c r="S773" s="585"/>
      <c r="T773" s="585"/>
      <c r="U773" s="585"/>
      <c r="V773" s="224"/>
      <c r="W773" s="224"/>
      <c r="X773" s="9"/>
      <c r="Y773" s="9"/>
      <c r="Z773" s="9"/>
    </row>
    <row r="774">
      <c r="A774" s="585"/>
      <c r="B774" s="585"/>
      <c r="C774" s="585"/>
      <c r="D774" s="585"/>
      <c r="E774" s="585"/>
      <c r="F774" s="585"/>
      <c r="G774" s="585"/>
      <c r="H774" s="585"/>
      <c r="I774" s="585"/>
      <c r="J774" s="585"/>
      <c r="K774" s="585"/>
      <c r="L774" s="585"/>
      <c r="M774" s="585"/>
      <c r="N774" s="585"/>
      <c r="O774" s="585"/>
      <c r="P774" s="585"/>
      <c r="Q774" s="585"/>
      <c r="R774" s="585"/>
      <c r="S774" s="585"/>
      <c r="T774" s="585"/>
      <c r="U774" s="585"/>
      <c r="V774" s="224"/>
      <c r="W774" s="224"/>
      <c r="X774" s="9"/>
      <c r="Y774" s="9"/>
      <c r="Z774" s="9"/>
    </row>
    <row r="775">
      <c r="A775" s="585"/>
      <c r="B775" s="585"/>
      <c r="C775" s="585"/>
      <c r="D775" s="585"/>
      <c r="E775" s="585"/>
      <c r="F775" s="585"/>
      <c r="G775" s="585"/>
      <c r="H775" s="585"/>
      <c r="I775" s="585"/>
      <c r="J775" s="585"/>
      <c r="K775" s="585"/>
      <c r="L775" s="585"/>
      <c r="M775" s="585"/>
      <c r="N775" s="585"/>
      <c r="O775" s="585"/>
      <c r="P775" s="585"/>
      <c r="Q775" s="585"/>
      <c r="R775" s="585"/>
      <c r="S775" s="585"/>
      <c r="T775" s="585"/>
      <c r="U775" s="585"/>
      <c r="V775" s="224"/>
      <c r="W775" s="224"/>
      <c r="X775" s="9"/>
      <c r="Y775" s="9"/>
      <c r="Z775" s="9"/>
    </row>
    <row r="776">
      <c r="A776" s="585"/>
      <c r="B776" s="585"/>
      <c r="C776" s="585"/>
      <c r="D776" s="585"/>
      <c r="E776" s="585"/>
      <c r="F776" s="585"/>
      <c r="G776" s="585"/>
      <c r="H776" s="585"/>
      <c r="I776" s="585"/>
      <c r="J776" s="585"/>
      <c r="K776" s="585"/>
      <c r="L776" s="585"/>
      <c r="M776" s="585"/>
      <c r="N776" s="585"/>
      <c r="O776" s="585"/>
      <c r="P776" s="585"/>
      <c r="Q776" s="585"/>
      <c r="R776" s="585"/>
      <c r="S776" s="585"/>
      <c r="T776" s="585"/>
      <c r="U776" s="585"/>
      <c r="V776" s="224"/>
      <c r="W776" s="224"/>
      <c r="X776" s="9"/>
      <c r="Y776" s="9"/>
      <c r="Z776" s="9"/>
    </row>
    <row r="777">
      <c r="A777" s="585"/>
      <c r="B777" s="585"/>
      <c r="C777" s="585"/>
      <c r="D777" s="585"/>
      <c r="E777" s="585"/>
      <c r="F777" s="585"/>
      <c r="G777" s="585"/>
      <c r="H777" s="585"/>
      <c r="I777" s="585"/>
      <c r="J777" s="585"/>
      <c r="K777" s="585"/>
      <c r="L777" s="585"/>
      <c r="M777" s="585"/>
      <c r="N777" s="585"/>
      <c r="O777" s="585"/>
      <c r="P777" s="585"/>
      <c r="Q777" s="585"/>
      <c r="R777" s="585"/>
      <c r="S777" s="585"/>
      <c r="T777" s="585"/>
      <c r="U777" s="585"/>
      <c r="V777" s="224"/>
      <c r="W777" s="224"/>
      <c r="X777" s="9"/>
      <c r="Y777" s="9"/>
      <c r="Z777" s="9"/>
    </row>
    <row r="778">
      <c r="A778" s="585"/>
      <c r="B778" s="585"/>
      <c r="C778" s="585"/>
      <c r="D778" s="585"/>
      <c r="E778" s="585"/>
      <c r="F778" s="585"/>
      <c r="G778" s="585"/>
      <c r="H778" s="585"/>
      <c r="I778" s="585"/>
      <c r="J778" s="585"/>
      <c r="K778" s="585"/>
      <c r="L778" s="585"/>
      <c r="M778" s="585"/>
      <c r="N778" s="585"/>
      <c r="O778" s="585"/>
      <c r="P778" s="585"/>
      <c r="Q778" s="585"/>
      <c r="R778" s="585"/>
      <c r="S778" s="585"/>
      <c r="T778" s="585"/>
      <c r="U778" s="585"/>
      <c r="V778" s="224"/>
      <c r="W778" s="224"/>
      <c r="X778" s="9"/>
      <c r="Y778" s="9"/>
      <c r="Z778" s="9"/>
    </row>
    <row r="779">
      <c r="A779" s="585"/>
      <c r="B779" s="585"/>
      <c r="C779" s="585"/>
      <c r="D779" s="585"/>
      <c r="E779" s="585"/>
      <c r="F779" s="585"/>
      <c r="G779" s="585"/>
      <c r="H779" s="585"/>
      <c r="I779" s="585"/>
      <c r="J779" s="585"/>
      <c r="K779" s="585"/>
      <c r="L779" s="585"/>
      <c r="M779" s="585"/>
      <c r="N779" s="585"/>
      <c r="O779" s="585"/>
      <c r="P779" s="585"/>
      <c r="Q779" s="585"/>
      <c r="R779" s="585"/>
      <c r="S779" s="585"/>
      <c r="T779" s="585"/>
      <c r="U779" s="585"/>
      <c r="V779" s="224"/>
      <c r="W779" s="224"/>
      <c r="X779" s="9"/>
      <c r="Y779" s="9"/>
      <c r="Z779" s="9"/>
    </row>
    <row r="780">
      <c r="A780" s="585"/>
      <c r="B780" s="585"/>
      <c r="C780" s="585"/>
      <c r="D780" s="585"/>
      <c r="E780" s="585"/>
      <c r="F780" s="585"/>
      <c r="G780" s="585"/>
      <c r="H780" s="585"/>
      <c r="I780" s="585"/>
      <c r="J780" s="585"/>
      <c r="K780" s="585"/>
      <c r="L780" s="585"/>
      <c r="M780" s="585"/>
      <c r="N780" s="585"/>
      <c r="O780" s="585"/>
      <c r="P780" s="585"/>
      <c r="Q780" s="585"/>
      <c r="R780" s="585"/>
      <c r="S780" s="585"/>
      <c r="T780" s="585"/>
      <c r="U780" s="585"/>
      <c r="V780" s="224"/>
      <c r="W780" s="224"/>
      <c r="X780" s="9"/>
      <c r="Y780" s="9"/>
      <c r="Z780" s="9"/>
    </row>
    <row r="781">
      <c r="A781" s="585"/>
      <c r="B781" s="585"/>
      <c r="C781" s="585"/>
      <c r="D781" s="585"/>
      <c r="E781" s="585"/>
      <c r="F781" s="585"/>
      <c r="G781" s="585"/>
      <c r="H781" s="585"/>
      <c r="I781" s="585"/>
      <c r="J781" s="585"/>
      <c r="K781" s="585"/>
      <c r="L781" s="585"/>
      <c r="M781" s="585"/>
      <c r="N781" s="585"/>
      <c r="O781" s="585"/>
      <c r="P781" s="585"/>
      <c r="Q781" s="585"/>
      <c r="R781" s="585"/>
      <c r="S781" s="585"/>
      <c r="T781" s="585"/>
      <c r="U781" s="585"/>
      <c r="V781" s="224"/>
      <c r="W781" s="224"/>
      <c r="X781" s="9"/>
      <c r="Y781" s="9"/>
      <c r="Z781" s="9"/>
    </row>
    <row r="782">
      <c r="A782" s="585"/>
      <c r="B782" s="585"/>
      <c r="C782" s="585"/>
      <c r="D782" s="585"/>
      <c r="E782" s="585"/>
      <c r="F782" s="585"/>
      <c r="G782" s="585"/>
      <c r="H782" s="585"/>
      <c r="I782" s="585"/>
      <c r="J782" s="585"/>
      <c r="K782" s="585"/>
      <c r="L782" s="585"/>
      <c r="M782" s="585"/>
      <c r="N782" s="585"/>
      <c r="O782" s="585"/>
      <c r="P782" s="585"/>
      <c r="Q782" s="585"/>
      <c r="R782" s="585"/>
      <c r="S782" s="585"/>
      <c r="T782" s="585"/>
      <c r="U782" s="585"/>
      <c r="V782" s="224"/>
      <c r="W782" s="224"/>
      <c r="X782" s="9"/>
      <c r="Y782" s="9"/>
      <c r="Z782" s="9"/>
    </row>
    <row r="783">
      <c r="A783" s="585"/>
      <c r="B783" s="585"/>
      <c r="C783" s="585"/>
      <c r="D783" s="585"/>
      <c r="E783" s="585"/>
      <c r="F783" s="585"/>
      <c r="G783" s="585"/>
      <c r="H783" s="585"/>
      <c r="I783" s="585"/>
      <c r="J783" s="585"/>
      <c r="K783" s="585"/>
      <c r="L783" s="585"/>
      <c r="M783" s="585"/>
      <c r="N783" s="585"/>
      <c r="O783" s="585"/>
      <c r="P783" s="585"/>
      <c r="Q783" s="585"/>
      <c r="R783" s="585"/>
      <c r="S783" s="585"/>
      <c r="T783" s="585"/>
      <c r="U783" s="585"/>
      <c r="V783" s="224"/>
      <c r="W783" s="224"/>
      <c r="X783" s="9"/>
      <c r="Y783" s="9"/>
      <c r="Z783" s="9"/>
    </row>
    <row r="784">
      <c r="A784" s="585"/>
      <c r="B784" s="585"/>
      <c r="C784" s="585"/>
      <c r="D784" s="585"/>
      <c r="E784" s="585"/>
      <c r="F784" s="585"/>
      <c r="G784" s="585"/>
      <c r="H784" s="585"/>
      <c r="I784" s="585"/>
      <c r="J784" s="585"/>
      <c r="K784" s="585"/>
      <c r="L784" s="585"/>
      <c r="M784" s="585"/>
      <c r="N784" s="585"/>
      <c r="O784" s="585"/>
      <c r="P784" s="585"/>
      <c r="Q784" s="585"/>
      <c r="R784" s="585"/>
      <c r="S784" s="585"/>
      <c r="T784" s="585"/>
      <c r="U784" s="585"/>
      <c r="V784" s="224"/>
      <c r="W784" s="224"/>
      <c r="X784" s="9"/>
      <c r="Y784" s="9"/>
      <c r="Z784" s="9"/>
    </row>
    <row r="785">
      <c r="A785" s="585"/>
      <c r="B785" s="585"/>
      <c r="C785" s="585"/>
      <c r="D785" s="585"/>
      <c r="E785" s="585"/>
      <c r="F785" s="585"/>
      <c r="G785" s="585"/>
      <c r="H785" s="585"/>
      <c r="I785" s="585"/>
      <c r="J785" s="585"/>
      <c r="K785" s="585"/>
      <c r="L785" s="585"/>
      <c r="M785" s="585"/>
      <c r="N785" s="585"/>
      <c r="O785" s="585"/>
      <c r="P785" s="585"/>
      <c r="Q785" s="585"/>
      <c r="R785" s="585"/>
      <c r="S785" s="585"/>
      <c r="T785" s="585"/>
      <c r="U785" s="585"/>
      <c r="V785" s="224"/>
      <c r="W785" s="224"/>
      <c r="X785" s="9"/>
      <c r="Y785" s="9"/>
      <c r="Z785" s="9"/>
    </row>
    <row r="786">
      <c r="A786" s="585"/>
      <c r="B786" s="585"/>
      <c r="C786" s="585"/>
      <c r="D786" s="585"/>
      <c r="E786" s="585"/>
      <c r="F786" s="585"/>
      <c r="G786" s="585"/>
      <c r="H786" s="585"/>
      <c r="I786" s="585"/>
      <c r="J786" s="585"/>
      <c r="K786" s="585"/>
      <c r="L786" s="585"/>
      <c r="M786" s="585"/>
      <c r="N786" s="585"/>
      <c r="O786" s="585"/>
      <c r="P786" s="585"/>
      <c r="Q786" s="585"/>
      <c r="R786" s="585"/>
      <c r="S786" s="585"/>
      <c r="T786" s="585"/>
      <c r="U786" s="585"/>
      <c r="V786" s="224"/>
      <c r="W786" s="224"/>
      <c r="X786" s="9"/>
      <c r="Y786" s="9"/>
      <c r="Z786" s="9"/>
    </row>
    <row r="787">
      <c r="A787" s="585"/>
      <c r="B787" s="585"/>
      <c r="C787" s="585"/>
      <c r="D787" s="585"/>
      <c r="E787" s="585"/>
      <c r="F787" s="585"/>
      <c r="G787" s="585"/>
      <c r="H787" s="585"/>
      <c r="I787" s="585"/>
      <c r="J787" s="585"/>
      <c r="K787" s="585"/>
      <c r="L787" s="585"/>
      <c r="M787" s="585"/>
      <c r="N787" s="585"/>
      <c r="O787" s="585"/>
      <c r="P787" s="585"/>
      <c r="Q787" s="585"/>
      <c r="R787" s="585"/>
      <c r="S787" s="585"/>
      <c r="T787" s="585"/>
      <c r="U787" s="585"/>
      <c r="V787" s="224"/>
      <c r="W787" s="224"/>
      <c r="X787" s="9"/>
      <c r="Y787" s="9"/>
      <c r="Z787" s="9"/>
    </row>
    <row r="788">
      <c r="A788" s="585"/>
      <c r="B788" s="585"/>
      <c r="C788" s="585"/>
      <c r="D788" s="585"/>
      <c r="E788" s="585"/>
      <c r="F788" s="585"/>
      <c r="G788" s="585"/>
      <c r="H788" s="585"/>
      <c r="I788" s="585"/>
      <c r="J788" s="585"/>
      <c r="K788" s="585"/>
      <c r="L788" s="585"/>
      <c r="M788" s="585"/>
      <c r="N788" s="585"/>
      <c r="O788" s="585"/>
      <c r="P788" s="585"/>
      <c r="Q788" s="585"/>
      <c r="R788" s="585"/>
      <c r="S788" s="585"/>
      <c r="T788" s="585"/>
      <c r="U788" s="585"/>
      <c r="V788" s="224"/>
      <c r="W788" s="224"/>
      <c r="X788" s="9"/>
      <c r="Y788" s="9"/>
      <c r="Z788" s="9"/>
    </row>
    <row r="789">
      <c r="A789" s="585"/>
      <c r="B789" s="585"/>
      <c r="C789" s="585"/>
      <c r="D789" s="585"/>
      <c r="E789" s="585"/>
      <c r="F789" s="585"/>
      <c r="G789" s="585"/>
      <c r="H789" s="585"/>
      <c r="I789" s="585"/>
      <c r="J789" s="585"/>
      <c r="K789" s="585"/>
      <c r="L789" s="585"/>
      <c r="M789" s="585"/>
      <c r="N789" s="585"/>
      <c r="O789" s="585"/>
      <c r="P789" s="585"/>
      <c r="Q789" s="585"/>
      <c r="R789" s="585"/>
      <c r="S789" s="585"/>
      <c r="T789" s="585"/>
      <c r="U789" s="585"/>
      <c r="V789" s="224"/>
      <c r="W789" s="224"/>
      <c r="X789" s="9"/>
      <c r="Y789" s="9"/>
      <c r="Z789" s="9"/>
    </row>
    <row r="790">
      <c r="A790" s="585"/>
      <c r="B790" s="585"/>
      <c r="C790" s="585"/>
      <c r="D790" s="585"/>
      <c r="E790" s="585"/>
      <c r="F790" s="585"/>
      <c r="G790" s="585"/>
      <c r="H790" s="585"/>
      <c r="I790" s="585"/>
      <c r="J790" s="585"/>
      <c r="K790" s="585"/>
      <c r="L790" s="585"/>
      <c r="M790" s="585"/>
      <c r="N790" s="585"/>
      <c r="O790" s="585"/>
      <c r="P790" s="585"/>
      <c r="Q790" s="585"/>
      <c r="R790" s="585"/>
      <c r="S790" s="585"/>
      <c r="T790" s="585"/>
      <c r="U790" s="585"/>
      <c r="V790" s="224"/>
      <c r="W790" s="224"/>
      <c r="X790" s="9"/>
      <c r="Y790" s="9"/>
      <c r="Z790" s="9"/>
    </row>
    <row r="791">
      <c r="A791" s="585"/>
      <c r="B791" s="585"/>
      <c r="C791" s="585"/>
      <c r="D791" s="585"/>
      <c r="E791" s="585"/>
      <c r="F791" s="585"/>
      <c r="G791" s="585"/>
      <c r="H791" s="585"/>
      <c r="I791" s="585"/>
      <c r="J791" s="585"/>
      <c r="K791" s="585"/>
      <c r="L791" s="585"/>
      <c r="M791" s="585"/>
      <c r="N791" s="585"/>
      <c r="O791" s="585"/>
      <c r="P791" s="585"/>
      <c r="Q791" s="585"/>
      <c r="R791" s="585"/>
      <c r="S791" s="585"/>
      <c r="T791" s="585"/>
      <c r="U791" s="585"/>
      <c r="V791" s="224"/>
      <c r="W791" s="224"/>
      <c r="X791" s="9"/>
      <c r="Y791" s="9"/>
      <c r="Z791" s="9"/>
    </row>
    <row r="792">
      <c r="A792" s="585"/>
      <c r="B792" s="585"/>
      <c r="C792" s="585"/>
      <c r="D792" s="585"/>
      <c r="E792" s="585"/>
      <c r="F792" s="585"/>
      <c r="G792" s="585"/>
      <c r="H792" s="585"/>
      <c r="I792" s="585"/>
      <c r="J792" s="585"/>
      <c r="K792" s="585"/>
      <c r="L792" s="585"/>
      <c r="M792" s="585"/>
      <c r="N792" s="585"/>
      <c r="O792" s="585"/>
      <c r="P792" s="585"/>
      <c r="Q792" s="585"/>
      <c r="R792" s="585"/>
      <c r="S792" s="585"/>
      <c r="T792" s="585"/>
      <c r="U792" s="585"/>
      <c r="V792" s="224"/>
      <c r="W792" s="224"/>
      <c r="X792" s="9"/>
      <c r="Y792" s="9"/>
      <c r="Z792" s="9"/>
    </row>
    <row r="793">
      <c r="A793" s="585"/>
      <c r="B793" s="585"/>
      <c r="C793" s="585"/>
      <c r="D793" s="585"/>
      <c r="E793" s="585"/>
      <c r="F793" s="585"/>
      <c r="G793" s="585"/>
      <c r="H793" s="585"/>
      <c r="I793" s="585"/>
      <c r="J793" s="585"/>
      <c r="K793" s="585"/>
      <c r="L793" s="585"/>
      <c r="M793" s="585"/>
      <c r="N793" s="585"/>
      <c r="O793" s="585"/>
      <c r="P793" s="585"/>
      <c r="Q793" s="585"/>
      <c r="R793" s="585"/>
      <c r="S793" s="585"/>
      <c r="T793" s="585"/>
      <c r="U793" s="585"/>
      <c r="V793" s="224"/>
      <c r="W793" s="224"/>
      <c r="X793" s="9"/>
      <c r="Y793" s="9"/>
      <c r="Z793" s="9"/>
    </row>
    <row r="794">
      <c r="A794" s="585"/>
      <c r="B794" s="585"/>
      <c r="C794" s="585"/>
      <c r="D794" s="585"/>
      <c r="E794" s="585"/>
      <c r="F794" s="585"/>
      <c r="G794" s="585"/>
      <c r="H794" s="585"/>
      <c r="I794" s="585"/>
      <c r="J794" s="585"/>
      <c r="K794" s="585"/>
      <c r="L794" s="585"/>
      <c r="M794" s="585"/>
      <c r="N794" s="585"/>
      <c r="O794" s="585"/>
      <c r="P794" s="585"/>
      <c r="Q794" s="585"/>
      <c r="R794" s="585"/>
      <c r="S794" s="585"/>
      <c r="T794" s="585"/>
      <c r="U794" s="585"/>
      <c r="V794" s="224"/>
      <c r="W794" s="224"/>
      <c r="X794" s="9"/>
      <c r="Y794" s="9"/>
      <c r="Z794" s="9"/>
    </row>
    <row r="795">
      <c r="A795" s="585"/>
      <c r="B795" s="585"/>
      <c r="C795" s="585"/>
      <c r="D795" s="585"/>
      <c r="E795" s="585"/>
      <c r="F795" s="585"/>
      <c r="G795" s="585"/>
      <c r="H795" s="585"/>
      <c r="I795" s="585"/>
      <c r="J795" s="585"/>
      <c r="K795" s="585"/>
      <c r="L795" s="585"/>
      <c r="M795" s="585"/>
      <c r="N795" s="585"/>
      <c r="O795" s="585"/>
      <c r="P795" s="585"/>
      <c r="Q795" s="585"/>
      <c r="R795" s="585"/>
      <c r="S795" s="585"/>
      <c r="T795" s="585"/>
      <c r="U795" s="585"/>
      <c r="V795" s="224"/>
      <c r="W795" s="224"/>
      <c r="X795" s="9"/>
      <c r="Y795" s="9"/>
      <c r="Z795" s="9"/>
    </row>
    <row r="796">
      <c r="A796" s="585"/>
      <c r="B796" s="585"/>
      <c r="C796" s="585"/>
      <c r="D796" s="585"/>
      <c r="E796" s="585"/>
      <c r="F796" s="585"/>
      <c r="G796" s="585"/>
      <c r="H796" s="585"/>
      <c r="I796" s="585"/>
      <c r="J796" s="585"/>
      <c r="K796" s="585"/>
      <c r="L796" s="585"/>
      <c r="M796" s="585"/>
      <c r="N796" s="585"/>
      <c r="O796" s="585"/>
      <c r="P796" s="585"/>
      <c r="Q796" s="585"/>
      <c r="R796" s="585"/>
      <c r="S796" s="585"/>
      <c r="T796" s="585"/>
      <c r="U796" s="585"/>
      <c r="V796" s="224"/>
      <c r="W796" s="224"/>
      <c r="X796" s="9"/>
      <c r="Y796" s="9"/>
      <c r="Z796" s="9"/>
    </row>
    <row r="797">
      <c r="A797" s="585"/>
      <c r="B797" s="585"/>
      <c r="C797" s="585"/>
      <c r="D797" s="585"/>
      <c r="E797" s="585"/>
      <c r="F797" s="585"/>
      <c r="G797" s="585"/>
      <c r="H797" s="585"/>
      <c r="I797" s="585"/>
      <c r="J797" s="585"/>
      <c r="K797" s="585"/>
      <c r="L797" s="585"/>
      <c r="M797" s="585"/>
      <c r="N797" s="585"/>
      <c r="O797" s="585"/>
      <c r="P797" s="585"/>
      <c r="Q797" s="585"/>
      <c r="R797" s="585"/>
      <c r="S797" s="585"/>
      <c r="T797" s="585"/>
      <c r="U797" s="585"/>
      <c r="V797" s="224"/>
      <c r="W797" s="224"/>
      <c r="X797" s="9"/>
      <c r="Y797" s="9"/>
      <c r="Z797" s="9"/>
    </row>
    <row r="798">
      <c r="A798" s="585"/>
      <c r="B798" s="585"/>
      <c r="C798" s="585"/>
      <c r="D798" s="585"/>
      <c r="E798" s="585"/>
      <c r="F798" s="585"/>
      <c r="G798" s="585"/>
      <c r="H798" s="585"/>
      <c r="I798" s="585"/>
      <c r="J798" s="585"/>
      <c r="K798" s="585"/>
      <c r="L798" s="585"/>
      <c r="M798" s="585"/>
      <c r="N798" s="585"/>
      <c r="O798" s="585"/>
      <c r="P798" s="585"/>
      <c r="Q798" s="585"/>
      <c r="R798" s="585"/>
      <c r="S798" s="585"/>
      <c r="T798" s="585"/>
      <c r="U798" s="585"/>
      <c r="V798" s="224"/>
      <c r="W798" s="224"/>
      <c r="X798" s="9"/>
      <c r="Y798" s="9"/>
      <c r="Z798" s="9"/>
    </row>
    <row r="799">
      <c r="A799" s="585"/>
      <c r="B799" s="585"/>
      <c r="C799" s="585"/>
      <c r="D799" s="585"/>
      <c r="E799" s="585"/>
      <c r="F799" s="585"/>
      <c r="G799" s="585"/>
      <c r="H799" s="585"/>
      <c r="I799" s="585"/>
      <c r="J799" s="585"/>
      <c r="K799" s="585"/>
      <c r="L799" s="585"/>
      <c r="M799" s="585"/>
      <c r="N799" s="585"/>
      <c r="O799" s="585"/>
      <c r="P799" s="585"/>
      <c r="Q799" s="585"/>
      <c r="R799" s="585"/>
      <c r="S799" s="585"/>
      <c r="T799" s="585"/>
      <c r="U799" s="585"/>
      <c r="V799" s="224"/>
      <c r="W799" s="224"/>
      <c r="X799" s="9"/>
      <c r="Y799" s="9"/>
      <c r="Z799" s="9"/>
    </row>
    <row r="800">
      <c r="A800" s="585"/>
      <c r="B800" s="585"/>
      <c r="C800" s="585"/>
      <c r="D800" s="585"/>
      <c r="E800" s="585"/>
      <c r="F800" s="585"/>
      <c r="G800" s="585"/>
      <c r="H800" s="585"/>
      <c r="I800" s="585"/>
      <c r="J800" s="585"/>
      <c r="K800" s="585"/>
      <c r="L800" s="585"/>
      <c r="M800" s="585"/>
      <c r="N800" s="585"/>
      <c r="O800" s="585"/>
      <c r="P800" s="585"/>
      <c r="Q800" s="585"/>
      <c r="R800" s="585"/>
      <c r="S800" s="585"/>
      <c r="T800" s="585"/>
      <c r="U800" s="585"/>
      <c r="V800" s="224"/>
      <c r="W800" s="224"/>
      <c r="X800" s="9"/>
      <c r="Y800" s="9"/>
      <c r="Z800" s="9"/>
    </row>
    <row r="801">
      <c r="A801" s="585"/>
      <c r="B801" s="585"/>
      <c r="C801" s="585"/>
      <c r="D801" s="585"/>
      <c r="E801" s="585"/>
      <c r="F801" s="585"/>
      <c r="G801" s="585"/>
      <c r="H801" s="585"/>
      <c r="I801" s="585"/>
      <c r="J801" s="585"/>
      <c r="K801" s="585"/>
      <c r="L801" s="585"/>
      <c r="M801" s="585"/>
      <c r="N801" s="585"/>
      <c r="O801" s="585"/>
      <c r="P801" s="585"/>
      <c r="Q801" s="585"/>
      <c r="R801" s="585"/>
      <c r="S801" s="585"/>
      <c r="T801" s="585"/>
      <c r="U801" s="585"/>
      <c r="V801" s="224"/>
      <c r="W801" s="224"/>
      <c r="X801" s="9"/>
      <c r="Y801" s="9"/>
      <c r="Z801" s="9"/>
    </row>
    <row r="802">
      <c r="A802" s="585"/>
      <c r="B802" s="585"/>
      <c r="C802" s="585"/>
      <c r="D802" s="585"/>
      <c r="E802" s="585"/>
      <c r="F802" s="585"/>
      <c r="G802" s="585"/>
      <c r="H802" s="585"/>
      <c r="I802" s="585"/>
      <c r="J802" s="585"/>
      <c r="K802" s="585"/>
      <c r="L802" s="585"/>
      <c r="M802" s="585"/>
      <c r="N802" s="585"/>
      <c r="O802" s="585"/>
      <c r="P802" s="585"/>
      <c r="Q802" s="585"/>
      <c r="R802" s="585"/>
      <c r="S802" s="585"/>
      <c r="T802" s="585"/>
      <c r="U802" s="585"/>
      <c r="V802" s="224"/>
      <c r="W802" s="224"/>
      <c r="X802" s="9"/>
      <c r="Y802" s="9"/>
      <c r="Z802" s="9"/>
    </row>
    <row r="803">
      <c r="A803" s="585"/>
      <c r="B803" s="585"/>
      <c r="C803" s="585"/>
      <c r="D803" s="585"/>
      <c r="E803" s="585"/>
      <c r="F803" s="585"/>
      <c r="G803" s="585"/>
      <c r="H803" s="585"/>
      <c r="I803" s="585"/>
      <c r="J803" s="585"/>
      <c r="K803" s="585"/>
      <c r="L803" s="585"/>
      <c r="M803" s="585"/>
      <c r="N803" s="585"/>
      <c r="O803" s="585"/>
      <c r="P803" s="585"/>
      <c r="Q803" s="585"/>
      <c r="R803" s="585"/>
      <c r="S803" s="585"/>
      <c r="T803" s="585"/>
      <c r="U803" s="585"/>
      <c r="V803" s="224"/>
      <c r="W803" s="224"/>
      <c r="X803" s="9"/>
      <c r="Y803" s="9"/>
      <c r="Z803" s="9"/>
    </row>
    <row r="804">
      <c r="A804" s="585"/>
      <c r="B804" s="585"/>
      <c r="C804" s="585"/>
      <c r="D804" s="585"/>
      <c r="E804" s="585"/>
      <c r="F804" s="585"/>
      <c r="G804" s="585"/>
      <c r="H804" s="585"/>
      <c r="I804" s="585"/>
      <c r="J804" s="585"/>
      <c r="K804" s="585"/>
      <c r="L804" s="585"/>
      <c r="M804" s="585"/>
      <c r="N804" s="585"/>
      <c r="O804" s="585"/>
      <c r="P804" s="585"/>
      <c r="Q804" s="585"/>
      <c r="R804" s="585"/>
      <c r="S804" s="585"/>
      <c r="T804" s="585"/>
      <c r="U804" s="585"/>
      <c r="V804" s="224"/>
      <c r="W804" s="224"/>
      <c r="X804" s="9"/>
      <c r="Y804" s="9"/>
      <c r="Z804" s="9"/>
    </row>
    <row r="805">
      <c r="A805" s="585"/>
      <c r="B805" s="585"/>
      <c r="C805" s="585"/>
      <c r="D805" s="585"/>
      <c r="E805" s="585"/>
      <c r="F805" s="585"/>
      <c r="G805" s="585"/>
      <c r="H805" s="585"/>
      <c r="I805" s="585"/>
      <c r="J805" s="585"/>
      <c r="K805" s="585"/>
      <c r="L805" s="585"/>
      <c r="M805" s="585"/>
      <c r="N805" s="585"/>
      <c r="O805" s="585"/>
      <c r="P805" s="585"/>
      <c r="Q805" s="585"/>
      <c r="R805" s="585"/>
      <c r="S805" s="585"/>
      <c r="T805" s="585"/>
      <c r="U805" s="585"/>
      <c r="V805" s="224"/>
      <c r="W805" s="224"/>
      <c r="X805" s="9"/>
      <c r="Y805" s="9"/>
      <c r="Z805" s="9"/>
    </row>
    <row r="806">
      <c r="A806" s="585"/>
      <c r="B806" s="585"/>
      <c r="C806" s="585"/>
      <c r="D806" s="585"/>
      <c r="E806" s="585"/>
      <c r="F806" s="585"/>
      <c r="G806" s="585"/>
      <c r="H806" s="585"/>
      <c r="I806" s="585"/>
      <c r="J806" s="585"/>
      <c r="K806" s="585"/>
      <c r="L806" s="585"/>
      <c r="M806" s="585"/>
      <c r="N806" s="585"/>
      <c r="O806" s="585"/>
      <c r="P806" s="585"/>
      <c r="Q806" s="585"/>
      <c r="R806" s="585"/>
      <c r="S806" s="585"/>
      <c r="T806" s="585"/>
      <c r="U806" s="585"/>
      <c r="V806" s="224"/>
      <c r="W806" s="224"/>
      <c r="X806" s="9"/>
      <c r="Y806" s="9"/>
      <c r="Z806" s="9"/>
    </row>
    <row r="807">
      <c r="A807" s="585"/>
      <c r="B807" s="585"/>
      <c r="C807" s="585"/>
      <c r="D807" s="585"/>
      <c r="E807" s="585"/>
      <c r="F807" s="585"/>
      <c r="G807" s="585"/>
      <c r="H807" s="585"/>
      <c r="I807" s="585"/>
      <c r="J807" s="585"/>
      <c r="K807" s="585"/>
      <c r="L807" s="585"/>
      <c r="M807" s="585"/>
      <c r="N807" s="585"/>
      <c r="O807" s="585"/>
      <c r="P807" s="585"/>
      <c r="Q807" s="585"/>
      <c r="R807" s="585"/>
      <c r="S807" s="585"/>
      <c r="T807" s="585"/>
      <c r="U807" s="585"/>
      <c r="V807" s="224"/>
      <c r="W807" s="224"/>
      <c r="X807" s="9"/>
      <c r="Y807" s="9"/>
      <c r="Z807" s="9"/>
    </row>
    <row r="808">
      <c r="A808" s="585"/>
      <c r="B808" s="585"/>
      <c r="C808" s="585"/>
      <c r="D808" s="585"/>
      <c r="E808" s="585"/>
      <c r="F808" s="585"/>
      <c r="G808" s="585"/>
      <c r="H808" s="585"/>
      <c r="I808" s="585"/>
      <c r="J808" s="585"/>
      <c r="K808" s="585"/>
      <c r="L808" s="585"/>
      <c r="M808" s="585"/>
      <c r="N808" s="585"/>
      <c r="O808" s="585"/>
      <c r="P808" s="585"/>
      <c r="Q808" s="585"/>
      <c r="R808" s="585"/>
      <c r="S808" s="585"/>
      <c r="T808" s="585"/>
      <c r="U808" s="585"/>
      <c r="V808" s="224"/>
      <c r="W808" s="224"/>
      <c r="X808" s="9"/>
      <c r="Y808" s="9"/>
      <c r="Z808" s="9"/>
    </row>
    <row r="809">
      <c r="A809" s="585"/>
      <c r="B809" s="585"/>
      <c r="C809" s="585"/>
      <c r="D809" s="585"/>
      <c r="E809" s="585"/>
      <c r="F809" s="585"/>
      <c r="G809" s="585"/>
      <c r="H809" s="585"/>
      <c r="I809" s="585"/>
      <c r="J809" s="585"/>
      <c r="K809" s="585"/>
      <c r="L809" s="585"/>
      <c r="M809" s="585"/>
      <c r="N809" s="585"/>
      <c r="O809" s="585"/>
      <c r="P809" s="585"/>
      <c r="Q809" s="585"/>
      <c r="R809" s="585"/>
      <c r="S809" s="585"/>
      <c r="T809" s="585"/>
      <c r="U809" s="585"/>
      <c r="V809" s="224"/>
      <c r="W809" s="224"/>
      <c r="X809" s="9"/>
      <c r="Y809" s="9"/>
      <c r="Z809" s="9"/>
    </row>
    <row r="810">
      <c r="A810" s="585"/>
      <c r="B810" s="585"/>
      <c r="C810" s="585"/>
      <c r="D810" s="585"/>
      <c r="E810" s="585"/>
      <c r="F810" s="585"/>
      <c r="G810" s="585"/>
      <c r="H810" s="585"/>
      <c r="I810" s="585"/>
      <c r="J810" s="585"/>
      <c r="K810" s="585"/>
      <c r="L810" s="585"/>
      <c r="M810" s="585"/>
      <c r="N810" s="585"/>
      <c r="O810" s="585"/>
      <c r="P810" s="585"/>
      <c r="Q810" s="585"/>
      <c r="R810" s="585"/>
      <c r="S810" s="585"/>
      <c r="T810" s="585"/>
      <c r="U810" s="585"/>
      <c r="V810" s="224"/>
      <c r="W810" s="224"/>
      <c r="X810" s="9"/>
      <c r="Y810" s="9"/>
      <c r="Z810" s="9"/>
    </row>
    <row r="811">
      <c r="A811" s="585"/>
      <c r="B811" s="585"/>
      <c r="C811" s="585"/>
      <c r="D811" s="585"/>
      <c r="E811" s="585"/>
      <c r="F811" s="585"/>
      <c r="G811" s="585"/>
      <c r="H811" s="585"/>
      <c r="I811" s="585"/>
      <c r="J811" s="585"/>
      <c r="K811" s="585"/>
      <c r="L811" s="585"/>
      <c r="M811" s="585"/>
      <c r="N811" s="585"/>
      <c r="O811" s="585"/>
      <c r="P811" s="585"/>
      <c r="Q811" s="585"/>
      <c r="R811" s="585"/>
      <c r="S811" s="585"/>
      <c r="T811" s="585"/>
      <c r="U811" s="585"/>
      <c r="V811" s="224"/>
      <c r="W811" s="224"/>
      <c r="X811" s="9"/>
      <c r="Y811" s="9"/>
      <c r="Z811" s="9"/>
    </row>
    <row r="812">
      <c r="A812" s="585"/>
      <c r="B812" s="585"/>
      <c r="C812" s="585"/>
      <c r="D812" s="585"/>
      <c r="E812" s="585"/>
      <c r="F812" s="585"/>
      <c r="G812" s="585"/>
      <c r="H812" s="585"/>
      <c r="I812" s="585"/>
      <c r="J812" s="585"/>
      <c r="K812" s="585"/>
      <c r="L812" s="585"/>
      <c r="M812" s="585"/>
      <c r="N812" s="585"/>
      <c r="O812" s="585"/>
      <c r="P812" s="585"/>
      <c r="Q812" s="585"/>
      <c r="R812" s="585"/>
      <c r="S812" s="585"/>
      <c r="T812" s="585"/>
      <c r="U812" s="585"/>
      <c r="V812" s="224"/>
      <c r="W812" s="224"/>
      <c r="X812" s="9"/>
      <c r="Y812" s="9"/>
      <c r="Z812" s="9"/>
    </row>
    <row r="813">
      <c r="A813" s="585"/>
      <c r="B813" s="585"/>
      <c r="C813" s="585"/>
      <c r="D813" s="585"/>
      <c r="E813" s="585"/>
      <c r="F813" s="585"/>
      <c r="G813" s="585"/>
      <c r="H813" s="585"/>
      <c r="I813" s="585"/>
      <c r="J813" s="585"/>
      <c r="K813" s="585"/>
      <c r="L813" s="585"/>
      <c r="M813" s="585"/>
      <c r="N813" s="585"/>
      <c r="O813" s="585"/>
      <c r="P813" s="585"/>
      <c r="Q813" s="585"/>
      <c r="R813" s="585"/>
      <c r="S813" s="585"/>
      <c r="T813" s="585"/>
      <c r="U813" s="585"/>
      <c r="V813" s="224"/>
      <c r="W813" s="224"/>
      <c r="X813" s="9"/>
      <c r="Y813" s="9"/>
      <c r="Z813" s="9"/>
    </row>
    <row r="814">
      <c r="A814" s="585"/>
      <c r="B814" s="585"/>
      <c r="C814" s="585"/>
      <c r="D814" s="585"/>
      <c r="E814" s="585"/>
      <c r="F814" s="585"/>
      <c r="G814" s="585"/>
      <c r="H814" s="585"/>
      <c r="I814" s="585"/>
      <c r="J814" s="585"/>
      <c r="K814" s="585"/>
      <c r="L814" s="585"/>
      <c r="M814" s="585"/>
      <c r="N814" s="585"/>
      <c r="O814" s="585"/>
      <c r="P814" s="585"/>
      <c r="Q814" s="585"/>
      <c r="R814" s="585"/>
      <c r="S814" s="585"/>
      <c r="T814" s="585"/>
      <c r="U814" s="585"/>
      <c r="V814" s="224"/>
      <c r="W814" s="224"/>
      <c r="X814" s="9"/>
      <c r="Y814" s="9"/>
      <c r="Z814" s="9"/>
    </row>
    <row r="815">
      <c r="A815" s="585"/>
      <c r="B815" s="585"/>
      <c r="C815" s="585"/>
      <c r="D815" s="585"/>
      <c r="E815" s="585"/>
      <c r="F815" s="585"/>
      <c r="G815" s="585"/>
      <c r="H815" s="585"/>
      <c r="I815" s="585"/>
      <c r="J815" s="585"/>
      <c r="K815" s="585"/>
      <c r="L815" s="585"/>
      <c r="M815" s="585"/>
      <c r="N815" s="585"/>
      <c r="O815" s="585"/>
      <c r="P815" s="585"/>
      <c r="Q815" s="585"/>
      <c r="R815" s="585"/>
      <c r="S815" s="585"/>
      <c r="T815" s="585"/>
      <c r="U815" s="585"/>
      <c r="V815" s="224"/>
      <c r="W815" s="224"/>
      <c r="X815" s="9"/>
      <c r="Y815" s="9"/>
      <c r="Z815" s="9"/>
    </row>
    <row r="816">
      <c r="A816" s="585"/>
      <c r="B816" s="585"/>
      <c r="C816" s="585"/>
      <c r="D816" s="585"/>
      <c r="E816" s="585"/>
      <c r="F816" s="585"/>
      <c r="G816" s="585"/>
      <c r="H816" s="585"/>
      <c r="I816" s="585"/>
      <c r="J816" s="585"/>
      <c r="K816" s="585"/>
      <c r="L816" s="585"/>
      <c r="M816" s="585"/>
      <c r="N816" s="585"/>
      <c r="O816" s="585"/>
      <c r="P816" s="585"/>
      <c r="Q816" s="585"/>
      <c r="R816" s="585"/>
      <c r="S816" s="585"/>
      <c r="T816" s="585"/>
      <c r="U816" s="585"/>
      <c r="V816" s="224"/>
      <c r="W816" s="224"/>
      <c r="X816" s="9"/>
      <c r="Y816" s="9"/>
      <c r="Z816" s="9"/>
    </row>
    <row r="817">
      <c r="A817" s="585"/>
      <c r="B817" s="585"/>
      <c r="C817" s="585"/>
      <c r="D817" s="585"/>
      <c r="E817" s="585"/>
      <c r="F817" s="585"/>
      <c r="G817" s="585"/>
      <c r="H817" s="585"/>
      <c r="I817" s="585"/>
      <c r="J817" s="585"/>
      <c r="K817" s="585"/>
      <c r="L817" s="585"/>
      <c r="M817" s="585"/>
      <c r="N817" s="585"/>
      <c r="O817" s="585"/>
      <c r="P817" s="585"/>
      <c r="Q817" s="585"/>
      <c r="R817" s="585"/>
      <c r="S817" s="585"/>
      <c r="T817" s="585"/>
      <c r="U817" s="585"/>
      <c r="V817" s="224"/>
      <c r="W817" s="224"/>
      <c r="X817" s="9"/>
      <c r="Y817" s="9"/>
      <c r="Z817" s="9"/>
    </row>
    <row r="818">
      <c r="A818" s="585"/>
      <c r="B818" s="585"/>
      <c r="C818" s="585"/>
      <c r="D818" s="585"/>
      <c r="E818" s="585"/>
      <c r="F818" s="585"/>
      <c r="G818" s="585"/>
      <c r="H818" s="585"/>
      <c r="I818" s="585"/>
      <c r="J818" s="585"/>
      <c r="K818" s="585"/>
      <c r="L818" s="585"/>
      <c r="M818" s="585"/>
      <c r="N818" s="585"/>
      <c r="O818" s="585"/>
      <c r="P818" s="585"/>
      <c r="Q818" s="585"/>
      <c r="R818" s="585"/>
      <c r="S818" s="585"/>
      <c r="T818" s="585"/>
      <c r="U818" s="585"/>
      <c r="V818" s="224"/>
      <c r="W818" s="224"/>
      <c r="X818" s="9"/>
      <c r="Y818" s="9"/>
      <c r="Z818" s="9"/>
    </row>
    <row r="819">
      <c r="A819" s="585"/>
      <c r="B819" s="585"/>
      <c r="C819" s="585"/>
      <c r="D819" s="585"/>
      <c r="E819" s="585"/>
      <c r="F819" s="585"/>
      <c r="G819" s="585"/>
      <c r="H819" s="585"/>
      <c r="I819" s="585"/>
      <c r="J819" s="585"/>
      <c r="K819" s="585"/>
      <c r="L819" s="585"/>
      <c r="M819" s="585"/>
      <c r="N819" s="585"/>
      <c r="O819" s="585"/>
      <c r="P819" s="585"/>
      <c r="Q819" s="585"/>
      <c r="R819" s="585"/>
      <c r="S819" s="585"/>
      <c r="T819" s="585"/>
      <c r="U819" s="585"/>
      <c r="V819" s="224"/>
      <c r="W819" s="224"/>
      <c r="X819" s="9"/>
      <c r="Y819" s="9"/>
      <c r="Z819" s="9"/>
    </row>
    <row r="820">
      <c r="A820" s="585"/>
      <c r="B820" s="585"/>
      <c r="C820" s="585"/>
      <c r="D820" s="585"/>
      <c r="E820" s="585"/>
      <c r="F820" s="585"/>
      <c r="G820" s="585"/>
      <c r="H820" s="585"/>
      <c r="I820" s="585"/>
      <c r="J820" s="585"/>
      <c r="K820" s="585"/>
      <c r="L820" s="585"/>
      <c r="M820" s="585"/>
      <c r="N820" s="585"/>
      <c r="O820" s="585"/>
      <c r="P820" s="585"/>
      <c r="Q820" s="585"/>
      <c r="R820" s="585"/>
      <c r="S820" s="585"/>
      <c r="T820" s="585"/>
      <c r="U820" s="585"/>
      <c r="V820" s="224"/>
      <c r="W820" s="224"/>
      <c r="X820" s="9"/>
      <c r="Y820" s="9"/>
      <c r="Z820" s="9"/>
    </row>
    <row r="821">
      <c r="A821" s="585"/>
      <c r="B821" s="585"/>
      <c r="C821" s="585"/>
      <c r="D821" s="585"/>
      <c r="E821" s="585"/>
      <c r="F821" s="585"/>
      <c r="G821" s="585"/>
      <c r="H821" s="585"/>
      <c r="I821" s="585"/>
      <c r="J821" s="585"/>
      <c r="K821" s="585"/>
      <c r="L821" s="585"/>
      <c r="M821" s="585"/>
      <c r="N821" s="585"/>
      <c r="O821" s="585"/>
      <c r="P821" s="585"/>
      <c r="Q821" s="585"/>
      <c r="R821" s="585"/>
      <c r="S821" s="585"/>
      <c r="T821" s="585"/>
      <c r="U821" s="585"/>
      <c r="V821" s="224"/>
      <c r="W821" s="224"/>
      <c r="X821" s="9"/>
      <c r="Y821" s="9"/>
      <c r="Z821" s="9"/>
    </row>
    <row r="822">
      <c r="A822" s="585"/>
      <c r="B822" s="585"/>
      <c r="C822" s="585"/>
      <c r="D822" s="585"/>
      <c r="E822" s="585"/>
      <c r="F822" s="585"/>
      <c r="G822" s="585"/>
      <c r="H822" s="585"/>
      <c r="I822" s="585"/>
      <c r="J822" s="585"/>
      <c r="K822" s="585"/>
      <c r="L822" s="585"/>
      <c r="M822" s="585"/>
      <c r="N822" s="585"/>
      <c r="O822" s="585"/>
      <c r="P822" s="585"/>
      <c r="Q822" s="585"/>
      <c r="R822" s="585"/>
      <c r="S822" s="585"/>
      <c r="T822" s="585"/>
      <c r="U822" s="585"/>
      <c r="V822" s="224"/>
      <c r="W822" s="224"/>
      <c r="X822" s="9"/>
      <c r="Y822" s="9"/>
      <c r="Z822" s="9"/>
    </row>
    <row r="823">
      <c r="A823" s="585"/>
      <c r="B823" s="585"/>
      <c r="C823" s="585"/>
      <c r="D823" s="585"/>
      <c r="E823" s="585"/>
      <c r="F823" s="585"/>
      <c r="G823" s="585"/>
      <c r="H823" s="585"/>
      <c r="I823" s="585"/>
      <c r="J823" s="585"/>
      <c r="K823" s="585"/>
      <c r="L823" s="585"/>
      <c r="M823" s="585"/>
      <c r="N823" s="585"/>
      <c r="O823" s="585"/>
      <c r="P823" s="585"/>
      <c r="Q823" s="585"/>
      <c r="R823" s="585"/>
      <c r="S823" s="585"/>
      <c r="T823" s="585"/>
      <c r="U823" s="585"/>
      <c r="V823" s="224"/>
      <c r="W823" s="224"/>
      <c r="X823" s="9"/>
      <c r="Y823" s="9"/>
      <c r="Z823" s="9"/>
    </row>
    <row r="824">
      <c r="A824" s="585"/>
      <c r="B824" s="585"/>
      <c r="C824" s="585"/>
      <c r="D824" s="585"/>
      <c r="E824" s="585"/>
      <c r="F824" s="585"/>
      <c r="G824" s="585"/>
      <c r="H824" s="585"/>
      <c r="I824" s="585"/>
      <c r="J824" s="585"/>
      <c r="K824" s="585"/>
      <c r="L824" s="585"/>
      <c r="M824" s="585"/>
      <c r="N824" s="585"/>
      <c r="O824" s="585"/>
      <c r="P824" s="585"/>
      <c r="Q824" s="585"/>
      <c r="R824" s="585"/>
      <c r="S824" s="585"/>
      <c r="T824" s="585"/>
      <c r="U824" s="585"/>
      <c r="V824" s="224"/>
      <c r="W824" s="224"/>
      <c r="X824" s="9"/>
      <c r="Y824" s="9"/>
      <c r="Z824" s="9"/>
    </row>
    <row r="825">
      <c r="A825" s="585"/>
      <c r="B825" s="585"/>
      <c r="C825" s="585"/>
      <c r="D825" s="585"/>
      <c r="E825" s="585"/>
      <c r="F825" s="585"/>
      <c r="G825" s="585"/>
      <c r="H825" s="585"/>
      <c r="I825" s="585"/>
      <c r="J825" s="585"/>
      <c r="K825" s="585"/>
      <c r="L825" s="585"/>
      <c r="M825" s="585"/>
      <c r="N825" s="585"/>
      <c r="O825" s="585"/>
      <c r="P825" s="585"/>
      <c r="Q825" s="585"/>
      <c r="R825" s="585"/>
      <c r="S825" s="585"/>
      <c r="T825" s="585"/>
      <c r="U825" s="585"/>
      <c r="V825" s="224"/>
      <c r="W825" s="224"/>
      <c r="X825" s="9"/>
      <c r="Y825" s="9"/>
      <c r="Z825" s="9"/>
    </row>
    <row r="826">
      <c r="A826" s="585"/>
      <c r="B826" s="585"/>
      <c r="C826" s="585"/>
      <c r="D826" s="585"/>
      <c r="E826" s="585"/>
      <c r="F826" s="585"/>
      <c r="G826" s="585"/>
      <c r="H826" s="585"/>
      <c r="I826" s="585"/>
      <c r="J826" s="585"/>
      <c r="K826" s="585"/>
      <c r="L826" s="585"/>
      <c r="M826" s="585"/>
      <c r="N826" s="585"/>
      <c r="O826" s="585"/>
      <c r="P826" s="585"/>
      <c r="Q826" s="585"/>
      <c r="R826" s="585"/>
      <c r="S826" s="585"/>
      <c r="T826" s="585"/>
      <c r="U826" s="585"/>
      <c r="V826" s="224"/>
      <c r="W826" s="224"/>
      <c r="X826" s="9"/>
      <c r="Y826" s="9"/>
      <c r="Z826" s="9"/>
    </row>
    <row r="827">
      <c r="A827" s="585"/>
      <c r="B827" s="585"/>
      <c r="C827" s="585"/>
      <c r="D827" s="585"/>
      <c r="E827" s="585"/>
      <c r="F827" s="585"/>
      <c r="G827" s="585"/>
      <c r="H827" s="585"/>
      <c r="I827" s="585"/>
      <c r="J827" s="585"/>
      <c r="K827" s="585"/>
      <c r="L827" s="585"/>
      <c r="M827" s="585"/>
      <c r="N827" s="585"/>
      <c r="O827" s="585"/>
      <c r="P827" s="585"/>
      <c r="Q827" s="585"/>
      <c r="R827" s="585"/>
      <c r="S827" s="585"/>
      <c r="T827" s="585"/>
      <c r="U827" s="585"/>
      <c r="V827" s="224"/>
      <c r="W827" s="224"/>
      <c r="X827" s="9"/>
      <c r="Y827" s="9"/>
      <c r="Z827" s="9"/>
    </row>
    <row r="828">
      <c r="A828" s="585"/>
      <c r="B828" s="585"/>
      <c r="C828" s="585"/>
      <c r="D828" s="585"/>
      <c r="E828" s="585"/>
      <c r="F828" s="585"/>
      <c r="G828" s="585"/>
      <c r="H828" s="585"/>
      <c r="I828" s="585"/>
      <c r="J828" s="585"/>
      <c r="K828" s="585"/>
      <c r="L828" s="585"/>
      <c r="M828" s="585"/>
      <c r="N828" s="585"/>
      <c r="O828" s="585"/>
      <c r="P828" s="585"/>
      <c r="Q828" s="585"/>
      <c r="R828" s="585"/>
      <c r="S828" s="585"/>
      <c r="T828" s="585"/>
      <c r="U828" s="585"/>
      <c r="V828" s="224"/>
      <c r="W828" s="224"/>
      <c r="X828" s="9"/>
      <c r="Y828" s="9"/>
      <c r="Z828" s="9"/>
    </row>
    <row r="829">
      <c r="A829" s="585"/>
      <c r="B829" s="585"/>
      <c r="C829" s="585"/>
      <c r="D829" s="585"/>
      <c r="E829" s="585"/>
      <c r="F829" s="585"/>
      <c r="G829" s="585"/>
      <c r="H829" s="585"/>
      <c r="I829" s="585"/>
      <c r="J829" s="585"/>
      <c r="K829" s="585"/>
      <c r="L829" s="585"/>
      <c r="M829" s="585"/>
      <c r="N829" s="585"/>
      <c r="O829" s="585"/>
      <c r="P829" s="585"/>
      <c r="Q829" s="585"/>
      <c r="R829" s="585"/>
      <c r="S829" s="585"/>
      <c r="T829" s="585"/>
      <c r="U829" s="585"/>
      <c r="V829" s="224"/>
      <c r="W829" s="224"/>
      <c r="X829" s="9"/>
      <c r="Y829" s="9"/>
      <c r="Z829" s="9"/>
    </row>
    <row r="830">
      <c r="A830" s="585"/>
      <c r="B830" s="585"/>
      <c r="C830" s="585"/>
      <c r="D830" s="585"/>
      <c r="E830" s="585"/>
      <c r="F830" s="585"/>
      <c r="G830" s="585"/>
      <c r="H830" s="585"/>
      <c r="I830" s="585"/>
      <c r="J830" s="585"/>
      <c r="K830" s="585"/>
      <c r="L830" s="585"/>
      <c r="M830" s="585"/>
      <c r="N830" s="585"/>
      <c r="O830" s="585"/>
      <c r="P830" s="585"/>
      <c r="Q830" s="585"/>
      <c r="R830" s="585"/>
      <c r="S830" s="585"/>
      <c r="T830" s="585"/>
      <c r="U830" s="585"/>
      <c r="V830" s="224"/>
      <c r="W830" s="224"/>
      <c r="X830" s="9"/>
      <c r="Y830" s="9"/>
      <c r="Z830" s="9"/>
    </row>
    <row r="831">
      <c r="A831" s="585"/>
      <c r="B831" s="585"/>
      <c r="C831" s="585"/>
      <c r="D831" s="585"/>
      <c r="E831" s="585"/>
      <c r="F831" s="585"/>
      <c r="G831" s="585"/>
      <c r="H831" s="585"/>
      <c r="I831" s="585"/>
      <c r="J831" s="585"/>
      <c r="K831" s="585"/>
      <c r="L831" s="585"/>
      <c r="M831" s="585"/>
      <c r="N831" s="585"/>
      <c r="O831" s="585"/>
      <c r="P831" s="585"/>
      <c r="Q831" s="585"/>
      <c r="R831" s="585"/>
      <c r="S831" s="585"/>
      <c r="T831" s="585"/>
      <c r="U831" s="585"/>
      <c r="V831" s="224"/>
      <c r="W831" s="224"/>
      <c r="X831" s="9"/>
      <c r="Y831" s="9"/>
      <c r="Z831" s="9"/>
    </row>
    <row r="832">
      <c r="A832" s="585"/>
      <c r="B832" s="585"/>
      <c r="C832" s="585"/>
      <c r="D832" s="585"/>
      <c r="E832" s="585"/>
      <c r="F832" s="585"/>
      <c r="G832" s="585"/>
      <c r="H832" s="585"/>
      <c r="I832" s="585"/>
      <c r="J832" s="585"/>
      <c r="K832" s="585"/>
      <c r="L832" s="585"/>
      <c r="M832" s="585"/>
      <c r="N832" s="585"/>
      <c r="O832" s="585"/>
      <c r="P832" s="585"/>
      <c r="Q832" s="585"/>
      <c r="R832" s="585"/>
      <c r="S832" s="585"/>
      <c r="T832" s="585"/>
      <c r="U832" s="585"/>
      <c r="V832" s="224"/>
      <c r="W832" s="224"/>
      <c r="X832" s="9"/>
      <c r="Y832" s="9"/>
      <c r="Z832" s="9"/>
    </row>
    <row r="833">
      <c r="A833" s="585"/>
      <c r="B833" s="585"/>
      <c r="C833" s="585"/>
      <c r="D833" s="585"/>
      <c r="E833" s="585"/>
      <c r="F833" s="585"/>
      <c r="G833" s="585"/>
      <c r="H833" s="585"/>
      <c r="I833" s="585"/>
      <c r="J833" s="585"/>
      <c r="K833" s="585"/>
      <c r="L833" s="585"/>
      <c r="M833" s="585"/>
      <c r="N833" s="585"/>
      <c r="O833" s="585"/>
      <c r="P833" s="585"/>
      <c r="Q833" s="585"/>
      <c r="R833" s="585"/>
      <c r="S833" s="585"/>
      <c r="T833" s="585"/>
      <c r="U833" s="585"/>
      <c r="V833" s="224"/>
      <c r="W833" s="224"/>
      <c r="X833" s="9"/>
      <c r="Y833" s="9"/>
      <c r="Z833" s="9"/>
    </row>
    <row r="834">
      <c r="A834" s="585"/>
      <c r="B834" s="585"/>
      <c r="C834" s="585"/>
      <c r="D834" s="585"/>
      <c r="E834" s="585"/>
      <c r="F834" s="585"/>
      <c r="G834" s="585"/>
      <c r="H834" s="585"/>
      <c r="I834" s="585"/>
      <c r="J834" s="585"/>
      <c r="K834" s="585"/>
      <c r="L834" s="585"/>
      <c r="M834" s="585"/>
      <c r="N834" s="585"/>
      <c r="O834" s="585"/>
      <c r="P834" s="585"/>
      <c r="Q834" s="585"/>
      <c r="R834" s="585"/>
      <c r="S834" s="585"/>
      <c r="T834" s="585"/>
      <c r="U834" s="585"/>
      <c r="V834" s="224"/>
      <c r="W834" s="224"/>
      <c r="X834" s="9"/>
      <c r="Y834" s="9"/>
      <c r="Z834" s="9"/>
    </row>
    <row r="835">
      <c r="A835" s="585"/>
      <c r="B835" s="585"/>
      <c r="C835" s="585"/>
      <c r="D835" s="585"/>
      <c r="E835" s="585"/>
      <c r="F835" s="585"/>
      <c r="G835" s="585"/>
      <c r="H835" s="585"/>
      <c r="I835" s="585"/>
      <c r="J835" s="585"/>
      <c r="K835" s="585"/>
      <c r="L835" s="585"/>
      <c r="M835" s="585"/>
      <c r="N835" s="585"/>
      <c r="O835" s="585"/>
      <c r="P835" s="585"/>
      <c r="Q835" s="585"/>
      <c r="R835" s="585"/>
      <c r="S835" s="585"/>
      <c r="T835" s="585"/>
      <c r="U835" s="585"/>
      <c r="V835" s="224"/>
      <c r="W835" s="224"/>
      <c r="X835" s="9"/>
      <c r="Y835" s="9"/>
      <c r="Z835" s="9"/>
    </row>
    <row r="836">
      <c r="A836" s="585"/>
      <c r="B836" s="585"/>
      <c r="C836" s="585"/>
      <c r="D836" s="585"/>
      <c r="E836" s="585"/>
      <c r="F836" s="585"/>
      <c r="G836" s="585"/>
      <c r="H836" s="585"/>
      <c r="I836" s="585"/>
      <c r="J836" s="585"/>
      <c r="K836" s="585"/>
      <c r="L836" s="585"/>
      <c r="M836" s="585"/>
      <c r="N836" s="585"/>
      <c r="O836" s="585"/>
      <c r="P836" s="585"/>
      <c r="Q836" s="585"/>
      <c r="R836" s="585"/>
      <c r="S836" s="585"/>
      <c r="T836" s="585"/>
      <c r="U836" s="585"/>
      <c r="V836" s="224"/>
      <c r="W836" s="224"/>
      <c r="X836" s="9"/>
      <c r="Y836" s="9"/>
      <c r="Z836" s="9"/>
    </row>
    <row r="837">
      <c r="A837" s="585"/>
      <c r="B837" s="585"/>
      <c r="C837" s="585"/>
      <c r="D837" s="585"/>
      <c r="E837" s="585"/>
      <c r="F837" s="585"/>
      <c r="G837" s="585"/>
      <c r="H837" s="585"/>
      <c r="I837" s="585"/>
      <c r="J837" s="585"/>
      <c r="K837" s="585"/>
      <c r="L837" s="585"/>
      <c r="M837" s="585"/>
      <c r="N837" s="585"/>
      <c r="O837" s="585"/>
      <c r="P837" s="585"/>
      <c r="Q837" s="585"/>
      <c r="R837" s="585"/>
      <c r="S837" s="585"/>
      <c r="T837" s="585"/>
      <c r="U837" s="585"/>
      <c r="V837" s="224"/>
      <c r="W837" s="224"/>
      <c r="X837" s="9"/>
      <c r="Y837" s="9"/>
      <c r="Z837" s="9"/>
    </row>
    <row r="838">
      <c r="A838" s="585"/>
      <c r="B838" s="585"/>
      <c r="C838" s="585"/>
      <c r="D838" s="585"/>
      <c r="E838" s="585"/>
      <c r="F838" s="585"/>
      <c r="G838" s="585"/>
      <c r="H838" s="585"/>
      <c r="I838" s="585"/>
      <c r="J838" s="585"/>
      <c r="K838" s="585"/>
      <c r="L838" s="585"/>
      <c r="M838" s="585"/>
      <c r="N838" s="585"/>
      <c r="O838" s="585"/>
      <c r="P838" s="585"/>
      <c r="Q838" s="585"/>
      <c r="R838" s="585"/>
      <c r="S838" s="585"/>
      <c r="T838" s="585"/>
      <c r="U838" s="585"/>
      <c r="V838" s="224"/>
      <c r="W838" s="224"/>
      <c r="X838" s="9"/>
      <c r="Y838" s="9"/>
      <c r="Z838" s="9"/>
    </row>
    <row r="839">
      <c r="A839" s="585"/>
      <c r="B839" s="585"/>
      <c r="C839" s="585"/>
      <c r="D839" s="585"/>
      <c r="E839" s="585"/>
      <c r="F839" s="585"/>
      <c r="G839" s="585"/>
      <c r="H839" s="585"/>
      <c r="I839" s="585"/>
      <c r="J839" s="585"/>
      <c r="K839" s="585"/>
      <c r="L839" s="585"/>
      <c r="M839" s="585"/>
      <c r="N839" s="585"/>
      <c r="O839" s="585"/>
      <c r="P839" s="585"/>
      <c r="Q839" s="585"/>
      <c r="R839" s="585"/>
      <c r="S839" s="585"/>
      <c r="T839" s="585"/>
      <c r="U839" s="585"/>
      <c r="V839" s="224"/>
      <c r="W839" s="224"/>
      <c r="X839" s="9"/>
      <c r="Y839" s="9"/>
      <c r="Z839" s="9"/>
    </row>
    <row r="840">
      <c r="A840" s="585"/>
      <c r="B840" s="585"/>
      <c r="C840" s="585"/>
      <c r="D840" s="585"/>
      <c r="E840" s="585"/>
      <c r="F840" s="585"/>
      <c r="G840" s="585"/>
      <c r="H840" s="585"/>
      <c r="I840" s="585"/>
      <c r="J840" s="585"/>
      <c r="K840" s="585"/>
      <c r="L840" s="585"/>
      <c r="M840" s="585"/>
      <c r="N840" s="585"/>
      <c r="O840" s="585"/>
      <c r="P840" s="585"/>
      <c r="Q840" s="585"/>
      <c r="R840" s="585"/>
      <c r="S840" s="585"/>
      <c r="T840" s="585"/>
      <c r="U840" s="585"/>
      <c r="V840" s="224"/>
      <c r="W840" s="224"/>
      <c r="X840" s="9"/>
      <c r="Y840" s="9"/>
      <c r="Z840" s="9"/>
    </row>
    <row r="841">
      <c r="A841" s="585"/>
      <c r="B841" s="585"/>
      <c r="C841" s="585"/>
      <c r="D841" s="585"/>
      <c r="E841" s="585"/>
      <c r="F841" s="585"/>
      <c r="G841" s="585"/>
      <c r="H841" s="585"/>
      <c r="I841" s="585"/>
      <c r="J841" s="585"/>
      <c r="K841" s="585"/>
      <c r="L841" s="585"/>
      <c r="M841" s="585"/>
      <c r="N841" s="585"/>
      <c r="O841" s="585"/>
      <c r="P841" s="585"/>
      <c r="Q841" s="585"/>
      <c r="R841" s="585"/>
      <c r="S841" s="585"/>
      <c r="T841" s="585"/>
      <c r="U841" s="585"/>
      <c r="V841" s="224"/>
      <c r="W841" s="224"/>
      <c r="X841" s="9"/>
      <c r="Y841" s="9"/>
      <c r="Z841" s="9"/>
    </row>
    <row r="842">
      <c r="A842" s="585"/>
      <c r="B842" s="585"/>
      <c r="C842" s="585"/>
      <c r="D842" s="585"/>
      <c r="E842" s="585"/>
      <c r="F842" s="585"/>
      <c r="G842" s="585"/>
      <c r="H842" s="585"/>
      <c r="I842" s="585"/>
      <c r="J842" s="585"/>
      <c r="K842" s="585"/>
      <c r="L842" s="585"/>
      <c r="M842" s="585"/>
      <c r="N842" s="585"/>
      <c r="O842" s="585"/>
      <c r="P842" s="585"/>
      <c r="Q842" s="585"/>
      <c r="R842" s="585"/>
      <c r="S842" s="585"/>
      <c r="T842" s="585"/>
      <c r="U842" s="585"/>
      <c r="V842" s="224"/>
      <c r="W842" s="224"/>
      <c r="X842" s="9"/>
      <c r="Y842" s="9"/>
      <c r="Z842" s="9"/>
    </row>
    <row r="843">
      <c r="A843" s="585"/>
      <c r="B843" s="585"/>
      <c r="C843" s="585"/>
      <c r="D843" s="585"/>
      <c r="E843" s="585"/>
      <c r="F843" s="585"/>
      <c r="G843" s="585"/>
      <c r="H843" s="585"/>
      <c r="I843" s="585"/>
      <c r="J843" s="585"/>
      <c r="K843" s="585"/>
      <c r="L843" s="585"/>
      <c r="M843" s="585"/>
      <c r="N843" s="585"/>
      <c r="O843" s="585"/>
      <c r="P843" s="585"/>
      <c r="Q843" s="585"/>
      <c r="R843" s="585"/>
      <c r="S843" s="585"/>
      <c r="T843" s="585"/>
      <c r="U843" s="585"/>
      <c r="V843" s="224"/>
      <c r="W843" s="224"/>
      <c r="X843" s="9"/>
      <c r="Y843" s="9"/>
      <c r="Z843" s="9"/>
    </row>
    <row r="844">
      <c r="A844" s="585"/>
      <c r="B844" s="585"/>
      <c r="C844" s="585"/>
      <c r="D844" s="585"/>
      <c r="E844" s="585"/>
      <c r="F844" s="585"/>
      <c r="G844" s="585"/>
      <c r="H844" s="585"/>
      <c r="I844" s="585"/>
      <c r="J844" s="585"/>
      <c r="K844" s="585"/>
      <c r="L844" s="585"/>
      <c r="M844" s="585"/>
      <c r="N844" s="585"/>
      <c r="O844" s="585"/>
      <c r="P844" s="585"/>
      <c r="Q844" s="585"/>
      <c r="R844" s="585"/>
      <c r="S844" s="585"/>
      <c r="T844" s="585"/>
      <c r="U844" s="585"/>
      <c r="V844" s="224"/>
      <c r="W844" s="224"/>
      <c r="X844" s="9"/>
      <c r="Y844" s="9"/>
      <c r="Z844" s="9"/>
    </row>
    <row r="845">
      <c r="A845" s="585"/>
      <c r="B845" s="585"/>
      <c r="C845" s="585"/>
      <c r="D845" s="585"/>
      <c r="E845" s="585"/>
      <c r="F845" s="585"/>
      <c r="G845" s="585"/>
      <c r="H845" s="585"/>
      <c r="I845" s="585"/>
      <c r="J845" s="585"/>
      <c r="K845" s="585"/>
      <c r="L845" s="585"/>
      <c r="M845" s="585"/>
      <c r="N845" s="585"/>
      <c r="O845" s="585"/>
      <c r="P845" s="585"/>
      <c r="Q845" s="585"/>
      <c r="R845" s="585"/>
      <c r="S845" s="585"/>
      <c r="T845" s="585"/>
      <c r="U845" s="585"/>
      <c r="V845" s="224"/>
      <c r="W845" s="224"/>
      <c r="X845" s="9"/>
      <c r="Y845" s="9"/>
      <c r="Z845" s="9"/>
    </row>
    <row r="846">
      <c r="A846" s="585"/>
      <c r="B846" s="585"/>
      <c r="C846" s="585"/>
      <c r="D846" s="585"/>
      <c r="E846" s="585"/>
      <c r="F846" s="585"/>
      <c r="G846" s="585"/>
      <c r="H846" s="585"/>
      <c r="I846" s="585"/>
      <c r="J846" s="585"/>
      <c r="K846" s="585"/>
      <c r="L846" s="585"/>
      <c r="M846" s="585"/>
      <c r="N846" s="585"/>
      <c r="O846" s="585"/>
      <c r="P846" s="585"/>
      <c r="Q846" s="585"/>
      <c r="R846" s="585"/>
      <c r="S846" s="585"/>
      <c r="T846" s="585"/>
      <c r="U846" s="585"/>
      <c r="V846" s="224"/>
      <c r="W846" s="224"/>
      <c r="X846" s="9"/>
      <c r="Y846" s="9"/>
      <c r="Z846" s="9"/>
    </row>
    <row r="847">
      <c r="A847" s="585"/>
      <c r="B847" s="585"/>
      <c r="C847" s="585"/>
      <c r="D847" s="585"/>
      <c r="E847" s="585"/>
      <c r="F847" s="585"/>
      <c r="G847" s="585"/>
      <c r="H847" s="585"/>
      <c r="I847" s="585"/>
      <c r="J847" s="585"/>
      <c r="K847" s="585"/>
      <c r="L847" s="585"/>
      <c r="M847" s="585"/>
      <c r="N847" s="585"/>
      <c r="O847" s="585"/>
      <c r="P847" s="585"/>
      <c r="Q847" s="585"/>
      <c r="R847" s="585"/>
      <c r="S847" s="585"/>
      <c r="T847" s="585"/>
      <c r="U847" s="585"/>
      <c r="V847" s="224"/>
      <c r="W847" s="224"/>
      <c r="X847" s="9"/>
      <c r="Y847" s="9"/>
      <c r="Z847" s="9"/>
    </row>
    <row r="848">
      <c r="A848" s="585"/>
      <c r="B848" s="585"/>
      <c r="C848" s="585"/>
      <c r="D848" s="585"/>
      <c r="E848" s="585"/>
      <c r="F848" s="585"/>
      <c r="G848" s="585"/>
      <c r="H848" s="585"/>
      <c r="I848" s="585"/>
      <c r="J848" s="585"/>
      <c r="K848" s="585"/>
      <c r="L848" s="585"/>
      <c r="M848" s="585"/>
      <c r="N848" s="585"/>
      <c r="O848" s="585"/>
      <c r="P848" s="585"/>
      <c r="Q848" s="585"/>
      <c r="R848" s="585"/>
      <c r="S848" s="585"/>
      <c r="T848" s="585"/>
      <c r="U848" s="585"/>
      <c r="V848" s="224"/>
      <c r="W848" s="224"/>
      <c r="X848" s="9"/>
      <c r="Y848" s="9"/>
      <c r="Z848" s="9"/>
    </row>
    <row r="849">
      <c r="A849" s="585"/>
      <c r="B849" s="585"/>
      <c r="C849" s="585"/>
      <c r="D849" s="585"/>
      <c r="E849" s="585"/>
      <c r="F849" s="585"/>
      <c r="G849" s="585"/>
      <c r="H849" s="585"/>
      <c r="I849" s="585"/>
      <c r="J849" s="585"/>
      <c r="K849" s="585"/>
      <c r="L849" s="585"/>
      <c r="M849" s="585"/>
      <c r="N849" s="585"/>
      <c r="O849" s="585"/>
      <c r="P849" s="585"/>
      <c r="Q849" s="585"/>
      <c r="R849" s="585"/>
      <c r="S849" s="585"/>
      <c r="T849" s="585"/>
      <c r="U849" s="585"/>
      <c r="V849" s="224"/>
      <c r="W849" s="224"/>
      <c r="X849" s="9"/>
      <c r="Y849" s="9"/>
      <c r="Z849" s="9"/>
    </row>
    <row r="850">
      <c r="A850" s="585"/>
      <c r="B850" s="585"/>
      <c r="C850" s="585"/>
      <c r="D850" s="585"/>
      <c r="E850" s="585"/>
      <c r="F850" s="585"/>
      <c r="G850" s="585"/>
      <c r="H850" s="585"/>
      <c r="I850" s="585"/>
      <c r="J850" s="585"/>
      <c r="K850" s="585"/>
      <c r="L850" s="585"/>
      <c r="M850" s="585"/>
      <c r="N850" s="585"/>
      <c r="O850" s="585"/>
      <c r="P850" s="585"/>
      <c r="Q850" s="585"/>
      <c r="R850" s="585"/>
      <c r="S850" s="585"/>
      <c r="T850" s="585"/>
      <c r="U850" s="585"/>
      <c r="V850" s="224"/>
      <c r="W850" s="224"/>
      <c r="X850" s="9"/>
      <c r="Y850" s="9"/>
      <c r="Z850" s="9"/>
    </row>
    <row r="851">
      <c r="A851" s="585"/>
      <c r="B851" s="585"/>
      <c r="C851" s="585"/>
      <c r="D851" s="585"/>
      <c r="E851" s="585"/>
      <c r="F851" s="585"/>
      <c r="G851" s="585"/>
      <c r="H851" s="585"/>
      <c r="I851" s="585"/>
      <c r="J851" s="585"/>
      <c r="K851" s="585"/>
      <c r="L851" s="585"/>
      <c r="M851" s="585"/>
      <c r="N851" s="585"/>
      <c r="O851" s="585"/>
      <c r="P851" s="585"/>
      <c r="Q851" s="585"/>
      <c r="R851" s="585"/>
      <c r="S851" s="585"/>
      <c r="T851" s="585"/>
      <c r="U851" s="585"/>
      <c r="V851" s="224"/>
      <c r="W851" s="224"/>
      <c r="X851" s="9"/>
      <c r="Y851" s="9"/>
      <c r="Z851" s="9"/>
    </row>
    <row r="852">
      <c r="A852" s="585"/>
      <c r="B852" s="585"/>
      <c r="C852" s="585"/>
      <c r="D852" s="585"/>
      <c r="E852" s="585"/>
      <c r="F852" s="585"/>
      <c r="G852" s="585"/>
      <c r="H852" s="585"/>
      <c r="I852" s="585"/>
      <c r="J852" s="585"/>
      <c r="K852" s="585"/>
      <c r="L852" s="585"/>
      <c r="M852" s="585"/>
      <c r="N852" s="585"/>
      <c r="O852" s="585"/>
      <c r="P852" s="585"/>
      <c r="Q852" s="585"/>
      <c r="R852" s="585"/>
      <c r="S852" s="585"/>
      <c r="T852" s="585"/>
      <c r="U852" s="585"/>
      <c r="V852" s="224"/>
      <c r="W852" s="224"/>
      <c r="X852" s="9"/>
      <c r="Y852" s="9"/>
      <c r="Z852" s="9"/>
    </row>
    <row r="853">
      <c r="A853" s="585"/>
      <c r="B853" s="585"/>
      <c r="C853" s="585"/>
      <c r="D853" s="585"/>
      <c r="E853" s="585"/>
      <c r="F853" s="585"/>
      <c r="G853" s="585"/>
      <c r="H853" s="585"/>
      <c r="I853" s="585"/>
      <c r="J853" s="585"/>
      <c r="K853" s="585"/>
      <c r="L853" s="585"/>
      <c r="M853" s="585"/>
      <c r="N853" s="585"/>
      <c r="O853" s="585"/>
      <c r="P853" s="585"/>
      <c r="Q853" s="585"/>
      <c r="R853" s="585"/>
      <c r="S853" s="585"/>
      <c r="T853" s="585"/>
      <c r="U853" s="585"/>
      <c r="V853" s="224"/>
      <c r="W853" s="224"/>
      <c r="X853" s="9"/>
      <c r="Y853" s="9"/>
      <c r="Z853" s="9"/>
    </row>
    <row r="854">
      <c r="A854" s="585"/>
      <c r="B854" s="585"/>
      <c r="C854" s="585"/>
      <c r="D854" s="585"/>
      <c r="E854" s="585"/>
      <c r="F854" s="585"/>
      <c r="G854" s="585"/>
      <c r="H854" s="585"/>
      <c r="I854" s="585"/>
      <c r="J854" s="585"/>
      <c r="K854" s="585"/>
      <c r="L854" s="585"/>
      <c r="M854" s="585"/>
      <c r="N854" s="585"/>
      <c r="O854" s="585"/>
      <c r="P854" s="585"/>
      <c r="Q854" s="585"/>
      <c r="R854" s="585"/>
      <c r="S854" s="585"/>
      <c r="T854" s="585"/>
      <c r="U854" s="585"/>
      <c r="V854" s="224"/>
      <c r="W854" s="224"/>
      <c r="X854" s="9"/>
      <c r="Y854" s="9"/>
      <c r="Z854" s="9"/>
    </row>
    <row r="855">
      <c r="A855" s="585"/>
      <c r="B855" s="585"/>
      <c r="C855" s="585"/>
      <c r="D855" s="585"/>
      <c r="E855" s="585"/>
      <c r="F855" s="585"/>
      <c r="G855" s="585"/>
      <c r="H855" s="585"/>
      <c r="I855" s="585"/>
      <c r="J855" s="585"/>
      <c r="K855" s="585"/>
      <c r="L855" s="585"/>
      <c r="M855" s="585"/>
      <c r="N855" s="585"/>
      <c r="O855" s="585"/>
      <c r="P855" s="585"/>
      <c r="Q855" s="585"/>
      <c r="R855" s="585"/>
      <c r="S855" s="585"/>
      <c r="T855" s="585"/>
      <c r="U855" s="585"/>
      <c r="V855" s="224"/>
      <c r="W855" s="224"/>
      <c r="X855" s="9"/>
      <c r="Y855" s="9"/>
      <c r="Z855" s="9"/>
    </row>
    <row r="856">
      <c r="A856" s="585"/>
      <c r="B856" s="585"/>
      <c r="C856" s="585"/>
      <c r="D856" s="585"/>
      <c r="E856" s="585"/>
      <c r="F856" s="585"/>
      <c r="G856" s="585"/>
      <c r="H856" s="585"/>
      <c r="I856" s="585"/>
      <c r="J856" s="585"/>
      <c r="K856" s="585"/>
      <c r="L856" s="585"/>
      <c r="M856" s="585"/>
      <c r="N856" s="585"/>
      <c r="O856" s="585"/>
      <c r="P856" s="585"/>
      <c r="Q856" s="585"/>
      <c r="R856" s="585"/>
      <c r="S856" s="585"/>
      <c r="T856" s="585"/>
      <c r="U856" s="585"/>
      <c r="V856" s="224"/>
      <c r="W856" s="224"/>
      <c r="X856" s="9"/>
      <c r="Y856" s="9"/>
      <c r="Z856" s="9"/>
    </row>
    <row r="857">
      <c r="A857" s="585"/>
      <c r="B857" s="585"/>
      <c r="C857" s="585"/>
      <c r="D857" s="585"/>
      <c r="E857" s="585"/>
      <c r="F857" s="585"/>
      <c r="G857" s="585"/>
      <c r="H857" s="585"/>
      <c r="I857" s="585"/>
      <c r="J857" s="585"/>
      <c r="K857" s="585"/>
      <c r="L857" s="585"/>
      <c r="M857" s="585"/>
      <c r="N857" s="585"/>
      <c r="O857" s="585"/>
      <c r="P857" s="585"/>
      <c r="Q857" s="585"/>
      <c r="R857" s="585"/>
      <c r="S857" s="585"/>
      <c r="T857" s="585"/>
      <c r="U857" s="585"/>
      <c r="V857" s="224"/>
      <c r="W857" s="224"/>
      <c r="X857" s="9"/>
      <c r="Y857" s="9"/>
      <c r="Z857" s="9"/>
    </row>
    <row r="858">
      <c r="A858" s="585"/>
      <c r="B858" s="585"/>
      <c r="C858" s="585"/>
      <c r="D858" s="585"/>
      <c r="E858" s="585"/>
      <c r="F858" s="585"/>
      <c r="G858" s="585"/>
      <c r="H858" s="585"/>
      <c r="I858" s="585"/>
      <c r="J858" s="585"/>
      <c r="K858" s="585"/>
      <c r="L858" s="585"/>
      <c r="M858" s="585"/>
      <c r="N858" s="585"/>
      <c r="O858" s="585"/>
      <c r="P858" s="585"/>
      <c r="Q858" s="585"/>
      <c r="R858" s="585"/>
      <c r="S858" s="585"/>
      <c r="T858" s="585"/>
      <c r="U858" s="585"/>
      <c r="V858" s="224"/>
      <c r="W858" s="224"/>
      <c r="X858" s="9"/>
      <c r="Y858" s="9"/>
      <c r="Z858" s="9"/>
    </row>
    <row r="859">
      <c r="A859" s="585"/>
      <c r="B859" s="585"/>
      <c r="C859" s="585"/>
      <c r="D859" s="585"/>
      <c r="E859" s="585"/>
      <c r="F859" s="585"/>
      <c r="G859" s="585"/>
      <c r="H859" s="585"/>
      <c r="I859" s="585"/>
      <c r="J859" s="585"/>
      <c r="K859" s="585"/>
      <c r="L859" s="585"/>
      <c r="M859" s="585"/>
      <c r="N859" s="585"/>
      <c r="O859" s="585"/>
      <c r="P859" s="585"/>
      <c r="Q859" s="585"/>
      <c r="R859" s="585"/>
      <c r="S859" s="585"/>
      <c r="T859" s="585"/>
      <c r="U859" s="585"/>
      <c r="V859" s="224"/>
      <c r="W859" s="224"/>
      <c r="X859" s="9"/>
      <c r="Y859" s="9"/>
      <c r="Z859" s="9"/>
    </row>
    <row r="860">
      <c r="A860" s="585"/>
      <c r="B860" s="585"/>
      <c r="C860" s="585"/>
      <c r="D860" s="585"/>
      <c r="E860" s="585"/>
      <c r="F860" s="585"/>
      <c r="G860" s="585"/>
      <c r="H860" s="585"/>
      <c r="I860" s="585"/>
      <c r="J860" s="585"/>
      <c r="K860" s="585"/>
      <c r="L860" s="585"/>
      <c r="M860" s="585"/>
      <c r="N860" s="585"/>
      <c r="O860" s="585"/>
      <c r="P860" s="585"/>
      <c r="Q860" s="585"/>
      <c r="R860" s="585"/>
      <c r="S860" s="585"/>
      <c r="T860" s="585"/>
      <c r="U860" s="585"/>
      <c r="V860" s="224"/>
      <c r="W860" s="224"/>
      <c r="X860" s="9"/>
      <c r="Y860" s="9"/>
      <c r="Z860" s="9"/>
    </row>
    <row r="861">
      <c r="A861" s="585"/>
      <c r="B861" s="585"/>
      <c r="C861" s="585"/>
      <c r="D861" s="585"/>
      <c r="E861" s="585"/>
      <c r="F861" s="585"/>
      <c r="G861" s="585"/>
      <c r="H861" s="585"/>
      <c r="I861" s="585"/>
      <c r="J861" s="585"/>
      <c r="K861" s="585"/>
      <c r="L861" s="585"/>
      <c r="M861" s="585"/>
      <c r="N861" s="585"/>
      <c r="O861" s="585"/>
      <c r="P861" s="585"/>
      <c r="Q861" s="585"/>
      <c r="R861" s="585"/>
      <c r="S861" s="585"/>
      <c r="T861" s="585"/>
      <c r="U861" s="585"/>
      <c r="V861" s="224"/>
      <c r="W861" s="224"/>
      <c r="X861" s="9"/>
      <c r="Y861" s="9"/>
      <c r="Z861" s="9"/>
    </row>
    <row r="862">
      <c r="A862" s="585"/>
      <c r="B862" s="585"/>
      <c r="C862" s="585"/>
      <c r="D862" s="585"/>
      <c r="E862" s="585"/>
      <c r="F862" s="585"/>
      <c r="G862" s="585"/>
      <c r="H862" s="585"/>
      <c r="I862" s="585"/>
      <c r="J862" s="585"/>
      <c r="K862" s="585"/>
      <c r="L862" s="585"/>
      <c r="M862" s="585"/>
      <c r="N862" s="585"/>
      <c r="O862" s="585"/>
      <c r="P862" s="585"/>
      <c r="Q862" s="585"/>
      <c r="R862" s="585"/>
      <c r="S862" s="585"/>
      <c r="T862" s="585"/>
      <c r="U862" s="585"/>
      <c r="V862" s="224"/>
      <c r="W862" s="224"/>
      <c r="X862" s="9"/>
      <c r="Y862" s="9"/>
      <c r="Z862" s="9"/>
    </row>
    <row r="863">
      <c r="A863" s="585"/>
      <c r="B863" s="585"/>
      <c r="C863" s="585"/>
      <c r="D863" s="585"/>
      <c r="E863" s="585"/>
      <c r="F863" s="585"/>
      <c r="G863" s="585"/>
      <c r="H863" s="585"/>
      <c r="I863" s="585"/>
      <c r="J863" s="585"/>
      <c r="K863" s="585"/>
      <c r="L863" s="585"/>
      <c r="M863" s="585"/>
      <c r="N863" s="585"/>
      <c r="O863" s="585"/>
      <c r="P863" s="585"/>
      <c r="Q863" s="585"/>
      <c r="R863" s="585"/>
      <c r="S863" s="585"/>
      <c r="T863" s="585"/>
      <c r="U863" s="585"/>
      <c r="V863" s="224"/>
      <c r="W863" s="224"/>
      <c r="X863" s="9"/>
      <c r="Y863" s="9"/>
      <c r="Z863" s="9"/>
    </row>
    <row r="864">
      <c r="A864" s="585"/>
      <c r="B864" s="585"/>
      <c r="C864" s="585"/>
      <c r="D864" s="585"/>
      <c r="E864" s="585"/>
      <c r="F864" s="585"/>
      <c r="G864" s="585"/>
      <c r="H864" s="585"/>
      <c r="I864" s="585"/>
      <c r="J864" s="585"/>
      <c r="K864" s="585"/>
      <c r="L864" s="585"/>
      <c r="M864" s="585"/>
      <c r="N864" s="585"/>
      <c r="O864" s="585"/>
      <c r="P864" s="585"/>
      <c r="Q864" s="585"/>
      <c r="R864" s="585"/>
      <c r="S864" s="585"/>
      <c r="T864" s="585"/>
      <c r="U864" s="585"/>
      <c r="V864" s="224"/>
      <c r="W864" s="224"/>
      <c r="X864" s="9"/>
      <c r="Y864" s="9"/>
      <c r="Z864" s="9"/>
    </row>
    <row r="865">
      <c r="A865" s="585"/>
      <c r="B865" s="585"/>
      <c r="C865" s="585"/>
      <c r="D865" s="585"/>
      <c r="E865" s="585"/>
      <c r="F865" s="585"/>
      <c r="G865" s="585"/>
      <c r="H865" s="585"/>
      <c r="I865" s="585"/>
      <c r="J865" s="585"/>
      <c r="K865" s="585"/>
      <c r="L865" s="585"/>
      <c r="M865" s="585"/>
      <c r="N865" s="585"/>
      <c r="O865" s="585"/>
      <c r="P865" s="585"/>
      <c r="Q865" s="585"/>
      <c r="R865" s="585"/>
      <c r="S865" s="585"/>
      <c r="T865" s="585"/>
      <c r="U865" s="585"/>
      <c r="V865" s="224"/>
      <c r="W865" s="224"/>
      <c r="X865" s="9"/>
      <c r="Y865" s="9"/>
      <c r="Z865" s="9"/>
    </row>
    <row r="866">
      <c r="A866" s="585"/>
      <c r="B866" s="585"/>
      <c r="C866" s="585"/>
      <c r="D866" s="585"/>
      <c r="E866" s="585"/>
      <c r="F866" s="585"/>
      <c r="G866" s="585"/>
      <c r="H866" s="585"/>
      <c r="I866" s="585"/>
      <c r="J866" s="585"/>
      <c r="K866" s="585"/>
      <c r="L866" s="585"/>
      <c r="M866" s="585"/>
      <c r="N866" s="585"/>
      <c r="O866" s="585"/>
      <c r="P866" s="585"/>
      <c r="Q866" s="585"/>
      <c r="R866" s="585"/>
      <c r="S866" s="585"/>
      <c r="T866" s="585"/>
      <c r="U866" s="585"/>
      <c r="V866" s="224"/>
      <c r="W866" s="224"/>
      <c r="X866" s="9"/>
      <c r="Y866" s="9"/>
      <c r="Z866" s="9"/>
    </row>
    <row r="867">
      <c r="A867" s="585"/>
      <c r="B867" s="585"/>
      <c r="C867" s="585"/>
      <c r="D867" s="585"/>
      <c r="E867" s="585"/>
      <c r="F867" s="585"/>
      <c r="G867" s="585"/>
      <c r="H867" s="585"/>
      <c r="I867" s="585"/>
      <c r="J867" s="585"/>
      <c r="K867" s="585"/>
      <c r="L867" s="585"/>
      <c r="M867" s="585"/>
      <c r="N867" s="585"/>
      <c r="O867" s="585"/>
      <c r="P867" s="585"/>
      <c r="Q867" s="585"/>
      <c r="R867" s="585"/>
      <c r="S867" s="585"/>
      <c r="T867" s="585"/>
      <c r="U867" s="585"/>
      <c r="V867" s="224"/>
      <c r="W867" s="224"/>
      <c r="X867" s="9"/>
      <c r="Y867" s="9"/>
      <c r="Z867" s="9"/>
    </row>
    <row r="868">
      <c r="A868" s="585"/>
      <c r="B868" s="585"/>
      <c r="C868" s="585"/>
      <c r="D868" s="585"/>
      <c r="E868" s="585"/>
      <c r="F868" s="585"/>
      <c r="G868" s="585"/>
      <c r="H868" s="585"/>
      <c r="I868" s="585"/>
      <c r="J868" s="585"/>
      <c r="K868" s="585"/>
      <c r="L868" s="585"/>
      <c r="M868" s="585"/>
      <c r="N868" s="585"/>
      <c r="O868" s="585"/>
      <c r="P868" s="585"/>
      <c r="Q868" s="585"/>
      <c r="R868" s="585"/>
      <c r="S868" s="585"/>
      <c r="T868" s="585"/>
      <c r="U868" s="585"/>
      <c r="V868" s="224"/>
      <c r="W868" s="224"/>
      <c r="X868" s="9"/>
      <c r="Y868" s="9"/>
      <c r="Z868" s="9"/>
    </row>
    <row r="869">
      <c r="A869" s="585"/>
      <c r="B869" s="585"/>
      <c r="C869" s="585"/>
      <c r="D869" s="585"/>
      <c r="E869" s="585"/>
      <c r="F869" s="585"/>
      <c r="G869" s="585"/>
      <c r="H869" s="585"/>
      <c r="I869" s="585"/>
      <c r="J869" s="585"/>
      <c r="K869" s="585"/>
      <c r="L869" s="585"/>
      <c r="M869" s="585"/>
      <c r="N869" s="585"/>
      <c r="O869" s="585"/>
      <c r="P869" s="585"/>
      <c r="Q869" s="585"/>
      <c r="R869" s="585"/>
      <c r="S869" s="585"/>
      <c r="T869" s="585"/>
      <c r="U869" s="585"/>
      <c r="V869" s="224"/>
      <c r="W869" s="224"/>
      <c r="X869" s="9"/>
      <c r="Y869" s="9"/>
      <c r="Z869" s="9"/>
    </row>
    <row r="870">
      <c r="A870" s="585"/>
      <c r="B870" s="585"/>
      <c r="C870" s="585"/>
      <c r="D870" s="585"/>
      <c r="E870" s="585"/>
      <c r="F870" s="585"/>
      <c r="G870" s="585"/>
      <c r="H870" s="585"/>
      <c r="I870" s="585"/>
      <c r="J870" s="585"/>
      <c r="K870" s="585"/>
      <c r="L870" s="585"/>
      <c r="M870" s="585"/>
      <c r="N870" s="585"/>
      <c r="O870" s="585"/>
      <c r="P870" s="585"/>
      <c r="Q870" s="585"/>
      <c r="R870" s="585"/>
      <c r="S870" s="585"/>
      <c r="T870" s="585"/>
      <c r="U870" s="585"/>
      <c r="V870" s="224"/>
      <c r="W870" s="224"/>
      <c r="X870" s="9"/>
      <c r="Y870" s="9"/>
      <c r="Z870" s="9"/>
    </row>
    <row r="871">
      <c r="A871" s="585"/>
      <c r="B871" s="585"/>
      <c r="C871" s="585"/>
      <c r="D871" s="585"/>
      <c r="E871" s="585"/>
      <c r="F871" s="585"/>
      <c r="G871" s="585"/>
      <c r="H871" s="585"/>
      <c r="I871" s="585"/>
      <c r="J871" s="585"/>
      <c r="K871" s="585"/>
      <c r="L871" s="585"/>
      <c r="M871" s="585"/>
      <c r="N871" s="585"/>
      <c r="O871" s="585"/>
      <c r="P871" s="585"/>
      <c r="Q871" s="585"/>
      <c r="R871" s="585"/>
      <c r="S871" s="585"/>
      <c r="T871" s="585"/>
      <c r="U871" s="585"/>
      <c r="V871" s="224"/>
      <c r="W871" s="224"/>
      <c r="X871" s="9"/>
      <c r="Y871" s="9"/>
      <c r="Z871" s="9"/>
    </row>
    <row r="872">
      <c r="A872" s="585"/>
      <c r="B872" s="585"/>
      <c r="C872" s="585"/>
      <c r="D872" s="585"/>
      <c r="E872" s="585"/>
      <c r="F872" s="585"/>
      <c r="G872" s="585"/>
      <c r="H872" s="585"/>
      <c r="I872" s="585"/>
      <c r="J872" s="585"/>
      <c r="K872" s="585"/>
      <c r="L872" s="585"/>
      <c r="M872" s="585"/>
      <c r="N872" s="585"/>
      <c r="O872" s="585"/>
      <c r="P872" s="585"/>
      <c r="Q872" s="585"/>
      <c r="R872" s="585"/>
      <c r="S872" s="585"/>
      <c r="T872" s="585"/>
      <c r="U872" s="585"/>
      <c r="V872" s="224"/>
      <c r="W872" s="224"/>
      <c r="X872" s="9"/>
      <c r="Y872" s="9"/>
      <c r="Z872" s="9"/>
    </row>
    <row r="873">
      <c r="A873" s="585"/>
      <c r="B873" s="585"/>
      <c r="C873" s="585"/>
      <c r="D873" s="585"/>
      <c r="E873" s="585"/>
      <c r="F873" s="585"/>
      <c r="G873" s="585"/>
      <c r="H873" s="585"/>
      <c r="I873" s="585"/>
      <c r="J873" s="585"/>
      <c r="K873" s="585"/>
      <c r="L873" s="585"/>
      <c r="M873" s="585"/>
      <c r="N873" s="585"/>
      <c r="O873" s="585"/>
      <c r="P873" s="585"/>
      <c r="Q873" s="585"/>
      <c r="R873" s="585"/>
      <c r="S873" s="585"/>
      <c r="T873" s="585"/>
      <c r="U873" s="585"/>
      <c r="V873" s="224"/>
      <c r="W873" s="224"/>
      <c r="X873" s="9"/>
      <c r="Y873" s="9"/>
      <c r="Z873" s="9"/>
    </row>
    <row r="874">
      <c r="A874" s="585"/>
      <c r="B874" s="585"/>
      <c r="C874" s="585"/>
      <c r="D874" s="585"/>
      <c r="E874" s="585"/>
      <c r="F874" s="585"/>
      <c r="G874" s="585"/>
      <c r="H874" s="585"/>
      <c r="I874" s="585"/>
      <c r="J874" s="585"/>
      <c r="K874" s="585"/>
      <c r="L874" s="585"/>
      <c r="M874" s="585"/>
      <c r="N874" s="585"/>
      <c r="O874" s="585"/>
      <c r="P874" s="585"/>
      <c r="Q874" s="585"/>
      <c r="R874" s="585"/>
      <c r="S874" s="585"/>
      <c r="T874" s="585"/>
      <c r="U874" s="585"/>
      <c r="V874" s="224"/>
      <c r="W874" s="224"/>
      <c r="X874" s="9"/>
      <c r="Y874" s="9"/>
      <c r="Z874" s="9"/>
    </row>
    <row r="875">
      <c r="A875" s="585"/>
      <c r="B875" s="585"/>
      <c r="C875" s="585"/>
      <c r="D875" s="585"/>
      <c r="E875" s="585"/>
      <c r="F875" s="585"/>
      <c r="G875" s="585"/>
      <c r="H875" s="585"/>
      <c r="I875" s="585"/>
      <c r="J875" s="585"/>
      <c r="K875" s="585"/>
      <c r="L875" s="585"/>
      <c r="M875" s="585"/>
      <c r="N875" s="585"/>
      <c r="O875" s="585"/>
      <c r="P875" s="585"/>
      <c r="Q875" s="585"/>
      <c r="R875" s="585"/>
      <c r="S875" s="585"/>
      <c r="T875" s="585"/>
      <c r="U875" s="585"/>
      <c r="V875" s="224"/>
      <c r="W875" s="224"/>
      <c r="X875" s="9"/>
      <c r="Y875" s="9"/>
      <c r="Z875" s="9"/>
    </row>
    <row r="876">
      <c r="A876" s="585"/>
      <c r="B876" s="585"/>
      <c r="C876" s="585"/>
      <c r="D876" s="585"/>
      <c r="E876" s="585"/>
      <c r="F876" s="585"/>
      <c r="G876" s="585"/>
      <c r="H876" s="585"/>
      <c r="I876" s="585"/>
      <c r="J876" s="585"/>
      <c r="K876" s="585"/>
      <c r="L876" s="585"/>
      <c r="M876" s="585"/>
      <c r="N876" s="585"/>
      <c r="O876" s="585"/>
      <c r="P876" s="585"/>
      <c r="Q876" s="585"/>
      <c r="R876" s="585"/>
      <c r="S876" s="585"/>
      <c r="T876" s="585"/>
      <c r="U876" s="585"/>
      <c r="V876" s="224"/>
      <c r="W876" s="224"/>
      <c r="X876" s="9"/>
      <c r="Y876" s="9"/>
      <c r="Z876" s="9"/>
    </row>
    <row r="877">
      <c r="A877" s="585"/>
      <c r="B877" s="585"/>
      <c r="C877" s="585"/>
      <c r="D877" s="585"/>
      <c r="E877" s="585"/>
      <c r="F877" s="585"/>
      <c r="G877" s="585"/>
      <c r="H877" s="585"/>
      <c r="I877" s="585"/>
      <c r="J877" s="585"/>
      <c r="K877" s="585"/>
      <c r="L877" s="585"/>
      <c r="M877" s="585"/>
      <c r="N877" s="585"/>
      <c r="O877" s="585"/>
      <c r="P877" s="585"/>
      <c r="Q877" s="585"/>
      <c r="R877" s="585"/>
      <c r="S877" s="585"/>
      <c r="T877" s="585"/>
      <c r="U877" s="585"/>
      <c r="V877" s="224"/>
      <c r="W877" s="224"/>
      <c r="X877" s="9"/>
      <c r="Y877" s="9"/>
      <c r="Z877" s="9"/>
    </row>
    <row r="878">
      <c r="A878" s="585"/>
      <c r="B878" s="585"/>
      <c r="C878" s="585"/>
      <c r="D878" s="585"/>
      <c r="E878" s="585"/>
      <c r="F878" s="585"/>
      <c r="G878" s="585"/>
      <c r="H878" s="585"/>
      <c r="I878" s="585"/>
      <c r="J878" s="585"/>
      <c r="K878" s="585"/>
      <c r="L878" s="585"/>
      <c r="M878" s="585"/>
      <c r="N878" s="585"/>
      <c r="O878" s="585"/>
      <c r="P878" s="585"/>
      <c r="Q878" s="585"/>
      <c r="R878" s="585"/>
      <c r="S878" s="585"/>
      <c r="T878" s="585"/>
      <c r="U878" s="585"/>
      <c r="V878" s="224"/>
      <c r="W878" s="224"/>
      <c r="X878" s="9"/>
      <c r="Y878" s="9"/>
      <c r="Z878" s="9"/>
    </row>
    <row r="879">
      <c r="A879" s="585"/>
      <c r="B879" s="585"/>
      <c r="C879" s="585"/>
      <c r="D879" s="585"/>
      <c r="E879" s="585"/>
      <c r="F879" s="585"/>
      <c r="G879" s="585"/>
      <c r="H879" s="585"/>
      <c r="I879" s="585"/>
      <c r="J879" s="585"/>
      <c r="K879" s="585"/>
      <c r="L879" s="585"/>
      <c r="M879" s="585"/>
      <c r="N879" s="585"/>
      <c r="O879" s="585"/>
      <c r="P879" s="585"/>
      <c r="Q879" s="585"/>
      <c r="R879" s="585"/>
      <c r="S879" s="585"/>
      <c r="T879" s="585"/>
      <c r="U879" s="585"/>
      <c r="V879" s="224"/>
      <c r="W879" s="224"/>
      <c r="X879" s="9"/>
      <c r="Y879" s="9"/>
      <c r="Z879" s="9"/>
    </row>
    <row r="880">
      <c r="A880" s="585"/>
      <c r="B880" s="585"/>
      <c r="C880" s="585"/>
      <c r="D880" s="585"/>
      <c r="E880" s="585"/>
      <c r="F880" s="585"/>
      <c r="G880" s="585"/>
      <c r="H880" s="585"/>
      <c r="I880" s="585"/>
      <c r="J880" s="585"/>
      <c r="K880" s="585"/>
      <c r="L880" s="585"/>
      <c r="M880" s="585"/>
      <c r="N880" s="585"/>
      <c r="O880" s="585"/>
      <c r="P880" s="585"/>
      <c r="Q880" s="585"/>
      <c r="R880" s="585"/>
      <c r="S880" s="585"/>
      <c r="T880" s="585"/>
      <c r="U880" s="585"/>
      <c r="V880" s="224"/>
      <c r="W880" s="224"/>
      <c r="X880" s="9"/>
      <c r="Y880" s="9"/>
      <c r="Z880" s="9"/>
    </row>
    <row r="881">
      <c r="A881" s="585"/>
      <c r="B881" s="585"/>
      <c r="C881" s="585"/>
      <c r="D881" s="585"/>
      <c r="E881" s="585"/>
      <c r="F881" s="585"/>
      <c r="G881" s="585"/>
      <c r="H881" s="585"/>
      <c r="I881" s="585"/>
      <c r="J881" s="585"/>
      <c r="K881" s="585"/>
      <c r="L881" s="585"/>
      <c r="M881" s="585"/>
      <c r="N881" s="585"/>
      <c r="O881" s="585"/>
      <c r="P881" s="585"/>
      <c r="Q881" s="585"/>
      <c r="R881" s="585"/>
      <c r="S881" s="585"/>
      <c r="T881" s="585"/>
      <c r="U881" s="585"/>
      <c r="V881" s="224"/>
      <c r="W881" s="224"/>
      <c r="X881" s="9"/>
      <c r="Y881" s="9"/>
      <c r="Z881" s="9"/>
    </row>
    <row r="882">
      <c r="A882" s="585"/>
      <c r="B882" s="585"/>
      <c r="C882" s="585"/>
      <c r="D882" s="585"/>
      <c r="E882" s="585"/>
      <c r="F882" s="585"/>
      <c r="G882" s="585"/>
      <c r="H882" s="585"/>
      <c r="I882" s="585"/>
      <c r="J882" s="585"/>
      <c r="K882" s="585"/>
      <c r="L882" s="585"/>
      <c r="M882" s="585"/>
      <c r="N882" s="585"/>
      <c r="O882" s="585"/>
      <c r="P882" s="585"/>
      <c r="Q882" s="585"/>
      <c r="R882" s="585"/>
      <c r="S882" s="585"/>
      <c r="T882" s="585"/>
      <c r="U882" s="585"/>
      <c r="V882" s="224"/>
      <c r="W882" s="224"/>
      <c r="X882" s="9"/>
      <c r="Y882" s="9"/>
      <c r="Z882" s="9"/>
    </row>
    <row r="883">
      <c r="A883" s="585"/>
      <c r="B883" s="585"/>
      <c r="C883" s="585"/>
      <c r="D883" s="585"/>
      <c r="E883" s="585"/>
      <c r="F883" s="585"/>
      <c r="G883" s="585"/>
      <c r="H883" s="585"/>
      <c r="I883" s="585"/>
      <c r="J883" s="585"/>
      <c r="K883" s="585"/>
      <c r="L883" s="585"/>
      <c r="M883" s="585"/>
      <c r="N883" s="585"/>
      <c r="O883" s="585"/>
      <c r="P883" s="585"/>
      <c r="Q883" s="585"/>
      <c r="R883" s="585"/>
      <c r="S883" s="585"/>
      <c r="T883" s="585"/>
      <c r="U883" s="585"/>
      <c r="V883" s="224"/>
      <c r="W883" s="224"/>
      <c r="X883" s="9"/>
      <c r="Y883" s="9"/>
      <c r="Z883" s="9"/>
    </row>
    <row r="884">
      <c r="A884" s="585"/>
      <c r="B884" s="585"/>
      <c r="C884" s="585"/>
      <c r="D884" s="585"/>
      <c r="E884" s="585"/>
      <c r="F884" s="585"/>
      <c r="G884" s="585"/>
      <c r="H884" s="585"/>
      <c r="I884" s="585"/>
      <c r="J884" s="585"/>
      <c r="K884" s="585"/>
      <c r="L884" s="585"/>
      <c r="M884" s="585"/>
      <c r="N884" s="585"/>
      <c r="O884" s="585"/>
      <c r="P884" s="585"/>
      <c r="Q884" s="585"/>
      <c r="R884" s="585"/>
      <c r="S884" s="585"/>
      <c r="T884" s="585"/>
      <c r="U884" s="585"/>
      <c r="V884" s="224"/>
      <c r="W884" s="224"/>
      <c r="X884" s="9"/>
      <c r="Y884" s="9"/>
      <c r="Z884" s="9"/>
    </row>
    <row r="885">
      <c r="A885" s="585"/>
      <c r="B885" s="585"/>
      <c r="C885" s="585"/>
      <c r="D885" s="585"/>
      <c r="E885" s="585"/>
      <c r="F885" s="585"/>
      <c r="G885" s="585"/>
      <c r="H885" s="585"/>
      <c r="I885" s="585"/>
      <c r="J885" s="585"/>
      <c r="K885" s="585"/>
      <c r="L885" s="585"/>
      <c r="M885" s="585"/>
      <c r="N885" s="585"/>
      <c r="O885" s="585"/>
      <c r="P885" s="585"/>
      <c r="Q885" s="585"/>
      <c r="R885" s="585"/>
      <c r="S885" s="585"/>
      <c r="T885" s="585"/>
      <c r="U885" s="585"/>
      <c r="V885" s="224"/>
      <c r="W885" s="224"/>
      <c r="X885" s="9"/>
      <c r="Y885" s="9"/>
      <c r="Z885" s="9"/>
    </row>
    <row r="886">
      <c r="A886" s="585"/>
      <c r="B886" s="585"/>
      <c r="C886" s="585"/>
      <c r="D886" s="585"/>
      <c r="E886" s="585"/>
      <c r="F886" s="585"/>
      <c r="G886" s="585"/>
      <c r="H886" s="585"/>
      <c r="I886" s="585"/>
      <c r="J886" s="585"/>
      <c r="K886" s="585"/>
      <c r="L886" s="585"/>
      <c r="M886" s="585"/>
      <c r="N886" s="585"/>
      <c r="O886" s="585"/>
      <c r="P886" s="585"/>
      <c r="Q886" s="585"/>
      <c r="R886" s="585"/>
      <c r="S886" s="585"/>
      <c r="T886" s="585"/>
      <c r="U886" s="585"/>
      <c r="V886" s="224"/>
      <c r="W886" s="224"/>
      <c r="X886" s="9"/>
      <c r="Y886" s="9"/>
      <c r="Z886" s="9"/>
    </row>
    <row r="887">
      <c r="A887" s="585"/>
      <c r="B887" s="585"/>
      <c r="C887" s="585"/>
      <c r="D887" s="585"/>
      <c r="E887" s="585"/>
      <c r="F887" s="585"/>
      <c r="G887" s="585"/>
      <c r="H887" s="585"/>
      <c r="I887" s="585"/>
      <c r="J887" s="585"/>
      <c r="K887" s="585"/>
      <c r="L887" s="585"/>
      <c r="M887" s="585"/>
      <c r="N887" s="585"/>
      <c r="O887" s="585"/>
      <c r="P887" s="585"/>
      <c r="Q887" s="585"/>
      <c r="R887" s="585"/>
      <c r="S887" s="585"/>
      <c r="T887" s="585"/>
      <c r="U887" s="585"/>
      <c r="V887" s="224"/>
      <c r="W887" s="224"/>
      <c r="X887" s="9"/>
      <c r="Y887" s="9"/>
      <c r="Z887" s="9"/>
    </row>
    <row r="888">
      <c r="A888" s="585"/>
      <c r="B888" s="585"/>
      <c r="C888" s="585"/>
      <c r="D888" s="585"/>
      <c r="E888" s="585"/>
      <c r="F888" s="585"/>
      <c r="G888" s="585"/>
      <c r="H888" s="585"/>
      <c r="I888" s="585"/>
      <c r="J888" s="585"/>
      <c r="K888" s="585"/>
      <c r="L888" s="585"/>
      <c r="M888" s="585"/>
      <c r="N888" s="585"/>
      <c r="O888" s="585"/>
      <c r="P888" s="585"/>
      <c r="Q888" s="585"/>
      <c r="R888" s="585"/>
      <c r="S888" s="585"/>
      <c r="T888" s="585"/>
      <c r="U888" s="585"/>
      <c r="V888" s="224"/>
      <c r="W888" s="224"/>
      <c r="X888" s="9"/>
      <c r="Y888" s="9"/>
      <c r="Z888" s="9"/>
    </row>
    <row r="889">
      <c r="A889" s="585"/>
      <c r="B889" s="585"/>
      <c r="C889" s="585"/>
      <c r="D889" s="585"/>
      <c r="E889" s="585"/>
      <c r="F889" s="585"/>
      <c r="G889" s="585"/>
      <c r="H889" s="585"/>
      <c r="I889" s="585"/>
      <c r="J889" s="585"/>
      <c r="K889" s="585"/>
      <c r="L889" s="585"/>
      <c r="M889" s="585"/>
      <c r="N889" s="585"/>
      <c r="O889" s="585"/>
      <c r="P889" s="585"/>
      <c r="Q889" s="585"/>
      <c r="R889" s="585"/>
      <c r="S889" s="585"/>
      <c r="T889" s="585"/>
      <c r="U889" s="585"/>
      <c r="V889" s="224"/>
      <c r="W889" s="224"/>
      <c r="X889" s="9"/>
      <c r="Y889" s="9"/>
      <c r="Z889" s="9"/>
    </row>
    <row r="890">
      <c r="A890" s="585"/>
      <c r="B890" s="585"/>
      <c r="C890" s="585"/>
      <c r="D890" s="585"/>
      <c r="E890" s="585"/>
      <c r="F890" s="585"/>
      <c r="G890" s="585"/>
      <c r="H890" s="585"/>
      <c r="I890" s="585"/>
      <c r="J890" s="585"/>
      <c r="K890" s="585"/>
      <c r="L890" s="585"/>
      <c r="M890" s="585"/>
      <c r="N890" s="585"/>
      <c r="O890" s="585"/>
      <c r="P890" s="585"/>
      <c r="Q890" s="585"/>
      <c r="R890" s="585"/>
      <c r="S890" s="585"/>
      <c r="T890" s="585"/>
      <c r="U890" s="585"/>
      <c r="V890" s="224"/>
      <c r="W890" s="224"/>
      <c r="X890" s="9"/>
      <c r="Y890" s="9"/>
      <c r="Z890" s="9"/>
    </row>
    <row r="891">
      <c r="A891" s="585"/>
      <c r="B891" s="585"/>
      <c r="C891" s="585"/>
      <c r="D891" s="585"/>
      <c r="E891" s="585"/>
      <c r="F891" s="585"/>
      <c r="G891" s="585"/>
      <c r="H891" s="585"/>
      <c r="I891" s="585"/>
      <c r="J891" s="585"/>
      <c r="K891" s="585"/>
      <c r="L891" s="585"/>
      <c r="M891" s="585"/>
      <c r="N891" s="585"/>
      <c r="O891" s="585"/>
      <c r="P891" s="585"/>
      <c r="Q891" s="585"/>
      <c r="R891" s="585"/>
      <c r="S891" s="585"/>
      <c r="T891" s="585"/>
      <c r="U891" s="585"/>
      <c r="V891" s="224"/>
      <c r="W891" s="224"/>
      <c r="X891" s="9"/>
      <c r="Y891" s="9"/>
      <c r="Z891" s="9"/>
    </row>
    <row r="892">
      <c r="A892" s="585"/>
      <c r="B892" s="585"/>
      <c r="C892" s="585"/>
      <c r="D892" s="585"/>
      <c r="E892" s="585"/>
      <c r="F892" s="585"/>
      <c r="G892" s="585"/>
      <c r="H892" s="585"/>
      <c r="I892" s="585"/>
      <c r="J892" s="585"/>
      <c r="K892" s="585"/>
      <c r="L892" s="585"/>
      <c r="M892" s="585"/>
      <c r="N892" s="585"/>
      <c r="O892" s="585"/>
      <c r="P892" s="585"/>
      <c r="Q892" s="585"/>
      <c r="R892" s="585"/>
      <c r="S892" s="585"/>
      <c r="T892" s="585"/>
      <c r="U892" s="585"/>
      <c r="V892" s="224"/>
      <c r="W892" s="224"/>
      <c r="X892" s="9"/>
      <c r="Y892" s="9"/>
      <c r="Z892" s="9"/>
    </row>
    <row r="893">
      <c r="A893" s="585"/>
      <c r="B893" s="585"/>
      <c r="C893" s="585"/>
      <c r="D893" s="585"/>
      <c r="E893" s="585"/>
      <c r="F893" s="585"/>
      <c r="G893" s="585"/>
      <c r="H893" s="585"/>
      <c r="I893" s="585"/>
      <c r="J893" s="585"/>
      <c r="K893" s="585"/>
      <c r="L893" s="585"/>
      <c r="M893" s="585"/>
      <c r="N893" s="585"/>
      <c r="O893" s="585"/>
      <c r="P893" s="585"/>
      <c r="Q893" s="585"/>
      <c r="R893" s="585"/>
      <c r="S893" s="585"/>
      <c r="T893" s="585"/>
      <c r="U893" s="585"/>
      <c r="V893" s="224"/>
      <c r="W893" s="224"/>
      <c r="X893" s="9"/>
      <c r="Y893" s="9"/>
      <c r="Z893" s="9"/>
    </row>
    <row r="894">
      <c r="A894" s="585"/>
      <c r="B894" s="585"/>
      <c r="C894" s="585"/>
      <c r="D894" s="585"/>
      <c r="E894" s="585"/>
      <c r="F894" s="585"/>
      <c r="G894" s="585"/>
      <c r="H894" s="585"/>
      <c r="I894" s="585"/>
      <c r="J894" s="585"/>
      <c r="K894" s="585"/>
      <c r="L894" s="585"/>
      <c r="M894" s="585"/>
      <c r="N894" s="585"/>
      <c r="O894" s="585"/>
      <c r="P894" s="585"/>
      <c r="Q894" s="585"/>
      <c r="R894" s="585"/>
      <c r="S894" s="585"/>
      <c r="T894" s="585"/>
      <c r="U894" s="585"/>
      <c r="V894" s="224"/>
      <c r="W894" s="224"/>
      <c r="X894" s="9"/>
      <c r="Y894" s="9"/>
      <c r="Z894" s="9"/>
    </row>
    <row r="895">
      <c r="A895" s="585"/>
      <c r="B895" s="585"/>
      <c r="C895" s="585"/>
      <c r="D895" s="585"/>
      <c r="E895" s="585"/>
      <c r="F895" s="585"/>
      <c r="G895" s="585"/>
      <c r="H895" s="585"/>
      <c r="I895" s="585"/>
      <c r="J895" s="585"/>
      <c r="K895" s="585"/>
      <c r="L895" s="585"/>
      <c r="M895" s="585"/>
      <c r="N895" s="585"/>
      <c r="O895" s="585"/>
      <c r="P895" s="585"/>
      <c r="Q895" s="585"/>
      <c r="R895" s="585"/>
      <c r="S895" s="585"/>
      <c r="T895" s="585"/>
      <c r="U895" s="585"/>
      <c r="V895" s="224"/>
      <c r="W895" s="224"/>
      <c r="X895" s="9"/>
      <c r="Y895" s="9"/>
      <c r="Z895" s="9"/>
    </row>
    <row r="896">
      <c r="A896" s="585"/>
      <c r="B896" s="585"/>
      <c r="C896" s="585"/>
      <c r="D896" s="585"/>
      <c r="E896" s="585"/>
      <c r="F896" s="585"/>
      <c r="G896" s="585"/>
      <c r="H896" s="585"/>
      <c r="I896" s="585"/>
      <c r="J896" s="585"/>
      <c r="K896" s="585"/>
      <c r="L896" s="585"/>
      <c r="M896" s="585"/>
      <c r="N896" s="585"/>
      <c r="O896" s="585"/>
      <c r="P896" s="585"/>
      <c r="Q896" s="585"/>
      <c r="R896" s="585"/>
      <c r="S896" s="585"/>
      <c r="T896" s="585"/>
      <c r="U896" s="585"/>
      <c r="V896" s="224"/>
      <c r="W896" s="224"/>
      <c r="X896" s="9"/>
      <c r="Y896" s="9"/>
      <c r="Z896" s="9"/>
    </row>
    <row r="897">
      <c r="A897" s="585"/>
      <c r="B897" s="585"/>
      <c r="C897" s="585"/>
      <c r="D897" s="585"/>
      <c r="E897" s="585"/>
      <c r="F897" s="585"/>
      <c r="G897" s="585"/>
      <c r="H897" s="585"/>
      <c r="I897" s="585"/>
      <c r="J897" s="585"/>
      <c r="K897" s="585"/>
      <c r="L897" s="585"/>
      <c r="M897" s="585"/>
      <c r="N897" s="585"/>
      <c r="O897" s="585"/>
      <c r="P897" s="585"/>
      <c r="Q897" s="585"/>
      <c r="R897" s="585"/>
      <c r="S897" s="585"/>
      <c r="T897" s="585"/>
      <c r="U897" s="585"/>
      <c r="V897" s="224"/>
      <c r="W897" s="224"/>
      <c r="X897" s="9"/>
      <c r="Y897" s="9"/>
      <c r="Z897" s="9"/>
    </row>
    <row r="898">
      <c r="A898" s="585"/>
      <c r="B898" s="585"/>
      <c r="C898" s="585"/>
      <c r="D898" s="585"/>
      <c r="E898" s="585"/>
      <c r="F898" s="585"/>
      <c r="G898" s="585"/>
      <c r="H898" s="585"/>
      <c r="I898" s="585"/>
      <c r="J898" s="585"/>
      <c r="K898" s="585"/>
      <c r="L898" s="585"/>
      <c r="M898" s="585"/>
      <c r="N898" s="585"/>
      <c r="O898" s="585"/>
      <c r="P898" s="585"/>
      <c r="Q898" s="585"/>
      <c r="R898" s="585"/>
      <c r="S898" s="585"/>
      <c r="T898" s="585"/>
      <c r="U898" s="585"/>
      <c r="V898" s="224"/>
      <c r="W898" s="224"/>
      <c r="X898" s="9"/>
      <c r="Y898" s="9"/>
      <c r="Z898" s="9"/>
    </row>
    <row r="899">
      <c r="A899" s="585"/>
      <c r="B899" s="585"/>
      <c r="C899" s="585"/>
      <c r="D899" s="585"/>
      <c r="E899" s="585"/>
      <c r="F899" s="585"/>
      <c r="G899" s="585"/>
      <c r="H899" s="585"/>
      <c r="I899" s="585"/>
      <c r="J899" s="585"/>
      <c r="K899" s="585"/>
      <c r="L899" s="585"/>
      <c r="M899" s="585"/>
      <c r="N899" s="585"/>
      <c r="O899" s="585"/>
      <c r="P899" s="585"/>
      <c r="Q899" s="585"/>
      <c r="R899" s="585"/>
      <c r="S899" s="585"/>
      <c r="T899" s="585"/>
      <c r="U899" s="585"/>
      <c r="V899" s="224"/>
      <c r="W899" s="224"/>
      <c r="X899" s="9"/>
      <c r="Y899" s="9"/>
      <c r="Z899" s="9"/>
    </row>
    <row r="900">
      <c r="A900" s="585"/>
      <c r="B900" s="585"/>
      <c r="C900" s="585"/>
      <c r="D900" s="585"/>
      <c r="E900" s="585"/>
      <c r="F900" s="585"/>
      <c r="G900" s="585"/>
      <c r="H900" s="585"/>
      <c r="I900" s="585"/>
      <c r="J900" s="585"/>
      <c r="K900" s="585"/>
      <c r="L900" s="585"/>
      <c r="M900" s="585"/>
      <c r="N900" s="585"/>
      <c r="O900" s="585"/>
      <c r="P900" s="585"/>
      <c r="Q900" s="585"/>
      <c r="R900" s="585"/>
      <c r="S900" s="585"/>
      <c r="T900" s="585"/>
      <c r="U900" s="585"/>
      <c r="V900" s="224"/>
      <c r="W900" s="224"/>
      <c r="X900" s="9"/>
      <c r="Y900" s="9"/>
      <c r="Z900" s="9"/>
    </row>
    <row r="901">
      <c r="A901" s="585"/>
      <c r="B901" s="585"/>
      <c r="C901" s="585"/>
      <c r="D901" s="585"/>
      <c r="E901" s="585"/>
      <c r="F901" s="585"/>
      <c r="G901" s="585"/>
      <c r="H901" s="585"/>
      <c r="I901" s="585"/>
      <c r="J901" s="585"/>
      <c r="K901" s="585"/>
      <c r="L901" s="585"/>
      <c r="M901" s="585"/>
      <c r="N901" s="585"/>
      <c r="O901" s="585"/>
      <c r="P901" s="585"/>
      <c r="Q901" s="585"/>
      <c r="R901" s="585"/>
      <c r="S901" s="585"/>
      <c r="T901" s="585"/>
      <c r="U901" s="585"/>
      <c r="V901" s="224"/>
      <c r="W901" s="224"/>
      <c r="X901" s="9"/>
      <c r="Y901" s="9"/>
      <c r="Z901" s="9"/>
    </row>
    <row r="902">
      <c r="A902" s="585"/>
      <c r="B902" s="585"/>
      <c r="C902" s="585"/>
      <c r="D902" s="585"/>
      <c r="E902" s="585"/>
      <c r="F902" s="585"/>
      <c r="G902" s="585"/>
      <c r="H902" s="585"/>
      <c r="I902" s="585"/>
      <c r="J902" s="585"/>
      <c r="K902" s="585"/>
      <c r="L902" s="585"/>
      <c r="M902" s="585"/>
      <c r="N902" s="585"/>
      <c r="O902" s="585"/>
      <c r="P902" s="585"/>
      <c r="Q902" s="585"/>
      <c r="R902" s="585"/>
      <c r="S902" s="585"/>
      <c r="T902" s="585"/>
      <c r="U902" s="585"/>
      <c r="V902" s="224"/>
      <c r="W902" s="224"/>
      <c r="X902" s="9"/>
      <c r="Y902" s="9"/>
      <c r="Z902" s="9"/>
    </row>
    <row r="903">
      <c r="A903" s="585"/>
      <c r="B903" s="585"/>
      <c r="C903" s="585"/>
      <c r="D903" s="585"/>
      <c r="E903" s="585"/>
      <c r="F903" s="585"/>
      <c r="G903" s="585"/>
      <c r="H903" s="585"/>
      <c r="I903" s="585"/>
      <c r="J903" s="585"/>
      <c r="K903" s="585"/>
      <c r="L903" s="585"/>
      <c r="M903" s="585"/>
      <c r="N903" s="585"/>
      <c r="O903" s="585"/>
      <c r="P903" s="585"/>
      <c r="Q903" s="585"/>
      <c r="R903" s="585"/>
      <c r="S903" s="585"/>
      <c r="T903" s="585"/>
      <c r="U903" s="585"/>
      <c r="V903" s="224"/>
      <c r="W903" s="224"/>
      <c r="X903" s="9"/>
      <c r="Y903" s="9"/>
      <c r="Z903" s="9"/>
    </row>
    <row r="904">
      <c r="A904" s="585"/>
      <c r="B904" s="585"/>
      <c r="C904" s="585"/>
      <c r="D904" s="585"/>
      <c r="E904" s="585"/>
      <c r="F904" s="585"/>
      <c r="G904" s="585"/>
      <c r="H904" s="585"/>
      <c r="I904" s="585"/>
      <c r="J904" s="585"/>
      <c r="K904" s="585"/>
      <c r="L904" s="585"/>
      <c r="M904" s="585"/>
      <c r="N904" s="585"/>
      <c r="O904" s="585"/>
      <c r="P904" s="585"/>
      <c r="Q904" s="585"/>
      <c r="R904" s="585"/>
      <c r="S904" s="585"/>
      <c r="T904" s="585"/>
      <c r="U904" s="585"/>
      <c r="V904" s="224"/>
      <c r="W904" s="224"/>
      <c r="X904" s="9"/>
      <c r="Y904" s="9"/>
      <c r="Z904" s="9"/>
    </row>
    <row r="905">
      <c r="A905" s="585"/>
      <c r="B905" s="585"/>
      <c r="C905" s="585"/>
      <c r="D905" s="585"/>
      <c r="E905" s="585"/>
      <c r="F905" s="585"/>
      <c r="G905" s="585"/>
      <c r="H905" s="585"/>
      <c r="I905" s="585"/>
      <c r="J905" s="585"/>
      <c r="K905" s="585"/>
      <c r="L905" s="585"/>
      <c r="M905" s="585"/>
      <c r="N905" s="585"/>
      <c r="O905" s="585"/>
      <c r="P905" s="585"/>
      <c r="Q905" s="585"/>
      <c r="R905" s="585"/>
      <c r="S905" s="585"/>
      <c r="T905" s="585"/>
      <c r="U905" s="585"/>
      <c r="V905" s="224"/>
      <c r="W905" s="224"/>
      <c r="X905" s="9"/>
      <c r="Y905" s="9"/>
      <c r="Z905" s="9"/>
    </row>
    <row r="906">
      <c r="A906" s="585"/>
      <c r="B906" s="585"/>
      <c r="C906" s="585"/>
      <c r="D906" s="585"/>
      <c r="E906" s="585"/>
      <c r="F906" s="585"/>
      <c r="G906" s="585"/>
      <c r="H906" s="585"/>
      <c r="I906" s="585"/>
      <c r="J906" s="585"/>
      <c r="K906" s="585"/>
      <c r="L906" s="585"/>
      <c r="M906" s="585"/>
      <c r="N906" s="585"/>
      <c r="O906" s="585"/>
      <c r="P906" s="585"/>
      <c r="Q906" s="585"/>
      <c r="R906" s="585"/>
      <c r="S906" s="585"/>
      <c r="T906" s="585"/>
      <c r="U906" s="585"/>
      <c r="V906" s="224"/>
      <c r="W906" s="224"/>
      <c r="X906" s="9"/>
      <c r="Y906" s="9"/>
      <c r="Z906" s="9"/>
    </row>
    <row r="907">
      <c r="A907" s="585"/>
      <c r="B907" s="585"/>
      <c r="C907" s="585"/>
      <c r="D907" s="585"/>
      <c r="E907" s="585"/>
      <c r="F907" s="585"/>
      <c r="G907" s="585"/>
      <c r="H907" s="585"/>
      <c r="I907" s="585"/>
      <c r="J907" s="585"/>
      <c r="K907" s="585"/>
      <c r="L907" s="585"/>
      <c r="M907" s="585"/>
      <c r="N907" s="585"/>
      <c r="O907" s="585"/>
      <c r="P907" s="585"/>
      <c r="Q907" s="585"/>
      <c r="R907" s="585"/>
      <c r="S907" s="585"/>
      <c r="T907" s="585"/>
      <c r="U907" s="585"/>
      <c r="V907" s="224"/>
      <c r="W907" s="224"/>
      <c r="X907" s="9"/>
      <c r="Y907" s="9"/>
      <c r="Z907" s="9"/>
    </row>
    <row r="908">
      <c r="A908" s="585"/>
      <c r="B908" s="585"/>
      <c r="C908" s="585"/>
      <c r="D908" s="585"/>
      <c r="E908" s="585"/>
      <c r="F908" s="585"/>
      <c r="G908" s="585"/>
      <c r="H908" s="585"/>
      <c r="I908" s="585"/>
      <c r="J908" s="585"/>
      <c r="K908" s="585"/>
      <c r="L908" s="585"/>
      <c r="M908" s="585"/>
      <c r="N908" s="585"/>
      <c r="O908" s="585"/>
      <c r="P908" s="585"/>
      <c r="Q908" s="585"/>
      <c r="R908" s="585"/>
      <c r="S908" s="585"/>
      <c r="T908" s="585"/>
      <c r="U908" s="585"/>
      <c r="V908" s="224"/>
      <c r="W908" s="224"/>
      <c r="X908" s="9"/>
      <c r="Y908" s="9"/>
      <c r="Z908" s="9"/>
    </row>
    <row r="909">
      <c r="A909" s="585"/>
      <c r="B909" s="585"/>
      <c r="C909" s="585"/>
      <c r="D909" s="585"/>
      <c r="E909" s="585"/>
      <c r="F909" s="585"/>
      <c r="G909" s="585"/>
      <c r="H909" s="585"/>
      <c r="I909" s="585"/>
      <c r="J909" s="585"/>
      <c r="K909" s="585"/>
      <c r="L909" s="585"/>
      <c r="M909" s="585"/>
      <c r="N909" s="585"/>
      <c r="O909" s="585"/>
      <c r="P909" s="585"/>
      <c r="Q909" s="585"/>
      <c r="R909" s="585"/>
      <c r="S909" s="585"/>
      <c r="T909" s="585"/>
      <c r="U909" s="585"/>
      <c r="V909" s="224"/>
      <c r="W909" s="224"/>
      <c r="X909" s="9"/>
      <c r="Y909" s="9"/>
      <c r="Z909" s="9"/>
    </row>
    <row r="910">
      <c r="A910" s="585"/>
      <c r="B910" s="585"/>
      <c r="C910" s="585"/>
      <c r="D910" s="585"/>
      <c r="E910" s="585"/>
      <c r="F910" s="585"/>
      <c r="G910" s="585"/>
      <c r="H910" s="585"/>
      <c r="I910" s="585"/>
      <c r="J910" s="585"/>
      <c r="K910" s="585"/>
      <c r="L910" s="585"/>
      <c r="M910" s="585"/>
      <c r="N910" s="585"/>
      <c r="O910" s="585"/>
      <c r="P910" s="585"/>
      <c r="Q910" s="585"/>
      <c r="R910" s="585"/>
      <c r="S910" s="585"/>
      <c r="T910" s="585"/>
      <c r="U910" s="585"/>
      <c r="V910" s="224"/>
      <c r="W910" s="224"/>
      <c r="X910" s="9"/>
      <c r="Y910" s="9"/>
      <c r="Z910" s="9"/>
    </row>
    <row r="911">
      <c r="A911" s="585"/>
      <c r="B911" s="585"/>
      <c r="C911" s="585"/>
      <c r="D911" s="585"/>
      <c r="E911" s="585"/>
      <c r="F911" s="585"/>
      <c r="G911" s="585"/>
      <c r="H911" s="585"/>
      <c r="I911" s="585"/>
      <c r="J911" s="585"/>
      <c r="K911" s="585"/>
      <c r="L911" s="585"/>
      <c r="M911" s="585"/>
      <c r="N911" s="585"/>
      <c r="O911" s="585"/>
      <c r="P911" s="585"/>
      <c r="Q911" s="585"/>
      <c r="R911" s="585"/>
      <c r="S911" s="585"/>
      <c r="T911" s="585"/>
      <c r="U911" s="585"/>
      <c r="V911" s="224"/>
      <c r="W911" s="224"/>
      <c r="X911" s="9"/>
      <c r="Y911" s="9"/>
      <c r="Z911" s="9"/>
    </row>
    <row r="912">
      <c r="A912" s="585"/>
      <c r="B912" s="585"/>
      <c r="C912" s="585"/>
      <c r="D912" s="585"/>
      <c r="E912" s="585"/>
      <c r="F912" s="585"/>
      <c r="G912" s="585"/>
      <c r="H912" s="585"/>
      <c r="I912" s="585"/>
      <c r="J912" s="585"/>
      <c r="K912" s="585"/>
      <c r="L912" s="585"/>
      <c r="M912" s="585"/>
      <c r="N912" s="585"/>
      <c r="O912" s="585"/>
      <c r="P912" s="585"/>
      <c r="Q912" s="585"/>
      <c r="R912" s="585"/>
      <c r="S912" s="585"/>
      <c r="T912" s="585"/>
      <c r="U912" s="585"/>
      <c r="V912" s="224"/>
      <c r="W912" s="224"/>
      <c r="X912" s="9"/>
      <c r="Y912" s="9"/>
      <c r="Z912" s="9"/>
    </row>
    <row r="913">
      <c r="A913" s="585"/>
      <c r="B913" s="585"/>
      <c r="C913" s="585"/>
      <c r="D913" s="585"/>
      <c r="E913" s="585"/>
      <c r="F913" s="585"/>
      <c r="G913" s="585"/>
      <c r="H913" s="585"/>
      <c r="I913" s="585"/>
      <c r="J913" s="585"/>
      <c r="K913" s="585"/>
      <c r="L913" s="585"/>
      <c r="M913" s="585"/>
      <c r="N913" s="585"/>
      <c r="O913" s="585"/>
      <c r="P913" s="585"/>
      <c r="Q913" s="585"/>
      <c r="R913" s="585"/>
      <c r="S913" s="585"/>
      <c r="T913" s="585"/>
      <c r="U913" s="585"/>
      <c r="V913" s="224"/>
      <c r="W913" s="224"/>
      <c r="X913" s="9"/>
      <c r="Y913" s="9"/>
      <c r="Z913" s="9"/>
    </row>
    <row r="914">
      <c r="A914" s="585"/>
      <c r="B914" s="585"/>
      <c r="C914" s="585"/>
      <c r="D914" s="585"/>
      <c r="E914" s="585"/>
      <c r="F914" s="585"/>
      <c r="G914" s="585"/>
      <c r="H914" s="585"/>
      <c r="I914" s="585"/>
      <c r="J914" s="585"/>
      <c r="K914" s="585"/>
      <c r="L914" s="585"/>
      <c r="M914" s="585"/>
      <c r="N914" s="585"/>
      <c r="O914" s="585"/>
      <c r="P914" s="585"/>
      <c r="Q914" s="585"/>
      <c r="R914" s="585"/>
      <c r="S914" s="585"/>
      <c r="T914" s="585"/>
      <c r="U914" s="585"/>
      <c r="V914" s="224"/>
      <c r="W914" s="224"/>
      <c r="X914" s="9"/>
      <c r="Y914" s="9"/>
      <c r="Z914" s="9"/>
    </row>
    <row r="915">
      <c r="A915" s="585"/>
      <c r="B915" s="585"/>
      <c r="C915" s="585"/>
      <c r="D915" s="585"/>
      <c r="E915" s="585"/>
      <c r="F915" s="585"/>
      <c r="G915" s="585"/>
      <c r="H915" s="585"/>
      <c r="I915" s="585"/>
      <c r="J915" s="585"/>
      <c r="K915" s="585"/>
      <c r="L915" s="585"/>
      <c r="M915" s="585"/>
      <c r="N915" s="585"/>
      <c r="O915" s="585"/>
      <c r="P915" s="585"/>
      <c r="Q915" s="585"/>
      <c r="R915" s="585"/>
      <c r="S915" s="585"/>
      <c r="T915" s="585"/>
      <c r="U915" s="585"/>
      <c r="V915" s="224"/>
      <c r="W915" s="224"/>
      <c r="X915" s="9"/>
      <c r="Y915" s="9"/>
      <c r="Z915" s="9"/>
    </row>
    <row r="916">
      <c r="A916" s="585"/>
      <c r="B916" s="585"/>
      <c r="C916" s="585"/>
      <c r="D916" s="585"/>
      <c r="E916" s="585"/>
      <c r="F916" s="585"/>
      <c r="G916" s="585"/>
      <c r="H916" s="585"/>
      <c r="I916" s="585"/>
      <c r="J916" s="585"/>
      <c r="K916" s="585"/>
      <c r="L916" s="585"/>
      <c r="M916" s="585"/>
      <c r="N916" s="585"/>
      <c r="O916" s="585"/>
      <c r="P916" s="585"/>
      <c r="Q916" s="585"/>
      <c r="R916" s="585"/>
      <c r="S916" s="585"/>
      <c r="T916" s="585"/>
      <c r="U916" s="585"/>
      <c r="V916" s="224"/>
      <c r="W916" s="224"/>
      <c r="X916" s="9"/>
      <c r="Y916" s="9"/>
      <c r="Z916" s="9"/>
    </row>
    <row r="917">
      <c r="A917" s="585"/>
      <c r="B917" s="585"/>
      <c r="C917" s="585"/>
      <c r="D917" s="585"/>
      <c r="E917" s="585"/>
      <c r="F917" s="585"/>
      <c r="G917" s="585"/>
      <c r="H917" s="585"/>
      <c r="I917" s="585"/>
      <c r="J917" s="585"/>
      <c r="K917" s="585"/>
      <c r="L917" s="585"/>
      <c r="M917" s="585"/>
      <c r="N917" s="585"/>
      <c r="O917" s="585"/>
      <c r="P917" s="585"/>
      <c r="Q917" s="585"/>
      <c r="R917" s="585"/>
      <c r="S917" s="585"/>
      <c r="T917" s="585"/>
      <c r="U917" s="585"/>
      <c r="V917" s="224"/>
      <c r="W917" s="224"/>
      <c r="X917" s="9"/>
      <c r="Y917" s="9"/>
      <c r="Z917" s="9"/>
    </row>
    <row r="918">
      <c r="A918" s="585"/>
      <c r="B918" s="585"/>
      <c r="C918" s="585"/>
      <c r="D918" s="585"/>
      <c r="E918" s="585"/>
      <c r="F918" s="585"/>
      <c r="G918" s="585"/>
      <c r="H918" s="585"/>
      <c r="I918" s="585"/>
      <c r="J918" s="585"/>
      <c r="K918" s="585"/>
      <c r="L918" s="585"/>
      <c r="M918" s="585"/>
      <c r="N918" s="585"/>
      <c r="O918" s="585"/>
      <c r="P918" s="585"/>
      <c r="Q918" s="585"/>
      <c r="R918" s="585"/>
      <c r="S918" s="585"/>
      <c r="T918" s="585"/>
      <c r="U918" s="585"/>
      <c r="V918" s="224"/>
      <c r="W918" s="224"/>
      <c r="X918" s="9"/>
      <c r="Y918" s="9"/>
      <c r="Z918" s="9"/>
    </row>
    <row r="919">
      <c r="A919" s="585"/>
      <c r="B919" s="585"/>
      <c r="C919" s="585"/>
      <c r="D919" s="585"/>
      <c r="E919" s="585"/>
      <c r="F919" s="585"/>
      <c r="G919" s="585"/>
      <c r="H919" s="585"/>
      <c r="I919" s="585"/>
      <c r="J919" s="585"/>
      <c r="K919" s="585"/>
      <c r="L919" s="585"/>
      <c r="M919" s="585"/>
      <c r="N919" s="585"/>
      <c r="O919" s="585"/>
      <c r="P919" s="585"/>
      <c r="Q919" s="585"/>
      <c r="R919" s="585"/>
      <c r="S919" s="585"/>
      <c r="T919" s="585"/>
      <c r="U919" s="585"/>
      <c r="V919" s="224"/>
      <c r="W919" s="224"/>
      <c r="X919" s="9"/>
      <c r="Y919" s="9"/>
      <c r="Z919" s="9"/>
    </row>
    <row r="920">
      <c r="A920" s="585"/>
      <c r="B920" s="585"/>
      <c r="C920" s="585"/>
      <c r="D920" s="585"/>
      <c r="E920" s="585"/>
      <c r="F920" s="585"/>
      <c r="G920" s="585"/>
      <c r="H920" s="585"/>
      <c r="I920" s="585"/>
      <c r="J920" s="585"/>
      <c r="K920" s="585"/>
      <c r="L920" s="585"/>
      <c r="M920" s="585"/>
      <c r="N920" s="585"/>
      <c r="O920" s="585"/>
      <c r="P920" s="585"/>
      <c r="Q920" s="585"/>
      <c r="R920" s="585"/>
      <c r="S920" s="585"/>
      <c r="T920" s="585"/>
      <c r="U920" s="585"/>
      <c r="V920" s="224"/>
      <c r="W920" s="224"/>
      <c r="X920" s="9"/>
      <c r="Y920" s="9"/>
      <c r="Z920" s="9"/>
    </row>
    <row r="921">
      <c r="A921" s="585"/>
      <c r="B921" s="585"/>
      <c r="C921" s="585"/>
      <c r="D921" s="585"/>
      <c r="E921" s="585"/>
      <c r="F921" s="585"/>
      <c r="G921" s="585"/>
      <c r="H921" s="585"/>
      <c r="I921" s="585"/>
      <c r="J921" s="585"/>
      <c r="K921" s="585"/>
      <c r="L921" s="585"/>
      <c r="M921" s="585"/>
      <c r="N921" s="585"/>
      <c r="O921" s="585"/>
      <c r="P921" s="585"/>
      <c r="Q921" s="585"/>
      <c r="R921" s="585"/>
      <c r="S921" s="585"/>
      <c r="T921" s="585"/>
      <c r="U921" s="585"/>
      <c r="V921" s="224"/>
      <c r="W921" s="224"/>
      <c r="X921" s="9"/>
      <c r="Y921" s="9"/>
      <c r="Z921" s="9"/>
    </row>
    <row r="922">
      <c r="A922" s="585"/>
      <c r="B922" s="585"/>
      <c r="C922" s="585"/>
      <c r="D922" s="585"/>
      <c r="E922" s="585"/>
      <c r="F922" s="585"/>
      <c r="G922" s="585"/>
      <c r="H922" s="585"/>
      <c r="I922" s="585"/>
      <c r="J922" s="585"/>
      <c r="K922" s="585"/>
      <c r="L922" s="585"/>
      <c r="M922" s="585"/>
      <c r="N922" s="585"/>
      <c r="O922" s="585"/>
      <c r="P922" s="585"/>
      <c r="Q922" s="585"/>
      <c r="R922" s="585"/>
      <c r="S922" s="585"/>
      <c r="T922" s="585"/>
      <c r="U922" s="585"/>
      <c r="V922" s="224"/>
      <c r="W922" s="224"/>
      <c r="X922" s="9"/>
      <c r="Y922" s="9"/>
      <c r="Z922" s="9"/>
    </row>
    <row r="923">
      <c r="A923" s="585"/>
      <c r="B923" s="585"/>
      <c r="C923" s="585"/>
      <c r="D923" s="585"/>
      <c r="E923" s="585"/>
      <c r="F923" s="585"/>
      <c r="G923" s="585"/>
      <c r="H923" s="585"/>
      <c r="I923" s="585"/>
      <c r="J923" s="585"/>
      <c r="K923" s="585"/>
      <c r="L923" s="585"/>
      <c r="M923" s="585"/>
      <c r="N923" s="585"/>
      <c r="O923" s="585"/>
      <c r="P923" s="585"/>
      <c r="Q923" s="585"/>
      <c r="R923" s="585"/>
      <c r="S923" s="585"/>
      <c r="T923" s="585"/>
      <c r="U923" s="585"/>
      <c r="V923" s="224"/>
      <c r="W923" s="224"/>
      <c r="X923" s="9"/>
      <c r="Y923" s="9"/>
      <c r="Z923" s="9"/>
    </row>
    <row r="924">
      <c r="A924" s="585"/>
      <c r="B924" s="585"/>
      <c r="C924" s="585"/>
      <c r="D924" s="585"/>
      <c r="E924" s="585"/>
      <c r="F924" s="585"/>
      <c r="G924" s="585"/>
      <c r="H924" s="585"/>
      <c r="I924" s="585"/>
      <c r="J924" s="585"/>
      <c r="K924" s="585"/>
      <c r="L924" s="585"/>
      <c r="M924" s="585"/>
      <c r="N924" s="585"/>
      <c r="O924" s="585"/>
      <c r="P924" s="585"/>
      <c r="Q924" s="585"/>
      <c r="R924" s="585"/>
      <c r="S924" s="585"/>
      <c r="T924" s="585"/>
      <c r="U924" s="585"/>
      <c r="V924" s="224"/>
      <c r="W924" s="224"/>
      <c r="X924" s="9"/>
      <c r="Y924" s="9"/>
      <c r="Z924" s="9"/>
    </row>
    <row r="925">
      <c r="A925" s="585"/>
      <c r="B925" s="585"/>
      <c r="C925" s="585"/>
      <c r="D925" s="585"/>
      <c r="E925" s="585"/>
      <c r="F925" s="585"/>
      <c r="G925" s="585"/>
      <c r="H925" s="585"/>
      <c r="I925" s="585"/>
      <c r="J925" s="585"/>
      <c r="K925" s="585"/>
      <c r="L925" s="585"/>
      <c r="M925" s="585"/>
      <c r="N925" s="585"/>
      <c r="O925" s="585"/>
      <c r="P925" s="585"/>
      <c r="Q925" s="585"/>
      <c r="R925" s="585"/>
      <c r="S925" s="585"/>
      <c r="T925" s="585"/>
      <c r="U925" s="585"/>
      <c r="V925" s="224"/>
      <c r="W925" s="224"/>
      <c r="X925" s="9"/>
      <c r="Y925" s="9"/>
      <c r="Z925" s="9"/>
    </row>
    <row r="926">
      <c r="A926" s="585"/>
      <c r="B926" s="585"/>
      <c r="C926" s="585"/>
      <c r="D926" s="585"/>
      <c r="E926" s="585"/>
      <c r="F926" s="585"/>
      <c r="G926" s="585"/>
      <c r="H926" s="585"/>
      <c r="I926" s="585"/>
      <c r="J926" s="585"/>
      <c r="K926" s="585"/>
      <c r="L926" s="585"/>
      <c r="M926" s="585"/>
      <c r="N926" s="585"/>
      <c r="O926" s="585"/>
      <c r="P926" s="585"/>
      <c r="Q926" s="585"/>
      <c r="R926" s="585"/>
      <c r="S926" s="585"/>
      <c r="T926" s="585"/>
      <c r="U926" s="585"/>
      <c r="V926" s="224"/>
      <c r="W926" s="224"/>
      <c r="X926" s="9"/>
      <c r="Y926" s="9"/>
      <c r="Z926" s="9"/>
    </row>
    <row r="927">
      <c r="A927" s="585"/>
      <c r="B927" s="585"/>
      <c r="C927" s="585"/>
      <c r="D927" s="585"/>
      <c r="E927" s="585"/>
      <c r="F927" s="585"/>
      <c r="G927" s="585"/>
      <c r="H927" s="585"/>
      <c r="I927" s="585"/>
      <c r="J927" s="585"/>
      <c r="K927" s="585"/>
      <c r="L927" s="585"/>
      <c r="M927" s="585"/>
      <c r="N927" s="585"/>
      <c r="O927" s="585"/>
      <c r="P927" s="585"/>
      <c r="Q927" s="585"/>
      <c r="R927" s="585"/>
      <c r="S927" s="585"/>
      <c r="T927" s="585"/>
      <c r="U927" s="585"/>
      <c r="V927" s="224"/>
      <c r="W927" s="224"/>
      <c r="X927" s="9"/>
      <c r="Y927" s="9"/>
      <c r="Z927" s="9"/>
    </row>
    <row r="928">
      <c r="A928" s="585"/>
      <c r="B928" s="585"/>
      <c r="C928" s="585"/>
      <c r="D928" s="585"/>
      <c r="E928" s="585"/>
      <c r="F928" s="585"/>
      <c r="G928" s="585"/>
      <c r="H928" s="585"/>
      <c r="I928" s="585"/>
      <c r="J928" s="585"/>
      <c r="K928" s="585"/>
      <c r="L928" s="585"/>
      <c r="M928" s="585"/>
      <c r="N928" s="585"/>
      <c r="O928" s="585"/>
      <c r="P928" s="585"/>
      <c r="Q928" s="585"/>
      <c r="R928" s="585"/>
      <c r="S928" s="585"/>
      <c r="T928" s="585"/>
      <c r="U928" s="585"/>
      <c r="V928" s="224"/>
      <c r="W928" s="224"/>
      <c r="X928" s="9"/>
      <c r="Y928" s="9"/>
      <c r="Z928" s="9"/>
    </row>
    <row r="929">
      <c r="A929" s="585"/>
      <c r="B929" s="585"/>
      <c r="C929" s="585"/>
      <c r="D929" s="585"/>
      <c r="E929" s="585"/>
      <c r="F929" s="585"/>
      <c r="G929" s="585"/>
      <c r="H929" s="585"/>
      <c r="I929" s="585"/>
      <c r="J929" s="585"/>
      <c r="K929" s="585"/>
      <c r="L929" s="585"/>
      <c r="M929" s="585"/>
      <c r="N929" s="585"/>
      <c r="O929" s="585"/>
      <c r="P929" s="585"/>
      <c r="Q929" s="585"/>
      <c r="R929" s="585"/>
      <c r="S929" s="585"/>
      <c r="T929" s="585"/>
      <c r="U929" s="585"/>
      <c r="V929" s="224"/>
      <c r="W929" s="224"/>
      <c r="X929" s="9"/>
      <c r="Y929" s="9"/>
      <c r="Z929" s="9"/>
    </row>
    <row r="930">
      <c r="A930" s="585"/>
      <c r="B930" s="585"/>
      <c r="C930" s="585"/>
      <c r="D930" s="585"/>
      <c r="E930" s="585"/>
      <c r="F930" s="585"/>
      <c r="G930" s="585"/>
      <c r="H930" s="585"/>
      <c r="I930" s="585"/>
      <c r="J930" s="585"/>
      <c r="K930" s="585"/>
      <c r="L930" s="585"/>
      <c r="M930" s="585"/>
      <c r="N930" s="585"/>
      <c r="O930" s="585"/>
      <c r="P930" s="585"/>
      <c r="Q930" s="585"/>
      <c r="R930" s="585"/>
      <c r="S930" s="585"/>
      <c r="T930" s="585"/>
      <c r="U930" s="585"/>
      <c r="V930" s="224"/>
      <c r="W930" s="224"/>
      <c r="X930" s="9"/>
      <c r="Y930" s="9"/>
      <c r="Z930" s="9"/>
    </row>
    <row r="931">
      <c r="A931" s="585"/>
      <c r="B931" s="585"/>
      <c r="C931" s="585"/>
      <c r="D931" s="585"/>
      <c r="E931" s="585"/>
      <c r="F931" s="585"/>
      <c r="G931" s="585"/>
      <c r="H931" s="585"/>
      <c r="I931" s="585"/>
      <c r="J931" s="585"/>
      <c r="K931" s="585"/>
      <c r="L931" s="585"/>
      <c r="M931" s="585"/>
      <c r="N931" s="585"/>
      <c r="O931" s="585"/>
      <c r="P931" s="585"/>
      <c r="Q931" s="585"/>
      <c r="R931" s="585"/>
      <c r="S931" s="585"/>
      <c r="T931" s="585"/>
      <c r="U931" s="585"/>
      <c r="V931" s="224"/>
      <c r="W931" s="224"/>
      <c r="X931" s="9"/>
      <c r="Y931" s="9"/>
      <c r="Z931" s="9"/>
    </row>
    <row r="932">
      <c r="A932" s="585"/>
      <c r="B932" s="585"/>
      <c r="C932" s="585"/>
      <c r="D932" s="585"/>
      <c r="E932" s="585"/>
      <c r="F932" s="585"/>
      <c r="G932" s="585"/>
      <c r="H932" s="585"/>
      <c r="I932" s="585"/>
      <c r="J932" s="585"/>
      <c r="K932" s="585"/>
      <c r="L932" s="585"/>
      <c r="M932" s="585"/>
      <c r="N932" s="585"/>
      <c r="O932" s="585"/>
      <c r="P932" s="585"/>
      <c r="Q932" s="585"/>
      <c r="R932" s="585"/>
      <c r="S932" s="585"/>
      <c r="T932" s="585"/>
      <c r="U932" s="585"/>
      <c r="V932" s="224"/>
      <c r="W932" s="224"/>
      <c r="X932" s="9"/>
      <c r="Y932" s="9"/>
      <c r="Z932" s="9"/>
    </row>
    <row r="933">
      <c r="A933" s="585"/>
      <c r="B933" s="585"/>
      <c r="C933" s="585"/>
      <c r="D933" s="585"/>
      <c r="E933" s="585"/>
      <c r="F933" s="585"/>
      <c r="G933" s="585"/>
      <c r="H933" s="585"/>
      <c r="I933" s="585"/>
      <c r="J933" s="585"/>
      <c r="K933" s="585"/>
      <c r="L933" s="585"/>
      <c r="M933" s="585"/>
      <c r="N933" s="585"/>
      <c r="O933" s="585"/>
      <c r="P933" s="585"/>
      <c r="Q933" s="585"/>
      <c r="R933" s="585"/>
      <c r="S933" s="585"/>
      <c r="T933" s="585"/>
      <c r="U933" s="585"/>
      <c r="V933" s="224"/>
      <c r="W933" s="224"/>
      <c r="X933" s="9"/>
      <c r="Y933" s="9"/>
      <c r="Z933" s="9"/>
    </row>
    <row r="934">
      <c r="A934" s="585"/>
      <c r="B934" s="585"/>
      <c r="C934" s="585"/>
      <c r="D934" s="585"/>
      <c r="E934" s="585"/>
      <c r="F934" s="585"/>
      <c r="G934" s="585"/>
      <c r="H934" s="585"/>
      <c r="I934" s="585"/>
      <c r="J934" s="585"/>
      <c r="K934" s="585"/>
      <c r="L934" s="585"/>
      <c r="M934" s="585"/>
      <c r="N934" s="585"/>
      <c r="O934" s="585"/>
      <c r="P934" s="585"/>
      <c r="Q934" s="585"/>
      <c r="R934" s="585"/>
      <c r="S934" s="585"/>
      <c r="T934" s="585"/>
      <c r="U934" s="585"/>
      <c r="V934" s="224"/>
      <c r="W934" s="224"/>
      <c r="X934" s="9"/>
      <c r="Y934" s="9"/>
      <c r="Z934" s="9"/>
    </row>
    <row r="935">
      <c r="A935" s="585"/>
      <c r="B935" s="585"/>
      <c r="C935" s="585"/>
      <c r="D935" s="585"/>
      <c r="E935" s="585"/>
      <c r="F935" s="585"/>
      <c r="G935" s="585"/>
      <c r="H935" s="585"/>
      <c r="I935" s="585"/>
      <c r="J935" s="585"/>
      <c r="K935" s="585"/>
      <c r="L935" s="585"/>
      <c r="M935" s="585"/>
      <c r="N935" s="585"/>
      <c r="O935" s="585"/>
      <c r="P935" s="585"/>
      <c r="Q935" s="585"/>
      <c r="R935" s="585"/>
      <c r="S935" s="585"/>
      <c r="T935" s="585"/>
      <c r="U935" s="585"/>
      <c r="V935" s="224"/>
      <c r="W935" s="224"/>
      <c r="X935" s="9"/>
      <c r="Y935" s="9"/>
      <c r="Z935" s="9"/>
    </row>
    <row r="936">
      <c r="A936" s="585"/>
      <c r="B936" s="585"/>
      <c r="C936" s="585"/>
      <c r="D936" s="585"/>
      <c r="E936" s="585"/>
      <c r="F936" s="585"/>
      <c r="G936" s="585"/>
      <c r="H936" s="585"/>
      <c r="I936" s="585"/>
      <c r="J936" s="585"/>
      <c r="K936" s="585"/>
      <c r="L936" s="585"/>
      <c r="M936" s="585"/>
      <c r="N936" s="585"/>
      <c r="O936" s="585"/>
      <c r="P936" s="585"/>
      <c r="Q936" s="585"/>
      <c r="R936" s="585"/>
      <c r="S936" s="585"/>
      <c r="T936" s="585"/>
      <c r="U936" s="585"/>
      <c r="V936" s="224"/>
      <c r="W936" s="224"/>
      <c r="X936" s="9"/>
      <c r="Y936" s="9"/>
      <c r="Z936" s="9"/>
    </row>
    <row r="937">
      <c r="A937" s="585"/>
      <c r="B937" s="585"/>
      <c r="C937" s="585"/>
      <c r="D937" s="585"/>
      <c r="E937" s="585"/>
      <c r="F937" s="585"/>
      <c r="G937" s="585"/>
      <c r="H937" s="585"/>
      <c r="I937" s="585"/>
      <c r="J937" s="585"/>
      <c r="K937" s="585"/>
      <c r="L937" s="585"/>
      <c r="M937" s="585"/>
      <c r="N937" s="585"/>
      <c r="O937" s="585"/>
      <c r="P937" s="585"/>
      <c r="Q937" s="585"/>
      <c r="R937" s="585"/>
      <c r="S937" s="585"/>
      <c r="T937" s="585"/>
      <c r="U937" s="585"/>
      <c r="V937" s="224"/>
      <c r="W937" s="224"/>
      <c r="X937" s="9"/>
      <c r="Y937" s="9"/>
      <c r="Z937" s="9"/>
    </row>
    <row r="938">
      <c r="A938" s="585"/>
      <c r="B938" s="585"/>
      <c r="C938" s="585"/>
      <c r="D938" s="585"/>
      <c r="E938" s="585"/>
      <c r="F938" s="585"/>
      <c r="G938" s="585"/>
      <c r="H938" s="585"/>
      <c r="I938" s="585"/>
      <c r="J938" s="585"/>
      <c r="K938" s="585"/>
      <c r="L938" s="585"/>
      <c r="M938" s="585"/>
      <c r="N938" s="585"/>
      <c r="O938" s="585"/>
      <c r="P938" s="585"/>
      <c r="Q938" s="585"/>
      <c r="R938" s="585"/>
      <c r="S938" s="585"/>
      <c r="T938" s="585"/>
      <c r="U938" s="585"/>
      <c r="V938" s="224"/>
      <c r="W938" s="224"/>
      <c r="X938" s="9"/>
      <c r="Y938" s="9"/>
      <c r="Z938" s="9"/>
    </row>
    <row r="939">
      <c r="A939" s="585"/>
      <c r="B939" s="585"/>
      <c r="C939" s="585"/>
      <c r="D939" s="585"/>
      <c r="E939" s="585"/>
      <c r="F939" s="585"/>
      <c r="G939" s="585"/>
      <c r="H939" s="585"/>
      <c r="I939" s="585"/>
      <c r="J939" s="585"/>
      <c r="K939" s="585"/>
      <c r="L939" s="585"/>
      <c r="M939" s="585"/>
      <c r="N939" s="585"/>
      <c r="O939" s="585"/>
      <c r="P939" s="585"/>
      <c r="Q939" s="585"/>
      <c r="R939" s="585"/>
      <c r="S939" s="585"/>
      <c r="T939" s="585"/>
      <c r="U939" s="585"/>
      <c r="V939" s="224"/>
      <c r="W939" s="224"/>
      <c r="X939" s="9"/>
      <c r="Y939" s="9"/>
      <c r="Z939" s="9"/>
    </row>
    <row r="940">
      <c r="A940" s="585"/>
      <c r="B940" s="585"/>
      <c r="C940" s="585"/>
      <c r="D940" s="585"/>
      <c r="E940" s="585"/>
      <c r="F940" s="585"/>
      <c r="G940" s="585"/>
      <c r="H940" s="585"/>
      <c r="I940" s="585"/>
      <c r="J940" s="585"/>
      <c r="K940" s="585"/>
      <c r="L940" s="585"/>
      <c r="M940" s="585"/>
      <c r="N940" s="585"/>
      <c r="O940" s="585"/>
      <c r="P940" s="585"/>
      <c r="Q940" s="585"/>
      <c r="R940" s="585"/>
      <c r="S940" s="585"/>
      <c r="T940" s="585"/>
      <c r="U940" s="585"/>
      <c r="V940" s="224"/>
      <c r="W940" s="224"/>
      <c r="X940" s="9"/>
      <c r="Y940" s="9"/>
      <c r="Z940" s="9"/>
    </row>
    <row r="941">
      <c r="A941" s="585"/>
      <c r="B941" s="585"/>
      <c r="C941" s="585"/>
      <c r="D941" s="585"/>
      <c r="E941" s="585"/>
      <c r="F941" s="585"/>
      <c r="G941" s="585"/>
      <c r="H941" s="585"/>
      <c r="I941" s="585"/>
      <c r="J941" s="585"/>
      <c r="K941" s="585"/>
      <c r="L941" s="585"/>
      <c r="M941" s="585"/>
      <c r="N941" s="585"/>
      <c r="O941" s="585"/>
      <c r="P941" s="585"/>
      <c r="Q941" s="585"/>
      <c r="R941" s="585"/>
      <c r="S941" s="585"/>
      <c r="T941" s="585"/>
      <c r="U941" s="585"/>
      <c r="V941" s="224"/>
      <c r="W941" s="224"/>
      <c r="X941" s="9"/>
      <c r="Y941" s="9"/>
      <c r="Z941" s="9"/>
    </row>
    <row r="942">
      <c r="A942" s="585"/>
      <c r="B942" s="585"/>
      <c r="C942" s="585"/>
      <c r="D942" s="585"/>
      <c r="E942" s="585"/>
      <c r="F942" s="585"/>
      <c r="G942" s="585"/>
      <c r="H942" s="585"/>
      <c r="I942" s="585"/>
      <c r="J942" s="585"/>
      <c r="K942" s="585"/>
      <c r="L942" s="585"/>
      <c r="M942" s="585"/>
      <c r="N942" s="585"/>
      <c r="O942" s="585"/>
      <c r="P942" s="585"/>
      <c r="Q942" s="585"/>
      <c r="R942" s="585"/>
      <c r="S942" s="585"/>
      <c r="T942" s="585"/>
      <c r="U942" s="585"/>
      <c r="V942" s="224"/>
      <c r="W942" s="224"/>
      <c r="X942" s="9"/>
      <c r="Y942" s="9"/>
      <c r="Z942" s="9"/>
    </row>
    <row r="943">
      <c r="A943" s="585"/>
      <c r="B943" s="585"/>
      <c r="C943" s="585"/>
      <c r="D943" s="585"/>
      <c r="E943" s="585"/>
      <c r="F943" s="585"/>
      <c r="G943" s="585"/>
      <c r="H943" s="585"/>
      <c r="I943" s="585"/>
      <c r="J943" s="585"/>
      <c r="K943" s="585"/>
      <c r="L943" s="585"/>
      <c r="M943" s="585"/>
      <c r="N943" s="585"/>
      <c r="O943" s="585"/>
      <c r="P943" s="585"/>
      <c r="Q943" s="585"/>
      <c r="R943" s="585"/>
      <c r="S943" s="585"/>
      <c r="T943" s="585"/>
      <c r="U943" s="585"/>
      <c r="V943" s="224"/>
      <c r="W943" s="224"/>
      <c r="X943" s="9"/>
      <c r="Y943" s="9"/>
      <c r="Z943" s="9"/>
    </row>
    <row r="944">
      <c r="A944" s="585"/>
      <c r="B944" s="585"/>
      <c r="C944" s="585"/>
      <c r="D944" s="585"/>
      <c r="E944" s="585"/>
      <c r="F944" s="585"/>
      <c r="G944" s="585"/>
      <c r="H944" s="585"/>
      <c r="I944" s="585"/>
      <c r="J944" s="585"/>
      <c r="K944" s="585"/>
      <c r="L944" s="585"/>
      <c r="M944" s="585"/>
      <c r="N944" s="585"/>
      <c r="O944" s="585"/>
      <c r="P944" s="585"/>
      <c r="Q944" s="585"/>
      <c r="R944" s="585"/>
      <c r="S944" s="585"/>
      <c r="T944" s="585"/>
      <c r="U944" s="585"/>
      <c r="V944" s="224"/>
      <c r="W944" s="224"/>
      <c r="X944" s="9"/>
      <c r="Y944" s="9"/>
      <c r="Z944" s="9"/>
    </row>
    <row r="945">
      <c r="A945" s="585"/>
      <c r="B945" s="585"/>
      <c r="C945" s="585"/>
      <c r="D945" s="585"/>
      <c r="E945" s="585"/>
      <c r="F945" s="585"/>
      <c r="G945" s="585"/>
      <c r="H945" s="585"/>
      <c r="I945" s="585"/>
      <c r="J945" s="585"/>
      <c r="K945" s="585"/>
      <c r="L945" s="585"/>
      <c r="M945" s="585"/>
      <c r="N945" s="585"/>
      <c r="O945" s="585"/>
      <c r="P945" s="585"/>
      <c r="Q945" s="585"/>
      <c r="R945" s="585"/>
      <c r="S945" s="585"/>
      <c r="T945" s="585"/>
      <c r="U945" s="585"/>
      <c r="V945" s="224"/>
      <c r="W945" s="224"/>
      <c r="X945" s="9"/>
      <c r="Y945" s="9"/>
      <c r="Z945" s="9"/>
    </row>
    <row r="946">
      <c r="A946" s="585"/>
      <c r="B946" s="585"/>
      <c r="C946" s="585"/>
      <c r="D946" s="585"/>
      <c r="E946" s="585"/>
      <c r="F946" s="585"/>
      <c r="G946" s="585"/>
      <c r="H946" s="585"/>
      <c r="I946" s="585"/>
      <c r="J946" s="585"/>
      <c r="K946" s="585"/>
      <c r="L946" s="585"/>
      <c r="M946" s="585"/>
      <c r="N946" s="585"/>
      <c r="O946" s="585"/>
      <c r="P946" s="585"/>
      <c r="Q946" s="585"/>
      <c r="R946" s="585"/>
      <c r="S946" s="585"/>
      <c r="T946" s="585"/>
      <c r="U946" s="585"/>
      <c r="V946" s="224"/>
      <c r="W946" s="224"/>
      <c r="X946" s="9"/>
      <c r="Y946" s="9"/>
      <c r="Z946" s="9"/>
    </row>
    <row r="947">
      <c r="A947" s="585"/>
      <c r="B947" s="585"/>
      <c r="C947" s="585"/>
      <c r="D947" s="585"/>
      <c r="E947" s="585"/>
      <c r="F947" s="585"/>
      <c r="G947" s="585"/>
      <c r="H947" s="585"/>
      <c r="I947" s="585"/>
      <c r="J947" s="585"/>
      <c r="K947" s="585"/>
      <c r="L947" s="585"/>
      <c r="M947" s="585"/>
      <c r="N947" s="585"/>
      <c r="O947" s="585"/>
      <c r="P947" s="585"/>
      <c r="Q947" s="585"/>
      <c r="R947" s="585"/>
      <c r="S947" s="585"/>
      <c r="T947" s="585"/>
      <c r="U947" s="585"/>
      <c r="V947" s="224"/>
      <c r="W947" s="224"/>
      <c r="X947" s="9"/>
      <c r="Y947" s="9"/>
      <c r="Z947" s="9"/>
    </row>
    <row r="948">
      <c r="A948" s="585"/>
      <c r="B948" s="585"/>
      <c r="C948" s="585"/>
      <c r="D948" s="585"/>
      <c r="E948" s="585"/>
      <c r="F948" s="585"/>
      <c r="G948" s="585"/>
      <c r="H948" s="585"/>
      <c r="I948" s="585"/>
      <c r="J948" s="585"/>
      <c r="K948" s="585"/>
      <c r="L948" s="585"/>
      <c r="M948" s="585"/>
      <c r="N948" s="585"/>
      <c r="O948" s="585"/>
      <c r="P948" s="585"/>
      <c r="Q948" s="585"/>
      <c r="R948" s="585"/>
      <c r="S948" s="585"/>
      <c r="T948" s="585"/>
      <c r="U948" s="585"/>
      <c r="V948" s="224"/>
      <c r="W948" s="224"/>
      <c r="X948" s="9"/>
      <c r="Y948" s="9"/>
      <c r="Z948" s="9"/>
    </row>
    <row r="949">
      <c r="A949" s="585"/>
      <c r="B949" s="585"/>
      <c r="C949" s="585"/>
      <c r="D949" s="585"/>
      <c r="E949" s="585"/>
      <c r="F949" s="585"/>
      <c r="G949" s="585"/>
      <c r="H949" s="585"/>
      <c r="I949" s="585"/>
      <c r="J949" s="585"/>
      <c r="K949" s="585"/>
      <c r="L949" s="585"/>
      <c r="M949" s="585"/>
      <c r="N949" s="585"/>
      <c r="O949" s="585"/>
      <c r="P949" s="585"/>
      <c r="Q949" s="585"/>
      <c r="R949" s="585"/>
      <c r="S949" s="585"/>
      <c r="T949" s="585"/>
      <c r="U949" s="585"/>
      <c r="V949" s="224"/>
      <c r="W949" s="224"/>
      <c r="X949" s="9"/>
      <c r="Y949" s="9"/>
      <c r="Z949" s="9"/>
    </row>
    <row r="950">
      <c r="A950" s="585"/>
      <c r="B950" s="585"/>
      <c r="C950" s="585"/>
      <c r="D950" s="585"/>
      <c r="E950" s="585"/>
      <c r="F950" s="585"/>
      <c r="G950" s="585"/>
      <c r="H950" s="585"/>
      <c r="I950" s="585"/>
      <c r="J950" s="585"/>
      <c r="K950" s="585"/>
      <c r="L950" s="585"/>
      <c r="M950" s="585"/>
      <c r="N950" s="585"/>
      <c r="O950" s="585"/>
      <c r="P950" s="585"/>
      <c r="Q950" s="585"/>
      <c r="R950" s="585"/>
      <c r="S950" s="585"/>
      <c r="T950" s="585"/>
      <c r="U950" s="585"/>
      <c r="V950" s="224"/>
      <c r="W950" s="224"/>
      <c r="X950" s="9"/>
      <c r="Y950" s="9"/>
      <c r="Z950" s="9"/>
    </row>
    <row r="951">
      <c r="A951" s="585"/>
      <c r="B951" s="585"/>
      <c r="C951" s="585"/>
      <c r="D951" s="585"/>
      <c r="E951" s="585"/>
      <c r="F951" s="585"/>
      <c r="G951" s="585"/>
      <c r="H951" s="585"/>
      <c r="I951" s="585"/>
      <c r="J951" s="585"/>
      <c r="K951" s="585"/>
      <c r="L951" s="585"/>
      <c r="M951" s="585"/>
      <c r="N951" s="585"/>
      <c r="O951" s="585"/>
      <c r="P951" s="585"/>
      <c r="Q951" s="585"/>
      <c r="R951" s="585"/>
      <c r="S951" s="585"/>
      <c r="T951" s="585"/>
      <c r="U951" s="585"/>
      <c r="V951" s="224"/>
      <c r="W951" s="224"/>
      <c r="X951" s="9"/>
      <c r="Y951" s="9"/>
      <c r="Z951" s="9"/>
    </row>
    <row r="952">
      <c r="A952" s="585"/>
      <c r="B952" s="585"/>
      <c r="C952" s="585"/>
      <c r="D952" s="585"/>
      <c r="E952" s="585"/>
      <c r="F952" s="585"/>
      <c r="G952" s="585"/>
      <c r="H952" s="585"/>
      <c r="I952" s="585"/>
      <c r="J952" s="585"/>
      <c r="K952" s="585"/>
      <c r="L952" s="585"/>
      <c r="M952" s="585"/>
      <c r="N952" s="585"/>
      <c r="O952" s="585"/>
      <c r="P952" s="585"/>
      <c r="Q952" s="585"/>
      <c r="R952" s="585"/>
      <c r="S952" s="585"/>
      <c r="T952" s="585"/>
      <c r="U952" s="585"/>
      <c r="V952" s="224"/>
      <c r="W952" s="224"/>
      <c r="X952" s="9"/>
      <c r="Y952" s="9"/>
      <c r="Z952" s="9"/>
    </row>
    <row r="953">
      <c r="A953" s="585"/>
      <c r="B953" s="585"/>
      <c r="C953" s="585"/>
      <c r="D953" s="585"/>
      <c r="E953" s="585"/>
      <c r="F953" s="585"/>
      <c r="G953" s="585"/>
      <c r="H953" s="585"/>
      <c r="I953" s="585"/>
      <c r="J953" s="585"/>
      <c r="K953" s="585"/>
      <c r="L953" s="585"/>
      <c r="M953" s="585"/>
      <c r="N953" s="585"/>
      <c r="O953" s="585"/>
      <c r="P953" s="585"/>
      <c r="Q953" s="585"/>
      <c r="R953" s="585"/>
      <c r="S953" s="585"/>
      <c r="T953" s="585"/>
      <c r="U953" s="585"/>
      <c r="V953" s="224"/>
      <c r="W953" s="224"/>
      <c r="X953" s="9"/>
      <c r="Y953" s="9"/>
      <c r="Z953" s="9"/>
    </row>
    <row r="954">
      <c r="A954" s="585"/>
      <c r="B954" s="585"/>
      <c r="C954" s="585"/>
      <c r="D954" s="585"/>
      <c r="E954" s="585"/>
      <c r="F954" s="585"/>
      <c r="G954" s="585"/>
      <c r="H954" s="585"/>
      <c r="I954" s="585"/>
      <c r="J954" s="585"/>
      <c r="K954" s="585"/>
      <c r="L954" s="585"/>
      <c r="M954" s="585"/>
      <c r="N954" s="585"/>
      <c r="O954" s="585"/>
      <c r="P954" s="585"/>
      <c r="Q954" s="585"/>
      <c r="R954" s="585"/>
      <c r="S954" s="585"/>
      <c r="T954" s="585"/>
      <c r="U954" s="585"/>
      <c r="V954" s="224"/>
      <c r="W954" s="224"/>
      <c r="X954" s="9"/>
      <c r="Y954" s="9"/>
      <c r="Z954" s="9"/>
    </row>
    <row r="955">
      <c r="A955" s="585"/>
      <c r="B955" s="585"/>
      <c r="C955" s="585"/>
      <c r="D955" s="585"/>
      <c r="E955" s="585"/>
      <c r="F955" s="585"/>
      <c r="G955" s="585"/>
      <c r="H955" s="585"/>
      <c r="I955" s="585"/>
      <c r="J955" s="585"/>
      <c r="K955" s="585"/>
      <c r="L955" s="585"/>
      <c r="M955" s="585"/>
      <c r="N955" s="585"/>
      <c r="O955" s="585"/>
      <c r="P955" s="585"/>
      <c r="Q955" s="585"/>
      <c r="R955" s="585"/>
      <c r="S955" s="585"/>
      <c r="T955" s="585"/>
      <c r="U955" s="585"/>
      <c r="V955" s="224"/>
      <c r="W955" s="224"/>
      <c r="X955" s="9"/>
      <c r="Y955" s="9"/>
      <c r="Z955" s="9"/>
    </row>
    <row r="956">
      <c r="A956" s="585"/>
      <c r="B956" s="585"/>
      <c r="C956" s="585"/>
      <c r="D956" s="585"/>
      <c r="E956" s="585"/>
      <c r="F956" s="585"/>
      <c r="G956" s="585"/>
      <c r="H956" s="585"/>
      <c r="I956" s="585"/>
      <c r="J956" s="585"/>
      <c r="K956" s="585"/>
      <c r="L956" s="585"/>
      <c r="M956" s="585"/>
      <c r="N956" s="585"/>
      <c r="O956" s="585"/>
      <c r="P956" s="585"/>
      <c r="Q956" s="585"/>
      <c r="R956" s="585"/>
      <c r="S956" s="585"/>
      <c r="T956" s="585"/>
      <c r="U956" s="585"/>
      <c r="V956" s="224"/>
      <c r="W956" s="224"/>
      <c r="X956" s="9"/>
      <c r="Y956" s="9"/>
      <c r="Z956" s="9"/>
    </row>
    <row r="957">
      <c r="A957" s="585"/>
      <c r="B957" s="585"/>
      <c r="C957" s="585"/>
      <c r="D957" s="585"/>
      <c r="E957" s="585"/>
      <c r="F957" s="585"/>
      <c r="G957" s="585"/>
      <c r="H957" s="585"/>
      <c r="I957" s="585"/>
      <c r="J957" s="585"/>
      <c r="K957" s="585"/>
      <c r="L957" s="585"/>
      <c r="M957" s="585"/>
      <c r="N957" s="585"/>
      <c r="O957" s="585"/>
      <c r="P957" s="585"/>
      <c r="Q957" s="585"/>
      <c r="R957" s="585"/>
      <c r="S957" s="585"/>
      <c r="T957" s="585"/>
      <c r="U957" s="585"/>
      <c r="V957" s="224"/>
      <c r="W957" s="224"/>
      <c r="X957" s="9"/>
      <c r="Y957" s="9"/>
      <c r="Z957" s="9"/>
    </row>
    <row r="958">
      <c r="A958" s="585"/>
      <c r="B958" s="585"/>
      <c r="C958" s="585"/>
      <c r="D958" s="585"/>
      <c r="E958" s="585"/>
      <c r="F958" s="585"/>
      <c r="G958" s="585"/>
      <c r="H958" s="585"/>
      <c r="I958" s="585"/>
      <c r="J958" s="585"/>
      <c r="K958" s="585"/>
      <c r="L958" s="585"/>
      <c r="M958" s="585"/>
      <c r="N958" s="585"/>
      <c r="O958" s="585"/>
      <c r="P958" s="585"/>
      <c r="Q958" s="585"/>
      <c r="R958" s="585"/>
      <c r="S958" s="585"/>
      <c r="T958" s="585"/>
      <c r="U958" s="585"/>
      <c r="V958" s="224"/>
      <c r="W958" s="224"/>
      <c r="X958" s="9"/>
      <c r="Y958" s="9"/>
      <c r="Z958" s="9"/>
    </row>
    <row r="959">
      <c r="A959" s="585"/>
      <c r="B959" s="585"/>
      <c r="C959" s="585"/>
      <c r="D959" s="585"/>
      <c r="E959" s="585"/>
      <c r="F959" s="585"/>
      <c r="G959" s="585"/>
      <c r="H959" s="585"/>
      <c r="I959" s="585"/>
      <c r="J959" s="585"/>
      <c r="K959" s="585"/>
      <c r="L959" s="585"/>
      <c r="M959" s="585"/>
      <c r="N959" s="585"/>
      <c r="O959" s="585"/>
      <c r="P959" s="585"/>
      <c r="Q959" s="585"/>
      <c r="R959" s="585"/>
      <c r="S959" s="585"/>
      <c r="T959" s="585"/>
      <c r="U959" s="585"/>
      <c r="V959" s="224"/>
      <c r="W959" s="224"/>
      <c r="X959" s="9"/>
      <c r="Y959" s="9"/>
      <c r="Z959" s="9"/>
    </row>
    <row r="960">
      <c r="A960" s="585"/>
      <c r="B960" s="585"/>
      <c r="C960" s="585"/>
      <c r="D960" s="585"/>
      <c r="E960" s="585"/>
      <c r="F960" s="585"/>
      <c r="G960" s="585"/>
      <c r="H960" s="585"/>
      <c r="I960" s="585"/>
      <c r="J960" s="585"/>
      <c r="K960" s="585"/>
      <c r="L960" s="585"/>
      <c r="M960" s="585"/>
      <c r="N960" s="585"/>
      <c r="O960" s="585"/>
      <c r="P960" s="585"/>
      <c r="Q960" s="585"/>
      <c r="R960" s="585"/>
      <c r="S960" s="585"/>
      <c r="T960" s="585"/>
      <c r="U960" s="585"/>
      <c r="V960" s="224"/>
      <c r="W960" s="224"/>
      <c r="X960" s="9"/>
      <c r="Y960" s="9"/>
      <c r="Z960" s="9"/>
    </row>
    <row r="961">
      <c r="A961" s="585"/>
      <c r="B961" s="585"/>
      <c r="C961" s="585"/>
      <c r="D961" s="585"/>
      <c r="E961" s="585"/>
      <c r="F961" s="585"/>
      <c r="G961" s="585"/>
      <c r="H961" s="585"/>
      <c r="I961" s="585"/>
      <c r="J961" s="585"/>
      <c r="K961" s="585"/>
      <c r="L961" s="585"/>
      <c r="M961" s="585"/>
      <c r="N961" s="585"/>
      <c r="O961" s="585"/>
      <c r="P961" s="585"/>
      <c r="Q961" s="585"/>
      <c r="R961" s="585"/>
      <c r="S961" s="585"/>
      <c r="T961" s="585"/>
      <c r="U961" s="585"/>
      <c r="V961" s="224"/>
      <c r="W961" s="224"/>
      <c r="X961" s="9"/>
      <c r="Y961" s="9"/>
      <c r="Z961" s="9"/>
    </row>
    <row r="962">
      <c r="A962" s="585"/>
      <c r="B962" s="585"/>
      <c r="C962" s="585"/>
      <c r="D962" s="585"/>
      <c r="E962" s="585"/>
      <c r="F962" s="585"/>
      <c r="G962" s="585"/>
      <c r="H962" s="585"/>
      <c r="I962" s="585"/>
      <c r="J962" s="585"/>
      <c r="K962" s="585"/>
      <c r="L962" s="585"/>
      <c r="M962" s="585"/>
      <c r="N962" s="585"/>
      <c r="O962" s="585"/>
      <c r="P962" s="585"/>
      <c r="Q962" s="585"/>
      <c r="R962" s="585"/>
      <c r="S962" s="585"/>
      <c r="T962" s="585"/>
      <c r="U962" s="585"/>
      <c r="V962" s="224"/>
      <c r="W962" s="224"/>
      <c r="X962" s="9"/>
      <c r="Y962" s="9"/>
      <c r="Z962" s="9"/>
    </row>
    <row r="963">
      <c r="A963" s="585"/>
      <c r="B963" s="585"/>
      <c r="C963" s="585"/>
      <c r="D963" s="585"/>
      <c r="E963" s="585"/>
      <c r="F963" s="585"/>
      <c r="G963" s="585"/>
      <c r="H963" s="585"/>
      <c r="I963" s="585"/>
      <c r="J963" s="585"/>
      <c r="K963" s="585"/>
      <c r="L963" s="585"/>
      <c r="M963" s="585"/>
      <c r="N963" s="585"/>
      <c r="O963" s="585"/>
      <c r="P963" s="585"/>
      <c r="Q963" s="585"/>
      <c r="R963" s="585"/>
      <c r="S963" s="585"/>
      <c r="T963" s="585"/>
      <c r="U963" s="585"/>
      <c r="V963" s="224"/>
      <c r="W963" s="224"/>
      <c r="X963" s="9"/>
      <c r="Y963" s="9"/>
      <c r="Z963" s="9"/>
    </row>
    <row r="964">
      <c r="A964" s="585"/>
      <c r="B964" s="585"/>
      <c r="C964" s="585"/>
      <c r="D964" s="585"/>
      <c r="E964" s="585"/>
      <c r="F964" s="585"/>
      <c r="G964" s="585"/>
      <c r="H964" s="585"/>
      <c r="I964" s="585"/>
      <c r="J964" s="585"/>
      <c r="K964" s="585"/>
      <c r="L964" s="585"/>
      <c r="M964" s="585"/>
      <c r="N964" s="585"/>
      <c r="O964" s="585"/>
      <c r="P964" s="585"/>
      <c r="Q964" s="585"/>
      <c r="R964" s="585"/>
      <c r="S964" s="585"/>
      <c r="T964" s="585"/>
      <c r="U964" s="585"/>
      <c r="V964" s="224"/>
      <c r="W964" s="224"/>
      <c r="X964" s="9"/>
      <c r="Y964" s="9"/>
      <c r="Z964" s="9"/>
    </row>
    <row r="965">
      <c r="A965" s="585"/>
      <c r="B965" s="585"/>
      <c r="C965" s="585"/>
      <c r="D965" s="585"/>
      <c r="E965" s="585"/>
      <c r="F965" s="585"/>
      <c r="G965" s="585"/>
      <c r="H965" s="585"/>
      <c r="I965" s="585"/>
      <c r="J965" s="585"/>
      <c r="K965" s="585"/>
      <c r="L965" s="585"/>
      <c r="M965" s="585"/>
      <c r="N965" s="585"/>
      <c r="O965" s="585"/>
      <c r="P965" s="585"/>
      <c r="Q965" s="585"/>
      <c r="R965" s="585"/>
      <c r="S965" s="585"/>
      <c r="T965" s="585"/>
      <c r="U965" s="585"/>
      <c r="V965" s="224"/>
      <c r="W965" s="224"/>
      <c r="X965" s="9"/>
      <c r="Y965" s="9"/>
      <c r="Z965" s="9"/>
    </row>
    <row r="966">
      <c r="A966" s="585"/>
      <c r="B966" s="585"/>
      <c r="C966" s="585"/>
      <c r="D966" s="585"/>
      <c r="E966" s="585"/>
      <c r="F966" s="585"/>
      <c r="G966" s="585"/>
      <c r="H966" s="585"/>
      <c r="I966" s="585"/>
      <c r="J966" s="585"/>
      <c r="K966" s="585"/>
      <c r="L966" s="585"/>
      <c r="M966" s="585"/>
      <c r="N966" s="585"/>
      <c r="O966" s="585"/>
      <c r="P966" s="585"/>
      <c r="Q966" s="585"/>
      <c r="R966" s="585"/>
      <c r="S966" s="585"/>
      <c r="T966" s="585"/>
      <c r="U966" s="585"/>
      <c r="V966" s="224"/>
      <c r="W966" s="224"/>
      <c r="X966" s="9"/>
      <c r="Y966" s="9"/>
      <c r="Z966" s="9"/>
    </row>
    <row r="967">
      <c r="A967" s="585"/>
      <c r="B967" s="585"/>
      <c r="C967" s="585"/>
      <c r="D967" s="585"/>
      <c r="E967" s="585"/>
      <c r="F967" s="585"/>
      <c r="G967" s="585"/>
      <c r="H967" s="585"/>
      <c r="I967" s="585"/>
      <c r="J967" s="585"/>
      <c r="K967" s="585"/>
      <c r="L967" s="585"/>
      <c r="M967" s="585"/>
      <c r="N967" s="585"/>
      <c r="O967" s="585"/>
      <c r="P967" s="585"/>
      <c r="Q967" s="585"/>
      <c r="R967" s="585"/>
      <c r="S967" s="585"/>
      <c r="T967" s="585"/>
      <c r="U967" s="585"/>
      <c r="V967" s="224"/>
      <c r="W967" s="224"/>
      <c r="X967" s="9"/>
      <c r="Y967" s="9"/>
      <c r="Z967" s="9"/>
    </row>
    <row r="968">
      <c r="A968" s="585"/>
      <c r="B968" s="585"/>
      <c r="C968" s="585"/>
      <c r="D968" s="585"/>
      <c r="E968" s="585"/>
      <c r="F968" s="585"/>
      <c r="G968" s="585"/>
      <c r="H968" s="585"/>
      <c r="I968" s="585"/>
      <c r="J968" s="585"/>
      <c r="K968" s="585"/>
      <c r="L968" s="585"/>
      <c r="M968" s="585"/>
      <c r="N968" s="585"/>
      <c r="O968" s="585"/>
      <c r="P968" s="585"/>
      <c r="Q968" s="585"/>
      <c r="R968" s="585"/>
      <c r="S968" s="585"/>
      <c r="T968" s="585"/>
      <c r="U968" s="585"/>
      <c r="V968" s="224"/>
      <c r="W968" s="224"/>
      <c r="X968" s="9"/>
      <c r="Y968" s="9"/>
      <c r="Z968" s="9"/>
    </row>
    <row r="969">
      <c r="A969" s="585"/>
      <c r="B969" s="585"/>
      <c r="C969" s="585"/>
      <c r="D969" s="585"/>
      <c r="E969" s="585"/>
      <c r="F969" s="585"/>
      <c r="G969" s="585"/>
      <c r="H969" s="585"/>
      <c r="I969" s="585"/>
      <c r="J969" s="585"/>
      <c r="K969" s="585"/>
      <c r="L969" s="585"/>
      <c r="M969" s="585"/>
      <c r="N969" s="585"/>
      <c r="O969" s="585"/>
      <c r="P969" s="585"/>
      <c r="Q969" s="585"/>
      <c r="R969" s="585"/>
      <c r="S969" s="585"/>
      <c r="T969" s="585"/>
      <c r="U969" s="585"/>
      <c r="V969" s="224"/>
      <c r="W969" s="224"/>
      <c r="X969" s="9"/>
      <c r="Y969" s="9"/>
      <c r="Z969" s="9"/>
    </row>
    <row r="970">
      <c r="A970" s="585"/>
      <c r="B970" s="585"/>
      <c r="C970" s="585"/>
      <c r="D970" s="585"/>
      <c r="E970" s="585"/>
      <c r="F970" s="585"/>
      <c r="G970" s="585"/>
      <c r="H970" s="585"/>
      <c r="I970" s="585"/>
      <c r="J970" s="585"/>
      <c r="K970" s="585"/>
      <c r="L970" s="585"/>
      <c r="M970" s="585"/>
      <c r="N970" s="585"/>
      <c r="O970" s="585"/>
      <c r="P970" s="585"/>
      <c r="Q970" s="585"/>
      <c r="R970" s="585"/>
      <c r="S970" s="585"/>
      <c r="T970" s="585"/>
      <c r="U970" s="585"/>
      <c r="V970" s="224"/>
      <c r="W970" s="224"/>
      <c r="X970" s="9"/>
      <c r="Y970" s="9"/>
      <c r="Z970" s="9"/>
    </row>
    <row r="971">
      <c r="A971" s="585"/>
      <c r="B971" s="585"/>
      <c r="C971" s="585"/>
      <c r="D971" s="585"/>
      <c r="E971" s="585"/>
      <c r="F971" s="585"/>
      <c r="G971" s="585"/>
      <c r="H971" s="585"/>
      <c r="I971" s="585"/>
      <c r="J971" s="585"/>
      <c r="K971" s="585"/>
      <c r="L971" s="585"/>
      <c r="M971" s="585"/>
      <c r="N971" s="585"/>
      <c r="O971" s="585"/>
      <c r="P971" s="585"/>
      <c r="Q971" s="585"/>
      <c r="R971" s="585"/>
      <c r="S971" s="585"/>
      <c r="T971" s="585"/>
      <c r="U971" s="585"/>
      <c r="V971" s="224"/>
      <c r="W971" s="224"/>
      <c r="X971" s="9"/>
      <c r="Y971" s="9"/>
      <c r="Z971" s="9"/>
    </row>
    <row r="972">
      <c r="A972" s="585"/>
      <c r="B972" s="585"/>
      <c r="C972" s="585"/>
      <c r="D972" s="585"/>
      <c r="E972" s="585"/>
      <c r="F972" s="585"/>
      <c r="G972" s="585"/>
      <c r="H972" s="585"/>
      <c r="I972" s="585"/>
      <c r="J972" s="585"/>
      <c r="K972" s="585"/>
      <c r="L972" s="585"/>
      <c r="M972" s="585"/>
      <c r="N972" s="585"/>
      <c r="O972" s="585"/>
      <c r="P972" s="585"/>
      <c r="Q972" s="585"/>
      <c r="R972" s="585"/>
      <c r="S972" s="585"/>
      <c r="T972" s="585"/>
      <c r="U972" s="585"/>
      <c r="V972" s="224"/>
      <c r="W972" s="224"/>
      <c r="X972" s="9"/>
      <c r="Y972" s="9"/>
      <c r="Z972" s="9"/>
    </row>
    <row r="973">
      <c r="A973" s="585"/>
      <c r="B973" s="585"/>
      <c r="C973" s="585"/>
      <c r="D973" s="585"/>
      <c r="E973" s="585"/>
      <c r="F973" s="585"/>
      <c r="G973" s="585"/>
      <c r="H973" s="585"/>
      <c r="I973" s="585"/>
      <c r="J973" s="585"/>
      <c r="K973" s="585"/>
      <c r="L973" s="585"/>
      <c r="M973" s="585"/>
      <c r="N973" s="585"/>
      <c r="O973" s="585"/>
      <c r="P973" s="585"/>
      <c r="Q973" s="585"/>
      <c r="R973" s="585"/>
      <c r="S973" s="585"/>
      <c r="T973" s="585"/>
      <c r="U973" s="585"/>
      <c r="V973" s="224"/>
      <c r="W973" s="224"/>
      <c r="X973" s="9"/>
      <c r="Y973" s="9"/>
      <c r="Z973" s="9"/>
    </row>
    <row r="974">
      <c r="A974" s="585"/>
      <c r="B974" s="585"/>
      <c r="C974" s="585"/>
      <c r="D974" s="585"/>
      <c r="E974" s="585"/>
      <c r="F974" s="585"/>
      <c r="G974" s="585"/>
      <c r="H974" s="585"/>
      <c r="I974" s="585"/>
      <c r="J974" s="585"/>
      <c r="K974" s="585"/>
      <c r="L974" s="585"/>
      <c r="M974" s="585"/>
      <c r="N974" s="585"/>
      <c r="O974" s="585"/>
      <c r="P974" s="585"/>
      <c r="Q974" s="585"/>
      <c r="R974" s="585"/>
      <c r="S974" s="585"/>
      <c r="T974" s="585"/>
      <c r="U974" s="585"/>
      <c r="V974" s="224"/>
      <c r="W974" s="224"/>
      <c r="X974" s="9"/>
      <c r="Y974" s="9"/>
      <c r="Z974" s="9"/>
    </row>
    <row r="975">
      <c r="A975" s="585"/>
      <c r="B975" s="585"/>
      <c r="C975" s="585"/>
      <c r="D975" s="585"/>
      <c r="E975" s="585"/>
      <c r="F975" s="585"/>
      <c r="G975" s="585"/>
      <c r="H975" s="585"/>
      <c r="I975" s="585"/>
      <c r="J975" s="585"/>
      <c r="K975" s="585"/>
      <c r="L975" s="585"/>
      <c r="M975" s="585"/>
      <c r="N975" s="585"/>
      <c r="O975" s="585"/>
      <c r="P975" s="585"/>
      <c r="Q975" s="585"/>
      <c r="R975" s="585"/>
      <c r="S975" s="585"/>
      <c r="T975" s="585"/>
      <c r="U975" s="585"/>
      <c r="V975" s="224"/>
      <c r="W975" s="224"/>
      <c r="X975" s="9"/>
      <c r="Y975" s="9"/>
      <c r="Z975" s="9"/>
    </row>
    <row r="976">
      <c r="A976" s="585"/>
      <c r="B976" s="585"/>
      <c r="C976" s="585"/>
      <c r="D976" s="585"/>
      <c r="E976" s="585"/>
      <c r="F976" s="585"/>
      <c r="G976" s="585"/>
      <c r="H976" s="585"/>
      <c r="I976" s="585"/>
      <c r="J976" s="585"/>
      <c r="K976" s="585"/>
      <c r="L976" s="585"/>
      <c r="M976" s="585"/>
      <c r="N976" s="585"/>
      <c r="O976" s="585"/>
      <c r="P976" s="585"/>
      <c r="Q976" s="585"/>
      <c r="R976" s="585"/>
      <c r="S976" s="585"/>
      <c r="T976" s="585"/>
      <c r="U976" s="585"/>
      <c r="V976" s="224"/>
      <c r="W976" s="224"/>
      <c r="X976" s="9"/>
      <c r="Y976" s="9"/>
      <c r="Z976" s="9"/>
    </row>
    <row r="977">
      <c r="A977" s="585"/>
      <c r="B977" s="585"/>
      <c r="C977" s="585"/>
      <c r="D977" s="585"/>
      <c r="E977" s="585"/>
      <c r="F977" s="585"/>
      <c r="G977" s="585"/>
      <c r="H977" s="585"/>
      <c r="I977" s="585"/>
      <c r="J977" s="585"/>
      <c r="K977" s="585"/>
      <c r="L977" s="585"/>
      <c r="M977" s="585"/>
      <c r="N977" s="585"/>
      <c r="O977" s="585"/>
      <c r="P977" s="585"/>
      <c r="Q977" s="585"/>
      <c r="R977" s="585"/>
      <c r="S977" s="585"/>
      <c r="T977" s="585"/>
      <c r="U977" s="585"/>
      <c r="V977" s="224"/>
      <c r="W977" s="224"/>
      <c r="X977" s="9"/>
      <c r="Y977" s="9"/>
      <c r="Z977" s="9"/>
    </row>
    <row r="978">
      <c r="A978" s="585"/>
      <c r="B978" s="585"/>
      <c r="C978" s="585"/>
      <c r="D978" s="585"/>
      <c r="E978" s="585"/>
      <c r="F978" s="585"/>
      <c r="G978" s="585"/>
      <c r="H978" s="585"/>
      <c r="I978" s="585"/>
      <c r="J978" s="585"/>
      <c r="K978" s="585"/>
      <c r="L978" s="585"/>
      <c r="M978" s="585"/>
      <c r="N978" s="585"/>
      <c r="O978" s="585"/>
      <c r="P978" s="585"/>
      <c r="Q978" s="585"/>
      <c r="R978" s="585"/>
      <c r="S978" s="585"/>
      <c r="T978" s="585"/>
      <c r="U978" s="585"/>
      <c r="V978" s="224"/>
      <c r="W978" s="224"/>
      <c r="X978" s="9"/>
      <c r="Y978" s="9"/>
      <c r="Z978" s="9"/>
    </row>
    <row r="979">
      <c r="A979" s="585"/>
      <c r="B979" s="585"/>
      <c r="C979" s="585"/>
      <c r="D979" s="585"/>
      <c r="E979" s="585"/>
      <c r="F979" s="585"/>
      <c r="G979" s="585"/>
      <c r="H979" s="585"/>
      <c r="I979" s="585"/>
      <c r="J979" s="585"/>
      <c r="K979" s="585"/>
      <c r="L979" s="585"/>
      <c r="M979" s="585"/>
      <c r="N979" s="585"/>
      <c r="O979" s="585"/>
      <c r="P979" s="585"/>
      <c r="Q979" s="585"/>
      <c r="R979" s="585"/>
      <c r="S979" s="585"/>
      <c r="T979" s="585"/>
      <c r="U979" s="585"/>
      <c r="V979" s="224"/>
      <c r="W979" s="224"/>
      <c r="X979" s="9"/>
      <c r="Y979" s="9"/>
      <c r="Z979" s="9"/>
    </row>
    <row r="980">
      <c r="A980" s="585"/>
      <c r="B980" s="585"/>
      <c r="C980" s="585"/>
      <c r="D980" s="585"/>
      <c r="E980" s="585"/>
      <c r="F980" s="585"/>
      <c r="G980" s="585"/>
      <c r="H980" s="585"/>
      <c r="I980" s="585"/>
      <c r="J980" s="585"/>
      <c r="K980" s="585"/>
      <c r="L980" s="585"/>
      <c r="M980" s="585"/>
      <c r="N980" s="585"/>
      <c r="O980" s="585"/>
      <c r="P980" s="585"/>
      <c r="Q980" s="585"/>
      <c r="R980" s="585"/>
      <c r="S980" s="585"/>
      <c r="T980" s="585"/>
      <c r="U980" s="585"/>
      <c r="V980" s="224"/>
      <c r="W980" s="224"/>
      <c r="X980" s="9"/>
      <c r="Y980" s="9"/>
      <c r="Z980" s="9"/>
    </row>
    <row r="981">
      <c r="A981" s="585"/>
      <c r="B981" s="585"/>
      <c r="C981" s="585"/>
      <c r="D981" s="585"/>
      <c r="E981" s="585"/>
      <c r="F981" s="585"/>
      <c r="G981" s="585"/>
      <c r="H981" s="585"/>
      <c r="I981" s="585"/>
      <c r="J981" s="585"/>
      <c r="K981" s="585"/>
      <c r="L981" s="585"/>
      <c r="M981" s="585"/>
      <c r="N981" s="585"/>
      <c r="O981" s="585"/>
      <c r="P981" s="585"/>
      <c r="Q981" s="585"/>
      <c r="R981" s="585"/>
      <c r="S981" s="585"/>
      <c r="T981" s="585"/>
      <c r="U981" s="585"/>
      <c r="V981" s="224"/>
      <c r="W981" s="224"/>
      <c r="X981" s="9"/>
      <c r="Y981" s="9"/>
      <c r="Z981" s="9"/>
    </row>
    <row r="982">
      <c r="A982" s="585"/>
      <c r="B982" s="585"/>
      <c r="C982" s="585"/>
      <c r="D982" s="585"/>
      <c r="E982" s="585"/>
      <c r="F982" s="585"/>
      <c r="G982" s="585"/>
      <c r="H982" s="585"/>
      <c r="I982" s="585"/>
      <c r="J982" s="585"/>
      <c r="K982" s="585"/>
      <c r="L982" s="585"/>
      <c r="M982" s="585"/>
      <c r="N982" s="585"/>
      <c r="O982" s="585"/>
      <c r="P982" s="585"/>
      <c r="Q982" s="585"/>
      <c r="R982" s="585"/>
      <c r="S982" s="585"/>
      <c r="T982" s="585"/>
      <c r="U982" s="585"/>
      <c r="V982" s="224"/>
      <c r="W982" s="224"/>
      <c r="X982" s="9"/>
      <c r="Y982" s="9"/>
      <c r="Z982" s="9"/>
    </row>
    <row r="983">
      <c r="A983" s="585"/>
      <c r="B983" s="585"/>
      <c r="C983" s="585"/>
      <c r="D983" s="585"/>
      <c r="E983" s="585"/>
      <c r="F983" s="585"/>
      <c r="G983" s="585"/>
      <c r="H983" s="585"/>
      <c r="I983" s="585"/>
      <c r="J983" s="585"/>
      <c r="K983" s="585"/>
      <c r="L983" s="585"/>
      <c r="M983" s="585"/>
      <c r="N983" s="585"/>
      <c r="O983" s="585"/>
      <c r="P983" s="585"/>
      <c r="Q983" s="585"/>
      <c r="R983" s="585"/>
      <c r="S983" s="585"/>
      <c r="T983" s="585"/>
      <c r="U983" s="585"/>
      <c r="V983" s="224"/>
      <c r="W983" s="224"/>
      <c r="X983" s="9"/>
      <c r="Y983" s="9"/>
      <c r="Z983" s="9"/>
    </row>
    <row r="984">
      <c r="A984" s="585"/>
      <c r="B984" s="585"/>
      <c r="C984" s="585"/>
      <c r="D984" s="585"/>
      <c r="E984" s="585"/>
      <c r="F984" s="585"/>
      <c r="G984" s="585"/>
      <c r="H984" s="585"/>
      <c r="I984" s="585"/>
      <c r="J984" s="585"/>
      <c r="K984" s="585"/>
      <c r="L984" s="585"/>
      <c r="M984" s="585"/>
      <c r="N984" s="585"/>
      <c r="O984" s="585"/>
      <c r="P984" s="585"/>
      <c r="Q984" s="585"/>
      <c r="R984" s="585"/>
      <c r="S984" s="585"/>
      <c r="T984" s="585"/>
      <c r="U984" s="585"/>
      <c r="V984" s="224"/>
      <c r="W984" s="224"/>
      <c r="X984" s="9"/>
      <c r="Y984" s="9"/>
      <c r="Z984" s="9"/>
    </row>
    <row r="985">
      <c r="A985" s="585"/>
      <c r="B985" s="585"/>
      <c r="C985" s="585"/>
      <c r="D985" s="585"/>
      <c r="E985" s="585"/>
      <c r="F985" s="585"/>
      <c r="G985" s="585"/>
      <c r="H985" s="585"/>
      <c r="I985" s="585"/>
      <c r="J985" s="585"/>
      <c r="K985" s="585"/>
      <c r="L985" s="585"/>
      <c r="M985" s="585"/>
      <c r="N985" s="585"/>
      <c r="O985" s="585"/>
      <c r="P985" s="585"/>
      <c r="Q985" s="585"/>
      <c r="R985" s="585"/>
      <c r="S985" s="585"/>
      <c r="T985" s="585"/>
      <c r="U985" s="585"/>
      <c r="V985" s="224"/>
      <c r="W985" s="224"/>
      <c r="X985" s="9"/>
      <c r="Y985" s="9"/>
      <c r="Z985" s="9"/>
    </row>
    <row r="986">
      <c r="A986" s="585"/>
      <c r="B986" s="585"/>
      <c r="C986" s="585"/>
      <c r="D986" s="585"/>
      <c r="E986" s="585"/>
      <c r="F986" s="585"/>
      <c r="G986" s="585"/>
      <c r="H986" s="585"/>
      <c r="I986" s="585"/>
      <c r="J986" s="585"/>
      <c r="K986" s="585"/>
      <c r="L986" s="585"/>
      <c r="M986" s="585"/>
      <c r="N986" s="585"/>
      <c r="O986" s="585"/>
      <c r="P986" s="585"/>
      <c r="Q986" s="585"/>
      <c r="R986" s="585"/>
      <c r="S986" s="585"/>
      <c r="T986" s="585"/>
      <c r="U986" s="585"/>
      <c r="V986" s="224"/>
      <c r="W986" s="224"/>
      <c r="X986" s="9"/>
      <c r="Y986" s="9"/>
      <c r="Z986" s="9"/>
    </row>
    <row r="987">
      <c r="A987" s="585"/>
      <c r="B987" s="585"/>
      <c r="C987" s="585"/>
      <c r="D987" s="585"/>
      <c r="E987" s="585"/>
      <c r="F987" s="585"/>
      <c r="G987" s="585"/>
      <c r="H987" s="585"/>
      <c r="I987" s="585"/>
      <c r="J987" s="585"/>
      <c r="K987" s="585"/>
      <c r="L987" s="585"/>
      <c r="M987" s="585"/>
      <c r="N987" s="585"/>
      <c r="O987" s="585"/>
      <c r="P987" s="585"/>
      <c r="Q987" s="585"/>
      <c r="R987" s="585"/>
      <c r="S987" s="585"/>
      <c r="T987" s="585"/>
      <c r="U987" s="585"/>
      <c r="V987" s="224"/>
      <c r="W987" s="224"/>
      <c r="X987" s="9"/>
      <c r="Y987" s="9"/>
      <c r="Z987" s="9"/>
    </row>
    <row r="988">
      <c r="A988" s="585"/>
      <c r="B988" s="585"/>
      <c r="C988" s="585"/>
      <c r="D988" s="585"/>
      <c r="E988" s="585"/>
      <c r="F988" s="585"/>
      <c r="G988" s="585"/>
      <c r="H988" s="585"/>
      <c r="I988" s="585"/>
      <c r="J988" s="585"/>
      <c r="K988" s="585"/>
      <c r="L988" s="585"/>
      <c r="M988" s="585"/>
      <c r="N988" s="585"/>
      <c r="O988" s="585"/>
      <c r="P988" s="585"/>
      <c r="Q988" s="585"/>
      <c r="R988" s="585"/>
      <c r="S988" s="585"/>
      <c r="T988" s="585"/>
      <c r="U988" s="585"/>
      <c r="V988" s="224"/>
      <c r="W988" s="224"/>
      <c r="X988" s="9"/>
      <c r="Y988" s="9"/>
      <c r="Z988" s="9"/>
    </row>
    <row r="989">
      <c r="A989" s="585"/>
      <c r="B989" s="585"/>
      <c r="C989" s="585"/>
      <c r="D989" s="585"/>
      <c r="E989" s="585"/>
      <c r="F989" s="585"/>
      <c r="G989" s="585"/>
      <c r="H989" s="585"/>
      <c r="I989" s="585"/>
      <c r="J989" s="585"/>
      <c r="K989" s="585"/>
      <c r="L989" s="585"/>
      <c r="M989" s="585"/>
      <c r="N989" s="585"/>
      <c r="O989" s="585"/>
      <c r="P989" s="585"/>
      <c r="Q989" s="585"/>
      <c r="R989" s="585"/>
      <c r="S989" s="585"/>
      <c r="T989" s="585"/>
      <c r="U989" s="585"/>
      <c r="V989" s="224"/>
      <c r="W989" s="224"/>
      <c r="X989" s="9"/>
      <c r="Y989" s="9"/>
      <c r="Z989" s="9"/>
    </row>
    <row r="990">
      <c r="A990" s="585"/>
      <c r="B990" s="585"/>
      <c r="C990" s="585"/>
      <c r="D990" s="585"/>
      <c r="E990" s="585"/>
      <c r="F990" s="585"/>
      <c r="G990" s="585"/>
      <c r="H990" s="585"/>
      <c r="I990" s="585"/>
      <c r="J990" s="585"/>
      <c r="K990" s="585"/>
      <c r="L990" s="585"/>
      <c r="M990" s="585"/>
      <c r="N990" s="585"/>
      <c r="O990" s="585"/>
      <c r="P990" s="585"/>
      <c r="Q990" s="585"/>
      <c r="R990" s="585"/>
      <c r="S990" s="585"/>
      <c r="T990" s="585"/>
      <c r="U990" s="585"/>
      <c r="V990" s="224"/>
      <c r="W990" s="224"/>
      <c r="X990" s="9"/>
      <c r="Y990" s="9"/>
      <c r="Z990" s="9"/>
    </row>
    <row r="991">
      <c r="A991" s="585"/>
      <c r="B991" s="585"/>
      <c r="C991" s="585"/>
      <c r="D991" s="585"/>
      <c r="E991" s="585"/>
      <c r="F991" s="585"/>
      <c r="G991" s="585"/>
      <c r="H991" s="585"/>
      <c r="I991" s="585"/>
      <c r="J991" s="585"/>
      <c r="K991" s="585"/>
      <c r="L991" s="585"/>
      <c r="M991" s="585"/>
      <c r="N991" s="585"/>
      <c r="O991" s="585"/>
      <c r="P991" s="585"/>
      <c r="Q991" s="585"/>
      <c r="R991" s="585"/>
      <c r="S991" s="585"/>
      <c r="T991" s="585"/>
      <c r="U991" s="585"/>
      <c r="V991" s="224"/>
      <c r="W991" s="224"/>
      <c r="X991" s="9"/>
      <c r="Y991" s="9"/>
      <c r="Z991" s="9"/>
    </row>
    <row r="992">
      <c r="A992" s="585"/>
      <c r="B992" s="585"/>
      <c r="C992" s="585"/>
      <c r="D992" s="585"/>
      <c r="E992" s="585"/>
      <c r="F992" s="585"/>
      <c r="G992" s="585"/>
      <c r="H992" s="585"/>
      <c r="I992" s="585"/>
      <c r="J992" s="585"/>
      <c r="K992" s="585"/>
      <c r="L992" s="585"/>
      <c r="M992" s="585"/>
      <c r="N992" s="585"/>
      <c r="O992" s="585"/>
      <c r="P992" s="585"/>
      <c r="Q992" s="585"/>
      <c r="R992" s="585"/>
      <c r="S992" s="585"/>
      <c r="T992" s="585"/>
      <c r="U992" s="585"/>
      <c r="V992" s="224"/>
      <c r="W992" s="224"/>
      <c r="X992" s="9"/>
      <c r="Y992" s="9"/>
      <c r="Z992" s="9"/>
    </row>
    <row r="993">
      <c r="A993" s="585"/>
      <c r="B993" s="585"/>
      <c r="C993" s="585"/>
      <c r="D993" s="585"/>
      <c r="E993" s="585"/>
      <c r="F993" s="585"/>
      <c r="G993" s="585"/>
      <c r="H993" s="585"/>
      <c r="I993" s="585"/>
      <c r="J993" s="585"/>
      <c r="K993" s="585"/>
      <c r="L993" s="585"/>
      <c r="M993" s="585"/>
      <c r="N993" s="585"/>
      <c r="O993" s="585"/>
      <c r="P993" s="585"/>
      <c r="Q993" s="585"/>
      <c r="R993" s="585"/>
      <c r="S993" s="585"/>
      <c r="T993" s="585"/>
      <c r="U993" s="585"/>
      <c r="V993" s="224"/>
      <c r="W993" s="224"/>
      <c r="X993" s="9"/>
      <c r="Y993" s="9"/>
      <c r="Z993" s="9"/>
    </row>
    <row r="994">
      <c r="A994" s="585"/>
      <c r="B994" s="585"/>
      <c r="C994" s="585"/>
      <c r="D994" s="585"/>
      <c r="E994" s="585"/>
      <c r="F994" s="585"/>
      <c r="G994" s="585"/>
      <c r="H994" s="585"/>
      <c r="I994" s="585"/>
      <c r="J994" s="585"/>
      <c r="K994" s="585"/>
      <c r="L994" s="585"/>
      <c r="M994" s="585"/>
      <c r="N994" s="585"/>
      <c r="O994" s="585"/>
      <c r="P994" s="585"/>
      <c r="Q994" s="585"/>
      <c r="R994" s="585"/>
      <c r="S994" s="585"/>
      <c r="T994" s="585"/>
      <c r="U994" s="585"/>
      <c r="V994" s="224"/>
      <c r="W994" s="224"/>
      <c r="X994" s="9"/>
      <c r="Y994" s="9"/>
      <c r="Z994" s="9"/>
    </row>
    <row r="995">
      <c r="A995" s="585"/>
      <c r="B995" s="585"/>
      <c r="C995" s="585"/>
      <c r="D995" s="585"/>
      <c r="E995" s="585"/>
      <c r="F995" s="585"/>
      <c r="G995" s="585"/>
      <c r="H995" s="585"/>
      <c r="I995" s="585"/>
      <c r="J995" s="585"/>
      <c r="K995" s="585"/>
      <c r="L995" s="585"/>
      <c r="M995" s="585"/>
      <c r="N995" s="585"/>
      <c r="O995" s="585"/>
      <c r="P995" s="585"/>
      <c r="Q995" s="585"/>
      <c r="R995" s="585"/>
      <c r="S995" s="585"/>
      <c r="T995" s="585"/>
      <c r="U995" s="585"/>
      <c r="V995" s="224"/>
      <c r="W995" s="224"/>
      <c r="X995" s="9"/>
      <c r="Y995" s="9"/>
      <c r="Z995" s="9"/>
    </row>
    <row r="996">
      <c r="A996" s="585"/>
      <c r="B996" s="585"/>
      <c r="C996" s="585"/>
      <c r="D996" s="585"/>
      <c r="E996" s="585"/>
      <c r="F996" s="585"/>
      <c r="G996" s="585"/>
      <c r="H996" s="585"/>
      <c r="I996" s="585"/>
      <c r="J996" s="585"/>
      <c r="K996" s="585"/>
      <c r="L996" s="585"/>
      <c r="M996" s="585"/>
      <c r="N996" s="585"/>
      <c r="O996" s="585"/>
      <c r="P996" s="585"/>
      <c r="Q996" s="585"/>
      <c r="R996" s="585"/>
      <c r="S996" s="585"/>
      <c r="T996" s="585"/>
      <c r="U996" s="585"/>
      <c r="V996" s="224"/>
      <c r="W996" s="224"/>
      <c r="X996" s="9"/>
      <c r="Y996" s="9"/>
      <c r="Z996" s="9"/>
    </row>
    <row r="997">
      <c r="A997" s="585"/>
      <c r="B997" s="585"/>
      <c r="C997" s="585"/>
      <c r="D997" s="585"/>
      <c r="E997" s="585"/>
      <c r="F997" s="585"/>
      <c r="G997" s="585"/>
      <c r="H997" s="585"/>
      <c r="I997" s="585"/>
      <c r="J997" s="585"/>
      <c r="K997" s="585"/>
      <c r="L997" s="585"/>
      <c r="M997" s="585"/>
      <c r="N997" s="585"/>
      <c r="O997" s="585"/>
      <c r="P997" s="585"/>
      <c r="Q997" s="585"/>
      <c r="R997" s="585"/>
      <c r="S997" s="585"/>
      <c r="T997" s="585"/>
      <c r="U997" s="585"/>
      <c r="V997" s="224"/>
      <c r="W997" s="224"/>
      <c r="X997" s="9"/>
      <c r="Y997" s="9"/>
      <c r="Z997" s="9"/>
    </row>
    <row r="998">
      <c r="A998" s="585"/>
      <c r="B998" s="585"/>
      <c r="C998" s="585"/>
      <c r="D998" s="585"/>
      <c r="E998" s="585"/>
      <c r="F998" s="585"/>
      <c r="G998" s="585"/>
      <c r="H998" s="585"/>
      <c r="I998" s="585"/>
      <c r="J998" s="585"/>
      <c r="K998" s="585"/>
      <c r="L998" s="585"/>
      <c r="M998" s="585"/>
      <c r="N998" s="585"/>
      <c r="O998" s="585"/>
      <c r="P998" s="585"/>
      <c r="Q998" s="585"/>
      <c r="R998" s="585"/>
      <c r="S998" s="585"/>
      <c r="T998" s="585"/>
      <c r="U998" s="585"/>
      <c r="V998" s="224"/>
      <c r="W998" s="224"/>
      <c r="X998" s="9"/>
      <c r="Y998" s="9"/>
      <c r="Z998" s="9"/>
    </row>
    <row r="999">
      <c r="A999" s="585"/>
      <c r="B999" s="585"/>
      <c r="C999" s="585"/>
      <c r="D999" s="585"/>
      <c r="E999" s="585"/>
      <c r="F999" s="585"/>
      <c r="G999" s="585"/>
      <c r="H999" s="585"/>
      <c r="I999" s="585"/>
      <c r="J999" s="585"/>
      <c r="K999" s="585"/>
      <c r="L999" s="585"/>
      <c r="M999" s="585"/>
      <c r="N999" s="585"/>
      <c r="O999" s="585"/>
      <c r="P999" s="585"/>
      <c r="Q999" s="585"/>
      <c r="R999" s="585"/>
      <c r="S999" s="585"/>
      <c r="T999" s="585"/>
      <c r="U999" s="585"/>
      <c r="V999" s="224"/>
      <c r="W999" s="224"/>
      <c r="X999" s="9"/>
      <c r="Y999" s="9"/>
      <c r="Z999" s="9"/>
    </row>
    <row r="1000">
      <c r="A1000" s="585"/>
      <c r="B1000" s="585"/>
      <c r="C1000" s="585"/>
      <c r="D1000" s="585"/>
      <c r="E1000" s="585"/>
      <c r="F1000" s="585"/>
      <c r="G1000" s="585"/>
      <c r="H1000" s="585"/>
      <c r="I1000" s="585"/>
      <c r="J1000" s="585"/>
      <c r="K1000" s="585"/>
      <c r="L1000" s="585"/>
      <c r="M1000" s="585"/>
      <c r="N1000" s="585"/>
      <c r="O1000" s="585"/>
      <c r="P1000" s="585"/>
      <c r="Q1000" s="585"/>
      <c r="R1000" s="585"/>
      <c r="S1000" s="585"/>
      <c r="T1000" s="585"/>
      <c r="U1000" s="585"/>
      <c r="V1000" s="224"/>
      <c r="W1000" s="224"/>
      <c r="X1000" s="9"/>
      <c r="Y1000" s="9"/>
      <c r="Z1000" s="9"/>
    </row>
    <row r="1001">
      <c r="A1001" s="585"/>
      <c r="B1001" s="585"/>
      <c r="C1001" s="585"/>
      <c r="D1001" s="585"/>
      <c r="E1001" s="585"/>
      <c r="F1001" s="585"/>
      <c r="G1001" s="585"/>
      <c r="H1001" s="585"/>
      <c r="I1001" s="585"/>
      <c r="J1001" s="585"/>
      <c r="K1001" s="585"/>
      <c r="L1001" s="585"/>
      <c r="M1001" s="585"/>
      <c r="N1001" s="585"/>
      <c r="O1001" s="585"/>
      <c r="P1001" s="585"/>
      <c r="Q1001" s="585"/>
      <c r="R1001" s="585"/>
      <c r="S1001" s="585"/>
      <c r="T1001" s="585"/>
      <c r="U1001" s="585"/>
      <c r="V1001" s="224"/>
      <c r="W1001" s="224"/>
      <c r="X1001" s="9"/>
      <c r="Y1001" s="9"/>
      <c r="Z1001" s="9"/>
    </row>
    <row r="1002">
      <c r="A1002" s="585"/>
      <c r="B1002" s="585"/>
      <c r="C1002" s="585"/>
      <c r="D1002" s="585"/>
      <c r="E1002" s="585"/>
      <c r="F1002" s="585"/>
      <c r="G1002" s="585"/>
      <c r="H1002" s="585"/>
      <c r="I1002" s="585"/>
      <c r="J1002" s="585"/>
      <c r="K1002" s="585"/>
      <c r="L1002" s="585"/>
      <c r="M1002" s="585"/>
      <c r="N1002" s="585"/>
      <c r="O1002" s="585"/>
      <c r="P1002" s="585"/>
      <c r="Q1002" s="585"/>
      <c r="R1002" s="585"/>
      <c r="S1002" s="585"/>
      <c r="T1002" s="585"/>
      <c r="U1002" s="585"/>
      <c r="V1002" s="224"/>
      <c r="W1002" s="224"/>
      <c r="X1002" s="9"/>
      <c r="Y1002" s="9"/>
      <c r="Z1002" s="9"/>
    </row>
    <row r="1003">
      <c r="A1003" s="585"/>
      <c r="B1003" s="585"/>
      <c r="C1003" s="585"/>
      <c r="D1003" s="585"/>
      <c r="E1003" s="585"/>
      <c r="F1003" s="585"/>
      <c r="G1003" s="585"/>
      <c r="H1003" s="585"/>
      <c r="I1003" s="585"/>
      <c r="J1003" s="585"/>
      <c r="K1003" s="585"/>
      <c r="L1003" s="585"/>
      <c r="M1003" s="585"/>
      <c r="N1003" s="585"/>
      <c r="O1003" s="585"/>
      <c r="P1003" s="585"/>
      <c r="Q1003" s="585"/>
      <c r="R1003" s="585"/>
      <c r="S1003" s="585"/>
      <c r="T1003" s="585"/>
      <c r="U1003" s="585"/>
      <c r="V1003" s="224"/>
      <c r="W1003" s="224"/>
      <c r="X1003" s="9"/>
      <c r="Y1003" s="9"/>
      <c r="Z1003" s="9"/>
    </row>
    <row r="1004">
      <c r="A1004" s="585"/>
      <c r="B1004" s="585"/>
      <c r="C1004" s="585"/>
      <c r="D1004" s="585"/>
      <c r="E1004" s="585"/>
      <c r="F1004" s="585"/>
      <c r="G1004" s="585"/>
      <c r="H1004" s="585"/>
      <c r="I1004" s="585"/>
      <c r="J1004" s="585"/>
      <c r="K1004" s="585"/>
      <c r="L1004" s="585"/>
      <c r="M1004" s="585"/>
      <c r="N1004" s="585"/>
      <c r="O1004" s="585"/>
      <c r="P1004" s="585"/>
      <c r="Q1004" s="585"/>
      <c r="R1004" s="585"/>
      <c r="S1004" s="585"/>
      <c r="T1004" s="585"/>
      <c r="U1004" s="585"/>
      <c r="V1004" s="224"/>
      <c r="W1004" s="224"/>
      <c r="X1004" s="9"/>
      <c r="Y1004" s="9"/>
      <c r="Z1004" s="9"/>
    </row>
    <row r="1005">
      <c r="A1005" s="585"/>
      <c r="B1005" s="585"/>
      <c r="C1005" s="585"/>
      <c r="D1005" s="585"/>
      <c r="E1005" s="585"/>
      <c r="F1005" s="585"/>
      <c r="G1005" s="585"/>
      <c r="H1005" s="585"/>
      <c r="I1005" s="585"/>
      <c r="J1005" s="585"/>
      <c r="K1005" s="585"/>
      <c r="L1005" s="585"/>
      <c r="M1005" s="585"/>
      <c r="N1005" s="585"/>
      <c r="O1005" s="585"/>
      <c r="P1005" s="585"/>
      <c r="Q1005" s="585"/>
      <c r="R1005" s="585"/>
      <c r="S1005" s="585"/>
      <c r="T1005" s="585"/>
      <c r="U1005" s="585"/>
      <c r="V1005" s="224"/>
      <c r="W1005" s="224"/>
      <c r="X1005" s="9"/>
      <c r="Y1005" s="9"/>
      <c r="Z1005" s="9"/>
    </row>
    <row r="1006">
      <c r="A1006" s="585"/>
      <c r="B1006" s="585"/>
      <c r="C1006" s="585"/>
      <c r="D1006" s="585"/>
      <c r="E1006" s="585"/>
      <c r="F1006" s="585"/>
      <c r="G1006" s="585"/>
      <c r="H1006" s="585"/>
      <c r="I1006" s="585"/>
      <c r="J1006" s="585"/>
      <c r="K1006" s="585"/>
      <c r="L1006" s="585"/>
      <c r="M1006" s="585"/>
      <c r="N1006" s="585"/>
      <c r="O1006" s="585"/>
      <c r="P1006" s="585"/>
      <c r="Q1006" s="585"/>
      <c r="R1006" s="585"/>
      <c r="S1006" s="585"/>
      <c r="T1006" s="585"/>
      <c r="U1006" s="585"/>
      <c r="V1006" s="224"/>
      <c r="W1006" s="224"/>
      <c r="X1006" s="9"/>
      <c r="Y1006" s="9"/>
      <c r="Z1006" s="9"/>
    </row>
    <row r="1007">
      <c r="A1007" s="585"/>
      <c r="B1007" s="585"/>
      <c r="C1007" s="585"/>
      <c r="D1007" s="585"/>
      <c r="E1007" s="585"/>
      <c r="F1007" s="585"/>
      <c r="G1007" s="585"/>
      <c r="H1007" s="585"/>
      <c r="I1007" s="585"/>
      <c r="J1007" s="585"/>
      <c r="K1007" s="585"/>
      <c r="L1007" s="585"/>
      <c r="M1007" s="585"/>
      <c r="N1007" s="585"/>
      <c r="O1007" s="585"/>
      <c r="P1007" s="585"/>
      <c r="Q1007" s="585"/>
      <c r="R1007" s="585"/>
      <c r="S1007" s="585"/>
      <c r="T1007" s="585"/>
      <c r="U1007" s="585"/>
      <c r="V1007" s="224"/>
      <c r="W1007" s="224"/>
      <c r="X1007" s="9"/>
      <c r="Y1007" s="9"/>
      <c r="Z1007" s="9"/>
    </row>
    <row r="1008">
      <c r="A1008" s="585"/>
      <c r="B1008" s="585"/>
      <c r="C1008" s="585"/>
      <c r="D1008" s="585"/>
      <c r="E1008" s="585"/>
      <c r="F1008" s="585"/>
      <c r="G1008" s="585"/>
      <c r="H1008" s="585"/>
      <c r="I1008" s="585"/>
      <c r="J1008" s="585"/>
      <c r="K1008" s="585"/>
      <c r="L1008" s="585"/>
      <c r="M1008" s="585"/>
      <c r="N1008" s="585"/>
      <c r="O1008" s="585"/>
      <c r="P1008" s="585"/>
      <c r="Q1008" s="585"/>
      <c r="R1008" s="585"/>
      <c r="S1008" s="585"/>
      <c r="T1008" s="585"/>
      <c r="U1008" s="585"/>
      <c r="V1008" s="224"/>
      <c r="W1008" s="224"/>
      <c r="X1008" s="9"/>
      <c r="Y1008" s="9"/>
      <c r="Z1008" s="9"/>
    </row>
    <row r="1009">
      <c r="A1009" s="585"/>
      <c r="B1009" s="585"/>
      <c r="C1009" s="585"/>
      <c r="D1009" s="585"/>
      <c r="E1009" s="585"/>
      <c r="F1009" s="585"/>
      <c r="G1009" s="585"/>
      <c r="H1009" s="585"/>
      <c r="I1009" s="585"/>
      <c r="J1009" s="585"/>
      <c r="K1009" s="585"/>
      <c r="L1009" s="585"/>
      <c r="M1009" s="585"/>
      <c r="N1009" s="585"/>
      <c r="O1009" s="585"/>
      <c r="P1009" s="585"/>
      <c r="Q1009" s="585"/>
      <c r="R1009" s="585"/>
      <c r="S1009" s="585"/>
      <c r="T1009" s="585"/>
      <c r="U1009" s="585"/>
      <c r="V1009" s="224"/>
      <c r="W1009" s="224"/>
      <c r="X1009" s="9"/>
      <c r="Y1009" s="9"/>
      <c r="Z1009" s="9"/>
    </row>
    <row r="1010">
      <c r="A1010" s="585"/>
      <c r="B1010" s="585"/>
      <c r="C1010" s="585"/>
      <c r="D1010" s="585"/>
      <c r="E1010" s="585"/>
      <c r="F1010" s="585"/>
      <c r="G1010" s="585"/>
      <c r="H1010" s="585"/>
      <c r="I1010" s="585"/>
      <c r="J1010" s="585"/>
      <c r="K1010" s="585"/>
      <c r="L1010" s="585"/>
      <c r="M1010" s="585"/>
      <c r="N1010" s="585"/>
      <c r="O1010" s="585"/>
      <c r="P1010" s="585"/>
      <c r="Q1010" s="585"/>
      <c r="R1010" s="585"/>
      <c r="S1010" s="585"/>
      <c r="T1010" s="585"/>
      <c r="U1010" s="585"/>
      <c r="V1010" s="224"/>
      <c r="W1010" s="224"/>
      <c r="X1010" s="9"/>
      <c r="Y1010" s="9"/>
      <c r="Z1010" s="9"/>
    </row>
    <row r="1011">
      <c r="A1011" s="585"/>
      <c r="B1011" s="585"/>
      <c r="C1011" s="585"/>
      <c r="D1011" s="585"/>
      <c r="E1011" s="585"/>
      <c r="F1011" s="585"/>
      <c r="G1011" s="585"/>
      <c r="H1011" s="585"/>
      <c r="I1011" s="585"/>
      <c r="J1011" s="585"/>
      <c r="K1011" s="585"/>
      <c r="L1011" s="585"/>
      <c r="M1011" s="585"/>
      <c r="N1011" s="585"/>
      <c r="O1011" s="585"/>
      <c r="P1011" s="585"/>
      <c r="Q1011" s="585"/>
      <c r="R1011" s="585"/>
      <c r="S1011" s="585"/>
      <c r="T1011" s="585"/>
      <c r="U1011" s="585"/>
      <c r="V1011" s="224"/>
      <c r="W1011" s="224"/>
      <c r="X1011" s="9"/>
      <c r="Y1011" s="9"/>
      <c r="Z1011" s="9"/>
    </row>
    <row r="1012">
      <c r="A1012" s="585"/>
      <c r="B1012" s="585"/>
      <c r="C1012" s="585"/>
      <c r="D1012" s="585"/>
      <c r="E1012" s="585"/>
      <c r="F1012" s="585"/>
      <c r="G1012" s="585"/>
      <c r="H1012" s="585"/>
      <c r="I1012" s="585"/>
      <c r="J1012" s="585"/>
      <c r="K1012" s="585"/>
      <c r="L1012" s="585"/>
      <c r="M1012" s="585"/>
      <c r="N1012" s="585"/>
      <c r="O1012" s="585"/>
      <c r="P1012" s="585"/>
      <c r="Q1012" s="585"/>
      <c r="R1012" s="585"/>
      <c r="S1012" s="585"/>
      <c r="T1012" s="585"/>
      <c r="U1012" s="585"/>
      <c r="V1012" s="224"/>
      <c r="W1012" s="224"/>
      <c r="X1012" s="9"/>
      <c r="Y1012" s="9"/>
      <c r="Z1012" s="9"/>
    </row>
    <row r="1013">
      <c r="A1013" s="585"/>
      <c r="B1013" s="585"/>
      <c r="C1013" s="585"/>
      <c r="D1013" s="585"/>
      <c r="E1013" s="585"/>
      <c r="F1013" s="585"/>
      <c r="G1013" s="585"/>
      <c r="H1013" s="585"/>
      <c r="I1013" s="585"/>
      <c r="J1013" s="585"/>
      <c r="K1013" s="585"/>
      <c r="L1013" s="585"/>
      <c r="M1013" s="585"/>
      <c r="N1013" s="585"/>
      <c r="O1013" s="585"/>
      <c r="P1013" s="585"/>
      <c r="Q1013" s="585"/>
      <c r="R1013" s="585"/>
      <c r="S1013" s="585"/>
      <c r="T1013" s="585"/>
      <c r="U1013" s="585"/>
      <c r="V1013" s="224"/>
      <c r="W1013" s="224"/>
      <c r="X1013" s="9"/>
      <c r="Y1013" s="9"/>
      <c r="Z1013" s="9"/>
    </row>
    <row r="1014">
      <c r="A1014" s="585"/>
      <c r="B1014" s="585"/>
      <c r="C1014" s="585"/>
      <c r="D1014" s="585"/>
      <c r="E1014" s="585"/>
      <c r="F1014" s="585"/>
      <c r="G1014" s="585"/>
      <c r="H1014" s="585"/>
      <c r="I1014" s="585"/>
      <c r="J1014" s="585"/>
      <c r="K1014" s="585"/>
      <c r="L1014" s="585"/>
      <c r="M1014" s="585"/>
      <c r="N1014" s="585"/>
      <c r="O1014" s="585"/>
      <c r="P1014" s="585"/>
      <c r="Q1014" s="585"/>
      <c r="R1014" s="585"/>
      <c r="S1014" s="585"/>
      <c r="T1014" s="585"/>
      <c r="U1014" s="585"/>
      <c r="V1014" s="224"/>
      <c r="W1014" s="224"/>
      <c r="X1014" s="9"/>
      <c r="Y1014" s="9"/>
      <c r="Z1014" s="9"/>
    </row>
    <row r="1015">
      <c r="A1015" s="585"/>
      <c r="B1015" s="585"/>
      <c r="C1015" s="585"/>
      <c r="D1015" s="585"/>
      <c r="E1015" s="585"/>
      <c r="F1015" s="585"/>
      <c r="G1015" s="585"/>
      <c r="H1015" s="585"/>
      <c r="I1015" s="585"/>
      <c r="J1015" s="585"/>
      <c r="K1015" s="585"/>
      <c r="L1015" s="585"/>
      <c r="M1015" s="585"/>
      <c r="N1015" s="585"/>
      <c r="O1015" s="585"/>
      <c r="P1015" s="585"/>
      <c r="Q1015" s="585"/>
      <c r="R1015" s="585"/>
      <c r="S1015" s="585"/>
      <c r="T1015" s="585"/>
      <c r="U1015" s="585"/>
      <c r="V1015" s="224"/>
      <c r="W1015" s="224"/>
      <c r="X1015" s="9"/>
      <c r="Y1015" s="9"/>
      <c r="Z1015" s="9"/>
    </row>
    <row r="1016">
      <c r="A1016" s="585"/>
      <c r="B1016" s="585"/>
      <c r="C1016" s="585"/>
      <c r="D1016" s="585"/>
      <c r="E1016" s="585"/>
      <c r="F1016" s="585"/>
      <c r="G1016" s="585"/>
      <c r="H1016" s="585"/>
      <c r="I1016" s="585"/>
      <c r="J1016" s="585"/>
      <c r="K1016" s="585"/>
      <c r="L1016" s="585"/>
      <c r="M1016" s="585"/>
      <c r="N1016" s="585"/>
      <c r="O1016" s="585"/>
      <c r="P1016" s="585"/>
      <c r="Q1016" s="585"/>
      <c r="R1016" s="585"/>
      <c r="S1016" s="585"/>
      <c r="T1016" s="585"/>
      <c r="U1016" s="585"/>
      <c r="V1016" s="224"/>
      <c r="W1016" s="224"/>
      <c r="X1016" s="9"/>
      <c r="Y1016" s="9"/>
      <c r="Z1016" s="9"/>
    </row>
    <row r="1017">
      <c r="A1017" s="585"/>
      <c r="B1017" s="585"/>
      <c r="C1017" s="585"/>
      <c r="D1017" s="585"/>
      <c r="E1017" s="585"/>
      <c r="F1017" s="585"/>
      <c r="G1017" s="585"/>
      <c r="H1017" s="585"/>
      <c r="I1017" s="585"/>
      <c r="J1017" s="585"/>
      <c r="K1017" s="585"/>
      <c r="L1017" s="585"/>
      <c r="M1017" s="585"/>
      <c r="N1017" s="585"/>
      <c r="O1017" s="585"/>
      <c r="P1017" s="585"/>
      <c r="Q1017" s="585"/>
      <c r="R1017" s="585"/>
      <c r="S1017" s="585"/>
      <c r="T1017" s="585"/>
      <c r="U1017" s="585"/>
      <c r="V1017" s="224"/>
      <c r="W1017" s="224"/>
      <c r="X1017" s="9"/>
      <c r="Y1017" s="9"/>
      <c r="Z1017" s="9"/>
    </row>
    <row r="1018">
      <c r="A1018" s="585"/>
      <c r="B1018" s="585"/>
      <c r="C1018" s="585"/>
      <c r="D1018" s="585"/>
      <c r="E1018" s="585"/>
      <c r="F1018" s="585"/>
      <c r="G1018" s="585"/>
      <c r="H1018" s="585"/>
      <c r="I1018" s="585"/>
      <c r="J1018" s="585"/>
      <c r="K1018" s="585"/>
      <c r="L1018" s="585"/>
      <c r="M1018" s="585"/>
      <c r="N1018" s="585"/>
      <c r="O1018" s="585"/>
      <c r="P1018" s="585"/>
      <c r="Q1018" s="585"/>
      <c r="R1018" s="585"/>
      <c r="S1018" s="585"/>
      <c r="T1018" s="585"/>
      <c r="U1018" s="585"/>
      <c r="V1018" s="224"/>
      <c r="W1018" s="224"/>
      <c r="X1018" s="9"/>
      <c r="Y1018" s="9"/>
      <c r="Z1018" s="9"/>
    </row>
    <row r="1019">
      <c r="A1019" s="585"/>
      <c r="B1019" s="585"/>
      <c r="C1019" s="585"/>
      <c r="D1019" s="585"/>
      <c r="E1019" s="585"/>
      <c r="F1019" s="585"/>
      <c r="G1019" s="585"/>
      <c r="H1019" s="585"/>
      <c r="I1019" s="585"/>
      <c r="J1019" s="585"/>
      <c r="K1019" s="585"/>
      <c r="L1019" s="585"/>
      <c r="M1019" s="585"/>
      <c r="N1019" s="585"/>
      <c r="O1019" s="585"/>
      <c r="P1019" s="585"/>
      <c r="Q1019" s="585"/>
      <c r="R1019" s="585"/>
      <c r="S1019" s="585"/>
      <c r="T1019" s="585"/>
      <c r="U1019" s="585"/>
      <c r="V1019" s="224"/>
      <c r="W1019" s="224"/>
      <c r="X1019" s="9"/>
      <c r="Y1019" s="9"/>
      <c r="Z1019" s="9"/>
    </row>
    <row r="1020">
      <c r="A1020" s="585"/>
      <c r="B1020" s="585"/>
      <c r="C1020" s="585"/>
      <c r="D1020" s="585"/>
      <c r="E1020" s="585"/>
      <c r="F1020" s="585"/>
      <c r="G1020" s="585"/>
      <c r="H1020" s="585"/>
      <c r="I1020" s="585"/>
      <c r="J1020" s="585"/>
      <c r="K1020" s="585"/>
      <c r="L1020" s="585"/>
      <c r="M1020" s="585"/>
      <c r="N1020" s="585"/>
      <c r="O1020" s="585"/>
      <c r="P1020" s="585"/>
      <c r="Q1020" s="585"/>
      <c r="R1020" s="585"/>
      <c r="S1020" s="585"/>
      <c r="T1020" s="585"/>
      <c r="U1020" s="585"/>
      <c r="V1020" s="224"/>
      <c r="W1020" s="224"/>
      <c r="X1020" s="9"/>
      <c r="Y1020" s="9"/>
      <c r="Z1020" s="9"/>
    </row>
    <row r="1021">
      <c r="A1021" s="585"/>
      <c r="B1021" s="585"/>
      <c r="C1021" s="585"/>
      <c r="D1021" s="585"/>
      <c r="E1021" s="585"/>
      <c r="F1021" s="585"/>
      <c r="G1021" s="585"/>
      <c r="H1021" s="585"/>
      <c r="I1021" s="585"/>
      <c r="J1021" s="585"/>
      <c r="K1021" s="585"/>
      <c r="L1021" s="585"/>
      <c r="M1021" s="585"/>
      <c r="N1021" s="585"/>
      <c r="O1021" s="585"/>
      <c r="P1021" s="585"/>
      <c r="Q1021" s="585"/>
      <c r="R1021" s="585"/>
      <c r="S1021" s="585"/>
      <c r="T1021" s="585"/>
      <c r="U1021" s="585"/>
      <c r="V1021" s="224"/>
      <c r="W1021" s="224"/>
      <c r="X1021" s="9"/>
      <c r="Y1021" s="9"/>
      <c r="Z1021" s="9"/>
    </row>
    <row r="1022">
      <c r="A1022" s="585"/>
      <c r="B1022" s="585"/>
      <c r="C1022" s="585"/>
      <c r="D1022" s="585"/>
      <c r="E1022" s="585"/>
      <c r="F1022" s="585"/>
      <c r="G1022" s="585"/>
      <c r="H1022" s="585"/>
      <c r="I1022" s="585"/>
      <c r="J1022" s="585"/>
      <c r="K1022" s="585"/>
      <c r="L1022" s="585"/>
      <c r="M1022" s="585"/>
      <c r="N1022" s="585"/>
      <c r="O1022" s="585"/>
      <c r="P1022" s="585"/>
      <c r="Q1022" s="585"/>
      <c r="R1022" s="585"/>
      <c r="S1022" s="585"/>
      <c r="T1022" s="585"/>
      <c r="U1022" s="585"/>
      <c r="V1022" s="224"/>
      <c r="W1022" s="224"/>
      <c r="X1022" s="9"/>
      <c r="Y1022" s="9"/>
      <c r="Z1022" s="9"/>
    </row>
    <row r="1023">
      <c r="A1023" s="585"/>
      <c r="B1023" s="585"/>
      <c r="C1023" s="585"/>
      <c r="D1023" s="585"/>
      <c r="E1023" s="585"/>
      <c r="F1023" s="585"/>
      <c r="G1023" s="585"/>
      <c r="H1023" s="585"/>
      <c r="I1023" s="585"/>
      <c r="J1023" s="585"/>
      <c r="K1023" s="585"/>
      <c r="L1023" s="585"/>
      <c r="M1023" s="585"/>
      <c r="N1023" s="585"/>
      <c r="O1023" s="585"/>
      <c r="P1023" s="585"/>
      <c r="Q1023" s="585"/>
      <c r="R1023" s="585"/>
      <c r="S1023" s="585"/>
      <c r="T1023" s="585"/>
      <c r="U1023" s="585"/>
      <c r="V1023" s="224"/>
      <c r="W1023" s="224"/>
      <c r="X1023" s="9"/>
      <c r="Y1023" s="9"/>
      <c r="Z1023" s="9"/>
    </row>
    <row r="1024">
      <c r="A1024" s="585"/>
      <c r="B1024" s="585"/>
      <c r="C1024" s="585"/>
      <c r="D1024" s="585"/>
      <c r="E1024" s="585"/>
      <c r="F1024" s="585"/>
      <c r="G1024" s="585"/>
      <c r="H1024" s="585"/>
      <c r="I1024" s="585"/>
      <c r="J1024" s="585"/>
      <c r="K1024" s="585"/>
      <c r="L1024" s="585"/>
      <c r="M1024" s="585"/>
      <c r="N1024" s="585"/>
      <c r="O1024" s="585"/>
      <c r="P1024" s="585"/>
      <c r="Q1024" s="585"/>
      <c r="R1024" s="585"/>
      <c r="S1024" s="585"/>
      <c r="T1024" s="585"/>
      <c r="U1024" s="585"/>
      <c r="V1024" s="224"/>
      <c r="W1024" s="224"/>
      <c r="X1024" s="9"/>
      <c r="Y1024" s="9"/>
      <c r="Z1024" s="9"/>
    </row>
    <row r="1025">
      <c r="A1025" s="585"/>
      <c r="B1025" s="585"/>
      <c r="C1025" s="585"/>
      <c r="D1025" s="585"/>
      <c r="E1025" s="585"/>
      <c r="F1025" s="585"/>
      <c r="G1025" s="585"/>
      <c r="H1025" s="585"/>
      <c r="I1025" s="585"/>
      <c r="J1025" s="585"/>
      <c r="K1025" s="585"/>
      <c r="L1025" s="585"/>
      <c r="M1025" s="585"/>
      <c r="N1025" s="585"/>
      <c r="O1025" s="585"/>
      <c r="P1025" s="585"/>
      <c r="Q1025" s="585"/>
      <c r="R1025" s="585"/>
      <c r="S1025" s="585"/>
      <c r="T1025" s="585"/>
      <c r="U1025" s="585"/>
      <c r="V1025" s="224"/>
      <c r="W1025" s="224"/>
      <c r="X1025" s="9"/>
      <c r="Y1025" s="9"/>
      <c r="Z1025" s="9"/>
    </row>
    <row r="1026">
      <c r="A1026" s="585"/>
      <c r="B1026" s="585"/>
      <c r="C1026" s="585"/>
      <c r="D1026" s="585"/>
      <c r="E1026" s="585"/>
      <c r="F1026" s="585"/>
      <c r="G1026" s="585"/>
      <c r="H1026" s="585"/>
      <c r="I1026" s="585"/>
      <c r="J1026" s="585"/>
      <c r="K1026" s="585"/>
      <c r="L1026" s="585"/>
      <c r="M1026" s="585"/>
      <c r="N1026" s="585"/>
      <c r="O1026" s="585"/>
      <c r="P1026" s="585"/>
      <c r="Q1026" s="585"/>
      <c r="R1026" s="585"/>
      <c r="S1026" s="585"/>
      <c r="T1026" s="585"/>
      <c r="U1026" s="585"/>
      <c r="V1026" s="224"/>
      <c r="W1026" s="224"/>
      <c r="X1026" s="9"/>
      <c r="Y1026" s="9"/>
      <c r="Z1026" s="9"/>
    </row>
    <row r="1027">
      <c r="A1027" s="585"/>
      <c r="B1027" s="585"/>
      <c r="C1027" s="585"/>
      <c r="D1027" s="585"/>
      <c r="E1027" s="585"/>
      <c r="F1027" s="585"/>
      <c r="G1027" s="585"/>
      <c r="H1027" s="585"/>
      <c r="I1027" s="585"/>
      <c r="J1027" s="585"/>
      <c r="K1027" s="585"/>
      <c r="L1027" s="585"/>
      <c r="M1027" s="585"/>
      <c r="N1027" s="585"/>
      <c r="O1027" s="585"/>
      <c r="P1027" s="585"/>
      <c r="Q1027" s="585"/>
      <c r="R1027" s="585"/>
      <c r="S1027" s="585"/>
      <c r="T1027" s="585"/>
      <c r="U1027" s="585"/>
      <c r="V1027" s="224"/>
      <c r="W1027" s="224"/>
      <c r="X1027" s="9"/>
      <c r="Y1027" s="9"/>
      <c r="Z1027" s="9"/>
    </row>
    <row r="1028">
      <c r="A1028" s="585"/>
      <c r="B1028" s="585"/>
      <c r="C1028" s="585"/>
      <c r="D1028" s="585"/>
      <c r="E1028" s="585"/>
      <c r="F1028" s="585"/>
      <c r="G1028" s="585"/>
      <c r="H1028" s="585"/>
      <c r="I1028" s="585"/>
      <c r="J1028" s="585"/>
      <c r="K1028" s="585"/>
      <c r="L1028" s="585"/>
      <c r="M1028" s="585"/>
      <c r="N1028" s="585"/>
      <c r="O1028" s="585"/>
      <c r="P1028" s="585"/>
      <c r="Q1028" s="585"/>
      <c r="R1028" s="585"/>
      <c r="S1028" s="585"/>
      <c r="T1028" s="585"/>
      <c r="U1028" s="585"/>
      <c r="V1028" s="224"/>
      <c r="W1028" s="224"/>
      <c r="X1028" s="9"/>
      <c r="Y1028" s="9"/>
      <c r="Z1028" s="9"/>
    </row>
    <row r="1029">
      <c r="A1029" s="585"/>
      <c r="B1029" s="585"/>
      <c r="C1029" s="585"/>
      <c r="D1029" s="585"/>
      <c r="E1029" s="585"/>
      <c r="F1029" s="585"/>
      <c r="G1029" s="585"/>
      <c r="H1029" s="585"/>
      <c r="I1029" s="585"/>
      <c r="J1029" s="585"/>
      <c r="K1029" s="585"/>
      <c r="L1029" s="585"/>
      <c r="M1029" s="585"/>
      <c r="N1029" s="585"/>
      <c r="O1029" s="585"/>
      <c r="P1029" s="585"/>
      <c r="Q1029" s="585"/>
      <c r="R1029" s="585"/>
      <c r="S1029" s="585"/>
      <c r="T1029" s="585"/>
      <c r="U1029" s="585"/>
      <c r="V1029" s="224"/>
      <c r="W1029" s="224"/>
      <c r="X1029" s="9"/>
      <c r="Y1029" s="9"/>
      <c r="Z1029" s="9"/>
    </row>
    <row r="1030">
      <c r="A1030" s="585"/>
      <c r="B1030" s="585"/>
      <c r="C1030" s="585"/>
      <c r="D1030" s="585"/>
      <c r="E1030" s="585"/>
      <c r="F1030" s="585"/>
      <c r="G1030" s="585"/>
      <c r="H1030" s="585"/>
      <c r="I1030" s="585"/>
      <c r="J1030" s="585"/>
      <c r="K1030" s="585"/>
      <c r="L1030" s="585"/>
      <c r="M1030" s="585"/>
      <c r="N1030" s="585"/>
      <c r="O1030" s="585"/>
      <c r="P1030" s="585"/>
      <c r="Q1030" s="585"/>
      <c r="R1030" s="585"/>
      <c r="S1030" s="585"/>
      <c r="T1030" s="585"/>
      <c r="U1030" s="585"/>
      <c r="V1030" s="224"/>
      <c r="W1030" s="224"/>
      <c r="X1030" s="9"/>
      <c r="Y1030" s="9"/>
      <c r="Z1030" s="9"/>
    </row>
    <row r="1031">
      <c r="A1031" s="585"/>
      <c r="B1031" s="585"/>
      <c r="C1031" s="585"/>
      <c r="D1031" s="585"/>
      <c r="E1031" s="585"/>
      <c r="F1031" s="585"/>
      <c r="G1031" s="585"/>
      <c r="H1031" s="585"/>
      <c r="I1031" s="585"/>
      <c r="J1031" s="585"/>
      <c r="K1031" s="585"/>
      <c r="L1031" s="585"/>
      <c r="M1031" s="585"/>
      <c r="N1031" s="585"/>
      <c r="O1031" s="585"/>
      <c r="P1031" s="585"/>
      <c r="Q1031" s="585"/>
      <c r="R1031" s="585"/>
      <c r="S1031" s="585"/>
      <c r="T1031" s="585"/>
      <c r="U1031" s="585"/>
      <c r="V1031" s="224"/>
      <c r="W1031" s="224"/>
      <c r="X1031" s="9"/>
      <c r="Y1031" s="9"/>
      <c r="Z1031" s="9"/>
    </row>
    <row r="1032">
      <c r="A1032" s="585"/>
      <c r="B1032" s="585"/>
      <c r="C1032" s="585"/>
      <c r="D1032" s="585"/>
      <c r="E1032" s="585"/>
      <c r="F1032" s="585"/>
      <c r="G1032" s="585"/>
      <c r="H1032" s="585"/>
      <c r="I1032" s="585"/>
      <c r="J1032" s="585"/>
      <c r="K1032" s="585"/>
      <c r="L1032" s="585"/>
      <c r="M1032" s="585"/>
      <c r="N1032" s="585"/>
      <c r="O1032" s="585"/>
      <c r="P1032" s="585"/>
      <c r="Q1032" s="585"/>
      <c r="R1032" s="585"/>
      <c r="S1032" s="585"/>
      <c r="T1032" s="585"/>
      <c r="U1032" s="585"/>
      <c r="V1032" s="224"/>
      <c r="W1032" s="224"/>
      <c r="X1032" s="9"/>
      <c r="Y1032" s="9"/>
      <c r="Z1032" s="9"/>
    </row>
    <row r="1033">
      <c r="A1033" s="585"/>
      <c r="B1033" s="585"/>
      <c r="C1033" s="585"/>
      <c r="D1033" s="585"/>
      <c r="E1033" s="585"/>
      <c r="F1033" s="585"/>
      <c r="G1033" s="585"/>
      <c r="H1033" s="585"/>
      <c r="I1033" s="585"/>
      <c r="J1033" s="585"/>
      <c r="K1033" s="585"/>
      <c r="L1033" s="585"/>
      <c r="M1033" s="585"/>
      <c r="N1033" s="585"/>
      <c r="O1033" s="585"/>
      <c r="P1033" s="585"/>
      <c r="Q1033" s="585"/>
      <c r="R1033" s="585"/>
      <c r="S1033" s="585"/>
      <c r="T1033" s="585"/>
      <c r="U1033" s="585"/>
      <c r="V1033" s="224"/>
      <c r="W1033" s="224"/>
      <c r="X1033" s="9"/>
      <c r="Y1033" s="9"/>
      <c r="Z1033" s="9"/>
    </row>
    <row r="1034">
      <c r="A1034" s="585"/>
      <c r="B1034" s="585"/>
      <c r="C1034" s="585"/>
      <c r="D1034" s="585"/>
      <c r="E1034" s="585"/>
      <c r="F1034" s="585"/>
      <c r="G1034" s="585"/>
      <c r="H1034" s="585"/>
      <c r="I1034" s="585"/>
      <c r="J1034" s="585"/>
      <c r="K1034" s="585"/>
      <c r="L1034" s="585"/>
      <c r="M1034" s="585"/>
      <c r="N1034" s="585"/>
      <c r="O1034" s="585"/>
      <c r="P1034" s="585"/>
      <c r="Q1034" s="585"/>
      <c r="R1034" s="585"/>
      <c r="S1034" s="585"/>
      <c r="T1034" s="585"/>
      <c r="U1034" s="585"/>
      <c r="V1034" s="224"/>
      <c r="W1034" s="224"/>
      <c r="X1034" s="9"/>
      <c r="Y1034" s="9"/>
      <c r="Z1034" s="9"/>
    </row>
    <row r="1035">
      <c r="A1035" s="585"/>
      <c r="B1035" s="585"/>
      <c r="C1035" s="585"/>
      <c r="D1035" s="585"/>
      <c r="E1035" s="585"/>
      <c r="F1035" s="585"/>
      <c r="G1035" s="585"/>
      <c r="H1035" s="585"/>
      <c r="I1035" s="585"/>
      <c r="J1035" s="585"/>
      <c r="K1035" s="585"/>
      <c r="L1035" s="585"/>
      <c r="M1035" s="585"/>
      <c r="N1035" s="585"/>
      <c r="O1035" s="585"/>
      <c r="P1035" s="585"/>
      <c r="Q1035" s="585"/>
      <c r="R1035" s="585"/>
      <c r="S1035" s="585"/>
      <c r="T1035" s="585"/>
      <c r="U1035" s="585"/>
      <c r="V1035" s="224"/>
      <c r="W1035" s="224"/>
      <c r="X1035" s="9"/>
      <c r="Y1035" s="9"/>
      <c r="Z1035" s="9"/>
    </row>
    <row r="1036">
      <c r="A1036" s="585"/>
      <c r="B1036" s="585"/>
      <c r="C1036" s="585"/>
      <c r="D1036" s="585"/>
      <c r="E1036" s="585"/>
      <c r="F1036" s="585"/>
      <c r="G1036" s="585"/>
      <c r="H1036" s="585"/>
      <c r="I1036" s="585"/>
      <c r="J1036" s="585"/>
      <c r="K1036" s="585"/>
      <c r="L1036" s="585"/>
      <c r="M1036" s="585"/>
      <c r="N1036" s="585"/>
      <c r="O1036" s="585"/>
      <c r="P1036" s="585"/>
      <c r="Q1036" s="585"/>
      <c r="R1036" s="585"/>
      <c r="S1036" s="585"/>
      <c r="T1036" s="585"/>
      <c r="U1036" s="585"/>
      <c r="V1036" s="224"/>
      <c r="W1036" s="224"/>
      <c r="X1036" s="9"/>
      <c r="Y1036" s="9"/>
      <c r="Z1036" s="9"/>
    </row>
    <row r="1037">
      <c r="A1037" s="585"/>
      <c r="B1037" s="585"/>
      <c r="C1037" s="585"/>
      <c r="D1037" s="585"/>
      <c r="E1037" s="585"/>
      <c r="F1037" s="585"/>
      <c r="G1037" s="585"/>
      <c r="H1037" s="585"/>
      <c r="I1037" s="585"/>
      <c r="J1037" s="585"/>
      <c r="K1037" s="585"/>
      <c r="L1037" s="585"/>
      <c r="M1037" s="585"/>
      <c r="N1037" s="585"/>
      <c r="O1037" s="585"/>
      <c r="P1037" s="585"/>
      <c r="Q1037" s="585"/>
      <c r="R1037" s="585"/>
      <c r="S1037" s="585"/>
      <c r="T1037" s="585"/>
      <c r="U1037" s="585"/>
      <c r="V1037" s="224"/>
      <c r="W1037" s="224"/>
      <c r="X1037" s="9"/>
      <c r="Y1037" s="9"/>
      <c r="Z1037" s="9"/>
    </row>
    <row r="1038">
      <c r="A1038" s="585"/>
      <c r="B1038" s="585"/>
      <c r="C1038" s="585"/>
      <c r="D1038" s="585"/>
      <c r="E1038" s="585"/>
      <c r="F1038" s="585"/>
      <c r="G1038" s="585"/>
      <c r="H1038" s="585"/>
      <c r="I1038" s="585"/>
      <c r="J1038" s="585"/>
      <c r="K1038" s="585"/>
      <c r="L1038" s="585"/>
      <c r="M1038" s="585"/>
      <c r="N1038" s="585"/>
      <c r="O1038" s="585"/>
      <c r="P1038" s="585"/>
      <c r="Q1038" s="585"/>
      <c r="R1038" s="585"/>
      <c r="S1038" s="585"/>
      <c r="T1038" s="585"/>
      <c r="U1038" s="585"/>
      <c r="V1038" s="224"/>
      <c r="W1038" s="224"/>
      <c r="X1038" s="9"/>
      <c r="Y1038" s="9"/>
      <c r="Z1038" s="9"/>
    </row>
    <row r="1039">
      <c r="A1039" s="585"/>
      <c r="B1039" s="585"/>
      <c r="C1039" s="585"/>
      <c r="D1039" s="585"/>
      <c r="E1039" s="585"/>
      <c r="F1039" s="585"/>
      <c r="G1039" s="585"/>
      <c r="H1039" s="585"/>
      <c r="I1039" s="585"/>
      <c r="J1039" s="585"/>
      <c r="K1039" s="585"/>
      <c r="L1039" s="585"/>
      <c r="M1039" s="585"/>
      <c r="N1039" s="585"/>
      <c r="O1039" s="585"/>
      <c r="P1039" s="585"/>
      <c r="Q1039" s="585"/>
      <c r="R1039" s="585"/>
      <c r="S1039" s="585"/>
      <c r="T1039" s="585"/>
      <c r="U1039" s="585"/>
      <c r="V1039" s="224"/>
      <c r="W1039" s="224"/>
      <c r="X1039" s="9"/>
      <c r="Y1039" s="9"/>
      <c r="Z1039" s="9"/>
    </row>
    <row r="1040">
      <c r="A1040" s="585"/>
      <c r="B1040" s="585"/>
      <c r="C1040" s="585"/>
      <c r="D1040" s="585"/>
      <c r="E1040" s="585"/>
      <c r="F1040" s="585"/>
      <c r="G1040" s="585"/>
      <c r="H1040" s="585"/>
      <c r="I1040" s="585"/>
      <c r="J1040" s="585"/>
      <c r="K1040" s="585"/>
      <c r="L1040" s="585"/>
      <c r="M1040" s="585"/>
      <c r="N1040" s="585"/>
      <c r="O1040" s="585"/>
      <c r="P1040" s="585"/>
      <c r="Q1040" s="585"/>
      <c r="R1040" s="585"/>
      <c r="S1040" s="585"/>
      <c r="T1040" s="585"/>
      <c r="U1040" s="585"/>
      <c r="V1040" s="224"/>
      <c r="W1040" s="224"/>
      <c r="X1040" s="9"/>
      <c r="Y1040" s="9"/>
      <c r="Z1040" s="9"/>
    </row>
    <row r="1041">
      <c r="A1041" s="585"/>
      <c r="B1041" s="585"/>
      <c r="C1041" s="585"/>
      <c r="D1041" s="585"/>
      <c r="E1041" s="585"/>
      <c r="F1041" s="585"/>
      <c r="G1041" s="585"/>
      <c r="H1041" s="585"/>
      <c r="I1041" s="585"/>
      <c r="J1041" s="585"/>
      <c r="K1041" s="585"/>
      <c r="L1041" s="585"/>
      <c r="M1041" s="585"/>
      <c r="N1041" s="585"/>
      <c r="O1041" s="585"/>
      <c r="P1041" s="585"/>
      <c r="Q1041" s="585"/>
      <c r="R1041" s="585"/>
      <c r="S1041" s="585"/>
      <c r="T1041" s="585"/>
      <c r="U1041" s="585"/>
      <c r="V1041" s="224"/>
      <c r="W1041" s="224"/>
      <c r="X1041" s="9"/>
      <c r="Y1041" s="9"/>
      <c r="Z1041" s="9"/>
    </row>
    <row r="1042">
      <c r="A1042" s="585"/>
      <c r="B1042" s="585"/>
      <c r="C1042" s="585"/>
      <c r="D1042" s="585"/>
      <c r="E1042" s="585"/>
      <c r="F1042" s="585"/>
      <c r="G1042" s="585"/>
      <c r="H1042" s="585"/>
      <c r="I1042" s="585"/>
      <c r="J1042" s="585"/>
      <c r="K1042" s="585"/>
      <c r="L1042" s="585"/>
      <c r="M1042" s="585"/>
      <c r="N1042" s="585"/>
      <c r="O1042" s="585"/>
      <c r="P1042" s="585"/>
      <c r="Q1042" s="585"/>
      <c r="R1042" s="585"/>
      <c r="S1042" s="585"/>
      <c r="T1042" s="585"/>
      <c r="U1042" s="585"/>
      <c r="V1042" s="224"/>
      <c r="W1042" s="224"/>
      <c r="X1042" s="9"/>
      <c r="Y1042" s="9"/>
      <c r="Z1042" s="9"/>
    </row>
    <row r="1043">
      <c r="A1043" s="585"/>
      <c r="B1043" s="585"/>
      <c r="C1043" s="585"/>
      <c r="D1043" s="585"/>
      <c r="E1043" s="585"/>
      <c r="F1043" s="585"/>
      <c r="G1043" s="585"/>
      <c r="H1043" s="585"/>
      <c r="I1043" s="585"/>
      <c r="J1043" s="585"/>
      <c r="K1043" s="585"/>
      <c r="L1043" s="585"/>
      <c r="M1043" s="585"/>
      <c r="N1043" s="585"/>
      <c r="O1043" s="585"/>
      <c r="P1043" s="585"/>
      <c r="Q1043" s="585"/>
      <c r="R1043" s="585"/>
      <c r="S1043" s="585"/>
      <c r="T1043" s="585"/>
      <c r="U1043" s="585"/>
      <c r="V1043" s="224"/>
      <c r="W1043" s="224"/>
      <c r="X1043" s="9"/>
      <c r="Y1043" s="9"/>
      <c r="Z1043" s="9"/>
    </row>
    <row r="1044">
      <c r="A1044" s="585"/>
      <c r="B1044" s="585"/>
      <c r="C1044" s="585"/>
      <c r="D1044" s="585"/>
      <c r="E1044" s="585"/>
      <c r="F1044" s="585"/>
      <c r="G1044" s="585"/>
      <c r="H1044" s="585"/>
      <c r="I1044" s="585"/>
      <c r="J1044" s="585"/>
      <c r="K1044" s="585"/>
      <c r="L1044" s="585"/>
      <c r="M1044" s="585"/>
      <c r="N1044" s="585"/>
      <c r="O1044" s="585"/>
      <c r="P1044" s="585"/>
      <c r="Q1044" s="585"/>
      <c r="R1044" s="585"/>
      <c r="S1044" s="585"/>
      <c r="T1044" s="585"/>
      <c r="U1044" s="585"/>
      <c r="V1044" s="224"/>
      <c r="W1044" s="224"/>
      <c r="X1044" s="9"/>
      <c r="Y1044" s="9"/>
      <c r="Z1044" s="9"/>
    </row>
    <row r="1045">
      <c r="A1045" s="585"/>
      <c r="B1045" s="585"/>
      <c r="C1045" s="585"/>
      <c r="D1045" s="585"/>
      <c r="E1045" s="585"/>
      <c r="F1045" s="585"/>
      <c r="G1045" s="585"/>
      <c r="H1045" s="585"/>
      <c r="I1045" s="585"/>
      <c r="J1045" s="585"/>
      <c r="K1045" s="585"/>
      <c r="L1045" s="585"/>
      <c r="M1045" s="585"/>
      <c r="N1045" s="585"/>
      <c r="O1045" s="585"/>
      <c r="P1045" s="585"/>
      <c r="Q1045" s="585"/>
      <c r="R1045" s="585"/>
      <c r="S1045" s="585"/>
      <c r="T1045" s="585"/>
      <c r="U1045" s="585"/>
      <c r="V1045" s="224"/>
      <c r="W1045" s="224"/>
      <c r="X1045" s="9"/>
      <c r="Y1045" s="9"/>
      <c r="Z1045" s="9"/>
    </row>
    <row r="1046">
      <c r="A1046" s="585"/>
      <c r="B1046" s="585"/>
      <c r="C1046" s="585"/>
      <c r="D1046" s="585"/>
      <c r="E1046" s="585"/>
      <c r="F1046" s="585"/>
      <c r="G1046" s="585"/>
      <c r="H1046" s="585"/>
      <c r="I1046" s="585"/>
      <c r="J1046" s="585"/>
      <c r="K1046" s="585"/>
      <c r="L1046" s="585"/>
      <c r="M1046" s="585"/>
      <c r="N1046" s="585"/>
      <c r="O1046" s="585"/>
      <c r="P1046" s="585"/>
      <c r="Q1046" s="585"/>
      <c r="R1046" s="585"/>
      <c r="S1046" s="585"/>
      <c r="T1046" s="585"/>
      <c r="U1046" s="585"/>
      <c r="V1046" s="224"/>
      <c r="W1046" s="224"/>
      <c r="X1046" s="9"/>
      <c r="Y1046" s="9"/>
      <c r="Z1046" s="9"/>
    </row>
    <row r="1047">
      <c r="A1047" s="585"/>
      <c r="B1047" s="585"/>
      <c r="C1047" s="585"/>
      <c r="D1047" s="585"/>
      <c r="E1047" s="585"/>
      <c r="F1047" s="585"/>
      <c r="G1047" s="585"/>
      <c r="H1047" s="585"/>
      <c r="I1047" s="585"/>
      <c r="J1047" s="585"/>
      <c r="K1047" s="585"/>
      <c r="L1047" s="585"/>
      <c r="M1047" s="585"/>
      <c r="N1047" s="585"/>
      <c r="O1047" s="585"/>
      <c r="P1047" s="585"/>
      <c r="Q1047" s="585"/>
      <c r="R1047" s="585"/>
      <c r="S1047" s="585"/>
      <c r="T1047" s="585"/>
      <c r="U1047" s="585"/>
      <c r="V1047" s="224"/>
      <c r="W1047" s="224"/>
      <c r="X1047" s="9"/>
      <c r="Y1047" s="9"/>
      <c r="Z1047" s="9"/>
    </row>
    <row r="1048">
      <c r="A1048" s="585"/>
      <c r="B1048" s="585"/>
      <c r="C1048" s="585"/>
      <c r="D1048" s="585"/>
      <c r="E1048" s="585"/>
      <c r="F1048" s="585"/>
      <c r="G1048" s="585"/>
      <c r="H1048" s="585"/>
      <c r="I1048" s="585"/>
      <c r="J1048" s="585"/>
      <c r="K1048" s="585"/>
      <c r="L1048" s="585"/>
      <c r="M1048" s="585"/>
      <c r="N1048" s="585"/>
      <c r="O1048" s="585"/>
      <c r="P1048" s="585"/>
      <c r="Q1048" s="585"/>
      <c r="R1048" s="585"/>
      <c r="S1048" s="585"/>
      <c r="T1048" s="585"/>
      <c r="U1048" s="585"/>
      <c r="V1048" s="224"/>
      <c r="W1048" s="224"/>
      <c r="X1048" s="9"/>
      <c r="Y1048" s="9"/>
      <c r="Z1048" s="9"/>
    </row>
    <row r="1049">
      <c r="A1049" s="585"/>
      <c r="B1049" s="585"/>
      <c r="C1049" s="585"/>
      <c r="D1049" s="585"/>
      <c r="E1049" s="585"/>
      <c r="F1049" s="585"/>
      <c r="G1049" s="585"/>
      <c r="H1049" s="585"/>
      <c r="I1049" s="585"/>
      <c r="J1049" s="585"/>
      <c r="K1049" s="585"/>
      <c r="L1049" s="585"/>
      <c r="M1049" s="585"/>
      <c r="N1049" s="585"/>
      <c r="O1049" s="585"/>
      <c r="P1049" s="585"/>
      <c r="Q1049" s="585"/>
      <c r="R1049" s="585"/>
      <c r="S1049" s="585"/>
      <c r="T1049" s="585"/>
      <c r="U1049" s="585"/>
      <c r="V1049" s="224"/>
      <c r="W1049" s="224"/>
      <c r="X1049" s="9"/>
      <c r="Y1049" s="9"/>
      <c r="Z1049" s="9"/>
    </row>
    <row r="1050">
      <c r="A1050" s="585"/>
      <c r="B1050" s="585"/>
      <c r="C1050" s="585"/>
      <c r="D1050" s="585"/>
      <c r="E1050" s="585"/>
      <c r="F1050" s="585"/>
      <c r="G1050" s="585"/>
      <c r="H1050" s="585"/>
      <c r="I1050" s="585"/>
      <c r="J1050" s="585"/>
      <c r="K1050" s="585"/>
      <c r="L1050" s="585"/>
      <c r="M1050" s="585"/>
      <c r="N1050" s="585"/>
      <c r="O1050" s="585"/>
      <c r="P1050" s="585"/>
      <c r="Q1050" s="585"/>
      <c r="R1050" s="585"/>
      <c r="S1050" s="585"/>
      <c r="T1050" s="585"/>
      <c r="U1050" s="585"/>
      <c r="V1050" s="224"/>
      <c r="W1050" s="224"/>
      <c r="X1050" s="9"/>
      <c r="Y1050" s="9"/>
      <c r="Z1050" s="9"/>
    </row>
    <row r="1051">
      <c r="A1051" s="585"/>
      <c r="B1051" s="585"/>
      <c r="C1051" s="585"/>
      <c r="D1051" s="585"/>
      <c r="E1051" s="585"/>
      <c r="F1051" s="585"/>
      <c r="G1051" s="585"/>
      <c r="H1051" s="585"/>
      <c r="I1051" s="585"/>
      <c r="J1051" s="585"/>
      <c r="K1051" s="585"/>
      <c r="L1051" s="585"/>
      <c r="M1051" s="585"/>
      <c r="N1051" s="585"/>
      <c r="O1051" s="585"/>
      <c r="P1051" s="585"/>
      <c r="Q1051" s="585"/>
      <c r="R1051" s="585"/>
      <c r="S1051" s="585"/>
      <c r="T1051" s="585"/>
      <c r="U1051" s="585"/>
      <c r="V1051" s="224"/>
      <c r="W1051" s="224"/>
      <c r="X1051" s="9"/>
      <c r="Y1051" s="9"/>
      <c r="Z1051" s="9"/>
    </row>
    <row r="1052">
      <c r="A1052" s="585"/>
      <c r="B1052" s="585"/>
      <c r="C1052" s="585"/>
      <c r="D1052" s="585"/>
      <c r="E1052" s="585"/>
      <c r="F1052" s="585"/>
      <c r="G1052" s="585"/>
      <c r="H1052" s="585"/>
      <c r="I1052" s="585"/>
      <c r="J1052" s="585"/>
      <c r="K1052" s="585"/>
      <c r="L1052" s="585"/>
      <c r="M1052" s="585"/>
      <c r="N1052" s="585"/>
      <c r="O1052" s="585"/>
      <c r="P1052" s="585"/>
      <c r="Q1052" s="585"/>
      <c r="R1052" s="585"/>
      <c r="S1052" s="585"/>
      <c r="T1052" s="585"/>
      <c r="U1052" s="585"/>
      <c r="V1052" s="224"/>
      <c r="W1052" s="224"/>
      <c r="X1052" s="9"/>
      <c r="Y1052" s="9"/>
      <c r="Z1052" s="9"/>
    </row>
    <row r="1053">
      <c r="A1053" s="585"/>
      <c r="B1053" s="585"/>
      <c r="C1053" s="585"/>
      <c r="D1053" s="585"/>
      <c r="E1053" s="585"/>
      <c r="F1053" s="585"/>
      <c r="G1053" s="585"/>
      <c r="H1053" s="585"/>
      <c r="I1053" s="585"/>
      <c r="J1053" s="585"/>
      <c r="K1053" s="585"/>
      <c r="L1053" s="585"/>
      <c r="M1053" s="585"/>
      <c r="N1053" s="585"/>
      <c r="O1053" s="585"/>
      <c r="P1053" s="585"/>
      <c r="Q1053" s="585"/>
      <c r="R1053" s="585"/>
      <c r="S1053" s="585"/>
      <c r="T1053" s="585"/>
      <c r="U1053" s="585"/>
      <c r="V1053" s="224"/>
      <c r="W1053" s="224"/>
      <c r="X1053" s="9"/>
      <c r="Y1053" s="9"/>
      <c r="Z1053" s="9"/>
    </row>
    <row r="1054">
      <c r="A1054" s="585"/>
      <c r="B1054" s="585"/>
      <c r="C1054" s="585"/>
      <c r="D1054" s="585"/>
      <c r="E1054" s="585"/>
      <c r="F1054" s="585"/>
      <c r="G1054" s="585"/>
      <c r="H1054" s="585"/>
      <c r="I1054" s="585"/>
      <c r="J1054" s="585"/>
      <c r="K1054" s="585"/>
      <c r="L1054" s="585"/>
      <c r="M1054" s="585"/>
      <c r="N1054" s="585"/>
      <c r="O1054" s="585"/>
      <c r="P1054" s="585"/>
      <c r="Q1054" s="585"/>
      <c r="R1054" s="585"/>
      <c r="S1054" s="585"/>
      <c r="T1054" s="585"/>
      <c r="U1054" s="585"/>
      <c r="V1054" s="224"/>
      <c r="W1054" s="224"/>
      <c r="X1054" s="9"/>
      <c r="Y1054" s="9"/>
      <c r="Z1054" s="9"/>
    </row>
    <row r="1055">
      <c r="A1055" s="585"/>
      <c r="B1055" s="585"/>
      <c r="C1055" s="585"/>
      <c r="D1055" s="585"/>
      <c r="E1055" s="585"/>
      <c r="F1055" s="585"/>
      <c r="G1055" s="585"/>
      <c r="H1055" s="585"/>
      <c r="I1055" s="585"/>
      <c r="J1055" s="585"/>
      <c r="K1055" s="585"/>
      <c r="L1055" s="585"/>
      <c r="M1055" s="585"/>
      <c r="N1055" s="585"/>
      <c r="O1055" s="585"/>
      <c r="P1055" s="585"/>
      <c r="Q1055" s="585"/>
      <c r="R1055" s="585"/>
      <c r="S1055" s="585"/>
      <c r="T1055" s="585"/>
      <c r="U1055" s="585"/>
      <c r="V1055" s="224"/>
      <c r="W1055" s="224"/>
      <c r="X1055" s="9"/>
      <c r="Y1055" s="9"/>
      <c r="Z1055" s="9"/>
    </row>
    <row r="1056">
      <c r="A1056" s="585"/>
      <c r="B1056" s="585"/>
      <c r="C1056" s="585"/>
      <c r="D1056" s="585"/>
      <c r="E1056" s="585"/>
      <c r="F1056" s="585"/>
      <c r="G1056" s="585"/>
      <c r="H1056" s="585"/>
      <c r="I1056" s="585"/>
      <c r="J1056" s="585"/>
      <c r="K1056" s="585"/>
      <c r="L1056" s="585"/>
      <c r="M1056" s="585"/>
      <c r="N1056" s="585"/>
      <c r="O1056" s="585"/>
      <c r="P1056" s="585"/>
      <c r="Q1056" s="585"/>
      <c r="R1056" s="585"/>
      <c r="S1056" s="585"/>
      <c r="T1056" s="585"/>
      <c r="U1056" s="585"/>
      <c r="V1056" s="224"/>
      <c r="W1056" s="224"/>
      <c r="X1056" s="9"/>
      <c r="Y1056" s="9"/>
      <c r="Z1056" s="9"/>
    </row>
    <row r="1057">
      <c r="A1057" s="585"/>
      <c r="B1057" s="585"/>
      <c r="C1057" s="585"/>
      <c r="D1057" s="585"/>
      <c r="E1057" s="585"/>
      <c r="F1057" s="585"/>
      <c r="G1057" s="585"/>
      <c r="H1057" s="585"/>
      <c r="I1057" s="585"/>
      <c r="J1057" s="585"/>
      <c r="K1057" s="585"/>
      <c r="L1057" s="585"/>
      <c r="M1057" s="585"/>
      <c r="N1057" s="585"/>
      <c r="O1057" s="585"/>
      <c r="P1057" s="585"/>
      <c r="Q1057" s="585"/>
      <c r="R1057" s="585"/>
      <c r="S1057" s="585"/>
      <c r="T1057" s="585"/>
      <c r="U1057" s="585"/>
      <c r="V1057" s="224"/>
      <c r="W1057" s="224"/>
      <c r="X1057" s="9"/>
      <c r="Y1057" s="9"/>
      <c r="Z1057" s="9"/>
    </row>
    <row r="1058">
      <c r="A1058" s="585"/>
      <c r="B1058" s="585"/>
      <c r="C1058" s="585"/>
      <c r="D1058" s="585"/>
      <c r="E1058" s="585"/>
      <c r="F1058" s="585"/>
      <c r="G1058" s="585"/>
      <c r="H1058" s="585"/>
      <c r="I1058" s="585"/>
      <c r="J1058" s="585"/>
      <c r="K1058" s="585"/>
      <c r="L1058" s="585"/>
      <c r="M1058" s="585"/>
      <c r="N1058" s="585"/>
      <c r="O1058" s="585"/>
      <c r="P1058" s="585"/>
      <c r="Q1058" s="585"/>
      <c r="R1058" s="585"/>
      <c r="S1058" s="585"/>
      <c r="T1058" s="585"/>
      <c r="U1058" s="585"/>
      <c r="V1058" s="224"/>
      <c r="W1058" s="224"/>
      <c r="X1058" s="9"/>
      <c r="Y1058" s="9"/>
      <c r="Z1058" s="9"/>
    </row>
    <row r="1059">
      <c r="A1059" s="585"/>
      <c r="B1059" s="585"/>
      <c r="C1059" s="585"/>
      <c r="D1059" s="585"/>
      <c r="E1059" s="585"/>
      <c r="F1059" s="585"/>
      <c r="G1059" s="585"/>
      <c r="H1059" s="585"/>
      <c r="I1059" s="585"/>
      <c r="J1059" s="585"/>
      <c r="K1059" s="585"/>
      <c r="L1059" s="585"/>
      <c r="M1059" s="585"/>
      <c r="N1059" s="585"/>
      <c r="O1059" s="585"/>
      <c r="P1059" s="585"/>
      <c r="Q1059" s="585"/>
      <c r="R1059" s="585"/>
      <c r="S1059" s="585"/>
      <c r="T1059" s="585"/>
      <c r="U1059" s="585"/>
      <c r="V1059" s="224"/>
      <c r="W1059" s="224"/>
      <c r="X1059" s="9"/>
      <c r="Y1059" s="9"/>
      <c r="Z1059" s="9"/>
    </row>
    <row r="1060">
      <c r="A1060" s="585"/>
      <c r="B1060" s="585"/>
      <c r="C1060" s="585"/>
      <c r="D1060" s="585"/>
      <c r="E1060" s="585"/>
      <c r="F1060" s="585"/>
      <c r="G1060" s="585"/>
      <c r="H1060" s="585"/>
      <c r="I1060" s="585"/>
      <c r="J1060" s="585"/>
      <c r="K1060" s="585"/>
      <c r="L1060" s="585"/>
      <c r="M1060" s="585"/>
      <c r="N1060" s="585"/>
      <c r="O1060" s="585"/>
      <c r="P1060" s="585"/>
      <c r="Q1060" s="585"/>
      <c r="R1060" s="585"/>
      <c r="S1060" s="585"/>
      <c r="T1060" s="585"/>
      <c r="U1060" s="585"/>
      <c r="V1060" s="224"/>
      <c r="W1060" s="224"/>
      <c r="X1060" s="9"/>
      <c r="Y1060" s="9"/>
      <c r="Z1060" s="9"/>
    </row>
    <row r="1061">
      <c r="A1061" s="585"/>
      <c r="B1061" s="585"/>
      <c r="C1061" s="585"/>
      <c r="D1061" s="585"/>
      <c r="E1061" s="585"/>
      <c r="F1061" s="585"/>
      <c r="G1061" s="585"/>
      <c r="H1061" s="585"/>
      <c r="I1061" s="585"/>
      <c r="J1061" s="585"/>
      <c r="K1061" s="585"/>
      <c r="L1061" s="585"/>
      <c r="M1061" s="585"/>
      <c r="N1061" s="585"/>
      <c r="O1061" s="585"/>
      <c r="P1061" s="585"/>
      <c r="Q1061" s="585"/>
      <c r="R1061" s="585"/>
      <c r="S1061" s="585"/>
      <c r="T1061" s="585"/>
      <c r="U1061" s="585"/>
      <c r="V1061" s="224"/>
      <c r="W1061" s="224"/>
      <c r="X1061" s="9"/>
      <c r="Y1061" s="9"/>
      <c r="Z1061" s="9"/>
    </row>
    <row r="1062">
      <c r="A1062" s="585"/>
      <c r="B1062" s="585"/>
      <c r="C1062" s="585"/>
      <c r="D1062" s="585"/>
      <c r="E1062" s="585"/>
      <c r="F1062" s="585"/>
      <c r="G1062" s="585"/>
      <c r="H1062" s="585"/>
      <c r="I1062" s="585"/>
      <c r="J1062" s="585"/>
      <c r="K1062" s="585"/>
      <c r="L1062" s="585"/>
      <c r="M1062" s="585"/>
      <c r="N1062" s="585"/>
      <c r="O1062" s="585"/>
      <c r="P1062" s="585"/>
      <c r="Q1062" s="585"/>
      <c r="R1062" s="585"/>
      <c r="S1062" s="585"/>
      <c r="T1062" s="585"/>
      <c r="U1062" s="585"/>
      <c r="V1062" s="224"/>
      <c r="W1062" s="224"/>
      <c r="X1062" s="9"/>
      <c r="Y1062" s="9"/>
      <c r="Z1062" s="9"/>
    </row>
    <row r="1063">
      <c r="A1063" s="585"/>
      <c r="B1063" s="585"/>
      <c r="C1063" s="585"/>
      <c r="D1063" s="585"/>
      <c r="E1063" s="585"/>
      <c r="F1063" s="585"/>
      <c r="G1063" s="585"/>
      <c r="H1063" s="585"/>
      <c r="I1063" s="585"/>
      <c r="J1063" s="585"/>
      <c r="K1063" s="585"/>
      <c r="L1063" s="585"/>
      <c r="M1063" s="585"/>
      <c r="N1063" s="585"/>
      <c r="O1063" s="585"/>
      <c r="P1063" s="585"/>
      <c r="Q1063" s="585"/>
      <c r="R1063" s="585"/>
      <c r="S1063" s="585"/>
      <c r="T1063" s="585"/>
      <c r="U1063" s="585"/>
      <c r="V1063" s="224"/>
      <c r="W1063" s="224"/>
      <c r="X1063" s="9"/>
      <c r="Y1063" s="9"/>
      <c r="Z1063" s="9"/>
    </row>
    <row r="1064">
      <c r="A1064" s="585"/>
      <c r="B1064" s="585"/>
      <c r="C1064" s="585"/>
      <c r="D1064" s="585"/>
      <c r="E1064" s="585"/>
      <c r="F1064" s="585"/>
      <c r="G1064" s="585"/>
      <c r="H1064" s="585"/>
      <c r="I1064" s="585"/>
      <c r="J1064" s="585"/>
      <c r="K1064" s="585"/>
      <c r="L1064" s="585"/>
      <c r="M1064" s="585"/>
      <c r="N1064" s="585"/>
      <c r="O1064" s="585"/>
      <c r="P1064" s="585"/>
      <c r="Q1064" s="585"/>
      <c r="R1064" s="585"/>
      <c r="S1064" s="585"/>
      <c r="T1064" s="585"/>
      <c r="U1064" s="585"/>
      <c r="V1064" s="224"/>
      <c r="W1064" s="224"/>
      <c r="X1064" s="9"/>
      <c r="Y1064" s="9"/>
      <c r="Z1064" s="9"/>
    </row>
  </sheetData>
  <mergeCells count="341">
    <mergeCell ref="A56:A57"/>
    <mergeCell ref="B58:B59"/>
    <mergeCell ref="C58:C59"/>
    <mergeCell ref="D58:D59"/>
    <mergeCell ref="E58:E59"/>
    <mergeCell ref="F58:F59"/>
    <mergeCell ref="G58:G59"/>
    <mergeCell ref="A58:A59"/>
    <mergeCell ref="B61:B62"/>
    <mergeCell ref="C61:C62"/>
    <mergeCell ref="D61:D62"/>
    <mergeCell ref="E61:E62"/>
    <mergeCell ref="F61:F62"/>
    <mergeCell ref="G61:G62"/>
    <mergeCell ref="A61:A62"/>
    <mergeCell ref="B63:B64"/>
    <mergeCell ref="C63:C64"/>
    <mergeCell ref="D63:D64"/>
    <mergeCell ref="E63:E64"/>
    <mergeCell ref="F63:F64"/>
    <mergeCell ref="G63:G64"/>
    <mergeCell ref="A63:A64"/>
    <mergeCell ref="B65:B66"/>
    <mergeCell ref="C65:C66"/>
    <mergeCell ref="D65:D66"/>
    <mergeCell ref="E65:E66"/>
    <mergeCell ref="F65:F66"/>
    <mergeCell ref="G65:G66"/>
    <mergeCell ref="A65:A66"/>
    <mergeCell ref="B67:B68"/>
    <mergeCell ref="C67:C68"/>
    <mergeCell ref="D67:D68"/>
    <mergeCell ref="E67:E68"/>
    <mergeCell ref="F67:F68"/>
    <mergeCell ref="G67:G68"/>
    <mergeCell ref="A67:A68"/>
    <mergeCell ref="B69:B70"/>
    <mergeCell ref="C69:C70"/>
    <mergeCell ref="D69:D70"/>
    <mergeCell ref="E69:E70"/>
    <mergeCell ref="F69:F70"/>
    <mergeCell ref="G69:G70"/>
    <mergeCell ref="A69:A70"/>
    <mergeCell ref="B71:B72"/>
    <mergeCell ref="C71:C72"/>
    <mergeCell ref="D71:D72"/>
    <mergeCell ref="E71:E72"/>
    <mergeCell ref="F71:F72"/>
    <mergeCell ref="G71:G72"/>
    <mergeCell ref="C100:H100"/>
    <mergeCell ref="C102:H102"/>
    <mergeCell ref="A71:A72"/>
    <mergeCell ref="B73:B74"/>
    <mergeCell ref="C73:C74"/>
    <mergeCell ref="D73:D74"/>
    <mergeCell ref="E73:E74"/>
    <mergeCell ref="F73:F74"/>
    <mergeCell ref="G73:G74"/>
    <mergeCell ref="A23:A24"/>
    <mergeCell ref="B25:B26"/>
    <mergeCell ref="C25:C26"/>
    <mergeCell ref="D25:D26"/>
    <mergeCell ref="E25:E26"/>
    <mergeCell ref="F25:F26"/>
    <mergeCell ref="G25:G26"/>
    <mergeCell ref="A25:A26"/>
    <mergeCell ref="B27:B28"/>
    <mergeCell ref="C27:C28"/>
    <mergeCell ref="D27:D28"/>
    <mergeCell ref="E27:E28"/>
    <mergeCell ref="F27:F28"/>
    <mergeCell ref="G27:G28"/>
    <mergeCell ref="A31:A32"/>
    <mergeCell ref="B31:B32"/>
    <mergeCell ref="C31:C32"/>
    <mergeCell ref="D31:D32"/>
    <mergeCell ref="E31:E32"/>
    <mergeCell ref="F31:F32"/>
    <mergeCell ref="G31:G32"/>
    <mergeCell ref="A33:A34"/>
    <mergeCell ref="B33:B34"/>
    <mergeCell ref="C33:C34"/>
    <mergeCell ref="D33:D34"/>
    <mergeCell ref="E33:E34"/>
    <mergeCell ref="F33:F34"/>
    <mergeCell ref="G33:G34"/>
    <mergeCell ref="A35:A36"/>
    <mergeCell ref="B35:B36"/>
    <mergeCell ref="C35:C36"/>
    <mergeCell ref="D35:D36"/>
    <mergeCell ref="E35:E36"/>
    <mergeCell ref="F35:F36"/>
    <mergeCell ref="G35:G36"/>
    <mergeCell ref="A37:A38"/>
    <mergeCell ref="B37:B38"/>
    <mergeCell ref="C37:C38"/>
    <mergeCell ref="D37:D38"/>
    <mergeCell ref="E37:E38"/>
    <mergeCell ref="F37:F38"/>
    <mergeCell ref="G37:G38"/>
    <mergeCell ref="A73:A74"/>
    <mergeCell ref="A76:A77"/>
    <mergeCell ref="B76:B77"/>
    <mergeCell ref="C76:C77"/>
    <mergeCell ref="D76:D77"/>
    <mergeCell ref="E76:E77"/>
    <mergeCell ref="F76:F77"/>
    <mergeCell ref="G76:G77"/>
    <mergeCell ref="A5:A6"/>
    <mergeCell ref="B5:B6"/>
    <mergeCell ref="E5:E6"/>
    <mergeCell ref="A7:A8"/>
    <mergeCell ref="B7:B8"/>
    <mergeCell ref="A9:A10"/>
    <mergeCell ref="B9:B10"/>
    <mergeCell ref="E7:E8"/>
    <mergeCell ref="E9:E10"/>
    <mergeCell ref="S20:S22"/>
    <mergeCell ref="T20:T22"/>
    <mergeCell ref="U20:U22"/>
    <mergeCell ref="M21:M22"/>
    <mergeCell ref="N21:N22"/>
    <mergeCell ref="A21:B22"/>
    <mergeCell ref="B23:B24"/>
    <mergeCell ref="C23:C24"/>
    <mergeCell ref="D23:D24"/>
    <mergeCell ref="E23:E24"/>
    <mergeCell ref="F23:F24"/>
    <mergeCell ref="G23:G24"/>
    <mergeCell ref="T25:T26"/>
    <mergeCell ref="U25:U26"/>
    <mergeCell ref="Q21:Q22"/>
    <mergeCell ref="R23:R24"/>
    <mergeCell ref="S23:S24"/>
    <mergeCell ref="T23:T24"/>
    <mergeCell ref="U23:U24"/>
    <mergeCell ref="R25:R26"/>
    <mergeCell ref="S25:S26"/>
    <mergeCell ref="A27:A28"/>
    <mergeCell ref="A29:A30"/>
    <mergeCell ref="B29:B30"/>
    <mergeCell ref="C29:C30"/>
    <mergeCell ref="D29:D30"/>
    <mergeCell ref="E29:E30"/>
    <mergeCell ref="F29:F30"/>
    <mergeCell ref="G29:G30"/>
    <mergeCell ref="T33:T34"/>
    <mergeCell ref="U33:U34"/>
    <mergeCell ref="B39:B40"/>
    <mergeCell ref="C39:C40"/>
    <mergeCell ref="D39:D40"/>
    <mergeCell ref="E39:E40"/>
    <mergeCell ref="F39:F40"/>
    <mergeCell ref="G39:G40"/>
    <mergeCell ref="A41:B42"/>
    <mergeCell ref="A39:A40"/>
    <mergeCell ref="B44:B45"/>
    <mergeCell ref="C44:C45"/>
    <mergeCell ref="D44:D45"/>
    <mergeCell ref="E44:E45"/>
    <mergeCell ref="F44:F45"/>
    <mergeCell ref="G44:G45"/>
    <mergeCell ref="A44:A45"/>
    <mergeCell ref="B46:B47"/>
    <mergeCell ref="C46:C47"/>
    <mergeCell ref="D46:D47"/>
    <mergeCell ref="E46:E47"/>
    <mergeCell ref="F46:F47"/>
    <mergeCell ref="G46:G47"/>
    <mergeCell ref="A46:A47"/>
    <mergeCell ref="B48:B49"/>
    <mergeCell ref="C48:C49"/>
    <mergeCell ref="D48:D49"/>
    <mergeCell ref="E48:E49"/>
    <mergeCell ref="F48:F49"/>
    <mergeCell ref="G48:G49"/>
    <mergeCell ref="A48:A49"/>
    <mergeCell ref="B50:B51"/>
    <mergeCell ref="C50:C51"/>
    <mergeCell ref="D50:D51"/>
    <mergeCell ref="E50:E51"/>
    <mergeCell ref="F50:F51"/>
    <mergeCell ref="G50:G51"/>
    <mergeCell ref="A50:A51"/>
    <mergeCell ref="B52:B53"/>
    <mergeCell ref="C52:C53"/>
    <mergeCell ref="D52:D53"/>
    <mergeCell ref="E52:E53"/>
    <mergeCell ref="F52:F53"/>
    <mergeCell ref="G52:G53"/>
    <mergeCell ref="R27:R28"/>
    <mergeCell ref="S27:S28"/>
    <mergeCell ref="T27:T28"/>
    <mergeCell ref="U27:U28"/>
    <mergeCell ref="S29:S30"/>
    <mergeCell ref="T29:T30"/>
    <mergeCell ref="U29:U30"/>
    <mergeCell ref="R29:R30"/>
    <mergeCell ref="R31:R32"/>
    <mergeCell ref="S31:S32"/>
    <mergeCell ref="T31:T32"/>
    <mergeCell ref="U31:U32"/>
    <mergeCell ref="R33:R34"/>
    <mergeCell ref="S33:S34"/>
    <mergeCell ref="R35:R36"/>
    <mergeCell ref="S35:S36"/>
    <mergeCell ref="T35:T36"/>
    <mergeCell ref="U35:U36"/>
    <mergeCell ref="S37:S38"/>
    <mergeCell ref="T37:T38"/>
    <mergeCell ref="U37:U38"/>
    <mergeCell ref="R37:R38"/>
    <mergeCell ref="S39:S40"/>
    <mergeCell ref="T39:T40"/>
    <mergeCell ref="U39:U40"/>
    <mergeCell ref="M41:M42"/>
    <mergeCell ref="N41:N42"/>
    <mergeCell ref="Q41:Q42"/>
    <mergeCell ref="T46:T47"/>
    <mergeCell ref="U46:U47"/>
    <mergeCell ref="R39:R40"/>
    <mergeCell ref="R44:R45"/>
    <mergeCell ref="S44:S45"/>
    <mergeCell ref="T44:T45"/>
    <mergeCell ref="U44:U45"/>
    <mergeCell ref="R46:R47"/>
    <mergeCell ref="S46:S47"/>
    <mergeCell ref="T54:T55"/>
    <mergeCell ref="U54:U55"/>
    <mergeCell ref="A52:A53"/>
    <mergeCell ref="B54:B55"/>
    <mergeCell ref="C54:C55"/>
    <mergeCell ref="D54:D55"/>
    <mergeCell ref="E54:E55"/>
    <mergeCell ref="F54:F55"/>
    <mergeCell ref="G54:G55"/>
    <mergeCell ref="A54:A55"/>
    <mergeCell ref="B56:B57"/>
    <mergeCell ref="C56:C57"/>
    <mergeCell ref="D56:D57"/>
    <mergeCell ref="E56:E57"/>
    <mergeCell ref="F56:F57"/>
    <mergeCell ref="G56:G57"/>
    <mergeCell ref="A78:A79"/>
    <mergeCell ref="B78:B79"/>
    <mergeCell ref="C78:C79"/>
    <mergeCell ref="D78:D79"/>
    <mergeCell ref="E78:E79"/>
    <mergeCell ref="F78:F79"/>
    <mergeCell ref="G78:G79"/>
    <mergeCell ref="A80:A81"/>
    <mergeCell ref="B80:B81"/>
    <mergeCell ref="C80:C81"/>
    <mergeCell ref="D80:D81"/>
    <mergeCell ref="E80:E81"/>
    <mergeCell ref="F80:F81"/>
    <mergeCell ref="G80:G81"/>
    <mergeCell ref="A85:A86"/>
    <mergeCell ref="B85:B86"/>
    <mergeCell ref="C85:C86"/>
    <mergeCell ref="D85:D86"/>
    <mergeCell ref="E85:E86"/>
    <mergeCell ref="F85:F86"/>
    <mergeCell ref="G85:G86"/>
    <mergeCell ref="A87:B88"/>
    <mergeCell ref="A82:A83"/>
    <mergeCell ref="B82:B83"/>
    <mergeCell ref="C82:C83"/>
    <mergeCell ref="D82:D83"/>
    <mergeCell ref="E82:E83"/>
    <mergeCell ref="F82:F83"/>
    <mergeCell ref="G82:G83"/>
    <mergeCell ref="R69:R70"/>
    <mergeCell ref="S69:S70"/>
    <mergeCell ref="T69:T70"/>
    <mergeCell ref="U69:U70"/>
    <mergeCell ref="S71:S72"/>
    <mergeCell ref="T71:T72"/>
    <mergeCell ref="U71:U72"/>
    <mergeCell ref="S78:S79"/>
    <mergeCell ref="T78:T79"/>
    <mergeCell ref="S76:S77"/>
    <mergeCell ref="S80:S81"/>
    <mergeCell ref="T80:T81"/>
    <mergeCell ref="U80:U81"/>
    <mergeCell ref="R71:R72"/>
    <mergeCell ref="R73:R74"/>
    <mergeCell ref="S73:S74"/>
    <mergeCell ref="T73:T74"/>
    <mergeCell ref="U73:U74"/>
    <mergeCell ref="R76:R83"/>
    <mergeCell ref="U78:U79"/>
    <mergeCell ref="U82:U83"/>
    <mergeCell ref="N87:N88"/>
    <mergeCell ref="Q87:Q88"/>
    <mergeCell ref="S82:S83"/>
    <mergeCell ref="T82:T83"/>
    <mergeCell ref="R85:R86"/>
    <mergeCell ref="S85:S86"/>
    <mergeCell ref="T85:T86"/>
    <mergeCell ref="U85:U86"/>
    <mergeCell ref="M87:M88"/>
    <mergeCell ref="R48:R49"/>
    <mergeCell ref="S48:S49"/>
    <mergeCell ref="T48:T49"/>
    <mergeCell ref="U48:U49"/>
    <mergeCell ref="S50:S51"/>
    <mergeCell ref="T50:T51"/>
    <mergeCell ref="U50:U51"/>
    <mergeCell ref="R50:R51"/>
    <mergeCell ref="R52:R53"/>
    <mergeCell ref="S52:S53"/>
    <mergeCell ref="T52:T53"/>
    <mergeCell ref="U52:U53"/>
    <mergeCell ref="R54:R55"/>
    <mergeCell ref="S54:S55"/>
    <mergeCell ref="R56:R57"/>
    <mergeCell ref="S56:S57"/>
    <mergeCell ref="T56:T57"/>
    <mergeCell ref="U56:U57"/>
    <mergeCell ref="S58:S59"/>
    <mergeCell ref="T58:T59"/>
    <mergeCell ref="U58:U59"/>
    <mergeCell ref="R58:R59"/>
    <mergeCell ref="S61:S62"/>
    <mergeCell ref="T61:T62"/>
    <mergeCell ref="U61:U62"/>
    <mergeCell ref="S63:S64"/>
    <mergeCell ref="T63:T64"/>
    <mergeCell ref="U63:U64"/>
    <mergeCell ref="T67:T68"/>
    <mergeCell ref="U67:U68"/>
    <mergeCell ref="R61:R64"/>
    <mergeCell ref="R65:R66"/>
    <mergeCell ref="S65:S66"/>
    <mergeCell ref="T65:T66"/>
    <mergeCell ref="U65:U66"/>
    <mergeCell ref="R67:R68"/>
    <mergeCell ref="S67:S68"/>
    <mergeCell ref="T76:T77"/>
    <mergeCell ref="U76:U77"/>
  </mergeCells>
  <conditionalFormatting sqref="D23:D36 D41:D68 D75:D81 D84:D86">
    <cfRule type="expression" dxfId="0" priority="1">
      <formula>#REF!=TRUE</formula>
    </cfRule>
  </conditionalFormatting>
  <conditionalFormatting sqref="D23:D36 D41:D68 D75:D81 D84:D86">
    <cfRule type="expression" dxfId="1" priority="2">
      <formula>#REF!=TRUE</formula>
    </cfRule>
  </conditionalFormatting>
  <conditionalFormatting sqref="D23:D24 D50:D53 D60:D62 D65:D68 D75 D80:D81 D84 D90:D91 D95 D99 D101">
    <cfRule type="expression" dxfId="0" priority="3">
      <formula>#REF!=TRUE</formula>
    </cfRule>
  </conditionalFormatting>
  <conditionalFormatting sqref="D23:D24 D50:D53 D60:D62 D65:D68 D75 D80:D81 D84 D90:D91 D95 D99 D101">
    <cfRule type="expression" dxfId="1" priority="4">
      <formula>P23=TRUE</formula>
    </cfRule>
  </conditionalFormatting>
  <dataValidations>
    <dataValidation type="list" allowBlank="1" showErrorMessage="1" sqref="G23 G25 G27 G29 G31 G33 G35 G37 G39 G43:G44 G46 G48 G50 G52 G54 G56 G58 G61 G63 G65 G67 G69 G71 G73 G76 G78 G80 G82 G84:G85 G89:G98">
      <formula1>"Hồ Chí Minh,Đồng Nai,Bình Dương,Hải Dương,Hà Nội ,Hải Phòng,Sóc Trăng,Cần Thơ,Mass,Đồng Tháp"</formula1>
    </dataValidation>
    <dataValidation type="list" allowBlank="1" showErrorMessage="1" sqref="U23 U25 U27 U29 U31 U33 U35 U37 U39 U43:U44 U46 U48 U50 U52 U54 U56 U58 U60:U61 U63 U65 U67 U69 U71 U73 U75:U76 U78 U80 U82 U84:U85 U89:U98">
      <formula1>"Confirm,Không phù hợp,Đề xuất thêm"</formula1>
    </dataValidation>
    <dataValidation type="list" allowBlank="1" showErrorMessage="1" sqref="E23 E25 E27 E29 E31 E33 E35 E37 E39 E43:E44 E46 E48 E50 E52 E54 E56 E58 E61 E63 E65 E67 E69 E71 E73 E76 E78 E80 E82 E84:E85 E89:E98">
      <formula1>"Nano,Macro,Micro"</formula1>
    </dataValidation>
    <dataValidation type="list" allowBlank="1" showErrorMessage="1" sqref="C23 C25 C27 C29 C31 C33 C35 C37 C39 C43:C44 C46 C48 C50 C52 C54 C56 C58 C61 C63 C65 C67 C69 C71 C73 C76 C78 C80 C82 C84:C85 C89:C98">
      <formula1>"Tiktok,Facebook,Instagram,TikTok &amp; Facebook"</formula1>
    </dataValidation>
  </dataValidations>
  <hyperlinks>
    <hyperlink r:id="rId4" ref="F23"/>
    <hyperlink r:id="rId5" ref="H23"/>
    <hyperlink r:id="rId6" ref="F25"/>
    <hyperlink r:id="rId7" ref="H25"/>
    <hyperlink r:id="rId8" ref="F27"/>
    <hyperlink r:id="rId9" ref="H27"/>
    <hyperlink r:id="rId10" ref="F29"/>
    <hyperlink r:id="rId11" ref="H29"/>
    <hyperlink r:id="rId12" ref="F31"/>
    <hyperlink r:id="rId13" ref="H31"/>
    <hyperlink r:id="rId14" ref="F33"/>
    <hyperlink r:id="rId15" ref="H33"/>
    <hyperlink r:id="rId16" ref="S33"/>
    <hyperlink r:id="rId17" ref="F35"/>
    <hyperlink r:id="rId18" ref="H35"/>
    <hyperlink r:id="rId19" ref="F37"/>
    <hyperlink r:id="rId20" ref="H37"/>
    <hyperlink r:id="rId21" ref="F39"/>
    <hyperlink r:id="rId22" ref="H39"/>
    <hyperlink r:id="rId23" ref="F44"/>
    <hyperlink r:id="rId24" ref="H44"/>
    <hyperlink r:id="rId25" ref="F46"/>
    <hyperlink r:id="rId26" ref="H46"/>
    <hyperlink r:id="rId27" ref="F48"/>
    <hyperlink r:id="rId28" ref="H48"/>
    <hyperlink r:id="rId29" ref="F50"/>
    <hyperlink r:id="rId30" ref="H50"/>
    <hyperlink r:id="rId31" ref="F52"/>
    <hyperlink r:id="rId32" ref="H52"/>
    <hyperlink r:id="rId33" ref="F54"/>
    <hyperlink r:id="rId34" ref="H54"/>
    <hyperlink r:id="rId35" ref="F56"/>
    <hyperlink r:id="rId36" ref="H56"/>
    <hyperlink r:id="rId37" ref="F58"/>
    <hyperlink r:id="rId38" ref="H58"/>
    <hyperlink r:id="rId39" ref="F61"/>
    <hyperlink r:id="rId40" ref="H61"/>
    <hyperlink r:id="rId41" ref="F63"/>
    <hyperlink r:id="rId42" ref="H63"/>
    <hyperlink r:id="rId43" ref="F65"/>
    <hyperlink r:id="rId44" ref="H65"/>
    <hyperlink r:id="rId45" ref="F67"/>
    <hyperlink r:id="rId46" ref="H67"/>
    <hyperlink r:id="rId47" ref="F69"/>
    <hyperlink r:id="rId48" ref="H69"/>
    <hyperlink r:id="rId49" ref="F71"/>
    <hyperlink r:id="rId50" ref="H71"/>
    <hyperlink r:id="rId51" ref="F73"/>
    <hyperlink r:id="rId52" ref="H73"/>
    <hyperlink r:id="rId53" ref="F76"/>
    <hyperlink r:id="rId54" ref="H76"/>
    <hyperlink r:id="rId55" ref="F78"/>
    <hyperlink r:id="rId56" ref="H78"/>
    <hyperlink r:id="rId57" ref="F80"/>
    <hyperlink r:id="rId58" ref="H80"/>
    <hyperlink r:id="rId59" ref="F82"/>
    <hyperlink r:id="rId60" ref="H82"/>
    <hyperlink r:id="rId61" ref="F85"/>
    <hyperlink r:id="rId62" ref="H85"/>
    <hyperlink r:id="rId63" ref="F89"/>
    <hyperlink r:id="rId64" ref="F90"/>
    <hyperlink r:id="rId65" ref="F91"/>
    <hyperlink r:id="rId66" ref="F92"/>
    <hyperlink r:id="rId67" ref="F93"/>
    <hyperlink r:id="rId68" ref="F94"/>
    <hyperlink r:id="rId69" ref="F95"/>
    <hyperlink r:id="rId70" ref="F96"/>
    <hyperlink r:id="rId71" ref="F97"/>
    <hyperlink r:id="rId72" ref="F98"/>
  </hyperlinks>
  <drawing r:id="rId73"/>
  <legacyDrawing r:id="rId74"/>
</worksheet>
</file>